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公告-Notice" sheetId="1" r:id="rId5"/>
    <sheet state="visible" name="SLG事件-Simulation" sheetId="2" r:id="rId6"/>
    <sheet state="visible" name="RPG事件-Combat" sheetId="3" r:id="rId7"/>
    <sheet state="visible" name="地圖-Map" sheetId="4" r:id="rId8"/>
    <sheet state="visible" name="野外掉落-Drops" sheetId="5" r:id="rId9"/>
    <sheet state="visible" name="武器-Weap" sheetId="6" r:id="rId10"/>
    <sheet state="visible" name="裝甲-Gears" sheetId="7" r:id="rId11"/>
    <sheet state="visible" name="道具-Items" sheetId="8" r:id="rId12"/>
    <sheet state="visible" name="料理-Dish" sheetId="9" r:id="rId13"/>
    <sheet state="visible" name="提示-Tips" sheetId="10" r:id="rId14"/>
    <sheet state="visible" name="狀態-Status" sheetId="11" r:id="rId15"/>
    <sheet state="visible" name="手機存檔-MobileArchive" sheetId="12" r:id="rId16"/>
    <sheet state="hidden" name="影音-Video" sheetId="13" r:id="rId17"/>
    <sheet state="visible" name="獨立顯卡-dGPU" sheetId="14" r:id="rId1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R1">
      <text>
        <t xml:space="preserve">Human translation 
</t>
      </text>
    </comment>
    <comment authorId="0" ref="S1">
      <text>
        <t xml:space="preserve">Human translation
</t>
      </text>
    </comment>
    <comment authorId="0" ref="Z1">
      <text>
        <t xml:space="preserve">Human Translation</t>
      </text>
    </comment>
    <comment authorId="0" ref="J3">
      <text>
        <t xml:space="preserve">Human translation</t>
      </text>
    </comment>
    <comment authorId="0" ref="V3">
      <text>
        <t xml:space="preserve">Human Translator
</t>
      </text>
    </comment>
    <comment authorId="0" ref="Z3">
      <text>
        <t xml:space="preserve">Human Translation
</t>
      </text>
    </comment>
    <comment authorId="0" ref="AL3">
      <text>
        <t xml:space="preserve">Human translation</t>
      </text>
    </comment>
    <comment authorId="0" ref="AP3">
      <text>
        <t xml:space="preserve">Human translation</t>
      </text>
    </comment>
    <comment authorId="0" ref="AT3">
      <text>
        <t xml:space="preserve">Human translation</t>
      </text>
    </comment>
    <comment authorId="0" ref="AL83">
      <text>
        <t xml:space="preserve">Human Translation</t>
      </text>
    </comment>
    <comment authorId="0" ref="AL84">
      <text>
        <t xml:space="preserve">Human Translation</t>
      </text>
    </comment>
    <comment authorId="0" ref="AL85">
      <text>
        <t xml:space="preserve">Human Translation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L104">
      <text>
        <t xml:space="preserve">Human Translation</t>
      </text>
    </comment>
    <comment authorId="0" ref="AL117">
      <text>
        <t xml:space="preserve">Human Translation</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E1">
      <text>
        <t xml:space="preserve">Human Translate</t>
      </text>
    </comment>
    <comment authorId="0" ref="AE2">
      <text>
        <t xml:space="preserve">Human Translate</t>
      </text>
    </comment>
    <comment authorId="0" ref="AE3">
      <text>
        <t xml:space="preserve">Human Translate</t>
      </text>
    </comment>
    <comment authorId="0" ref="AB4">
      <text>
        <t xml:space="preserve">Human Translator</t>
      </text>
    </comment>
    <comment authorId="0" ref="AE4">
      <text>
        <t xml:space="preserve">Human Translate</t>
      </text>
    </comment>
    <comment authorId="0" ref="AC5">
      <text>
        <t xml:space="preserve">Human Translator
</t>
      </text>
    </comment>
    <comment authorId="0" ref="AE5">
      <text>
        <t xml:space="preserve">Human Translate</t>
      </text>
    </comment>
    <comment authorId="0" ref="AE6">
      <text>
        <t xml:space="preserve">Human Translate</t>
      </text>
    </comment>
    <comment authorId="0" ref="AE7">
      <text>
        <t xml:space="preserve">Human Translate</t>
      </text>
    </comment>
    <comment authorId="0" ref="Z8">
      <text>
        <t xml:space="preserve">Human Translator</t>
      </text>
    </comment>
    <comment authorId="0" ref="AB8">
      <text>
        <t xml:space="preserve">Human Translator
</t>
      </text>
    </comment>
    <comment authorId="0" ref="AE8">
      <text>
        <t xml:space="preserve">Human Translate</t>
      </text>
    </comment>
    <comment authorId="0" ref="Z9">
      <text>
        <t xml:space="preserve">Human Translator</t>
      </text>
    </comment>
    <comment authorId="0" ref="AE9">
      <text>
        <t xml:space="preserve">Human Translate</t>
      </text>
    </comment>
    <comment authorId="0" ref="Z10">
      <text>
        <t xml:space="preserve">Human Translator</t>
      </text>
    </comment>
    <comment authorId="0" ref="AE10">
      <text>
        <t xml:space="preserve">Human Translate</t>
      </text>
    </comment>
    <comment authorId="0" ref="Z11">
      <text>
        <t xml:space="preserve">Human Translator</t>
      </text>
    </comment>
    <comment authorId="0" ref="AB11">
      <text>
        <t xml:space="preserve">Human Translator</t>
      </text>
    </comment>
    <comment authorId="0" ref="AE11">
      <text>
        <t xml:space="preserve">Human Translate</t>
      </text>
    </comment>
    <comment authorId="0" ref="AE12">
      <text>
        <t xml:space="preserve">Human Translate</t>
      </text>
    </comment>
    <comment authorId="0" ref="Z13">
      <text>
        <t xml:space="preserve">Human Translator</t>
      </text>
    </comment>
    <comment authorId="0" ref="AC13">
      <text>
        <t xml:space="preserve">Human Translator</t>
      </text>
    </comment>
    <comment authorId="0" ref="AD13">
      <text>
        <t xml:space="preserve">Human Translator</t>
      </text>
    </comment>
    <comment authorId="0" ref="AE13">
      <text>
        <t xml:space="preserve">Human Translate</t>
      </text>
    </comment>
    <comment authorId="0" ref="Z14">
      <text>
        <t xml:space="preserve">Human Translator</t>
      </text>
    </comment>
    <comment authorId="0" ref="AB14">
      <text>
        <t xml:space="preserve">Human Translator</t>
      </text>
    </comment>
    <comment authorId="0" ref="AE14">
      <text>
        <t xml:space="preserve">Human Translate</t>
      </text>
    </comment>
    <comment authorId="0" ref="AB15">
      <text>
        <t xml:space="preserve">Human Translator</t>
      </text>
    </comment>
    <comment authorId="0" ref="AE15">
      <text>
        <t xml:space="preserve">Human Translate</t>
      </text>
    </comment>
    <comment authorId="0" ref="Z16">
      <text>
        <t xml:space="preserve">Human Translator</t>
      </text>
    </comment>
    <comment authorId="0" ref="AB16">
      <text>
        <t xml:space="preserve">Human Translator</t>
      </text>
    </comment>
    <comment authorId="0" ref="AC16">
      <text>
        <t xml:space="preserve">Human Translator</t>
      </text>
    </comment>
    <comment authorId="0" ref="AE16">
      <text>
        <t xml:space="preserve">Human Translate</t>
      </text>
    </comment>
    <comment authorId="0" ref="Z17">
      <text>
        <t xml:space="preserve">Human Translator</t>
      </text>
    </comment>
    <comment authorId="0" ref="AB17">
      <text>
        <t xml:space="preserve">Human Translator</t>
      </text>
    </comment>
    <comment authorId="0" ref="AC17">
      <text>
        <t xml:space="preserve">Human Translator</t>
      </text>
    </comment>
    <comment authorId="0" ref="AD17">
      <text>
        <t xml:space="preserve">Human Translator</t>
      </text>
    </comment>
    <comment authorId="0" ref="AE17">
      <text>
        <t xml:space="preserve">Human Translate</t>
      </text>
    </comment>
    <comment authorId="0" ref="AC18">
      <text>
        <t xml:space="preserve">Human Translator</t>
      </text>
    </comment>
    <comment authorId="0" ref="AE18">
      <text>
        <t xml:space="preserve">Human Translate</t>
      </text>
    </comment>
    <comment authorId="0" ref="AB19">
      <text>
        <t xml:space="preserve">Human Translator</t>
      </text>
    </comment>
    <comment authorId="0" ref="AE19">
      <text>
        <t xml:space="preserve">Human Translate</t>
      </text>
    </comment>
    <comment authorId="0" ref="Z20">
      <text>
        <t xml:space="preserve">Human Translator</t>
      </text>
    </comment>
    <comment authorId="0" ref="AB20">
      <text>
        <t xml:space="preserve">Human Translator</t>
      </text>
    </comment>
    <comment authorId="0" ref="AC20">
      <text>
        <t xml:space="preserve">Human Translator</t>
      </text>
    </comment>
    <comment authorId="0" ref="AE20">
      <text>
        <t xml:space="preserve">Human Translate</t>
      </text>
    </comment>
    <comment authorId="0" ref="AB21">
      <text>
        <t xml:space="preserve">Human Translator</t>
      </text>
    </comment>
    <comment authorId="0" ref="AE21">
      <text>
        <t xml:space="preserve">Human Translate</t>
      </text>
    </comment>
    <comment authorId="0" ref="AB22">
      <text>
        <t xml:space="preserve">Human Translator</t>
      </text>
    </comment>
    <comment authorId="0" ref="AC22">
      <text>
        <t xml:space="preserve">Human Translator</t>
      </text>
    </comment>
    <comment authorId="0" ref="AE22">
      <text>
        <t xml:space="preserve">Human Translate</t>
      </text>
    </comment>
    <comment authorId="0" ref="AE23">
      <text>
        <t xml:space="preserve">Human Translate</t>
      </text>
    </comment>
    <comment authorId="0" ref="AB24">
      <text>
        <t xml:space="preserve">Human Translator</t>
      </text>
    </comment>
    <comment authorId="0" ref="AE24">
      <text>
        <t xml:space="preserve">Human Translate</t>
      </text>
    </comment>
    <comment authorId="0" ref="Z25">
      <text>
        <t xml:space="preserve">Human Translator</t>
      </text>
    </comment>
    <comment authorId="0" ref="AB25">
      <text>
        <t xml:space="preserve">Human Translator</t>
      </text>
    </comment>
    <comment authorId="0" ref="AE25">
      <text>
        <t xml:space="preserve">Human Translate</t>
      </text>
    </comment>
    <comment authorId="0" ref="Z26">
      <text>
        <t xml:space="preserve">Human Translator</t>
      </text>
    </comment>
    <comment authorId="0" ref="AE26">
      <text>
        <t xml:space="preserve">Human Translate</t>
      </text>
    </comment>
    <comment authorId="0" ref="Z27">
      <text>
        <t xml:space="preserve">Human Translator</t>
      </text>
    </comment>
    <comment authorId="0" ref="AE27">
      <text>
        <t xml:space="preserve">Human Translate</t>
      </text>
    </comment>
    <comment authorId="0" ref="AE28">
      <text>
        <t xml:space="preserve">Human Translate</t>
      </text>
    </comment>
    <comment authorId="0" ref="AE29">
      <text>
        <t xml:space="preserve">Human Translate</t>
      </text>
    </comment>
    <comment authorId="0" ref="AE30">
      <text>
        <t xml:space="preserve">Human Translate</t>
      </text>
    </comment>
    <comment authorId="0" ref="AC31">
      <text>
        <t xml:space="preserve">Human Translator</t>
      </text>
    </comment>
    <comment authorId="0" ref="AE31">
      <text>
        <t xml:space="preserve">Human Translate</t>
      </text>
    </comment>
    <comment authorId="0" ref="AE32">
      <text>
        <t xml:space="preserve">Human Translate</t>
      </text>
    </comment>
    <comment authorId="0" ref="AE33">
      <text>
        <t xml:space="preserve">Human Translate</t>
      </text>
    </comment>
    <comment authorId="0" ref="AE34">
      <text>
        <t xml:space="preserve">Human Translate</t>
      </text>
    </comment>
    <comment authorId="0" ref="AC35">
      <text>
        <t xml:space="preserve">Human Translator</t>
      </text>
    </comment>
    <comment authorId="0" ref="AE35">
      <text>
        <t xml:space="preserve">Human Translate</t>
      </text>
    </comment>
    <comment authorId="0" ref="Z36">
      <text>
        <t xml:space="preserve">Human Translator</t>
      </text>
    </comment>
    <comment authorId="0" ref="AE36">
      <text>
        <t xml:space="preserve">Human Translate</t>
      </text>
    </comment>
    <comment authorId="0" ref="Z37">
      <text>
        <t xml:space="preserve">Human Translator</t>
      </text>
    </comment>
    <comment authorId="0" ref="AE37">
      <text>
        <t xml:space="preserve">Human Translate</t>
      </text>
    </comment>
    <comment authorId="0" ref="Z38">
      <text>
        <t xml:space="preserve">Human Translator</t>
      </text>
    </comment>
    <comment authorId="0" ref="AB38">
      <text>
        <t xml:space="preserve">Human Translator</t>
      </text>
    </comment>
    <comment authorId="0" ref="AC38">
      <text>
        <t xml:space="preserve">Human Translator</t>
      </text>
    </comment>
    <comment authorId="0" ref="AE38">
      <text>
        <t xml:space="preserve">Human Translate</t>
      </text>
    </comment>
    <comment authorId="0" ref="AB39">
      <text>
        <t xml:space="preserve">Human Translator</t>
      </text>
    </comment>
    <comment authorId="0" ref="AE39">
      <text>
        <t xml:space="preserve">Human Translate</t>
      </text>
    </comment>
    <comment authorId="0" ref="Z40">
      <text>
        <t xml:space="preserve">Human Translator</t>
      </text>
    </comment>
    <comment authorId="0" ref="AE40">
      <text>
        <t xml:space="preserve">Human Translate</t>
      </text>
    </comment>
    <comment authorId="0" ref="AB41">
      <text>
        <t xml:space="preserve">Human Translator</t>
      </text>
    </comment>
    <comment authorId="0" ref="AC41">
      <text>
        <t xml:space="preserve">Human Translator</t>
      </text>
    </comment>
    <comment authorId="0" ref="AD41">
      <text>
        <t xml:space="preserve">Human Translator</t>
      </text>
    </comment>
    <comment authorId="0" ref="AE41">
      <text>
        <t xml:space="preserve">Human Translate</t>
      </text>
    </comment>
    <comment authorId="0" ref="Z42">
      <text>
        <t xml:space="preserve">Human Translator</t>
      </text>
    </comment>
    <comment authorId="0" ref="AE42">
      <text>
        <t xml:space="preserve">Human Translate</t>
      </text>
    </comment>
    <comment authorId="0" ref="AE43">
      <text>
        <t xml:space="preserve">Human Translate</t>
      </text>
    </comment>
    <comment authorId="0" ref="Z44">
      <text>
        <t xml:space="preserve">Human Translator</t>
      </text>
    </comment>
    <comment authorId="0" ref="AB44">
      <text>
        <t xml:space="preserve">Human Translator</t>
      </text>
    </comment>
    <comment authorId="0" ref="AE44">
      <text>
        <t xml:space="preserve">Human Translate</t>
      </text>
    </comment>
    <comment authorId="0" ref="Z45">
      <text>
        <t xml:space="preserve">Human Translator</t>
      </text>
    </comment>
    <comment authorId="0" ref="AB45">
      <text>
        <t xml:space="preserve">Human Translator</t>
      </text>
    </comment>
    <comment authorId="0" ref="AE45">
      <text>
        <t xml:space="preserve">Human Translate</t>
      </text>
    </comment>
    <comment authorId="0" ref="Z46">
      <text>
        <t xml:space="preserve">Human Translator</t>
      </text>
    </comment>
    <comment authorId="0" ref="AC46">
      <text>
        <t xml:space="preserve">Human Translator</t>
      </text>
    </comment>
    <comment authorId="0" ref="AE46">
      <text>
        <t xml:space="preserve">Human Translate</t>
      </text>
    </comment>
    <comment authorId="0" ref="Z47">
      <text>
        <t xml:space="preserve">Human Translator</t>
      </text>
    </comment>
    <comment authorId="0" ref="AB47">
      <text>
        <t xml:space="preserve">Human Translator</t>
      </text>
    </comment>
    <comment authorId="0" ref="AE47">
      <text>
        <t xml:space="preserve">Human Translate</t>
      </text>
    </comment>
    <comment authorId="0" ref="Z48">
      <text>
        <t xml:space="preserve">Human Translator</t>
      </text>
    </comment>
    <comment authorId="0" ref="AB48">
      <text>
        <t xml:space="preserve">Human Translator</t>
      </text>
    </comment>
    <comment authorId="0" ref="AC48">
      <text>
        <t xml:space="preserve">Human Translator</t>
      </text>
    </comment>
    <comment authorId="0" ref="AE48">
      <text>
        <t xml:space="preserve">Human Translate</t>
      </text>
    </comment>
    <comment authorId="0" ref="Z49">
      <text>
        <t xml:space="preserve">Human Translator</t>
      </text>
    </comment>
    <comment authorId="0" ref="AB49">
      <text>
        <t xml:space="preserve">Human Translator</t>
      </text>
    </comment>
    <comment authorId="0" ref="AC49">
      <text>
        <t xml:space="preserve">Human Translator</t>
      </text>
    </comment>
    <comment authorId="0" ref="AE49">
      <text>
        <t xml:space="preserve">Human Translate</t>
      </text>
    </comment>
    <comment authorId="0" ref="Z50">
      <text>
        <t xml:space="preserve">Human Translator</t>
      </text>
    </comment>
    <comment authorId="0" ref="AA50">
      <text>
        <t xml:space="preserve">Human Translator</t>
      </text>
    </comment>
    <comment authorId="0" ref="AB50">
      <text>
        <t xml:space="preserve">Human Translator</t>
      </text>
    </comment>
    <comment authorId="0" ref="AC50">
      <text>
        <t xml:space="preserve">Human Translator</t>
      </text>
    </comment>
    <comment authorId="0" ref="AD50">
      <text>
        <t xml:space="preserve">Human Translator</t>
      </text>
    </comment>
    <comment authorId="0" ref="AE50">
      <text>
        <t xml:space="preserve">Human Translate</t>
      </text>
    </comment>
    <comment authorId="0" ref="AE51">
      <text>
        <t xml:space="preserve">Human Translate</t>
      </text>
    </comment>
    <comment authorId="0" ref="AE52">
      <text>
        <t xml:space="preserve">Human Translate</t>
      </text>
    </comment>
    <comment authorId="0" ref="AE53">
      <text>
        <t xml:space="preserve">Human Translate</t>
      </text>
    </comment>
    <comment authorId="0" ref="AE54">
      <text>
        <t xml:space="preserve">Human Translate</t>
      </text>
    </comment>
    <comment authorId="0" ref="AE55">
      <text>
        <t xml:space="preserve">Human Translate</t>
      </text>
    </comment>
    <comment authorId="0" ref="AE56">
      <text>
        <t xml:space="preserve">Human Translate</t>
      </text>
    </comment>
    <comment authorId="0" ref="AE57">
      <text>
        <t xml:space="preserve">Human Translate</t>
      </text>
    </comment>
    <comment authorId="0" ref="F58">
      <text>
        <t xml:space="preserve">Human Translator</t>
      </text>
    </comment>
    <comment authorId="0" ref="AE58">
      <text>
        <t xml:space="preserve">Human Translate</t>
      </text>
    </comment>
    <comment authorId="0" ref="F59">
      <text>
        <t xml:space="preserve">Human Translator</t>
      </text>
    </comment>
    <comment authorId="0" ref="AE59">
      <text>
        <t xml:space="preserve">Human Translate</t>
      </text>
    </comment>
    <comment authorId="0" ref="F60">
      <text>
        <t xml:space="preserve">Human Translator</t>
      </text>
    </comment>
    <comment authorId="0" ref="AE60">
      <text>
        <t xml:space="preserve">Human Translate</t>
      </text>
    </comment>
  </commentList>
</comments>
</file>

<file path=xl/sharedStrings.xml><?xml version="1.0" encoding="utf-8"?>
<sst xmlns="http://schemas.openxmlformats.org/spreadsheetml/2006/main" count="16501" uniqueCount="12790">
  <si>
    <t>主編輯Discord:RORO#3330
主編輯信箱：gameconlch@gmail.com
日文翻譯人員：눈_눈
英文翻譯人員：Ruika
簡體中文翻譯人員：:ShigeLuna
西班牙文翻譯人員：AndyJango、maxi3002GD、samstagkaiser
德語翻譯人員：Gabriel
俄語翻譯人員：Libeti、Huntero 
韓文翻譯人員：몽블랑맛르블랑
越文翻譯人員：IntenseLag、Nian Sprout
巴西葡語翻譯人員：Hyphot
印尼語翻譯人員：Nekonin、Rafiq8K、ZERO
烏克蘭翻譯人員：Henk、Gof_de_Prush
協助資料彙整人員：南山、落染
過往協助翻譯者：maltesey、zNagato
互動地圖網站製作：Ruika
地圖Map圖檔製作:mioakatukaze</t>
  </si>
  <si>
    <t xml:space="preserve">編集長 Discord ID: RORO#3330
編集長メールアドレス: gameconlch@gmail.com
日本語翻訳担当: 눈_눈
英語翻訳担当: Ruika
簡体字中国語翻訳担当: 南山、ShigeLuna
スペイン語翻訳担当: AndyJango、maxi3002GD、samstagkaiser
ドイツ語翻訳担当: Gabriel
ロシア語翻訳担当: Libeti、Huntero
韓国語翻訳担当: 몽블랑맛르블랑
ベトナム語翻訳担当: IntenseLag、Nian Sprout
ブラジルポルトガル語翻訳担当: Hyphot
インドネシア語翻訳担当: Nekonin、Rafiq8K、ZERO
ウクライナ語翻訳者: Henk、Gof_de_Prush
データ集計協力: 南山、落染
過去の翻訳者: maltsey、zNagato
インタラクティブマップウェブサイト作成: Ruika
マップファイル作成: mioakatukaze
</t>
  </si>
  <si>
    <t>Chief Editor Discord: RORO#3330
Chief Editor Email: gameconlch@gmail.com
Japanese Translator: 눈_눈
English Translator: Ruika
Simplified Chinese Translator: 南山, ShigeLuna
Spanish Translator: AndyJango, maxi3002GD, samstagkaiser
German Translator: Gabriel
Russian Translator: Libeti, Huntero
Korean Translator: 몽블랑맛르블랑
Vietnamese Translator: IntenseLag, Nian Sprout
Brazilian Portuguese Translator: Hyphot
Indonesian Translator: Nekonin, Rafiq8K, ZERO
Ukrainian translators: Henk, Gof_de_Prush
Data Compilation Assistance: 南山, 落染
Past Translators: maltsey, zNagato
Interactive Map Website Creation: Ruika
Map File Creation: mioakatukaze</t>
  </si>
  <si>
    <t>Discord главного редактора: RORO#3330
Электронная почта главного редактора: gameconlch@gmail.com
Переводчик с японского: 눈_눈
Переводчик с английского: Ruika
Переводчик с упрощенного китайского: ShigeLuna
Переводчики с испанского: AndyJango, maxi3002GD, samstagkaiser
Переводчик с немецкого: Gabriel
Переводчики с русского: Libeti, Huntero
Переводчики с корейского: 몽블랑맛르블랑
Переводчики с вьетнамского: IntenseLag, Nian Sprout
Переводчики с бразильского португальского: Hyphot
Переводчики с индонезийского: Nekonin, Rafiq8K, ZERO
Украинские переводчики: Henk, Gof_de_Prush
Помощник в составлении данных: Nanshan, Luoran
Предыдущие переводчики: maltsey, zNagato
Создание интерактивного веб-сайта с картой: Ruika
Создание файла с картой: mioakatukaze</t>
  </si>
  <si>
    <r>
      <rPr>
        <rFont val="Arial"/>
        <b/>
        <color theme="1"/>
        <sz val="12.0"/>
      </rPr>
      <t>Discord của Tổng Biên Tập:</t>
    </r>
    <r>
      <rPr>
        <rFont val="Arial"/>
        <color theme="1"/>
        <sz val="12.0"/>
      </rPr>
      <t xml:space="preserve"> RORO#3330
</t>
    </r>
    <r>
      <rPr>
        <rFont val="Arial"/>
        <b/>
        <color theme="1"/>
        <sz val="12.0"/>
      </rPr>
      <t>Email liên hệ</t>
    </r>
    <r>
      <rPr>
        <rFont val="Arial"/>
        <color theme="1"/>
        <sz val="12.0"/>
      </rPr>
      <t xml:space="preserve">: gameconlch@gmail.com
</t>
    </r>
    <r>
      <rPr>
        <rFont val="Arial"/>
        <b/>
        <color theme="1"/>
        <sz val="12.0"/>
      </rPr>
      <t>Người dịch tiếng Nhật:</t>
    </r>
    <r>
      <rPr>
        <rFont val="Arial"/>
        <color theme="1"/>
        <sz val="12.0"/>
      </rPr>
      <t xml:space="preserve"> 눈_눈
</t>
    </r>
    <r>
      <rPr>
        <rFont val="Arial"/>
        <b/>
        <color theme="1"/>
        <sz val="12.0"/>
      </rPr>
      <t>Người dịch tiếng Anh:</t>
    </r>
    <r>
      <rPr>
        <rFont val="Arial"/>
        <color theme="1"/>
        <sz val="12.0"/>
      </rPr>
      <t xml:space="preserve"> Ruika
</t>
    </r>
    <r>
      <rPr>
        <rFont val="Arial"/>
        <b/>
        <color theme="1"/>
        <sz val="12.0"/>
      </rPr>
      <t>Người dịch tiếng Trung Giản Thể:</t>
    </r>
    <r>
      <rPr>
        <rFont val="Arial"/>
        <color theme="1"/>
        <sz val="12.0"/>
      </rPr>
      <t xml:space="preserve"> 南山, ShigeLuna
</t>
    </r>
    <r>
      <rPr>
        <rFont val="Arial"/>
        <b/>
        <color theme="1"/>
        <sz val="12.0"/>
      </rPr>
      <t>Người dịch tiếng Tây Ban Nha:</t>
    </r>
    <r>
      <rPr>
        <rFont val="Arial"/>
        <color theme="1"/>
        <sz val="12.0"/>
      </rPr>
      <t xml:space="preserve"> AndyJango, maxi3002GD, samstagkaiser
</t>
    </r>
    <r>
      <rPr>
        <rFont val="Arial"/>
        <b/>
        <color theme="1"/>
        <sz val="12.0"/>
      </rPr>
      <t>Người dịch tiếng Đức:</t>
    </r>
    <r>
      <rPr>
        <rFont val="Arial"/>
        <color theme="1"/>
        <sz val="12.0"/>
      </rPr>
      <t xml:space="preserve"> Gabriel
</t>
    </r>
    <r>
      <rPr>
        <rFont val="Arial"/>
        <b/>
        <color theme="1"/>
        <sz val="12.0"/>
      </rPr>
      <t>Người dịch tiếng Nga:</t>
    </r>
    <r>
      <rPr>
        <rFont val="Arial"/>
        <color theme="1"/>
        <sz val="12.0"/>
      </rPr>
      <t xml:space="preserve"> Libeti, Huntero 
</t>
    </r>
    <r>
      <rPr>
        <rFont val="Arial"/>
        <b/>
        <color theme="1"/>
        <sz val="12.0"/>
      </rPr>
      <t>Người dịch tiếng Hàn:</t>
    </r>
    <r>
      <rPr>
        <rFont val="Arial"/>
        <color theme="1"/>
        <sz val="12.0"/>
      </rPr>
      <t xml:space="preserve"> 몽블랑맛르블랑
</t>
    </r>
    <r>
      <rPr>
        <rFont val="Arial"/>
        <b/>
        <color theme="1"/>
        <sz val="12.0"/>
      </rPr>
      <t>Người dịch tiếng Việt:</t>
    </r>
    <r>
      <rPr>
        <rFont val="Arial"/>
        <color theme="1"/>
        <sz val="12.0"/>
      </rPr>
      <t xml:space="preserve"> IntenseLag, Nian Sprout
</t>
    </r>
    <r>
      <rPr>
        <rFont val="Arial"/>
        <b/>
        <color theme="1"/>
        <sz val="12.0"/>
      </rPr>
      <t>Người dịch tiếng Bồ Đào Nha Brazil:</t>
    </r>
    <r>
      <rPr>
        <rFont val="Arial"/>
        <color theme="1"/>
        <sz val="12.0"/>
      </rPr>
      <t xml:space="preserve"> Hyphot
</t>
    </r>
    <r>
      <rPr>
        <rFont val="Arial"/>
        <b/>
        <color theme="1"/>
        <sz val="12.0"/>
      </rPr>
      <t>Người dịch tiếng Indonesia:</t>
    </r>
    <r>
      <rPr>
        <rFont val="Arial"/>
        <color theme="1"/>
        <sz val="12.0"/>
      </rPr>
      <t xml:space="preserve"> Nekonin, Rafiq8K, ZERO
</t>
    </r>
    <r>
      <rPr>
        <rFont val="Arial"/>
        <b/>
        <color theme="1"/>
        <sz val="12.0"/>
      </rPr>
      <t>Hỗ trợ biên soạn dữ liệu:</t>
    </r>
    <r>
      <rPr>
        <rFont val="Arial"/>
        <color theme="1"/>
        <sz val="12.0"/>
      </rPr>
      <t xml:space="preserve"> 南山、落染
</t>
    </r>
    <r>
      <rPr>
        <rFont val="Arial"/>
        <b/>
        <color theme="1"/>
        <sz val="12.0"/>
      </rPr>
      <t>Các phiên dịch viên trước đây:</t>
    </r>
    <r>
      <rPr>
        <rFont val="Arial"/>
        <color theme="1"/>
        <sz val="12.0"/>
      </rPr>
      <t xml:space="preserve"> maltesey、zNagato
</t>
    </r>
    <r>
      <rPr>
        <rFont val="Arial"/>
        <b/>
        <color theme="1"/>
        <sz val="12.0"/>
      </rPr>
      <t>Tạo website bản đồ tương tác:</t>
    </r>
    <r>
      <rPr>
        <rFont val="Arial"/>
        <color theme="1"/>
        <sz val="12.0"/>
      </rPr>
      <t xml:space="preserve"> Ruika
</t>
    </r>
    <r>
      <rPr>
        <rFont val="Arial"/>
        <b/>
        <color theme="1"/>
        <sz val="12.0"/>
      </rPr>
      <t>Tạo file bản đồ:</t>
    </r>
    <r>
      <rPr>
        <rFont val="Arial"/>
        <color theme="1"/>
        <sz val="12.0"/>
      </rPr>
      <t xml:space="preserve"> mioakatukaze</t>
    </r>
  </si>
  <si>
    <t>Discord do Editor-Chefe: RORO#3330
E-mail do Editor-Chefe: gameconlch@gmail.com 
Tradutor de Japonês: 눈_눈 
Tradutor de Inglês: Ruika 
Tradutor de Chinês Simplificado: 南山, ShigeLuna 
Tradutor de Espanhol: AndyJango, maxi3002GD, samstagkaiser 
Tradutor de Alemão: Gabriel 
Tradutor de Russo: Libeti, Huntero 
Tradutor de Coreano: 몽블랑맛르블랑 
Tradutor de Vietnamita: IntenseLag, Nian Sprout 
Tradutor de Português Brasileiro: Hyphot 
Tradutor de Indonésio: Nekonin, Rafiq8K, ZERO 
Tradutor de ucranianos: Henk, Gof_de_Prush
Assistência na Compilação de Dados: 南山, 落染 
Tradutores Anteriores: maltsey, zNagato 
Criação do Site do Mapa Interativo: Ruika 
Criação do arquivo de mapa: mioakatukaze</t>
  </si>
  <si>
    <r>
      <rPr>
        <rFont val="Microsoft JhengHei"/>
        <b/>
        <color rgb="FF000000"/>
        <sz val="13.0"/>
      </rPr>
      <t>1.</t>
    </r>
    <r>
      <rPr>
        <rFont val="Microsoft JhengHei"/>
        <b/>
        <color rgb="FFFF0000"/>
        <sz val="13.0"/>
      </rPr>
      <t>部分平台</t>
    </r>
    <r>
      <rPr>
        <rFont val="Microsoft JhengHei"/>
        <b/>
        <color rgb="FF000000"/>
        <sz val="13.0"/>
      </rPr>
      <t>依照平台規範</t>
    </r>
    <r>
      <rPr>
        <rFont val="Microsoft JhengHei"/>
        <b/>
        <color rgb="FFFF0000"/>
        <sz val="13.0"/>
      </rPr>
      <t>，</t>
    </r>
    <r>
      <rPr>
        <rFont val="Microsoft JhengHei"/>
        <b/>
        <color rgb="FF000000"/>
        <sz val="13.0"/>
      </rPr>
      <t>會對於遊戲有不同的</t>
    </r>
    <r>
      <rPr>
        <rFont val="Microsoft JhengHei"/>
        <b/>
        <color rgb="FFFF0000"/>
        <sz val="13.0"/>
      </rPr>
      <t>審查版本</t>
    </r>
    <r>
      <rPr>
        <rFont val="Microsoft JhengHei"/>
        <b/>
        <color rgb="FF000000"/>
        <sz val="13.0"/>
      </rPr>
      <t>，</t>
    </r>
    <r>
      <rPr>
        <rFont val="Microsoft JhengHei"/>
        <b/>
        <color rgb="FFFF0000"/>
        <sz val="13.0"/>
      </rPr>
      <t>預計不會有補釘</t>
    </r>
    <r>
      <rPr>
        <rFont val="Microsoft JhengHei"/>
        <b/>
        <color rgb="FF000000"/>
        <sz val="13.0"/>
      </rPr>
      <t>，請在</t>
    </r>
    <r>
      <rPr>
        <rFont val="Microsoft JhengHei"/>
        <b/>
        <color rgb="FFFF0000"/>
        <sz val="13.0"/>
      </rPr>
      <t>購買前</t>
    </r>
    <r>
      <rPr>
        <rFont val="Microsoft JhengHei"/>
        <b/>
        <color rgb="FF000000"/>
        <sz val="13.0"/>
      </rPr>
      <t>確定好!
2.</t>
    </r>
    <r>
      <rPr>
        <rFont val="Microsoft JhengHei"/>
        <b/>
        <color rgb="FFFF0000"/>
        <sz val="13.0"/>
      </rPr>
      <t>版號1.0，不代表"正式版"，</t>
    </r>
    <r>
      <rPr>
        <rFont val="Microsoft JhengHei"/>
        <b/>
        <color rgb="FF000000"/>
        <sz val="13.0"/>
      </rPr>
      <t>關於版號的描述都在下方的說明中</t>
    </r>
    <r>
      <rPr>
        <rFont val="Microsoft JhengHei"/>
        <b/>
        <color rgb="FFFF0000"/>
        <sz val="13.0"/>
      </rPr>
      <t>。</t>
    </r>
  </si>
  <si>
    <t>1. プラットフォームによっては、プラットフォームの規定によりゲームのバージョンが異なる場合があります。パッチの配信は予定されていませんので、ご購入前にご確認ください。
2. バージョン番号1.0は「公式バージョン」を意味するものではありません。バージョン番号に関する情報は下記をご覧ください。</t>
  </si>
  <si>
    <r>
      <rPr>
        <rFont val="Microsoft JhengHei"/>
        <b/>
        <color rgb="FF000000"/>
        <sz val="10.0"/>
      </rPr>
      <t>1.</t>
    </r>
    <r>
      <rPr>
        <rFont val="Microsoft JhengHei"/>
        <b/>
        <color rgb="FFFF0000"/>
        <sz val="10.0"/>
      </rPr>
      <t xml:space="preserve"> Some platforms may have different versions of the game based on their platform guidelines. This means some of them may not necessarily require patches, but some of them might require one. Please confirm first before purchasing on the platform you have chosen!
</t>
    </r>
    <r>
      <rPr>
        <rFont val="Microsoft JhengHei"/>
        <b/>
        <color rgb="FF000000"/>
        <sz val="10.0"/>
      </rPr>
      <t xml:space="preserve">2. </t>
    </r>
    <r>
      <rPr>
        <rFont val="Microsoft JhengHei"/>
        <b/>
        <color rgb="FFFF0000"/>
        <sz val="10.0"/>
      </rPr>
      <t>Version 1.0 does not automatically mean that the game is RELEASED. It only indicates that the development has been going on for a long time. Please refer to the versioning info below</t>
    </r>
  </si>
  <si>
    <t>1.部分平台依照平台规范，会对于游戏有不同的审查版本，预计不会有补钉，请在购买前确定好!
2.版号1.0，不代表""正式版""，关于版号的描述都在下方的说明中。</t>
  </si>
  <si>
    <r>
      <rPr>
        <rFont val="Microsoft JhengHei"/>
        <b/>
        <color rgb="FF000000"/>
        <sz val="10.0"/>
      </rPr>
      <t>1.</t>
    </r>
    <r>
      <rPr>
        <rFont val="Microsoft JhengHei"/>
        <b/>
        <color rgb="FFFF0000"/>
        <sz val="10.0"/>
      </rPr>
      <t xml:space="preserve"> На некоторых платформах могут быть установлены разные версии игры в зависимости от требований к их платформам. Это означает, что для некоторых из них могут не требоваться патчи, но для некоторых из них они могут потребоваться. Пожалуйста, подтвердите это перед покупкой на выбранной вами платформе!
</t>
    </r>
    <r>
      <rPr>
        <rFont val="Microsoft JhengHei"/>
        <b/>
        <color rgb="FF000000"/>
        <sz val="10.0"/>
      </rPr>
      <t>2.</t>
    </r>
    <r>
      <rPr>
        <rFont val="Microsoft JhengHei"/>
        <b/>
        <color rgb="FFFF0000"/>
        <sz val="10.0"/>
      </rPr>
      <t xml:space="preserve"> Версия 1.0 не означает, что игра официально завершена. Это означает только, что разработка ведется уже долгое время. Пожалуйста, ознакомьтесь с информацией о версиях ниже</t>
    </r>
  </si>
  <si>
    <r>
      <rPr>
        <rFont val="Arial"/>
        <b/>
        <color rgb="FF000000"/>
        <sz val="10.0"/>
      </rPr>
      <t>1.</t>
    </r>
    <r>
      <rPr>
        <rFont val="Arial"/>
        <b/>
        <color rgb="FFFF0000"/>
        <sz val="10.0"/>
      </rPr>
      <t xml:space="preserve"> Một số nền tảng có thể có các phiên bản trò chơi khác nhau tùy thuộc vào chính sách của nền tảng đó. ĐIều này có nghĩa một số nền tẳng có thể không cần bản vá, nhưng một số lại có thể. Vui lòng xác nhận trước khi mua trên nền tảng bạn chọn!
</t>
    </r>
    <r>
      <rPr>
        <rFont val="Arial"/>
        <b/>
        <color rgb="FF000000"/>
        <sz val="10.0"/>
      </rPr>
      <t xml:space="preserve">2. </t>
    </r>
    <r>
      <rPr>
        <rFont val="Arial"/>
        <b/>
        <color rgb="FFFF0000"/>
        <sz val="10.0"/>
      </rPr>
      <t>Phiên bản 1.0 không đồng nghĩa với việc trò chơi đã được phát hành. Nó chỉ có nghĩa là trò chơi đã được phát triển một thời gian dài. Hãy xem cách đánh số phiên bản bên dưới</t>
    </r>
  </si>
  <si>
    <r>
      <rPr>
        <rFont val="Microsoft JhengHei"/>
        <b/>
        <color rgb="FF000000"/>
        <sz val="12.0"/>
      </rPr>
      <t xml:space="preserve">本文件發布了攻略網站網址，建議讀者們使用新網址，才不會受到讀取人數的限制
網址連結:
</t>
    </r>
    <r>
      <rPr>
        <rFont val="Microsoft JhengHei"/>
        <b/>
        <color rgb="FF1155CC"/>
        <sz val="12.0"/>
        <u/>
      </rPr>
      <t>https://docs.google.com/spreadsheets/d/e/2PACX-1vSc9bl2zSdkbhz_EeRndV7lSRBVSBtMRUk_rY0O1FQWWw4W0XVm9_ja__2ClO2BMfCJrN-YnlMAd-OL/pubhtml</t>
    </r>
  </si>
  <si>
    <r>
      <rPr>
        <rFont val="Microsoft JhengHei"/>
        <b/>
        <sz val="12.0"/>
      </rPr>
      <t xml:space="preserve">この文書は、戦略ガイドのウェブサイトアドレスを記載しています。読者数による制限を避けるため、新しいアドレスをご利用いただくことをお勧めします。 ウェブサイトリンク： </t>
    </r>
    <r>
      <rPr>
        <rFont val="Microsoft JhengHei"/>
        <b/>
        <color rgb="FF1155CC"/>
        <sz val="12.0"/>
        <u/>
      </rPr>
      <t>https://docs.google.com/spreadsheets/d/e/2PACX-1vSc9bl2zSdkbhz_EeRndV7lSRBVSBtMRUk_rY0O1FQWWw4W0XVm9_ja__2ClO2BMfCJrN-YnlMAd-OL/pubhtml</t>
    </r>
  </si>
  <si>
    <r>
      <rPr>
        <rFont val="Microsoft JhengHei"/>
        <b/>
        <sz val="11.0"/>
      </rPr>
      <t xml:space="preserve">This document provides the website address for the strategy guide. Readers are advised to use the new address to avoid being limited by the number of readers . Website link: </t>
    </r>
    <r>
      <rPr>
        <rFont val="Microsoft JhengHei"/>
        <b/>
        <color rgb="FF1155CC"/>
        <sz val="11.0"/>
        <u/>
      </rPr>
      <t>https://docs.google.com/spreadsheets/d/e/2PACX-1vSc9bl2zSdkbhz_EeRndV7lSRBVSBtMRUk_rY0O1FQWWw4W0XVm9_ja__2ClO2BMfCJrN-YnlMAd-OL/pubhtml</t>
    </r>
  </si>
  <si>
    <r>
      <rPr>
        <rFont val="Microsoft JhengHei"/>
        <b/>
        <sz val="12.0"/>
      </rPr>
      <t xml:space="preserve">本文件发布了攻略网站网址，建议读者们使用新网址，才不会受到读取人数的
限制网址连结: </t>
    </r>
    <r>
      <rPr>
        <rFont val="Microsoft JhengHei"/>
        <b/>
        <color rgb="FF1155CC"/>
        <sz val="12.0"/>
        <u/>
      </rPr>
      <t>https://docs.google.com/spreadsheets/d/e/2PACX-1vSc9bl2zSdkbhz_EeRndV7lSRBVSBtMRUk_rY0O1FQWWw4W0XVm9_ja__2ClO2BMfCJrN-YnlMAd-OL/pubhtml</t>
    </r>
  </si>
  <si>
    <r>
      <rPr>
        <rFont val="Microsoft JhengHei"/>
        <b/>
        <sz val="11.0"/>
      </rPr>
      <t xml:space="preserve">Este documento proporciona la dirección web de la guía de estrategia. Se recomienda a los lectores usar la nueva dirección para evitar la limitación de lectores . Enlace web: </t>
    </r>
    <r>
      <rPr>
        <rFont val="Microsoft JhengHei"/>
        <b/>
        <color rgb="FF1155CC"/>
        <sz val="11.0"/>
        <u/>
      </rPr>
      <t>https://docs.google.com/spreadsheets/d/e/2PACX-1vSc9bl2zSdkbhz_EeRndV7lSRBVSBtMRUk_rY0O1FQWWw4W0XVm9_ja__2ClO2BMfCJrN-YnlMAd-OL/pubhtml</t>
    </r>
  </si>
  <si>
    <r>
      <rPr>
        <rFont val="Microsoft JhengHei"/>
        <sz val="11.0"/>
      </rPr>
      <t xml:space="preserve">이 문서에는 전략 가이드 웹사이트 주소가 포함되어 있습니다. 독자 여러분께서는 새로운 주소를 사용하시면 독자 수 제한 없이 가이드를 이용하실 수 있습니다 . 웹사이트 링크: </t>
    </r>
    <r>
      <rPr>
        <rFont val="Microsoft JhengHei"/>
        <color rgb="FF1155CC"/>
        <sz val="11.0"/>
        <u/>
      </rPr>
      <t>https://docs.google.com/spreadsheets/d/e/2PACX-1vSc9bl2zSdkbhz_EeRndV7lSRBVSBtMRUk_rY0O1FQWWw4W0XVm9_ja__2ClO2BMfCJrN-YnlMAd-OL/pubhtml</t>
    </r>
  </si>
  <si>
    <r>
      <rPr>
        <rFont val="Microsoft JhengHei"/>
        <b/>
        <sz val="11.0"/>
      </rPr>
      <t xml:space="preserve">В этом документе указан адрес веб-сайта руководства по стратегии. Читателям рекомендуется использовать новый адрес, чтобы избежать ограничений по количеству читателей (автоматический перевод будет доступен позже). Ссылка на веб-сайт: </t>
    </r>
    <r>
      <rPr>
        <rFont val="Microsoft JhengHei"/>
        <b/>
        <color rgb="FF1155CC"/>
        <sz val="11.0"/>
        <u/>
      </rPr>
      <t>https://docs.google.com/spreadsheets/d/e/2PACX-1vSc9bl2zSdkbhz_EeRndV7lSRBVSBtMRUk_rY0O1FQWWw4W0XVm9_ja__2ClO2BMfCJrN-YnlMAd-OL/pubhtml</t>
    </r>
  </si>
  <si>
    <r>
      <rPr>
        <rFont val="Microsoft JhengHei"/>
        <b/>
        <sz val="11.0"/>
      </rPr>
      <t xml:space="preserve">Dieses Dokument enthält die Webadresse für den Strategieleitfaden. Wir empfehlen Ihnen, die neue Adresse zu verwenden, um die Leserschaft nicht zu beschränken . Weblink: </t>
    </r>
    <r>
      <rPr>
        <rFont val="Microsoft JhengHei"/>
        <b/>
        <color rgb="FF1155CC"/>
        <sz val="11.0"/>
        <u/>
      </rPr>
      <t>https://docs.google.com/spreadsheets/d/e/2PACX-1vSc9bl2zSdkbhz_EeRndV7lSRBVSBtMRUk_rY0O1FQWWw4W0XVm9_ja__2ClO2BMfCJrN-YnlMAd-OL/pubhtml</t>
    </r>
  </si>
  <si>
    <r>
      <rPr>
        <b/>
        <sz val="11.0"/>
      </rPr>
      <t xml:space="preserve">Tài liệu này cung cấp địa chỉ trang web của hướng dẫn chiến lược. Người đọc nên sử dụng địa chỉ mới để tránh bị giới hạn số lượng người đọc . Liên kết trang web:
</t>
    </r>
    <r>
      <rPr>
        <b/>
        <color rgb="FF1155CC"/>
        <sz val="11.0"/>
        <u/>
      </rPr>
      <t>https://docs.google.com/spreadsheets/d/e/2PACX-1vSc9bl2zSdkbhz_EeRndV7lSRBVSBtMRUk_rY0O1FQWWw4W0XVm9_ja__2ClO2BMfCJrN-YnlMAd-OL/pubhtml</t>
    </r>
  </si>
  <si>
    <r>
      <rPr>
        <rFont val="Microsoft JhengHei"/>
        <b/>
        <sz val="11.0"/>
      </rPr>
      <t xml:space="preserve">Este documento fornece o endereço do site do guia de estratégia. Recomenda-se aos leitores que utilizem o novo endereço para evitar limitações de acesso . Link do site: </t>
    </r>
    <r>
      <rPr>
        <rFont val="Microsoft JhengHei"/>
        <b/>
        <color rgb="FF1155CC"/>
        <sz val="11.0"/>
        <u/>
      </rPr>
      <t>https://docs.google.com/spreadsheets/d/e/2PACX-1vSc9bl2zSdkbhz_EeRndV7lSRBVSBtMRUk_rY0O1FQWWw4W0XVm9_ja__2ClO2BMfCJrN-YnlMAd-OL/pubhtml</t>
    </r>
  </si>
  <si>
    <r>
      <rPr>
        <rFont val="Microsoft JhengHei"/>
        <b/>
        <sz val="11.0"/>
      </rPr>
      <t xml:space="preserve">Dokumen ini menyediakan alamat situs web untuk panduan strategi. Pembaca disarankan untuk menggunakan alamat baru agar tidak dibatasi oleh jumlah pembaca. Tautan situs web: </t>
    </r>
    <r>
      <rPr>
        <rFont val="Microsoft JhengHei"/>
        <b/>
        <color rgb="FF1155CC"/>
        <sz val="11.0"/>
        <u/>
      </rPr>
      <t>https://docs.google.com/spreadsheets/d/e/2PACX-1vSc9bl2zSdkbhz_EeRndV7lSRBVSBtMRUk_rY0O1FQWWw4W0XVm9_ja__2ClO2BMfCJrN-YnlMAd-OL/pubhtml</t>
    </r>
  </si>
  <si>
    <r>
      <rPr>
        <rFont val="Microsoft JhengHei"/>
        <b/>
        <color theme="1"/>
        <sz val="13.0"/>
      </rPr>
      <t>※※※
1.官方宣傳或預告的圖片，以及部分已實裝的物品，</t>
    </r>
    <r>
      <rPr>
        <rFont val="Microsoft JhengHei"/>
        <b/>
        <color rgb="FFCC0000"/>
        <sz val="13.0"/>
      </rPr>
      <t>不代表已經完全實裝</t>
    </r>
    <r>
      <rPr>
        <rFont val="Microsoft JhengHei"/>
        <b/>
        <color theme="1"/>
        <sz val="13.0"/>
      </rPr>
      <t>，因此不要再問某些無法做到的事情該怎麼做，答案永遠是"還沒做好"，並非攻略不齊全！
2.近期有不肖盜版商人將本網站資料下載並捆售，這是嚴重的侵權，文件免費觀看並非是能盜用，如有需求請寄信告知獲得轉載權限。</t>
    </r>
    <r>
      <rPr>
        <rFont val="Microsoft JhengHei"/>
        <b/>
        <color rgb="FFCC0000"/>
        <sz val="13.0"/>
      </rPr>
      <t>請盜版者自重。遊戲廠商亦有追究盜版遊戲的權限，請勿以身試法。</t>
    </r>
    <r>
      <rPr>
        <rFont val="Microsoft JhengHei"/>
        <b/>
        <color theme="1"/>
        <sz val="13.0"/>
      </rPr>
      <t xml:space="preserve">
3.IOS版本，官方暫時不考慮製作。
4.本文件</t>
    </r>
    <r>
      <rPr>
        <rFont val="Microsoft JhengHei"/>
        <b/>
        <color rgb="FFCC0000"/>
        <sz val="13.0"/>
      </rPr>
      <t>不用申請權限</t>
    </r>
    <r>
      <rPr>
        <rFont val="Microsoft JhengHei"/>
        <b/>
        <color theme="1"/>
        <sz val="13.0"/>
      </rPr>
      <t>，所有人都可以在最下方的分頁標籤中，直接點選查看。</t>
    </r>
  </si>
  <si>
    <t>※※※
1. 公式プロモーションや予告編の画像、および部分的に実装済みのアイテムは、完全な実装を意味するものではありません。そのため、実現不可能なことについて「どうすればよいか」と質問するのはやめてください。回答は常に「まだ準備が整っていません」であり、攻略情報が不足しているからではありません！
2. 最近、悪質な海賊版業者が当サイトのデータをダウンロードし、まとめて販売するという重大な著作権侵害が発生しました。ファイルを無料で閲覧することは盗用可能なものではなく、必要な場合は転載許可を得るためにメールでご連絡ください。海賊版業者の方々は自制してください。ゲームメーカーも法的措置を取る権限を有していますので、自ら実験的な行動は慎んでください。
3. IOS版については、現時点では公式に開発を検討していません。
4. このファイルは許可申請なしで、誰でも最下部のページタブから直接クリックして閲覧できます。</t>
  </si>
  <si>
    <r>
      <rPr>
        <rFont val="Microsoft JhengHei"/>
        <b/>
        <color theme="1"/>
        <sz val="10.0"/>
      </rPr>
      <t xml:space="preserve">1. Images that you see in promotional materials, trailers, dev blogs, already implemented items, etc. </t>
    </r>
    <r>
      <rPr>
        <rFont val="Microsoft JhengHei"/>
        <b/>
        <color theme="1"/>
        <sz val="10.0"/>
        <u/>
      </rPr>
      <t>does not guarantee that they will be fully implemented in the game</t>
    </r>
    <r>
      <rPr>
        <rFont val="Microsoft JhengHei"/>
        <b/>
        <color theme="1"/>
        <sz val="10.0"/>
      </rPr>
      <t xml:space="preserve">. Do remember that the game is still in development so it does not represent the final product. Due to this, PLEASE DO NOT ASK how to do things that are impossible or painfully obvious because it's not in the game yet. You will just be repeatedly told that "It's not yet implemented".
2. Recently, </t>
    </r>
    <r>
      <rPr>
        <rFont val="Microsoft JhengHei"/>
        <b/>
        <color rgb="FFFF0000"/>
        <sz val="10.0"/>
        <u/>
      </rPr>
      <t>some shameless pirates have downloaded and bundled all the materials in this guide document and put it up for sale</t>
    </r>
    <r>
      <rPr>
        <rFont val="Microsoft JhengHei"/>
        <b/>
        <color theme="1"/>
        <sz val="10.0"/>
      </rPr>
      <t xml:space="preserve">. This is a serious copyright infringment. Free viewing of this document doesn't mean you are also free to pirate it and make money off it. If you require permission, simply reach out to obtain the rights to redestribute... it's not that hard! Pirates should respect this and know that the developers have the right to pursue legal action. 
</t>
    </r>
    <r>
      <rPr>
        <rFont val="Microsoft JhengHei"/>
        <b/>
        <color rgb="FFFF0000"/>
        <sz val="10.0"/>
      </rPr>
      <t xml:space="preserve">Please keep in mind that this guide document is free to view and if you have been asked to pay for this, then you have been scammed.
</t>
    </r>
    <r>
      <rPr>
        <rFont val="Microsoft JhengHei"/>
        <b/>
        <color theme="1"/>
        <sz val="10.0"/>
      </rPr>
      <t xml:space="preserve">
3. An iOS version is NOT being considered by the development team.
4. This guide document</t>
    </r>
    <r>
      <rPr>
        <rFont val="Microsoft JhengHei"/>
        <b/>
        <color rgb="FFFF0000"/>
        <sz val="10.0"/>
      </rPr>
      <t xml:space="preserve"> </t>
    </r>
    <r>
      <rPr>
        <rFont val="Microsoft JhengHei"/>
        <b/>
        <color rgb="FFFF0000"/>
        <sz val="10.0"/>
        <u/>
      </rPr>
      <t>doesn't require permissions</t>
    </r>
    <r>
      <rPr>
        <rFont val="Microsoft JhengHei"/>
        <b/>
        <color theme="1"/>
        <sz val="10.0"/>
      </rPr>
      <t>. Everyone is free to view it, please look at the tabs located below to access it.</t>
    </r>
  </si>
  <si>
    <r>
      <rPr>
        <rFont val="Microsoft JhengHei"/>
        <b/>
        <color rgb="FF000000"/>
        <sz val="13.0"/>
      </rPr>
      <t>※※※ 
1.官方宣传或预告的图片，以及部分已实装的物品，</t>
    </r>
    <r>
      <rPr>
        <rFont val="Microsoft JhengHei"/>
        <b/>
        <color rgb="FFFF0000"/>
        <sz val="13.0"/>
      </rPr>
      <t>不代表已经完全实装</t>
    </r>
    <r>
      <rPr>
        <rFont val="Microsoft JhengHei"/>
        <b/>
        <color rgb="FF000000"/>
        <sz val="13.0"/>
      </rPr>
      <t>，因此不要再问某些无法做到的事情该怎么做，答案永远是</t>
    </r>
    <r>
      <rPr>
        <rFont val="Microsoft JhengHei"/>
        <b/>
        <color rgb="FFFF0000"/>
        <sz val="13.0"/>
      </rPr>
      <t>"还没做好"</t>
    </r>
    <r>
      <rPr>
        <rFont val="Microsoft JhengHei"/>
        <b/>
        <color rgb="FF000000"/>
        <sz val="13.0"/>
      </rPr>
      <t xml:space="preserve">，并非攻略不齐全！ 
</t>
    </r>
    <r>
      <rPr>
        <rFont val="Microsoft JhengHei"/>
        <b/>
        <color rgb="FFFF0000"/>
        <sz val="13.0"/>
      </rPr>
      <t xml:space="preserve">2.近期有不肖盗版商人将本网站资料下载并捆售，这是严重的侵权，文件免费观看并非是能盗用，如有需求请寄信告知获得转载权限。请盗版者自重。游戏厂商亦有追究盗版游戏的权限，请勿以身试法。 </t>
    </r>
    <r>
      <rPr>
        <rFont val="Microsoft JhengHei"/>
        <b/>
        <color rgb="FF000000"/>
        <sz val="13.0"/>
      </rPr>
      <t xml:space="preserve">
3.IOS版本，官方暂时不考虑制作。 
4.本文件不用申请权限，所有人都可以在最下方的分页标签中，直接点选查看。</t>
    </r>
  </si>
  <si>
    <t>※※※ 
1. 공식 홍보 자료나 트레일러에 등장하는 이미지, 그리고 이미 구현된 일부 항목은 완벽한 구현을 보장하지 않습니다. 따라서 불가능한 것에 대한 문의는 삼가해 주시기 바랍니다. 이는 "아직 완성되지 않았습니다"라는 답변일 뿐, 가이드가 불완전하다는 의미는 아닙니다! 
2. 최근 일부 악의적인 불법 복제자들이 본 웹사이트의 자료를 다운로드하여 불법 복제 및 판매하는 사례가 발생하고 있습니다. 이는 심각한 저작권 침해 행위입니다. 파일을 무료로 열람할 수 있다고 해서 무단 복제가 허용되는 것은 아닙니다. 재배포를 원하시는 경우, 저희에게 연락하여 권한을 획득해 주시기 바랍니다. 불법 복제자 여러분, 이 점을 존중해 주십시오. 게임 개발사 또한 불법 복제 게임에 대해 법적 조치를 취할 권리가 있습니다. 법을 어기지 마십시오. 
3. iOS 버전은 현재 공식 개발팀에서 고려하고 있지 않습니다. 
4. 본 문서는 허가 없이 사용 가능합니다. 누구나 하단의 탭을 통해 바로 볼 수 있습니다.</t>
  </si>
  <si>
    <r>
      <rPr>
        <rFont val="Microsoft JhengHei"/>
        <b/>
        <color theme="1"/>
        <sz val="10.0"/>
      </rPr>
      <t xml:space="preserve">※※※
1. Изображения, которые вы видите в рекламных материалах, трейлерах, блогах разработчиков, уже реализованных элементах и ​​т. д., </t>
    </r>
    <r>
      <rPr>
        <rFont val="Microsoft JhengHei"/>
        <b/>
        <color theme="1"/>
        <sz val="10.0"/>
        <u/>
      </rPr>
      <t>не гарантируют их полной реализации в игре</t>
    </r>
    <r>
      <rPr>
        <rFont val="Microsoft JhengHei"/>
        <b/>
        <color theme="1"/>
        <sz val="10.0"/>
      </rPr>
      <t xml:space="preserve">. Помните, что игра всё ещё находится на стадии разработки, это не финальный продукт. 
Поэтому, ПОЖАЛУЙСТА, НЕ СПРАШИВАЙТЕ, как сделать то, что невозможно или очевидно, потому что этого ещё нет в игре. Вам просто будут постоянно говорить: «Это ещё не реализовано». 
2. Недавно, </t>
    </r>
    <r>
      <rPr>
        <rFont val="Microsoft JhengHei"/>
        <b/>
        <color rgb="FFFF0000"/>
        <sz val="10.0"/>
        <u/>
      </rPr>
      <t>некоторые бесстыжие пираты скачали и объединили все материалы этого руководства и выставили это на продажу</t>
    </r>
    <r>
      <rPr>
        <rFont val="Microsoft JhengHei"/>
        <b/>
        <color theme="1"/>
        <sz val="10.0"/>
      </rPr>
      <t xml:space="preserve">. Это серьёзное нарушение авторских прав. Свободный доступ к просмотру этого документа не означает, что вы также можете его пиратить и зарабатывать на нём деньги. Если вам требуется разрешение, просто свяжитесь с нами, чтобы получить права на распространение... это не так уж сложно! Пираты должны уважать это и знать, что разработчики имеют право подать в суд. 
</t>
    </r>
    <r>
      <rPr>
        <rFont val="Microsoft JhengHei"/>
        <b/>
        <color rgb="FFFF0000"/>
        <sz val="10.0"/>
      </rPr>
      <t xml:space="preserve">Пожалуйста, имейте в виду, что этот документ-руководство доступен для просмотра бесплатно, и если вас попросили за него заплатить, значит, вас обманули. </t>
    </r>
    <r>
      <rPr>
        <rFont val="Microsoft JhengHei"/>
        <b/>
        <color theme="1"/>
        <sz val="10.0"/>
      </rPr>
      <t xml:space="preserve">
3. Разработка версии для iOS не планируется. 
4. Для просмотра этого документа-руководства </t>
    </r>
    <r>
      <rPr>
        <rFont val="Microsoft JhengHei"/>
        <b/>
        <color rgb="FFFF0000"/>
        <sz val="10.0"/>
        <u/>
      </rPr>
      <t>не требуется разрешение</t>
    </r>
    <r>
      <rPr>
        <rFont val="Microsoft JhengHei"/>
        <b/>
        <color theme="1"/>
        <sz val="10.0"/>
      </rPr>
      <t>. Доступ к нему имеет любой желающий. Пожалуйста, воспользуйтесь вкладками ниже.</t>
    </r>
  </si>
  <si>
    <t>1. Bilder, die du in Werbematerialien, Trailern, Entwickler-Blogs, bereits implementierten Objekten usw. siehst, garantieren nicht, dass sie vollständig im Spiel umgesetzt werden. Denke daran, dass sich das Spiel noch in der Entwicklung befindet und diese Bilder nicht das Endprodukt darstellen. Aus diesem Grund BITTE FRAGE NICHT, wie Dinge gemacht werden, die unmöglich oder offensichtlich noch nicht im Spiel sind. Du wirst nur wiederholt die Antwort "Noch nicht implementiert" erhalten.
2. Kürzlich haben einige skrupellose Piraten alle Materialien aus diesem Guide heruntergeladen, gebündelt und zum Verkauf angeboten. Das ist eine schwerwiegende Urheberrechtsverletzung. Dass du dieses Dokument kostenlos einsehen kannst, bedeutet nicht, dass du es auch illegal kopieren und damit Geld verdienen darfst. Wenn du eine Erlaubnis benötigst, wende dich einfach an die Rechteinhaber, um die Erlaubnis zur Weiterverbreitung zu erhalten… das ist nicht schwer! Piraten sollten dies respektieren und wissen, dass die Entwickler das Recht haben, rechtliche Schritte einzuleiten.
Bitte beachte, dass dieses Guide-Dokument kostenlos einsehbar ist. Wenn du dafür bezahlen sollst, wurdest du betrogen.
3. Eine iOS-Version wird vom Entwicklerteam NICHT in Betracht gezogen.
4. Für dieses Guide-Dokument sind keine Erlaubnisse erforderlich. Jeder kann es einsehen, bitte nutze die unten befindlichen Tabs, um darauf zuzugreifen.</t>
  </si>
  <si>
    <r>
      <rPr>
        <rFont val="Arial"/>
        <b/>
        <color theme="1"/>
        <sz val="11.0"/>
      </rPr>
      <t xml:space="preserve">***
1. Hình ảnh bạn thấy trong các quảng cáo, trailer, dev blog, vật phẩm đã được triển khai, v.v. </t>
    </r>
    <r>
      <rPr>
        <rFont val="Arial"/>
        <b/>
        <color theme="1"/>
        <sz val="11.0"/>
        <u/>
      </rPr>
      <t>không đảm bảo rằng chúng sẽ được triển khai đầy đủ trong trò chơi</t>
    </r>
    <r>
      <rPr>
        <rFont val="Arial"/>
        <b/>
        <color theme="1"/>
        <sz val="11.0"/>
      </rPr>
      <t xml:space="preserve">. Xin lưu ý rằng trò chơi vẫn đang trong quá trình phát triển nên không đại diện cho sản phẩm cuối cùng. Do đó, VUI LÒNG KHÔNG HỎI cách thực hiện những điều không thể hoặc quá rõ ràng là chưa có trong trò chơi. Bạn sẽ chỉ liên tục có câu trả lời là "Nó chưa được triển khai".
2. Gần đây, </t>
    </r>
    <r>
      <rPr>
        <rFont val="Arial"/>
        <b/>
        <color rgb="FFFF0000"/>
        <sz val="11.0"/>
        <u/>
      </rPr>
      <t>một số kẻ vi phạm bản quyền đã tải xuống và gộp tất cả các tài liệu trong bản hướng dẫn này và rao bán</t>
    </r>
    <r>
      <rPr>
        <rFont val="Arial"/>
        <b/>
        <color theme="1"/>
        <sz val="11.0"/>
      </rPr>
      <t xml:space="preserve">. Đây là hành vi vi phạm bản quyền nghiêm trọng. Việc xem tài liệu này miễn phí không có nghĩa là bạn cũng được tự do vi phạm bản quyền và kiếm tiền từ nó. Nếu bạn cần sự cho phép, chỉ cần liên hệ để xin quyền chia sẻ lại... nó không khó lắm đâu! Những kẻ vi phạm bản quyền nên tôn trọng điều này và biết rằng các nhà phát triển có quyền khởi kiện.
</t>
    </r>
    <r>
      <rPr>
        <rFont val="Arial"/>
        <b/>
        <color rgb="FFFF0000"/>
        <sz val="11.0"/>
      </rPr>
      <t>Xin lưu ý rằng tài liệu hướng dẫn này được xem miễn phí và nếu bạn được yêu cầu trả tiền cho việc này, thì bạn đã bị lừa.</t>
    </r>
    <r>
      <rPr>
        <rFont val="Arial"/>
        <b/>
        <color theme="1"/>
        <sz val="11.0"/>
      </rPr>
      <t xml:space="preserve">
3. Đội ngũ phát triển sẽ KHÔNG làm phiên bản cho IOS.
4. Tài liệu hướng dẫn này không yêu cầu quyền. Mọi người đều có thể xem miễn phí, vui lòng xem các tab bên dưới để truy cập.</t>
    </r>
  </si>
  <si>
    <r>
      <rPr>
        <rFont val="Microsoft JhengHei"/>
        <b/>
        <color theme="1"/>
        <sz val="10.0"/>
      </rPr>
      <t xml:space="preserve">***
1. As imagens que você vê em materiais promocionais, trailers, blogs de desenvolvedores, itens já implementados, etc., </t>
    </r>
    <r>
      <rPr>
        <rFont val="Microsoft JhengHei"/>
        <b/>
        <color theme="1"/>
        <sz val="10.0"/>
        <u/>
      </rPr>
      <t>não garantem que serão totalmente implementados na versão final do jogo</t>
    </r>
    <r>
      <rPr>
        <rFont val="Microsoft JhengHei"/>
        <b/>
        <color theme="1"/>
        <sz val="10.0"/>
      </rPr>
      <t>. Lembre-se de que o jogo ainda está em desenvolvimento e, portanto, não representa o produto final. Por isso, POR FAVOR, NÃO PERGUNTE como fazer coisas que são impossíveis ou extremamente óbvias porque ainda não estão no jogo. Você só ouvirá repetidamente que "Ainda não foi implementado".
2. Recentemente,</t>
    </r>
    <r>
      <rPr>
        <rFont val="Microsoft JhengHei"/>
        <b/>
        <color rgb="FFCC0000"/>
        <sz val="10.0"/>
      </rPr>
      <t xml:space="preserve"> </t>
    </r>
    <r>
      <rPr>
        <rFont val="Microsoft JhengHei"/>
        <b/>
        <color rgb="FFCC0000"/>
        <sz val="10.0"/>
        <u/>
      </rPr>
      <t>alguns piratas sem escrúpulos baixaram e compilaram todo o material deste guia, colocando-o à venda</t>
    </r>
    <r>
      <rPr>
        <rFont val="Microsoft JhengHei"/>
        <b/>
        <color theme="1"/>
        <sz val="10.0"/>
      </rPr>
      <t xml:space="preserve">. Isso constitui uma grave violação de direitos autorais. O acesso gratuito a este documento não lhe dá o direito de pirateá-lo e lucrar com ele. Caso necessite de permissão, basta entrar em contato para obter os direitos de redistribuição... não é tão difícil! Os piratas devem respeitar isso e saber que os desenvolvedores têm o direito de tomar medidas legais.
</t>
    </r>
    <r>
      <rPr>
        <rFont val="Microsoft JhengHei"/>
        <b/>
        <color rgb="FFCC0000"/>
        <sz val="10.0"/>
      </rPr>
      <t>Por favor, tenha em mente que este guia é gratuito e, se lhe pediram para pagar por ele, você foi vítima de um golpe.</t>
    </r>
    <r>
      <rPr>
        <rFont val="Microsoft JhengHei"/>
        <b/>
        <color theme="1"/>
        <sz val="10.0"/>
      </rPr>
      <t xml:space="preserve">
3. Uma versão para iOS NÃO está sendo considerada pela equipe de desenvolvimento.
</t>
    </r>
    <r>
      <rPr>
        <rFont val="Microsoft JhengHei"/>
        <b/>
        <color theme="1"/>
        <sz val="12.0"/>
      </rPr>
      <t xml:space="preserve">4. Este guia </t>
    </r>
    <r>
      <rPr>
        <rFont val="Microsoft JhengHei"/>
        <b/>
        <color theme="1"/>
        <sz val="12.0"/>
        <u/>
      </rPr>
      <t>não requer permissões</t>
    </r>
    <r>
      <rPr>
        <rFont val="Microsoft JhengHei"/>
        <b/>
        <color theme="1"/>
        <sz val="12.0"/>
      </rPr>
      <t xml:space="preserve">. Todos podem visualizá-lo gratuitamente; </t>
    </r>
    <r>
      <rPr>
        <rFont val="Microsoft JhengHei"/>
        <b/>
        <color theme="1"/>
        <sz val="12.0"/>
        <u/>
      </rPr>
      <t>consulte as abas abaixo para o acessar</t>
    </r>
    <r>
      <rPr>
        <rFont val="Microsoft JhengHei"/>
        <b/>
        <color theme="1"/>
        <sz val="12.0"/>
      </rPr>
      <t>.</t>
    </r>
    <r>
      <rPr>
        <rFont val="Microsoft JhengHei"/>
        <b/>
        <color theme="1"/>
        <sz val="11.0"/>
      </rPr>
      <t xml:space="preserve">
</t>
    </r>
  </si>
  <si>
    <r>
      <rPr>
        <rFont val="Microsoft JhengHei"/>
        <b/>
        <color theme="1"/>
        <sz val="10.0"/>
      </rPr>
      <t xml:space="preserve">※※※
1. Gambar dalam materi promosi resmi atau trailer, dan beberapa item yang sudah diimplementasikan, tidak menjamin implementasi penuh. Oleh karena itu, mohon jangan bertanya tentang cara melakukan hal-hal yang belum memungkinkan, jawabannya akan selalu "belum selesai", bukan berarti panduan ini tidak lengkap!
2. Baru-baru ini, </t>
    </r>
    <r>
      <rPr>
        <rFont val="Microsoft JhengHei"/>
        <b/>
        <color rgb="FFFF0000"/>
        <sz val="10.0"/>
      </rPr>
      <t>ada beberapa pembajak yang tidak bertanggung jawab telah mengunduh dan menggabungkan dokumen ini untuk dijual</t>
    </r>
    <r>
      <rPr>
        <rFont val="Microsoft JhengHei"/>
        <b/>
        <color theme="1"/>
        <sz val="10.0"/>
      </rPr>
      <t xml:space="preserve">. Ini adalah pelanggaran serius. Meskipun file ini bisa diliat secara gratis, bukan berarti file tersebut dapat dicuri. Jika Anda memerlukan izin, silakan hubungi kami untuk mendapatkan hak cetak ulang. Para pembajak harus menghormati hal ini. Developer game juga berhak untuk mengambil tindakan hukum terhadap game bajakan, mohon jangan melanggar hukum.
</t>
    </r>
    <r>
      <rPr>
        <rFont val="Microsoft JhengHei"/>
        <b/>
        <color rgb="FFFF0000"/>
        <sz val="10.0"/>
      </rPr>
      <t>Dokumen panduan ini gratis untuk dilihat. Buktinya kamu bisa lihat sekarang kan:) Kalau kamu diminta untuk membayar, maka Kamu telah menjadi korban penipuan.</t>
    </r>
    <r>
      <rPr>
        <rFont val="Microsoft JhengHei"/>
        <b/>
        <color theme="1"/>
        <sz val="10.0"/>
      </rPr>
      <t xml:space="preserve">
3. Versi iOS saat ini belum dipertimbangkan oleh tim resmi.
4. </t>
    </r>
    <r>
      <rPr>
        <rFont val="Microsoft JhengHei"/>
        <b/>
        <color rgb="FFFF0000"/>
        <sz val="10.0"/>
      </rPr>
      <t>Dokumen ini tidak memerlukan izin</t>
    </r>
    <r>
      <rPr>
        <rFont val="Microsoft JhengHei"/>
        <b/>
        <color theme="1"/>
        <sz val="10.0"/>
      </rPr>
      <t>, Semua orang dapat melihatnya langsung dari tab di bagian bawah.</t>
    </r>
  </si>
  <si>
    <r>
      <rPr>
        <rFont val="Microsoft JhengHei"/>
        <b/>
        <color theme="1"/>
        <sz val="13.0"/>
      </rPr>
      <t>2026/3/1之後，版本號調整規則說明：
例如：
1.01.3 rev.2
大版本更新(Major Update)-
&lt;1.01&gt;代表當前遊戲的版本號，每次大版本更新就會變動，目前只有在完成</t>
    </r>
    <r>
      <rPr>
        <rFont val="Microsoft JhengHei"/>
        <b/>
        <color rgb="FFFF0000"/>
        <sz val="13.0"/>
      </rPr>
      <t>正版驗證</t>
    </r>
    <r>
      <rPr>
        <rFont val="Microsoft JhengHei"/>
        <b/>
        <color theme="1"/>
        <sz val="13.0"/>
      </rPr>
      <t>的玩家才能免費獲取自動更新,否則需要</t>
    </r>
    <r>
      <rPr>
        <rFont val="Microsoft JhengHei"/>
        <b/>
        <color rgb="FFFF0000"/>
        <sz val="13.0"/>
      </rPr>
      <t>從購買處手動重新下載遊戲</t>
    </r>
    <r>
      <rPr>
        <rFont val="Microsoft JhengHei"/>
        <b/>
        <color theme="1"/>
        <sz val="13.0"/>
      </rPr>
      <t xml:space="preserve">來完成更新。
補丁版本(Patch)-
&lt;.3&gt;代表已發布的累計修復補丁次數。(例如:.3就是舊版本的第三個補丁=C版)。包含錯誤修復、 少量新內容增添或系統優化。(無須正版驗證)
修訂版本(Revision)-
&lt;rev.2&gt;代表對當前補丁版本進行微調或修改的次數,作為靜默疊代更新自動在妹妹房間檢測發動,發動時不影響遊戲流程,完成時需要手動重啟遊戲。(無須正版驗證)
※部分無外網地區，需要使用VPN才能使用更新功能※
</t>
    </r>
  </si>
  <si>
    <t xml:space="preserve">
2026年3月1日以降のバージョン番号調整規則の説明：
例：
1.01.3 rev.2
メジャーアップデート -
&lt;1.01&gt;は現在のゲームのバージョン番号を示し、メジャーアップデートが行われるたびに変更されます。現在、正規版認証を完了したプレイヤーのみが自動更新を無料で取得できますが、それ以外の場合は購入元から手動でゲームを再ダウンロードする必要があります。
パッチバージョン -
&lt;.3&gt;はリリース済みの累積修正パッチの回数を示します（例：.3は旧バージョンの第3番目のパッチ＝C版に相当）。これにはエラー修正、少量の新規コンテンツ追加、またはシステム最適化が含まれます（正規版認証は不要）。
リビジョン -
&lt;rev.2&gt;は現在のパッチバージョンに対して行われた微調整または変更の回数を示します。これはサイレント・ローリングアップデートとして妹の部屋で自動的に検出され、実行されてもゲームの進行に影響はありませんが、完了時には手動でゲームを再起動する必要があります（正規版認証は不要）。
※一部のオフライン地域では、更新機能を使用するためにVPNが必要です。※</t>
  </si>
  <si>
    <r>
      <rPr>
        <rFont val="Microsoft JhengHei"/>
        <b/>
        <color theme="1"/>
        <sz val="10.0"/>
      </rPr>
      <t xml:space="preserve">After March 01, 2026, the game's versioning method will be updated to semantic versioning:
We will use "1.01.3 rev.2" as an example.
Major updates:
"1.01" represents the game's current version number. This changes with each major update. </t>
    </r>
    <r>
      <rPr>
        <rFont val="Microsoft JhengHei"/>
        <b/>
        <color rgb="FFFF0000"/>
        <sz val="10.0"/>
      </rPr>
      <t>As of now, only verified players are able to have access to the auto update feature in the game, otherwise they'd have to manually download the new version from the platform where they bought the game to update the game to the latest version.</t>
    </r>
    <r>
      <rPr>
        <rFont val="Microsoft JhengHei"/>
        <b/>
        <color theme="1"/>
        <sz val="10.0"/>
      </rPr>
      <t xml:space="preserve">
Patch:
".3" represents the patch version of the game. (For reference to old players, .3 is the third patch of the major version, meaning it's version "C"). This usually includes bug fixes, minor content additions or system optimizations. (You don't need to verify yourself to download patch updates)
Revision:
"rev 2" means revision 2. It represents the number of times how many times the PATCH has been tweaked or modified. It's an update that is silently added and does not affect gameplay. It might be slight tweakings of the current patch, etc. and this can be detected and triggered simply by going in imouto's room. You need to restart the game, however once it's complete. (You don't need to verify yourself to download revision updates)
Depending on your country, you might need a VPN to be able to download updates for the game.
</t>
    </r>
  </si>
  <si>
    <t>2026/3/1之后，版本号调整规则说明：
例如：
1.01 .3 rev.2
大版本更新:
&lt;1.01&gt;代表当前游戏的版本号，每次大版本更新就会变动，目前只有在完成正版验证的玩家才能免费获取自动更新,否则需要从购买处手动重新下载游戏来完成更新。
补丁版本:
&lt;.3&gt;代表已发布的累计修复补丁次数。 (例如:.3就是旧版本的第三个补丁=C版)。包含错误修复、 少量新内容增添或系统优化。 (无须正版验证)
修订版本:
&lt;rev.2&gt;代表对当前补丁版本进行微调或修改的次数,作为静默叠代更新自动在妹妹房间检测发动,发动时不影响游戏流程,完成时需要手动重启游戏。 (无须正版验证)
※部分无外网地区，需要使用VPN才能使用更新功能※</t>
  </si>
  <si>
    <t>2026년 3월 1일 이후, 게임 버전 관리 방식이 시맨틱 버전 관리로 업데이트됩니다.
예를 들어 &lt;1.01.3 rev.2&gt;와 같이 표시됩니다.
주요 업데이트:
&lt;1.01&gt;은 게임의 현재 버전 번호를 나타냅니다. 이 버전은 주요 업데이트가 있을 때마다 변경됩니다. 현재로서는 인증된 플레이어만 게임 내 자동 업데이트 기능을 이용할 수 있으며, 그렇지 않은 플레이어는 게임을 구매한 플랫폼에서 새 버전을 수동으로 다운로드하여 최신 버전으로 업데이트해야 합니다.
패치:
&lt;.3&gt;은 게임의 패치 버전을 나타냅니다. (기존 플레이어의 경우, &lt;.3&gt;은 주요 버전의 세 번째 패치, 즉 &lt;C&gt; 버전을 의미합니다.) 패치에는 일반적으로 버그 수정, 사소한 콘텐츠 추가 또는 시스템 최적화가 포함됩니다. (패치 업데이트를 다운로드하기 위해 인증할 필요는 없습니다.)
수정:
&lt;rev 2&gt;는 수정 2를 의미합니다. 이는 패치가 수정된 횟수를 나타냅니다. 이 업데이트는 조용히 추가되는 업데이트로 게임 플레이에는 영향을 미치지 않습니다. 현재 패치에 대한 약간의 수정 사항 등이 포함될 수 있으며, 여동생의 방에 들어가면 업데이트 내용을 확인하고 실행할 수 있습니다. 업데이트가 완료되면 게임을 재시작해야 합니다. (업데이트 다운로드를 위해 본인 인증 절차는 필요하지 않습니다.)
거주 국가에 따라 게임 업데이트를 다운로드하려면 VPN이 필요할 수 있습니다.</t>
  </si>
  <si>
    <r>
      <rPr>
        <rFont val="Microsoft JhengHei"/>
        <b/>
        <color theme="1"/>
        <sz val="10.0"/>
      </rPr>
      <t>После 01 марта 2026 года система управления версиями игры будет обновлена до семантической версии::
В качестве примера мы будем использовать "1.01.3 rev.2".
Основные обновления (Major updates):
"1.01" - это номер текущей версии игры. Он меняется с каждым крупным обновлением.</t>
    </r>
    <r>
      <rPr>
        <rFont val="Microsoft JhengHei"/>
        <b/>
        <color rgb="FFFF0000"/>
        <sz val="10.0"/>
      </rPr>
      <t xml:space="preserve"> На данный момент только верифицированные игроки могут иметь доступ к функции автоматического обновления в игре, в противном случае им пришлось бы вручную загружать новую версию с платформы, на которой они купили игру, чтобы обновить её до последней версии.</t>
    </r>
    <r>
      <rPr>
        <rFont val="Microsoft JhengHei"/>
        <b/>
        <color theme="1"/>
        <sz val="10.0"/>
      </rPr>
      <t xml:space="preserve">
Патч (Patch):
".3" представляет собой патч версии игры. (Для справки: .3 - третий патч на основной версии, это означает, что это версия "С"). Обычно это включает в себя исправление ошибок, незначительные дополнения контента и оптимизации системы. (Вам не нужно подтверждать свою личность, чтобы загружать обновления исправлений)
Пересмотр (Revision / rev.):
"rev 2" означает исправление версии (2). Это количество раз, когда обновлялся ПАТЧ. Это обновление добавляется автоматически и не влияет на игровой процесс. Это могут быть небольшие изменения в текущем патче и т.д., которые можно увидеть и активировать, просто зайдя в комнату Имоуто. После установки обновления вам необходимо перезапустить игру. (Вам не нужно подтверждать свою личность, чтобы загружать обновления)
В зависимости от вашей страны вам может понадобиться VPN для загрузки обновлений для игры.
</t>
    </r>
  </si>
  <si>
    <r>
      <rPr>
        <rFont val="Arial"/>
        <b/>
        <color theme="1"/>
        <sz val="10.0"/>
      </rPr>
      <t xml:space="preserve">Sau ngày 01 tháng 3 năm 2026, cách đánh số phiên bản của trò chơi sẽ được cập nhật theo phiên bản ngữ nghĩa:
Chúng tôi sẽ sử dụng "1.01.3 rev.2" làm ví dụ.
Cập nhật lớn:
1.01 thể hiện số phiên bản hiện tại của trò chơi. Số này thay đổi với mỗi bản cập nhật lớn. </t>
    </r>
    <r>
      <rPr>
        <rFont val="Arial"/>
        <b/>
        <color rgb="FFFF0000"/>
        <sz val="10.0"/>
      </rPr>
      <t xml:space="preserve">Hiện tại, chỉ những người chơi đã được xác minh mới có thể truy cập tính năng tự động cập nhật trong trò chơi, nếu không họ sẽ phải tự tải xuống phiên bản mới từ nền tảng mà họ đã mua trò chơi để cập nhật trò chơi lên phiên bản mới nhất.
</t>
    </r>
    <r>
      <rPr>
        <rFont val="Arial"/>
        <b/>
        <color theme="1"/>
        <sz val="10.0"/>
      </rPr>
      <t xml:space="preserve">
Bản vá:
3 thể hiện phiên bản vá của trò chơi. (Đối với người chơi cũ, .3 là bản vá thứ ba của phiên bản chính, có nghĩa là phiên bản "C"). Bản vá này thường bao gồm sửa lỗi, bổ sung nội dung nhỏ hoặc tối ưu hệ thống. (Bạn không cần xác minh để tải xuống các bản vá)
Phiên bản sửa đổi:
"rev 2 có nghĩa là phiên bản sửa đổi 2. Nó thể hiện số lần BẢN VÁ đã được điều chỉnh hoặc sửa đổi. Đây là bản cập nhật được thêm vào lặng lẽ và không ảnh hưởng đến gameplay. Nó có thể chỉ là những điều chỉnh nhỏ đối với bản vá hiện tại, v.v. và bạn có thể nhìn thấy và kích hoạt nó bằng cách vào phòng của em gái. Tuy nhiên, bạn cần khởi động lại trò chơi sau khi cập nhật hoàn tất. (Bạn không cần xác minh tài khoản để tải xuống các bản cập nhật sửa đổi)
Tùy thuộc vào quốc gia của bạn, bạn có thể cần sử dụng VPN để tải xuống các bản cập nhật cho trò chơi.</t>
    </r>
  </si>
  <si>
    <r>
      <rPr>
        <rFont val="Microsoft JhengHei"/>
        <b/>
        <color theme="1"/>
        <sz val="10.0"/>
      </rPr>
      <t xml:space="preserve">Regras para identificar o número da versão após 1º de março de 2026:
Exemplo: 1.01.3 rev.2
Atualização Principal -
&lt;1.01&gt; representa o número da versão atual do jogo. Ele muda a cada atualização principal. </t>
    </r>
    <r>
      <rPr>
        <rFont val="Microsoft JhengHei"/>
        <b/>
        <color rgb="FFFF0000"/>
        <sz val="10.0"/>
      </rPr>
      <t>Atualmente, apenas jogadores que concluíram a verificação de autenticidade do produto podem receber atualizações automáticas gratuitas; caso contrário, precisam baixar o jogo novamente manualmente na página de compra para concluir a atualização.</t>
    </r>
    <r>
      <rPr>
        <rFont val="Microsoft JhengHei"/>
        <b/>
        <color theme="1"/>
        <sz val="10.0"/>
      </rPr>
      <t xml:space="preserve">
Patch -
&lt;.3&gt; representa o número cumulativo de patches lançados. (Por exemplo, .3 significa o terceiro patch da versão antiga = versão C). Inclui correções de bugs, pequenas adições de conteúdo ou otimizações do sistema. (Não é necessária a verificação de autenticidade do produto)
Revisão -
&lt;rev.2&gt; representa o número de vezes que a versão atual do patch foi ajustada ou modificada. Como uma atualização iterativa silenciosa, ela é detectada e ativada automaticamente no quarto da irmã. A ativação não afeta a jogabilidade; é necessário reiniciar o jogo manualmente após a conclusão. (Não é necessária verificação de autenticidade do produto)
※Em algumas áreas sem acesso à internet, é necessário usar uma VPN para atualizar o produto.※</t>
    </r>
  </si>
  <si>
    <t>互動式地圖連結網址(可以進行地圖查看/互動)
地圖網站製作者：Ruika</t>
  </si>
  <si>
    <t>インタラクティブマップリンク（地図の表示/操作が可能） 地図ウェブサイト作成者：Ruika</t>
  </si>
  <si>
    <t>Interactive map link (map viewing/interaction available) Map website created by: Ruika</t>
  </si>
  <si>
    <t>互动式地图连结网址(可以进行地图查看/互动) 地图网站制作者：Ruika</t>
  </si>
  <si>
    <t>Enlace al mapa interactivo (visualización e interacción del mapa disponibles) Sitio web del mapa creado por: Ruika</t>
  </si>
  <si>
    <t>대화형 지도 링크(지도 보기/상호작용 가능) 지도 웹사이트 제작자: Ruika</t>
  </si>
  <si>
    <t>Ссылка на интерактивную карту (доступен просмотр карты/взаимодействие) 
Создатель сайта с картой: Ruika</t>
  </si>
  <si>
    <t>Interaktiver Kartenlink (Kartenanzeige/Interaktion verfügbar) Kartenwebsite erstellt von: Ruika</t>
  </si>
  <si>
    <t>Liên kết bản đồ tương tác (có thể xem bản đồ/tương tác) Trang web bản đồ được tạo bởi: Ruika</t>
  </si>
  <si>
    <t>Link para mapa interativo (permite visualização/interação com o mapa) Criador do site de mapas: Ruika</t>
  </si>
  <si>
    <t>Link peta interaktif silahkan klik tulisan ini
Pembuat situs web peta: Ruika</t>
  </si>
  <si>
    <r>
      <rPr>
        <rFont val="Microsoft JhengHei"/>
        <b/>
        <sz val="12.0"/>
      </rPr>
      <t xml:space="preserve">官方discord群組：
</t>
    </r>
    <r>
      <rPr>
        <rFont val="Microsoft JhengHei"/>
        <b/>
        <color rgb="FF1155CC"/>
        <sz val="12.0"/>
        <u/>
      </rPr>
      <t>https://discord.gg/2Bt7RWknyH</t>
    </r>
  </si>
  <si>
    <r>
      <rPr>
        <rFont val="Microsoft JhengHei"/>
        <b/>
        <sz val="12.0"/>
      </rPr>
      <t xml:space="preserve">公式Discordグループ: </t>
    </r>
    <r>
      <rPr>
        <rFont val="Microsoft JhengHei"/>
        <b/>
        <color rgb="FF1155CC"/>
        <sz val="12.0"/>
        <u/>
      </rPr>
      <t>https://discord.gg/2Bt7RWknyH</t>
    </r>
  </si>
  <si>
    <r>
      <rPr>
        <rFont val="Microsoft JhengHei"/>
        <b/>
        <sz val="12.0"/>
      </rPr>
      <t xml:space="preserve">Official Discord group: </t>
    </r>
    <r>
      <rPr>
        <rFont val="Microsoft JhengHei"/>
        <b/>
        <color rgb="FF1155CC"/>
        <sz val="12.0"/>
        <u/>
      </rPr>
      <t>https://discord.gg/2Bt7RWknyH</t>
    </r>
  </si>
  <si>
    <r>
      <rPr>
        <rFont val="Microsoft JhengHei"/>
        <b/>
        <sz val="12.0"/>
      </rPr>
      <t xml:space="preserve">Official Discord group: </t>
    </r>
    <r>
      <rPr>
        <rFont val="Microsoft JhengHei"/>
        <b/>
        <color rgb="FF1155CC"/>
        <sz val="12.0"/>
        <u/>
      </rPr>
      <t>https://discord.gg/2Bt7RWknyH</t>
    </r>
  </si>
  <si>
    <r>
      <rPr>
        <rFont val="Microsoft JhengHei"/>
        <b/>
        <sz val="12.0"/>
      </rPr>
      <t xml:space="preserve">Official Discord group: </t>
    </r>
    <r>
      <rPr>
        <rFont val="Microsoft JhengHei"/>
        <b/>
        <color rgb="FF1155CC"/>
        <sz val="12.0"/>
        <u/>
      </rPr>
      <t>https://discord.gg/2Bt7RWknyH</t>
    </r>
  </si>
  <si>
    <r>
      <rPr>
        <rFont val="Microsoft JhengHei"/>
        <sz val="10.0"/>
      </rPr>
      <t xml:space="preserve">공식 디스코드 그룹: </t>
    </r>
    <r>
      <rPr>
        <rFont val="Microsoft JhengHei"/>
        <color rgb="FF1155CC"/>
        <sz val="10.0"/>
        <u/>
      </rPr>
      <t>https://discord.gg/2Bt7RWknyH</t>
    </r>
  </si>
  <si>
    <r>
      <rPr>
        <rFont val="Microsoft JhengHei"/>
        <b/>
        <sz val="10.0"/>
      </rPr>
      <t xml:space="preserve">Официальная группа в Discord: </t>
    </r>
    <r>
      <rPr>
        <rFont val="Microsoft JhengHei"/>
        <b/>
        <color rgb="FF1155CC"/>
        <sz val="10.0"/>
        <u/>
      </rPr>
      <t>https://discord.gg/2Bt7RWknyH</t>
    </r>
  </si>
  <si>
    <r>
      <rPr>
        <rFont val="Microsoft JhengHei"/>
        <b/>
        <sz val="10.0"/>
      </rPr>
      <t xml:space="preserve">Offizielle Discord-Gruppe: </t>
    </r>
    <r>
      <rPr>
        <rFont val="Microsoft JhengHei"/>
        <b/>
        <color rgb="FF1155CC"/>
        <sz val="10.0"/>
        <u/>
      </rPr>
      <t>https://discord.gg/2Bt7RWknyH</t>
    </r>
  </si>
  <si>
    <r>
      <rPr>
        <rFont val="Arial"/>
        <sz val="11.0"/>
      </rPr>
      <t xml:space="preserve">
Discord chính thức:
</t>
    </r>
    <r>
      <rPr>
        <rFont val="Arial"/>
        <color rgb="FF1155CC"/>
        <sz val="11.0"/>
        <u/>
      </rPr>
      <t>https://discord.gg/2Bt7RWknyH</t>
    </r>
  </si>
  <si>
    <r>
      <rPr>
        <rFont val="Microsoft JhengHei"/>
        <sz val="11.0"/>
      </rPr>
      <t xml:space="preserve">Grupo oficial do Discord: </t>
    </r>
    <r>
      <rPr>
        <rFont val="Microsoft JhengHei"/>
        <color rgb="FF1155CC"/>
        <sz val="11.0"/>
        <u/>
      </rPr>
      <t>https://discord.gg/2Bt7RWknyH</t>
    </r>
  </si>
  <si>
    <r>
      <rPr>
        <rFont val="Microsoft JhengHei"/>
        <sz val="11.0"/>
      </rPr>
      <t xml:space="preserve">Grup Discord resmi: </t>
    </r>
    <r>
      <rPr>
        <rFont val="Microsoft JhengHei"/>
        <color rgb="FF1155CC"/>
        <sz val="11.0"/>
        <u/>
      </rPr>
      <t>https://discord.gg/2Bt7RWknyH</t>
    </r>
  </si>
  <si>
    <t>Steam商店連結</t>
  </si>
  <si>
    <t>Steam Store</t>
  </si>
  <si>
    <r>
      <rPr>
        <rFont val="Microsoft JhengHei"/>
        <b/>
        <sz val="12.0"/>
      </rPr>
      <t>※推薦購買此版本(</t>
    </r>
    <r>
      <rPr>
        <rFont val="Microsoft JhengHei"/>
        <b/>
        <color rgb="FFFFE599"/>
        <sz val="12.0"/>
      </rPr>
      <t>高清版本</t>
    </r>
    <r>
      <rPr>
        <rFont val="Microsoft JhengHei"/>
        <b/>
        <sz val="12.0"/>
      </rPr>
      <t xml:space="preserve">)※
Itch正版遊戲的永久版本購買連結:
</t>
    </r>
    <r>
      <rPr>
        <rFont val="Microsoft JhengHei"/>
        <b/>
        <color rgb="FF1155CC"/>
        <sz val="12.0"/>
        <u/>
      </rPr>
      <t>https://nlch.itch.io/sister/devlog/879085/demo-v065a-release</t>
    </r>
  </si>
  <si>
    <r>
      <rPr>
        <rFont val="Microsoft JhengHei"/>
        <b/>
        <sz val="12.0"/>
      </rPr>
      <t>※このバージョンの購入を推奨します(</t>
    </r>
    <r>
      <rPr>
        <rFont val="Microsoft JhengHei"/>
        <b/>
        <color rgb="FFFFE599"/>
        <sz val="12.0"/>
      </rPr>
      <t>HDバージョン</t>
    </r>
    <r>
      <rPr>
        <rFont val="Microsoft JhengHei"/>
        <b/>
        <sz val="12.0"/>
      </rPr>
      <t xml:space="preserve">)※
Itch の正規ゲームの永久版の購入リンク:
</t>
    </r>
    <r>
      <rPr>
        <rFont val="Microsoft JhengHei"/>
        <b/>
        <color rgb="FF1155CC"/>
        <sz val="12.0"/>
        <u/>
      </rPr>
      <t>https://nlch.itch.io/sister/devlog/879085/demo-v065a-release</t>
    </r>
  </si>
  <si>
    <r>
      <rPr>
        <rFont val="Microsoft JhengHei"/>
        <b/>
        <sz val="12.0"/>
      </rPr>
      <t>※Recommended to purchase this version(</t>
    </r>
    <r>
      <rPr>
        <rFont val="Microsoft JhengHei"/>
        <b/>
        <color rgb="FFFFE599"/>
        <sz val="12.0"/>
      </rPr>
      <t>HD version</t>
    </r>
    <r>
      <rPr>
        <rFont val="Microsoft JhengHei"/>
        <b/>
        <sz val="12.0"/>
      </rPr>
      <t xml:space="preserve">)※
Purchase link for the permanent version of Itch genuine game:
</t>
    </r>
    <r>
      <rPr>
        <rFont val="Microsoft JhengHei"/>
        <b/>
        <color rgb="FF1155CC"/>
        <sz val="12.0"/>
        <u/>
      </rPr>
      <t>https://nlch.itch.io/sister/devlog/879085/demo-v065a-release</t>
    </r>
  </si>
  <si>
    <r>
      <rPr>
        <rFont val="Microsoft JhengHei"/>
        <b/>
        <sz val="12.0"/>
      </rPr>
      <t>※推荐购买此版本(</t>
    </r>
    <r>
      <rPr>
        <rFont val="Microsoft JhengHei"/>
        <b/>
        <color rgb="FFFFE599"/>
        <sz val="12.0"/>
      </rPr>
      <t>高清版本</t>
    </r>
    <r>
      <rPr>
        <rFont val="Microsoft JhengHei"/>
        <b/>
        <sz val="12.0"/>
      </rPr>
      <t xml:space="preserve">)※
Itch正版游戏的永久版本购买连结:
</t>
    </r>
    <r>
      <rPr>
        <rFont val="Microsoft JhengHei"/>
        <b/>
        <color rgb="FF1155CC"/>
        <sz val="12.0"/>
        <u/>
      </rPr>
      <t>https://nlch.itch.io/sister/devlog/879085/demo-v065a-release</t>
    </r>
  </si>
  <si>
    <r>
      <rPr>
        <rFont val="Microsoft JhengHei"/>
        <b/>
        <sz val="10.0"/>
      </rPr>
      <t>※Se recomienda comprar esta versión (</t>
    </r>
    <r>
      <rPr>
        <rFont val="Microsoft JhengHei"/>
        <b/>
        <color rgb="FFFFE599"/>
        <sz val="10.0"/>
      </rPr>
      <t>versión HD</t>
    </r>
    <r>
      <rPr>
        <rFont val="Microsoft JhengHei"/>
        <b/>
        <sz val="10.0"/>
      </rPr>
      <t xml:space="preserve">)※ Enlace de compra para la versión permanente del juego original de Itch: 
</t>
    </r>
    <r>
      <rPr>
        <rFont val="Microsoft JhengHei"/>
        <b/>
        <color rgb="FF1155CC"/>
        <sz val="10.0"/>
        <u/>
      </rPr>
      <t>https://nlch.itch.io/sister/devlog/879085/demo-v065a-release</t>
    </r>
  </si>
  <si>
    <r>
      <rPr>
        <rFont val="Microsoft JhengHei"/>
        <sz val="10.0"/>
      </rPr>
      <t>※본 버전(</t>
    </r>
    <r>
      <rPr>
        <rFont val="Microsoft JhengHei"/>
        <color rgb="FFFFE599"/>
        <sz val="10.0"/>
      </rPr>
      <t>HD버전</t>
    </r>
    <r>
      <rPr>
        <rFont val="Microsoft JhengHei"/>
        <sz val="10.0"/>
      </rPr>
      <t xml:space="preserve">) 구매를 권장합니다※ Itch의 정품 게임 영구 버전 구매 링크: </t>
    </r>
    <r>
      <rPr>
        <rFont val="Microsoft JhengHei"/>
        <color rgb="FF1155CC"/>
        <sz val="10.0"/>
        <u/>
      </rPr>
      <t>https://nlch.itch.io/sister/devlog/879085/demo-v065a-release</t>
    </r>
  </si>
  <si>
    <r>
      <rPr>
        <rFont val="Microsoft JhengHei"/>
        <b/>
        <sz val="10.0"/>
      </rPr>
      <t>※Рекомендуется приобрести эту версию (</t>
    </r>
    <r>
      <rPr>
        <rFont val="Microsoft JhengHei"/>
        <b/>
        <color rgb="FFFFE599"/>
        <sz val="10.0"/>
      </rPr>
      <t>HD-версия</t>
    </r>
    <r>
      <rPr>
        <rFont val="Microsoft JhengHei"/>
        <b/>
        <sz val="10.0"/>
      </rPr>
      <t xml:space="preserve">)※ Ссылка для приобретения постоянной версии оригинальной игры Itch: </t>
    </r>
    <r>
      <rPr>
        <rFont val="Microsoft JhengHei"/>
        <b/>
        <color rgb="FF1155CC"/>
        <sz val="10.0"/>
        <u/>
      </rPr>
      <t>https://nlch.itch.io/sister/devlog/879085/demo-v065a-release</t>
    </r>
  </si>
  <si>
    <r>
      <rPr>
        <rFont val="Microsoft JhengHei"/>
        <b/>
        <sz val="10.0"/>
      </rPr>
      <t>※Der Kauf dieser Version (</t>
    </r>
    <r>
      <rPr>
        <rFont val="Microsoft JhengHei"/>
        <b val="0"/>
        <color rgb="FFFFE599"/>
        <sz val="10.0"/>
      </rPr>
      <t>HD-Version</t>
    </r>
    <r>
      <rPr>
        <rFont val="Microsoft JhengHei"/>
        <b/>
        <sz val="10.0"/>
      </rPr>
      <t xml:space="preserve">) wird empfohlen※ Kauflink für die permanente Version </t>
    </r>
    <r>
      <rPr>
        <rFont val="Microsoft JhengHei"/>
        <b/>
        <color rgb="FF1155CC"/>
        <sz val="10.0"/>
        <u/>
      </rPr>
      <t>https://nlch.itch.io/sister/devlog/879085/demo-v065a-release</t>
    </r>
  </si>
  <si>
    <r>
      <rPr>
        <rFont val="Arial"/>
        <sz val="11.0"/>
      </rPr>
      <t xml:space="preserve">*Khuyến khích nên mua phiên bản này (     )*
Đường link mua phiên bản vĩnh viễn trên itch của trò chơi:
</t>
    </r>
    <r>
      <rPr>
        <rFont val="Arial"/>
        <color rgb="FF1155CC"/>
        <sz val="11.0"/>
        <u/>
      </rPr>
      <t>https://nlch.itch.io/sister/</t>
    </r>
  </si>
  <si>
    <r>
      <rPr>
        <rFont val="Microsoft JhengHei"/>
        <sz val="11.0"/>
      </rPr>
      <t xml:space="preserve">※Esta versão (versão HD) é recomendada.※ Link permanente para compra do jogo oficial no Itch: </t>
    </r>
    <r>
      <rPr>
        <rFont val="Microsoft JhengHei"/>
        <color rgb="FF1155CC"/>
        <sz val="11.0"/>
        <u/>
      </rPr>
      <t>https://nlch.itch.io/sister/devlog/879085/demo-v065a-release</t>
    </r>
  </si>
  <si>
    <r>
      <rPr>
        <rFont val="Microsoft JhengHei"/>
        <sz val="11.0"/>
      </rPr>
      <t xml:space="preserve">※Versi ini (versi HD) direkomendasikan.※ 
Link pembelian permanen untuk game resmi Itch:
</t>
    </r>
    <r>
      <rPr>
        <rFont val="Microsoft JhengHei"/>
        <color rgb="FF1155CC"/>
        <sz val="11.0"/>
        <u/>
      </rPr>
      <t>https://nlch.itch.io/sister/devlog/879085/demo-v065a-release</t>
    </r>
  </si>
  <si>
    <r>
      <rPr>
        <rFont val="Microsoft JhengHei"/>
        <b/>
        <sz val="12.0"/>
      </rPr>
      <t xml:space="preserve">Perohub正版遊戲的連結(支援支付寶)
</t>
    </r>
    <r>
      <rPr>
        <rFont val="Microsoft JhengHei"/>
        <b/>
        <color rgb="FF1155CC"/>
        <sz val="12.0"/>
        <u/>
      </rPr>
      <t>https://perohub.com/posts/6773ed3e7e0707642a5c7882</t>
    </r>
  </si>
  <si>
    <r>
      <rPr>
        <rFont val="Microsoft JhengHei"/>
        <b/>
        <sz val="12.0"/>
      </rPr>
      <t xml:space="preserve">公式Perohubゲームへのリンク（Alipay対応）: </t>
    </r>
    <r>
      <rPr>
        <rFont val="Microsoft JhengHei"/>
        <b/>
        <color rgb="FF1155CC"/>
        <sz val="12.0"/>
        <u/>
      </rPr>
      <t>https://perohub.com/posts/6773ed3e7e0707642a5c7882</t>
    </r>
  </si>
  <si>
    <r>
      <rPr>
        <rFont val="Microsoft JhengHei"/>
        <b/>
        <sz val="12.0"/>
      </rPr>
      <t xml:space="preserve">Link to official Perohub games (Alipay supported): </t>
    </r>
    <r>
      <rPr>
        <rFont val="Microsoft JhengHei"/>
        <b/>
        <color rgb="FF1155CC"/>
        <sz val="12.0"/>
        <u/>
      </rPr>
      <t>https://perohub.com/posts/6773ed3e7e0707642a5c7882</t>
    </r>
  </si>
  <si>
    <r>
      <rPr>
        <rFont val="Microsoft JhengHei"/>
        <b/>
        <sz val="12.0"/>
      </rPr>
      <t xml:space="preserve">Perohub(支援支付寶)
</t>
    </r>
    <r>
      <rPr>
        <rFont val="Microsoft JhengHei"/>
        <b/>
        <color rgb="FF1155CC"/>
        <sz val="12.0"/>
        <u/>
      </rPr>
      <t>https://perohub.com/posts/6773ed3e7e0707642a5c7882</t>
    </r>
  </si>
  <si>
    <r>
      <rPr>
        <rFont val="Microsoft JhengHei"/>
        <b/>
        <sz val="12.0"/>
      </rPr>
      <t xml:space="preserve">Link oficial de Perohub
</t>
    </r>
    <r>
      <rPr>
        <rFont val="Microsoft JhengHei"/>
        <b/>
        <color rgb="FF1155CC"/>
        <sz val="12.0"/>
        <u/>
      </rPr>
      <t>和存在感薄弱的妹妹一起的简单生活V0.85 by NLCH | Perohub</t>
    </r>
  </si>
  <si>
    <r>
      <rPr>
        <rFont val="Microsoft JhengHei"/>
        <sz val="12.0"/>
      </rPr>
      <t xml:space="preserve">Perohub (알리페이 지원) </t>
    </r>
    <r>
      <rPr>
        <rFont val="Microsoft JhengHei"/>
        <color rgb="FF1155CC"/>
        <sz val="12.0"/>
        <u/>
      </rPr>
      <t>https://perohub.com/posts/6773ed3e7e0707642a5c7882</t>
    </r>
  </si>
  <si>
    <r>
      <rPr>
        <rFont val="Microsoft JhengHei"/>
        <b/>
        <sz val="12.0"/>
      </rPr>
      <t xml:space="preserve">Ссылка на официальные игры Perohub (поддерживается Alipay): </t>
    </r>
    <r>
      <rPr>
        <rFont val="Microsoft JhengHei"/>
        <b/>
        <color rgb="FF1155CC"/>
        <sz val="12.0"/>
        <u/>
      </rPr>
      <t>https://perohub.com/posts/6773ed3e7e0707642a5c7882</t>
    </r>
  </si>
  <si>
    <r>
      <rPr>
        <rFont val="Arial"/>
        <sz val="12.0"/>
      </rPr>
      <t xml:space="preserve">Perohub Link:
</t>
    </r>
    <r>
      <rPr>
        <rFont val="Arial"/>
        <color rgb="FF1155CC"/>
        <sz val="12.0"/>
        <u/>
      </rPr>
      <t>https://perohub.com/posts/6773ed3e7e0707642a5c7882</t>
    </r>
  </si>
  <si>
    <t xml:space="preserve">Link para os jogos oficiais da Perohub (compatíveis com Alipay): https://perohub.com/posts/6773ed3e7e0707642a5c7882
 </t>
  </si>
  <si>
    <r>
      <rPr>
        <rFont val="Microsoft JhengHei"/>
        <sz val="11.0"/>
      </rPr>
      <t xml:space="preserve">Link game resmi Perohub (mendukung Alipay): 
</t>
    </r>
    <r>
      <rPr>
        <rFont val="Microsoft JhengHei"/>
        <color rgb="FF1155CC"/>
        <sz val="11.0"/>
        <u/>
      </rPr>
      <t>https://perohub.com/posts/6773ed3e7e0707642a5c7882</t>
    </r>
    <r>
      <rPr>
        <rFont val="Microsoft JhengHei"/>
        <sz val="11.0"/>
      </rPr>
      <t xml:space="preserve"> </t>
    </r>
  </si>
  <si>
    <r>
      <rPr>
        <rFont val="Microsoft JhengHei"/>
        <b/>
        <sz val="12.0"/>
      </rPr>
      <t xml:space="preserve">Fanbox正版遊戲的訂閱連結:
</t>
    </r>
    <r>
      <rPr>
        <rFont val="Microsoft JhengHei"/>
        <b/>
        <color rgb="FF1155CC"/>
        <sz val="12.0"/>
        <u/>
      </rPr>
      <t xml:space="preserve">https://nlch.fanbox.cc/posts/9317203
</t>
    </r>
    <r>
      <rPr>
        <rFont val="Microsoft JhengHei"/>
        <b/>
        <sz val="12.0"/>
      </rPr>
      <t>永久版給的KEY應該是Itch的版本</t>
    </r>
  </si>
  <si>
    <r>
      <rPr>
        <rFont val="Microsoft JhengHei"/>
        <b/>
        <sz val="12.0"/>
      </rPr>
      <t xml:space="preserve">Fanbox-正規版ゲームの永久版の購入リンク: 
</t>
    </r>
    <r>
      <rPr>
        <rFont val="Microsoft JhengHei"/>
        <b/>
        <color rgb="FF1155CC"/>
        <sz val="12.0"/>
        <u/>
      </rPr>
      <t xml:space="preserve">https://nlch.fanbox.cc/posts/9317203
</t>
    </r>
    <r>
      <rPr>
        <rFont val="Microsoft JhengHei"/>
        <b/>
        <sz val="12.0"/>
      </rPr>
      <t>永続バージョンによって与えられる KEY は、Itch のバージョンである必要があります。</t>
    </r>
  </si>
  <si>
    <r>
      <rPr>
        <rFont val="Microsoft JhengHei"/>
        <b/>
        <sz val="12.0"/>
      </rPr>
      <t xml:space="preserve">Fanbox-Coded Purchase link for the permanent version of the genuine game: 
</t>
    </r>
    <r>
      <rPr>
        <rFont val="Microsoft JhengHei"/>
        <b/>
        <color rgb="FF1155CC"/>
        <sz val="12.0"/>
        <u/>
      </rPr>
      <t xml:space="preserve">https://nlch.fanbox.cc/posts/9317203
</t>
    </r>
    <r>
      <rPr>
        <rFont val="Microsoft JhengHei"/>
        <b/>
        <sz val="12.0"/>
      </rPr>
      <t>The KEY given by the permanent version should be the version of Itch.</t>
    </r>
  </si>
  <si>
    <r>
      <rPr>
        <rFont val="Microsoft JhengHei"/>
        <b/>
        <sz val="12.0"/>
      </rPr>
      <t xml:space="preserve">Fanbox正版游戏的永久版本購買連結:
</t>
    </r>
    <r>
      <rPr>
        <rFont val="Microsoft JhengHei"/>
        <b/>
        <color rgb="FF1155CC"/>
        <sz val="12.0"/>
        <u/>
      </rPr>
      <t xml:space="preserve">https://nlch.fanbox.cc/posts/9317203
</t>
    </r>
    <r>
      <rPr>
        <rFont val="Microsoft JhengHei"/>
        <b/>
        <sz val="12.0"/>
      </rPr>
      <t>永久版给的KEY应该是Itch的版本</t>
    </r>
  </si>
  <si>
    <r>
      <rPr>
        <rFont val="Microsoft JhengHei"/>
        <b/>
        <sz val="10.0"/>
      </rPr>
      <t xml:space="preserve">Enlace de suscripción para juegos originales de Fanbox: 
</t>
    </r>
    <r>
      <rPr>
        <rFont val="Microsoft JhengHei"/>
        <b/>
        <color rgb="FF1155CC"/>
        <sz val="10.0"/>
        <u/>
      </rPr>
      <t xml:space="preserve">https://nlch.fanbox.cc/posts/9317203
</t>
    </r>
    <r>
      <rPr>
        <rFont val="Microsoft JhengHei"/>
        <b/>
        <sz val="10.0"/>
      </rPr>
      <t xml:space="preserve"> La CLAVE dada por la versión permanente debe ser la versión de Itch.</t>
    </r>
  </si>
  <si>
    <r>
      <rPr>
        <rFont val="Microsoft JhengHei"/>
        <sz val="10.0"/>
      </rPr>
      <t xml:space="preserve">Fanbox 정품 게임 구독 링크: 
</t>
    </r>
    <r>
      <rPr>
        <rFont val="Microsoft JhengHei"/>
        <color rgb="FF1155CC"/>
        <sz val="10.0"/>
        <u/>
      </rPr>
      <t>https://nlch.fanbox.cc/posts/9317203</t>
    </r>
    <r>
      <rPr>
        <rFont val="Microsoft JhengHei"/>
        <sz val="10.0"/>
      </rPr>
      <t xml:space="preserve">
 영구 버전에서 제공되는 KEY는 Itch 버전이어야 합니다.</t>
    </r>
  </si>
  <si>
    <r>
      <rPr>
        <rFont val="Microsoft JhengHei"/>
        <b/>
        <sz val="10.0"/>
      </rPr>
      <t xml:space="preserve">Ссылка на подписку на оригинальные игры Fanbox: 
</t>
    </r>
    <r>
      <rPr>
        <rFont val="Microsoft JhengHei"/>
        <b/>
        <color rgb="FF1155CC"/>
        <sz val="10.0"/>
        <u/>
      </rPr>
      <t>https://nlch.fanbox.cc/posts/9317203</t>
    </r>
    <r>
      <rPr>
        <rFont val="Microsoft JhengHei"/>
        <b/>
        <sz val="10.0"/>
      </rPr>
      <t xml:space="preserve">
КЛЮЧ, заданный постоянной версией, должен быть версией Itch.</t>
    </r>
  </si>
  <si>
    <r>
      <rPr>
        <rFont val="Microsoft JhengHei"/>
        <b/>
        <sz val="10.0"/>
      </rPr>
      <t xml:space="preserve">Abonnementlink für echte Fanbox-Spiele: 
</t>
    </r>
    <r>
      <rPr>
        <rFont val="Microsoft JhengHei"/>
        <b/>
        <color rgb="FF1155CC"/>
        <sz val="10.0"/>
        <u/>
      </rPr>
      <t>https://nlch.fanbox.cc/posts/9317203</t>
    </r>
    <r>
      <rPr>
        <rFont val="Microsoft JhengHei"/>
        <b/>
        <sz val="10.0"/>
      </rPr>
      <t xml:space="preserve">
Der von der permanenten Version bereitgestellte SCHLÜSSEL sollte die Version von Itch sein.</t>
    </r>
  </si>
  <si>
    <r>
      <rPr>
        <rFont val="Arial"/>
        <sz val="11.0"/>
      </rPr>
      <t xml:space="preserve">Link mua hàng được mã hóa trên Fanbox cho phiên bản vĩnh viễn của trò chơi:
</t>
    </r>
    <r>
      <rPr>
        <rFont val="Arial"/>
        <color rgb="FF1155CC"/>
        <sz val="11.0"/>
        <u/>
      </rPr>
      <t xml:space="preserve">https://nlch.fanbox.cc/posts/9317203
</t>
    </r>
    <r>
      <rPr>
        <rFont val="Arial"/>
        <sz val="11.0"/>
      </rPr>
      <t>KEY được cung cấp trong phiên bản vĩnh viễn sẽ là key dùng cho phiên bản trên Itch.</t>
    </r>
  </si>
  <si>
    <t xml:space="preserve">Link oficial para assinatura do jogo no Fanbox: 
https://nlch.fanbox.cc/posts/9317203 
A chave para a versão permanente deve ser a da versão do Itch.
 </t>
  </si>
  <si>
    <r>
      <rPr>
        <rFont val="Microsoft JhengHei"/>
        <sz val="11.0"/>
      </rPr>
      <t xml:space="preserve">Link berlangganan game resmi Fanbox:
</t>
    </r>
    <r>
      <rPr>
        <rFont val="Microsoft JhengHei"/>
        <color rgb="FF1155CC"/>
        <sz val="11.0"/>
        <u/>
      </rPr>
      <t>https://nlch.fanbox.cc/posts/9317203</t>
    </r>
    <r>
      <rPr>
        <rFont val="Microsoft JhengHei"/>
        <sz val="11.0"/>
      </rPr>
      <t xml:space="preserve"> 
Key untuk game permanen ada pada versi Itch.</t>
    </r>
  </si>
  <si>
    <r>
      <rPr>
        <rFont val="Microsoft JhengHei"/>
        <b/>
        <sz val="12.0"/>
      </rPr>
      <t xml:space="preserve">Cien正版遊戲的訂閱連結:
</t>
    </r>
    <r>
      <rPr>
        <rFont val="Microsoft JhengHei"/>
        <b/>
        <color rgb="FF1155CC"/>
        <sz val="12.0"/>
        <u/>
      </rPr>
      <t xml:space="preserve">https://ci-en.dlsite.com/creator/24375/plan
</t>
    </r>
    <r>
      <rPr>
        <rFont val="Microsoft JhengHei"/>
        <b/>
        <sz val="12.0"/>
      </rPr>
      <t>永久版給的KEY應該是Itch的版本</t>
    </r>
  </si>
  <si>
    <r>
      <rPr>
        <rFont val="Microsoft JhengHei"/>
        <b/>
        <sz val="12.0"/>
      </rPr>
      <t xml:space="preserve">Cien-正規版ゲームの永久版の購入リンク: 
</t>
    </r>
    <r>
      <rPr>
        <rFont val="Microsoft JhengHei"/>
        <b/>
        <color rgb="FF1155CC"/>
        <sz val="12.0"/>
        <u/>
      </rPr>
      <t xml:space="preserve">https://ci-en.dlsite.com/creator/24375/plan
</t>
    </r>
    <r>
      <rPr>
        <rFont val="Microsoft JhengHei"/>
        <b/>
        <sz val="12.0"/>
      </rPr>
      <t>永続バージョンによって与えられる KEY は、Itch のバージョンである必要があります。</t>
    </r>
  </si>
  <si>
    <r>
      <rPr>
        <rFont val="Microsoft JhengHei"/>
        <b/>
        <sz val="12.0"/>
      </rPr>
      <t xml:space="preserve">Cien-Coded Purchase link for the permanent version of the genuine game: 
</t>
    </r>
    <r>
      <rPr>
        <rFont val="Microsoft JhengHei"/>
        <b/>
        <color rgb="FF1155CC"/>
        <sz val="12.0"/>
        <u/>
      </rPr>
      <t xml:space="preserve">https://ci-en.dlsite.com/creator/24375/plan
</t>
    </r>
    <r>
      <rPr>
        <rFont val="Microsoft JhengHei"/>
        <b/>
        <sz val="12.0"/>
      </rPr>
      <t>The KEY given by the permanent version should be the version of Itch.</t>
    </r>
  </si>
  <si>
    <r>
      <rPr>
        <rFont val="Microsoft JhengHei"/>
        <b/>
        <sz val="12.0"/>
      </rPr>
      <t xml:space="preserve">Cien正版游戏的永久版本購買連結:
</t>
    </r>
    <r>
      <rPr>
        <rFont val="Microsoft JhengHei"/>
        <b/>
        <color rgb="FF1155CC"/>
        <sz val="12.0"/>
        <u/>
      </rPr>
      <t xml:space="preserve">https://ci-en.dlsite.com/creator/24375/plan
</t>
    </r>
    <r>
      <rPr>
        <rFont val="Microsoft JhengHei"/>
        <b/>
        <sz val="12.0"/>
      </rPr>
      <t>永久版给的KEY应该是Itch的版本</t>
    </r>
  </si>
  <si>
    <r>
      <rPr>
        <rFont val="Microsoft JhengHei"/>
        <b/>
        <sz val="10.0"/>
      </rPr>
      <t xml:space="preserve">Enlace de suscripción para juegos originales de Cien: 
</t>
    </r>
    <r>
      <rPr>
        <rFont val="Microsoft JhengHei"/>
        <b/>
        <color rgb="FF1155CC"/>
        <sz val="10.0"/>
        <u/>
      </rPr>
      <t>https://ci-en.dlsite.com/creator/24375/plan</t>
    </r>
    <r>
      <rPr>
        <rFont val="Microsoft JhengHei"/>
        <b/>
        <sz val="10.0"/>
      </rPr>
      <t xml:space="preserve">
La CLAVE dada por la versión permanente debe ser la versión de Itch</t>
    </r>
  </si>
  <si>
    <r>
      <rPr>
        <rFont val="Microsoft JhengHei"/>
        <sz val="10.0"/>
      </rPr>
      <t xml:space="preserve">Cien 정품 게임 구독 링크:
</t>
    </r>
    <r>
      <rPr>
        <rFont val="Microsoft JhengHei"/>
        <color rgb="FF1155CC"/>
        <sz val="10.0"/>
        <u/>
      </rPr>
      <t>https://ci-en.dlsite.com/creator/24375/plan</t>
    </r>
    <r>
      <rPr>
        <rFont val="Microsoft JhengHei"/>
        <sz val="10.0"/>
      </rPr>
      <t xml:space="preserve">
영구 버전에서 제공되는 KEY는 Itch 버전이어야 합니다.</t>
    </r>
  </si>
  <si>
    <r>
      <rPr>
        <rFont val="Microsoft JhengHei"/>
        <b/>
        <sz val="10.0"/>
      </rPr>
      <t xml:space="preserve">Ссылка на подписку на оригинальные игры Cien:
</t>
    </r>
    <r>
      <rPr>
        <rFont val="Microsoft JhengHei"/>
        <b/>
        <color rgb="FF1155CC"/>
        <sz val="10.0"/>
        <u/>
      </rPr>
      <t>https://ci-en.dlsite.com/creator/24375/plan</t>
    </r>
    <r>
      <rPr>
        <rFont val="Microsoft JhengHei"/>
        <b/>
        <sz val="10.0"/>
      </rPr>
      <t xml:space="preserve"> 
КЛЮЧ, заданный постоянной версией, должен быть версией Itch.</t>
    </r>
  </si>
  <si>
    <r>
      <rPr>
        <rFont val="Microsoft JhengHei"/>
        <b/>
        <sz val="10.0"/>
      </rPr>
      <t xml:space="preserve">Abonnementlink für echte Cien-Spiele: 
</t>
    </r>
    <r>
      <rPr>
        <rFont val="Microsoft JhengHei"/>
        <b/>
        <color rgb="FF1155CC"/>
        <sz val="10.0"/>
        <u/>
      </rPr>
      <t xml:space="preserve">https://ci-en.dlsite.com/creator/24375/plan
</t>
    </r>
    <r>
      <rPr>
        <rFont val="Microsoft JhengHei"/>
        <b/>
        <sz val="10.0"/>
      </rPr>
      <t xml:space="preserve"> Der von der permanenten Version bereitgestellte SCHLÜSSEL sollte die Version von Itch sein.</t>
    </r>
  </si>
  <si>
    <r>
      <rPr>
        <rFont val="Arial"/>
        <sz val="11.0"/>
      </rPr>
      <t xml:space="preserve">Link mua hàng được mã hóa trên Cien cho phiên bản vĩnh viễn của trò chơi:
</t>
    </r>
    <r>
      <rPr>
        <rFont val="Arial"/>
        <color rgb="FF1155CC"/>
        <sz val="11.0"/>
        <u/>
      </rPr>
      <t>https://ci-en.dlsite.com/creator/24375/plan</t>
    </r>
    <r>
      <rPr>
        <rFont val="Arial"/>
        <sz val="11.0"/>
      </rPr>
      <t xml:space="preserve">
KEY được cung cấp trong phiên bản vĩnh viễn sẽ là key dùng cho phiên bản trên Itch.</t>
    </r>
  </si>
  <si>
    <t xml:space="preserve">Link oficial para assinatura do jogo Cien: 
https://ci-en.dlsite.com/creator/24375/plan 
A chave fornecida para a versão permanente deve ser a da versão do Itch.
 </t>
  </si>
  <si>
    <r>
      <rPr>
        <rFont val="Microsoft JhengHei"/>
        <sz val="11.0"/>
      </rPr>
      <t xml:space="preserve">Link berlangganan game resmi Cien:
</t>
    </r>
    <r>
      <rPr>
        <rFont val="Microsoft JhengHei"/>
        <color rgb="FF1155CC"/>
        <sz val="11.0"/>
        <u/>
      </rPr>
      <t>https://ci-en.dlsite.com/creator/24375/plan</t>
    </r>
    <r>
      <rPr>
        <rFont val="Microsoft JhengHei"/>
        <sz val="11.0"/>
      </rPr>
      <t xml:space="preserve"> 
Key untuk game permanen ada pada versi Itch.</t>
    </r>
  </si>
  <si>
    <r>
      <rPr>
        <rFont val="Microsoft JhengHei"/>
        <b/>
        <color rgb="FF1155CC"/>
        <sz val="12.0"/>
        <u/>
      </rPr>
      <t xml:space="preserve">Steam Store
</t>
    </r>
    <r>
      <rPr>
        <rFont val="Microsoft JhengHei"/>
        <b/>
        <sz val="12.0"/>
      </rPr>
      <t>加入願望清單!
Add to wish list!</t>
    </r>
  </si>
  <si>
    <r>
      <rPr>
        <rFont val="Microsoft JhengHei"/>
        <b/>
        <sz val="12.0"/>
      </rPr>
      <t xml:space="preserve">Perohub官方正式版本(支援支付寶)
</t>
    </r>
    <r>
      <rPr>
        <rFont val="Microsoft JhengHei"/>
        <b/>
        <color rgb="FF1155CC"/>
        <sz val="12.0"/>
        <u/>
      </rPr>
      <t>https://perohub.com/posts/6773ed3e7e0707642a5c7882</t>
    </r>
  </si>
  <si>
    <r>
      <rPr>
        <rFont val="Microsoft JhengHei"/>
        <b/>
        <color rgb="FF1155CC"/>
        <sz val="11.0"/>
        <u/>
      </rPr>
      <t xml:space="preserve">Steam Store
</t>
    </r>
    <r>
      <rPr>
        <rFont val="Microsoft JhengHei"/>
        <b/>
        <sz val="11.0"/>
      </rPr>
      <t>Please add this game to your wishlist from the link above!</t>
    </r>
  </si>
  <si>
    <r>
      <rPr>
        <rFont val="Microsoft JhengHei"/>
        <b/>
        <sz val="12.0"/>
      </rPr>
      <t xml:space="preserve">Perohub官方正式版本(支援支付寶)
</t>
    </r>
    <r>
      <rPr>
        <rFont val="Microsoft JhengHei"/>
        <b/>
        <color rgb="FF1155CC"/>
        <sz val="12.0"/>
        <u/>
      </rPr>
      <t>https://perohub.com/posts/6773ed3e7e0707642a5c7882</t>
    </r>
  </si>
  <si>
    <t>¡Por favor apoya el juego agregándolo a tu lista de deseados en Steam!  STEAM</t>
  </si>
  <si>
    <r>
      <rPr>
        <rFont val="Microsoft JhengHei"/>
        <b/>
        <color rgb="FF1155CC"/>
        <sz val="11.0"/>
        <u/>
      </rPr>
      <t xml:space="preserve">Steam Store
</t>
    </r>
    <r>
      <rPr>
        <rFont val="Microsoft JhengHei"/>
        <b/>
        <sz val="11.0"/>
      </rPr>
      <t>Please add this game to your wishlist from the link above!</t>
    </r>
  </si>
  <si>
    <r>
      <rPr>
        <rFont val="Microsoft JhengHei"/>
        <b/>
        <color rgb="FF1155CC"/>
        <sz val="11.0"/>
        <u/>
      </rPr>
      <t xml:space="preserve">Steam Store
</t>
    </r>
    <r>
      <rPr>
        <rFont val="Microsoft JhengHei"/>
        <b/>
        <sz val="11.0"/>
      </rPr>
      <t>Пожалуйста добавьте игру в желаемое в стиме, это помогает нам продвинуть ее!</t>
    </r>
  </si>
  <si>
    <r>
      <rPr>
        <rFont val="Microsoft JhengHei"/>
        <b/>
        <color rgb="FF1155CC"/>
        <sz val="11.0"/>
        <u/>
      </rPr>
      <t xml:space="preserve">Steam Store
</t>
    </r>
    <r>
      <rPr>
        <rFont val="Microsoft JhengHei"/>
        <b/>
        <sz val="11.0"/>
      </rPr>
      <t>Sei nett und füge es zur Steamwunschliste hinzu, um das Game zu supporten.</t>
    </r>
  </si>
  <si>
    <r>
      <rPr>
        <rFont val="Arial"/>
        <color rgb="FF1155CC"/>
        <sz val="12.0"/>
        <u/>
      </rPr>
      <t>Steam Store</t>
    </r>
    <r>
      <rPr>
        <rFont val="Arial"/>
        <sz val="12.0"/>
      </rPr>
      <t xml:space="preserve">
Hãy thêm game này vào wishlist với đường link ở trên nhé.</t>
    </r>
  </si>
  <si>
    <r>
      <rPr>
        <rFont val="Microsoft JhengHei"/>
        <b/>
        <color rgb="FF1155CC"/>
        <sz val="11.0"/>
        <u/>
      </rPr>
      <t xml:space="preserve">Steam Store
</t>
    </r>
    <r>
      <rPr>
        <rFont val="Microsoft JhengHei"/>
        <b/>
        <sz val="11.0"/>
      </rPr>
      <t>Por favor, adicione esse jogo na sua lista de desejo usando o link acima!</t>
    </r>
  </si>
  <si>
    <r>
      <rPr>
        <rFont val="Microsoft JhengHei"/>
        <b/>
        <color rgb="FF1155CC"/>
        <sz val="11.0"/>
        <u/>
      </rPr>
      <t xml:space="preserve">Steam Store
</t>
    </r>
    <r>
      <rPr>
        <rFont val="Microsoft JhengHei"/>
        <b/>
        <sz val="11.0"/>
      </rPr>
      <t>Mohon tambahkan game ini kedalam wishlist kamu menggunakan link diatas!</t>
    </r>
  </si>
  <si>
    <t>遊戲目前還是測試版，預告的圖片不代表已經實裝，因此不要再問某些無法做到的事情該怎麼做，答案永遠是"還沒做好"
目前本文件僅接受文件內容缺失相關問題，不接受任何遊戲內容的提問或者BUG反饋，請勿寄信詢問。
相關問題可以到官方Discord和玩家們討論，謝謝配合！</t>
  </si>
  <si>
    <t xml:space="preserve">
現在このゲームはベータ版です。トレーラーで公開されている映像は、ゲームが実装済みであることを意味するものではありません。したがって、まだ実現不可能な内容についての質問はお控えください。必ず『「まだ実装されていません」』という回答になります。」
現在、このセクションではファイル内容の不足に関するご質問のみ受け付けております。ゲーム内容に関する質問やバグ報告は一切受け付けておりません。メールでの問い合わせはお控えください。
関連する問題については、公式Discordフォーラムで他のプレイヤーの方々とご相談ください。ご協力よろしくお願いいたします！
</t>
  </si>
  <si>
    <t>The game is currently in beta. The images shown in the trailers do not indicate that the game is implemented. Therefore, please do not ask how to do things that are not yet possible; the answer will always be ""not done yet.""
Currently, this section only accepts questions related to missing file content. We do not accept any questions about game content or bug reports. Please do not send inquiries via email.
For related issues, please discuss them with other players on the official Discord forum. Thank you for your cooperation!</t>
  </si>
  <si>
    <t>游戏目前还是测试版，预告的图片不代表已经实装，因此不要再问某些无法做到的事情该怎么做，答案永远是“还没做好”
目前本文件僅接受文件缺失相关问题，不接受任何游戏内容的讨论或者BUG反饋，請勿寄信詢問。
相关问题可以到官方discord和玩家们讨论，谢谢配合！</t>
  </si>
  <si>
    <t>현재 게임은 베타 테스트 중입니다. 트레일러에 나온 이미지는 게임이 완성되었다는 것을 의미하지 않습니다.
따라서 아직 불가능한 기능에 대한 질문은 삼가해 주시기 바랍니다. 
답변은 항상 "아직 개발되지 않았습니다"입니다. 
현재 이 섹션에서는 파일 누락 관련 질문만 접수합니다. 게임 콘텐츠 관련 질문이나 버그 신고는 받지 않습니다. 이메일로 문의하지 마십시오. 
관련 문제는 공식 디스코드 포럼에서 다른 플레이어들과 함께 논의해 주시기 바랍니다. 협조해 주셔서 감사합니다!</t>
  </si>
  <si>
    <t>Игра в настоящее время находится в бета-версии. Изображения, показанные в трейлерах, не указывают на то, что игра уже реализована. Поэтому, пожалуйста, не спрашивайте, как сделать то, что ещё невозможно; ответ всегда будет «ещё не сделано».
В настоящее время этот раздел принимает только вопросы, касающиеся отсутствующего содержимого файлов. Мы не принимаем вопросы о содержимом игры или сообщения об ошибках. Пожалуйста, не отправляйте запросы по электронной почте.
По вопросам, связанным с игрой, пожалуйста, обсуждайте их с другими игроками на официальном форуме Discord. Спасибо за сотрудничество!</t>
  </si>
  <si>
    <t>Trò chơi vẫn đang trong giai đoạn beta. Những hình ảnh được hiển thị trong phần giới thiệu không có nghĩa là các nội dung đó đã được triển khai trong game. Vì vậy, vui lòng không hỏi cách thực hiện những thứ hiện chưa thể làm được, câu trả lời sẽ luôn là “chưa được triển khai".
Hiện tại, mục này chỉ tiếp nhận các câu hỏi liên quan đến nội dung file bị thiếu. Chúng tôi không tiếp nhận các câu hỏi về nội dung trò chơi hoặc báo lỗi. Vui lòng không gửi yêu cầu qua email.
Với các câu hỏi liên quan, xin hãy ghé qua kênh Discord chính thức để trao đổi với những người chơi khác. Cảm ơn vì sự hợp tác của bạn!</t>
  </si>
  <si>
    <t xml:space="preserve">O jogo está atualmente em versão beta. As imagens mostradas nos trailers não indicam que o jogo esteja implementado. Portanto, por favor, não pergunte como fazer coisas que ainda não são possíveis; a resposta será sempre "ainda não está pronto". 
Atualmente, esta seção aceita apenas perguntas relacionadas a conteúdo de arquivos ausente. Não aceitamos perguntas sobre conteúdo do jogo ou relatos de bugs. Por favor, não envie perguntas por e-mail. 
Para problemas relacionados, discuta-os com outros jogadores no fórum oficial do Discord. Agradecemos a sua cooperação!
 </t>
  </si>
  <si>
    <t>Game saat ini masih dalam versi beta. Gambar-gambar yang ditampilkan dalam trailer tidak menunjukkan bahwa game tersebut sudah diimplementasikan. Oleh karena itu, mohon jangan bertanya tentang hal-hal yang belum memungkinkan, jawabannya akan selalu "belum selesai".
Tempat ini hanya menerima pertanyaan terkait konten file yang hilang. Kami tidak menerima pertanyaan tentang konten game atau laporan bug. Mohon jangan mengirimkan pertanyaan melalui email.
Untuk masalah terkait lainnya, silakan diskusikan dengan pemain lain di forum Discord resmi. Terima kasih atas kerja sama Anda!</t>
  </si>
  <si>
    <t xml:space="preserve">本文件旨在協助玩家解決疑惑，不用於商業或廣告用途！ 
如果你付費或者用盜版遊戲才能觀看，代表你被盜版商人騙了！
本攻略由台灣玩家製作，因此主要以繁體文字為主，其他語系若翻譯上出現不通順的情況，請見諒。
編輯長只是玩家，大部分未公開的情報都是與官方諮詢得到的，所以可能有尚未發現到的機制沒有填寫，若文件有未發現的機制、缺失、異常的地方，歡迎寄信件給主編輯。
您可以取得轉載他網刊登(免費)，或新增其他內容於本表單，歡迎來信
主編輯Discord:RORO#3330
或者寄信至gameconlch@gmail.com與我聯繫，謝謝配合。
</t>
  </si>
  <si>
    <t xml:space="preserve">
本資料はプレイヤーが疑問を解消するための補助資料であり、商業目的や広告目的で作成されたものではありません！
もしこのゲームの海賊版を購入して閲覧する必要がある場合、それはあなたが海賊版業者の詐欺被害に遭っていることを意味します！
このガイドは台湾のプレイヤーによって作成されたものであるため、主に繁体字中国語で記述されています。他言語版における不自然な翻訳についてはご容赦ください。
編集者はプレイヤー自身であり、掲載されていない情報の大半は公式情報源への問い合わせによって得られたものです。そのため、まだ発見されていないシステム要素が記載されている可能性があります。本資料に未発見のシステム要素、記載漏れ、または不自然な点がございましたら、ぜひメイン編集者までご連絡ください。
他のウェブサイトからのコンテンツ転載（無料）や、本フォーマットへの追加コンテンツの掲載は自由に行っていただけます。どうぞお気軽にご連絡ください。
メイン編集者 Discord ID: RORO#3330
または gameconlch@gmail.com まで直接ご連絡ください。ご協力ありがとうございます。
</t>
  </si>
  <si>
    <t xml:space="preserve">This document is intended to assist players in resolving their doubts and is not for commercial or advertising purposes!
If you need to pay or use a pirated version of the game to view this, it means you've been scammed by pirates!
This guide was created by a Taiwanese player, therefore it is primarily in Traditional Chinese. Please excuse any awkward translations in other language versions.
The editor is a player, and most of the unpublished information was obtained through consultation with official sources. Therefore, there may be undiscovered mechanisms missing. If you find any undiscovered mechanisms, omissions, or anomalies in the document, please feel free to contact the main editor.
You can reprint content from other websites (free of charge) or add other content to this form. Please feel free to contact us.
Main Editor Discord: RORO#3330
Or contact me at gameconlch@gmail.com. Thank you for your cooperation.
</t>
  </si>
  <si>
    <t>이 문서는 플레이어 여러분의 궁금증을 해소하는 데 도움을 드리기 위한 목적으로 작성되었으며, 상업적 또는 광고 목적으로 사용될 수 없습니다! 만약 이 문서를 보기 위해 게임 비용을 지불하거나 불법 복제본을 사용해야 한다면, 불법 복제 사기에 당하신 것입니다! 이 가이드는 대만 플레이어가 작성했기 때문에 주로 번체 중국어로 되어 있습니다. 다른 언어 버전에서 번역이 매끄럽지 못한 부분이 있더라도 양해 부탁드립니다. 편집자는 플레이어이며, 대부분의 미공개 정보는 공식 자료를 참고하여 얻었습니다. 따라서 아직 알려지지 않은 메커니즘이 있을 수 있습니다. 문서에서 발견되지 않은 메커니즘, 누락된 정보 또는 오류를 발견하시면 언제든지 편집자에게 연락해 주시기 바랍니다. 다른 웹사이트의 콘텐츠를 무료로 재게시하거나 이 문서에 새로운 콘텐츠를 추가할 수 있습니다. 언제든지 문의해 주세요. 
편집자 Discord: RORO#3330 또는 gameconlch@gmail.com으로 연락해 주세요. 협조해 주셔서 감사합니다.</t>
  </si>
  <si>
    <t>Этот документ предназначен для помощи игрокам в разрешении их сомнений и не предназначен для коммерческих или рекламных целей!
Если для просмотра этого документа вам необходимо заплатить или использовать пиратскую версию игры, это означает, что вас обманули пираты!
Это руководство создано тайваньским игроком, поэтому оно в основном на традиционном китайском языке. Просим прощения за любые неточности перевода на другие языковые версии.
Редактор — игрок, и большая часть неопубликованной информации была получена путем консультаций с официальными источниками. Поэтому могут отсутствовать некоторые неизвестные механизмы.
Если вы обнаружите какие-либо неизвестные механизмы, упущения или аномалии в документе, пожалуйста, свяжитесь с главным редактором. Вы можете перепечатывать контент с других веб-сайтов (бесплатно) или добавлять другой контент в эту форму.
Пожалуйста, свяжитесь с нами. Discord главного редактора: RORO#3330
Или свяжитесь со мной по адресу gameconlch@gmail.com.
Спасибо за сотрудничество.</t>
  </si>
  <si>
    <r>
      <rPr>
        <rFont val="Arial"/>
        <color theme="1"/>
        <sz val="12.0"/>
      </rPr>
      <t xml:space="preserve">Tài liệu này được tạo ra với ý định hỗ trợ người chơi với các câu hỏi của họ và không nhằm mục đích quảng cáo hay thương mại!
Nếu bạn phải trả tiền hoặc chơi một phiên bản lậu của trò chơi để xem tài liệu này, bạn đã bị lừa bởi những người chơi lậu!
Bản hướng dẫn này được tạo ra bởi một người chơi Đài Loan, nên nó chủ yếu sử dụng tiếng Trung phồn thể. Xin hãy bỏ qua sai sót khi dịch sang những ngôn ngữ nào khác.
Biên tập chỉ là một người chơi duy nhất. Những nội dung chưa được phát hành chủ yếu có được bởi sự thảo luận chính thức, nên có thể những tính năng chưa được phát hiện bị bỏ qua. Nếu có những tính năng nào chưa được phát hiện, bị bỏ qua, hay bất thường trong bản tài liệu này, xin hãy liên hệ qua email biên tập
Bạn có thể xin phép để đăng lại nơi khác (miễn phí) hoặc bổ sung nội dung vào tài liệu này. Đừng ngại liên lạc chúng tôi.
</t>
    </r>
    <r>
      <rPr>
        <rFont val="Arial"/>
        <b/>
        <color theme="1"/>
        <sz val="12.0"/>
      </rPr>
      <t>Discord người biên tập:</t>
    </r>
    <r>
      <rPr>
        <rFont val="Arial"/>
        <color theme="1"/>
        <sz val="12.0"/>
      </rPr>
      <t xml:space="preserve"> RORO#3330
Hoặc liên hệ qua email: gameconlch@gmail.com. Cảm ơn vì sự hợp tác của bạn.</t>
    </r>
  </si>
  <si>
    <t xml:space="preserve">Este documento tem como objetivo auxiliar os jogadores a esclarecerem suas dúvidas e não se destina a fins comerciais ou publicitários! 
Se você precisar pagar ou usar uma versão pirata do jogo para visualizar este documento, significa que você foi enganado por piratas! 
Este guia foi criado por um jogador taiwanês e, portanto, está principalmente em chinês tradicional. Pedimos desculpas por eventuais traduções incorretas em outros idiomas. 
O editor é um jogador e a maior parte das informações não publicadas foi obtida por meio de consulta a fontes oficiais. Portanto, pode haver mecanismos desconhecidos ausentes. Se você encontrar algum mecanismo desconhecido, omissão ou anomalia no documento, entre em contato com o editor principal. 
Você pode republicar conteúdo de outros sites (gratuitamente) ou adicionar outro conteúdo a este documento. Sinta-se à vontade para entrar em contato conosco. 
Discord do Editor Principal: RORO#3330 
Ou entre em contato comigo pelo e-mail gameconlch@gmail.com. Agradecemos sua colaboração.
 </t>
  </si>
  <si>
    <t xml:space="preserve">Dokumen ini dimaksudkan untuk membantu pemain dalam menyelesaikan keraguan mereka dan bukan untuk tujuan komersial atau periklanan!
Jika Anda perlu membayar atau menggunakan versi bajakan gime untuk melihat ini, itu berarti Anda telah ditipu oleh pembajak!
Panduan ini dibuat oleh pemain Taiwan, oleh karena itu sebagian besar dalam bahasa Mandarin Tradisional. Mohon maaf atas terjemahan yang kurang tepat dalam versi bahasa lain.
Editor adalah seorang pemain, dan sebagian besar informasi yang belum dipublikasikan diperoleh melalui konsultasi dengan sumber resmi. Oleh karena itu, mungkin ada mekanisme yang belum ditemukan yang hilang. Jika Anda menemukan mekanisme yang belum ditemukan, kelalaian, atau anomali dalam dokumen ini, jangan ragu untuk menghubungi editor utama.
Anda dapat mencetak ulang konten dari situs web lain (gratis) atau menambahkan konten lain ke formulir ini. Jangan ragu untuk menghubungi kami.
Discord Editor Utama: RORO#3330
Atau hubungi gameconlch@gmail.com. Terima kasih atas kerja sama Anda.
</t>
  </si>
  <si>
    <r>
      <rPr>
        <rFont val="Microsoft JhengHei"/>
        <b/>
        <sz val="12.0"/>
      </rPr>
      <t xml:space="preserve">主編輯的巴哈姆特小屋(台灣的遊戲論壇)連結:
</t>
    </r>
    <r>
      <rPr>
        <rFont val="Microsoft JhengHei"/>
        <b/>
        <color rgb="FF1155CC"/>
        <sz val="12.0"/>
        <u/>
      </rPr>
      <t>https://home.gamer.com.tw/artwork.php?sn=6032493</t>
    </r>
  </si>
  <si>
    <r>
      <rPr>
        <rFont val="Microsoft JhengHei"/>
        <b/>
        <sz val="12.0"/>
      </rPr>
      <t xml:space="preserve">谷歌文件永远是第一时间更新，可以通过梯子进行查询。
腾讯文件仅用在转载，不具有任何的编辑功能。但腾讯文件因需要等转载人空闲时进行转档和网站发布审查，因此不会得到立即更新
</t>
    </r>
    <r>
      <rPr>
        <rFont val="Microsoft JhengHei"/>
        <b/>
        <color rgb="FFCC0000"/>
        <sz val="12.0"/>
      </rPr>
      <t>谷歌原始文件网址：</t>
    </r>
    <r>
      <rPr>
        <rFont val="Microsoft JhengHei"/>
        <b/>
        <sz val="12.0"/>
      </rPr>
      <t xml:space="preserve">
</t>
    </r>
    <r>
      <rPr>
        <rFont val="Microsoft JhengHei"/>
        <b/>
        <color rgb="FF1155CC"/>
        <sz val="12.0"/>
        <u/>
      </rPr>
      <t>https://docs.google.com/spreadsheets/d/e/2PACX-1vSc9bl2zSdkbhz_EeRndV7lSRBVSBtMRUk_rY0O1FQWWw4W0XVm9_ja__2ClO2BMfCJrN-YnlMAd-OL/pubhtml</t>
    </r>
  </si>
  <si>
    <r>
      <rPr>
        <rFont val="Microsoft JhengHei"/>
        <b/>
        <sz val="10.0"/>
      </rPr>
      <t xml:space="preserve">Ссылка на страницу главного редактора Bahamut Hut (Тайваньский игровой форум):
</t>
    </r>
    <r>
      <rPr>
        <rFont val="Microsoft JhengHei"/>
        <b/>
        <color rgb="FF1155CC"/>
        <sz val="10.0"/>
        <u/>
      </rPr>
      <t>https://home.gamer.com.tw/artwork.php?sn=6032493</t>
    </r>
  </si>
  <si>
    <r>
      <rPr>
        <sz val="11.0"/>
      </rPr>
      <t xml:space="preserve">Liên kết đến trang Bahamut Hut (diễn đàn game Đài Loan) của tổng biên tập:
</t>
    </r>
    <r>
      <rPr>
        <color rgb="FF1155CC"/>
        <sz val="11.0"/>
        <u/>
      </rPr>
      <t>https://home.gamer.com.tw/artwork.php?sn=6032493</t>
    </r>
  </si>
  <si>
    <r>
      <rPr>
        <rFont val="Microsoft JhengHei"/>
        <b/>
        <sz val="12.0"/>
      </rPr>
      <t xml:space="preserve">Edisi utama Bahu Special Hut (platform hiburan Taiwan) dapat diakses melalui:
</t>
    </r>
    <r>
      <rPr>
        <rFont val="Microsoft JhengHei"/>
        <b/>
        <color rgb="FF1155CC"/>
        <sz val="12.0"/>
        <u/>
      </rPr>
      <t>https://home.gamer.com.tw/artwork.php?sn=6032493</t>
    </r>
  </si>
  <si>
    <t>編輯工作日誌</t>
  </si>
  <si>
    <t>Changelogs</t>
  </si>
  <si>
    <t>Historial de cambios</t>
  </si>
  <si>
    <t>Лог изменений</t>
  </si>
  <si>
    <t>Báo cáo chỉnh sửa</t>
  </si>
  <si>
    <t>Editar registro de trabalho</t>
  </si>
  <si>
    <t>Riwayat Perubahan</t>
  </si>
  <si>
    <t>2026/4/1 Updated 
SLG-C-35
Drops 67~70
Notice 2</t>
  </si>
  <si>
    <t>2026/4/1 Updated 
SLG-C-35
Drops 67~70</t>
  </si>
  <si>
    <t>2026/3/28 Updated 
(包含1.0版更資訊)
TIPS121、SLG-C-35、SLG-D-5~6</t>
  </si>
  <si>
    <t>2026/3/28 Updated 
(For version 1.0)
TIPS121、SLG-C-35、SLG-D-5~6</t>
  </si>
  <si>
    <t>2026/3/28 Updated 
(Includes information for version 1.0)
TIPS121、SLG-C-35、SLG-D-5~6</t>
  </si>
  <si>
    <t>2026/3/28 Updated 
(包含1.0版本更新资讯)
TIPS121、SLG-C-35、SLG-D-5~6</t>
  </si>
  <si>
    <t>28.03.2026 Обновление
(Содержит информацию о версии 1.0)
TIPS121、SLG-C-35、SLG-D-5~6</t>
  </si>
  <si>
    <t>Cập nhật 28/3/2026
(Bao gồm thông tin cập nhật phiên bản 1.0)
TIPS 121, SLG-C-35, SLG-D-5~6</t>
  </si>
  <si>
    <t>2026/3/15 Updated 
TIPS：119~122</t>
  </si>
  <si>
    <t>15.03.2026 Обновление
TIPS：119~122</t>
  </si>
  <si>
    <t>Cập nhật 15/3/2026
TIPS：119~122</t>
  </si>
  <si>
    <t>2026/3/10 Updated 
RPG ： RA8
Drops ：23，43，44，64，66
Weap：Blue Bar 
Gears ： 3~6，78，Blue Bar 
Items ： 10，35，38，57，63，Blue Bar</t>
  </si>
  <si>
    <t>10.03.2026 Обновление
RPG ： RA8
Drops ：23，43，44，64，66
Weap：Blue Bar 
Gears ： 3~6，78，Blue Bar 
Items ： 10，35，38，57，63，Blue Bar</t>
  </si>
  <si>
    <t>Cập nhật 10/3/2026
RPG ： RA8
Drops ：23，43，44，64，66
Weap：Blue Bar 
Gears ： 3~6，78，Blue Bar 
Items ： 10，35，38，57，63，Blue Bar</t>
  </si>
  <si>
    <t>2026/2/26 Updated 
Items+1、TIPS+1</t>
  </si>
  <si>
    <t>26.02.2026 Обновление
Items+1、TIPS+1</t>
  </si>
  <si>
    <t>Cập nhật 26/2/2026
Items+1、TIPS+1</t>
  </si>
  <si>
    <t>2026/2/21 Updated 
RPG-RX35、Greas-84</t>
  </si>
  <si>
    <t>21.02.2026 Обновление
RPG-RX35、Greas-84</t>
  </si>
  <si>
    <t>Cập nhật 21/2/2021
RPG-RX35、Greas-84</t>
  </si>
  <si>
    <t>2026/2/17  0.99  Update 
SLG：A-27~29、F-10~11、C-31~34
RPG：RX21、RX35
TIPS+4、Drops+2、Weapons+1、Gears+1</t>
  </si>
  <si>
    <t>17.02.2026 Обновление 0.99
SLG：A-27~29、F-10~11、C-31~34
RPG：RX21、RX35
TIPS+4、Drops+2、Weapons+1、Gears+1</t>
  </si>
  <si>
    <t>17/2/2026 Cập nhật  0.99  
SLG：A-27~29、F-10~11、C-31~34
RPG：RX21、RX35
TIPS+4、Drops+2、Weapons+1、Gears+1</t>
  </si>
  <si>
    <t>2026/1/11  0.95  Update 
SLG-F  6~9 / SLG-A  20 / RPG47.48.95 / Items +2 / TIPS +2  / Dish +3</t>
  </si>
  <si>
    <t>2026/1/11 0.95 Update
SLG-F 6~9 / SLG-A 20 / RPG47.48.95 / Items +2 / TIPS +2 / Dish +3</t>
  </si>
  <si>
    <t>11/1/2026 Phiên bản 0.95
SLG-F 6~9 / SLG-A 20 / RPG47.48.95 / Vật phẩm +2 / Tip +2 / Món ăn +3</t>
  </si>
  <si>
    <t xml:space="preserve">Atualização 0.95 de 11/01/2026 SLG-F 6~9 / SLG-A 20 / RPG47.48.95 / Itens +2 / DICAS +2 / Prato +3
 </t>
  </si>
  <si>
    <t>Pembaruan 0.95 11/1/2026
SLG-F 6~9 / SLG-A 20 / RPG47.48.95 / Item +2 / TIPS +2 / Hidangan +3</t>
  </si>
  <si>
    <t>2025/12/30 新增印尼語</t>
  </si>
  <si>
    <t>Added Indonesian language on 2025/12/30</t>
  </si>
  <si>
    <t>30/12/2025 Đã thêm bản dịch tiếng Indonesia</t>
  </si>
  <si>
    <t>Adicionado o idioma indonésio em 30/12/2025.</t>
  </si>
  <si>
    <t>Bahasa Indonesia ditambahkan pada 30/12/2025</t>
  </si>
  <si>
    <t>2025/12/22 map版塊的圖檔暫時關閉，可以先利用互動網頁版本進行瀏覽</t>
  </si>
  <si>
    <t>The map section's images were temporarily closed on December 22, 2025. You can browse them using the interactive web version.</t>
  </si>
  <si>
    <t xml:space="preserve"> 22/12/2025 Các hình ảnh trong mục bản đồ đã tạm dừng cập nhật. Bạn có thể xem chúng thông qua phiên bản web tương tác.</t>
  </si>
  <si>
    <t>As imagens da seção de mapas foram temporariamente desativadas em 22 de dezembro de 2025. Você pode visualizá-las usando a versão interativa da web.</t>
  </si>
  <si>
    <t>Gambar pada bagian peta ditutup sementara pada tanggal 22 Desember 2025. Anda dapat menjelajahinya menggunakan versi web interaktif.</t>
  </si>
  <si>
    <t>2025/12/5 新增Dish +3</t>
  </si>
  <si>
    <t>Added Dish +3 on 2025/12/5</t>
  </si>
  <si>
    <t>5/12/2025 Thêm món ăn +3</t>
  </si>
  <si>
    <t>Adicionado Prato +3 em 05/12/2025</t>
  </si>
  <si>
    <t>Hidangan +3 ditambahkan pada 5 Desember 2025.</t>
  </si>
  <si>
    <t>2025/12/2 新增0.9版本內容SLG-A24~26/SLG-F1~8/R34、R90~93/Tips+2/Status+1/Weap+2/Gears+1/Items+2</t>
  </si>
  <si>
    <t>December 2, 2025: Added version 0.9 content: SLG-A24~26/SLG-F1~8/R34, R90~93/Tips+2/Status+1/Weap+2/Gears+1/Items+2</t>
  </si>
  <si>
    <t>2/12/2025 Phiên bản 0.90
SLG-A24~26 / SLG-F1~8 / R34, R90~93 / Tip +2 / Trạng thái +1 / Vũ khí +2 / Trang bị +1 /Vật phẩm +2</t>
  </si>
  <si>
    <t>2 de dezembro de 2025: Adicionado conteúdo da versão 0.9: SLG-A24~26/SLG-F1~8/R34, R90~93/Dicas+2/Status+1/Arma+2/Equipamentos+1/Itens+2</t>
  </si>
  <si>
    <t>2 Desember 2025: Menambahkan konten versi 0.9: SLG-A24~26/SLG-F1~8/R34, R90~93/Tips+2/Status+1/Weap+2/Gears+1/Items+2</t>
  </si>
  <si>
    <t>2025/12/1 重製Drops頁面，並且新增掉落機率</t>
  </si>
  <si>
    <t>December 1, 2025: The Drops page was redesigned, and drop rates were added.</t>
  </si>
  <si>
    <t>1/12/2025 Trang Drops đã được sửa lại và bổ sung thêm tỷ lệ rơi đồ</t>
  </si>
  <si>
    <t>1º de dezembro de 2025: A página de Drops foi reformulada e as taxas de drop foram adicionadas.</t>
  </si>
  <si>
    <t>1 Desember 2025: Halaman Drops didesain ulang, dan tingkat peluang mendapatkan item (drop rate) ditambahkan.</t>
  </si>
  <si>
    <t>2025/11/26 新增葡萄巴西語</t>
  </si>
  <si>
    <t>Added Portuguese-speaking language on 2025/11/26</t>
  </si>
  <si>
    <t>26/11/2025 Đã thêm bản dịch tiếng Bồ Đào Nha</t>
  </si>
  <si>
    <t>Adicionada a língua portuguesa em 26/11/2025.</t>
  </si>
  <si>
    <t>Bahasa Portugis ditambahkan pada 26/11/2025.</t>
  </si>
  <si>
    <t>2025/11/15 新增小版本更新內容</t>
  </si>
  <si>
    <t>Added minor version update content on 2025/11/15</t>
  </si>
  <si>
    <t>15/11/2025 Thêm nội dung cập nhật nhỏ</t>
  </si>
  <si>
    <t>Adicionado conteúdo de atualização de versão secundária em 15/11/2025.</t>
  </si>
  <si>
    <t>Konten pembaruan versi minor ditambahkan pada 15/11/2025.</t>
  </si>
  <si>
    <t>2025/11/8 新增0.85C版本內容、部分內容修正與新增</t>
  </si>
  <si>
    <t>November 8, 2025: Added version 0.85C content, and included some corrections and additions.</t>
  </si>
  <si>
    <t>8/11/2025 Thêm nội dung phiên bản 0.85C, bao gồm một số chỉnh sửa và bổ sung</t>
  </si>
  <si>
    <t>8 de novembro de 2025: Adicionado conteúdo da versão 0.85C, além de algumas correções e adições.</t>
  </si>
  <si>
    <t>8 November 2025: Menambahkan konten versi 0.85C, serta beberapa koreksi dan penambahan.</t>
  </si>
  <si>
    <t>2025/11/3 新增0.85版本：SLG-C-23~SLG-C-29、SLG-A-24</t>
  </si>
  <si>
    <t>November 3, 2025: Added version 0.85: SLG-C-23~SLG-C-29, SLG-A-24</t>
  </si>
  <si>
    <t>3/11/2025 Phiên bản 0.85
SLG-C-23~SLG-C-29 / SLG-A-24</t>
  </si>
  <si>
    <t>3 de novembro de 2025: Adicionada a versão 0.85: SLG-C-23~SLG-C-29, SLG-A-24</t>
  </si>
  <si>
    <t>3 November 2025: Menambahkan versi 0.85: SLG-C-23~SLG-C-29, SLG-A-24</t>
  </si>
  <si>
    <t>2025/10/14 新增0.82D：R4、R68、Items +3</t>
  </si>
  <si>
    <t>October 14, 2025: Added 0.82D: R4, R68, Items +3</t>
  </si>
  <si>
    <t>14/10/2025 Phiên bản 0.82D
R4 / R68 / Vật phẩm +3</t>
  </si>
  <si>
    <t>14 de outubro de 2025: Adicionado 0.82D: R4, R68, Itens +3</t>
  </si>
  <si>
    <t>14 Oktober 2025: Ditambahkan 0,82D: R4, R68, Item +3</t>
  </si>
  <si>
    <t>2025/10/6 新增越南文的翻譯</t>
  </si>
  <si>
    <t>Added Vietnamese translation on October 6, 2025.</t>
  </si>
  <si>
    <t>6/10/2025 Đã thêm bản dịch tiếng Việt</t>
  </si>
  <si>
    <t>Adicionada tradução para vietnamita em 6 de outubro de 2025.</t>
  </si>
  <si>
    <t>Terjemahan bahasa Vietnam ditambahkan pada 6 Oktober 2025.</t>
  </si>
  <si>
    <t>2025/10/1
0.82 update：
R21、R66~R68、R83~89、Weap-45~49、Drops-15、47~49、Gears-75~78、TIPS-106~112</t>
  </si>
  <si>
    <t>2025/10/1
0.82 update:
R21, R66~R68, R83~89, Weap-45~49, Drops-15, 47~49, Gears-75~78, TIPS-106~112</t>
  </si>
  <si>
    <t>1/10/2025 
Cập nhật 0.82： 
R21、R66~R68、R83~89、Vũ khí-45~49、Vật phẩm rơi-15、47~49、Trang bị-75~78、TIPS-106~112</t>
  </si>
  <si>
    <t>01/10/2025 Atualização 0.82: R21, R66~R68, R83~89, Armas-45~49, Itens-15, 47~49, Equipamentos-75~78, Dicas-106~112</t>
  </si>
  <si>
    <t>2025/10/1
0.82 pembaruan:
R21, R66~R68, R83~89, Senjata-45~49, Drop-15, 47~49, Perlengkapan-75~78, TIPS-106~112</t>
  </si>
  <si>
    <t>2025/9/14 0.81update：
R69~R82、R24/TIPS 105~106/Drops 46/Weap 45.46/Gears 64~74/Items 42</t>
  </si>
  <si>
    <t>2025/9/14 0.81update:
R69~R82, R24/TIPS 105~106/Drops 46/Weap 45.46/Gears 64~74/Items 42</t>
  </si>
  <si>
    <t>14/9/2025 Cập nhật 0.81:
R69~R82,R24/TIPS 105~106/Vật phẩm rơi 46/Vũ khí 45.46/Trang bị 64~74/Vật phẩn 42</t>
  </si>
  <si>
    <t>Atualização 0.81 de 14/09/2025: R69~R82, R24/DICAS 105~106/Drops 46/Arma 45,46/Equipamentos 64~74/Itens 42</t>
  </si>
  <si>
    <t>14/9/2025 0.81update:
R69~R82, R24/TIPS 105~106/Drops 46/Weap 45.46/Gears 64~74/Items 42</t>
  </si>
  <si>
    <t>2025/9/4 新增影音分頁</t>
  </si>
  <si>
    <t>Added video/audio pagination on September 4, 2025.</t>
  </si>
  <si>
    <t>4/9/2025 Thêm trang video</t>
  </si>
  <si>
    <t>Adicionada paginação de vídeo/áudio em 4 de setembro de 2025.</t>
  </si>
  <si>
    <t>Penambahan penomoran halaman video/audio pada tanggal 4 September 2025.</t>
  </si>
  <si>
    <t>2025/8/31 Map板塊圖檔網站由imgse網站更換為postimage</t>
  </si>
  <si>
    <t>On August 31, 2025, the website for map files on the map section was changed from imgse to postimage.</t>
  </si>
  <si>
    <t>31/8/2025 Trang web phần file bản đồ sẽ được đổi từ trang web img sang postimage</t>
  </si>
  <si>
    <t>Em 31 de agosto de 2025, o site para arquivos de mapas na seção de mapas foi alterado de imgse para postimage.</t>
  </si>
  <si>
    <t>Pada tanggal 31 Agustus 2025, situs web untuk file peta di bagian peta diubah dari imgse menjadi postimage.</t>
  </si>
  <si>
    <t>2025/8/30 0.80版本新增：SLG-A8、R11、R59~68、6樣裝備及道具、繁體中文地圖更新</t>
  </si>
  <si>
    <t>Version 0.80 (August 30, 2025) adds: SLG-A8, R11, R59~68, 6 new equipment and items, and a Traditional Chinese map update.</t>
  </si>
  <si>
    <t>30/8/2025 Phiên bản 0.80 thêm: SLG-81, R11, R59~68, 6 loại trang bị và trang bị, cập nhật bản đồ tiếng Trung phồn thể</t>
  </si>
  <si>
    <t>A versão 0.80 (30 de agosto de 2025) adiciona: SLG-A8, R11, R59~68, 6 novos equipamentos e itens, e uma atualização do mapa em chinês tradicional.</t>
  </si>
  <si>
    <t>Versi 0.80 (30 Agustus 2025) menambahkan: SLG-A8, R11, R59~68, 6 peralatan dan item baru, serta pembaruan peta Bahasa Mandarin Tradisional.</t>
  </si>
  <si>
    <t>2025/8/29 map更新完成繁體中文版本，其餘語系將逐步更新</t>
  </si>
  <si>
    <t>The map was updated to Traditional Chinese on August 29, 2025. Updates to other language versions will be completed gradually.</t>
  </si>
  <si>
    <t>29/8/2025 Hoàn thiện cập nhật bản đồ tiếng Trung phồn thể, những tiếng khác sẽ được cập nhật dần</t>
  </si>
  <si>
    <t>O mapa foi atualizado para chinês tradicional em 29 de agosto de 2025. As atualizações para outros idiomas serão concluídas gradualmente.</t>
  </si>
  <si>
    <t>Peta tersebut diperbarui ke dalam aksara Tionghoa Tradisional pada tanggal 29 Agustus 2025. Pembaruan ke versi bahasa lain akan diselesaikan secara bertahap.</t>
  </si>
  <si>
    <t>2025/8/11 新增了0.79H版本 TIPS</t>
  </si>
  <si>
    <t>Version 0.79H was added on August 11, 2025. (TIPS)</t>
  </si>
  <si>
    <t>11/8/2025 Phiên bản mới 0.79H TIPS</t>
  </si>
  <si>
    <t>A versão 0.79H foi adicionada em 11 de agosto de 2025. (DICAS)</t>
  </si>
  <si>
    <t>Versi 0.79H ditambahkan pada 11 Agustus 2025. (TIPS)</t>
  </si>
  <si>
    <t>2025/7/20 新增了0.79E版本 RPG35.41</t>
  </si>
  <si>
    <t>Version 0.79E (RPG35.41) was added on July 20, 2025.</t>
  </si>
  <si>
    <t>20/7/2025 Thêm phiên bản 0.79E RPG35.41</t>
  </si>
  <si>
    <t>A versão 0.79E (RPG35.41) foi adicionada em 20 de julho de 2025.</t>
  </si>
  <si>
    <t>Versi 0.79E (RPG35.41) ditambahkan pada tanggal 20 Juli 2025.</t>
  </si>
  <si>
    <t>2025/7/20 新增了0.79D版本TIPS</t>
  </si>
  <si>
    <t>Added version 0.79D TIPS on 2025/7/20</t>
  </si>
  <si>
    <t>20/7/2025 Thêm TIPS phiên bản 0.79D</t>
  </si>
  <si>
    <t>Adicionada a versão 0.79D TIPS em 20/07/2025</t>
  </si>
  <si>
    <t>Versi 0.79D TIPS ditambahkan pada 2025/7/20</t>
  </si>
  <si>
    <t>2025/7/12 新增了0.79版本SLG-A、SLG-C、TIPS、Weap、Drops</t>
  </si>
  <si>
    <t>On July 12, 2025, version 0.79 was added for SLG-A, SLG-C, TIPS, Weap, and Drops.</t>
  </si>
  <si>
    <t xml:space="preserve">12/7/2025 Thêm phiên bản 0.79 SLG-A, SLG-C, TIPS, Vũ khí, Vật phẩm rơi </t>
  </si>
  <si>
    <t>Em 12 de julho de 2025, a versão 0.79 foi adicionada para SLG-A, SLG-C, TIPS, Weap e Drops.</t>
  </si>
  <si>
    <t>Pada tanggal 12 Juli 2025, versi 0.79 ditambahkan untuk SLG-A, SLG-C, TIPS, Weap, dan Drops.</t>
  </si>
  <si>
    <t>2025/6/11 修正了部分0.77版本的敘述，並新增了TIPS</t>
  </si>
  <si>
    <t>June 11, 2025: Corrected some descriptions in version 0.77 and added tips.</t>
  </si>
  <si>
    <t>11/6/2025 Sửa một số mô tả của phiên bản 0.77 và thêm TIPS</t>
  </si>
  <si>
    <t>11 de junho de 2025: Algumas descrições foram corrigidas na versão 0.77 e dicas foram adicionadas.</t>
  </si>
  <si>
    <t>11 Juni 2025: Memperbaiki beberapa deskripsi di versi 0.77 dan menambahkan kiat.</t>
  </si>
  <si>
    <t>2025/6/10 更新0.77版本的內容</t>
  </si>
  <si>
    <t>Updated to version 0.77 on June 10, 2025.</t>
  </si>
  <si>
    <t>10/6/2025 Cập nhật nội dung của phiên bản 0.77</t>
  </si>
  <si>
    <t>Atualizado para a versão 0.77 em 10 de junho de 2025.</t>
  </si>
  <si>
    <t>Diperbarui ke versi 0.77 pada 10 Juni 2025.</t>
  </si>
  <si>
    <t>2025/6/3 更新0.77版本的內容</t>
  </si>
  <si>
    <t>Updated to version 0.77 on June 3, 2025.</t>
  </si>
  <si>
    <t>3/6/2025 Cập nhật nội dung của phiên bản 0.77</t>
  </si>
  <si>
    <t>Atualizado para a versão 0.77 em 3 de junho de 2025.</t>
  </si>
  <si>
    <t>Diperbarui ke versi 0.77 pada 3 Juni 2025.</t>
  </si>
  <si>
    <t>2025/5/26 重製了SLG頁面的所有排版</t>
  </si>
  <si>
    <t>On May 26, 2025, all layouts of the SLG page were redesigned.</t>
  </si>
  <si>
    <t>26/5/2025 Làm lại toàn bộ bố cục các trang SLG</t>
  </si>
  <si>
    <t>Em 26 de maio de 2025, todos os layouts da página SLG foram reformulados.</t>
  </si>
  <si>
    <t>Pada tanggal 26 Mei 2025, seluruh tata letak halaman SLG didesain ulang.</t>
  </si>
  <si>
    <t>2025/5/24 新增了獨立顯卡的安裝教學</t>
  </si>
  <si>
    <t>On May 24, 2025, a tutorial on installing a dedicated graphics card was added.</t>
  </si>
  <si>
    <t>24/5/2025 Thêm hướng dẫn cài đặt cho card đồ họa rời</t>
  </si>
  <si>
    <t>Em 24 de maio de 2025, foi adicionado um tutorial sobre como instalar uma placa gráfica dedicada.</t>
  </si>
  <si>
    <t>Pada tanggal 24 Mei 2025, tutorial tentang cara memasang kartu grafis khusus telah ditambahkan.</t>
  </si>
  <si>
    <t>2025/5/15 新增0.75D版本的內容 (R4、R33)、一個防具</t>
  </si>
  <si>
    <t>May 15, 2025: Added content for version 0.75D (R4, R33) and one piece of armor.</t>
  </si>
  <si>
    <t>15/5/2025 Thêm nội dung của phiên bản 0.75D (R4, R33), một giáp</t>
  </si>
  <si>
    <t>15 de maio de 2025: Adicionado conteúdo para a versão 0.75D (R4, R33) e uma peça de armadura.</t>
  </si>
  <si>
    <t>15 Mei 2025: Menambahkan konten untuk versi 0.75D (R4, R33) dan satu bagian armor.</t>
  </si>
  <si>
    <t>2025/5/6 新增大焦熱熔岩帶地圖圖片</t>
  </si>
  <si>
    <t>Added map image of the Scorching Lava Zone on May 6, 2025.</t>
  </si>
  <si>
    <t>6/5/2025 Thêm hình ảnh bản đồ của Vùng Dung Nham Nóng Cháy</t>
  </si>
  <si>
    <t>Adicionada imagem do mapa da Grande Faixa de Lava Calcinada em 6 de maio de 2025.</t>
  </si>
  <si>
    <t>Gambar peta Sabuk Lava Terkalsinasi Besar ditambahkan pada 6 Mei 2025.</t>
  </si>
  <si>
    <t>2025/5/5-2025/？ 地圖板塊最近會嘗試更新洞口掉落位置，還請後續留意</t>
  </si>
  <si>
    <t>From May 5th, 2025 to [date missing], the map section will be updated with the locations of items dropped at the cave entrance. Please stay tuned.</t>
  </si>
  <si>
    <t>5/5/2025-?/2025 Phần bản đồ sẽ cố gắng cập nhật vị trí của hố rơi gần đây, xin chú ý đến nó sau</t>
  </si>
  <si>
    <t>De 5 de maio de 2025 até [data ausente], a seção de mapas será atualizada com a localização dos itens deixados na entrada da caverna. Fique atento.</t>
  </si>
  <si>
    <t>Mulai 5 Mei 2025 hingga [tanggal tidak tercantum], bagian peta akan diperbarui dengan lokasi item yang dijatuhkan di pintu masuk gua. Mohon tetap pantau.</t>
  </si>
  <si>
    <t>2025/5/4 新增了俄語和德語翻譯</t>
  </si>
  <si>
    <t>Added Russian and German translations on May 4, 2025.</t>
  </si>
  <si>
    <t>4/5/2025 Thêm bản dịch tiếng Nga và tiếng Đức</t>
  </si>
  <si>
    <t>Adicionadas traduções para russo e alemão em 4 de maio de 2025.</t>
  </si>
  <si>
    <t>Terjemahan bahasa Rusia dan Jerman ditambahkan pada 4 Mei 2025.</t>
  </si>
  <si>
    <t>2025/5/2 新增了0.75版本內容</t>
  </si>
  <si>
    <t>Version 0.75 was added on May 2, 2025.</t>
  </si>
  <si>
    <t>2/5/2025 Thêm nội dung mới cho phiên bản 0.75</t>
  </si>
  <si>
    <t>A versão 0.75 foi adicionada em 2 de maio de 2025.</t>
  </si>
  <si>
    <t>Versi 0.75 ditambahkan pada tanggal 2 Mei 2025.</t>
  </si>
  <si>
    <t>2025/4/29 刪除第二份表單，合併西班牙語和韓語的翻譯至本表單</t>
  </si>
  <si>
    <t>April 29, 2025: Deleted the second form and merged the Spanish and Korean translations into this form.</t>
  </si>
  <si>
    <t>29/4/2025 Xóa bảng hướng dẫn thứ hai và gộp bản dịch tiếng Tây Ban Nha và tiếng Hàn vào bảng hướng dẫn</t>
  </si>
  <si>
    <t>29 de abril de 2025: O segundo formulário foi excluído e as traduções em espanhol e coreano foram incorporadas a este formulário.</t>
  </si>
  <si>
    <t>29 April 2025: Menghapus formulir kedua dan menggabungkan terjemahan bahasa Spanyol dan Korea ke dalam formulir ini.</t>
  </si>
  <si>
    <t>2025/4/19 新建第二份表單，有西班牙語和韓語的翻譯</t>
  </si>
  <si>
    <t>April 19, 2025: Created a second form with Spanish and Korean translations.</t>
  </si>
  <si>
    <t>19/4/2025 Tạo bảng hướng dẫn thứ hai với bản dịch tiếng Tây Ban Nha và tiếng Hàn</t>
  </si>
  <si>
    <t>19 de abril de 2025: Criada uma segunda versão com traduções para espanhol e coreano.</t>
  </si>
  <si>
    <t>19 April 2025: Membuat formulir kedua dengan terjemahan bahasa Spanyol dan Korea.</t>
  </si>
  <si>
    <t>2025/4/13  新建"料理"分頁</t>
  </si>
  <si>
    <t>Created a new "Cooking" page on 2025/4/13</t>
  </si>
  <si>
    <t>13/4/2025 Thêm trang “Cooking” mới</t>
  </si>
  <si>
    <t>Criada uma nova página "Culinária" em 13/04/2025.</t>
  </si>
  <si>
    <t>Halaman "Memasak" baru dibuat pada 13/4/2025.</t>
  </si>
  <si>
    <t>2025/4/6 更新0.721版本 S32~34</t>
  </si>
  <si>
    <t>Updated to version 0.721 on April 6, 2025 (S32~34).</t>
  </si>
  <si>
    <t>6/4/2025 Cập nhật phiên bản 0.721 S32~S34</t>
  </si>
  <si>
    <t>Atualizado para a versão 0.721 em 6 de abril de 2025 (S32~34).</t>
  </si>
  <si>
    <t>Diperbarui ke versi 0.721 pada 6 April 2025 (S32~34).</t>
  </si>
  <si>
    <t>2025/4/4 地圖新增大焦熱溶岩帯</t>
  </si>
  <si>
    <t>2025/4/4 マップモジュールに大焦熱溶岩帯</t>
  </si>
  <si>
    <t>2025/4/4 Added the Scorching Lava Zone to the map module</t>
  </si>
  <si>
    <t>1/4/2025 Thêm Vùng Dung Nham Nóng Cháy vào mô-đun bản đồ</t>
  </si>
  <si>
    <t>4 de abril de 2025: Adicionada a Grande Zona de Lava Incandescente ao mapa.</t>
  </si>
  <si>
    <t>4 April 2025: Menambahkan Great Scorched Lava Belt ke peta.</t>
  </si>
  <si>
    <t>2025/4/1  新增0.72版本項目：S7、S32~S35、TIPS、兩樣道具、一件防具</t>
  </si>
  <si>
    <t>April 1, 2025: Added version 0.72 items: S7, S32~S35, TIPS, two items, and one piece of armor.</t>
  </si>
  <si>
    <t>1/4/2025 Thêm vật phẩm mới phiên bản 0.72: S7, S32~S35, TIPS, hai trang bị, một bộ giáp</t>
  </si>
  <si>
    <t>1º de abril de 2025: Adicionados os seguintes itens da versão 0.72: S7, S32~S35, DICAS, dois itens e uma peça de armadura.</t>
  </si>
  <si>
    <t>1 April 2025: Menambahkan item versi 0.72: S7, S32~S35, TIPS, dua item, dan satu bagian armor.</t>
  </si>
  <si>
    <t>2025/4/1  新增了網頁愚人節的小彩蛋</t>
  </si>
  <si>
    <t>A little April Fool's Day surprise was added to the website on April 1, 2025.</t>
  </si>
  <si>
    <t>1/4/2025 Thêm một trò đùa Cá Tháng Tư nhỏ trên trang web</t>
  </si>
  <si>
    <t>Uma pequena surpresa de 1º de abril foi adicionada ao site em 1º de abril de 2025.</t>
  </si>
  <si>
    <t>Sebuah kejutan kecil untuk Hari April Mop ditambahkan ke situs web pada tanggal 1 April 2025.</t>
  </si>
  <si>
    <t>2025/3/25 更新事件內地圖名稱與部分內容修正</t>
  </si>
  <si>
    <t>March 25, 2025 Update: Map names and some content within the event have been corrected.</t>
  </si>
  <si>
    <t>25/3/2025 Cập nhật tên bản đồ và chỉnh sửa một số nội dung trong sự kiện</t>
  </si>
  <si>
    <t>Atualização de 25 de março de 2025: Os nomes dos mapas e alguns conteúdos do evento foram corrigidos.</t>
  </si>
  <si>
    <t>Pembaruan 25 Maret 2025: Nama peta dan beberapa konten dalam acara telah dikoreksi.</t>
  </si>
  <si>
    <t>2025/3/22-2025/5/5 地圖板塊重新完成</t>
  </si>
  <si>
    <t>Map sections were redesigned from March 22, 2025 to May 5, 2025.</t>
  </si>
  <si>
    <t>22/3/2025-5/5/2025 Phần bản đồ được hoàn thiện lại</t>
  </si>
  <si>
    <t>As seções do mapa foram redesenhadas entre 22 de março de 2025 e 5 de maio de 2025.</t>
  </si>
  <si>
    <t>Bagian-bagian peta didesain ulang dari tanggal 22 Maret 2025 hingga 5 Mei 2025.</t>
  </si>
  <si>
    <t>2025/3/21 重製事件頁面，分成SLG、RPG頁面</t>
  </si>
  <si>
    <t>March 21, 2025: Event page redesigned, divided into SLG and RPG pages.</t>
  </si>
  <si>
    <t>21/3/2025 Làm lại trang Event, chia ra làm trang SLG và RPG</t>
  </si>
  <si>
    <t>21 de março de 2025: Página do evento reformulada, dividida em páginas de SLG (Jogos de Escrita Criativa) e RPG (Jogos de RPG).</t>
  </si>
  <si>
    <t>21 Maret 2025: Halaman acara didesain ulang, dibagi menjadi halaman SLG dan RPG.</t>
  </si>
  <si>
    <t>2025/3/16 更新0.7版本資訊</t>
  </si>
  <si>
    <t>Updated version 0.7 information on 2025/3/16</t>
  </si>
  <si>
    <t>16/03/2025 Cập nhật thông tin phiên bản 0.7</t>
  </si>
  <si>
    <t>Informações atualizadas para a versão 0.7 em 16/03/2025</t>
  </si>
  <si>
    <t>Informasi versi 0.7 diperbarui pada 16/3/2025.</t>
  </si>
  <si>
    <t>2025/3/15 新增狀態分頁</t>
  </si>
  <si>
    <t>Added status pagination on 2025/3/15</t>
  </si>
  <si>
    <t>15/03/2025 Thêm trang Status</t>
  </si>
  <si>
    <t>Adicionada paginação de status em 15/03/2025</t>
  </si>
  <si>
    <t>Penambahan paginasi status pada 15/3/2025.</t>
  </si>
  <si>
    <t>2025/3/13 更新TIPS</t>
  </si>
  <si>
    <t>Updated TIPS 2025/3/13</t>
  </si>
  <si>
    <t>13/03/2025 Cập nhật TIPS</t>
  </si>
  <si>
    <t>Dicas atualizadas em 13/03/2025</t>
  </si>
  <si>
    <t>TIPS terbaru 2025/3/13</t>
  </si>
  <si>
    <t>2025/3/12 重新製作武器、防具、道具的頁面</t>
  </si>
  <si>
    <t>March 12, 2025: Redesigned the weapon, armor, and item pages.</t>
  </si>
  <si>
    <t>12/03/2025 Làm lại trang vũ khí, giáp và trang bị</t>
  </si>
  <si>
    <t>12 de março de 2025: Redesenhamos as páginas de armas, armaduras e itens.</t>
  </si>
  <si>
    <t>12 Maret 2025: Halaman senjata, baju besi, dan item didesain ulang.</t>
  </si>
  <si>
    <t>2025/3/10 更新公告</t>
  </si>
  <si>
    <t>Update Announcement (March 10, 2025)</t>
  </si>
  <si>
    <t xml:space="preserve">10/03/2025 Cập nhật thông báo </t>
  </si>
  <si>
    <t>Anúncio de atualização (10 de março de 2025)</t>
  </si>
  <si>
    <t>Pengumuman Pembaruan (10 Maret 2025)</t>
  </si>
  <si>
    <t>2025/2/10 更新公告</t>
  </si>
  <si>
    <t>Update Announcement (February 10, 2025)</t>
  </si>
  <si>
    <t>10/02/2025 Cập nhật thông báo</t>
  </si>
  <si>
    <t>Anúncio de atualização (10 de fevereiro de 2025)</t>
  </si>
  <si>
    <t>Pengumuman Pembaruan (10 Februari 2025)</t>
  </si>
  <si>
    <t>2025/2/4 新增0.65 B版本 事件</t>
  </si>
  <si>
    <t>February 4, 2025: Added version 0.65 B.</t>
  </si>
  <si>
    <t>04/02/2025 Thêm sự kiện mới phiên bản 0.65B</t>
  </si>
  <si>
    <t>4 de fevereiro de 2025: Adicionada a versão 0.65 B.</t>
  </si>
  <si>
    <t>4 Februari 2025: Menambahkan versi 0.65 B.</t>
  </si>
  <si>
    <t>2025/2/3-2/4 新增墮落的聖堂地圖圖片，一部分地圖新增了篝火的標記</t>
  </si>
  <si>
    <t>February 3-4, 2025: Added map images for the Fallen Sanctuary; added campfire markers to some parts of the map.</t>
  </si>
  <si>
    <t>03-04/02/2025 Đã thêm hình ảnh bản đồ Đền Đổ Nát, và thêm dấu hiệu lửa trại vào một số bản đồ</t>
  </si>
  <si>
    <t>3 e 4 de fevereiro de 2025: Adicionadas imagens do mapa do Santuário Caído; adicionados marcadores de fogueira em algumas partes do mapa.</t>
  </si>
  <si>
    <t>3-4 Februari 2025: Menambahkan gambar peta untuk Fallen Sanctuary; menambahkan penanda api unggun ke beberapa bagian peta.</t>
  </si>
  <si>
    <t>2025/2/2 新增0.65A版本 事件、裝甲</t>
  </si>
  <si>
    <t>February 2, 2025: Added version 0.65A, including events and armor.</t>
  </si>
  <si>
    <t>02/02/2025 Đã thêm sự kiện và giáp phiên bản 0.65A</t>
  </si>
  <si>
    <t>2 de fevereiro de 2025: Adicionada a versão 0.65A, incluindo eventos e armaduras.</t>
  </si>
  <si>
    <t>2 Februari 2025: Menambahkan versi 0.65A, termasuk event dan armor.</t>
  </si>
  <si>
    <t>2025/1/15 地圖圖庫資訊更新</t>
  </si>
  <si>
    <t>Map library information update on January 15, 2025</t>
  </si>
  <si>
    <t>15/01/2025 Cập nhật Thông Tin Thư viện Bản đồ</t>
  </si>
  <si>
    <t>Atualização das informações da biblioteca de mapas em 15 de janeiro de 2025.</t>
  </si>
  <si>
    <t>Pembaruan informasi perpustakaan peta pada 15 Januari 2025.</t>
  </si>
  <si>
    <t>2025/1/13 新增0.61版本資訊:事件</t>
  </si>
  <si>
    <t>January 13, 2025: Added version 0.61 information: Events</t>
  </si>
  <si>
    <t>13/01/2025 Thêm thông tin mới phiên bản 0.61: Event</t>
  </si>
  <si>
    <t>13 de janeiro de 2025: Adicionadas informações da versão 0.61: Eventos</t>
  </si>
  <si>
    <t>13 Januari 2025: Menambahkan informasi versi 0.61: Acara</t>
  </si>
  <si>
    <t>2025/1/6 新增0.6C版本資訊:裝甲</t>
  </si>
  <si>
    <t>January 6, 2025: Added 0.6C version information: Armor</t>
  </si>
  <si>
    <t>06/01/2025 Thêm thông tin mới phiên bản 0.6C: Armor</t>
  </si>
  <si>
    <t>6 de janeiro de 2025: Adicionadas informações sobre a versão 0.6C: Armadura</t>
  </si>
  <si>
    <t>6 Januari 2025: Menambahkan informasi versi 0.6C: Armor</t>
  </si>
  <si>
    <t>2025/1/5 新增0.6B版本資訊:事件</t>
  </si>
  <si>
    <t>January 5, 2025: Added version 0.6B information: Events</t>
  </si>
  <si>
    <t>05/01/2025 Thêm thông tin mới phiên bản 0.6B: Event</t>
  </si>
  <si>
    <t>5 de janeiro de 2025: Adicionadas informações da versão 0.6B: Eventos</t>
  </si>
  <si>
    <t>5 Januari 2025: Menambahkan informasi versi 0.6B: Acara</t>
  </si>
  <si>
    <t>2025/1/3 新增0.6A版本資訊:事件</t>
  </si>
  <si>
    <t>January 3, 2025: Added information for version 0.6A: Events</t>
  </si>
  <si>
    <t>03/01/2025 Thêm thông tin mới phiên bản 0.6A: Event</t>
  </si>
  <si>
    <t>3 de janeiro de 2025: Adicionadas informações para a versão 0.6A: Eventos</t>
  </si>
  <si>
    <t>3 Januari 2025: Menambahkan informasi untuk versi 0.6A: Acara</t>
  </si>
  <si>
    <t>2025/1/2 新增0.6版本資訊</t>
  </si>
  <si>
    <t>2025/1/2 Added version 0.6 information</t>
  </si>
  <si>
    <t>02/01/2025 Đã thêm thông tin phiên bản 0.6</t>
  </si>
  <si>
    <t>2025/1/2 Adicionadas informações da versão 0.6</t>
  </si>
  <si>
    <t>Informasi versi 0.6 ditambahkan pada 2 Januari 2025.</t>
  </si>
  <si>
    <t>2024/12/25 新增提示與部分文本修正、地圖製作初步完成</t>
  </si>
  <si>
    <t>December 25, 2024: Added new hints and corrected some text; initial map creation completed.</t>
  </si>
  <si>
    <t>25/12/2024 Mẹo mới và một số chỉnh sửa chính tả, xây dựng bản đồ bước đầu hoàn thành</t>
  </si>
  <si>
    <t>25 de dezembro de 2024: Adicionadas novas dicas e corrigidos alguns textos; criação inicial do mapa concluída.</t>
  </si>
  <si>
    <t>25 Desember 2024: Menambahkan petunjuk baru dan mengoreksi beberapa teks; pembuatan peta awal selesai.</t>
  </si>
  <si>
    <t>2024/12/2 新增0.55資訊-事件</t>
  </si>
  <si>
    <t>2024/12/2 Added 0.55 information - event</t>
  </si>
  <si>
    <t>02/12/2024 Đã thêm thông tin - Event phiên bản 0.55</t>
  </si>
  <si>
    <t>02/12/2024 Adicionadas 0,55 informações - evento</t>
  </si>
  <si>
    <t>2024/12/2 Menambahkan 0,55 informasi - acara</t>
  </si>
  <si>
    <t>2024/11/29 新增遺跡相關地圖</t>
  </si>
  <si>
    <t>Added ruin-related maps on 2024/11/29</t>
  </si>
  <si>
    <t xml:space="preserve">29/11/2024 Đã thêm bản đồ mới liên quan đến tàn tích </t>
  </si>
  <si>
    <t>Adicionados mapas relacionados a ruínas em 29/11/2024.</t>
  </si>
  <si>
    <t>Peta terkait reruntuhan ditambahkan pada 29/11/2024.</t>
  </si>
  <si>
    <t>2024/11/24 新增0.5C版本內容-事件、怪物資訊、提示</t>
  </si>
  <si>
    <t>2024/11/24 Added 0.5C version content - Events, Monster Information, Tips</t>
  </si>
  <si>
    <t>24/11/2024 Nội dung mới được thêm vào phiên bản 0.5C - event, thông tin quái vật, mẹo</t>
  </si>
  <si>
    <t>24/11/2024 Adicionado conteúdo da versão 0.5C - Eventos, Informações sobre Monstros, Dicas</t>
  </si>
  <si>
    <t>24/11/2024 Menambahkan konten versi 0.5C - Acara, Informasi Monster, Kiat</t>
  </si>
  <si>
    <t>2024/11/22 新增0.5B版本內容-事件/提示</t>
  </si>
  <si>
    <t>Added version 0.5B content on 2024/11/22 - Events/Notifications</t>
  </si>
  <si>
    <t>22/11/2024 Nội dung mới được thêm vào phiên bản 0.5B - Event/Lệnh</t>
  </si>
  <si>
    <t>Adicionado conteúdo da versão 0.5B em 22/11/2024 - Eventos/Notificações</t>
  </si>
  <si>
    <t>Konten versi 0.5B ditambahkan pada 22/11/2024 - Acara/Pemberitahuan</t>
  </si>
  <si>
    <t>2024/11/21 新增MAP圖檔</t>
  </si>
  <si>
    <t>Added MAP file on 2024/11/21</t>
  </si>
  <si>
    <t>2024/11/21 新增地图图片</t>
  </si>
  <si>
    <t>21/11/2024 Tệp MAP mới</t>
  </si>
  <si>
    <t>Arquivo MAP adicionado em 21/11/2024</t>
  </si>
  <si>
    <t>Berkas MAP ditambahkan pada 21/11/2024.</t>
  </si>
  <si>
    <t>2024/11/20 新增0.5A版本內容-事件/提示</t>
  </si>
  <si>
    <t>Added version 0.5A content on 2024/11/20 - Events/Prompts</t>
  </si>
  <si>
    <t>20/11/2024 Đã thêm nội dung mới vào phiên bản 0.5A - Event/Lệnh</t>
  </si>
  <si>
    <t>Adicionado conteúdo da versão 0.5A em 20/11/2024 - Eventos/Sugestões</t>
  </si>
  <si>
    <t>2024/11/20 Menambahkan konten versi 0.5A - Acara/Prompt</t>
  </si>
  <si>
    <t>2024/11/2 轉載至巴哈姆特個人創作https://home.gamer.com.tw/artwork.php?sn=6032493</t>
  </si>
  <si>
    <r>
      <rPr>
        <rFont val="Microsoft JhengHei"/>
        <sz val="12.0"/>
      </rPr>
      <t xml:space="preserve">Reposted from Bahamut's personal creations on November 2, 2024: </t>
    </r>
    <r>
      <rPr>
        <rFont val="Microsoft JhengHei"/>
        <color rgb="FF1155CC"/>
        <sz val="12.0"/>
        <u/>
      </rPr>
      <t>https://home.gamer.com.tw/artwork.php?sn=6032493</t>
    </r>
  </si>
  <si>
    <t>02/11/2024 Đăng lại trên sáng tác cá nhân của Bahamut https://home.gamer.com.tw/artwork.php?sn=6032493</t>
  </si>
  <si>
    <r>
      <rPr>
        <rFont val="Microsoft JhengHei"/>
        <sz val="11.0"/>
      </rPr>
      <t xml:space="preserve">Republicado das criações pessoais de Bahamut em 2 de novembro de 2024: </t>
    </r>
    <r>
      <rPr>
        <rFont val="Microsoft JhengHei"/>
        <color rgb="FF1155CC"/>
        <sz val="11.0"/>
        <u/>
      </rPr>
      <t>https://home.gamer.com.tw/artwork.php?sn=6032493</t>
    </r>
  </si>
  <si>
    <t>Diposting ulang dari kreasi pribadi Bahamut pada 2 November 2024: https://home.gamer.com.tw/artwork.php?sn=6032493</t>
  </si>
  <si>
    <t>2024/11/2 新增0.45版本內容-事件/提示</t>
  </si>
  <si>
    <t>November 2, 2024: Added version 0.45 content - Events/Notifications</t>
  </si>
  <si>
    <t>02/11/2024 Đã thêm nội dung mới vào phiên bản 0.45 - Event/Lệnh</t>
  </si>
  <si>
    <t>2 de novembro de 2024: Adicionado conteúdo da versão 0.45 - Eventos/Notificações</t>
  </si>
  <si>
    <t>2 November 2024: Menambahkan konten versi 0.45 - Acara/Notifikasi</t>
  </si>
  <si>
    <t>2024/10/31 新增獨立顯卡操作說明</t>
  </si>
  <si>
    <t>Instructions for adding a dedicated graphics card (2024/10/31)</t>
  </si>
  <si>
    <t>31/10/2024 Đã thêm hướng dẫn chạy card đồ họa độc lập</t>
  </si>
  <si>
    <t>Instruções para adicionar uma placa gráfica dedicada (31/10/2024)</t>
  </si>
  <si>
    <t>Petunjuk untuk menambahkan kartu grafis khusus (31/10/2024)</t>
  </si>
  <si>
    <t>2024/10/28 新增部分公告內容</t>
  </si>
  <si>
    <t>Added some announcement content on 2024/10/28</t>
  </si>
  <si>
    <t>28/10/2024 Đã thêm một số nội dung thông báo</t>
  </si>
  <si>
    <t>Adicionado conteúdo de anúncio em 28/10/2024.</t>
  </si>
  <si>
    <t>Menambahkan beberapa konten pengumuman pada 28/10/2024</t>
  </si>
  <si>
    <t>2024/10/24 新增0.4C版本內容-事件/野外掉落/裝甲</t>
  </si>
  <si>
    <t>October 24, 2024: Added 0.4C version content - Events/World Drops/Armor</t>
  </si>
  <si>
    <t>24/10/2024 Nội dung mới được thêm vào phiên bản 0.4C - Event/Drops/Armor</t>
  </si>
  <si>
    <t>24 de outubro de 2024: Adicionado conteúdo da versão 0.4C - Eventos/Itens Recompensados ​​pelo Mundo/Armaduras</t>
  </si>
  <si>
    <t>24 Oktober 2024: Menambahkan konten versi 0.4C - Acara/Drop Dunia/Armor</t>
  </si>
  <si>
    <t>2024/10/21 新增0.4A版本內容(Drop/Equip/Tips)</t>
  </si>
  <si>
    <t>October 21, 2024: Added version 0.4A content (Drop/Equip/Tips)</t>
  </si>
  <si>
    <t>21/10/2024 Nội dung mới được thêm vào phiên bản 0.4A (Drops/Gears/Tips)</t>
  </si>
  <si>
    <t>21 de outubro de 2024: Adicionado conteúdo da versão 0.4A (Obter/Equipar/Dicas)</t>
  </si>
  <si>
    <t>21 Oktober 2024: Menambahkan konten versi 0.4A (Drop/Equip/Tips)</t>
  </si>
  <si>
    <t>2024/10/15新增地圖、事件編號表</t>
  </si>
  <si>
    <t>Added map and event number table on 2024/10/15</t>
  </si>
  <si>
    <t>15/10/2024 Thêm mới đánh số bản đồ và sự kiện</t>
  </si>
  <si>
    <t>Adicionado mapa e tabela de números de eventos em 15/10/2024.</t>
  </si>
  <si>
    <t>Peta dan tabel nomor acara ditambahkan pada 15/10/2024.</t>
  </si>
  <si>
    <t>2024/10/15新增部分事件、新增事件NO.</t>
  </si>
  <si>
    <t>Added some events and new event numbers on 2024/10/15.</t>
  </si>
  <si>
    <t>15/10/2024 Đã thêm một số sự kiện và đánh số sự kiện mới</t>
  </si>
  <si>
    <t>Adicionados alguns eventos e novos números de eventos em 15/10/2024.</t>
  </si>
  <si>
    <t>Beberapa acara dan nomor acara baru ditambahkan pada 15/10/2024.</t>
  </si>
  <si>
    <t>2024/10/14 調整部分格式</t>
  </si>
  <si>
    <t>2024/10/14 Adjusted some formatting</t>
  </si>
  <si>
    <t>14/10/2024 Điều chỉnh một số định dạng</t>
  </si>
  <si>
    <t>14/10/2024 Ajustes de formatação</t>
  </si>
  <si>
    <t>14/10/2024 Beberapa format telah disesuaikan</t>
  </si>
  <si>
    <t>2024/10/13新增簡體中文翻譯</t>
  </si>
  <si>
    <t>Added Simplified Chinese translation on 2024/10/13</t>
  </si>
  <si>
    <t>13/10/2024 Đã thêm bản dịch tiếng Trung giản thể</t>
  </si>
  <si>
    <t>Adicionada tradução para chinês simplificado em 13/10/2024.</t>
  </si>
  <si>
    <t>Terjemahan Bahasa Mandarin Sederhana ditambahkan pada 13/10/2024.</t>
  </si>
  <si>
    <t>2024/10/12新增公告表與編輯日誌、修正塔羅牌</t>
  </si>
  <si>
    <t>October 12, 2024: Added announcement form and edit log; revised tarot cards.</t>
  </si>
  <si>
    <t>12/10/2024 Đã thêm bảng thông báo và nhật ký chỉnh sửa, thẻ Tarot đã chỉnh sửa</t>
  </si>
  <si>
    <t>12 de outubro de 2024: Adicionado formulário de anúncio e registro de edições; cartas de tarô revisadas.</t>
  </si>
  <si>
    <t>12 Oktober 2024: Menambahkan formulir pengumuman dan log pengeditan; merevisi kartu tarot.</t>
  </si>
  <si>
    <t>2024/10/10 新增事件、提示表內容</t>
  </si>
  <si>
    <t>October 10, 2024: Added new events and notification table content.</t>
  </si>
  <si>
    <t>10/10/2024 Thêm sự kiện và lệnh mới</t>
  </si>
  <si>
    <t>10 de outubro de 2024: Adicionados novos eventos e conteúdo à tabela de notificações.</t>
  </si>
  <si>
    <t>10 Oktober 2024: Menambahkan acara baru dan konten tabel pemberitahuan.</t>
  </si>
  <si>
    <t>2024/10/9新增事件、提示表內容</t>
  </si>
  <si>
    <t>Added events and notifications on 2024/10/9</t>
  </si>
  <si>
    <t>9/10/2024 Thêm sự kiện và lệnh mới</t>
  </si>
  <si>
    <t>Eventos e notificações adicionados em 09/10/2024</t>
  </si>
  <si>
    <t>Acara dan pemberitahuan ditambahkan pada 9 Oktober 2024.</t>
  </si>
  <si>
    <t>2024/10/8新增事件、提示表內容</t>
  </si>
  <si>
    <t>Added event and notification table content on 2024/10/8</t>
  </si>
  <si>
    <t>8/10/2024 Thêm sự kiện và lệnh mới</t>
  </si>
  <si>
    <t>Adicionado conteúdo à tabela de eventos e notificações em 08/10/2024.</t>
  </si>
  <si>
    <t>Konten tabel acara dan pemberitahuan ditambahkan pada 8 Oktober 2024.</t>
  </si>
  <si>
    <t>2024/10/7新增提示表</t>
  </si>
  <si>
    <t>Added notification table on 2024/10/7</t>
  </si>
  <si>
    <t>7/10/2024 Bảng TIPS mới</t>
  </si>
  <si>
    <t>Tabela de notificações adicionada em 07/10/2024</t>
  </si>
  <si>
    <t>Tabel pemberitahuan ditambahkan pada 7/10/2024.</t>
  </si>
  <si>
    <r>
      <rPr>
        <rFont val="Microsoft JhengHei"/>
        <color theme="1"/>
        <sz val="12.0"/>
      </rPr>
      <t xml:space="preserve">2024/10/6
授權Discord:mioakatukaze轉載至bilibili
</t>
    </r>
    <r>
      <rPr>
        <rFont val="Microsoft JhengHei"/>
        <color rgb="FF000000"/>
        <sz val="12.0"/>
      </rPr>
      <t>https://www.bilibili.com/opus/985591575966908440?spm_id_from=333.999.0.0</t>
    </r>
    <r>
      <rPr>
        <rFont val="Microsoft JhengHei"/>
        <color theme="1"/>
        <sz val="12.0"/>
      </rPr>
      <t xml:space="preserve"> </t>
    </r>
  </si>
  <si>
    <t>2024/10/6
Discord:mioakatukaze に bilibili への再投稿を許可する
https://www.bilibili.com/opus/985591575966908440?spm_id_from=333.999.0.0</t>
  </si>
  <si>
    <t>October 6, 2024. Authorized Discord user: mioakatukaze to repost on bilibili.
https://www.bilibili.com/opus/985591575966908440?spm_id_from=333.999.0.0</t>
  </si>
  <si>
    <r>
      <rPr>
        <rFont val="Arial"/>
      </rPr>
      <t xml:space="preserve">6/10/2024
Được cho phép đăng lại trên Bilibili qua Discord: mioakatukaze
</t>
    </r>
    <r>
      <rPr>
        <rFont val="Arial"/>
        <color rgb="FF1155CC"/>
        <u/>
      </rPr>
      <t>https://www.bilibili.com/opus/985591575966908440?spm_id_from=333.999.0.0</t>
    </r>
  </si>
  <si>
    <r>
      <rPr>
        <rFont val="Microsoft JhengHei"/>
        <sz val="11.0"/>
      </rPr>
      <t xml:space="preserve">6 de outubro de 2024. Usuário autorizado do Discord: mioakatukaze para republicar no Bilibili. </t>
    </r>
    <r>
      <rPr>
        <rFont val="Microsoft JhengHei"/>
        <color rgb="FF1155CC"/>
        <sz val="11.0"/>
        <u/>
      </rPr>
      <t>https://www.bilibili.com/opus/985591575966908440?spm_id_from=333.999.0.0</t>
    </r>
  </si>
  <si>
    <t>6 Oktober 2024. Pengguna Discord yang berwenang: mioakatukaze untuk memposting ulang di bilibili.
https://www.bilibili.com/opus/985591575966908440?spm_id_from=333.999.0.0</t>
  </si>
  <si>
    <t>2024/10/6全頁面修改調整</t>
  </si>
  <si>
    <t>Full page edited and adjusted on 2024/10/6</t>
  </si>
  <si>
    <t>6/10/2024 Sửa đổi và điều chỉnh toàn bộ toàn bộ trang</t>
  </si>
  <si>
    <t>Página inteira editada e ajustada em 06/10/2024</t>
  </si>
  <si>
    <t>Halaman lengkap diedit dan disesuaikan pada 6 Oktober 2024.</t>
  </si>
  <si>
    <t>2024/10/5對外發布</t>
  </si>
  <si>
    <t>Released to the public on October 5, 2024</t>
  </si>
  <si>
    <t>Được phát hành vào ngày 5/10/2024</t>
  </si>
  <si>
    <t>Lançado ao público em 5 de outubro de 2024.</t>
  </si>
  <si>
    <t>Dirilis ke publik pada 5 Oktober 2024.</t>
  </si>
  <si>
    <t>2024/10/4初版完成</t>
  </si>
  <si>
    <t>First draft completed on October 4, 2024</t>
  </si>
  <si>
    <t>4/10/2024 Phiên bản đầu tiên được hoàn thiện</t>
  </si>
  <si>
    <t>Primeira versão concluída em 4 de outubro de 2024.</t>
  </si>
  <si>
    <t>Draf pertama selesai pada 4 Oktober 2024.</t>
  </si>
  <si>
    <t>2024/10/1 建立本表單</t>
  </si>
  <si>
    <t>This form was created on October 1, 2024.</t>
  </si>
  <si>
    <t>Biểu mẫu này được tạo ra vào ngày 1/10/2024</t>
  </si>
  <si>
    <t xml:space="preserve">Este formulário foi criado em 1 de outubro de 2024. </t>
  </si>
  <si>
    <t>Formulir ini dibuat pada tanggal 1 Oktober 2024.</t>
  </si>
  <si>
    <t>NO.</t>
  </si>
  <si>
    <t>SLG事件</t>
  </si>
  <si>
    <t>說明</t>
  </si>
  <si>
    <t>結果</t>
  </si>
  <si>
    <t>SLGイベント</t>
  </si>
  <si>
    <t>説明内容</t>
  </si>
  <si>
    <t>SLG Event</t>
  </si>
  <si>
    <t>How to Get</t>
  </si>
  <si>
    <t>Result</t>
  </si>
  <si>
    <t>Simulacion de Evento</t>
  </si>
  <si>
    <t>Como obtenerlos</t>
  </si>
  <si>
    <t>Resultado</t>
  </si>
  <si>
    <t>События</t>
  </si>
  <si>
    <t>Способы получения</t>
  </si>
  <si>
    <t>Результат</t>
  </si>
  <si>
    <t>Eventsnamen</t>
  </si>
  <si>
    <t>Wie bekommt man es?</t>
  </si>
  <si>
    <t>Die Ergebnisse</t>
  </si>
  <si>
    <t>Số</t>
  </si>
  <si>
    <t>Sự kiện mô phỏng</t>
  </si>
  <si>
    <t>Cách thực hiện</t>
  </si>
  <si>
    <t>Kết quả</t>
  </si>
  <si>
    <t>Simulação de evento</t>
  </si>
  <si>
    <t>Como conseguir</t>
  </si>
  <si>
    <t>No.</t>
  </si>
  <si>
    <t>Event Simulasi</t>
  </si>
  <si>
    <t>Cara mendapatkannya</t>
  </si>
  <si>
    <t>Hasil</t>
  </si>
  <si>
    <t>A</t>
  </si>
  <si>
    <t>平時相關</t>
  </si>
  <si>
    <t>一般的なイベント</t>
  </si>
  <si>
    <t>General Events</t>
  </si>
  <si>
    <t>Eventos Generales</t>
  </si>
  <si>
    <t>일상 이벤트</t>
  </si>
  <si>
    <t>Основные события</t>
  </si>
  <si>
    <t>Übliche, relevante Events</t>
  </si>
  <si>
    <t>Sự kiện chung</t>
  </si>
  <si>
    <t>Evento geral</t>
  </si>
  <si>
    <t>Event Umum</t>
  </si>
  <si>
    <t>開局選項</t>
  </si>
  <si>
    <t>抱住妹妹</t>
  </si>
  <si>
    <t>提升妹妹性慾</t>
  </si>
  <si>
    <t>最初の選択肢</t>
  </si>
  <si>
    <t>妹を抱きしめる</t>
  </si>
  <si>
    <t>妹の性欲を高める「お兄ちゃんのバカ！変態！」</t>
  </si>
  <si>
    <t>First Choices</t>
  </si>
  <si>
    <t>Hug my sister</t>
  </si>
  <si>
    <t>Sister's desire will be increased</t>
  </si>
  <si>
    <t>开局选项</t>
  </si>
  <si>
    <t>提升妹妹Xin欲
（谁不想趁妹妹在旁边叫你起床的时候rua一下呢）</t>
  </si>
  <si>
    <t>Primeras Opciones</t>
  </si>
  <si>
    <t>El deseo sexual de la hermana se incrementara</t>
  </si>
  <si>
    <t>첫 번째 선택지</t>
  </si>
  <si>
    <t>여동생을 껴안는다.</t>
  </si>
  <si>
    <t>여동생의 호감도가 올라갔다.</t>
  </si>
  <si>
    <t>Начальные действия</t>
  </si>
  <si>
    <t>Обнять сестру</t>
  </si>
  <si>
    <t>Повышает сексуальное влечение сестры</t>
  </si>
  <si>
    <t>Erste Entscheidungen</t>
  </si>
  <si>
    <t>Umarme deine Schwester</t>
  </si>
  <si>
    <t>Sexuelle Lust deiner Schwester erhöht</t>
  </si>
  <si>
    <t>Lựa chọn đầu tiên</t>
  </si>
  <si>
    <t>Ôm em gái</t>
  </si>
  <si>
    <t>Ham muốn của em gái tăng</t>
  </si>
  <si>
    <t>Primeira Escolha</t>
  </si>
  <si>
    <t>Abraçar minha imouto</t>
  </si>
  <si>
    <t>O desejo de sua imoto irá aumentar</t>
  </si>
  <si>
    <t>Pilihan Pertama</t>
  </si>
  <si>
    <t>Peluk adikmu</t>
  </si>
  <si>
    <t>Keinginan adikmu akan meningkat</t>
  </si>
  <si>
    <t>沒事-&gt;小時候</t>
  </si>
  <si>
    <t>獲得隨機部分武器</t>
  </si>
  <si>
    <t>大丈夫、もう起きた → 子供の頃の夢</t>
  </si>
  <si>
    <t>ランダムな武器を入手！「お兄ちゃん…なんだかすごく子供っぽいよ…」</t>
  </si>
  <si>
    <t>I'm awake now -&gt; Childhood</t>
  </si>
  <si>
    <t>Obtain random weapons</t>
  </si>
  <si>
    <t xml:space="preserve">获得随机部分武器
</t>
  </si>
  <si>
    <t>Se consigue un arma al azar</t>
  </si>
  <si>
    <t>괜찮아, 일어났어. -&gt; 어릴 적 꿈</t>
  </si>
  <si>
    <t>무작위 무기 획득합니다.</t>
  </si>
  <si>
    <t>Пробуждение -&gt; Воспоминания о детстве</t>
  </si>
  <si>
    <t>Получение случайного оружия</t>
  </si>
  <si>
    <t xml:space="preserve">
Ich bin jetzt wach -&gt; Kindheit
</t>
  </si>
  <si>
    <t>Erhalte eine zufällige Waffe</t>
  </si>
  <si>
    <t>Mình thức dậy -&gt; Tuổi thơ</t>
  </si>
  <si>
    <t>Nhận được vũ khí ngẫu nhiên</t>
  </si>
  <si>
    <t>Estou acordado agora -&gt; Infância</t>
  </si>
  <si>
    <t>Obtém uma arma aleatória</t>
  </si>
  <si>
    <t>Aku udah bangun -&gt; Masa Kecil</t>
  </si>
  <si>
    <t>Dapat senjata secara Random</t>
  </si>
  <si>
    <t>沒事-&gt;牛排餐</t>
  </si>
  <si>
    <t>約定:肉料理</t>
  </si>
  <si>
    <t>大丈夫、もう起きた → ステーキの夢</t>
  </si>
  <si>
    <t>妹との約束「肉料理が食べたいな～」に派生する</t>
  </si>
  <si>
    <t>I'm awake now -&gt; Dream of steak</t>
  </si>
  <si>
    <t>This choice will lead to "Promise: Meat Dishes"</t>
  </si>
  <si>
    <t>Esta opcion activara la promesa: ''Platillo de Carne''</t>
  </si>
  <si>
    <t>괜찮아, 일어났어. -&gt; 스테이크의 꿈</t>
  </si>
  <si>
    <t>여동생과 고기요리를 먹기로 약속했어요.</t>
  </si>
  <si>
    <t>Пробуждение -&gt; Приснился стейк</t>
  </si>
  <si>
    <t xml:space="preserve">Этот выбор активирует "Обещание мясного блюда" </t>
  </si>
  <si>
    <t>Ich bin jetzt wach -&gt; Traum des Steak</t>
  </si>
  <si>
    <t>Ich verspreche ihr ein Fleischgericht</t>
  </si>
  <si>
    <t>Mình thức dậy -&gt; Giấc mơ về thịt</t>
  </si>
  <si>
    <t>Lựa chọn này sẽ dẫn đến "Lời hứa: Món thịt"</t>
  </si>
  <si>
    <t>Estou acordado agora -&gt;Sonho com o bife</t>
  </si>
  <si>
    <t>Essa escolha levará para "Promessa:Prato com Carne"</t>
  </si>
  <si>
    <t>Aku udah bangun -&gt; Mimpi makan daging</t>
  </si>
  <si>
    <t>Pilihan ini mengarah ke "Janji: Masakan daging"</t>
  </si>
  <si>
    <t>沒事-&gt;忘光光</t>
  </si>
  <si>
    <t>獲得狀態:總有一天會想起</t>
  </si>
  <si>
    <t>大丈夫、もう起きた → 何も思い出せない</t>
  </si>
  <si>
    <t>まぁ、後で思い出せばいいか・・・</t>
  </si>
  <si>
    <t>I'm awake now -&gt; I don't remember</t>
  </si>
  <si>
    <t>"I'll probably remember it eventually..."</t>
  </si>
  <si>
    <t>'Probablemente lo recuerde algun dia''</t>
  </si>
  <si>
    <t>괜찮아, 일어났어. -&gt; 아무것도 기억나지 않아</t>
  </si>
  <si>
    <t>언젠가 떠올리게 될 거야..</t>
  </si>
  <si>
    <t>Пробуждение -&gt; Не помню</t>
  </si>
  <si>
    <t>"Возможно я вспомню это когда нибудь"</t>
  </si>
  <si>
    <t>Ich bin jetzt wach -&gt; Traum Vergessen</t>
  </si>
  <si>
    <t>Ich werde mich wahrscheinlich irgendwann daran erinnern …</t>
  </si>
  <si>
    <t>Mình thức dậy -&gt; Không nhớ gì cả</t>
  </si>
  <si>
    <t>"Đằng nào thì mình chắc cũng sẽ nhớ ra nó..."</t>
  </si>
  <si>
    <t>Estou acordado agora -&gt;Eu não me lembro</t>
  </si>
  <si>
    <t>"Eu vou provavelmente me lembrar eventualmente..."</t>
  </si>
  <si>
    <t>Aku udah bangun -&gt; Ga ingat</t>
  </si>
  <si>
    <t>"Mungkin aku akan mengingatnya"</t>
  </si>
  <si>
    <t>第一次的探險</t>
  </si>
  <si>
    <t>第一次開始探險時，妹妹會有特殊的對話</t>
  </si>
  <si>
    <t>特殊對話</t>
  </si>
  <si>
    <t>さぁ、冒険の始まりだ！</t>
  </si>
  <si>
    <t>二日目の朝、冒険に出る前に妹と少し話そう</t>
  </si>
  <si>
    <t>「ごめんね、お兄ちゃん…また危険な場所に行かせて…」</t>
  </si>
  <si>
    <t>First Adventure</t>
  </si>
  <si>
    <t>Before you set out to explore for the first time, a one-time dialog will play with the sister.</t>
  </si>
  <si>
    <t>Sister will say a one-time dialog</t>
  </si>
  <si>
    <t>La hermana dira un dialogo especial una sola vez</t>
  </si>
  <si>
    <t>모험의 시작</t>
  </si>
  <si>
    <t>첫 모험을 떠나기 전에 여동생과 대화를 나눌 수 있습니다.</t>
  </si>
  <si>
    <t>여동생과 특별한 대화를 합니다.</t>
  </si>
  <si>
    <t>Первое путешествие</t>
  </si>
  <si>
    <t>После первого путешествия у вас откроется особый диалог с сестрой, который будет проигран всего один раз.</t>
  </si>
  <si>
    <t>Специальный диалог</t>
  </si>
  <si>
    <t>Erstes Abenteuer</t>
  </si>
  <si>
    <t>Bevor du dich zum ersten Mal auf Entdeckungsreise nach draußen begibst, wird ein einmaliger Dialog mit deiner Schwester abgespielt.</t>
  </si>
  <si>
    <t>Meine Schwester spricht einen einmaligen Dialog.</t>
  </si>
  <si>
    <t>Cuộc phiêu lưu đầu tiên</t>
  </si>
  <si>
    <t>Trước khi bạn bắt đầu khám phá lần đầu tiên, một cuộc hội thoại một lần sẽ diễn ra với em gái</t>
  </si>
  <si>
    <t>Em gái sẽ nói một hội thoại một lần duy nhất</t>
  </si>
  <si>
    <t>Primeira aventura</t>
  </si>
  <si>
    <t>Antes que você possa sair para explorar pela primeira vez, um dialogo único com a sua imouto acontecerá</t>
  </si>
  <si>
    <t>Imouto terá um dialogo único</t>
  </si>
  <si>
    <t>Sebelum keluar menjelajah, ada dialog satu kali dari adikmu</t>
  </si>
  <si>
    <t>Adik ada mengatakan dialog satu kali</t>
  </si>
  <si>
    <t>製作肉料理</t>
  </si>
  <si>
    <t>獲得"少女的笑容"裝備</t>
  </si>
  <si>
    <t>妹との約束「肉料理が食べたいな～」</t>
  </si>
  <si>
    <t>妹との約束後にお肉料理を作る</t>
  </si>
  <si>
    <t>少女の笑顔を入手！「お兄ちゃん！ちゃんと約束を守ったね～」</t>
  </si>
  <si>
    <t>Promise: Meat Dishes</t>
  </si>
  <si>
    <t>Cook meat dishes for sister</t>
  </si>
  <si>
    <t>Obtain "Girl's Smile" equipment</t>
  </si>
  <si>
    <t>Se consigue el equipo: Sonrisa de Niña</t>
  </si>
  <si>
    <t>여동생과 한 약속 : 고기요리 만들기</t>
  </si>
  <si>
    <t>여동생을 위해 고기 요리를 만들어 보세요.</t>
  </si>
  <si>
    <t>장비 "소녀의 미소" 획득</t>
  </si>
  <si>
    <t>Обещание мясного блюда</t>
  </si>
  <si>
    <t>Приготовьте мясное блюдо</t>
  </si>
  <si>
    <t>Получение предмета 
"Улыбка девочки"</t>
  </si>
  <si>
    <t>Versprich ein Fleischgericht</t>
  </si>
  <si>
    <t>Koch ein Fleischgericht für deine Schwester</t>
  </si>
  <si>
    <t>Erhalte die Ausrüstung „Mädchenlächeln''</t>
  </si>
  <si>
    <t>Lời hứa: Món thịt</t>
  </si>
  <si>
    <t>Nấu món thịt cho em gái</t>
  </si>
  <si>
    <t xml:space="preserve">Nhận được trang bị "Nụ cười của em gái" </t>
  </si>
  <si>
    <t>Promessa: Prato com Carne</t>
  </si>
  <si>
    <t>Cozinha pratos com carne para sua imouto</t>
  </si>
  <si>
    <t>Obtenha o equipamento "O sorriso de uma garota"</t>
  </si>
  <si>
    <t>Masak daging untuk adikmu</t>
  </si>
  <si>
    <t>Mendapat peralatan "Senyuman adik"</t>
  </si>
  <si>
    <t>約定:別受傷</t>
  </si>
  <si>
    <t>30天內不可受到致命傷害(死亡)，需使用傳送門提前回家或時間到時回家，使用地圖起始處下方的提前回家無效，若中斷就須重新累計。</t>
  </si>
  <si>
    <t>獲得"什麼都行券"道具
後續未實裝</t>
  </si>
  <si>
    <t>妹との約束「怪我しないで」</t>
  </si>
  <si>
    <t xml:space="preserve">
30日間連続で行動不能になることはできません。星の門（赤い扉）を使って帰宅するか、時間が17:00に達すると、妹がかわいいスタンプをくれます。冒険開始直後に早く帰る場合はカウントされません。失敗（死亡）すると、その都度最初からやり直しになります。
</t>
  </si>
  <si>
    <t>妹のフリーパスを入手！
「妹が頑張って書いたのだろう…沢山書き直した跡がある」
(後続のイベントは未実装）</t>
  </si>
  <si>
    <t>Promise: Don't Get Hurt</t>
  </si>
  <si>
    <t>You cannot be incapacitated for 30 days straight. Sister will give you a cute stamp whenever you go home using the Star Gate (Red Door) or if the time reaches 17:00. Going home early at the start of the map does not count. You have to start over again whenever you fail (die)</t>
  </si>
  <si>
    <t>Obtain "Imouto's Free Pass" item from Imouto. (Subsequent events are still unimplemented)</t>
  </si>
  <si>
    <t>30天内不可以受到致命伤害(死亡)，需使用传送门提前回家或时间到时回家，使用地图起始处下方的提前回家视为无效，若中断则会重新累计</t>
  </si>
  <si>
    <t>Evita sufrir daños por 30 dias, usa la puerta para volver a casa o cuando se termine el tiempo. El regresar temprano a casa no es valido. Si se interrumpe el progreso se reiniciara</t>
  </si>
  <si>
    <t>Se obtiene ''Free Pass Ticket'' de la hermana. (Eventos subsecuentes todavia no han sido implementados)</t>
  </si>
  <si>
    <t>30일 이내에 치명상(사망)을 입으면 안 됩니다.
일찍 귀가하거나 시간이 다 되어 귀가하는 경우에는 포탈을 사용할 필요가 있습니다.
맵의 시작지점 아래에서의 조기 귀가 기능 사용은 무효가 됩니다.
중단한 경우에는 처음부터 다시 시작할 필요가 있습니다.</t>
  </si>
  <si>
    <t>아이템 '여동생 자유이용권' 획득                               (이벤트 미구현)</t>
  </si>
  <si>
    <t>Обещание не пострадать</t>
  </si>
  <si>
    <t>Вы должны не получать статус "травмирован" в течение 30 дней. Вы можете использовать Звёздную дверь или дождаться 17:00, чтобы вернуться домой. Действие "Пойти домой пораньше" возле входа на локацию не считается. Если вы вернулись травмированым, то таймер обнуляется.</t>
  </si>
  <si>
    <t>Получите "Билет бесплатного пропуска" от сестры. (Дальнейшие действия с ним еще не реализованы).</t>
  </si>
  <si>
    <t>Versprich, nicht verletzt zu werden.</t>
  </si>
  <si>
    <t>Du darfst für 30 Tage am Stück nicht außer Gefecht gesetzt werden. Deine Schwester wird dir einen süßen Stempel geben, wann immer du nach Hause gehst, indem du das Sternentor (Rote Tür) benutzt oder wenn die Zeit 17:00 erreicht. Frühes nach Hause gehen zu Beginn der Karte zählt nicht. Du musst von vorne anfangen, wenn du scheiterst (stirbst)</t>
  </si>
  <si>
    <t>Erhalte das ,,Freipass-Ticket" von deiner Schwester Imouto. (Folge Ergebnisse sind noch nicht implementiert.)</t>
  </si>
  <si>
    <t>Lời hứa: Đừng bị thương</t>
  </si>
  <si>
    <t>Bạn không được chết trong 30 ngày liên tiếp. Em gái sẽ cho bạn một hình dán dễ thương mỗi khi bạn về nhà bằng Cửa Thiên Tinh (Cửa màu đỏ) hoặc khi thời gian là 17:00. Về nhà sớm bằng cách quay lại điểm bắt đầu của bản đồ sẽ không được tính. Bạn sẽ phải bắt đầu lại từ đầu mỗi khi bạn thất bại (chết)</t>
  </si>
  <si>
    <t>Nhận được "Phiếu thưởng của em gái" từ em gái. (Những sự kiện theo sau chưa được triển khai)</t>
  </si>
  <si>
    <t>Promessa: Não se Machuque</t>
  </si>
  <si>
    <t>Você não pode ficar incapacitato(0PV) por 30 dias continuos. Imouto vai te dar uma estampa fofa sempre que você usar o portão estelar (porta vermelha) ou se o tempo chegar 17:00. Ir para casa mais cedo no começo do mapa não conta. Você deve recomeçar sempre que falhar(morrer).</t>
  </si>
  <si>
    <t>Obtenha o item "Passe Livre" da sua imouto.(os evento subsequentes ainda não foram implementados)</t>
  </si>
  <si>
    <t>Kamu tidak boleh lumpuh selama 30 hari berturut-turut. Adikmu akan memberimu stempel lucu setiap kali kamu pulang menggunakan Gerbang Bintang (Pintu Merah) atau jika waktu menunjukkan pukul 17:00. Pulang lebih awal di awal peta tidak dihitung. Kamu harus memulai dari awal lagi setiap kali gagal (mati).</t>
  </si>
  <si>
    <t>Dapat "Free Pass Ticket" dari adikmu (Subsequent events are still unimplemented)</t>
  </si>
  <si>
    <t>約定:草莓牛奶</t>
  </si>
  <si>
    <t>當想做出某些妹妹不想做的事情時，可以賄絡妹妹1、10、100瓶草莓牛奶，數值越高妹妹越容易答應(此約定的機制類似於"什麼都行券")</t>
  </si>
  <si>
    <t>需要在一日之內達成約定的承諾，否則妹妹的❤️ 會轉為🖤
(未實裝)</t>
  </si>
  <si>
    <t>約束:ストロベリーミルク</t>
  </si>
  <si>
    <t>妹がやりたくないことをお願いする時には、1、10、100本のストロベリーミルクで彼女を誘うことができる。数が多いほど、妹が承諾しやすくなる（この約束の仕組みは「何でもOK券」に似ている）</t>
  </si>
  <si>
    <t>約束の承諾は1日以内に達成する必要があり、そうでない場合は妹の❤️が🖤に変わる（未実装）</t>
  </si>
  <si>
    <t>Promise: Strawberry Milk</t>
  </si>
  <si>
    <t>When you want the sister to do something that she doesn't want to do, you can bribe her with a Strawberry Milk in amounts of 1, 10 or 100. The chances of her agreeing to your request increases the more milk you give her. (This gimmick is similar to the sister's reward coipon)</t>
  </si>
  <si>
    <t>You need to fulfill this promise within 1 day otherwise the sister's ❤️ will turn into 🖤
(Not yet implemented)</t>
  </si>
  <si>
    <t>Promesa: Leche de fresa</t>
  </si>
  <si>
    <t>Si deseas proponer algo que ella normalmente rechazaría, puedes sobornarla con leche de fresa. Al ofrecerle 1, 10 o incluso 100 botellas, aumentas las probabilidades de que acepte tu petición. Este sistema funciona de forma similar al “Vale para Todo”</t>
  </si>
  <si>
    <t>Debes cumplir el compromiso del acuerdo dentro de un día, o el ❤️ de tu hermana se convertirá en 🖤
(No implementado aún)</t>
  </si>
  <si>
    <t>약속 : 딸기 우유</t>
  </si>
  <si>
    <t>여동생이 하기 싫어하는 일을 당신이 하고 싶을 때, 딸기 우유 1병, 10병, 아니면 100병으로 여동생을 회유해 볼 수 있습니다. 우유 양이 많을수록 여동생이 동의할 가능성이 높아집니다 (이 방법은 "뭐든지 할 수 있는 쿠폰"과 비슷한 원리입니다).</t>
  </si>
  <si>
    <t>약속은 하루 안에 지켜야 합니다. 그렇지 않으면 여동생의❤️가 🖤로 바뀝니다.(미구현)</t>
  </si>
  <si>
    <t>Обещание клубничного молока</t>
  </si>
  <si>
    <t>Если вы хотите, чтобы сестра сделала что-то, чего она не хочет делать, вы можете подкупить её клубничным молоком в количестве 1, 10 или 100 штук. Чем больше молока вы ей дадите, тем больше шанс на то, что она согласится выполнить вашу просьбу. (Этот трюк похож на бонусный подарок сестры)</t>
  </si>
  <si>
    <t>Вы должны выполнить это обещание в течение 1 дня, иначе ❤️ превратится в 🖤
(Ещё не реализовано)</t>
  </si>
  <si>
    <t>Versprechen: Erdbeermilch</t>
  </si>
  <si>
    <t>Wenn du möchtest, dass deine Schwester etwas tut, was sie eigentlich nicht möchte, kannst du sie mit Erdbeermilch bestechen. Du hast die Wahl zwischen 1, 10 oder 100 Flaschen. Je höher die Menge, desto wahrscheinlicher ist es, dass deine Schwester zustimmt. Dieser Bestechungsmechanismus funktioniert ähnlich wie das "Freie Fahrt Ticket.</t>
  </si>
  <si>
    <t>Du musst das Versprechen innerhalb eines Tages einhalten, sonst verwandelt sich die ❤️ deiner Schwester in 🖤. (Noch nicht implementiert)</t>
  </si>
  <si>
    <t>Lời hứa: Sữa Dâu Tây</t>
  </si>
  <si>
    <t>Khi bạn yêu cầu gì đó mà em ấy không muốn, bạn có thể "hối lộ" em ấy với Sữa Dâu Tây với số lượng là 1,10 hay 100. Khả năng em ấy đồng ý tăng sẽ nếu cho em ấy càng nhiều sữa (cơ chế này giống với phiếu thưởng của em gái)</t>
  </si>
  <si>
    <t>Bạn cần thực hiện lời hứa này trong một ngày, nếu không thì ❤️ của em gái sẽ biến thành 🖤 (chưa được triển khai)</t>
  </si>
  <si>
    <t>Promessa: Leite de Morango</t>
  </si>
  <si>
    <t>Quando sua imouto fizer algo que ela não quiser fazer, você pode subornar ela com Leite de Morango na quantia de 1, 10 ou 100. As chances dela concordar com o seu pedido aumentam quanto mais Leite você der à ela. ( esse truque funciona como o Passe Livre)</t>
  </si>
  <si>
    <t>Você tem que completar a promessa em 1 dia se não o ❤️ da imouto irá se tranformar em 🖤
(Ainda não implementado)</t>
  </si>
  <si>
    <t>Janji: Susu Stroberi</t>
  </si>
  <si>
    <t>Saat kamu ingin adikmu melakukan sesuatu yang tidak dia inginkan, kamu bisa menyuapnya dengan Susu Stroberi dalam jumlah 1, 10, atau 100. Peluang dia menyetujui permintaanmu meningkat seiring dengan semakin banyak susu yang kamu berikan. (Trik ini mirip dengan kupon hadiah)</t>
  </si>
  <si>
    <t>Anda harus memenuhi janji ini dalam waktu 1 hari, jika tidak, ❤️ sang adik akan berubah menjadi 🖤
 (Belum diimplementasikan)</t>
  </si>
  <si>
    <t>第一次帶飲料</t>
  </si>
  <si>
    <t>當第一次帶飲料回家時，有特殊對話
若有打爆飲料販售機的話，有另一種對話</t>
  </si>
  <si>
    <t>解鎖"喝點什麼"選項</t>
  </si>
  <si>
    <t>飲み物を入手した後にお家に帰る</t>
  </si>
  <si>
    <t>初めて飲み物を持ち帰ると特別なセリフがあります
飲み物の自動販売機を爆破すると、また会話が発生します。</t>
  </si>
  <si>
    <t>[妹と一緒に飲む]を選択できるようになる！
「・・・なんで森に自販機があるの？」</t>
  </si>
  <si>
    <t>First Time Bringing Drinks</t>
  </si>
  <si>
    <t xml:space="preserve">A dialogue will be triggered when you bring a drink home for the first time. 
Another dialogue will trigger if you ended up destroying the vending machine
</t>
  </si>
  <si>
    <t>Unlocks "Drink Something" option with sister</t>
  </si>
  <si>
    <t>当第一次带饮料回家时，有特殊对话 
若有打坏饮料贩卖机的话，有另一种对话
（贩卖机：你别过来啊）</t>
  </si>
  <si>
    <t>Se desbloquea la opcion: ''Beber algo'' con la hermana</t>
  </si>
  <si>
    <t>음료를 입수 후 집에 돌아가기</t>
  </si>
  <si>
    <t>처음으로 집에 음료를 가지고 가면 특별한 대화를 들을 수 있습니다.
또한 음료 자판기를 박살내면 또 다른 대화가 발생합니다.</t>
  </si>
  <si>
    <t>여동생과 함께 음료 마시기 옵션이 해제됩니다.</t>
  </si>
  <si>
    <t>Принести напиток в первый раз</t>
  </si>
  <si>
    <t>Принесите домой напиток, после этого происходит особый диалог. Если взорвать автомат напитков, произойдет ещё один диалог.</t>
  </si>
  <si>
    <t>Открывает действие "Выпить что-нибудь" с сестрой</t>
  </si>
  <si>
    <t>Zum ersten Mal Getränke mitbringen</t>
  </si>
  <si>
    <t>Ein Dialog wird ausgelöst, wenn du zum ersten Mal ein Getränk nach Hause bringst. 
Ein weiterer Dialog wird ausgelöst, wenn du den Automaten in die Luft jagst"</t>
  </si>
  <si>
    <t>Schaltet die Option ,,Etwas trinken" mit deiner Schwester frei</t>
  </si>
  <si>
    <t>Lần đầu mang đồ uống về</t>
  </si>
  <si>
    <t>Một cuộc đối thoại sẽ xảy ra khi bạn mang đồ uống về nhà lần đầu tiên.
Một cuộc nói chuyện khác cũng sẽ xảy ra nếu bạn phá hủy máy bán đồ ven đường</t>
  </si>
  <si>
    <t>Mở khóa lựa chọn "Uống gì đó" với em gái</t>
  </si>
  <si>
    <t>Primeira Vez Trazendo Uma Bebida</t>
  </si>
  <si>
    <t>Um diálogo será ativado quando você trouxer uma bebida para casa a primeria vez</t>
  </si>
  <si>
    <t>Desbloqueia a opção "Beber algo" da imouto</t>
  </si>
  <si>
    <t>Pertama kali bawa minuman</t>
  </si>
  <si>
    <t>Ada dialog yang akan ter-trigger jika kamu bawa pulang minuman dari mesin minuman untuk pertama kalinya. ada juga satu lagi jika Mesinnya malah dihancurkan</t>
  </si>
  <si>
    <t>Opsi "Minum sesuatu" Terbuka</t>
  </si>
  <si>
    <t>第一次死亡</t>
  </si>
  <si>
    <t>第一次死亡後，吃到妹妹料理</t>
  </si>
  <si>
    <t>※一次性事件
一段特殊夢境，並且獲得可以請妹妹製作料理的選項</t>
  </si>
  <si>
    <t>初めての敗北</t>
  </si>
  <si>
    <t>家に着くと妹が怪我を心配して看病してくれるイベントが発生します</t>
  </si>
  <si>
    <t>※1回限りのイベント
妹に夕飯を作って貰えるようになる！</t>
  </si>
  <si>
    <t>First Time Incapacitated</t>
  </si>
  <si>
    <t>After being incapacitated for the first time, a scene will play where Sister will cook and feed you</t>
  </si>
  <si>
    <t>※One-time event
The option to let sister cook for you will be unlocked and you will see a special dream.</t>
  </si>
  <si>
    <t>※一次性事件 
一段特殊梦境，并且获得可以请妹妹制作料理的选项</t>
  </si>
  <si>
    <t>Primera incapacitacion</t>
  </si>
  <si>
    <t>첫 패배</t>
  </si>
  <si>
    <t>사망 시 집으로 돌아오며 여동생이 음식을 만들어줍니다. 
(사망 시 반복)</t>
  </si>
  <si>
    <t>※일회성 이벤트
여동생에게 요리를 부탁할 수 있는 선택지가 해금됩니다.</t>
  </si>
  <si>
    <t>Первая смерть</t>
  </si>
  <si>
    <t>После первой смерти нужно скушать еду приготовленую сестрой</t>
  </si>
  <si>
    <t>※Разовое событие
После еды сестры вы можете увидеть особый сон.</t>
  </si>
  <si>
    <t>Erstes Mal außer Gefecht gesetzt</t>
  </si>
  <si>
    <t>Nachdem du zum ersten Mal außer Gefecht gesetzt wurdest, wird eine Szene abgespielt, wo deine Schwester kocht und dir etwas zu essen gibt</t>
  </si>
  <si>
    <t>※Einmaliges Ereignis 
Die Option, Schwester für dich kochen zu lassen, wird freigeschaltet und du wirst einen besonderen Traum sehen"</t>
  </si>
  <si>
    <t>Lần đầu bị bất tỉnh</t>
  </si>
  <si>
    <t>Sau khi bị bất tỉnh lần đầu tiên, em gái sẽ nấu và cho bạn ăn</t>
  </si>
  <si>
    <t>* Sự kiện một lần
Lựa chọn cho em gái nấu cho bạn sẽ được mở khóa và bạn sẽ có một giấc mơ đặc biệt.</t>
  </si>
  <si>
    <t>Primeira Vez Incapacitado</t>
  </si>
  <si>
    <t>Depois de ser incapacitado(0 PV=HP) pela primeria vez, um cena ocorrerá onde Imouto irá cozinhar e te alimentar</t>
  </si>
  <si>
    <t>※Evento único
A opção de deixar a irmã cozinhar para você será desbloqueada e você verá um sonho especial..</t>
  </si>
  <si>
    <t>Pertama Kali Tidak Sadarkan Diri</t>
  </si>
  <si>
    <t>Setelah pertama kali tidak sadarkan diri, sebuah adegan akan dimainkan di mana Adikmu akan memasak dan menyuapimu.</t>
  </si>
  <si>
    <t>※ Event satu kali
 Opsi untuk membiarkan adik memasak untukmu akan terbuka dan kamu akan melihat mimpi spesial.</t>
  </si>
  <si>
    <t>妹妹的料理</t>
  </si>
  <si>
    <t>通過選項去優先抉擇妹妹煮出來的食物種類。
並且另外有部分規則：
1.於剩餘的食材中隨機選擇
2.妹妹不會選擇辣椒和垃圾
3.一般情況下肉類優先度較高
4.參照平時的食譜產生對應的料理
5.機率發動"大奇蹟術"：就是製作失敗，也可能產生成功的料理
6.哥哥的幸運值能提高妹妹的"大奇蹟術"發動率
7.妹妹心情差的時候不會做飯
8.高紫心狀態，妹妹會偷偷加料(未實裝)</t>
  </si>
  <si>
    <t>產生料理
P.S.想要吃掉你的選項，未實裝</t>
  </si>
  <si>
    <t>妹のお料理!</t>
  </si>
  <si>
    <t>選択肢を通じて、妹が作る料理の種類を優先的に選ぶ。また、いくつかのルールがある
1.残りの食材の中からランダムに選択する。
2.妹は唐辛子やゴミを選ばない。
3.お肉類の優先度が高い。
4.普段のレシピに基づいて対応する料理を生成する。
5.確率で「大奇跡術」を発動：失敗しても成功する料理が生まれる可能性がある。
6.お兄ちゃんの幸運値が妹の「大奇跡術」の発動率を上げる。
7.妹の機嫌が悪いときは料理を作らない。
8.高い💜状態のとき、妹はこっそりと材料を追加する（未実装）</t>
  </si>
  <si>
    <t>料理が出来る！
P.S. 君を食べたい(性的な意味)は現時点で未実装</t>
  </si>
  <si>
    <t>Imouto's Cooking</t>
  </si>
  <si>
    <t xml:space="preserve">When you let Imouto cook, she will do the following:
1. Randomly choose from any available ingredient
2. Never pick Chili or Junk
3. Prioritize Meat
4. Make food based off generic recipes
5. Has a chance to trigger ""Great Miracle"" when cooking, even if the ingredients are for a failed dish.
6. Onii-chan's luck can help increase the activation chance of ""Great Miracle""
7. Won't cook if she's in a bad mood. 
8. Might secretly add an extra ingredient when having high purple hearts </t>
  </si>
  <si>
    <t>Let Imouto cook
PS: The option to choose "Eat you!" is not yet implemented</t>
  </si>
  <si>
    <t xml:space="preserve">
通过选项去优先选择妹妹做出来的料理。
 并且另外有部分规则： 
1.在剩余的食材中随机选择 
2.妹妹不会选择辣椒和垃圾 
3.一般情况下肉类优先度较高 
4.参照平时的食谱产生对应的料理 
5.机率发动"大奇迹术"：就是制作失败，也可能产生成功的料理 
6.哥哥的幸运值能提高妹妹的"大奇迹术"发动率 
7.妹妹心情差的时候不会做饭 
8.高紫心状态，妹妹会偷偷加料(未实装)</t>
  </si>
  <si>
    <t>내 여동생의 요리</t>
  </si>
  <si>
    <t>여동생이 어떤 음식을 만들지는 제공된 선택지 중에서 결정됩니다. 또한 다음과 같은 규칙이 있습니다. 
1. 남은 재료 중에서 무작위로 선택합니다. 
2. 여동생은 고추나 정크푸드를 선택하지 않습니다. 
3. 고기가 일반적으로 우선적으로 선택됩니다. 
4. 요리는 평소 레시피대로 만들어집니다. 
5. "대기적"이 발생할 확률이 있습니다. 요리가 실패하더라도 성공할 수 있습니다. 
6. 오빠의 행운 수치가 높을수록 여동생이 "대기적"을 일으킬 확률이 높아집니다. 
7. 여동생은 기분이 나쁠 때는 요리를 하지 않습니다. 
8. 여동생의 보라색 하트가 높을 때, 여동생은 몰래 재료를 추가합니다 (아직 구현되지 않음).</t>
  </si>
  <si>
    <t>음식이 생성될 것입니다. 
추신: "너를 먹고 싶다"는 옵션은 아직 구현되지 않았습니다.</t>
  </si>
  <si>
    <t>Кулинария от младшей сестры</t>
  </si>
  <si>
    <t>Когда вы позволите Имоуто готовить, она будет делать следующее:
1. Случайно выбирать любой доступный ингредиент.
2. Никогда не выбирать перец чили или вредную еду.
3. Отдавать приоритет мясу.
4. Готовить еду по стандартным рецептам.
5. Есть шанс активировать «Великое чудо» во время готовки, даже если ингредиенты предназначены для неудачного блюда.
6. Удача Курохи может помочь увеличить шанс активации «Великого чуда».
7. Не будет готовить, если у неё плохое настроение.
8. Может тайно добавить дополнительный ингредиент, если у неё много фиолетовых сердечек."</t>
  </si>
  <si>
    <t xml:space="preserve">Пусть младшая сестра готовит.
P.S.: Возможность выбрать "Съесть тебя!" пока не реализована.
</t>
  </si>
  <si>
    <t>Schwesterchens Küche</t>
  </si>
  <si>
    <t>Treffe die Auswahl, um die Art von Gericht zu priorisieren, das meine Schwester kochen soll.
Zusätzlich gelten folgende Regeln:
1. Aus den verbleibenden Zutaten wird zufällig gewählt.
2. Meine Schwester wählt keine Chili und keinen Müll.
3. Normalerweise haben Fleischzutaten höhere Priorität.
4. Das Gericht wird basierend auf den üblichen Rezepten erstellt.
5. Chance auf Aktivierung der "Großen Wundertechnik": Auch bei einem misslungenen Versuch kann ein erfolgreiches Gericht entstehen.
6. Der Glückswert des Bruders erhöht die Aktivierungswahrscheinlichkeit der "Großen Wundertechnik".
7. Wenn Schwesterchen schlecht gelaunt ist, kocht sie nicht.
8. Im Zustand "Hohe Violettes Herz" fügt Schwesterchen heimlich Zutaten hinzu (noch nicht implementiert).</t>
  </si>
  <si>
    <t>Gericht zubereiten
Ps. Möchte deine Auswahl verspeisen – noch nicht implementiert</t>
  </si>
  <si>
    <t>Em gái nấu ăn</t>
  </si>
  <si>
    <t>Khi bạn để em gái nấu ăn, em ấy sẽ làm những điều sau:
1. Chọn ngẫu nhiên trong số nguyên liệu còn lại
2. Không bao giờ chọn Ớt hoặc Rác
3. Ưu tiên Thịt
4. Nấu ăn dựa trên công thức chung
5. Có khả năng kích hoạt "Phép Màu Vĩ Đại" khi nấu ăn, dù nguyên liệu là cho món ăn hỏng
6. May mắn của Onii-chan sẽ tăng khả năng xảy ra "Phép Màu Vĩ Đại"
7. Sẽ không chịu nấu ăn nếu em ấy ở trong tâm trạng xấu
8. Có thể bí mật cho thêm nguyên liệu khi số lượng tim tím 💜 cao</t>
  </si>
  <si>
    <t>Cho Imouto nấu
PS: Lựa chọn "Ăn em!" chưa có</t>
  </si>
  <si>
    <t>Comida da Imouto</t>
  </si>
  <si>
    <t xml:space="preserve">Quando deixar sua Imouto cozinhar, elá fará o seguinte:
1. Aleatoriamente escolher quaisquer ingrediente disponíveis
2. Nunca vai escolher Chili ou Lixo
3. Priorizar Carne
4. Vai fazer comidas baseadas em receitas genéricas
5. Existe uma chance de ativar "Grande Milagre", mesmo que os ingrediente para o prato tenham falhado.
6. A sorte do Onii-chan pode ajudar a aumentar a chance de ativação do "Grande Milagre"
7. Não irá cozinha se estiver com de mau humor. 
8. Pode secretamente adicionar um ingrediente extra quando tiver muitos corações roxos💜 </t>
  </si>
  <si>
    <t>Deixa a Imouto cozinhar
OBS: A opção "Comer você" ainda não foi implementada</t>
  </si>
  <si>
    <t>Imouto memasak</t>
  </si>
  <si>
    <t>Saat kamu membiarkan Imouto memasak, dia akan melakukan hal-hal berikut:
 1. Memilih bahan secara acak dari semua bahan yang tersedia
 2. Tidak pernah memilih Cabai atau Junk
 3. Memprioritaskan Daging
 4. Membuat makanan berdasarkan resep umum
 5. Memiliki peluang memicu “Great Miracle” saat memasak, meskipun bahan yang digunakan seharusnya menghasilkan masakan gagal
 6. Keberuntungan Onii-chan dapat meningkatkan peluang aktivasi “Great Miracle”
 7. Tidak akan memasak jika sedang bad mood
 8. Mungkin diam-diam menambahkan satu bahan ekstra jika purple heart tinggi</t>
  </si>
  <si>
    <t>Biarkan Imouto memasak
 NB: Opsi untuk memilih “Eat you!” belum diimplementasikan</t>
  </si>
  <si>
    <t>製作辣料理</t>
  </si>
  <si>
    <t>妹妹被辣哭</t>
  </si>
  <si>
    <t>觸發被辣哭的劇情</t>
  </si>
  <si>
    <t>辛い料理を作る</t>
  </si>
  <si>
    <t>あまりの辛さで妹が泣いた</t>
  </si>
  <si>
    <t>激辛で泣く妹イベントが発生する</t>
  </si>
  <si>
    <t>Cook spicy dishes</t>
  </si>
  <si>
    <t>Imouto will cry when fed with spicy dishes</t>
  </si>
  <si>
    <t>Triggers the "Crying Imouto" event</t>
  </si>
  <si>
    <t>Cocinar platos picantes</t>
  </si>
  <si>
    <t>La hermanita llorará cuando coma platos picantes</t>
  </si>
  <si>
    <t>Desencadena el evento "hermanita llorando"</t>
  </si>
  <si>
    <t>매운 요리 만들기</t>
  </si>
  <si>
    <t>너무 매워 여동생이 울었습니다.</t>
  </si>
  <si>
    <t>너무 매워서 눈물 흘리는 장면을 연출합니다.</t>
  </si>
  <si>
    <t>Готовка острой еды</t>
  </si>
  <si>
    <t>Покормите сестренку острой едой</t>
  </si>
  <si>
    <t>Сработает событие 
"Плачущая сестренка"</t>
  </si>
  <si>
    <t>Scharfe Gerichte zubereiten</t>
  </si>
  <si>
    <t>Deine Schwester weint, weil es zu scharf ist</t>
  </si>
  <si>
    <t>Die Handlung "Schwester weint wegen Schärfe" starten.</t>
  </si>
  <si>
    <t>Nấu đồ ăn cay</t>
  </si>
  <si>
    <t>Em gái sẽ khóc khi được cho đồ ăn cay</t>
  </si>
  <si>
    <t>Xảy ra sự kiện "em gái khóc"</t>
  </si>
  <si>
    <t>Cozinhar pratos apimentados</t>
  </si>
  <si>
    <t>Imouto irá chorar se alimentada por pratos apimentados</t>
  </si>
  <si>
    <t>Ativa o evento "Imouto chorando"</t>
  </si>
  <si>
    <t>Memasak Makanan Pedas</t>
  </si>
  <si>
    <t>Imouto akan menangis jika diberi makanan pedas</t>
  </si>
  <si>
    <t>Memicu event “Crying Imouto”</t>
  </si>
  <si>
    <t>解除辣味危機</t>
  </si>
  <si>
    <t>妹妹會被辣到趴在床上，需要解除辣味</t>
  </si>
  <si>
    <t>觸發解除辣味的選項</t>
  </si>
  <si>
    <t>激辛危機を脱する</t>
  </si>
  <si>
    <t>妹はあまりの辛さでベットに倒れ込んじゃった</t>
  </si>
  <si>
    <t>辛さを紛らわす選択肢が発生する</t>
  </si>
  <si>
    <t>Solution to spiciness</t>
  </si>
  <si>
    <t>The food is so spicy that Imouto collapses on the bed to relieve the spiciness</t>
  </si>
  <si>
    <t>Allows the option to help relieve the spiciness</t>
  </si>
  <si>
    <t>Solucion al picante</t>
  </si>
  <si>
    <t>la hermanita colapsará en la cama para aliviar el picante</t>
  </si>
  <si>
    <t>Permite la opcion de "ayudar a aliviar el picor"</t>
  </si>
  <si>
    <t>매운맛 위기를 해결하세요</t>
  </si>
  <si>
    <t>내 여동생은 너무 매워하면 침대에 눕혀서 진정해야 해요.</t>
  </si>
  <si>
    <t>매운맛을 제거하는 선택지가 제시됩니다.</t>
  </si>
  <si>
    <t>Спасение от жжения</t>
  </si>
  <si>
    <t>Еда настолько острая, что сестренка упадёт на кровать, чтобы облегчить жжение.</t>
  </si>
  <si>
    <t>Открывает действие 
"Помочь снять остроту"</t>
  </si>
  <si>
    <t>Die scharfe Gefahr lösen</t>
  </si>
  <si>
    <t>Die Schärfe wird deine Schwester aufs Bett zwingen. 
Befreie sie von der Schärfe.</t>
  </si>
  <si>
    <t>Die Option "Schärfe lindern" auslösen.</t>
  </si>
  <si>
    <t>Giải pháp cho vị cay</t>
  </si>
  <si>
    <t>Đồ ăn cay tới mức Em gái đổ gục xuống giờng để giảm độ cay</t>
  </si>
  <si>
    <t>Cho phép lựa chọn giúp giảm bớt vị cay</t>
  </si>
  <si>
    <t>Solução para o apimentado</t>
  </si>
  <si>
    <t>A comida está tão apimentada que a Imouto colapsa na cama para aliviar o apimentado</t>
  </si>
  <si>
    <t xml:space="preserve">Permite a opção de aliviar o apimentado </t>
  </si>
  <si>
    <t>Solusi Kepedasan</t>
  </si>
  <si>
    <t>Makanannya terlalu pedas sampai Imouto ambruk ke tempat tidur untuk meredakan rasa pedas</t>
  </si>
  <si>
    <t>Membuka opsi untuk membantu meredakan kepedasan</t>
  </si>
  <si>
    <t>紅腫的小嘴-1</t>
  </si>
  <si>
    <t>解除了妹妹辣哭了狀態後，可以進一步提出口腔檢查請求，妹妹紫心低於3時會拒絕</t>
  </si>
  <si>
    <t>觸發被拒絕檢查口腔的劇情</t>
  </si>
  <si>
    <t>腫れた赤い唇 - 1</t>
  </si>
  <si>
    <t>妹の辛さで泣いている状態を解除した後、お口を見ることを提案できますが、妹の💜が3未満の場合は拒否される</t>
  </si>
  <si>
    <t>お口の検査を拒否されるイベントが発生する</t>
  </si>
  <si>
    <t>Swollen Lips - 1</t>
  </si>
  <si>
    <t>After relieving the spiciness on Imouto, you can request for an oral inspection. If your purple heart is below 3, she will refuse.</t>
  </si>
  <si>
    <t>Triggers the "Oral Inspection - Refused" event</t>
  </si>
  <si>
    <t>Labios hinchados -1</t>
  </si>
  <si>
    <t>Luego de que tu hermanita alivie el picor, puedes solicitarle una inspeccion oral, si tienes menos de 3 corazones morados, ella te rechazará</t>
  </si>
  <si>
    <t>Desencadena el evento: "inspeccion oral, rechazada"</t>
  </si>
  <si>
    <t>빨갛게 부어오른 입 - 1</t>
  </si>
  <si>
    <t>여동생이 매운 음식 때문에 우는 것을 멈추게 한 후 구강 검사를 요청할 수 있습니다. 단, 여동생의 💜가 3 미만일 경우에는 요청이 거부됩니다.</t>
  </si>
  <si>
    <t>치과 검진을 거부당하는 상황을 연출하세요.</t>
  </si>
  <si>
    <t>Чувствительные губы 1</t>
  </si>
  <si>
    <t>После действия "Помочь снять остроту" можно попросить у сестренки проверить её рот. Если количество фиолетовых сердечек меньше 3, она откажется.</t>
  </si>
  <si>
    <t>Сработает событие 
"Осмотр рта - отказ"</t>
  </si>
  <si>
    <t>Gerötetes, geschwollenes kl. Mündchen -1</t>
  </si>
  <si>
    <t>Nachdem du Schwesterlein geholfen hast, kannst du Sie nach einer Munduntersuchung fragen.
Ps. der Wert muss über 3 Lila Herzen liegen.</t>
  </si>
  <si>
    <t>Die Szene "Munduntersuchung abgelehnt" auslösen.</t>
  </si>
  <si>
    <t>Môi bị sưng - 1</t>
  </si>
  <si>
    <t>Sau khi Em gái hết cay, bạn có thể hỏi một cuộc kiểm tra miệng. Nếu số lượng tim tím 💜 dưới 3, em ấy sẽ từ chối</t>
  </si>
  <si>
    <t>Xảy ra sự kiện "Kiểm tra miệng - Từ chối"</t>
  </si>
  <si>
    <t>Lábios inchados - 1</t>
  </si>
  <si>
    <t>Depois de aliviar o apimentado da Imouto, você pode solicitar uma inspeção oral. Se os corações roxos💜 estiverem abaixo de 3, ela irá recusar.</t>
  </si>
  <si>
    <t>Ativa o evento "Inspeção Oral - Recusada"</t>
  </si>
  <si>
    <t>Bibir Bengkak - 1</t>
  </si>
  <si>
    <t>Setelah meredakan kepedasan pada Imouto, kamu bisa meminta inspeksi mulut. Jika purple heart-mu di bawah 3, dia akan menolak.</t>
  </si>
  <si>
    <t>Memicu event “Oral Inspection – Refused”</t>
  </si>
  <si>
    <t>紅腫的小嘴-2</t>
  </si>
  <si>
    <t>同上，妹妹紫心高於3時，可以觸發口腔檢查的後續劇情</t>
  </si>
  <si>
    <t>觸發檢查口腔的劇情</t>
  </si>
  <si>
    <t>腫れた赤い唇 - 2</t>
  </si>
  <si>
    <t>妹の💜が3以上のとき、お口を見るの後続のイベントが発生する</t>
  </si>
  <si>
    <t>お口の検査を行うイベントが発生する</t>
  </si>
  <si>
    <t>Swollen Lips - 2</t>
  </si>
  <si>
    <t>Same as above. If your purple hearts are above 3, Imouto will let you do an inspection of her mouth.</t>
  </si>
  <si>
    <t>Triggers the "Oral Inspection" event
*Still has a chance to refuse</t>
  </si>
  <si>
    <t>Labios hinchados -2</t>
  </si>
  <si>
    <t>Si tienes 3 o mas corazones morados, desencadenaras la escena de inspeccion oral</t>
  </si>
  <si>
    <t>Desencadena el evento: "inspeccion oral"</t>
  </si>
  <si>
    <t>빨갛게 부어오른 입 - 2</t>
  </si>
  <si>
    <t>마찬가지로, 여동생의 💜가 3점 이상이면 이후 구강검사 이후를 진행할 수 있습니다.</t>
  </si>
  <si>
    <t>구강 검사 이벤트가 진행됩니다.</t>
  </si>
  <si>
    <t>Чувствительные губы 2</t>
  </si>
  <si>
    <t>То же самое, что и "Чувствительные губы 1", но если у вас 3 или более фиолетовых сердечек, то сестренка позволит проверить её рот.</t>
  </si>
  <si>
    <t>Сработае событие 
"Осмотр рта"</t>
  </si>
  <si>
    <t>Gerötetes, geschwollenes kl. Mündchen -2</t>
  </si>
  <si>
    <t>Wenn die Zuneigung deiner Schwester über 3 Lila Herzen liegt, kann die Folgegeschichte der Munduntersuchung ausgelöst werden.</t>
  </si>
  <si>
    <t>Die Szene "Munduntersuchung" auslösen.</t>
  </si>
  <si>
    <t>Môi bị sưng - 2</t>
  </si>
  <si>
    <t>Giống như trên, nhưng nếu số tim tím 💜 trên 3, em ấy sẽ cho bạn kiểm tra miệng.</t>
  </si>
  <si>
    <t>Xảy ra sự kiện "Kiểm tra miệng"
*Vẫn có khả năng bị từ chối</t>
  </si>
  <si>
    <t>Lábios inchados - 2</t>
  </si>
  <si>
    <t>Mesmo que o de cima. Se os corações roxo forem acima de 3, a Imouto irá deixar você inspecionar a boca dela.</t>
  </si>
  <si>
    <t>Ativa o evento "Inspeção Oral"
*Ainda existe uma chance de recusa</t>
  </si>
  <si>
    <t>Bibir Bengkak - 2</t>
  </si>
  <si>
    <t>Sama aja. Tapi jika purple heart-mu di atas 3, Imouto akan mengizinkan inspeksi mulut.</t>
  </si>
  <si>
    <t>Memicu event “Oral Inspection”
 *Walau masih ada kemungkinan ditolak sih</t>
  </si>
  <si>
    <t>呆毛</t>
  </si>
  <si>
    <t>每次親密接觸時，可以拔一次呆毛(每天最多兩次)；隔天之後，與深淵的重置是同步進行的(例如下雨天或者使用塔羅牌等等)，重置後才可以繼續拔呆毛。</t>
  </si>
  <si>
    <t>獲得"妹妹的呆毛"食材</t>
  </si>
  <si>
    <t>妹のアホ毛</t>
  </si>
  <si>
    <t>スキンシップ時、妹のアホ毛を抜くことができる！(2回まで)
※入浴後のスキンシップでは不可</t>
  </si>
  <si>
    <t>「妹のアホ毛」を入手！</t>
  </si>
  <si>
    <t>Ahoge</t>
  </si>
  <si>
    <t>While doing skinship with Imouto, you can pick up her ahoge (up to two times). This can't be done if imouto just finished bathing. You can contnue picking up the ahoge when it resets. It reset at the same time as abyss, tarot cards or rainy days.</t>
  </si>
  <si>
    <t>Obtain "Sister's Ahoge" ingredient</t>
  </si>
  <si>
    <t>获得"妹妹的呆毛"食材
（这真的能吃吗...）</t>
  </si>
  <si>
    <t>Para contacto intimo que no sea despues del baño, se puede arrancar el pelo tonto (hasta dos veces)</t>
  </si>
  <si>
    <t>Se consigue el ingrediente ''Ahoge''</t>
  </si>
  <si>
    <t>여동생의 바보털</t>
  </si>
  <si>
    <t>스킨십 시 여동생의 바보털을 뽑을 수 있습니다. (2회까지) 
※목욕 후 스킨십으로는 불가</t>
  </si>
  <si>
    <t>여동생의 바보털 획득합니다.</t>
  </si>
  <si>
    <t>Ахоге</t>
  </si>
  <si>
    <t>При тактильном контакте вы можете выдернуть ахоге (до двух раз). 
Не может быть выполнено после принятия ванны.</t>
  </si>
  <si>
    <t>Получение предмета 
"Ахоге сестры", как ингредиента для еды.</t>
  </si>
  <si>
    <t>Albernes Haar</t>
  </si>
  <si>
    <t>Beim Streicheln – außer nach dem Baden – kannst du ihr das Haarsträhnchen auszupfen (bis zu zweimal)</t>
  </si>
  <si>
    <t>Erhalte die Zutat ,,Albernes Schwester-Haar"</t>
  </si>
  <si>
    <t>Khi vuốt ve em gái, bạn có thể nhặt ahoge của em gái (tối đa hai lần). Không thể thực hiện nếu Imouto vừa tắm xong. Bạn có thể tiếp tục nhặt ahoge khi nó được đặt lại. Nó được đặt lại cùng thời gian với Vực Sâu, thẻ tarot hay ngày mưa.</t>
  </si>
  <si>
    <t>Nhận được nguyên liệu "Ahoge Của Em Gái"</t>
  </si>
  <si>
    <t>Enquanto está acariciando a Imouto, você pode pegar o ahoge dela (até duas vezes). Isso não pode ser feito se a imouto tiver acabado de tomar banho. Você pode continuar pegando o ahoge quando ele resetar. Ele reseta no mesmo tempo que o Abismo, cartas de taro ou dias chuvoso.</t>
  </si>
  <si>
    <t>Obtêm o ingrediente "Ahoge da imouto"</t>
  </si>
  <si>
    <t>Ahoge (Jambul)</t>
  </si>
  <si>
    <t xml:space="preserve">Saat melakukan skinship dengan Imouto, kamu bisa mencabut Ahoge-nya (maksimal dua kali). Ini tidak bisa dilakukan jika Imouto baru saja selesai mandi. Kamu bisa melanjutkan mencabut ahoge saat statusnya reset. Reset terjadi bersamaan dengan abyss, tarot card, atau hari hujan.
</t>
  </si>
  <si>
    <t>Mendapatkan bahan "Ahoge Adik"</t>
  </si>
  <si>
    <t>渾身惡臭-1</t>
  </si>
  <si>
    <t>裝備"臭魚骨"回家時可觸發</t>
  </si>
  <si>
    <t>觸發"哥哥好臭"事件</t>
  </si>
  <si>
    <t>お兄ちゃんが臭い -1</t>
  </si>
  <si>
    <t>「くさい魚の骨」を装備して帰宅すると…</t>
  </si>
  <si>
    <t>「臭い！お兄ちゃん臭い！」イベントが起きる…</t>
  </si>
  <si>
    <t>Onii-chan, you reek! - 1</t>
  </si>
  <si>
    <t>Triggers when you go home with the weapon "Rotten Fishbone" equipped.</t>
  </si>
  <si>
    <t>The "Onii-chan, you reek! - 1" event is triggered</t>
  </si>
  <si>
    <t>Hermano, apestas! - 1</t>
  </si>
  <si>
    <t>오빠, 몸에서 냄새나! - 1</t>
  </si>
  <si>
    <t>냄새나는 생선 뼈를 장착한 채 집으로 돌아가면 이벤트가 발생합니다.</t>
  </si>
  <si>
    <t>오빠, 몸에서 냄새나! - 1 이벤트가 발생합니다.</t>
  </si>
  <si>
    <t>Братик ты воняешь 1</t>
  </si>
  <si>
    <t>Событие можно активировать, возвращаясь домой снаряженным 
"Вонючей рыбной костью".</t>
  </si>
  <si>
    <t>Запускает событие 
"От брата очень плохо пахнет".</t>
  </si>
  <si>
    <t>Großer Bruder, du stinkst! - 1</t>
  </si>
  <si>
    <t>Wird ausgelöst, wenn du nach Hause gehst und die Waffe ,,Verfaulter Fischknochen" ausgerüstet hast</t>
  </si>
  <si>
    <t>Das ,,Großer Bruder, du stinkst! - 1" Ereignis wird ausgelöst</t>
  </si>
  <si>
    <t>Onii-chan hôi quá! - 1</t>
  </si>
  <si>
    <t>Xảy ra lúc bạn về nhà khi trang bị vũ khí "Xương Cá Thối"</t>
  </si>
  <si>
    <t>Sự kiện "Onii-chan hôi quá! - 1" xảy ra</t>
  </si>
  <si>
    <t>Onii-chan, você fede! - 1</t>
  </si>
  <si>
    <t>Ativa quando você vai para casa com a arma "osso de peixe apodrecido" equipada.</t>
  </si>
  <si>
    <t>o evento "Onii-chan, você fede! - 1" é ativado</t>
  </si>
  <si>
    <t>Onii-chan, Kamu Bau!!! - 1</t>
  </si>
  <si>
    <t>Pulang ke rumah dengan senjata "Rotten Fishbone" terpasang.</t>
  </si>
  <si>
    <t>Event Terlaksanakan</t>
  </si>
  <si>
    <t>渾身惡臭-2</t>
  </si>
  <si>
    <t>哥哥不洗澡一段時間</t>
  </si>
  <si>
    <t>未實裝</t>
  </si>
  <si>
    <t>お兄ちゃんが臭い -2</t>
  </si>
  <si>
    <t>お兄ちゃんがしばらくお風呂に入っていない…</t>
  </si>
  <si>
    <t>未実装</t>
  </si>
  <si>
    <t>Onii-chan, you reek! - 2</t>
  </si>
  <si>
    <t xml:space="preserve">Don't shower/take a bath for a while.
</t>
  </si>
  <si>
    <t>Not implemented yet.</t>
  </si>
  <si>
    <t>Hermano, apestas! -2</t>
  </si>
  <si>
    <t>No te bañes por un tiempo</t>
  </si>
  <si>
    <t>No ha sido implementado</t>
  </si>
  <si>
    <t>오빠, 몸에서 냄새나! - 2</t>
  </si>
  <si>
    <t>오빠가 며칠 동안 목욕을 안 했어요.</t>
  </si>
  <si>
    <t>미구현</t>
  </si>
  <si>
    <t>Братик ты воняешь 2</t>
  </si>
  <si>
    <t>Вы должны не принимать душ некоторое время</t>
  </si>
  <si>
    <t>Пока не реализовано.</t>
  </si>
  <si>
    <t>Großer Bruder, du stinkst! - 2</t>
  </si>
  <si>
    <t>Eine Weile nicht duschen oder baden</t>
  </si>
  <si>
    <t>Noch nicht implementiert</t>
  </si>
  <si>
    <t>Onii-chan hôi quá! - 2</t>
  </si>
  <si>
    <t>Không tắm trong vòng một tuần</t>
  </si>
  <si>
    <t>Chưa được thực hiện</t>
  </si>
  <si>
    <t>Onii-chan, você fede! - 2</t>
  </si>
  <si>
    <t>Não toma banho/ducha por um tempo</t>
  </si>
  <si>
    <t>ainda não implementado</t>
  </si>
  <si>
    <t>Onii-chan, Kamu Bau!!! - 2</t>
  </si>
  <si>
    <t>Jangan mandi</t>
  </si>
  <si>
    <t>Belum Dimasukan ke game.</t>
  </si>
  <si>
    <t>洗完澡來喝點</t>
  </si>
  <si>
    <t>當身上有牛奶時，洗澡後機率觸發喝牛奶</t>
  </si>
  <si>
    <t>特殊動畫</t>
  </si>
  <si>
    <t>お風呂上がりの最高の一杯！</t>
  </si>
  <si>
    <t>「オイシイミルク」を持ってる場合、お風呂上りに飲むことがある！</t>
  </si>
  <si>
    <t>特殊演出を見れる</t>
  </si>
  <si>
    <t>Drink after a shower!</t>
  </si>
  <si>
    <t>When possessing milk in your inventory, there is a chance the sister will drink it after bath.</t>
  </si>
  <si>
    <t>An animation of her chugging the milk will play. Favorability will increase.</t>
  </si>
  <si>
    <t>Bebida despues de bañarse</t>
  </si>
  <si>
    <t>Cuando tengas leche en el inventario, habra una probabilidad de que se active el evento de beber leche despues de bañarse.</t>
  </si>
  <si>
    <t xml:space="preserve">Una animacion de la hermana tomando leche se activara, este evento incrementa la favorablidad </t>
  </si>
  <si>
    <t>목욕 후 마시는 최고의 한 잔!</t>
  </si>
  <si>
    <t>아이템에 우유가 있으면 목욕 후에 여동생이 우유를 마시는 경우가 있습니다.</t>
  </si>
  <si>
    <t>특수 애니메이션을 볼 수 있습니다.</t>
  </si>
  <si>
    <t>Напиток после душа!</t>
  </si>
  <si>
    <t>Если в вашем инвентаре есть молоко, есть вероятность, что сестра выпьет его после принятия ванны.</t>
  </si>
  <si>
    <t>Будет воспроизведена анимация того, как она пьет молоко. 
Заинтересованность сестры увеличиться.</t>
  </si>
  <si>
    <t>Trinken nach der Dusche</t>
  </si>
  <si>
    <t>Wenn du Milch in deinem Inventar hast, besteht die Chance, dass deine Schwester sie nach dem Baden trinkt</t>
  </si>
  <si>
    <t>Eine Animation wird abgespielt, in der sie die Milch trinkt. Die Beliebtheit von dir wird steigen</t>
  </si>
  <si>
    <t>Uống sữa sau khi tắm!</t>
  </si>
  <si>
    <t>Khi có sữa trong túi đồ của bạn, có khả năng em gái sẽ uống nó sau khi tắm</t>
  </si>
  <si>
    <t>Một animation em ấy uống trọn sữa sẽ xảy ra. Độ yêu thích tăng lên</t>
  </si>
  <si>
    <t>Beber depois do banho!</t>
  </si>
  <si>
    <t>Quando possuir leite em seu inventário, existe uma chance da sua imouto beber o leite depois do banho.</t>
  </si>
  <si>
    <t>Uma animação dela virando o leite passará. Afeição irá aumentar</t>
  </si>
  <si>
    <t>Minum setelah mandi!</t>
  </si>
  <si>
    <t>Jika ada susu di inventory, ada peluang adikmu akan meminumnya sehabis mandi</t>
  </si>
  <si>
    <t>Ada animasi dia minum susunya loh. dan Tingkat kesukaan akan meingkat</t>
  </si>
  <si>
    <t>喧囂的風兒</t>
  </si>
  <si>
    <t>第一次與妹妹共浴之後，可以幫妹妹吹頭髮</t>
  </si>
  <si>
    <t>解鎖"吹頭髮"選項</t>
  </si>
  <si>
    <t>ドライヤー</t>
  </si>
  <si>
    <t>初めて妹と一緒にお風呂に入った後、髪をドライヤーで乾かすのを手伝うことができます</t>
  </si>
  <si>
    <t>ドライヤーで妹の髪を乾かすことが出来るようになる</t>
  </si>
  <si>
    <t>Strong Wind</t>
  </si>
  <si>
    <t>After the first time you take a bath with your sister, you can offer to blow dry her hair.</t>
  </si>
  <si>
    <t>Unlocks "Dry Hair" option with sister</t>
  </si>
  <si>
    <t>Viento fuerte</t>
  </si>
  <si>
    <t>Despues de bañarte por primera vez con tu hermana, puedes ofrecerle ayudarla a secarse el cabello</t>
  </si>
  <si>
    <t>Desbloquea la opcion ''Secarle el cabello a tu hermana''</t>
  </si>
  <si>
    <t>머리카락 말리기</t>
  </si>
  <si>
    <t>처음으로 여동생과 목욕을 한 후에 여동생의 머리카락을 말려줄 수 있게 됩니다.</t>
  </si>
  <si>
    <t>여동생의 머리카락을 말려줄 수 있는 선택지가 해금됩니다.</t>
  </si>
  <si>
    <t>Ветряной поток</t>
  </si>
  <si>
    <t>После того, как вы впервые примете ванну с сестрой,  предложите ей свою помощь, что-бы высушить волосы феном.</t>
  </si>
  <si>
    <t>Открывает действие 
"Подсушить волосы" с сестрой.</t>
  </si>
  <si>
    <t>Starker Wind</t>
  </si>
  <si>
    <t>Nach dem ersten Mal, dass du mit deiner Schwester ein Bad nimmst, kannst du ihr anbieten, ihre Haare zu föhnen</t>
  </si>
  <si>
    <t>Schaltet die Option ,,Haare föhnen" mit der Schwester frei.</t>
  </si>
  <si>
    <t>Gió mạnh</t>
  </si>
  <si>
    <t>Sau khi tắm với em gái lần đầu tiên, bạn có thể hỏi để sấy tóc cho em ấy</t>
  </si>
  <si>
    <t>Mở khóa lựa chọn "Sấy tóc" cùng em gái</t>
  </si>
  <si>
    <t>Vento Forte</t>
  </si>
  <si>
    <t>Depois de tomar banho com a sua imouto pela primeria vez, você pode oferecer para secar o cabelo dela.</t>
  </si>
  <si>
    <t>desbloqueia a opção "secar o cabelo" da imouto</t>
  </si>
  <si>
    <t>Kuatnyee angin:v</t>
  </si>
  <si>
    <t>Saat pertama kali mandi bersama, kamu bisa menawarkan  ke adikmu untuk mengeringkan rambutnya</t>
  </si>
  <si>
    <t>Membuka opsi "Dry Hair"</t>
  </si>
  <si>
    <t>哥睏了</t>
  </si>
  <si>
    <t>提前睡覺</t>
  </si>
  <si>
    <t>大約第四天後觸發:冷落妹妹，日後早睡會有妹妹的特殊對話
後續未實裝</t>
  </si>
  <si>
    <t>お兄ちゃんが早く寝るようになった</t>
  </si>
  <si>
    <t>21時前に寝ると早く寝る判定になる</t>
  </si>
  <si>
    <t>4日目くらいから早く寝ようとすると妹のセリフが変ります。
(後続のイベントは未実装)</t>
  </si>
  <si>
    <t>Sleepy Onii-chan</t>
  </si>
  <si>
    <t>Go to bed early</t>
  </si>
  <si>
    <t>Can only be triggered after the fourth day.
Ignore the sister and go to sleep.
A special dialogue will trigger.
(Subsequent events have not yet been implemented)</t>
  </si>
  <si>
    <t>大约第四天后触发:冷落妹妹，日后早睡会有妹妹的特殊对话 
后续未实装
（你怎么忍心的.jpg）</t>
  </si>
  <si>
    <t>Hermano dormilon</t>
  </si>
  <si>
    <t>Ve a dormir temprano</t>
  </si>
  <si>
    <t>Solo se puede activar despues del cuarto dia, ignora a tu hermana y ve a dormir, un dialogo especial sera activado (Evento subsequente todavia no ha sido implementado)</t>
  </si>
  <si>
    <t>피곤한 오빠</t>
  </si>
  <si>
    <t>일찍 자기</t>
  </si>
  <si>
    <t>4일째부터 일찍 자려고 하면 여동생의 대사가 바뀝니다.
(후속 이벤트는 미구현)</t>
  </si>
  <si>
    <t>Сонный братик</t>
  </si>
  <si>
    <t>Ложитесь спать рано.</t>
  </si>
  <si>
    <t>Можно запустить только после четвертого дня. Проигнорируйте сестру и идите спать. Запустится специальный диалог.
(Последующие события еще не реализованы)</t>
  </si>
  <si>
    <t>Ich bin müde</t>
  </si>
  <si>
    <t>Geh früher ins Bett</t>
  </si>
  <si>
    <t>Event kann erst nach dem vierten Tag ausgelöst werden. Ignoriere die Schwester und geh schlafen. Ein spezieller Dialog wird ausgelöst. (Weitere Ereignisse sind noch nicht implementiert.)</t>
  </si>
  <si>
    <t>Onii-chan buồn ngủ</t>
  </si>
  <si>
    <t>Đi ngủ sớm</t>
  </si>
  <si>
    <t>Chỉ có thể xảy ra sau ngày thứ tư. 
Phớt lờ em gái và đi ngủ
Một cuộc nói chuyện đặc biệt sẽ xảy ra
(Những sự kiện theo sau chưa được thực hiện)</t>
  </si>
  <si>
    <t>Onii-chan sonolento</t>
  </si>
  <si>
    <t>Ir para a cama mais cedo</t>
  </si>
  <si>
    <t>Só pode ser ativado depois do quarto dia.
Ignore sua imouto( você é um monstro) e vá dormir.
Um dialogo especial se ativará.
(Os eventos subsequentes ainda não foram implementados)</t>
  </si>
  <si>
    <t>Onii-chan pengantuk</t>
  </si>
  <si>
    <t>Tidur lebih awal</t>
  </si>
  <si>
    <t>Hanya bisa terpicu setelah hari keempat
Abaikan adik dan langsung tidur
Dialog spesial akan terpicu
Event lanjutan belum diimplementasikan</t>
  </si>
  <si>
    <t>起床囉</t>
  </si>
  <si>
    <t>在沒有餵過"紅髓液"的情況下，早上起床時，可以使用叫醒妹妹，失敗累積達到三次。第四次之後可以解鎖"強行叫醒"</t>
  </si>
  <si>
    <t>機率解鎖"強行叫醒"動畫
被強行叫醒的妹妹，不會徹底醒來，而是會重新回去睡</t>
  </si>
  <si>
    <t>おはよう</t>
  </si>
  <si>
    <t>「紅髓液」を与えなくても、妹を起こすことができますが、何度か妹を起こすを選択するとイベントが発生する可能性がある。確率で失敗します</t>
  </si>
  <si>
    <t>起きた妹はいつもより甘えん坊になるかもしれません</t>
  </si>
  <si>
    <t>Wake up!!</t>
  </si>
  <si>
    <t>If you haven't given the Philosopher's Stone Fragment to the sister, waking her up in the morning will always fail. After doing this three times, there is a chance that you will forcibly try to wake her up.</t>
  </si>
  <si>
    <t>Has a chance to trigger "Forcefully wake up" animation.
When imouto is waken up forcibly, she will still not wake up and go back to sleep.</t>
  </si>
  <si>
    <t>Levantate!</t>
  </si>
  <si>
    <t>Si nunca le has dado el antidoto ''Liquido de Medula Roja'', puedes usar la funcion de despertarla cuando vayas por la mañana, fallara tres veces en total. Despues de un cuarto intento, se desbloqueara el despertar forzado</t>
  </si>
  <si>
    <t>'Hay una probabilidad de activar la animacion ''Despertado Forzado'' Cuando la hermana haya sido despertada forzosamente, ella aun no se despertara y volvera a dormir</t>
  </si>
  <si>
    <t>일어날 시간이야!</t>
  </si>
  <si>
    <t>"적골수액"을 먹이지 않고 아침에 깨워볼 수 있습니다. 세 번 실패하면 "강제 깨우기" 기능을 잠금 해제할 수 있습니다.</t>
  </si>
  <si>
    <t>"강제로 깨우기" 애니메이션을 잠금 해제.
강제로 깨워진 여동생은 완전히 깨어나지 않고 다시 잠이 듭니다.</t>
  </si>
  <si>
    <t>Пробуждение</t>
  </si>
  <si>
    <t>Если вы не давали сестре Фрагмент Философского Камня, попытки разбудить её утром всегда будут безуспешны. Только после трёх попыток есть шанс, что вы сможете разбудить её насильно.</t>
  </si>
  <si>
    <t>Сработает событие "Принудительное пробуждение".
Когда сестрёнку будят насильно, она всё равно не просыпается и снова заснёт.</t>
  </si>
  <si>
    <t>Wach auf!!</t>
  </si>
  <si>
    <t>Wenn du das Fragment des Stein der Weisen nicht der Schwester gegeben hast, wird das Aufwecken am Morgen immer fehlschlagen. Nachdem du dies dreimal versucht hast, besteht die Chance, dass du versuchst, sie gewaltsam zu wecken</t>
  </si>
  <si>
    <t>Es besteht die Chance, die ,,Gewaltsam aufwecken" -Animation auszulösen. Wenn Imouto gewaltsam geweckt wird, wird sie trotzdem nicht aufwachen und wieder einschlafen</t>
  </si>
  <si>
    <t>Dậy đi!!</t>
  </si>
  <si>
    <t>Nếu bạn chưa đưa cho em gái Mảnh Hiền Triết, gọi em gái dậy vào buổi sáng sẽ luôn thất bại. Sau khi làm điều này ba lần, có khả năng bạn có thể bắt em gái thức dậy</t>
  </si>
  <si>
    <t>Có cơ hội xảy ra animation "Bị bắt phải thức dậy"
Khi imouto bị bắt phải thức dậy, em ấy vẫn sẽ không tình dậy và ngủ tiếp</t>
  </si>
  <si>
    <t>Acorde!!</t>
  </si>
  <si>
    <t>Se você ainda não tiver dado o fragmento da Pedra do Filósofo para a imouto, acordar ela de manhã sempre irá falharl. Depois de três vezes, existe uma chance de você tentar acordá-la forçosamente.</t>
  </si>
  <si>
    <t>Existe uma chance de ativar a animação "acordar forçosamente".
Quando a imouto é acordada forçosamente, ela ainda não consiguirá acordar e voltará a dormir.</t>
  </si>
  <si>
    <t>BANGUN!!!</t>
  </si>
  <si>
    <t xml:space="preserve">Jika kamu belum memberikan Philosopher's Stone Fragment kepada adik, membangunkannya di pagi hari akan selalu gagal
Setelah melakukan ini tiga kali, ada kemungkinan kamu akan mencoba membangunkannya secara paksa
</t>
  </si>
  <si>
    <t>Memiliki peluang memicu animasi "Forcefully wake up" (literraly muterin dia sampe pusing)
Saat Imouto dibangunkan secara paksa, dia tetap tidak akan bangun dan kembali tidur</t>
  </si>
  <si>
    <t>治癒妹妹</t>
  </si>
  <si>
    <t>"喝點什麼"
可以讓妹妹喝下"紅髓液"，進行治癒
P.S.目前能治癒兩次，道具獲得方法請參考RPG事件</t>
  </si>
  <si>
    <t>取消"強行叫醒"的機制
第一次治癒後，可以熬夜到22:30；早晨第一次叫醒的劇情之後，有50%機率叫醒妹妹
第二次治癒後，可以熬夜到23:00，早晨有75%機率叫醒妹妹
第三次治癒(未實裝)，可以熬夜到24:00，早晨有100%機率叫醒妹妹</t>
  </si>
  <si>
    <t>妹を治療する！</t>
  </si>
  <si>
    <t xml:space="preserve">
「何か飲む？」
妹の飲み物に混ぜて「紅い髄液」を与えて治療することができます
P.S. 現在は2回まで治療可能です。アイテムの入手方法についてはRPGイベントを参照してください
</t>
  </si>
  <si>
    <t xml:space="preserve">
最初の治癒後、22:30まで起きていられるようになります。最初の朝の起床イベントの後、妹を起こす確率は50%です。
2回目の治癒後、23:00まで起きていられるようになり、朝に妹を起こす確率は75%になります。
3回目の治癒（未実装）では、24:00まで起きていられるようになり、朝に妹を起こす確率は100%になります。
</t>
  </si>
  <si>
    <t>Curing Imouto</t>
  </si>
  <si>
    <t>By doing "Drink something together.",
you can let your sister drink the Philosopher's Stone Fragment that has turned into a liquid
PS: Currently, it can only cure the sister twice. As to how to obtain this item, please refer to the RPG section of this guide document</t>
  </si>
  <si>
    <t xml:space="preserve">Forcibly waking up imouto will no longer occur.
After being cured, there is a chance to successfully wake her up in the morning to trigger some scenes such as toothbrushing. However, there's still a chance of failure in waking her up.
First cure:
You can stay up late until 22:30. After the first wake-up event in the morning, there is a 50% chance to successfully wake up imouto
Second cure:
You can stay up late until 23:00. After the first wake-up event in the morning, there is a 75% chance to successfully wake up imouto
Third cure (not yet implemented)
You can stay up late until 00:00. After the first wake-up event in the morning, there is a 100% chance to successfully wake up imouto
</t>
  </si>
  <si>
    <t>治愈妹妹</t>
  </si>
  <si>
    <t>"喝点什么"
可以让妹妹喝下"红髓液"，进行治愈
ps：目前仅能治愈两次，道具获得方法请参考RPG事件</t>
  </si>
  <si>
    <t>取消"强行叫醒"的机制
第一次治愈后，可以熬夜到22:30；早晨第一次叫醒的剧情之后，有50%机率叫醒妹妹
第二次治愈后，可以熬夜到23:00，早晨有75%机率叫醒妹妹
第三次治愈(未实装)，可以熬夜到24:00，早晨有100%机率叫醒妹妹</t>
  </si>
  <si>
    <t>Исцеление сестры</t>
  </si>
  <si>
    <t>Выбрав "Выпить что-нибудь", вы можете позволить своей сестре выпить фрагмент Философского камня, который превратился в жидкость ("Эликсир Рубрум").
PS: В настоящее время это может вылечить сестру только дважды. О том, как получить этот предмет, пожалуйста, читайте в разделе RPG данного руководства</t>
  </si>
  <si>
    <t>Принудительное пробуждение Имоуто больше не будет происходить.
После излечения есть шанс успешно разбудить её утром, чтобы вызвать некоторые сцены, такие как чистка зубов. Однако, всё ещё есть вероятность неудачи при пробуждении.
Первое лечение:
Вы можете не ложиться спать допоздна, до 22:30.
После первого утреннего пробуждения вероятность успешного пробуждения составляет 50%.
Второе лечение:
Вы можете не ложиться спать допоздна, до 23:00.
После первого утреннего пробуждения вероятность успешного пробуждения составляет 75%.
Третье лечение (Ещё не реализовано):
Вы можете не ложиться спать допоздна, до 00:00.
После первого утреннего пробуждения есть 100% шанс успешно проснуться утром.</t>
  </si>
  <si>
    <t>Schwesterchen heilen</t>
  </si>
  <si>
    <t>Indem du "Etwas zusammen trinken" auswählst,
kannst du deiner Schwester das in Flüssigkeit verwandelte Fragment des Stein der Weisen geben.
PS: Derzeit kann es die Schwester nur zweimal heilen. Wie man diesen Gegenstand erhält, siehe den RPG-Teil dieses Leitfadens.</t>
  </si>
  <si>
    <t>Das erzwungene Aufwecken deiner Schwesterlein wird nicht mehr stattfinden.
Nach der Heilung besteht die Chance, sie morgens erfolgreich aufzuwecken, um bestimmte Szenen wie das Zähneputzen auszulösen. Es gibt jedoch weiterhin eine Möglichkeit, dass das Aufwecken fehlschlägt.
Erste Heilung:
Du kannst bis 22:30 Uhr wach bleiben. Nach dem ersten Aufweckereignis am Morgen besteht eine 50% Chance, die Imouto erfolgreich aufzuwecken.
Zweite Heilung:
Du kannst bis 23:00 Uhr wach bleiben. Nach dem ersten Aufweckereignis am Morgen besteht eine 75% Chance, die Imouto erfolgreich aufzuwecken.
Dritte Heilung (noch nicht implementiert):
Du kannst bis 00:00 Uhr wach bleiben. Nach dem ersten Aufweckereignis am Morgen besteht eine 100% Chance, die Imouto erfolgreich aufzuwecken.</t>
  </si>
  <si>
    <t>Chữa cho imouto</t>
  </si>
  <si>
    <t>Bằng cách thực hiện nhiệm vụ "Uống gì đó cùng nhau",
bạn có thể cho em gái mình uống Mảnh Hiền Triết đã hóa lỏng.
Lưu ý: Hiện tại, nó chỉ có thể chữa cho em gái hai lần. Để biết cách lấy vật phẩm này, vui lòng tham khảo phần RPG trong hướng dẫn này.</t>
  </si>
  <si>
    <t>Việc cưỡng ép đánh thức em gái sẽ không còn xảy ra nữa.
Sau khi được chữa khỏi, có khả năng bạn sẽ đánh thức được em gái dậy vào buổi sáng để kích hoạt một số cảnh như đánh răng. Tuy nhiên, vẫn có khả năng thất bại trong việc đánh thức em ấy.
Lần chữa thứ nhất:
Bạn có thể thức khuya đến 22:30. Sau sự kiện đánh thức imouto dậy vào buổi sáng đầu tiên, có 50% khả năng đánh thức imouto thành công.
Lần chữa thứ hai:
Bạn có thể thức khuya đến 23:00. Sau sự kiện đánh thức imouto dậy vào buổi sáng đầu tiên, có 75% khả năng đánh thức imouto thành công.
Lần chữa thứ ba (chưa được triển khai)
Bạn có thể thức khuya đến 00:00. Sau sự kiện đánh thức imouto dậy vào buổi sáng đầu tiên, có 100% khả năng đánh thức imouto thành công.</t>
  </si>
  <si>
    <t>Curando a Imouto</t>
  </si>
  <si>
    <t xml:space="preserve">Ao fazer "Beber alguma coisa",
você pode deixar a sua imouto beber o líquido vermelho.
Nota: Só pode ser feito duas vezes. para mais detalhes em como obter os itens consultar a aba RPG.
</t>
  </si>
  <si>
    <t>O evento de "forçar acordar" foi removido.
Após a primeria cura, você pode ficar acordado ate às 10:30 PM; Depois do primeiro evento de acordar pela manhã, existe uma chance de 50% de acordar a sua imouto de manhã.
Depois da segunda cura, você pode ficar acordado até às 11:00 PM, com uma chance de 75% de acordar sua imouto de manhã.
Depois da terceira cura (ainda não implementado), você pode ficar acordado até meia noite, com chance de 100% de acordar a sua imouto de manhã.</t>
  </si>
  <si>
    <t>Menyembuhkan Imouto</t>
  </si>
  <si>
    <t>dengan melakukan "Minum sesuatu bersama.",
kau bisa membiarkan adik mu meminum Philosopher's Stone Fragment yang telah dicairkan 
+
PS: saat ini, hanya bisa menyembuhkan adik dua kali. mengenai cara mendapatkan benda ini, silahkan lihat bagian RPG di dokumen panduan ini.</t>
  </si>
  <si>
    <t xml:space="preserve">membangunkan imouto secara paksa tidak akan lagi terjadi.
Setelah disembuhkan, akan ada peluang sukses membangunkannya saat pagi untuk memicu beberapa adegan seperti menggosok gigi. namun, masih akan ada kesempatan gagal membangunkannya.
Pengobatan pertama:
kau bisa tetap bangun sampai 22:30. Setelah adegan pertamakali membangunkannya di pagi hari, akan ada 50% kesempatan berhasil membangunkan imouto.
pengobatan ke-dua:
kau bisa tetap bangun sampai 23:00. Setelah adegan pertamakali membangunkannya di pagi hari, akan ada 75% kesempatan berhasil membangunkan imouto
pengobatan ke-tiga (belum diterapkan)
kau bisa tetap bangun sampai 00:00. Setelah adegan pertamakali membangunkannya di pagi hari, akan ada 100% kesempatan berhasil membangunkan imouto
</t>
  </si>
  <si>
    <t>-</t>
  </si>
  <si>
    <t>「喝點什麼」給妹妹餵一顆"藍色金平糖"和一顆"粉色金平糖"後，會使妹妹進入??狀態</t>
  </si>
  <si>
    <t>妹と『一緒に飲む？』時に『ブルーの金平糖』と『ピンクの金平糖』を一粒ずつ与えると、妹は??状態に入る</t>
  </si>
  <si>
    <t>After drinking something with the sister, choose to give her the "Blue Konpeito" candy. Drink something with her again and this time, give her a "Pink Konpeito" candy. This will put her in ?? state.</t>
  </si>
  <si>
    <t>Not yet implemented.</t>
  </si>
  <si>
    <t>여동생과 "같이 마실래?" 라고 할때 "파란색 콘페이토"와 "분홍색 콘페이토"를 먹이면, 여동생은 어리둥절한 표정을 짓습니다.</t>
  </si>
  <si>
    <t>Начав действий "выпить что-нибудь" с сестрой, дайте ей конфету "Синий Конпейто". Выпейте что-нибудь с ней ещё раз и дайте ей "Розовый Конпейто". Это введет её в особое состояние.</t>
  </si>
  <si>
    <t>Пока ещё не реализовано.</t>
  </si>
  <si>
    <t>Nachdem du mit deiner Schwester etwas getrunken hast, wähle, ihr das „Blaue Konpeito“ Bonbon zu geben. Trink noch einmal etwas mit ihr und gib ihr diesmal das „Pink Konpeito“ Bonbon. Dies wird sie in den Zustand ?? versetzen</t>
  </si>
  <si>
    <t>Sau khi uống gì đó cùng em gái, chọn đưa cho em ấy kẹo "Konpeito Xanh". Uống gì đó với em ấy lần nữa, và lần này đưa cho em ấy kẹo "Konpeito Hồng". Việc này sẽ đưa em ấy vào trạng thái ??</t>
  </si>
  <si>
    <t>Chưa được triển khai</t>
  </si>
  <si>
    <t>Depois de Beber alguma coisa com a sua imouto, escolhar dar para ela o doce "Konpeito Azul". Beba algo com ela de novo, e dessa vez dê o doce "Konpeito rosa". Isso a colocará no estado ??.</t>
  </si>
  <si>
    <t xml:space="preserve">Setelah minum sesuatu bersama adik, pilih untuk memberinya permen "Blue Konpeito"
Minum sesuatu bersamanya lagi, lalu kali ini beri permen "Pink Konpeito"
Ini akan membuatnya masuk ke status ??
</t>
  </si>
  <si>
    <t>惡夢</t>
  </si>
  <si>
    <t>當拔呆毛達到一定數量時，平時晚間睡覺時，可能觸發做惡夢
(一天最多拔2次，隔天才能繼續拔，累計拔到5次就會觸發做惡夢)</t>
  </si>
  <si>
    <t>觸發惡夢動畫</t>
  </si>
  <si>
    <t>悪夢</t>
  </si>
  <si>
    <t>アホ毛を抜くのが一定の量に達すると、普段の夜間睡眠時に悪夢を見る可能性が高まります
（1日に2回まで、翌日から再び抜く事が可能。累計5回に達すると悪夢を見るトリガーが発動します）</t>
  </si>
  <si>
    <t>ホラーアニメーションが見れる…</t>
  </si>
  <si>
    <t>Nightmares</t>
  </si>
  <si>
    <t>After pulling a certain amount of ahoge, nightmare may be triggered at night. (You can pull at most two ahoges per day, and continue plucking the next day. If the total amount of ahoges pulled is 5, nightmares will trigger.)</t>
  </si>
  <si>
    <t>Triggers the nightmare animation</t>
  </si>
  <si>
    <t>Pesadillas</t>
  </si>
  <si>
    <t>Despues de arrancar cierto numero de Ahoge, la pesadilla podra ser activada por la noche, (Puedes arrancar hasta 2 ahoges por dia, y continuar con ello al dia siguiente. Si el total de ahoges arrancados es 5, el evento de pesadilla sera activado)</t>
  </si>
  <si>
    <t>Activa la animacion de pesadilla</t>
  </si>
  <si>
    <t>악몽</t>
  </si>
  <si>
    <t>여동생의 바보털을 일정 횟수 뽑게 되면 잠을 자는 중 악몽을 꾸게 되는 이벤트가 발생합니다.
(하루에 최대 2번만 뽑을 수 있고, 다음 날이 되어야 다시 뽑을 수 있으며 총 5번 누적해서 뽑으면 악몽 이벤트가 발생합니다.)</t>
  </si>
  <si>
    <t>악몽을 애니메이션으로 볼 수 있습니다.</t>
  </si>
  <si>
    <t>Кошмар</t>
  </si>
  <si>
    <t>Вы должны вытянуть определенное количество ахоге, чтобы ночью тригернуть событие "Ночной кошмар". 
(Вы можете вытягивать не более двух ахоге в день. После того как вы в сумме вытяните 5 ахоге событие будет активировано.)</t>
  </si>
  <si>
    <t>Воспроизведется анимация ночного кошмара.</t>
  </si>
  <si>
    <t>Albträume</t>
  </si>
  <si>
    <t>Nachdem eine bestimmte Anzahl an seltsamen Haaren gezupft wurde, kann in der Nacht ein Albtraum ausgelöst werden. (Man kann höchstens zwei seltsame Haare pro Tag zupfen und am nächsten Tag weitermachen. Wenn insgesamt 5 seltsame Haare gezupft wurden, wird ein Albtraum ausgelöst.</t>
  </si>
  <si>
    <t>Löst die Albtraumanimation aus.</t>
  </si>
  <si>
    <t>Ác mộng</t>
  </si>
  <si>
    <t>Sau khi nhổ ra một số lượng ahoge nhất định, ác mộng có thể xảy ra vào ban đêm. (Bạn có thể nhổ ra nhiều nhất 2 ahoge một ngày, và có thể tiếp tục vào ngày hôm sau. Nếu tổng số lượng ahoge đã nhổ là 5, ác mộng sẽ xảy ra)</t>
  </si>
  <si>
    <t>Xảy ra animation ác mộng</t>
  </si>
  <si>
    <t>Pesadelos</t>
  </si>
  <si>
    <t>Depois de puxar uma certa quantidade de ahoge, um pesadelo pode ocorrer à noite.(Você pode puxar até dois ahoges por dia, e continuar arrancando no dia seguinte. Se o total de ahoges puxados for de 5, um pesadelo ocorrerá).</t>
  </si>
  <si>
    <t>Ativa uma animação de pesadelo</t>
  </si>
  <si>
    <t>和妹妹撒嬌</t>
  </si>
  <si>
    <t>擁有"什麼都行券"，平時要和"妹妹做點什麼"時，會新增一個選項</t>
  </si>
  <si>
    <t>新增選項：向妹妹撒嬌吧！
*目前尚無後續</t>
  </si>
  <si>
    <t>妹に甘える</t>
  </si>
  <si>
    <t>「何でも券」を所持している場合、普段「妹と何かする」時に選択肢が一つ追加されます</t>
  </si>
  <si>
    <t xml:space="preserve">
選択肢が追加される：妹に甘えよう！
※現時点では続きはありません
</t>
  </si>
  <si>
    <t>Spoil me!</t>
  </si>
  <si>
    <t>If you have "Imouto's Free Pass", you can use it when choosing the "Do Something" option when you talk to imouto in her room.</t>
  </si>
  <si>
    <t>New option: Spoil me!
No-follow up yet</t>
  </si>
  <si>
    <t>여동생과 놀기</t>
  </si>
  <si>
    <t>"무엇이든 가능" 쿠폰이 있으면 "여동생과 함께 무언가를 하고 싶을 때" 새로운 선택지가 생깁니다.</t>
  </si>
  <si>
    <t>새로운 옵션: 여동생에게 애정을 표현하세요! *아직 추가 업데이트는 없습니다.</t>
  </si>
  <si>
    <t>Побалуй меня!</t>
  </si>
  <si>
    <t>Если у вас есть «Свободный пропуск», вы можете использовать его при выборе варианта «Сделать что-нибудь» во время разговора с младшей сестрой в её комнате.</t>
  </si>
  <si>
    <t>Новая опция: Побалуй меня!
Пока нет продолжения.</t>
  </si>
  <si>
    <t>Mit deiner kl. Schwester kuscheln</t>
  </si>
  <si>
    <t>Wenn man ein "Freie Fahrt Ticket" besitzt, erscheint normalerweise ein neuer Auswahlpunkt, wenn man etwas mit der kleinen Schwester unternehmen möchte.</t>
  </si>
  <si>
    <t>Neuer Auswahlpunkt: Bei deiner kl. Schwester schmusen
Bisher gibt es noch keine weiteren Inhalte</t>
  </si>
  <si>
    <t>Chiều chuộng tôi!</t>
  </si>
  <si>
    <t>Nếu bạn có "Phiếu Thưởng Của Em Gái", bạn có thể dùng nó khi chọn lựa chọn "Làm gì đó" khi nói chuyện với em gái trong phòng em ấy</t>
  </si>
  <si>
    <t>Lựa chọn mới: Chiều em ấy!
Chưa có gì nối tiếp</t>
  </si>
  <si>
    <t>Me mime!</t>
  </si>
  <si>
    <t>Se você tiver um "Passe Livre", você pode usar ele quando escolher a opção " fazer algo quando você falar com a imouto no quarto dela.</t>
  </si>
  <si>
    <t>Nova opção: Me mime!
Ainda não tem continuação</t>
  </si>
  <si>
    <t>瞌睡蟲</t>
  </si>
  <si>
    <t>玩家在平時不操作一段時間，妹妹會在椅子上睡著</t>
  </si>
  <si>
    <t>可以對打瞌睡的妹妹進行互動
(目前只有臉部)</t>
  </si>
  <si>
    <t>居眠り屋さん</t>
  </si>
  <si>
    <t>お兄ちゃんがしばらく操作しないと、妹は椅子の上で眠ってしまう</t>
  </si>
  <si>
    <t xml:space="preserve">
うたた寝している妹と交流することができる
（現在は顔のみ）
</t>
  </si>
  <si>
    <t>Sleepyhead</t>
  </si>
  <si>
    <t>If you stay idle in Imouto's room and not interact with anything, she'll fall asleep</t>
  </si>
  <si>
    <t>You can interact with the sleeping Imouto. 
(Currently, only her face is interactable)</t>
  </si>
  <si>
    <t>瞌睡虫</t>
  </si>
  <si>
    <t>玩家在平时不操作一段时间，妹妹会在椅子上睡着</t>
  </si>
  <si>
    <t>可以对打瞌睡的妹妹进行互动
(目前只有脸部)</t>
  </si>
  <si>
    <t>잠꾸러기</t>
  </si>
  <si>
    <t>플레이어가 한동안 캐릭터와 상호작용하지 않으면 여동생은 의자에서 잠이 듭니다.</t>
  </si>
  <si>
    <t>잠든 여동생과 상호작용할 수 있습니다(현재는 얼굴만 상호작용 가능합니다).</t>
  </si>
  <si>
    <t>Соня</t>
  </si>
  <si>
    <t>Если вы будете бездействовать в комнате младшей сестры и ни с чем не взаимодействовать, она уснет.</t>
  </si>
  <si>
    <t>Вы можете взаимодействовать со спящей младшей сестрой.
(В настоящее время доступно для взаимодействия только её лицо)</t>
  </si>
  <si>
    <t>Schläfchenwurm</t>
  </si>
  <si>
    <t>Wenn du nichts tust, schläft deine Schwester nach einer Zeit im Stuhl ein</t>
  </si>
  <si>
    <t>Du kannst mit deiner Schwester interagieren
(Derzeit nur das Gesicht)</t>
  </si>
  <si>
    <t>Buồn ngủ</t>
  </si>
  <si>
    <t>Nếu bạn ở yên trong phòng Imouto và không tương tác với bất cứ thứ gì, em ấy sẽ ngủ thiếp đi.</t>
  </si>
  <si>
    <t>Bạn có thể tương tác với imouto đang ngủ
(Hiện tại, chỉ có thể tương tác được với khuôn mặt)</t>
  </si>
  <si>
    <t>Dorminhoca</t>
  </si>
  <si>
    <t>Se o onii-chan não interagir com a imouto por um tempo, ela adormecerá na cadeira.</t>
  </si>
  <si>
    <t>Você pode interagir com sua imouto adormecida (atualmente, apenas o rosto dela é interativo).</t>
  </si>
  <si>
    <t>哥哥要破產啦!</t>
  </si>
  <si>
    <t>1.總消費超過1W
2.扭蛋完後剛好身上的持有金大於1000
3.當天回家時身上的持有金低於500
4.如果總消費超過5W，即便沒有破產也可以觸發事件</t>
  </si>
  <si>
    <t>觸發破產，妹妹會開始嫌棄哥哥不知節省的事件</t>
  </si>
  <si>
    <t>お兄ちゃんが破産しちゃいそう…</t>
  </si>
  <si>
    <t xml:space="preserve">
1.総消費が1万を超える
2.ガチャを回したあと、手持ちの所持金がちょうど500未満になる
3.その日に帰宅した時点で手持ちの所持金が500未満になる
4.総消費が5万を超えた場合、破産していなくてもイベントを発生させることができる
</t>
  </si>
  <si>
    <t>破産が発生すると、妹が“お兄ちゃんは節約を知らない”と嫌い始めるイベントが起こる...</t>
  </si>
  <si>
    <t>Onii-chan is broke!</t>
  </si>
  <si>
    <t>To trigger this event, you must have done the following:
1. Spend more than 10,000 yen
2. After rolling on the gacha, your remaining money must be above 1000 yen
3. When you go home, your money must be below 500 yen for that day
4. If your total spending exceeds 50,000 yen, this event can be triggered without being broke</t>
  </si>
  <si>
    <t>If this event triggers, Imouto will start to resent you for not being mindful of your money and for being a gacha addict</t>
  </si>
  <si>
    <t>哥哥要破产啦!</t>
  </si>
  <si>
    <t>1.总消费超过1W
2.扭蛋后刚好身上的持有金大于1000
3.当天回家时身上的持有金低于500
4.如果总消费超过5W，即便没有破产也可以触发事件</t>
  </si>
  <si>
    <t>触发破产，妹妹会开始嫌弃哥哥挥金如土的事件</t>
  </si>
  <si>
    <t>내 오빠가 파산 위기에 처했어요!</t>
  </si>
  <si>
    <t>1. 총 지출액이 10,000을 초과할 경우 
2. 가챠를 한 후, 보유 금액이 500 미만일 경우 
3. 당일 집에 돌아왔을 때 보유 금액이 500 미만일 경우
4. 총 지출액이 50,000을 초과하면, 파산하지 않더라도 이벤트가 발생할 수 있습니다.</t>
  </si>
  <si>
    <t>만약 파산 절차가 시작되면, 여동생은 오빠가 검소하지 못하다는 이유로 오빠를 원망하기 시작할 것이다.</t>
  </si>
  <si>
    <t>Куроха разорился!</t>
  </si>
  <si>
    <t>Для запуска этого события необходимо выполнить следующие условия:
1. Потратить более 10 000 иен
2. После розыгрыша в гаче ваши оставшиеся деньги должны быть меньше 500 иен
3. Когда вы вернетесь домой, ваши деньги на этот день должны быть меньше 500 иен
4. Если ваши общие расходы превышают 50 000 иен, это событие можно запустить, не разорившись</t>
  </si>
  <si>
    <t>Если это событие произойдёт, Имоуто начнёт обижаться на вас за то, что вы не следите за своими деньгами и являетесь зависимым от гача-игр.</t>
  </si>
  <si>
    <t>Onii-chan ist pleite!</t>
  </si>
  <si>
    <t>Um dieses Ereignis auszulösen, musst du Folgendes getan haben:
1. Mehr als 10.000 Yen ausgegeben haben
2. Nach dem Gachaspiel muss dein verbleibendes Geld unter 500 Yen liegen
3. Wenn du nach Hause gehst, muss dein Geld an diesem Tag unter 500 Yen liegen
4. Wenn deine Gesamtausgaben 50.000 Yen überschreiten, kann dieses Ereignis auch ausgelöst werden, ohne pleite zu sein</t>
  </si>
  <si>
    <t>Wenn dieses Ereignis eintritt, wird deine Schwester dir vorwerfen, nicht auf dein Geld zu achten und gacha-süchtig zu sein.</t>
  </si>
  <si>
    <t>Onii-chan hết tiền rồi!</t>
  </si>
  <si>
    <t>Để kích hoạt sự kiện này, bạn phải thực hiện các bước sau:
1. Chi tiêu hơn 10.000 yên 
2. Sau khi quay gacha, số tiền còn lại trên người lớn hơn 1.000 yên
3. Khi về nhà, số tiền trong ngày hôm đó phải dưới 500 yên
4. Nếu tổng tiền tiêu của bạn vượt quá 50.000 yên, dù chưa cháy túi thì bạn vẫn có thể kích hoạt sự kiện này.</t>
  </si>
  <si>
    <t>Nếu sự kiện này xảy ra, Imouto sẽ bắt đầu tức giận với bạn vì không để ý đến tiền của mình và là một người nghiện gacha</t>
  </si>
  <si>
    <t>Onii-chan está nos levando a falência!</t>
  </si>
  <si>
    <t>Para esse evento ocorrer você deve fazer o seguinte:
1. Gastar mais de 10,000 yen.
2. Depois de usar o gacha, só sobrar menos de 500 yen na sua carteira.
3. Quando ir pra casa, seu dinheiro precisa estar abaixo de 500 yen naquele dia.
4. Se o total que você gastar for maior que 50.000 yen, esse evento pode ocorrer mesmo que você não esteja sem dinheiro.</t>
  </si>
  <si>
    <t>Se esse evento ocorrer, a Imouto começará a resentir você por não ser mais consciente do seu dinheiro e por ser viciado em gacha.</t>
  </si>
  <si>
    <t>To trigger this event, you must have done the following:
1. Sped more than 10,000 yen
2. After rolling on the gacha, your remaining money must be below 500 yen
3. When you go home, your money must be below 500 yen for that day
4. If your total spending exceeds 50,000 yen, this event can be triggered without being broke</t>
  </si>
  <si>
    <t>給妹妹零用錢</t>
  </si>
  <si>
    <t>解鎖成就&lt;扭蛋是壞文明！&gt;之後，於與妹妹互動時，可以送點小禮物給妹妹
空的心之容器可以變成黃心，但如果已經有紅心或者紫心，就會以金色的鍍邊形式呈現，僅當日保存</t>
  </si>
  <si>
    <t>目前無實際用途，黃色愛心的功能尚未製作
目前一顆黃心等於一顆紅心</t>
  </si>
  <si>
    <t>妹にお小遣いをあげる</t>
  </si>
  <si>
    <t xml:space="preserve">
妹にお小遣いあげると、空のハートが満タンの💛になる。
すでにハートがある場合は、黄色い縁取りが付く。
💛は💜として扱われ、翌日には消滅する…
</t>
  </si>
  <si>
    <t xml:space="preserve">
現在のところ実際の用途はなく、黄色いハートの機能はまだ未実装である
現時点では💛1個は💖一個と同等なのだ。
</t>
  </si>
  <si>
    <t>"Imouto Money"</t>
  </si>
  <si>
    <t>After unlocking the achievement "Gacha is Bad Civilization!", you'll be able to give imouto small gifts while interacting her.
When doing this, an empty heart will become a full yellow heart. If a heart already exists, it will have a yellow outline instead. Yellow hearts are considered purple hearts and will disappear the next day</t>
  </si>
  <si>
    <t>Currently, there's no use for the yellow heart. Its functions is currently not implemented and it's 1 yellow heart = 1 red heart for now</t>
  </si>
  <si>
    <t>给妹妹零用钱</t>
  </si>
  <si>
    <t>解锁成就&lt;扭蛋是坏文明！ &gt;之后，于与妹妹互动时，可以送点小礼物给妹妹
空的心之容器可以变成💛，但如果已经有❤️或者💜，就会以金色的镀边形式呈现(第二天会清空💛)</t>
  </si>
  <si>
    <t>目前无实际用途，💛的功能尚未制作
目前一颗💛等于一颗❤️</t>
  </si>
  <si>
    <t>내 여동생에게 용돈을 주세요</t>
  </si>
  <si>
    <t>여동생에게 용돈을 주면, 빈하트가 가득 찬 💛이 된다.
이미 하트가 있는 경우는 노란 테두리가 붙는다.
💛는 💜로 취급되어 다음날 소멸한다.</t>
  </si>
  <si>
    <t>현재 노란색 하트는 실용적인 용도가 없으며, 그 기능은 아직 구현되지 않았습니다. 현재 💛 1개는 💖 1개와 같습니다.</t>
  </si>
  <si>
    <t>"Имоуто за Деньги"</t>
  </si>
  <si>
    <t>Подкупите младшую сестру деньгами. При этом пустое сердечко превратится в полное жёлтое. Если сердечко уже существует, оно будет иметь жёлтую обводку. Жёлтые сердечки считаются фиолетовыми (пока что красными) и исчезнут на следующий день.</t>
  </si>
  <si>
    <t>В настоящее время жёлтое сердечко не используется. Его функции пока не реализованы, и 1 жёлтое сердечко = 1 красное сердечко.</t>
  </si>
  <si>
    <t>"Schwesterchens Geld"</t>
  </si>
  <si>
    <t>Bestecht deiner Schwester mit etwas Geld. Dabei wird ein leeres Herz zu einem vollen gelben Herz. Existiert bereits ein Herz, erhält es stattdessen einen gelben Umriss. Gelbe Herzen gelten als lila Herzen (vorerst rot) und verschwinden am nächsten Tag. 
(1000Yen gut preis? Ne nicht gut Preis)</t>
  </si>
  <si>
    <t>"Tiền của Imouto"</t>
  </si>
  <si>
    <t>Sau khi mở khóa thành tựu “Gacha là nền văn minh tồi tệ!”, khi tương tác với em gái, bạn có thể tặng quà cho em ấy.
Chỗ chứa trái tim rỗng có thể chuyển thành tim vàng💛, nhưng nếu đã có tim đỏ❤️ hoặc tim tím💜, thì sẽ hiển thị dưới dạng viền mạ vàng, và chỉ có hiệu lực trong ngày</t>
  </si>
  <si>
    <t>Hiện tại, tim vàng không có tác dụng gì. Chức năng của nó hiện chưa được triển khai và hiện tại 1 tim vàng 💛 = 1 tim đỏ ❤️.</t>
  </si>
  <si>
    <t>"Dinheiro da Imouto"</t>
  </si>
  <si>
    <r>
      <rPr>
        <rFont val="Microsoft JhengHei"/>
        <color theme="1"/>
      </rPr>
      <t xml:space="preserve">Suborne sua Imouto com algum dinheiro. Quando fizer isso, um coração vazio se tornará um coração completo amarelo💛. Se o coração já existir, ele terá uma linha externa amarela no lugar.
 Corações amarelos💛 são considerados corações vermelhos❤️ e </t>
    </r>
    <r>
      <rPr>
        <rFont val="Microsoft JhengHei"/>
        <color theme="1"/>
        <u/>
      </rPr>
      <t>desaparecerão no dia seguinte</t>
    </r>
    <r>
      <rPr>
        <rFont val="Microsoft JhengHei"/>
        <color theme="1"/>
      </rPr>
      <t>...</t>
    </r>
  </si>
  <si>
    <t>Atualmente, não existe uso específico para coração amarelo💛. Por isso, até que haja uma implementação, 1💛 = 1❤️.</t>
  </si>
  <si>
    <t>Bribes Imouto with some money. When doing this, an empty heart will become a full yellow heart. If a heart already exists, it will have a yellow outline instead. Yellow hearts are considered purple hearts (red for now) and will disappear the next day</t>
  </si>
  <si>
    <t>撒嬌吧-妹妹的告白</t>
  </si>
  <si>
    <t>於"向妹妹撒嬌吧"中，選擇妹妹的告白</t>
  </si>
  <si>
    <t>甘える ~妹の告白</t>
  </si>
  <si>
    <t>「妹に甘える」で「妹の告白」を選択する</t>
  </si>
  <si>
    <t>Spoil Me! - Imouto's Confession</t>
  </si>
  <si>
    <t>Choose the option "Confess to Imouto" after selecting "Spoil me!"</t>
  </si>
  <si>
    <t>Not yet implemented</t>
  </si>
  <si>
    <t>Побалуй меня! - Признание сестры</t>
  </si>
  <si>
    <t>В разделе "Побалуй меня" выберите "Нежные слова".</t>
  </si>
  <si>
    <t>(Не реализовано)</t>
  </si>
  <si>
    <t>Sei lieb zu mir – Das Geständnis deiner Schwester</t>
  </si>
  <si>
    <t>Wähle in Sei lieb zu deiner Schwester – Das Geständnis deiner Schwester</t>
  </si>
  <si>
    <t>Chiều em ấy! - Lời yêu thương của em gái</t>
  </si>
  <si>
    <t>Chọn lựa chọn "Lời yêu thương" sau khi lựa chọn "Chiều em ấy"</t>
  </si>
  <si>
    <t>Chưa triển khai</t>
  </si>
  <si>
    <t>Me mime! - A confissão da minha imouto</t>
  </si>
  <si>
    <t>Em "Me mime!", escolha a "confissão da imouto".</t>
  </si>
  <si>
    <t>Ainda não implementado</t>
  </si>
  <si>
    <t>Manjakan aku! - pengakan Imouto</t>
  </si>
  <si>
    <t>Pilih opsi "mengaku ke Imouto" setelah memilih "Manjakan aku!"</t>
  </si>
  <si>
    <t>Masih belum dikembangkan</t>
  </si>
  <si>
    <t>撒嬌吧-和妹妹親吻</t>
  </si>
  <si>
    <t>於"向妹妹撒嬌吧"中，選擇和妹妹親吻</t>
  </si>
  <si>
    <t>甘える ~ 妹とキス</t>
  </si>
  <si>
    <t>「妹に甘える」で「妹とキス」を選択する</t>
  </si>
  <si>
    <t>Spoil Me! - Kiss Imouto</t>
  </si>
  <si>
    <t>Choose the option "Kiss Imouto" after selecting "Spoil me!"</t>
  </si>
  <si>
    <t>Побалуй меня! - Поцелуй сестры</t>
  </si>
  <si>
    <t>В разделе "Побалуй меня" выберите "Поцеловать".</t>
  </si>
  <si>
    <t>Sei lieb zu mir – Ein Kuss von deiner Schwester</t>
  </si>
  <si>
    <t>Wähle in Sei lieb zu deiner Schwester – Ein Kuss von deiner Schwester</t>
  </si>
  <si>
    <t>Chiều em ấy! - Hôn em gái</t>
  </si>
  <si>
    <t>Chọn lựa chọn "Hôn nhau" sau khi lựa chọn "Chiều em ấy"</t>
  </si>
  <si>
    <t>Me mime! - dê um beijo na sua imouto.</t>
  </si>
  <si>
    <t>Em "Me mime!", escolha "beijar sua imouto".</t>
  </si>
  <si>
    <t>Manjakan Aku! - Cium Imouto</t>
  </si>
  <si>
    <t>Pilih opsi "Cium Imouto" setelah memilih "Manjakan aku!"</t>
  </si>
  <si>
    <t>撒嬌吧-妹妹的膝枕</t>
  </si>
  <si>
    <t>於"向妹妹撒嬌吧"中，選擇妹妹的膝枕，使用"妹妹使用券"即可觸發</t>
  </si>
  <si>
    <t>觸發劇情
(目前版本必須使用道具，無法平時觸發)</t>
  </si>
  <si>
    <t>甘える ~ 妹の膝枕</t>
  </si>
  <si>
    <t>「妹に甘える」で「妹の膝枕」を選択し「妹のフリーパス」を使うと発生する</t>
  </si>
  <si>
    <t>イベントが発生する
（現在のバージョンではアイテムを使用する必要があり持っていない場合は選択できません）</t>
  </si>
  <si>
    <t>Spoil Me! - Lap Pillow</t>
  </si>
  <si>
    <t>Choose the option "Lap Pillow" after selecting "Spoil me!"</t>
  </si>
  <si>
    <t>Triggers the lap pillow event. (Currently, this requires an item and cannot be triggered normally)</t>
  </si>
  <si>
    <t>Побалуй меня! - Колени-подушка от сестры</t>
  </si>
  <si>
    <t>В разделе "Побалуй меня" выберите "Колени-подушка".</t>
  </si>
  <si>
    <t>Диалог с Имоуто.
(*Текущая версия не может быть запущена в обычном режиме)</t>
  </si>
  <si>
    <t>Sei lieb zu mir – Schoss deiner Schwester</t>
  </si>
  <si>
    <t>Wähle in Sei lieb zu deiner Schwester – Schoss deiner Schwester, dann nutze den Gutschein deiner Schwester, um es auszulösen.</t>
  </si>
  <si>
    <t>Ereignis auslösen (In der aktuellen Version muss ein Gegenstand benutzt werden, kann nicht normal ausgelöst werden)</t>
  </si>
  <si>
    <t>Chiều em ấy! - Gối đùi</t>
  </si>
  <si>
    <t>Chọn lựa chọn "Gối đùi" sau khi lựa chọn "Chiều em ấy"</t>
  </si>
  <si>
    <t>Xảy ra sự kiện
(Hiện tại cần sử dụng một vật phẩm và chưa thể kích hoạt bình thường)</t>
  </si>
  <si>
    <t>Me mime! - Almofada de colo da imouto</t>
  </si>
  <si>
    <t>Em "Me mime!", selecione a "almofada de colo da imouto" e use o "Passe Livre" para ativar o evento.</t>
  </si>
  <si>
    <t>Ocorre o evento
(Atualmente, isso requer o uso de um item e não pode ser acionado normalmente.)</t>
  </si>
  <si>
    <t>Manjakan Aku! - Bantal Pangkuan</t>
  </si>
  <si>
    <t>Pilih opsi "Bantal Pangkuan" setelah memilih "Manjakan aku!"</t>
  </si>
  <si>
    <t>Memicu adegan bantal pangkuan. (Saat ini, hal ini memerlukan item dan tidak bisa dipicu secara normal)</t>
  </si>
  <si>
    <t>B</t>
  </si>
  <si>
    <t>廁所相關</t>
  </si>
  <si>
    <t>トイレイベント</t>
  </si>
  <si>
    <t>Toilet Events</t>
  </si>
  <si>
    <t>Eventos en el Baño</t>
  </si>
  <si>
    <t>화장실 이벤트</t>
  </si>
  <si>
    <t>События в туалете</t>
  </si>
  <si>
    <t xml:space="preserve">Auf die Toilette bezoge Events </t>
  </si>
  <si>
    <t>Sự kiện trong nhà vệ sinh</t>
  </si>
  <si>
    <r>
      <rPr>
        <rFont val="Microsoft JhengHei"/>
        <b/>
        <color theme="1"/>
        <sz val="12.0"/>
      </rPr>
      <t>Eventos no lavabo</t>
    </r>
    <r>
      <rPr>
        <rFont val="Microsoft JhengHei"/>
        <b/>
        <color theme="1"/>
        <sz val="10.0"/>
      </rPr>
      <t>(privada e chuveiro ficam em cômodos diferentes)</t>
    </r>
  </si>
  <si>
    <t>Event terkait Toilet</t>
  </si>
  <si>
    <t>哥要加油</t>
  </si>
  <si>
    <t>於廁所待的時間過長，並持續N天</t>
  </si>
  <si>
    <t>大約第四天後，會被妹妹誤會哥哥身體有恙
暫無後續玩法</t>
  </si>
  <si>
    <t>お兄ちゃん…便秘なの？</t>
  </si>
  <si>
    <t>トイレで長く過ごし妹から不審に思われることが数日続く…</t>
  </si>
  <si>
    <t>4日目くらいから妹は兄が便秘だと誤解するようになる。
(後続のイベントは未実装)</t>
  </si>
  <si>
    <t>Do your best, Onii-chan</t>
  </si>
  <si>
    <t>Stay too long in the toilet and get called out for a couple of times</t>
  </si>
  <si>
    <t xml:space="preserve">After the fourth day, the sister will think you are constipated.
(No further events have yet been implemented)
</t>
  </si>
  <si>
    <t xml:space="preserve">大约第四天后，会被妹妹误会哥哥身体有恙 
（后续未实装）
</t>
  </si>
  <si>
    <t>Apurate hermano</t>
  </si>
  <si>
    <t>Permanece mucho tiempo en el baño y ser llamado un par de veces</t>
  </si>
  <si>
    <t>오빠 화장실에서 뭐 하고 있어?</t>
  </si>
  <si>
    <t>화장실에서 너무 오랜 시간을 보내 여동생에게 의심을 받게 됩니다.</t>
  </si>
  <si>
    <t>4일차쯤에 여동생은 오빠가 몸에 이상이 있나 하고 오해하게 됩니다. (후속 이벤트는 미구현)</t>
  </si>
  <si>
    <t>Ты сможешь Братик!</t>
  </si>
  <si>
    <t>Просидите в туалете очень долго и будьте окликнуты сестрой несколько раз.</t>
  </si>
  <si>
    <t>После чётвертого дня повторения данного действия, сестра подумает, что вы заболели.
(Дальнейшее развитие действие ещё не реализовано.)</t>
  </si>
  <si>
    <t>Gib dein Bestes, großer Bruder</t>
  </si>
  <si>
    <t>Bleibe zu lange auf der Toilette und werde ein paar Mal darauf hingewiesen</t>
  </si>
  <si>
    <t>Nach dem vierten Tag wird die Schwester denken, dass du verstopft bist. (Weitere Ereignisse wurden noch nicht implementiert.)</t>
  </si>
  <si>
    <t>Hãy làm tốt nhất, Onii-chan</t>
  </si>
  <si>
    <t>Ở trong toilet quá lâu và bị gọi ra ngoài vài lần</t>
  </si>
  <si>
    <t>Sau ngày thứ tư, em gái sẽ nghĩ bạn bị táo bón 
(Chưa có sự kiện theo sau nào được thực hiện)</t>
  </si>
  <si>
    <t>Faça o seu melhor, Onii-chan</t>
  </si>
  <si>
    <t>Ficar muito tempo no lavabo e ser chamado algumas vezes.</t>
  </si>
  <si>
    <t xml:space="preserve">Depois do quatro dia, sua imouto ira pensar que você está constipado.
(Eventos seguintes ainda não foram implementados)
</t>
  </si>
  <si>
    <t>Lakukan yang terbaik, Onii-chan</t>
  </si>
  <si>
    <t>Terlalu lama di toilet, dan berlangsung selama N hari</t>
  </si>
  <si>
    <t>Kira-kira setelah hari keempat, adik akan salah paham bahwa Onii-chan sakit. Belum ada gameplay lanjutan.</t>
  </si>
  <si>
    <t>發情的妹妹-1</t>
  </si>
  <si>
    <t>「喝點什麼」給妹妹餵「粉色金平糖」後，第一次必定觸發，然後請點選空白處回到召喚妹妹的畫面，會觸發劇情
(其他出現糖的場合，目前只是單純的過場)</t>
  </si>
  <si>
    <t>觸發妹妹在廁所解決需求的劇情
不同紫心會有差別演出
另外在發情的狀態下，平常時會有不同的對話、親密接觸等</t>
  </si>
  <si>
    <t>発情した妹-1</t>
  </si>
  <si>
    <t>『何か飲む？』と妹に『ピンクの金平糖』を与えた後、必ず最初にイベントが発生します。
妹を呼び出す画面に戻ると、イベントが進行します。（他の砂糖が登場する場面は、現時点では単なる演出です）</t>
  </si>
  <si>
    <t>妹がトイレで用を足すシーンを発生させます。💜に応じてイベントが分岐する！
また、興奮状態にあるときは、普段とは違う会話やスキンシップになる</t>
  </si>
  <si>
    <t>Sister in Heat - 1</t>
  </si>
  <si>
    <t>"After drinking something with the sister, choose to give her the ""Pink Konpeito"" candy.
Afterwards, she will be in heat. Summon her and talk to her directly. There is a chance she will go to the toilet.</t>
  </si>
  <si>
    <t>Trigger the event where the sister takes care of her needs in the toilet.
Purple hearts and desire will affect how the scene plays.
Furthermore, interactions with her in the room while she's in heat will be different.</t>
  </si>
  <si>
    <t>Hermana en celo -1</t>
  </si>
  <si>
    <t>Despues de beber algo con tu hermana, elige la opcion: ''Pink Konpeito - Dulce Rosa''. Despues, ella estara excitada. Habla con ella y habra una posiblidad de que ella vaya al baño.</t>
  </si>
  <si>
    <t>Activa el evento donde la hermana se encarga de sus necesidades en el baño. Aparte, las interacciones con ella en el cuarto mientras este excitada seran diferentes.</t>
  </si>
  <si>
    <t>흥분한 여동생 - 1</t>
  </si>
  <si>
    <t>뭔가 마시기를 누른 후 여동생에게 핑크색 별사탕을 주면 이벤트가 발생합니다.
그 후에 화면을 아무 데나 누른 다음 여동생이랑 상호작용을 하는 화면으로 다시 돌아가면 이벤트가 진행됩니다.
(다른 사탕이 등장하는 장면은 단순한 연출입니다.)</t>
  </si>
  <si>
    <t>여동생이 화장실에서 볼일을 보는 이벤트를 발생시키고 보유하고 있는 보라색 하트에 따라 연출이 달라집니다.
또한 흥분상태일 경우 평상시 대사나 스킨십 등이 달라집니다.</t>
  </si>
  <si>
    <t>Возбужденная сестрёнка 1</t>
  </si>
  <si>
    <t>После того как вы вместе выпьете напиток, выбери опцию дать сестре конфету «Розовый Конпэйто». После этого у неё начнётся «жар».
Позовите её и поговорите напрямую — есть шанс, что она пойдёт в туалет.</t>
  </si>
  <si>
    <t>Активируйте событие, в котором сестра справляет нужду в туалете. Фиолетовые сердца и желание повлияют на ход сцены. Кроме того, взаимодействие с ней в комнате во время течки будет отличаться.</t>
  </si>
  <si>
    <t>Meine Schwester in Hitze – 1</t>
  </si>
  <si>
    <t>Nachdem du etwas mit deiner Schwester getrunken hast, wähle die Option, ihr das ,,Rosa Konpeito-Bonbon" zu geben. 
Danach wird sie erregt sein. Rufe sie herbei und sprich direkt mit ihr. Es besteht eine Chance, dass sie zur Toilette geht.</t>
  </si>
  <si>
    <t>Löst das Ereignis aus, bei dem deine Schwester ihre Erregung auf der Toilette verrichtet. 
Lila Herzen und Verlangen beeinflussen den Ablauf dieses Events. 
Zudem werden Interaktionen mit ihr im Zimmer, während sie Erregt ist, anders ablaufen</t>
  </si>
  <si>
    <t>Em gái rạo rực - 1</t>
  </si>
  <si>
    <t>Sau khi uống gì đó với em gái,chọn đưa cho em ấy kẹo "Konpeito Hồng".
Sau đấy, em ấy sẽ trở nên rạo rực. Gọi em ấy và nói chuyện trực tiếp. Có khả năng em ấy sẽ đi vào toilet.</t>
  </si>
  <si>
    <t xml:space="preserve">Xảy ra sự kiện mà em gái cần chăm sóc bản thân trong toilet. Số tim tím và mong muốn sẽ ảnh hưởng đến cách cảnh xảy ra.
Thêm nữa, tương tác với em ấy khi em ấy đang rạo rực sẽ khác đi. </t>
  </si>
  <si>
    <t>Imouto no cío - 1</t>
  </si>
  <si>
    <t>Depois de "Beber alguma coisa" com a imouto, escolhar dar para ela o doce "Konpeito rosa".
Depois disso, ela vai estar no cio. Chame-a e fale com ela diretamente. Têm uma chance dela querer ir no lavabo.</t>
  </si>
  <si>
    <t>Ativa o evento em que a imouto cuida das suas próprias necessidades no lavabo.
Corações roxos💜 e desejo vão afetar como a cena irá desinrolar.
Além disso, interações com ela no banhero enquanto no cio serão diferentes.</t>
  </si>
  <si>
    <t>Adik yang birahi - 1</t>
  </si>
  <si>
    <t>Setelah memilih "Minum sesuatu" dan memberi makan "Permen Konpeitou Merah Muda" kepada adik, itu pasti akan terpicu pertama kali, lalu silakan klik area kosong untuk kembali ke layar memanggil adik, dan itu akan memicu alur cerita (di tempat lain di mana permen muncul, saat ini hanya adegan transisi).</t>
  </si>
  <si>
    <t>Memicu adegan di mana adik menyelesaikan kebutuhannya di toilet. Akan ada penampilan yang berbeda tergantung pada hati ungu yang berbeda. Selain itu, dalam kondisi birahi, akan ada dialog, kontak intim, dll. yang berbeda dari biasanya.</t>
  </si>
  <si>
    <t>發情的妹妹-2</t>
  </si>
  <si>
    <t>承上，當紫心達到一定程度後，哥哥能進入並且讓妹妹服務。</t>
  </si>
  <si>
    <t>使用手部進行特殊劇情</t>
  </si>
  <si>
    <t>発情した妹-2</t>
  </si>
  <si>
    <t>💜が一定のレベルに達すると、お兄ちゃんが入室して妹に奉仕させることができる</t>
  </si>
  <si>
    <t>手を使ったイベントが発生する</t>
  </si>
  <si>
    <t>Sister in Heat - 2</t>
  </si>
  <si>
    <t>Same as above. When the sister's purple heart reaches a certain level, the brother can go in the toilet and ask the sister for a service.</t>
  </si>
  <si>
    <t>Hands will be used to trigger special scenes.</t>
  </si>
  <si>
    <t>Hermana en celo -2</t>
  </si>
  <si>
    <t>Igual que arriba, Cuando los corazones morados de la hermana alcanzan cierto nivel, el hermano puede pedirle un servicio especial</t>
  </si>
  <si>
    <t>Se usaran las manos para activar escenas especiales</t>
  </si>
  <si>
    <t>흥분한 여동생 - 2</t>
  </si>
  <si>
    <t>보라색 하트가 일정 수준에 도달하면 오빠도 화장실에 들어가서 여동생한테 봉사를 받을 수 있게 됩니다.</t>
  </si>
  <si>
    <t>손을 사용한 이벤트가 발생합니다.</t>
  </si>
  <si>
    <t>Возбужденная сестрёнка 2</t>
  </si>
  <si>
    <t>То же самое, что и выше. Когда уровень «фиолетового сердца» сестры достигнет определённого значения, Куроха может зайти в туалет и попросить сестру об услуге.</t>
  </si>
  <si>
    <t>Для запуска специальных сцен будут использоваться руки.</t>
  </si>
  <si>
    <t>Meine Schwester in Hitze – 2</t>
  </si>
  <si>
    <t>Wie bereits erwähnt. Bei ausreichend hohem lila Herzen kannst du als Bruder deine Schwester aufsuchen und sie um besondere Gefälligkeiten bitten.</t>
  </si>
  <si>
    <t>Löst das „C"-Tötungsereignis aus. Hinweis: Du musst „C" nicht vorher finden</t>
  </si>
  <si>
    <t>Em gái đang rạo rực - 2</t>
  </si>
  <si>
    <t>Giống như trên. Khi số tim tím của em gái đạt đến một mức nhất định, anh trai có thể đi vào và hỏi em gái một dịch vụ</t>
  </si>
  <si>
    <t>Bàn tay sẽ được sử dụng để bắt đầu những cảnh đặc biệt.</t>
  </si>
  <si>
    <t>Imouto no cío - 2</t>
  </si>
  <si>
    <t>O mesmo que o de cima. Quando os corações roxos💜 atingirem um certo nível, o onii-chan poderá ir ao lavabo e pedir pelos serviços da imouto.</t>
  </si>
  <si>
    <t>Mão serão usadas para ativar essa cena especial.</t>
  </si>
  <si>
    <t>Adik yang birahi - 2</t>
  </si>
  <si>
    <t>Setelah hati ungu mencapai tingkat tertentu, Onii-chan dapat masuk dan membiarkan adik melayaninya.</t>
  </si>
  <si>
    <t>Gunakan tangan untuk melakukan alur cerita khusus</t>
  </si>
  <si>
    <t>發情的妹妹-3</t>
  </si>
  <si>
    <t>承第1點，若此時遇到蟑螂的突擊，觸發一種分歧</t>
  </si>
  <si>
    <t>觸發打蟑螂劇情
備註：無須發現Z的前置操作
(未實裝)</t>
  </si>
  <si>
    <t>発情した妹-3</t>
  </si>
  <si>
    <t>この時にゴキブリ(G)の襲撃に遭遇した場合、分岐が発生する</t>
  </si>
  <si>
    <t>ゴキブリ(G)を叩くシナリオを発動
備考：Gの前提操作を発見する必要はない</t>
  </si>
  <si>
    <t>Sister in Heat - 3</t>
  </si>
  <si>
    <t>Based on Sister in Heat - 1, if you encounter a "C" at this time, the plot will branch out differently.</t>
  </si>
  <si>
    <t>Triggers the "C" killing event. Will lead to a blowjob at Fapping Sister.
Note: You don't need to find "C" beforehand
(Not yet implemented)</t>
  </si>
  <si>
    <t>Hermana en celo -3</t>
  </si>
  <si>
    <t>Basado en ''Hermana excitada -1'' si te encuentras a la criatura ''C'' en este momento, el evento tendra otra direccion</t>
  </si>
  <si>
    <t>Activa el evento de matar la criatura ''C''. NOTA: No puedes encontrar a la criatura ''C'' antes de esto.</t>
  </si>
  <si>
    <t>흥분한 여동생 - 3</t>
  </si>
  <si>
    <t>이 때 바퀴벌레랑 조우하게 되면 분기점이 발생합니다.</t>
  </si>
  <si>
    <t>바퀴벌레를 때려잡는 이벤트가 발생합니다.
(바퀴벌레를 사전에 볼 필요가 없습니다.) 
미구현</t>
  </si>
  <si>
    <t>Возбужденная сестрёнка 3</t>
  </si>
  <si>
    <t>Основываясь на "Возбужденная сестрёнка 1", если вы встретите с тараканом в это время, сюжет будет развиваться по-другому.</t>
  </si>
  <si>
    <t>Запускает событие убийства таракана. Приведёт к минету в событии "Мастурбирующая Имоуто".
Примечание: Вам не нужно искать таракана заранее.
(Пока не реализовано)</t>
  </si>
  <si>
    <t>Meine Schwester in Hitze – 3</t>
  </si>
  <si>
    <t>Basierend auf ,,Schwester in Hitze - 1": Bei einer Begegnung mit „C" zu diesem Zeitpunkt nimmt das Event einen alternativen Verlauf.</t>
  </si>
  <si>
    <t>Hände werden verwendet, um ein besonderes Event auszulösen</t>
  </si>
  <si>
    <t>Em gái đang rạo rực - 3</t>
  </si>
  <si>
    <t>Dựa trên "Em gái đang rạo rực - 1", nếu bạn gặp Gián lần này, câu truyện sẽ rẽ sang hướng khác.</t>
  </si>
  <si>
    <t>Xảy ra sự kiện giết Gián 
Ghi chú: bạn không cần tìm ra Gián trước đó
(Chưa được thực hiện)</t>
  </si>
  <si>
    <t>Imouto no cío - 3</t>
  </si>
  <si>
    <t>Baseado na Imouto no cío - 1, se você encontar a  "B" nessa hora, a história irá desenrolar de uma forma diferente.</t>
  </si>
  <si>
    <t>Ativa o evento de matar a "B". Vai levar a uma felação da Imouto se masturbando.
Nota: Você não precisa achar "B" de antemão.
(ainda não implementado)</t>
  </si>
  <si>
    <t>Adik yang birahi - 3</t>
  </si>
  <si>
    <t>Berdasarkan "Adik yang birahi - 1" jika dihampiri oleh kecoa, akan memicu suatu percabangan.</t>
  </si>
  <si>
    <t>Memicu event membunuh kecoa. 
Catatan: Tidak perlu menemukan kecoa (belum diimplementasikan)</t>
  </si>
  <si>
    <t>憋不住了-1</t>
  </si>
  <si>
    <t>部分食材，(例如：垃圾、紫丁香蘑菇、月夜茸)，做成料理後，都有相當的概率讓哥哥進入食物中毒狀態</t>
  </si>
  <si>
    <t>一段時間後強制觸發腹瀉事件，大量損失體力並減少夜晚的自由活動時間。
還有機率同時觸發妹妹的憋尿事件。</t>
  </si>
  <si>
    <t>我慢できない…-1</t>
  </si>
  <si>
    <t>特定の食材（ゴミ、紫丁香のキノコ、月夜茸）を使った料理は、お兄ちゃんが食中毒になる可能性があります。</t>
  </si>
  <si>
    <t>後に強制的に下痢のイベントが発生し、大量の体力を失い夜間の自由行動時間が減ります。また、妹の我慢できないイベントが同時に発生する可能性もあります</t>
  </si>
  <si>
    <t>I can't hold it any longer... - 1</t>
  </si>
  <si>
    <t>Some food ingredients such as Junk, Lilac Mushrooms, Moonlight Mushroom, etc. have a chance to cause food poisoning when cooked. Food poisoning only affects the brother and will upset his stomach.</t>
  </si>
  <si>
    <t>After eating the food, a diarrhea event will trigger. Your health will significantly deplete as well as your free time for the night. 
There is also a chance to trigger the event where the sister would hold her pee and try to hurry you up.</t>
  </si>
  <si>
    <t>部分食材，(例如：垃圾、紫丁香蘑菇、月夜茸)，做成料理后，都有一定的概率让哥哥进入食物中毒状态</t>
  </si>
  <si>
    <t>No puedo aguantarme!</t>
  </si>
  <si>
    <t>더 이상 참을 수 없어 -1</t>
  </si>
  <si>
    <t>특정 식재료(쓰레기, 라일락 버섯, 달빛버섯)로 요리를 만들게 되면 오빠가 식중독에 걸릴 가능성이 있습니다.</t>
  </si>
  <si>
    <t>나중에 설사 이벤트가 강제로 발생하며 체력을 크게 소모하고 밤에 자유 행동 시간이 줄어듭니다.
또한, 여동생의 참기 이벤트가 동시에 발생할 가능성도 있습니다.</t>
  </si>
  <si>
    <t>Я больше не могу это терпеть... - 1</t>
  </si>
  <si>
    <t>Некоторые пищевые ингредиенты, такие как фастфуд, лиловые грибы, лунные грибы и т. д., при термической обработке могут вызвать пищевое отравление. Пищевое отравление затронет только Куроху и вызовет у него расстройство желудка.</t>
  </si>
  <si>
    <t>После употребления пищи начнётся диарея. Ваше здоровье значительно ухудшится, а также сократится свободное время ночью.
Также есть вероятность, что сестра будет терпеть и пытаться вас поторопить.</t>
  </si>
  <si>
    <t>Ich kann es nicht mehr halten... - 1</t>
  </si>
  <si>
    <t>Einige Lebensmittelzutaten wie Abfall, Fliederpilze, Mondlichtpilze usw. haben eine Chance, bei der Zubereitung Lebensmittelvergiftung zu verursachen. Dies betrifft nur den Bruder und wird ihm Magenbeschwerden bereiten.</t>
  </si>
  <si>
    <t>Nach dem Essen des Gerichts wird ein Durchfall-Ereignis ausgelöst. Deine Gesundheit wird erheblich sinken, ebenso wie deine freie Zeit für die Nacht. Es gibt auch eine Chance, dass das Ereignis ausgelöst wird, bei dem deine Schwester ihr Urin zurückhält und versucht, dich zu beeilen.</t>
  </si>
  <si>
    <t>Mình không thể nhịn thêm được nữa... - 1</t>
  </si>
  <si>
    <t>Một số nguyên liệu như Rác, Nấm Liliac, Nấm Ánh Trăng, vv,... có cơ hội gây ngộ độc thức ăn khi được nấu. Ngộ độc chỉ ảnh hưởng đến anh trai và sẽ gây đau bụng.</t>
  </si>
  <si>
    <t>Sau khi ăn xong, một sự kiện bị tiêu chảy sẽ xảy ra. Sức khỏe của bạn sẽ bị giảm sút đáng kể cũng như thời gian rảnh rỗi của bạn vào buổi tối.
Cũng có khả năng xảy ra sự kiện mà em gái sẽ cố nhịn tiểu và giục bạn nhanh lên.</t>
  </si>
  <si>
    <t>Eu não consigo mais segurar... - 1</t>
  </si>
  <si>
    <t>Alguns ingredientes pra comida como Sucata, Cogumelo Lilac, Cogumelo Moonlight, etc. tem uma chance de causa intoxicação alimentar quando cozido. intoxicação alimentar só afeta o Onii-chan e vão irritar seu estômago.</t>
  </si>
  <si>
    <t>Depois de comer comida, um evento de diarréia ocorrerá. Seu PV irão signficantemente diminuir assim como o seu tempo livre de noite. 
Existe também uma chance de ocorrer um evento em que a sua imouto irá segurar a vontade de fazer xixi e apressar o Onii-chan.</t>
  </si>
  <si>
    <t>Tidak bisa menahannya lagi - 1</t>
  </si>
  <si>
    <t>Beberapa bahan, (misalnya: sampah, jamur lilac, jamur malam), memiliki kemungkinan besar menyebabkan kakak keracunan makanan setelah dimasak.</t>
  </si>
  <si>
    <t>Setelah beberapa saat, diare akan dipicu secara paksa, yang mengakibatkan hilangnya banyak kekuatan fisik dan mengurangi waktu aktivitas bebas di malam hari. Ada juga kemungkinan peristiwa menahan kencing adik dipicu pada saat yang sama.</t>
  </si>
  <si>
    <t>憋不住了-2</t>
  </si>
  <si>
    <t>如果食材還混入了辣椒，會進一步強化腹瀉的副作用</t>
  </si>
  <si>
    <t>隔天冒險時，哥哥會因為屁股痛無法奔跑。
※這個是可透過塔羅牌、胡蘿蔔牛奶清除的異常狀態
※目前版本會一直維持，之後會修改為定時解除</t>
  </si>
  <si>
    <t>我慢できない…-2</t>
  </si>
  <si>
    <t>食材に唐辛子が混ざっていた場合、下痢がさらに強化される…</t>
  </si>
  <si>
    <t>翌日の探索で、お兄ちゃんはお尻が痛くて走れなくなります。（解除可能）</t>
  </si>
  <si>
    <t>I can't hold it any longer... - 2</t>
  </si>
  <si>
    <t>Aside from the poisonous food ingredients, adding Chili in to the mix will further worsen the effects of the diarrhea induced by food poisoning.</t>
  </si>
  <si>
    <t>When the next day comes, the brother's butt will severely hurt, which prevents him from running.
*This effect can be removed by the Tarot card "Justice" or by drinking Carrot Milk.*
*The current version we have will be maintained and will be modified later.</t>
  </si>
  <si>
    <t>No puedo aguantarme! 2</t>
  </si>
  <si>
    <t>더 이상 참을 수 없어 -2</t>
  </si>
  <si>
    <t>식재료에 고추가 섞여 있으면 설사가 더욱 심해집니다.</t>
  </si>
  <si>
    <t>다음 날 모험 시 엉덩이가 아파서 달릴 수 없게 됩니다.
이 상태는 타로 카드나 당근 우유로 해제할 수 있습니다..
현재 버전에서는 상태가 계속 유지되지만 이후에는 일정 시간 후 자동 해제되도록 수정될 예정입니다.</t>
  </si>
  <si>
    <t>Я больше не могу это терпеть... - 2</t>
  </si>
  <si>
    <t>Помимо ядовитых пищевых ингредиентов, добавление перца чили в блюдо ещё больше усугубит последствия диареи, вызванной пищевым отравлением.</t>
  </si>
  <si>
    <t>На следующий день у Курохи сильно заболит живот, что помешает ему бегать.
*Этот эффект можно снять с помощью карты Таро «Справедливость» или выпив морковного молока.*
*Текущая версия будет сохранена и будет изменена в будущем.*</t>
  </si>
  <si>
    <t>Ich kann es nicht mehr halten... - 2</t>
  </si>
  <si>
    <t>Abgesehen von den giftigen Zutaten wird das Hinzufügen von Chili die Auswirkungen der durch Lebensmittelvergiftung verursachten Durchfallerkrankung noch weiter verschlimmern.</t>
  </si>
  <si>
    <t>Wenn der nächste Tag kommt, wird der Hintern des Bruders stark schmerzen, was ihn daran hindert, zu rennen.</t>
  </si>
  <si>
    <t>Mình không thể nhịn thêm được nữa... - 2</t>
  </si>
  <si>
    <t>Bên cạnh những nguyên liệu gây ngộ độc, thêm Ớt vào hỗn hợp sẽ làm tồi tệ hơn tình trạng tiêu chảy gây ra bởi ngộ độc thực phẩm.</t>
  </si>
  <si>
    <t>Khi ngày tiếp theo đến, mông của anh trai sẽ bị đau dữ dội, ngăn cản việc chạy.
*Hiệu ứng này có thể được loại bỏ nhờ lá bài Tarot "Công Lí" hoặc bằng cách uống Sữa Cà Rốt.*
*Phiên bản hiện tại mà chúng ta có sẽ được giữ nguyên và sẽ chỉnh sửa sau.</t>
  </si>
  <si>
    <t>Eu não consigo mais segurar... - 2</t>
  </si>
  <si>
    <t>Junto com os ingredientes venenoso, adicionar Chili na mistura irá piorar ainda mais os efeitos da diárreia por intoxicação alimentar.</t>
  </si>
  <si>
    <t>Quando o dia seguinte chegar, a bunda do onii-chan estará doendo muito, que o impedirá de correr.
*Esse efeito pode ser removido pela carta de tarô "justiça" ou ao beber leite de cenoura.*
*Na versão atual que temos será mantida e no futuro modificada.</t>
  </si>
  <si>
    <t>Tidak bisa menahannya lagi - 2</t>
  </si>
  <si>
    <t>Jika bahan-bahan dicampur dengan cabai, efek samping diare akan semakin kuat.</t>
  </si>
  <si>
    <t>Keesokan harinya saat berpetualang, Onii-chan tidak bisa berlari karena sakit pantat. 
※Ini adalah kondisi abnormal yang dapat dihilangkan dengan kartu Tarot atau susu wortel. 
※Versi saat ini akan bertahan selamanya dan akan diubah menjadi penghilangan waktu nanti.</t>
  </si>
  <si>
    <t>氣息消除-4</t>
  </si>
  <si>
    <t>廁所門改造</t>
  </si>
  <si>
    <t>気配遮断-4</t>
  </si>
  <si>
    <t>トイレのドア改造することが出来る…</t>
  </si>
  <si>
    <t>Breath Concealment - 4</t>
  </si>
  <si>
    <t>Onii-chan can also modify the door of the toilet into another ninja door.</t>
  </si>
  <si>
    <t>*Not yet implemented.</t>
  </si>
  <si>
    <t>기척 제거 - 4</t>
  </si>
  <si>
    <t>화장실 문을 개조할 수 있습니다.</t>
  </si>
  <si>
    <t>Маскировка дыхания - 4</t>
  </si>
  <si>
    <t>Куроха также может превратить дверь туалета в Дверь ниндзя.</t>
  </si>
  <si>
    <t>*Пока не реализовано.</t>
  </si>
  <si>
    <t>Atemverhüllung - 4</t>
  </si>
  <si>
    <t>Großer Bruder kann auch die Tür der Toilette in eine andere Ninja-Tür umwandeln</t>
  </si>
  <si>
    <t>Noch nicht implementiert. Bitte warte, bis die nächtlichen Überfälle überarbeitet wurden</t>
  </si>
  <si>
    <t>Giấu hơi thở - 4</t>
  </si>
  <si>
    <t>Onii-chan cũng có thể điều chỉnh cửa nhà vệ sinh thành một cánh cửa ninja khác.</t>
  </si>
  <si>
    <t>*Chưa được thực hiện</t>
  </si>
  <si>
    <t>Ocultar a Respiração - 4</t>
  </si>
  <si>
    <t>Onii-chan pode modificar a porta do lavabo em outra porta ninja.</t>
  </si>
  <si>
    <t>*Ainda não implementado</t>
  </si>
  <si>
    <t>Penghapusan Nafas - 4</t>
  </si>
  <si>
    <t>Modifikasi pintu toilet</t>
  </si>
  <si>
    <t>Belum diimplementasikan</t>
  </si>
  <si>
    <t>想上廁所...1</t>
  </si>
  <si>
    <t>在迷失森林中，被Z(蟑螂)纏住，讓牠跟著你回家。
冒險回家後前往廁所-&gt;翻找-&gt;找到類似蟑螂的生物(Z)。
之後平時在房間中呼叫妹妹時，有機率觸發廁所事件。</t>
  </si>
  <si>
    <t>妹妹在不同紫心時，觸發後會有不同演出
※只能觸發一次※</t>
  </si>
  <si>
    <t>トイレに行きたい…1</t>
  </si>
  <si>
    <t>冒険から帰った後、トイレに行く-&gt; 探索する -&gt; ゴキブリに似た生物（G）を見つける。その後、普段部屋で妹を呼ぶときに、トイレイベントが発生する確率がある。</t>
  </si>
  <si>
    <t>妹の💜の数に応じて、異なる演出がある
※一度だけ発生する※</t>
  </si>
  <si>
    <t>I need to go to the toilet... - 1</t>
  </si>
  <si>
    <t>First, you must get the "C" to follow you home by finding one in the Abandoned Forest. (Getting touched by it will give you a debuff)
Once you get home from adventure, select the options Go to toilet -&gt; Searching until you find it
Later, when you call out your sister in her room, there is a chance the Toilet Event will occur.</t>
  </si>
  <si>
    <t>Purple hearts and desire will affect how the scene plays.
*Can only happen once</t>
  </si>
  <si>
    <t>Necesito ir al baño... -1</t>
  </si>
  <si>
    <t>Una vez hayas regresado de la aventura, Selecciona la opcion: Ir al baño &gt; Buscar &gt; Hasta que encuentras a la criatura llamada ''C'', Mas tarde, cuando estes en el cuarto con tu hermana, hay una posiblidad de que se active un Evento del baño.</t>
  </si>
  <si>
    <t>Los corazones morados y el deseo afectarán a cómo se desarrolla la escena.</t>
  </si>
  <si>
    <t>화장실에 가고 싶어... - 1</t>
  </si>
  <si>
    <t>집으로 돌아온 후, 화장실 가기 → 탐색하기를 눌러 바퀴벌레를 찾을 때까지 탐색합니다.
그 후, 방에서 여동생을 부르면 일정 확률로 화장실 이벤트가 발생할 수 있습니다.</t>
  </si>
  <si>
    <t>여동생의 보라색 하트 개수에 따라 각각 다른 연출이 있습니다.
※한 번만 발동 가능※</t>
  </si>
  <si>
    <t>Мне нужно в туалет... - 1</t>
  </si>
  <si>
    <t>Сначала вам нужно заставить таракана следовать за вами домой, найдя его в Затерянном лесу. (Прикосновение к нему наложит на вас дебафф.)
Как только вы вернетесь домой после приключения, выберите опцию «Идти в туалет» -&gt; «Поиск», пока не найдете его (таракана).
Позже, когда вы позовете сестру в её комнату, есть вероятность, что произойдет событие с туалетом.</t>
  </si>
  <si>
    <t>Фиолетовые сердечки и желание повлияют на развитие сцены.
*Может произойти только один раз.</t>
  </si>
  <si>
    <t>Ich muss auf die Toilette... – 1</t>
  </si>
  <si>
    <t>Wenn du nach Hause kommst, wählst du die Optionen ,,Zur Toilette gehen" -&gt; Suchen bis du eine Kreatur namens ,,C" findest. 
Später, wenn du deine Schwester in ihrem Zimmer rufst, besteht die Chance dass das Toiletten-Ereignis eintritt.</t>
  </si>
  <si>
    <t>Lila Herzen und Verlangen beeinflussen das Event.
※Kann nur einmal ausgelöst werden※</t>
  </si>
  <si>
    <t>Mình cần đi vệ sinh... - 1</t>
  </si>
  <si>
    <t>Trước hết, bạn phải làm cho "C" đi theo bạn bằng cách tìm một con trong Khu Rừng Bỏ Hoang (bị nó chạm vào sẽ gây ra một debuff)
Khi bạn về nhà từ cuộc thám hiểm, chọn lựa chọn Đi vào toilet -&gt; Tìm đến khi tìm thấy một con
Sau đó, khi bạn gọi em gái ra từ trong phòng, có cơ hội Sự kiện trong nhà vệ sinh sẽ xảy ra.</t>
  </si>
  <si>
    <t>Số tim tím và mong muốn sẽ thay đổi cách cảnh diễn ra.
*Chỉ xảy ra một lần</t>
  </si>
  <si>
    <t>Eu preciso ir ao banheiro... - 1</t>
  </si>
  <si>
    <r>
      <rPr>
        <rFont val="Microsoft JhengHei"/>
        <color theme="1"/>
      </rPr>
      <t>Primeiro, você precisa achar a "B" para que ela possa te seguir até em casa, você consegue achá-la na Floresta Abandonada (</t>
    </r>
    <r>
      <rPr>
        <rFont val="Microsoft JhengHei"/>
        <b/>
        <color theme="1"/>
      </rPr>
      <t xml:space="preserve">Abandoned Forest usar o </t>
    </r>
    <r>
      <rPr>
        <rFont val="Microsoft JhengHei"/>
        <b/>
        <color theme="1"/>
        <u/>
      </rPr>
      <t>map</t>
    </r>
    <r>
      <rPr>
        <rFont val="Microsoft JhengHei"/>
        <b/>
        <color theme="1"/>
      </rPr>
      <t>a que está em inglês)</t>
    </r>
    <r>
      <rPr>
        <rFont val="Microsoft JhengHei"/>
        <color theme="1"/>
      </rPr>
      <t xml:space="preserve">. ( Ao ser tocado por ela, você vai receber um efeito </t>
    </r>
    <r>
      <rPr>
        <rFont val="Microsoft JhengHei"/>
        <i/>
        <color theme="1"/>
      </rPr>
      <t>(debuff)</t>
    </r>
    <r>
      <rPr>
        <rFont val="Microsoft JhengHei"/>
        <color theme="1"/>
      </rPr>
      <t>)
Uma vez que você chegue dessa aventura, seleciona a opção "Ir ao banheiro" -&gt;Procure até achar uma criatura chamada "B".
Mais tarde, quando você chamar a sua imouto no quarto dela, existe uma chance do Evento no Lavabo ocorrer.</t>
    </r>
  </si>
  <si>
    <t>Corações roxos💜/desejo irão afetar como a cena desenrola.
*Só pode ocorrer uma vez</t>
  </si>
  <si>
    <t>Ingin ke toilet... - 1</t>
  </si>
  <si>
    <t>Di hutan yang hilang, Anda terjerat oleh Z (kecoa) dan membawanya pulang. Setelah petualangan pulang, pergi ke toilet -&gt; cari -&gt; temukan makhluk seperti kecoa (Z). Setelah itu, saat memanggil adik perempuan Anda di kamar, ada kemungkinan memicu kejadian toilet.</t>
  </si>
  <si>
    <t>Adik akan memiliki pertunjukan yang berbeda saat dipicu pada hati ungu yang berbeda 
※Hanya dapat dipicu sekali※</t>
  </si>
  <si>
    <t>想上廁所...2</t>
  </si>
  <si>
    <t>妹妹平常時，有小概率觸發上廁所的事件，喝飲料的話會增加概率。</t>
  </si>
  <si>
    <t>觸發是否前往廁所偷看的選項
※未實裝</t>
  </si>
  <si>
    <t>トイレに行きたい…2</t>
  </si>
  <si>
    <t>妹がトイレに行くイベントが低確率で発生し、飲み物を飲むことでその確率が増加する。</t>
  </si>
  <si>
    <t>トイレに行くかどうかの選択肢を選択する
※未実装</t>
  </si>
  <si>
    <t>I need to go to the toilet... - 2</t>
  </si>
  <si>
    <t>Normally, there is a small chance that the sister will go to the toilet. Drinking beverages increases this chance.</t>
  </si>
  <si>
    <t xml:space="preserve">Allows you to trigger the option of peeking in the toilet.
*Not yet implemented
</t>
  </si>
  <si>
    <t>Necesito ir al baño... -2</t>
  </si>
  <si>
    <t>Normalmente, hay una pequeña probabilidad de que la hermana vaya al baño. Al tomar bebidas se puede incrementar la probabilidad</t>
  </si>
  <si>
    <t>Te permite activar la opcion de espiar en el baño.
*no implementado</t>
  </si>
  <si>
    <t>화장실에 가고 싶어... - 2</t>
  </si>
  <si>
    <t>여동생이 평소에 화장실 가는 이벤트가 발생할 확률이 낮게 설정되어 있지만 음료를 마시면 그 확률이 증가합니다.</t>
  </si>
  <si>
    <t>화장실에 몰래 들어가서 보는 선택지가 활성화됩니다.</t>
  </si>
  <si>
    <t>Мне нужно в туалет... - 2</t>
  </si>
  <si>
    <t>Обычно существует небольшая вероятность того, что сестра сходит в туалет.
Употребление напитков увеличивает эту вероятность.</t>
  </si>
  <si>
    <t>Позволяет активировать опцию подглядывания в туалете.
*Пока не реализовано</t>
  </si>
  <si>
    <t>Ich muss auf die Toilette... – 2</t>
  </si>
  <si>
    <t>Es besteht jetzt eine geringe Chance, dass deine Schwester zur Toilette geht. Das Trinken von Getränken erhöht diese Wahrscheinlichkeit.</t>
  </si>
  <si>
    <t>Ermöglicht die Spionier-Option in der Toilette.</t>
  </si>
  <si>
    <t>Mình cần đi vệ sinh... - 2</t>
  </si>
  <si>
    <t>Bình thường, có một cơ hội nhỏ em gái sẽ đi vệ sinh. Đồ uống sẽ làm gia tăng khả năng này.</t>
  </si>
  <si>
    <t>Cho bạn lựa chọn nhìn trộm trong toilet.
*Chưa được thực hiện</t>
  </si>
  <si>
    <t>Eu preciso ir ao banheiro... - 2</t>
  </si>
  <si>
    <t>Normalmente, existe uma pequena chance da imouto ir ao banheiro(lavabo). Beber algo aumenta essa chance.</t>
  </si>
  <si>
    <t xml:space="preserve">Permite você ativar a opção de espiar no lavabo.
*Ainda não implementado
</t>
  </si>
  <si>
    <t>Ingin ke toilet... - 2</t>
  </si>
  <si>
    <t>Adik memiliki kemungkinan kecil untuk memicu event pergi ke toilet pada waktu normal, dan minum minuman akan meningkatkan kemungkinan tersebut.</t>
  </si>
  <si>
    <t>Memicu opsi untuk pergi ke toilet dan mengintip 
*Belum diimplementasikan*</t>
  </si>
  <si>
    <t>廁所Play-1</t>
  </si>
  <si>
    <t>若妹妹在廁所時前往偷窺
且妹妹處於自摸的狀態(粉紅金平糖)，哥哥可以在偷窺時一邊偷偷打手槍，若未被發現則安全結束</t>
  </si>
  <si>
    <t>觸發劇情
※目前尚未實裝被發現的相關劇情</t>
  </si>
  <si>
    <t>トイレPlay-1</t>
  </si>
  <si>
    <t>妹がトイレにいるときに覗きに行くと、妹がオナニーしているのをお兄ちゃんが覗きこっそりオナニーする…バレなければ無事に帰ることが出来る。</t>
  </si>
  <si>
    <t>ストーリーを進める
※現在、発見に関連するストーリーは未実装</t>
  </si>
  <si>
    <t>Fapping Sister - 1</t>
  </si>
  <si>
    <t>An event will trigger where you can spy the sister touching herself in the toilet after giving her the pink konpeito candy. While peeping, onii-chan can masturbate and if he doesn't get discovered, it will end safely.</t>
  </si>
  <si>
    <t>Triggers the toilet peeking event.</t>
  </si>
  <si>
    <t>"若妹妹在厕所时前往偷窥
且妹妹处于自我高潮的状态(粉红金平糖)，哥哥可以在偷窥时一边偷偷申请起飞，若未被发现则起飞成功"</t>
  </si>
  <si>
    <t>Masturbacion de la hermana -1</t>
  </si>
  <si>
    <t>Un evento se activara donde puedes espiar a tu hermana masturbandose en el baño, mientras espias, el hermano puede masturbarse y si no lo descubren, acabara bien.</t>
  </si>
  <si>
    <t>Un evento sera activado</t>
  </si>
  <si>
    <t>화장실Play - 1</t>
  </si>
  <si>
    <t xml:space="preserve">
여동생이 화장실에 있을 때 몰래 엿보러 간다면 여동생이 자위하고 있는 걸 볼 수 있습니다. 
오빠는 그걸 몰래 엿보면서 자위할 수 있고 들키지만 않으면 무사히 돌아갈 수 있습니다.
.</t>
  </si>
  <si>
    <t>이벤트가 발생합니다.</t>
  </si>
  <si>
    <t>Мастурбирующая Имоуто - 1</t>
  </si>
  <si>
    <t>Запустится событие, в котором вы сможете подсмотреть, как сестра трогает себя в туалете после того, как вы дадите ей розовую конфету конпейто. Подглядывая, Куроха может мастурбировать, и если его не обнаружат, всё закончится благополучно.</t>
  </si>
  <si>
    <t>Запускает событие, подглядывание в туалете.</t>
  </si>
  <si>
    <t>Selbstbefriedigende Schwester - 1</t>
  </si>
  <si>
    <t>Es kann zu einer Szene kommen, in der deine Schwester in der Toilette intim mit sich selbst beschäftigt ist. Onii-chan hat die Möglichkeit, sie heimlich zu beobachten und sich dabei selbst zu befriedigen, solange er nicht ertappt wird.</t>
  </si>
  <si>
    <t>Ein Event wird ausgelöst.</t>
  </si>
  <si>
    <t>Em gái thẩm - 1</t>
  </si>
  <si>
    <t>Một sự kiện sẽ xảy ra mà bạn có thể bí mật theo dõi em gái trong nhà vệ sinh. Khi nhìn trộm, onii-chan có thể thủ dâm và nếu không bị phát hiện, nó sẽ kết thúc an toàn.</t>
  </si>
  <si>
    <t>Xảy ra sự kiện nhìn trộm trong toilet.</t>
  </si>
  <si>
    <t>Imouto se tocando - 1</t>
  </si>
  <si>
    <t xml:space="preserve">Um evento ocorrerá onde você espiará sua imouto se tocando no lavabo. Enquanto fazendo xixi, onii-chan pode se tocar e se ele não for descoberto, isso terminará sem implicações.
</t>
  </si>
  <si>
    <t>Ativo o evento de espiar no lavabo.</t>
  </si>
  <si>
    <t>Toilet Play-1</t>
  </si>
  <si>
    <t>Jika mengintip adik di toilet dan berada dalam keadaan masturbasi (permen merah muda), Onii-chan dapat diam-diam melakukan masturbasi saat mengintip, dan jika tidak ditemukan, itu akan berakhir dengan aman.</t>
  </si>
  <si>
    <t>Memicu alur cerita 
*Saat ini, alur cerita terkait yang ditemukan belum diterapkan*</t>
  </si>
  <si>
    <t>廁所Play-2</t>
  </si>
  <si>
    <t>同上
若哥哥打手槍時被發現，且妹妹處於低紫心的狀態，觸發一種分歧</t>
  </si>
  <si>
    <t>觸發相關劇情
※目前尚未實裝被發現的相關劇情</t>
  </si>
  <si>
    <t>トイレPlay-2</t>
  </si>
  <si>
    <t>お兄ちゃんがオナニーをしている所を見つかり妹の💜が低い状態にある場合、イベントが分岐する</t>
  </si>
  <si>
    <t>関連するストーリーを発生させる
※現在、発見に関連するストーリーは未実装</t>
  </si>
  <si>
    <t>Fapping Sister - 2</t>
  </si>
  <si>
    <t>Branching from Fapping Sister - 1, if the sister has a low purple heart and you get caught jerking off, the event will branch out differently</t>
  </si>
  <si>
    <t>Triggers the related event.
*Currently, the related event is not yet implemented</t>
  </si>
  <si>
    <t xml:space="preserve">同上 若哥哥起飞时被发现，且妹妹处于低紫心的状态，则会触发一种分支剧情
</t>
  </si>
  <si>
    <t>Masturbacion de la hermana -2</t>
  </si>
  <si>
    <t>Igual que arriba, si te descubren mientras te masturbas y tu hermana tiene pocos corazones morados, el evento tendra otra direccion.</t>
  </si>
  <si>
    <t>Activa el evento relacionado</t>
  </si>
  <si>
    <t>화장실Play - 2</t>
  </si>
  <si>
    <t>오빠가 여동생을 보며 자위하는 걸 들킨 상태에서 여동생이 낮은 보라색 하트 상태일 경우 분기점이 발생합니다.</t>
  </si>
  <si>
    <t>이벤트가 발생합니다.
미구현</t>
  </si>
  <si>
    <t>Мастурбирующая Имоуто - 2</t>
  </si>
  <si>
    <t>Продолжение события «Мастурбирующая Имоуто - 1»: если у сестры мало фиолетовых сердечек и вас застанут за мастурбацией, событие будет развиваться по-другому.</t>
  </si>
  <si>
    <t>Запускает связанное событие.
*В настоящее время связанное событие еще не реализовано.</t>
  </si>
  <si>
    <t>Selbstbefriedigende Schwester - 2</t>
  </si>
  <si>
    <t>Wie oben. Wenn du beim Spritzen erwischt wirst, während deine Schwester nur wenige lila Herzen hat, gibt es eine andere Handlung.</t>
  </si>
  <si>
    <t>Löst das zugehörige Ereignis aus.</t>
  </si>
  <si>
    <t>Em gái thẩm - 2</t>
  </si>
  <si>
    <t>Rẽ nhánh từ "Em gái thẩm - 1", nếu em gái có số tim tím thấp và bạn bị bắt quả tang, sự kiện sẽ xảy ra theo cách khác.</t>
  </si>
  <si>
    <t>Xảy ra các sự kiện liên quan.
*Hiện tại, các sự kiện liên quan chưa được triển khai</t>
  </si>
  <si>
    <t>Imouto se tocando - 2</t>
  </si>
  <si>
    <t>Ramificação da Imouto se tocando - 1, se a imouto tiver poucos corações roxos💜 e você for pego se tocando, o evento irá se desenrolar de forma diferente.</t>
  </si>
  <si>
    <t>Ativa um evento relacionado
*Atualmetne, o evento relacionado não foi implementado</t>
  </si>
  <si>
    <t>Toilet Play-2</t>
  </si>
  <si>
    <t>Sama seperti di atas Jika Onii-chan ditemukan saat masturbasi, dan adik dalam keadaan hati ungu rendah, sebuah percabangan akan terpicu</t>
  </si>
  <si>
    <t>Memicu alur cerita terkait
※Alur cerita terkait yang ditemukan belum diterapkan saat ini.</t>
  </si>
  <si>
    <t>廁所Play-3</t>
  </si>
  <si>
    <t>同-1
若此時遇到Z的突擊，觸發一種分歧</t>
  </si>
  <si>
    <t>50%機率，出現打死Z劇情
備註：無須發現Z的前置操作</t>
  </si>
  <si>
    <t>トイレPlay-3</t>
  </si>
  <si>
    <t>この時にゴキブリ(G)の襲撃に遭遇した場合、イベントが分岐する</t>
  </si>
  <si>
    <t>ゴキブリを叩くストーリーが発生する
備考：Gの前提操作は不要</t>
  </si>
  <si>
    <t>Fapping Sister - 3</t>
  </si>
  <si>
    <t>Continuing from Fapping Sister - 1, If you encounter the "C" at this time, the event will branch out differently</t>
  </si>
  <si>
    <t>50% chance to trigger the "C" killing event that leads to the one-time BJ event.
Note: You don't need to find "C" beforehand</t>
  </si>
  <si>
    <t>同-1 
若此时遇到Z的突击，则会触发遇到Z时的分支剧情</t>
  </si>
  <si>
    <t>Masturbacion de la hermana -3</t>
  </si>
  <si>
    <t>Igual que arriba, Si encuentras la criatura ''C'' en este punto, el evento tendra otra direccion.</t>
  </si>
  <si>
    <t>화장실Play - 3</t>
  </si>
  <si>
    <t>이 시점에 바퀴벌레랑 조우하게 되면 분기점이 발생합니다.</t>
  </si>
  <si>
    <t xml:space="preserve">바퀴벌레를 때려잡는 이벤트가 발생합니다.
(바퀴벌레를 사전에 볼 필요가 없습니다.) </t>
  </si>
  <si>
    <t>Мастурбирующая Имоуто - 3</t>
  </si>
  <si>
    <t>Продолжение события «Мастурбирующая Имоуто - 1». Если вы встретите таракана в это время, события будут развиваться по-другому.</t>
  </si>
  <si>
    <t>50% вероятность запуска события «Убийство таракана», которое приводит к одноразовому событию "Минет".
Примечание: Вам не нужно искать таракана заранее.</t>
  </si>
  <si>
    <t>Selbstbefriedigende Schwester - 3</t>
  </si>
  <si>
    <t>Falls du während dieses Events auf die Kreatur „C" triffst, nimmt die Handlung einen anderen Verlauf.</t>
  </si>
  <si>
    <t>Em gái thẩm - 3</t>
  </si>
  <si>
    <t>Tiếp tục từ "Em gái thẩm - 1", nếu bạn bắt gặp Gián, sự kiện sẽ lại xảy ra theo cách khác</t>
  </si>
  <si>
    <t>50% khả năng xảy ra sự kiện giết Gián, dẫn đến sự kiện BJ một lần.
Ghi chú: bạn không cần tìm thấy Gián trước đó.</t>
  </si>
  <si>
    <t>Imouto se tocando - 3</t>
  </si>
  <si>
    <t>Continuando com Imouto se tocando - 1, se você encontrar com"B" nessa hora, o evento se desenrolará de uma forma diferente</t>
  </si>
  <si>
    <t>50% chance de ativar o evento matando "B"  que levará a um evento único de felação.
Nota: Você não precisa ter achado a "B" de antemão.</t>
  </si>
  <si>
    <t>Toilet Play-3</t>
  </si>
  <si>
    <t>Sama-1 Jika pada saat ini bertemu dengan kecoa, memicu sebuah perbecabangan</t>
  </si>
  <si>
    <t>50% kemungkinan event memukul kecoa muncul
Catatan: Tidak diperlukan event awal untuk menemukan kecoa.</t>
  </si>
  <si>
    <t>廁所Play-4</t>
  </si>
  <si>
    <t>同上
若妹妹處於高紫心的狀態，且哥哥已經觸發過Z突擊的劇情，選擇闖入廁所，觸發另一種分歧</t>
  </si>
  <si>
    <t>觸發使用嘴巴服務的相關劇情
*三種差分，分為蹲式、躺式，坐式待更新</t>
  </si>
  <si>
    <t>トイレPlay-4</t>
  </si>
  <si>
    <t>妹の💜が高い状態にある場合、別のイベント分岐が発生する。</t>
  </si>
  <si>
    <t>妹にお口で奉仕して貰うことが出来る！※現在、しゃがんだ状態、座った状態、横になった状態の3種類の差分があります。</t>
  </si>
  <si>
    <t>Fapping Sister - 4</t>
  </si>
  <si>
    <t xml:space="preserve">Continuing from Fapping Sister - 3, if the sister has a high purple heart and you already witnessed the "C" showing up, you can choose to "Break in" inside the toilet. </t>
  </si>
  <si>
    <t>Triggers the event where the sister uses her mouth to service you.
*There are three variations: Lying, squatting and sitting</t>
  </si>
  <si>
    <t>同上
若妹妹处于高紫心的状态，且哥哥已经触发过Z突击的剧情，选择闯入厕所，则会触发另一种分支剧情</t>
  </si>
  <si>
    <t>Masturbacion de la hermana -4</t>
  </si>
  <si>
    <t>Igual que arriba, si te descubren mientras te masturbas y tu hermana tiene varios corazones morados, el evento tendra otra direccion.</t>
  </si>
  <si>
    <t>Activa el evento donde la hermana usa su boca para darte un servicio. *Hay tres variaciones: Tumbado, En cunclillas y Sentado*</t>
  </si>
  <si>
    <t>화장실Play - 4</t>
  </si>
  <si>
    <t>오빠가 여동생을 보며 자위하는 걸 들킨 상태에서 여동생이 높은 보라색 하트 상태일 경우 분기점이 발생합니다.</t>
  </si>
  <si>
    <t>입을 사용한 이벤트가 발생합니다.
쪼그려 앉은 상태, 앉은 상태, 누운 상태의 3종류의 차이가 있습니다.</t>
  </si>
  <si>
    <t>Мастурбирующая Имоуто - 4</t>
  </si>
  <si>
    <t>Продолжение события «Мастурбирующая Имоуто - 3». Если у сестры много фиолетовых сердечек, и вы уже видели таракана, вы можете выбрать вариант «Ворваться» в туалет.</t>
  </si>
  <si>
    <t>Запускает событие, в котором сестра использует свой рот для оказания вам сексуальных услуг.
*Существует три варианта: лежа, на корточках и сидя.</t>
  </si>
  <si>
    <t>Selbstbefriedigende Schwester - 4</t>
  </si>
  <si>
    <t>Wie oben. Wenn du beim Spritzen erwischt wirst, während deine Schwester viele lila Herzen hat, nimmt gibt es ebenfalls ein anderes Event.</t>
  </si>
  <si>
    <t>Löst das Ereignis aus, bei dem die Schwester dich mit ihrem Mund befriedigt.
*Es gibt drei Varianten: Liegend, hockend und sitzend</t>
  </si>
  <si>
    <t>Em gái thẩm - 4</t>
  </si>
  <si>
    <t>Tiếp tục từ "Em gái thẩm - 3", nếu em gái có số tim tím cao và bạn đã thấy Gián xuất hiện, bạn có thể chọn "Đi vào" bên trong toilet</t>
  </si>
  <si>
    <t>Xảy ra sự kiện mà em gái dùng miệng để phục vụ bạn.
*Có ba biến thể: nằm, ngồi xổm và ngồi</t>
  </si>
  <si>
    <t>Imouto se tocando - 4</t>
  </si>
  <si>
    <t xml:space="preserve">Continuando com Imouto se tocando - 3,  se a imouto tiver muitos corações roxos💜 e você já viu a "B" aparecendo, você pode escolher "invadir" o interior do lavabo. </t>
  </si>
  <si>
    <t>Ativa o evento onde a imouto usa a boca dela pra te servir.
*Existem três variações: Deitada, agachada e sentada</t>
  </si>
  <si>
    <t>Toilet Play-4</t>
  </si>
  <si>
    <t>Sama seperti di atas. Jika adik  berada dalam kondisi hati yang ungu tinggi, dan Onii-chan memicu event menyerang kecoa, pilih untuk menerobos masuk ke kamar mandi, memicu jenis cabang lain.</t>
  </si>
  <si>
    <t>Memicu alur cerita yang berkaitan dengan penggunaan layanan mulut. 
*Tiga perbedaan, dibagi menjadi posisi jongkok, posisi berbaring, dan posisi duduk yang akan diperbarui.</t>
  </si>
  <si>
    <t>C</t>
  </si>
  <si>
    <t>浴室相關</t>
  </si>
  <si>
    <t>お風呂イベント</t>
  </si>
  <si>
    <t>Washroom Events</t>
  </si>
  <si>
    <t>Eventos en la ducha</t>
  </si>
  <si>
    <t>욕실 이벤트</t>
  </si>
  <si>
    <t>События в ванной</t>
  </si>
  <si>
    <t>Aufs Badezimmer bezogene Events</t>
  </si>
  <si>
    <t>Sự kiện trong phòng tắm</t>
  </si>
  <si>
    <r>
      <rPr>
        <rFont val="Microsoft JhengHei"/>
        <b/>
        <color theme="1"/>
        <sz val="12.0"/>
      </rPr>
      <t>Evento no banheiro</t>
    </r>
    <r>
      <rPr>
        <rFont val="Microsoft JhengHei"/>
        <b/>
        <color theme="1"/>
        <sz val="10.0"/>
      </rPr>
      <t>(privada e chuveiro ficam em cômodos diferentes)</t>
    </r>
  </si>
  <si>
    <t>Event terkait Kamar Mandi</t>
  </si>
  <si>
    <t>洗髮乳</t>
  </si>
  <si>
    <t>洗澡大約7天會消耗光，並在不偷窺的情況下機率性觸發
哥哥獨自洗澡時，可以提前使用完畢
或者在偷內衣時，機率觸發</t>
  </si>
  <si>
    <t>機率觸發浴室摔倒事件</t>
  </si>
  <si>
    <t>シャンプー</t>
  </si>
  <si>
    <t>お風呂に入ると約7日間でシャンプーを消費し、お風呂を覗いてなくても確率で発生することがある。
または下着を漁ってると確率で発動します</t>
  </si>
  <si>
    <t>確率で浴槽に戻る途中に足を滑らせ転倒するイベントが発生する</t>
  </si>
  <si>
    <t>Triggers if you take a bath alone and excessively use the shampoo. Once the shampoo runs out, don't peek on your sister. Can also randomly trigger while you are sneaking to get your sister's underwear.</t>
  </si>
  <si>
    <t>Triggers the "Bathroom Slip" event by chance.</t>
  </si>
  <si>
    <t>샴푸</t>
  </si>
  <si>
    <t>목욕 능력은 약 7일 만에 능력치를 모두 소모하며, 몰래 엿보지 않으면 발동될 확률이 있습니다. 오빠가 혼자 목욕할 때는 더 빨리 소모될 수 있습니다. 또는 속옷을 훔쳐 입을 때 발동될 확률이 있습니다.</t>
  </si>
  <si>
    <t>Шампунь</t>
  </si>
  <si>
    <t>Появляеться, когда вы принимая ванну в одиночку тратите очень много шампуня. Если шампуть закончился, не подглядывайте за своей сестрой. Также может рандомно сработать во время осмотра нижнего белья сестры.</t>
  </si>
  <si>
    <t>Вызывает событие "Падения в ванной".</t>
  </si>
  <si>
    <t>Shampoo</t>
  </si>
  <si>
    <t>Wird ausgelöst, wenn du alleine badest und übermäßig Shampoo benutzt. Sobald das Shampoo aufgebraucht ist, spähe nicht bei deiner Schwester. Kann auch zufällig ausgelöst werden, wenn du versuchst, heimlich an die Unterwäsche deiner Schwester zu kommen</t>
  </si>
  <si>
    <t>Löst zufällig das ,,Badezimmer-Rutsch" -Ereignis aus</t>
  </si>
  <si>
    <t>Dầu gội</t>
  </si>
  <si>
    <t>Xảy ra nếu bạn tắm một mình và dùng quá nhiều dầu gội. Một khi đã hết dầu gội, đừng nhìn trộm em gái. Cũng có thể xảy ra ngẫu nhiên khi bạn đang lén đi vào để lấy quần lót em gái.</t>
  </si>
  <si>
    <t>Xảy ra sự kiện "Trượt ngã trong phòng giặt" ngẫu nhiên</t>
  </si>
  <si>
    <t>Ativa quando você toma banho sozinho e usa excessivamente o shampoo. Uma vez que o shampoo acabe, não espie a sua imouto. Pode também aleatoriamente ativar enquanto você estiver sorrateiramente pegando a roupa íntima da sua imouto.</t>
  </si>
  <si>
    <t>Ativa o evento "escorregando no banheiro" acidentalmente.</t>
  </si>
  <si>
    <t>Sampo</t>
  </si>
  <si>
    <t>Terpicu jika kamu mandi sendirian dan menggunakan sampo secara berlebihan. 
Setelah sampo habis, jangan mengintip adikmu. 
Juga dapat terpicu secara acak saat kamu diam-diam mengambil pakaian dalam adikmu.</t>
  </si>
  <si>
    <t>Peluang terjadinya insiden terpeleset di kamar mandi</t>
  </si>
  <si>
    <t>要等妹妹洗澡嗎</t>
  </si>
  <si>
    <t>當哥哥性慾足夠時，獨自洗澡後可以前往潛入洗面所</t>
  </si>
  <si>
    <t>出現前往的選項
1.現在就去
2.再等會
3.算了吧</t>
  </si>
  <si>
    <t>妹が入浴するのを待つ…それとも今すぐ行くべきか？</t>
  </si>
  <si>
    <t>お兄ちゃんの性欲が十分にあるときは、一人でお風呂に入った後、覗きに行くことができる</t>
  </si>
  <si>
    <t>選択肢が発生する
1.今すぐ行く！
2.もう少し待つ…
3.やめておく</t>
  </si>
  <si>
    <t>Wait for imouto to finish bathing?</t>
  </si>
  <si>
    <t>When you have enough excitement/desire, you can go ahead and peek over to the sister when she takes a bath.</t>
  </si>
  <si>
    <t>The options that will appear include:
1. Go now!
2. Wait longer
3. Forget it</t>
  </si>
  <si>
    <t>当哥哥性欲到达一定程度时，独自洗澡后可以前往潜入洗手间</t>
  </si>
  <si>
    <t>¿Esperar afuera mientras tu hermana se baña?</t>
  </si>
  <si>
    <t>Cuando el deseo del hermano alcanza su punto, podrá colarse silenciosamente al baño tras ducharse solo.</t>
  </si>
  <si>
    <t>- Ir ahora mismo
-Esperar un momento
-Dejarlo pasar</t>
  </si>
  <si>
    <t>여동생이 목욕할 때까지 기다려야 하나요?</t>
  </si>
  <si>
    <t>오빠의 성욕이 충분히 해소되면, 혼자 목욕을 한 후 목욕탕에 갈 수 있다.</t>
  </si>
  <si>
    <t>다음과 같은 옵션이 표시됩니다. 
1. 지금 가기 
2. 잠시 기다리기 
3. 잊어버리기</t>
  </si>
  <si>
    <t>Подождать, пока Имоуто закончит купаться?</t>
  </si>
  <si>
    <t>Когда у вас появится достаточно "желания", вы можете смело заглянуть к Имоуто, когда она будет принимать ванну.</t>
  </si>
  <si>
    <t>В появившихся вариантах будут следующие:
1. Уйти сейчас!
2. Подождать
3. Забыть об этом</t>
  </si>
  <si>
    <t>Soll ich warten, bis meine Schwester geduscht hat?</t>
  </si>
  <si>
    <t>Ist die Erregung deines Bruders ausreichend, kann er theoretisch nach dem Duschen unbemerkt ins Badezimmer gehen.</t>
  </si>
  <si>
    <t>Angezeigte Optionen:
1. Jetzt gehen
2. Noch etwas warten
3. Lass es lieber</t>
  </si>
  <si>
    <t>Chờ imouto tắm xong?</t>
  </si>
  <si>
    <t>Khi bạn có đủ sự hứng thú/mong muốn, bạn có thể tiến đến và nhìn trộm vào em gái khi em ấy đang tắm.</t>
  </si>
  <si>
    <t>Những lựa chọn xuất hiện bao gồm:
1. Đi ngay!
2. Chờ một lát
3. Quên đi</t>
  </si>
  <si>
    <t>Esperar pela imouto terminar de tomar banho?</t>
  </si>
  <si>
    <t>Quando você tem excitação/desejo o suficiente, você pode ir adiante e espiar a sua imouto quando ela toma banho.</t>
  </si>
  <si>
    <t>As opção que vão aparecer incluem:
1. Ir agora!
2. Esperar um pouco…
3. Ficar aqui</t>
  </si>
  <si>
    <t>Apakah kita perlu menunggu adikku selesai mandi?</t>
  </si>
  <si>
    <t>Ketika hasrat seksual Onii-chan terpenuhi, dia bisa pergi ke pemandian umum setelah mandi sendirian.</t>
  </si>
  <si>
    <t>Opsi berikut muncul:
1. Pergi sekarang
2. Tunggu sebentar
3. Lupakan saja</t>
  </si>
  <si>
    <t>現在就去-1</t>
  </si>
  <si>
    <t>觸發偷窺換衣事件，拉門越大越容易被發現</t>
  </si>
  <si>
    <t>1.安全潛入洗面所
2.被妹妹發現</t>
  </si>
  <si>
    <t>今すぐ行く-1</t>
  </si>
  <si>
    <t>着替えを覗くイベントが発生します、開けるドアが大きいほど見つかりやすくなる</t>
  </si>
  <si>
    <t>1.洗面所に潜入する
2.妹にバレる…</t>
  </si>
  <si>
    <t>Go now! - 1</t>
  </si>
  <si>
    <t>Triggers the peeping event. If you choose to "Go now!", you can peek on Imouto while she undresses. The more you open the door, the higher the chance she'll spot you.</t>
  </si>
  <si>
    <t>There will be two outcomes:
1. Safely snuck into the washroom
2. Caught by Imouto</t>
  </si>
  <si>
    <t>Ir de inmediato -1</t>
  </si>
  <si>
    <t>Se activa el evento de espiar mientras se cambia. Cuanto más abras la puerta, mayor será el riesgo de que te descubra.</t>
  </si>
  <si>
    <t>Habrán 2 resultados
1. Infiltrarse seguramente en el baño
2. Ser atrapado por tu hermanita</t>
  </si>
  <si>
    <t>Идите сейчас! - 1</t>
  </si>
  <si>
    <t>Запускает событие подглядывания. Если вы выберете «Уйти сейчас!», вы сможете подглядывать за Имоуто, пока она раздевается. Чем шире вы откроете дверь, тем выше вероятность, что она вас заметит.</t>
  </si>
  <si>
    <t>Возможны два исхода:
1. Вас незаметят.
2. Вас застукает Имоуто.</t>
  </si>
  <si>
    <t>Jetzt gehen -1</t>
  </si>
  <si>
    <t>Löse das Ereignis "Heimliches Beobachten beim Umziehen" aus.
Je weiter die Tür geöffnet wird, desto leichter wirst du entdeckt.</t>
  </si>
  <si>
    <t>1. Erfolgreich ins Badezimmer geschlichen
2. Würde von Schwesterlein entdeckt</t>
  </si>
  <si>
    <t>Đi ngay! - 1</t>
  </si>
  <si>
    <t>Xảy ra sự kiện nhìn trộm. Nếu bạn chọn "Đi ngay!", bạn có thể nhìn trộm imouto khi em ấy đang cởi đồ. Bạn càng mở cửa rộng, cơ hội em ấy phát hiện bạn càng cao.</t>
  </si>
  <si>
    <t>Có hai kết quả có thể xảy ra: 
1. Lẻn vào phòng giặt an toàn
2. Bị bắt bởi Imouto</t>
  </si>
  <si>
    <t>Ir agora! - 1</t>
  </si>
  <si>
    <t>Ativa o evento de espreitar. Se você escolheu "Ir agora!", você pode espiar a Imouto se despe. quanto mais você abre a porta, maior a chance dela te ver.</t>
  </si>
  <si>
    <t>Existem dois possíveis resultados:
1. entra no banheiro sorrateiramente com segurança
2. É pego pela Imouto</t>
  </si>
  <si>
    <t>Pergi sekarang! - 1</t>
  </si>
  <si>
    <t>Semakin besar pintu geser, semakin mudah ketahuan jika seseorang mengintip saat berganti pakaian.</t>
  </si>
  <si>
    <t>1. Berhasil menyusup ke kamar mandi.
2. Ditemukan oleh adik</t>
  </si>
  <si>
    <t>現在就去-2</t>
  </si>
  <si>
    <t>觸發偷窺換衣事件，當好感度高於2時，拉門未完全開啟，可觸發被發現的選項</t>
  </si>
  <si>
    <t>出現三個選項(包含-讓我看看)</t>
  </si>
  <si>
    <t>今すぐ行く-2</t>
  </si>
  <si>
    <t>着替えを覗くイベントを発動させる。❤️が2以上のとき、ドアが完全に開いていない場合、見つかる選択肢が発生する</t>
  </si>
  <si>
    <t>3つの選択肢を表示する！「見せて」を含む…</t>
  </si>
  <si>
    <t>Go now! - 2</t>
  </si>
  <si>
    <t xml:space="preserve">Same as above. When the favorability is higher than 2 and you got caught peeping despite the door not being fully open, three choices will be presented to the player. </t>
  </si>
  <si>
    <t>Three options will show up:
1. Health check up
2. Let me see!
3. Make an excuse</t>
  </si>
  <si>
    <t>Ir de inmediato -2</t>
  </si>
  <si>
    <t>Si tus corazones son 2 o mas, y te descubren espiando, se te presentaran 3 opciones a escojer</t>
  </si>
  <si>
    <t>Las Tres opciones son:
1. Chequeo de salud
2. Dejame ver!
3. Inventar una escusa</t>
  </si>
  <si>
    <t>Идите сейчас! - 2</t>
  </si>
  <si>
    <t>То же самое, что и выше. Если уровень благосклонности выше 2, и вас поймали на подглядывании, несмотря на то, что дверь не была полностью открыта, игроку будут предложены три варианта.</t>
  </si>
  <si>
    <t>Появятся три варианта:
1. Медицинский осмотр
2. Покажите!
3. Придумать отговорку</t>
  </si>
  <si>
    <t>Jetzt gehen -2</t>
  </si>
  <si>
    <t>Wenn die Zuneigung über 2 Rote Herzen liegt und die Tür nicht vollständig geöffnet ist, kann die Option "Entdeckt werden" ausgelöst werden.</t>
  </si>
  <si>
    <t>Angezeigte Optionen:
1. Jetzt gehen
2. Noch etwas warten
3. Lass mich sehen</t>
  </si>
  <si>
    <t>Đi ngay! - 2</t>
  </si>
  <si>
    <t>Giống như trên. Khi độ yêu thích cao hơn 2 và bạn bị bắt quả tang dù chưa mở hết cánh cửa, ba lựa chọn sẽ được đưa ra cho người chơi.</t>
  </si>
  <si>
    <t>Ba lựa chọn sẽ xuất hiện:
1. Kiểm tra sức khỏe
2. Để anh xem!
3. Bịa ra lí do</t>
  </si>
  <si>
    <t>Ir agora! - 2</t>
  </si>
  <si>
    <t>O mesmo que o de cima. Quando a afeição é maior que 2❤️❤️ e você é pego espiando apesar da porta não estar completamente aberta, três escolhas serão apresentadas para o jogador.</t>
  </si>
  <si>
    <t>As três opções são:
1. Verificando a Saúde
2. Eu quero te ver!
3. Inventar Desculpa</t>
  </si>
  <si>
    <t>Pergi sekarang! - 2</t>
  </si>
  <si>
    <t>Jika peristiwa mengintip saat berganti pakaian dipicu, dan tingkat kasih sayang di atas 2, tetapi pintu geser tidak terbuka sepenuhnya, opsi untuk ketahuan dapat dipicu.</t>
  </si>
  <si>
    <t>Tiga pilihan muncul (termasuk "Coba kulihat").</t>
  </si>
  <si>
    <t>現在就去-3</t>
  </si>
  <si>
    <t>觸發偷窺換衣事件，當好感度高於2時，拉門未完全開啟，(出現三個選項都不選)，此時點擊"鼠標右鍵"，即出現特殊選項</t>
  </si>
  <si>
    <t>出現特殊選項</t>
  </si>
  <si>
    <t>今すぐ行く-3</t>
  </si>
  <si>
    <t>着替えを覗くイベントを発動させる。❤️が2以上のとき、ドアが完全に開いていない場合、（3つの選択肢を選ばず）、この時に「右クリック」をすると、特別な選択肢が表示される</t>
  </si>
  <si>
    <t>特別な選択肢が表示される…！</t>
  </si>
  <si>
    <t>Go now! - 3</t>
  </si>
  <si>
    <t>Same as above. However, when the three choices show up, press right click to reveal the hidden option.</t>
  </si>
  <si>
    <t>A hidden option shows up:
Last resort</t>
  </si>
  <si>
    <t>Ir de inmediato -3</t>
  </si>
  <si>
    <t>Igual a lo anterior, pero si presionas click derecho se revelara una opcion secreta</t>
  </si>
  <si>
    <t>La opción secreta, se mostrara:
Ultimo recurso</t>
  </si>
  <si>
    <t>Идите сейчас! - 3</t>
  </si>
  <si>
    <t>То же самое, что и выше. Однако, когда появятся три варианта, нажмите правую кнопку мыши, чтобы отобразить скрытый вариант.</t>
  </si>
  <si>
    <t>Появляется скрытая опция:
Последний вариант</t>
  </si>
  <si>
    <t>Jetzt gehen -3</t>
  </si>
  <si>
    <t>Löse das Ereignis "Heimliches Beobachten beim Umziehen" aus.
Wenn die Zuneigung über 2 Rote Herzen liegt und die Tür nicht vollständig geöffnet ist, und du keine der drei angezeigten Optionen wählst, dann klicke mit der rechten Maustaste, um eine spezielle Option freizuschalten.</t>
  </si>
  <si>
    <t>Spezielle Option erscheint</t>
  </si>
  <si>
    <t>Đi ngay! - 3</t>
  </si>
  <si>
    <t>Giống như trên. Tuy nhiên, khi ba lựa chọn xuất hiện, nhấn chuột phải để xem lựa chọn ẩn</t>
  </si>
  <si>
    <t>Một lựa chọn ẩn xuất hiện:
Phương án cuối cùng</t>
  </si>
  <si>
    <t>Ir agora! - 3</t>
  </si>
  <si>
    <t>Mesmo que a de cima. Entretanto, quando as três opções aparecerem, aperte o botão direto para revelar uma opção oculta.</t>
  </si>
  <si>
    <t>Uma opção oculta aparecerá:
Último recurso</t>
  </si>
  <si>
    <t>Pergi sekarang! - 3</t>
  </si>
  <si>
    <t>Saat adegan mengintip saat berganti pakaian dipicu, dan tingkat kasih sayang di atas 2, pintu geser tidak terbuka sepenuhnya (jika tidak ada satu pun dari tiga pilihan yang dipilih), mengklik tombol kanan mouse akan memunculkan pilihan khusus.</t>
  </si>
  <si>
    <t>Opsi khusus muncul</t>
  </si>
  <si>
    <t>現在就去-4</t>
  </si>
  <si>
    <t>觸發偷窺換衣事件，拉門完全開啟，觸發唯一選項</t>
  </si>
  <si>
    <t>觸發黑色選項(讓我看看)</t>
  </si>
  <si>
    <t>今すぐ行く-4</t>
  </si>
  <si>
    <t>着替えを覗くイベントを発動させる。ドアが完全に開いている場合、唯一の選択肢が発生する</t>
  </si>
  <si>
    <t>黒い選択肢を発動させる（見せて）</t>
  </si>
  <si>
    <t>Go now! - 4</t>
  </si>
  <si>
    <t>Same as above. When you completely open the door and get caught, a single option will show up.</t>
  </si>
  <si>
    <t>Only one option will show up:
Let me see!</t>
  </si>
  <si>
    <t>Ir de inmediato -4</t>
  </si>
  <si>
    <t>Igual a lo anterior. Cuando abras la puerta completamante se te presentara una unica opcion</t>
  </si>
  <si>
    <t>Solo se mostrara la opcion: 
Dejame ver!</t>
  </si>
  <si>
    <t>Идите сейчас! - 4</t>
  </si>
  <si>
    <t>То же самое, что и выше. Когда вы полностью откроете дверь и вас застанут врасплох, появится единственный вариант.</t>
  </si>
  <si>
    <t>Отобразится только один вариант:
Покажите!</t>
  </si>
  <si>
    <t>Jetzt gehen -4</t>
  </si>
  <si>
    <t>Löse das Ereignis "Heimliches Beobachten beim Umziehen" aus.
Wenn die Tür vollständig geöffnet ist, wird die einzige Option ausgelöst.</t>
  </si>
  <si>
    <t>Die Option "Lass mich sehen" auslösen.</t>
  </si>
  <si>
    <t>Đi ngay! - 4</t>
  </si>
  <si>
    <t>Giống như trên. Khi bạn mở hoàn toàn cánh cửa và bị bắt, một lựa chọn duy nhất sẽ xuất hiện.</t>
  </si>
  <si>
    <t>Chỉ một lựa chọn sẽ xuất hiện: 
Để anh xem!</t>
  </si>
  <si>
    <t>Ir agora! - 4</t>
  </si>
  <si>
    <t>Mesmo que a de cima. Quando você abre a porta completamente e é pego, uma única opção irá aparecer.</t>
  </si>
  <si>
    <t>Apenas uma opção aparecerá:
Eu quero te ver!</t>
  </si>
  <si>
    <t>Pergi sekarang! - 4</t>
  </si>
  <si>
    <t>Adegan mengintip saat berganti pakaian terpicu, pintu geser terbuka sepenuhnya, dan satu-satunya pilihan yang tersedia terpicu.</t>
  </si>
  <si>
    <t>Aktifkan opsi (Coba kulihat).</t>
  </si>
  <si>
    <t>現在就去-5</t>
  </si>
  <si>
    <t>同上，拉門完全開啟後，馬上將門再次關閉</t>
  </si>
  <si>
    <t>觸發不同的對話
出現三個選項(包含-讓我看看)</t>
  </si>
  <si>
    <t>今すぐ行く-5</t>
  </si>
  <si>
    <t>覗き見の着替えイベントを見るには、ドアを完全に開けて特別な選択肢を発生させます</t>
  </si>
  <si>
    <t>異なる会話を発生させると、3つの選択肢が表示されます（その中には「見せてください」という選択肢も含まれています）</t>
  </si>
  <si>
    <t>Go now! - 5</t>
  </si>
  <si>
    <t>Same as above. When you completely open the door and slide it all the way, you can close it again</t>
  </si>
  <si>
    <t>Triggers a different dialog. Three options will appear.</t>
  </si>
  <si>
    <t>Идите сейчас! - 5</t>
  </si>
  <si>
    <t>То же самое, что и выше. Когда вы полностью откроете дверь и распахнёте её до упора, вы сможете снова её закрыть.</t>
  </si>
  <si>
    <t>Запускает другое диалоговое окно. Появятся три варианта.</t>
  </si>
  <si>
    <t>Jetzt gehen -5</t>
  </si>
  <si>
    <t>Wenn du die Tür ganz öffnest und sie komplett zur Seite schiebst, kannst du sie auch wieder schließen.</t>
  </si>
  <si>
    <t>Das löst einen anderen Dialog aus. Drei Optionen werden erscheinen.</t>
  </si>
  <si>
    <t>Đi ngay! - 5</t>
  </si>
  <si>
    <t>Giống như trên. Khi bạn mở hoàn toàn cánh cửa và kéo nó hết sang bên, bạn có thể đóng nó lại lần nữa</t>
  </si>
  <si>
    <t>Xảy ra một cuộc nói chuyện khác. Ba lựa chọn sẽ xuất hiện</t>
  </si>
  <si>
    <t>Ir agora! - 5</t>
  </si>
  <si>
    <t>Mesmo que a de cima. Quando você abre a porta completamente e desliza ela até o final, você pode fechar novamente.</t>
  </si>
  <si>
    <t>Ativa um diálogo diferente. Três opções vão aparecer.</t>
  </si>
  <si>
    <t>Pergi sekarang! - 5</t>
  </si>
  <si>
    <t>Seperti yang telah dijelaskan di atas, setelah pintu geser terbuka sepenuhnya, segera tutup kembali.</t>
  </si>
  <si>
    <t>Hal ini memicu dialog yang berbeda, menyajikan tiga pilihan (termasuk "Coba kulihat").</t>
  </si>
  <si>
    <t>讓我看看...-1</t>
  </si>
  <si>
    <t>被妹妹拒絕</t>
  </si>
  <si>
    <t>哥哥是笨蛋！</t>
  </si>
  <si>
    <t>ちょっと見せて...-1</t>
  </si>
  <si>
    <t>❤️が2未満の場合、妹に拒絶される…</t>
  </si>
  <si>
    <t>ばか！へんたい！</t>
  </si>
  <si>
    <t>Let me see... - 1</t>
  </si>
  <si>
    <t>If your favorability is lower than 2, you will be rejected</t>
  </si>
  <si>
    <t>Onii-chan you baka!! (baka = idiot/fool)</t>
  </si>
  <si>
    <t>Dejame ver... -1</t>
  </si>
  <si>
    <t>si tus corazones son menos a 2, seras rechazado</t>
  </si>
  <si>
    <t>Onii-chan baka!</t>
  </si>
  <si>
    <t>Давайте посмотрим... - 1</t>
  </si>
  <si>
    <t>Если уровень благосклонности ниже 2, вам будет отказано.</t>
  </si>
  <si>
    <t>Куроха, ты дурак!!</t>
  </si>
  <si>
    <t>Lass mich sehen... -1</t>
  </si>
  <si>
    <t>Zuneigung unter 2 rote Herzen, von der Schwester abgelehnt.</t>
  </si>
  <si>
    <t>OnIi-cHaN ud BiST eIN IDiot</t>
  </si>
  <si>
    <t>Để xem nào... - 1</t>
  </si>
  <si>
    <t>Nếu độ yêu thích của bạn thấp hơn 2, bạn sẽ bị từ chối</t>
  </si>
  <si>
    <t xml:space="preserve">Onii-chan baka!! </t>
  </si>
  <si>
    <t>Deixe me ver... - 1</t>
  </si>
  <si>
    <t>Se você tiver a afeição abaixo de 2❤️, Você será rejeitado.</t>
  </si>
  <si>
    <t>Onii-chan seu baka!! (baka = idiota/bobo)</t>
  </si>
  <si>
    <t>Coba kulihat... - 1</t>
  </si>
  <si>
    <t>Ditolak oleh adik</t>
  </si>
  <si>
    <t>Onii-chan baka!! (baka = bodoh)</t>
  </si>
  <si>
    <t>讓我看看...-2
"想要色色"</t>
  </si>
  <si>
    <t>將門完全打開時，有機率出現"想要色色"
若此時你的愛心數量不足，則可以使用"約定:草莓牛奶"或金幣</t>
  </si>
  <si>
    <t>執行"想要色色"選項
後續依照賄絡結果，觸發後續劇情(賄絡未實裝)</t>
  </si>
  <si>
    <t>ちょっと見せて...-2</t>
  </si>
  <si>
    <t>拒否された時には「約束:ストロベリーミルク」またはコインを使用することができる。</t>
  </si>
  <si>
    <t>賄絡の結果に応じて、後続のイベントが発生する（賄絡は未実装）</t>
  </si>
  <si>
    <t>Let me see... - 2</t>
  </si>
  <si>
    <t>Same as above. Once rejected, you can bribe Imouto with Strawberry Milk or Gold Coins. If successful, the related events to this scene will trigger. (Bribery has not yet been implemented)</t>
  </si>
  <si>
    <t>Depending on the result of the bribery, the related events will trigger. (Bribery has not yet been implemented)</t>
  </si>
  <si>
    <t>Dejame ver... -2</t>
  </si>
  <si>
    <t xml:space="preserve">Igual a lo anterior. si te rechazan, puedes sobornar a tu hermanita con leche de fresa o monedas de oro. si resulta, eventos relacionados se activaran ( El soborno aun no está implementado ) </t>
  </si>
  <si>
    <t>Dependiendo los resultados del "soborno" se activaran los eventos relacionados.
(El soborno aun no a sido implementado)</t>
  </si>
  <si>
    <t>Давайте посмотрим... - 2</t>
  </si>
  <si>
    <t>То же самое, что и выше. После отказа вы можете подкупить младшую сестру клубничным молоком или золотыми монетами. В случае успеха запустятся события, связанные с этой сценой. (*Подкуп пока не реализован)</t>
  </si>
  <si>
    <t>В зависимости от результата подкупа будут запущены соответствующие события.
(*Подкуп пока не реализован)</t>
  </si>
  <si>
    <t>Lass mich sehen... -2</t>
  </si>
  <si>
    <t>Bei Ablehnung "Versprechen: Erdbeermilch" oder Goldmünzen verwenden.</t>
  </si>
  <si>
    <t>Löst die Folgegeschichte basierend auf dem Bestechungsergebnis aus (Bestechung nicht implementiert).</t>
  </si>
  <si>
    <t>Để xem nào... - 2</t>
  </si>
  <si>
    <t>Giống như trên. Một khi bị từ chối, bạn có thể nịnh Imouto bằng Sữa Dâu Tây hoặc Xu Vàng. Nếu thành công, những sự kiện liên quan đến cảnh này sẽ xảy ra. (hối lộ chưa được triển khai)</t>
  </si>
  <si>
    <t>Dựa vào kết quả của việc hối lộ, những sự kiện liên quan sẽ xảy ra. (hối lộ chưa được triển khai)</t>
  </si>
  <si>
    <t>Deixe me ver... - 2</t>
  </si>
  <si>
    <t>Mesmo que a de cima, você pode subornar sua imouto com Leite de Morango ou moedas de ouro. Se bem suceddido, o evento relacionado a essa cena ocorrerá. (Subornar ainda não foi implementado)</t>
  </si>
  <si>
    <t>Dependendo do resultado do suborno, o evento relacionado irá ocorrer. (Subornar ainda não foi implementado)</t>
  </si>
  <si>
    <t>Coba kulihat... - 2
"Ingin berhubungan seks"</t>
  </si>
  <si>
    <t>Saat pintu terbuka sepenuhnya, ada kemungkinan "Ingin menjadi seksi" akan muncul. Jika Anda tidak memiliki cukup hati saat ini, Anda dapat menggunakan "Janji: Susu Stroberi" atau koin.</t>
  </si>
  <si>
    <t>Jalankan opsi "Ingin berhubungan seks"
Peristiwa selanjutnya akan dipicu berdasarkan hasil penyuapan (penyuapan belum diimplementasikan).</t>
  </si>
  <si>
    <t>讓我看看...-3
"想要色色"</t>
  </si>
  <si>
    <t>同上，被拒絕時，使用"什麼都行券"</t>
  </si>
  <si>
    <t>執行"想要色色"選項
後續使用"什麼都行券"必定可以觸發後續劇情(未實裝)</t>
  </si>
  <si>
    <t>ちょっと見せて...-3</t>
  </si>
  <si>
    <t>拒否された時には「妹のフリーパス」を使用することができる</t>
  </si>
  <si>
    <t>後続のイベントが発生する（「何でもOK券」は未実装）</t>
  </si>
  <si>
    <t>Let me see... - 3</t>
  </si>
  <si>
    <t>Same as above. Once rejected, use "Imouto's Free Pass" instead that is obtained from Promise: Don't Get Hurt (Not yet implemented)</t>
  </si>
  <si>
    <t>Triggers the related events. (Not yet implemented)</t>
  </si>
  <si>
    <t>Dejame ver... -3</t>
  </si>
  <si>
    <t>Igual a lo anterior una vez te rechazen, usa el "Vale todo" el cual se obtiene mediante la promesa: No te lastimes ( No esta implementado aún )</t>
  </si>
  <si>
    <t>Desencadena eventos relacionados. 
(no implementados aún)</t>
  </si>
  <si>
    <t>Давайте посмотрим... - 3</t>
  </si>
  <si>
    <t>То же самое, что и выше. В случае отказа используйте «Свободный пропуск», который можно получить при обещании «Не пострадать»
(*Пока не реализовано).</t>
  </si>
  <si>
    <t>Запускает соответствующие события.
(*Пока не реализовано)</t>
  </si>
  <si>
    <t>Lass mich sehen... -3</t>
  </si>
  <si>
    <t>Wenn abgelehnt, "Freie Fahrt Ticket" benutzen...</t>
  </si>
  <si>
    <t>Löst die Folgegeschichte aus ("Freie Fahrt Ticket" nicht implementiert).</t>
  </si>
  <si>
    <t>Để xem nào... - 3</t>
  </si>
  <si>
    <t>Giống như trên. Một khi bị từ chối, hãy dùng "Phiếu Thưởng Của Em Gái" đã được nhận từ Lời húa: Đừng bị thương
(Chưa được thực hiện)</t>
  </si>
  <si>
    <t>Xảy ra các sự kiện liên quan (chưa có)</t>
  </si>
  <si>
    <t>Deixe me ver... - 3</t>
  </si>
  <si>
    <t>Mesmo que a de cima. Uma vez rejeitado, use o "Passe Livre" no lugar, ele é obtudo em Promessa: Não se machuque( ainda não foi implementado).</t>
  </si>
  <si>
    <t>Ativa o evento relativa(ainda não foi implementado)</t>
  </si>
  <si>
    <t>Coba kulihat... - 3
"Ingin terlihat seksi"</t>
  </si>
  <si>
    <t>Demikian pula, jika ditolak, gunakan kupon "Apa pun dapat diterima".</t>
  </si>
  <si>
    <t>Mengeksekusi opsi "Ingin berhubungan seks"
Penggunaan selanjutnya dari "Kupon Apa Saja Boleh" pasti akan memicu peristiwa cerita selanjutnya (belum diimplementasikan).</t>
  </si>
  <si>
    <t>讓我看看...-4
"想要色色"</t>
  </si>
  <si>
    <t>同上，當紫心1以上、紅心2以上，可以觸發劇情</t>
  </si>
  <si>
    <t>執行"想要色色"選項
觸發用手服務的劇情</t>
  </si>
  <si>
    <t>ちょっと見せて...-4</t>
  </si>
  <si>
    <t>💜が1以上、❤️が2以上の場合、イベントを発生させることができる</t>
  </si>
  <si>
    <t>エッチな選択肢を選ぶと、おててを使ったイベントが発生する</t>
  </si>
  <si>
    <t>Want to Lewd</t>
  </si>
  <si>
    <r>
      <rPr>
        <rFont val="Microsoft JhengHei"/>
        <color theme="1"/>
      </rPr>
      <t>If your purple heart is 1 or more and your red heart is 2 or more, a handjob event can be triggered by chance when you have the door</t>
    </r>
    <r>
      <rPr>
        <rFont val="Microsoft JhengHei"/>
        <b/>
        <color theme="1"/>
      </rPr>
      <t xml:space="preserve"> completely </t>
    </r>
    <r>
      <rPr>
        <rFont val="Microsoft JhengHei"/>
        <color theme="1"/>
      </rPr>
      <t>opened. The option will turn from "Let me see" to "Want to Lewd"</t>
    </r>
  </si>
  <si>
    <t>Triggers a handjob event. You still have a chance to get rejected and the door must be completely opened. 
Note: She must be facing you and not the other way around</t>
  </si>
  <si>
    <t>Dejame ver... -4</t>
  </si>
  <si>
    <t>Si los corazones purpura son 1 o mas y los corazones rojos son 2 o mas, el evento de "handjob" ocurrirá</t>
  </si>
  <si>
    <t>Activa evento de: 
"Handjob"</t>
  </si>
  <si>
    <t>Хочу разврата</t>
  </si>
  <si>
    <t>Если у вас 1 или больше фиолетовых сердечек и 2 или больше красных, событие с мастурбацией может случайно произойти, когда дверь будет полностью открыта. Вариант изменится с «Покажи мне» на «Хочу пошалить».</t>
  </si>
  <si>
    <t>Запускает событие, связанное с мастурбацией. У вас всё ещё есть шанс получить отказ, и дверь должна быть полностью открыта.
Примечание: Она должна быть повернута к вам лицом, а не наоборот.</t>
  </si>
  <si>
    <t>Lass mich sehen... -4</t>
  </si>
  <si>
    <t>Wenn du 1 violettes Herz oder höher und 2 rote Herze oder höher hast, kannst du diese Szene ausgelöst auslösen.</t>
  </si>
  <si>
    <t>Löst ein Ereignis aus, bei dem dein Schwesterchen Imouto deinen Schwanz rubbelt.</t>
  </si>
  <si>
    <t>Muốn làm chuyện dâm đãng</t>
  </si>
  <si>
    <r>
      <t xml:space="preserve">Nếu số tim tím của bạn là 1 hoặc hơn và số tim đỏ là 2 hoặc hơn, một sự kiện handjob sẽ xảy ra ngẫu nhiên khi bạn để cánh cửa mở </t>
    </r>
    <r>
      <rPr>
        <rFont val="Arial"/>
        <b/>
        <color theme="1"/>
      </rPr>
      <t>hoàn toàn</t>
    </r>
    <r>
      <rPr>
        <rFont val="Arial"/>
        <color theme="1"/>
      </rPr>
      <t>. Lựa chọn sẽ chuyển từ "Để xem nào" sang "Muốn</t>
    </r>
  </si>
  <si>
    <t>Xảu ra sự kiện handjob. Bạn vẫn có khả năng bị từ chối và cánh cửa phải được mở hoàn toàn.
Ghi chú: em ấy phải đối mặt với bạn, không phải quay mặt đi</t>
  </si>
  <si>
    <t>Deixe me ver... - 4</t>
  </si>
  <si>
    <t>Se o seu coração roxo for 1💜 ou mais e seus corações vermelho forem 2❤️❤️ ou mais, um evento de punheta pode ocorrer por chance quando você abre a porta completamente. A opção transforma "Eu quero te ver!" para "Quero Obscenidade!"</t>
  </si>
  <si>
    <t>Ativa o evento de punheta. Você ainda tem a chance de ser rejeitado e a porta precisa estar completamente aberta. 
Nota: Ela deve estar encarando você e não estar de costas</t>
  </si>
  <si>
    <t>Coba kulihat... - 4
"Ingin terlihat seksi"</t>
  </si>
  <si>
    <t>Demikian pula, ketika Anda memiliki 1 atau lebih hati ungu dan 2 atau lebih hati merah, peristiwa tersebut dapat dipicu.</t>
  </si>
  <si>
    <t>Pilih opsi "Ingin sedikit erotisme"
Ini akan memicu adegan di mana Anda menggunakan tangan Anda untuk melakukan hubungan seksual.</t>
  </si>
  <si>
    <t>再等會</t>
  </si>
  <si>
    <t>跳過偷窺換衣事件，保證安全潛入洗面所</t>
  </si>
  <si>
    <t>安全潛入洗面所</t>
  </si>
  <si>
    <t>少し待ってて？</t>
  </si>
  <si>
    <t>覗き見の着替え事件をスキップし、安全に洗面所に潜入する</t>
  </si>
  <si>
    <t>先に洗面所に潜入する</t>
  </si>
  <si>
    <t>Wait for a bit</t>
  </si>
  <si>
    <t>Skips the early peeping scene and goes directly to the washroom peeping event</t>
  </si>
  <si>
    <t>Safely sneak into the washroom</t>
  </si>
  <si>
    <t>跳过偷窥换衣事件，保证安全潜入洗手间</t>
  </si>
  <si>
    <t>Espera un minuto</t>
  </si>
  <si>
    <t>Omites el evento de cambio de ropa y entras al baño de manera segura.</t>
  </si>
  <si>
    <t>Inlitracion silenciosa y sin riesgos</t>
  </si>
  <si>
    <t>Немного подождать</t>
  </si>
  <si>
    <t>Пропускает начальную сцену подглядывания и сразу переходит к подглядыванию в ванной.</t>
  </si>
  <si>
    <t>Проскользните в ванну, не рискуя жизнью.</t>
  </si>
  <si>
    <t>Etwas warten</t>
  </si>
  <si>
    <t>Überspringe das Ereignis "Heimliches Beobachten beim Umziehen" und sorge für ein sicheres Eindringen ins Badezimmer.</t>
  </si>
  <si>
    <t>Du wirst nicht entdeckt.</t>
  </si>
  <si>
    <t>Chờ một chút</t>
  </si>
  <si>
    <t>Bỏ qua cảnh nhìn trộm trước đó và đi thẳng đến sự kiện nhìn trộm trong phòng giặt giũ.</t>
  </si>
  <si>
    <t>Lẻn vào phòng giặt đồ an toàn</t>
  </si>
  <si>
    <t>Espere um pouco</t>
  </si>
  <si>
    <t>Pula a cena de espiar ela tirar a roupa e vai direto para o evento de espiar na banheira/chuveiro</t>
  </si>
  <si>
    <t>Entra no banheiro em segurança.</t>
  </si>
  <si>
    <t>Tunggu sebentar</t>
  </si>
  <si>
    <t>Menghindari insiden mengintip saat berganti pakaian memastikan masuk ke kamar mandi dengan aman.</t>
  </si>
  <si>
    <t>Masukkan cairan pembersih wajah dengan aman.</t>
  </si>
  <si>
    <t>第一次潛入</t>
  </si>
  <si>
    <t>第一次於洗面所潛入，屬於特殊劇情</t>
  </si>
  <si>
    <t>※一次性事件
只能探索一下就必須離開</t>
  </si>
  <si>
    <t>最初の潜入ミッション</t>
  </si>
  <si>
    <t>初めて覗きに行く時、ちょっとしたイベントが発生します</t>
  </si>
  <si>
    <t>※1回限りのイベント
「…ちょっと見に行こうかな？」</t>
  </si>
  <si>
    <t>First Time Peeping</t>
  </si>
  <si>
    <t>The first time you peep in the washroom, a small event will occur</t>
  </si>
  <si>
    <t>※One-time event
You can only explore for a little bit, and then you have to leave</t>
  </si>
  <si>
    <t>第一次潜入洗手间，属于特殊剧情</t>
  </si>
  <si>
    <t>Primera vez espiando</t>
  </si>
  <si>
    <t>*Evento unico.
puedes explorar un poco y luego tienes que salir</t>
  </si>
  <si>
    <t>처음 엿보러 갈 때 작은 이벤트가 발생합니다.</t>
  </si>
  <si>
    <t>※일회성 이벤트
몰래 엿볼 수 있습니다.</t>
  </si>
  <si>
    <t>Первое подглядывание</t>
  </si>
  <si>
    <t>Первый раз, когда вы загляните в туалет, будет особый диалог.</t>
  </si>
  <si>
    <t>※Разовое событие
Вы можете сделать только одно действие, после которого вам придется уйти.</t>
  </si>
  <si>
    <t>Erstes Mal Spähen</t>
  </si>
  <si>
    <t>Wenn du das erste Mal in den Waschraum spähst, wird ein kleines Ereignis ausgelöst</t>
  </si>
  <si>
    <t>※Einmaliges Ereignis
Du darfst nur für kurz erkunden und musst dann gehen"</t>
  </si>
  <si>
    <t>Lần đầu nhìn trộm</t>
  </si>
  <si>
    <t>Lần đầu tiên bạn nhìn trộm trong phòng giặt giũ, một sự kiện nhỏ sẽ xảy ra.</t>
  </si>
  <si>
    <t>*Sự kiện một lần
Bạn chỉ được khám phá một chút, rồi phải rời khỏi đó</t>
  </si>
  <si>
    <t>Primeira vez espiando</t>
  </si>
  <si>
    <t>A primeria vez que você espia no banheiro, um pequeno evento único ocorre.</t>
  </si>
  <si>
    <t>※Evento único
Você só pode explorar um pouco, e entrão você tem que sair</t>
  </si>
  <si>
    <t>Infiltrasi pertama</t>
  </si>
  <si>
    <t>Penyusupan pertama ke kamar mandi merupakan bagian dari alur cerita khusus.</t>
  </si>
  <si>
    <t>※Acara sekali saja
Anda hanya dapat menjelajahinya sebentar sebelum harus pergi.</t>
  </si>
  <si>
    <t>胖次！</t>
  </si>
  <si>
    <t>潛入時，偷拿內褲，並被發現</t>
  </si>
  <si>
    <t>特殊劇情
獲得道具:妹妹脫下的內褲</t>
  </si>
  <si>
    <t>ぱんつ！</t>
  </si>
  <si>
    <t>潜入中にパンツを盗んで、見つかってしまった…</t>
  </si>
  <si>
    <t>特殊なイベント
入手アイテム: 妹の脱いだパンツ</t>
  </si>
  <si>
    <t>Panties!</t>
  </si>
  <si>
    <t>Sneak into the washroom and hold Imouto's underwear then get caught for the first time and a cutscene will trigger.</t>
  </si>
  <si>
    <t>An event will trigger
Obtain "Imouto's panties" equipment</t>
  </si>
  <si>
    <t>Calzones!</t>
  </si>
  <si>
    <t>Escabullete en el baño mientras tu hermanita se este bañando y sostiene su ropa interior, y deja que te descubran por primera vez, y una escena desencadenará</t>
  </si>
  <si>
    <t>El evento te dara el item equipable "Calzones de hermanita"</t>
  </si>
  <si>
    <t>Трусики!</t>
  </si>
  <si>
    <t>Прокрадитесь в туалет, подержите трусики Имоуто, и если вас впервые поймают, запустится кат-сцена.</t>
  </si>
  <si>
    <t>Событие запустит процесс получения
Приобретите снаряжение "Трусики Имоуто".</t>
  </si>
  <si>
    <t>Höschen!</t>
  </si>
  <si>
    <t>Beim Spannen heimlich Unterwäsche nehmen und dabei entdeckt werden.</t>
  </si>
  <si>
    <t>Du hast das Item "Die ausgezogene Unterhose der Schwester" erhalten.</t>
  </si>
  <si>
    <t>Quần lót!</t>
  </si>
  <si>
    <t>Lẻn vào phòng giặt và giữ đồ lót của Imouto và bị bắt lần đầu tiên rồi một cutscene sẽ xảy ra.</t>
  </si>
  <si>
    <t>Một sự kiện sẽ xảy ra.
Nhận được trang bị "Quần Lót Của Em Gái"</t>
  </si>
  <si>
    <t>Calcinha!</t>
  </si>
  <si>
    <t>Entre sorrateiramente no banheiro e pegue as roupas íntimas da Imouto então seja pego pela primeria vez para cutscene ocorrer.</t>
  </si>
  <si>
    <t>Um evento irá acontecer
Obtenha o equipamento "Calcinha da Imouto"</t>
  </si>
  <si>
    <t>Celana dalam!</t>
  </si>
  <si>
    <t>Dia masuk tanpa izin, mencuri pakaian dalam, dan kemudian ketahuan.</t>
  </si>
  <si>
    <t>Acara Spesial
Barang yang Diperoleh: Pakaian Dalam Adik Perempuan</t>
  </si>
  <si>
    <t>手的溫度-1</t>
  </si>
  <si>
    <t>第二次偷內衣時被發現，並且當愛心達到6，即可觸發。</t>
  </si>
  <si>
    <t>妹妹用手來服務的特殊劇情
*目前實裝3種內褲</t>
  </si>
  <si>
    <t>妹の手のぬくもり-1</t>
  </si>
  <si>
    <t>好感度が6以上あり妹の下着にいたずらしてるところを見つかるとイベントが発生します</t>
  </si>
  <si>
    <t>特別なイベント
※現在現時点で実装されてるパンツは3種類です</t>
  </si>
  <si>
    <t>Sister's Warm Hands - 1</t>
  </si>
  <si>
    <t>If you have hearts that total to 6 (i.e 3 red and 3 purple), she will give you a handjob when she catches you with her underwear for the second time.</t>
  </si>
  <si>
    <t>A special scene will be played where the sister gives you a handjob with the underwear.
*There are currently 3 types of underwear.</t>
  </si>
  <si>
    <t>Servicio de la hermana -1</t>
  </si>
  <si>
    <t>La segunda vez que te atrapen robando ropa, si tienes mas de 6 corazones, un evento se desencadenara</t>
  </si>
  <si>
    <t>Теплые ручки сестренки 1</t>
  </si>
  <si>
    <t>Если вы наберете в сумме 6 сердечек (то есть 3 красных и 3 фиолетовых), она подрочит вам, когда во следующий раз застанет вас, когда вы трогаете её нижнее белье.</t>
  </si>
  <si>
    <t>Будет проиграна специальная сцена, в которой сестра мастурбирует вам своим нижним бельем.
(В настоящее время существует 3 вида нижнего белья)</t>
  </si>
  <si>
    <t>Schwesterchens warme Händchen - 1</t>
  </si>
  <si>
    <t>Wenn du insgesamt 6 Herzen haben (also 3 rote und 3 violette), gibt deine Schwester dir einen Handjob, wenn sie dich zum zweiten Mal mit ihrer Unterwäsche erwischt</t>
  </si>
  <si>
    <t xml:space="preserve">Es wird eine besondere Szene gezeigt, in der deine Schwester dir mit ihrer Unterwäsche einen Handjob gibt. </t>
  </si>
  <si>
    <t>Bàn tay ấm của em gái - 1</t>
  </si>
  <si>
    <t>Nếu bạn có số lượng tim tổng là 6 (vd: 3 dỏ và 3 tím), em ấy sẽ handjob cho bạn khi em ấy bắt quả tang bạn với đồ lót của em ấy lần thứ hai.
(Phải xảy ra "Lẻn vào phòng giặt - 1" trước</t>
  </si>
  <si>
    <t>Một cảnh đặc biệt sẽ xảy ra khi mà em gái cho bạn handjob với đồ lót em ấy
*Hiện tại có 3 loại đồ lót</t>
  </si>
  <si>
    <t>Mãos afetuosas da Imouto - 1</t>
  </si>
  <si>
    <t>Se você tem um total de 6 corações(ou seja, 3 vermelhos e 3 roxos), ela irá tocar uma punheta para você quando ela tem pegar com as roupas íntimas dela pela segunda vez.</t>
  </si>
  <si>
    <t>Uma cena especial passará quando sua imouto tocar uma punheta usando a roupa íntima dela.
*Existem atualmente 3 tipos de roupas íntimas.</t>
  </si>
  <si>
    <t>Suhu tangan - 1</t>
  </si>
  <si>
    <t>Peristiwa ini akan dipicu ketika Anda tertangkap mencuri pakaian dalam untuk kedua kalinya dan jumlah hati Anda mencapai 6.</t>
  </si>
  <si>
    <t>Alur cerita spesial yang melibatkan adik perempuan menggunakan tangannya
*Saat ini, 3 jenis pakaian dalam tersedia.</t>
  </si>
  <si>
    <t>手的溫度-2</t>
  </si>
  <si>
    <t>承上，紫心達到3，可以不用隔著衣物</t>
  </si>
  <si>
    <t>妹妹用手來服務的特殊劇情</t>
  </si>
  <si>
    <t>妹の手のぬくもり-2</t>
  </si>
  <si>
    <t>紫♡が3つ以上あるとパンツ越しではなく奉仕してくれる…</t>
  </si>
  <si>
    <t>特別なイベント
「前にもこんなことあったよね…？」</t>
  </si>
  <si>
    <t>Sister's Warm Hands - 2</t>
  </si>
  <si>
    <t>Continuation from above. If you have 3 purple hearts and you do it again, she will give you a direct handjob instead (no underwear).</t>
  </si>
  <si>
    <t>A scene where the sister gives you a direct handjob.</t>
  </si>
  <si>
    <t>Servicio de la hermana -2</t>
  </si>
  <si>
    <t>Теплые ручки сестренки 2</t>
  </si>
  <si>
    <t xml:space="preserve">Продолжение события сверху. Если у вас есть 3 фиолетовых сердечка и вы сделаете это снова, вместо этого она сделает вам обычную дрочку (без нижнего белья).
</t>
  </si>
  <si>
    <t>Сцена, где сестра дрочит вам руками без нижнего белья.</t>
  </si>
  <si>
    <t>Schwesterchens warme Händchen - 2</t>
  </si>
  <si>
    <t>Wenn du danach immer noch 3 violette Herzen hast und es noch einmal tust, wird sie dir anstelle der Unterwäsche direkt einen Handjob geben. Falls nicht, tritt das vorherige Event ein</t>
  </si>
  <si>
    <t>Deine Schwester holt dir mit ihrer Nackten Hand einen runter</t>
  </si>
  <si>
    <t>Bàn tay ấm của em gái - 2</t>
  </si>
  <si>
    <t>Tiếp tục từ bên trên. Nếu bạn có 3 tim tím và làm lại lần nữa, em ấy sẽ cho bạn handjob trực tiếp (không có đồ lót).</t>
  </si>
  <si>
    <t>Một cảnh mà em gái cho bạn handjob trực tiếp</t>
  </si>
  <si>
    <t>Mãos afetuosas da Imouto - 2</t>
  </si>
  <si>
    <t>Continuação da cena de cima. Se você tiver 3 corações roxos💜💜💜 e fizer de novo, ela irá tocar a punheta diretamente no lugar(sem a roupa íntima).</t>
  </si>
  <si>
    <t>Uma cena onde a imouto toca uma punheta com as mãos.</t>
  </si>
  <si>
    <t>Suhu tangan - 2</t>
  </si>
  <si>
    <t>Melanjutkan dari penjelasan di atas, begitu Anda mencapai level hati ungu 3, Anda dapat bermain tanpa mengenakan pakaian.</t>
  </si>
  <si>
    <t>Alur cerita istimewa tentang adik perempuan yang menggunakan tangannya untuk melayani.</t>
  </si>
  <si>
    <t>氣息消除-1</t>
  </si>
  <si>
    <t>在習得"氣息消除"後，於妹妹洗澡時潛入洗面所，可以使用忍者跳舞選項</t>
  </si>
  <si>
    <t>使用特殊選項</t>
  </si>
  <si>
    <t>気配遮断-1</t>
  </si>
  <si>
    <t>『気配遮断』を習得した後、妹が入浴している時に洗面所に潜入し、ダンスの選択肢を使用できる。</t>
  </si>
  <si>
    <t>特殊な選択肢を使用できる</t>
  </si>
  <si>
    <t>Breath Concealment- 1</t>
  </si>
  <si>
    <t>After learning the ninja skill "Breath Concealment", sneak inside the washroom while your sister is bathing and choose the "Ninja Dance" option</t>
  </si>
  <si>
    <t>Allows you to use a special option</t>
  </si>
  <si>
    <t>在学习"气息消除"后，于妹妹洗澡时潜入洗手间，可以使用忍者跳舞选项</t>
  </si>
  <si>
    <t>Маскировка дыхания - 1</t>
  </si>
  <si>
    <t>Освоив навык ниндзя «Сокрытия дыхания», проберитесь в ванную комнату, пока ваша сестра принимает ванну, и выберите вариант «Танец ниндзя».</t>
  </si>
  <si>
    <t>Позволяет использовать специальную опцию</t>
  </si>
  <si>
    <t>Atemverhüllung - 1</t>
  </si>
  <si>
    <t>Nach dem Erlernen der Ninja-Fähigkeit „Atemverhüllung" kannst du dich heimlich ins Badezimmer schleichen, während deine Schwester badet, und die Option „Ninja-Tanz“ wählen</t>
  </si>
  <si>
    <t>Ermöglicht dir, eine spezielle Option zu verwenden.</t>
  </si>
  <si>
    <t>Giấu hơi thở -  1</t>
  </si>
  <si>
    <t>Sau khi học kĩ năng ninja "Giấu Hơi Thở", lẻn phòng giặt khi em gái đang tắm và chọn lựa chọn "Điệu Nhảy Ninja"</t>
  </si>
  <si>
    <t>Cho phép bạn dùng lựa chọn đặc biệt</t>
  </si>
  <si>
    <t>Ocultar a Respiração- 1</t>
  </si>
  <si>
    <t>Depois de aprender a abilidade de ninja "Ocultar a Respiração", sorrateiramente entre no banheiro enquanto sua imouto está tomando banho e escolha a opção "Dança Ninja".</t>
  </si>
  <si>
    <t>Tem permite usar uma opção especial</t>
  </si>
  <si>
    <t>Penghapusan Aura - 1</t>
  </si>
  <si>
    <t>Setelah mempelajari "Menghilangkan Aura," menyelinaplah ke kamar mandi saat adikmu sedang mandi untuk mengakses opsi tarian ninja.</t>
  </si>
  <si>
    <t>Gunakan opsi khusus</t>
  </si>
  <si>
    <t>透明的門-1</t>
  </si>
  <si>
    <t>可以在妹妹獨自洗澡時進行偷窺</t>
  </si>
  <si>
    <t>可以看到妹妹洗頭、胸的場景
目前無偷窺失敗、好感愛心的分歧，待製作。</t>
  </si>
  <si>
    <t>透明なドア-1</t>
  </si>
  <si>
    <t>シャワー中の妹を覗くことが出来る！</t>
  </si>
  <si>
    <t>妹が頭や胸を洗うシーンが見られます。
現在、覗き失敗や好意のハートの分岐は未実装です。
※制作中</t>
  </si>
  <si>
    <t>Transparent Door - 1</t>
  </si>
  <si>
    <t>You can peep on your sister when she is showering alone.</t>
  </si>
  <si>
    <t>You will be able to see the sister wash her hair and breasts.
Favorability and failing to peep currently doesn't make any difference. This will be improved in the future.</t>
  </si>
  <si>
    <t>Puerta transparente -1</t>
  </si>
  <si>
    <t>Прозрачная дверь - 1</t>
  </si>
  <si>
    <t xml:space="preserve">Шпионите за сестрой, пока она принимает душ одна.
</t>
  </si>
  <si>
    <t xml:space="preserve">Вы можете увидеть сцену, где моя сестра моет волосы и грудь. 
(В настоящее время плохие исходы не просаживают заинтересованность сестры к вам. Это будет реализованно в будущем.)
</t>
  </si>
  <si>
    <t>Transparente Tür -1</t>
  </si>
  <si>
    <t>Du kannst deine Schwester heimlich beobachten, wenn sie alleine duscht</t>
  </si>
  <si>
    <t>Du wirst deine Schwester sehen können, wie sie ihr Haar und ihre Brüste wäscht. Beliebtheit und das Nicht-Erwischen beim Spähen machen derzeit keinen Unterschied. Dies wird in Zukunft verbessert</t>
  </si>
  <si>
    <t>Cánh cừa trong suốt - 1</t>
  </si>
  <si>
    <t>Bạn có thể nhìn trộm em gái khi em ấy đang tắm vòi sen một mình.</t>
  </si>
  <si>
    <t>Bạn sẽ thấy em gái gội đầu và ngực
Độ yêu thích và việc thất bại trong việc nhìn trộm hiện tại không tạo ra sự khác biệt gì 
Việc này sẽ được cải thiện trong tương lai</t>
  </si>
  <si>
    <t>Porta Transparente - 1</t>
  </si>
  <si>
    <t>Você pode espiar a sua imouto enquando ela estiver tomando banho sozinha.</t>
  </si>
  <si>
    <t>Você conseguirá ver a sua imouto lavar seu cabelo e seios.
Afeição e falhar em espiar atualmente não fazem diferença. Isso será melhorado no futuro.</t>
  </si>
  <si>
    <t>Pintu Transparan - 1</t>
  </si>
  <si>
    <t>Anda bisa mengintip adik perempuan Anda saat dia mandi sendirian.</t>
  </si>
  <si>
    <t>Adegan adik perempuan mencuci rambut dan memperlihatkan dadanya dapat terlihat. Saat ini, belum ada masalah terkait upaya mengintip yang gagal atau perasaan sayang; hal ini masih dalam pengembangan.</t>
  </si>
  <si>
    <t>透明的門-2</t>
  </si>
  <si>
    <t>在妹妹獨自洗澡時，進行時間消耗，直到浴室門沒有妹妹的身影，再進到浴室中偷窺，可以看到泡澡時的樣子</t>
  </si>
  <si>
    <t>有無黃色小鴨有不同畫面
(目前還沒有製作無小鴨的場景，近期應該會更新)
目前無偷窺失敗的場景</t>
  </si>
  <si>
    <t>透明なドア-2</t>
  </si>
  <si>
    <t>浴室の前で妹の姿が無くなるまで過ごし、見えなくなった後にこっそり覗くと湯につかる妹を見る事が出来る！</t>
  </si>
  <si>
    <t>黄色いアヒルがあるかないかで演出が少し変わります(現時点ではアヒルのいないシーンはありませんが、近い将来更新される予定です)
現時点でのぞき失敗シーンはありません。</t>
  </si>
  <si>
    <t>Transparent Door - 2</t>
  </si>
  <si>
    <t>Spend time in the washroom until the sister's silhouette completely disappears from the door and then peek on her. You will see her dipped in the bathtub.</t>
  </si>
  <si>
    <t xml:space="preserve">There are variations depending on if you picked up the rubber ducky by the river.
(Currently, there's no scenes without the rubber ducky this time. Peeping will also never fail.
This will be improved in the future.)
</t>
  </si>
  <si>
    <t>Puerta transparente -2</t>
  </si>
  <si>
    <t>Mientras ella se baña sola, puedes quedarte cerca y dejar pasar el tiempo. Una vez que su silueta desaparezca tras la puerta del baño, puedes colarte para espiarla mientras se relaja en la bañera.</t>
  </si>
  <si>
    <t>Прозрачная дверь - 2</t>
  </si>
  <si>
    <t>Выполняйте действия в ванной, пока силуэт сестры полностью не исчезнет за дверью, а затем загляните к ней. После чего вы увидите, как она принимает в ванну.
Примечание: Можно просто брать её нижнее белье и ложить обратно, что бы реализовать данное действие.</t>
  </si>
  <si>
    <t>Существуют варианты в зависимости от того, подобрали ли вы резиновую уточку у реки.
Примечание: На данный момент нет сцен без резиновой уточки. Действие подглядывания не может быть провальным. В будущем это будет улучшено.</t>
  </si>
  <si>
    <t>Transparente Tür -2</t>
  </si>
  <si>
    <t>Verbringe Zeit im Badezimmer, bis der Schattenriss deiner Schwester vollständig von der Tür verschwunden ist, und spähe dann nach ihr. Du wirst sie in der Badewanne sitzend sehen</t>
  </si>
  <si>
    <t>Es gibt Variationen, je nachdem, ob du die Gummi-Ente am Fluss gefunden hast. (Derzeit gibt es keine Szenen ohne die Gummi-Ente. Das Spähen wird auch nie fehlschlagen. Dies wird in der Zukunft verbessert.)</t>
  </si>
  <si>
    <t>Cánh cừa trong suốt - 2</t>
  </si>
  <si>
    <t xml:space="preserve">Chờ trong phòng giặt đồ đến khi bóng của em gái trên cánh cửa hoàn toàn biến mất và rồi nhìn trộm em ấy. Bạn sẽ thấy em ấy ngâm mình trong bồn tắm </t>
  </si>
  <si>
    <t>Sẽ có biến thể tùy vào việc bạn có nhặt con vịt cao su ở sông không
(Hiện tại, không có cảnh nào không có con vịt cao su. Việc nhìn trộm cũng sẽ không bao giờ thất bại.
Điều này sẽ được cải thiện trong tương lai.)</t>
  </si>
  <si>
    <t>Porta Transparente - 2</t>
  </si>
  <si>
    <t>Gaste tempo no banheiro até a silhueta da imouto desaparecer da porta e então espiar ela. Você irá vê-la imersa na banheira.</t>
  </si>
  <si>
    <t xml:space="preserve">Existira variações dependendo se você pegou o pato de borracha do rio.
(Atualmente, Não existe cena sem o pato de borracha. Espiar também nunca falha. (Isso será melhorado no futuro).
</t>
  </si>
  <si>
    <t>Pintu Transparan - 2</t>
  </si>
  <si>
    <t>Saat adik perempuanmu sedang mandi sendirian, tunggu sampai dia tidak terlihat lagi di kamar mandi. Kemudian, intip ke dalam untuk melihat apa yang sedang dia lakukan saat mandi.</t>
  </si>
  <si>
    <t>Kehadiran atau ketidakhadiran bebek karet menciptakan visual yang berbeda.
(Adegan tanpa bebek belum dibuat; akan segera diperbarui.)
Saat ini belum ada adegan yang menunjukkan upaya mengintip yang gagal.</t>
  </si>
  <si>
    <t>透明的門-3</t>
  </si>
  <si>
    <t>在習得"氣息消除"後，哥哥會在一個人洗澡時偷偷改造浴室門，使其變成忍者門。
於偷看妹妹洗澡時的第三階段，觸發使用忍者門的選項。</t>
  </si>
  <si>
    <t>特殊視角觀看演出</t>
  </si>
  <si>
    <t>透明なドア-3</t>
  </si>
  <si>
    <t>『気息消除』を習得した後、お兄ちゃんは一人で入浴しているときに、こっそりと浴室のドアを改造し、忍者のドアに変えてしまう。
妹が入浴しているのを覗く第三段階では、忍者のドアを使う選択肢が発生する。</t>
  </si>
  <si>
    <t>覗きを別の視点で見る事が出来る！</t>
  </si>
  <si>
    <t>Transparent Door - 3</t>
  </si>
  <si>
    <t>Onii-chan will secretly modify the washroom door into some sort of ninja door when he takes a bath alone. Afterwards, when you peek to the sister while she's showering, you will have the option to use it.</t>
  </si>
  <si>
    <t>You can watch the showering sister from a different angle.</t>
  </si>
  <si>
    <t>Puerta transparente -3</t>
  </si>
  <si>
    <t>Después de dominar la técnica de Ocultación de Presencia, el protagonista aprovecha un baño en solitario para modificar secretamente la puerta, convirtiéndola en una “puerta ninja”.
En la tercera etapa del evento de espionaje, se desbloquea la opción de usarla para espiar sin ser detectado.</t>
  </si>
  <si>
    <t>La escena se muestra desde una perspectiva especial.</t>
  </si>
  <si>
    <t>Прозрачная дверь - 3</t>
  </si>
  <si>
    <t>Когда он будет принимать ванну в одиночестве, Куроха тайком переделает дверь в ванную комнату в подобие двери ниндзя. После этого, если вы подсмотрите за сестрой, пока она принимает душ, у вас появится возможность ею воспользоваться.</t>
  </si>
  <si>
    <t>Вы можете понаблюдать за принимающей душ с другого ракурса.</t>
  </si>
  <si>
    <t>Transparente Tür -3</t>
  </si>
  <si>
    <t>In der dritten Phase, wenn du deine Schwester beim Duschen heimlich beobachtest, wird die Option zur Nutzung der "Ninjatür" freigeschaltet.</t>
  </si>
  <si>
    <t>Du kannst die duschende Schwester aus einem anderen Winkel beobachten.</t>
  </si>
  <si>
    <t>Cánh cửa trong suốt - 3</t>
  </si>
  <si>
    <t>Onii-chan sẽ bí mật chỉnh sửa cánh cửa thành một loại cửa ninja khi anh ấy tắm một mình. Sau đói, khi bạn nhìn trộm em ấy khi em ấy đang tắm vòi sen, bạn sẽ có lựa chọn sử dụng nó</t>
  </si>
  <si>
    <t>Bạn có thể thấy em gái tắm vòi sen ở nhiều góc độ</t>
  </si>
  <si>
    <t>Porta Transparente - 3</t>
  </si>
  <si>
    <t>Onii-chan irá secretamente modificar a porta do banheiro em um tipo de porta ninja quando ele tomar banho sozinho. Posteriormente, quando você espiar sua imouto enquanto ela está tomando banho, você também terá essa opção para usar.</t>
  </si>
  <si>
    <t>você pode assistir a sua imouto tomando banho em um ângulo diferente.</t>
  </si>
  <si>
    <t>Pintu Transparan-3</t>
  </si>
  <si>
    <t>Setelah mempelajari "Penghilangan Bau," kakak laki-laki itu akan diam-diam memodifikasi pintu kamar mandi saat mandi sendirian, mengubahnya menjadi pintu ninja.
Opsi untuk menggunakan pintu ninja dipicu pada tahap ketiga saat ia mengintip adiknya mandi.</t>
  </si>
  <si>
    <t>Menyaksikan pertunjukan dari perspektif khusus.</t>
  </si>
  <si>
    <t>一起洗澡</t>
  </si>
  <si>
    <t>當好感度大於2時</t>
  </si>
  <si>
    <t>可以和妹妹一起洗澡</t>
  </si>
  <si>
    <t>一緒にお風呂に入る！</t>
  </si>
  <si>
    <t>❤️が2つ以上のとき！</t>
  </si>
  <si>
    <t>妹と一緒にお風呂に入ることができる！！</t>
  </si>
  <si>
    <t>Let's bathe together</t>
  </si>
  <si>
    <t>Unlocked when favorability reaches level 2</t>
  </si>
  <si>
    <t>Allows bathing together with Imouto</t>
  </si>
  <si>
    <t>Bañarse juntos</t>
  </si>
  <si>
    <t>Cuando el nivel de afecto es mayor a 2</t>
  </si>
  <si>
    <t>Bañarse con tu hermanita</t>
  </si>
  <si>
    <t>Давайте примем ванну вместе</t>
  </si>
  <si>
    <t>Разблокируется при достижении уровня благосклонности 2.</t>
  </si>
  <si>
    <t>Позволяет принимать ванну вместе с младшей сестрой.</t>
  </si>
  <si>
    <t>Gemeinsam baden</t>
  </si>
  <si>
    <t>Wenn der Zuneigungswert über 2 Herzen liegt</t>
  </si>
  <si>
    <t>Du kannst mit deiner Schwester baden gehen</t>
  </si>
  <si>
    <t>Hãy tắm cùng anh</t>
  </si>
  <si>
    <t>Mở khóa khi độ yêu thích đạt cấp 2</t>
  </si>
  <si>
    <t>Cho phép tắm chung với Imouto</t>
  </si>
  <si>
    <t>Vamos tomar banho juntos</t>
  </si>
  <si>
    <t>Desbloqueado quando a afeição chega ao nível 2 ❤️❤️</t>
  </si>
  <si>
    <t>Permite você tomar banho junto com a Imouto</t>
  </si>
  <si>
    <t>Mandi bersama</t>
  </si>
  <si>
    <t>Ketika tingkat kesukaannya lebih besar dari 2</t>
  </si>
  <si>
    <t>Kamu bisa mandi bersama adikmu.</t>
  </si>
  <si>
    <t>拜託一起洗</t>
  </si>
  <si>
    <t>已經滿足和妹妹一起洗澡的條件，但妹妹心情低落</t>
  </si>
  <si>
    <t>特殊選項</t>
  </si>
  <si>
    <t>断れない妹</t>
  </si>
  <si>
    <t>一緒にお風呂に入ろうとしたが妹の機嫌が良くない…</t>
  </si>
  <si>
    <t>選択肢が追加される</t>
  </si>
  <si>
    <t>Please, let's bathe together</t>
  </si>
  <si>
    <t>Take a bath with the sister while she's in a bad mood</t>
  </si>
  <si>
    <t>Another option will be added.
(Not working as of current version)</t>
  </si>
  <si>
    <t>Bañemonos juntos!</t>
  </si>
  <si>
    <t>Давай примем ванну вместе</t>
  </si>
  <si>
    <t>Примите ванну с сестрой, когда она в плохом настроении.</t>
  </si>
  <si>
    <t>Будет добавлена еще одна вариация.
(Не работает в текущей версии)</t>
  </si>
  <si>
    <t>Lass uns zusammen baden</t>
  </si>
  <si>
    <t>Nimm ein Bad mit deiner Schwester, während sie in schlechter Stimmung ist</t>
  </si>
  <si>
    <t>Eine weitere Option wird hinzugefügt. (Derzeit nicht funktionsfähig in der aktuellen Version</t>
  </si>
  <si>
    <t>Xin hãy tắm cùng anh</t>
  </si>
  <si>
    <t>Tắm với em gái khi em ấy có tâm trạng xấu.</t>
  </si>
  <si>
    <t>Một lựa chọn nữa sẽ được thêm vào
(Không hoạt động trong phiên bản này)</t>
  </si>
  <si>
    <t>Por favor, vamos tomar banho juntos</t>
  </si>
  <si>
    <t>Tomar banho com a sua imouto enquanto ela está de mau humor</t>
  </si>
  <si>
    <t>Uma outra opção será adicionada.
(Não está funcionando na versão atual)</t>
  </si>
  <si>
    <t>Harap cuci bersama-sama</t>
  </si>
  <si>
    <t>Syarat untuk mandi bersama sudah terpenuhi, tetapi adikku sedang murung.</t>
  </si>
  <si>
    <t>Opsi Khusus</t>
  </si>
  <si>
    <t>快要熱暈了-1</t>
  </si>
  <si>
    <t>在沒有紫心的情況下，與妹妹一起泡澡時，如果一直摸妹妹，妹妹會逃跑</t>
  </si>
  <si>
    <t>妹妹逃跑了</t>
  </si>
  <si>
    <t>逆上せちゃいそう-1</t>
  </si>
  <si>
    <t>💜がない状態で妹とお風呂に入っている時、妹を撫で続けると、妹は逃げ出します</t>
  </si>
  <si>
    <t>妹が逃げちゃった…</t>
  </si>
  <si>
    <t>Almost Fainted - 1</t>
  </si>
  <si>
    <t>When bathing with imouto without purple hearts, if you consistently touch her, she will get up the bath and run away</t>
  </si>
  <si>
    <t>"Imouto ran away"</t>
  </si>
  <si>
    <t>Чуть не упала в обморок - 1</t>
  </si>
  <si>
    <t>Если во время купания с Имоуто без фиолетовых сердечек постоянно прикасаться к ней, она встанет из ванны и убежит.</t>
  </si>
  <si>
    <t>«Имоуто сбежала»</t>
  </si>
  <si>
    <t>Mir wird heiß und schwindelig-1</t>
  </si>
  <si>
    <t>Wenn du ohne lila Herzen zusammen mit deiner kl. Schwester badest, und sie die ganze Zeit berührst, wird deine kleine Schwester sich aus dem Staub machen.</t>
  </si>
  <si>
    <t>Deine kleine Schwster verpisst sich von dir</t>
  </si>
  <si>
    <t xml:space="preserve">Gần ngất đi - 1 </t>
  </si>
  <si>
    <t>Khi tắm với imouto mà không có tim tím nào, nếu bạn liên tục chọc em ấy, em ấy sẽ ra khỏi bồn tắm và chạy đi</t>
  </si>
  <si>
    <t>"Imouto chạy đi"</t>
  </si>
  <si>
    <t>Quase Desmaiou - 1</t>
  </si>
  <si>
    <t>Quando tomando banho com imouto sem corações roxos💜, se você consistentemente a tocar, ela irá se levantar e fugir.</t>
  </si>
  <si>
    <t>"Imouto fugiu"</t>
  </si>
  <si>
    <t>Aku hampir pingsan karena panasnya -1</t>
  </si>
  <si>
    <t>Jika kamu terus menyentuh adik perempuanmu saat mandi bersamanya (tanpa mendapatkan Purple Heart), dia akan lari.</t>
  </si>
  <si>
    <t>Saudari saya melarikan diri.</t>
  </si>
  <si>
    <t>快要熱暈了-2</t>
  </si>
  <si>
    <t>有至少一顆紫心時，一直摸妹妹，妹妹會熱到暈倒</t>
  </si>
  <si>
    <t>妹妹熱暈了
*此為一次性事件</t>
  </si>
  <si>
    <t>逆上せちゃいそう-2</t>
  </si>
  <si>
    <t>💜が1つ以上ある状態で妹を撫で続けると、妹は逆上せて気を失います</t>
  </si>
  <si>
    <t xml:space="preserve">
妹が逆上せて気絶しちゃった
※一度限りのイベントです
</t>
  </si>
  <si>
    <t>Similar to above, if you have at least 1 purple heart, she will end up fainting from the heat</t>
  </si>
  <si>
    <t>"Imouto fainted from the heat"
*One-time event</t>
  </si>
  <si>
    <t>Чуть не упала в обморок - 2</t>
  </si>
  <si>
    <t>Как и в предыдущем случае, если у вас есть хотя бы одно фиолетовое сердце, она в итоге потеряет сознание от жары.</t>
  </si>
  <si>
    <t>«Имоуто потеряла сознание от жары»
*Единичный случай</t>
  </si>
  <si>
    <t>Mir wird heiß und schwindelig-2</t>
  </si>
  <si>
    <t>Wenn du mindestens ein lila Herz hast und deine kl. Schwester die ganze Zeit berührt, wird ihr so heiß, dass sie ohnmächtig wird.</t>
  </si>
  <si>
    <t>Dein kl. Schwesterchen ist ohnmächtig geworden</t>
  </si>
  <si>
    <t>Gần ngất đi - 2</t>
  </si>
  <si>
    <t>Giống như trên, nếu bạn có ít nhất 1 tim tím, em ấy cuối cùng sẽ ngất đi vì hơi nóng</t>
  </si>
  <si>
    <t>"Imouto ngất đi vì hơi nóng"
*Sự kiện một lần</t>
  </si>
  <si>
    <t>Quase Desmaiou - 2</t>
  </si>
  <si>
    <t>Similar com o de cima, se você tiver pelo menos 1 coração roxo💜, ela irá resistir até desmaiar por conta do calor.</t>
  </si>
  <si>
    <t>"Imouto desmaiou com o calor"
*Evento único</t>
  </si>
  <si>
    <t>Aku hampir pingsan karena panasnya -2</t>
  </si>
  <si>
    <t>Jika kamu terus menyentuh adikmu saat dia memiliki setidaknya satu Purple Heart, dia akan kepanasan hingga pingsan.</t>
  </si>
  <si>
    <t>Adikku pingsan karena kepanasan.
*Ini adalah kejadian sekali saja.*</t>
  </si>
  <si>
    <t>快要熱暈了-3</t>
  </si>
  <si>
    <t>同上，第二次進入熱暈環節前，會進入特殊畫面</t>
  </si>
  <si>
    <t>CG演出</t>
  </si>
  <si>
    <t>逆上せちゃいそう-3</t>
  </si>
  <si>
    <t>2回目に気絶する段階に入る前に、特殊イベントに移行します</t>
  </si>
  <si>
    <t>Similar to above, but before she faints from the heat, a special screen will appear</t>
  </si>
  <si>
    <t>A special CG will show up</t>
  </si>
  <si>
    <t>Чуть не упала в обморок - 3</t>
  </si>
  <si>
    <t>Аналогично предыдущему случаю, но перед тем, как она потеряет сознание от жары, появится специальный экран.</t>
  </si>
  <si>
    <t>Появится специальная графика.</t>
  </si>
  <si>
    <t>Mir wird heiß und schwindelig-3</t>
  </si>
  <si>
    <t>Beim 2x, bevor Sie Ohnmächtig wird, erscheint ein spezielle Szene</t>
  </si>
  <si>
    <t>Bilderszene(Ein erotisches Bild)</t>
  </si>
  <si>
    <t>Gần ngất đi - 3</t>
  </si>
  <si>
    <t>Giống như trên, nhưng trước khi em ấy ngất đi vì hơi nóng, một cảnh đặc biệt sẽ xuất hiện</t>
  </si>
  <si>
    <t>Một CG đặc biệt sẽ xuất hiện</t>
  </si>
  <si>
    <t>Quase Desmaiou - 3</t>
  </si>
  <si>
    <t>Similar com o de cima, mas antes que ela desmaie com o calor, uma cena especial aparecerá</t>
  </si>
  <si>
    <t>Uma CG especial aparecerá</t>
  </si>
  <si>
    <t>Aku hampir pingsan karena panasnya -3</t>
  </si>
  <si>
    <t>Seperti yang telah disebutkan di atas, adegan khusus akan diputar sebelum fase serangan panas kedua.</t>
  </si>
  <si>
    <t>Performa CG</t>
  </si>
  <si>
    <t>冥想吧</t>
  </si>
  <si>
    <t>於妹妹獨自洗澡時，哥哥性慾高於50，並且進入洗面所</t>
  </si>
  <si>
    <t>觸發將冥想變更為妄想的選項
選擇後，會進行一段妄想妹妹的演出</t>
  </si>
  <si>
    <t>瞑想しよう…</t>
  </si>
  <si>
    <t>妹が一人で入浴しているとき、お兄ちゃんの性欲が50を超え、洗面所に入る</t>
  </si>
  <si>
    <t xml:space="preserve">
瞑想を妄想に切り替える選択肢を発動する。
選択すると、妹を妄想するシーンが展開される
</t>
  </si>
  <si>
    <t>Fantasize</t>
  </si>
  <si>
    <t>When onii-chan's excitement level is above 50% and he enters the washroom to peep on imouto, the option to "Meditate" becomes "Fantasize"</t>
  </si>
  <si>
    <t xml:space="preserve">Changes the "Meditate" option to "Fantasize".
Selecting this option will trigger some dialogs from Imouto out of your imagination
</t>
  </si>
  <si>
    <t>在妹妹独自洗澡时，哥哥性欲高于50，并且进入洗面所</t>
  </si>
  <si>
    <t>触发将冥想变更为妄想的选项
选择后，会进行一段妄想妹妹的演出
（正在发动鬼脑意营bushi..）</t>
  </si>
  <si>
    <t>Фантазировать</t>
  </si>
  <si>
    <t>Когда уровень возбуждения они-чана превышает 50%, и он заходит в ванную, чтобы подглядывать за имауто, опция «Медитировать» заменяется на «Фантазировать».</t>
  </si>
  <si>
    <t xml:space="preserve">Заменяет опцию «Медитировать» на «Фантазировать».
Выбор этой опции вызовет диалоги от младшей сестры, которые возникнут в вашем воображении.
</t>
  </si>
  <si>
    <t>Meditiere mal</t>
  </si>
  <si>
    <t>Wenn deine Schwester alleine badet, du eine sexuelle Begierde über 50 hast und das Badezimmer betrittst</t>
  </si>
  <si>
    <t>Option zum Ändern der Meditation in Fantasie auslösen
Nach der Auswahl wird eine kurze Szene gezeigt, in der der Bruder von der Schwester fantasiert</t>
  </si>
  <si>
    <t>Tưởng tượng</t>
  </si>
  <si>
    <t>Khi mức độ thich thú của onii-chan vượt quá 50% và anh ấy vào phòng vệ sinh để nhìn trộm imouto, tùy chọn "Thiền định" sẽ trở thành "Tưởng tượng"</t>
  </si>
  <si>
    <t>Thay đổi lựa chọn "Thiền định" thành "Tưởng tượng"
Chọn lựa chọn này sẽ khiến xuất hiện một số lời thoại của imouto từ trí tưởng tượng</t>
  </si>
  <si>
    <t>Fantasiar</t>
  </si>
  <si>
    <t>Quando o desejo do onii-chan ultrapassar os 50% e ele entrar na antessala da banheira/chuveiro para espiar sua imouto a opção "Meditar" vira "Fantasiar"</t>
  </si>
  <si>
    <t>A opção meditação muda para Fantasiar. Após a seleção, um diálogo fantasioso ocorrerá.</t>
  </si>
  <si>
    <t>Bar Meditasi</t>
  </si>
  <si>
    <t>Saat adik perempuannya sedang mandi sendirian, hasrat seksual kakak laki-lakinya meningkat drastis, dan dia pun masuk ke kamar mandi.</t>
  </si>
  <si>
    <t>Opsi untuk mengubah meditasi menjadi delusi diaktifkan. Setelah memilih opsi ini, pertunjukan oleh saudari yang menyukai delusi akan berlangsung.</t>
  </si>
  <si>
    <t>請妹妹幫忙洗-1</t>
  </si>
  <si>
    <t>在和妹妹共浴時，請妹妹幫忙擦背</t>
  </si>
  <si>
    <t>觸發一段劇情
並於下一次時新增一個選項：清洗前方</t>
  </si>
  <si>
    <t>妹を洗ったり洗ってもらう−1</t>
  </si>
  <si>
    <t>妹と一緒にお風呂に入っているときに、妹に背中を洗ってもらう！</t>
  </si>
  <si>
    <t>イベントが発生し、次回に新しい選択肢『前を洗う』が追加される</t>
  </si>
  <si>
    <t>Imouto's Washing - 1</t>
  </si>
  <si>
    <t>When you bathe with imouto, ask her to wash your back. A new option will be added where you can ask her to wash your front.</t>
  </si>
  <si>
    <t>A new scene is triggered.
A new option is added: "Wash front"</t>
  </si>
  <si>
    <t>Мытьё с Имоуто - 1</t>
  </si>
  <si>
    <t>Когда будете купаться с Имоуто, попросите её помыть вам спину. Позже появится новая опция, позволяющая попросить её помыть вам переднюю часть тела.</t>
  </si>
  <si>
    <t>Запускается новая сцена.
Добавлена ​​новая опция: «Помыть перед».</t>
  </si>
  <si>
    <t>Bitte deine Schwester um Hilfe beim Waschen – 1</t>
  </si>
  <si>
    <t>Wenn du zusammen mit deinen kl. Schwesterlein badest, bitte Sie deinen Geilen Sexy Rücken abzuwischen.</t>
  </si>
  <si>
    <t>Löst eine Szene aus und beim nächsten Mal erscheint ein neuer Auswahlpunkt: Vorderseite waschen</t>
  </si>
  <si>
    <t>Imouto tắm cho - 1</t>
  </si>
  <si>
    <t xml:space="preserve">Khi bạn tắm với imouto, hỏi em ấy kì lưng cho bạn. Một lựa chọn mới sẽ được thêm vào mà bạn có thể hỏi em ấy cọ phía trước của bạn </t>
  </si>
  <si>
    <t>Một cảnh đặc biệt xảy ra
Một lựa chọn mới được thêm vào: "Cọ phía trước"</t>
  </si>
  <si>
    <t>Pedir pra imouto me lavar - 1</t>
  </si>
  <si>
    <t>Quando você tomando banho com a sua imouto, peça para ela "esfregar as costas". Uma nova opção será adicionada onde você pode pedir pra ela "lavar a frente".</t>
  </si>
  <si>
    <t>Uma nova Cena ocorrerá.
Uma nova opção será adicionada: "lavar a frente"</t>
  </si>
  <si>
    <t>Tolong minta adikku untuk membantuku mencuci -1</t>
  </si>
  <si>
    <t>Saat mandi bersama adik perempuanku, aku memintanya untuk membantuku menggosok punggungku.</t>
  </si>
  <si>
    <t>Ini memicu adegan sinematik dan menambahkan opsi baru di lain waktu: Bersihkan area di depan.</t>
  </si>
  <si>
    <t>請妹妹幫忙洗-2</t>
  </si>
  <si>
    <t>同上，第二次選擇幫忙清洗前方，且未達4顆紫心時</t>
  </si>
  <si>
    <t>妹妹會拒絕幫忙</t>
  </si>
  <si>
    <t>妹を洗ったり洗ってもらう−2</t>
  </si>
  <si>
    <t>2回目で「前を洗う」を選択し、紫のハートが4つ未満の場合</t>
  </si>
  <si>
    <t>妹は洗われるのを嫌がる…</t>
  </si>
  <si>
    <t>Imouto's Washing - 2</t>
  </si>
  <si>
    <t>Similar to above, if you insist to wash the front while your purple hearts is below 4, imouto will refuse.</t>
  </si>
  <si>
    <t>Imouto will refuse your request</t>
  </si>
  <si>
    <t>Мытьё с Имоуто - 2</t>
  </si>
  <si>
    <t>Аналогично вышесказанному, если вы будете настаивать на мытье передней части, когда уровень ваших фиолетовых сердечек ниже 4, Имоуто откажется.</t>
  </si>
  <si>
    <t>Имоуто откажет вам в вашей просьбе</t>
  </si>
  <si>
    <t>Bitte deine Schwester um Hilfe beim Waschen – 2</t>
  </si>
  <si>
    <t>Wenn du beim zweiten Mal auswählst, deiner kl. Schwester beim Vorderseitenwaschen zu helfen und noch keine 4 Purple Herzen hat</t>
  </si>
  <si>
    <t>Deine kl. Schwester wird sich weigern zu helfen</t>
  </si>
  <si>
    <t>Imouto tắm cho - 2</t>
  </si>
  <si>
    <t>Giống như trên, nếu bạn yêu cầu cọ phía trước mà số tim tím thấp hơn 4, imouto sẽ từ chối</t>
  </si>
  <si>
    <t>Imouto sẽ từ chối yêu cầu của bạn</t>
  </si>
  <si>
    <t>Pedir pra imouto me lavar - 2</t>
  </si>
  <si>
    <t>Similar com o de cima, se você insistir pra ela "lavar a frente" enquanto tiver menos de 4 corações roxos💜, imouto irá recusar.</t>
  </si>
  <si>
    <t>Imouto irá recusar o seu pedido</t>
  </si>
  <si>
    <t>Tolong minta adikku untuk membantuku mencuci -2</t>
  </si>
  <si>
    <t>Seperti di atas, untuk kedua kalinya Anda memilih untuk membantu membersihkan area di depan, dan sebelum Anda mencapai 4 hati ungu.</t>
  </si>
  <si>
    <t>Saudari saya akan menolak untuk membantu.</t>
  </si>
  <si>
    <t>請妹妹幫忙洗-3</t>
  </si>
  <si>
    <t>同上，若達到4顆紫心時</t>
  </si>
  <si>
    <t>第一段素股畫面演出</t>
  </si>
  <si>
    <t>妹を洗ったり洗ってもらう−3</t>
  </si>
  <si>
    <t>💜が4つに達した時</t>
  </si>
  <si>
    <t>1段階目の「素股」で洗ってくれる…</t>
  </si>
  <si>
    <t>Imouto's Washing - 3</t>
  </si>
  <si>
    <t>Similar to above but if you have 4 purple hearts, the first sumata scene will trigger</t>
  </si>
  <si>
    <t>First scene of sumata</t>
  </si>
  <si>
    <t>Мытьё с Имоуто - 3</t>
  </si>
  <si>
    <t>Аналогично предыдущему, но если у вас 4 фиолетовых сердца, запустится первая сцена с "суматой".</t>
  </si>
  <si>
    <t>Первая сцена "суматы"</t>
  </si>
  <si>
    <t>Bitte deine Schwester um Hilfe beim Waschen – 3</t>
  </si>
  <si>
    <t>Wenn du beim zweiten Mal auswählst, deiner kl. Schwesterchen beim Vorderseitenwaschen zu helfen ud bereits 4 Purple Herzen hat</t>
  </si>
  <si>
    <t>Erste Vaginale Sexszene ohne Kondom</t>
  </si>
  <si>
    <t>Imouto tắm cho - 3</t>
  </si>
  <si>
    <t>Giống như trên, nhưng nếu bạn có 4 tim tím, cảnh sumata đầu tiên sẽ xảy ra</t>
  </si>
  <si>
    <t>Cảnh Sumata đầu tiên</t>
  </si>
  <si>
    <t>Pedir pra imouto me lavar - 3</t>
  </si>
  <si>
    <t>Similar com o de cima, mas se você tiver 4 corações roxos💜💜💜💜, a primeria cena de sumata ocorrerá</t>
  </si>
  <si>
    <t>Primeira cena de sumata</t>
  </si>
  <si>
    <t>Tolong minta adikku untuk membantuku mencuci - 3</t>
  </si>
  <si>
    <t>Demikian pula, jika Anda mencapai 4 hati ungu...</t>
  </si>
  <si>
    <t>Bagian pertama dari pertunjukan adegan kaus kaki polos</t>
  </si>
  <si>
    <t>請妹妹幫忙洗-4</t>
  </si>
  <si>
    <t>同上，若達到5顆紫心時</t>
  </si>
  <si>
    <t>第二段素股畫面演出</t>
  </si>
  <si>
    <t>妹を洗ったり洗ってもらう−4</t>
  </si>
  <si>
    <t>💜が5つに達した時</t>
  </si>
  <si>
    <t>2段階目の「素股」で洗ってくれる…</t>
  </si>
  <si>
    <t>Imouto's Washing - 4</t>
  </si>
  <si>
    <t>Similar to above but if you have 5 purple hearts, the second sumata scene will trigger</t>
  </si>
  <si>
    <t>Second scene of sumata</t>
  </si>
  <si>
    <t>Мытьё с Имоуто - 4</t>
  </si>
  <si>
    <t>Аналогично предыдущему, но если у вас 5 фиолетовых сердец, запустится вторая сцена с "суматой".</t>
  </si>
  <si>
    <t>Вторая сцена "суматы"</t>
  </si>
  <si>
    <t>Bitte deine Schwester um Hilfe beim Waschen – 4</t>
  </si>
  <si>
    <t>Wenn du beim zweiten Mal auswählst, deiner kl. Schwester beim Vorderseitenwaschen zu helfen und bereits 5 Purple Herzen hat</t>
  </si>
  <si>
    <t>Zweite Vaginale Sexszene ohne Kondom</t>
  </si>
  <si>
    <t>Imouto tắm cho - 4</t>
  </si>
  <si>
    <t>Giống như trên nhưng nếu bạn có 5 tim tím, cảnh sumata thứ hai sẽ xảy ra</t>
  </si>
  <si>
    <t>Cảnh Sumata thứ hai</t>
  </si>
  <si>
    <t>Pedir pra imouto me lavar - 4</t>
  </si>
  <si>
    <t>Similar com o de cima, mas se você tiver 5 corações, a segunda cena de sumata ocorrerá</t>
  </si>
  <si>
    <t>Segunda cena de sumata</t>
  </si>
  <si>
    <t>Tolong minta adikku untuk membantuku mencuci -4</t>
  </si>
  <si>
    <t>Demikian pula, jika Anda mencapai 5 hati ungu...</t>
  </si>
  <si>
    <t>Bagian kedua dari pertunjukan adegan kaus kaki polos.</t>
  </si>
  <si>
    <t>請妹妹幫忙洗-5</t>
  </si>
  <si>
    <t>當心動值達10分以上、以及觸發過2次素股事件
或者使用賄絡</t>
  </si>
  <si>
    <t>觸發洗浴中口交事件</t>
  </si>
  <si>
    <t>妹に洗うのを手伝ってもらう -5</t>
  </si>
  <si>
    <t xml:space="preserve">
合計ハート数が10以上で、かつ前のイベントを2回発生させている場合のみ発動可能。
または、妹に賄賂を渡すことでも発動できる…
</t>
  </si>
  <si>
    <t>お風呂中のフェラチオイベントを発生する</t>
  </si>
  <si>
    <t>Imouto's Washing - 5</t>
  </si>
  <si>
    <t>Can only be triggered if your total hearts is 10 or higher while triggering the previous events twice. Can also be triggered by bribing imouto.</t>
  </si>
  <si>
    <t>Triggers the blowjob event in the washroom</t>
  </si>
  <si>
    <t>Мытьё с Имоуто - 5</t>
  </si>
  <si>
    <t>Может быть активировано, если при повторном запуске предыдущих событий при кол-ве привязанности 10 и выше. Также может быть активировано при подкупе Имоуто.</t>
  </si>
  <si>
    <t>Минет в ванной</t>
  </si>
  <si>
    <t>Bitte deine Schwester um Hilfe beim Waschen – 5</t>
  </si>
  <si>
    <t>Achte darauf, dass der Zuneigungswert 10 oder mehr erreicht, damit deine Schwester deinen Penis lutscht</t>
  </si>
  <si>
    <t>Die Schwester saugt dich aus</t>
  </si>
  <si>
    <t>Imouto tắm cho - 5</t>
  </si>
  <si>
    <t>Khi giá trị tim đạt từ 10 trở lên, hoặc khi hai sự kiện liên quan đến phiếu thưởng xảy ra, hoặc khi ta hối lộ...</t>
  </si>
  <si>
    <t>Kích hoạt sự kiện blowjob ở trong nhà tắm</t>
  </si>
  <si>
    <t>Pedir pra imouto me lavar -5</t>
  </si>
  <si>
    <t>"Quando a afeição atingir 10 pontos(Olhar em Tips) ou mais, e os eventos anteriores ocorrerem duas vezes, ou quando houver suborno..."</t>
  </si>
  <si>
    <t>Ocorre um evento de felação no banho</t>
  </si>
  <si>
    <t xml:space="preserve">memicu adegan blowjob di kamarmandi </t>
  </si>
  <si>
    <t>請妹妹幫忙洗-6</t>
  </si>
  <si>
    <t>同上，並且哥哥持有裝備"惡魔眼球"</t>
  </si>
  <si>
    <t>於左下角的黑色眼球，可以觀看到透視版本的畫面</t>
  </si>
  <si>
    <t>妹に洗うのを手伝ってもらう -6</t>
  </si>
  <si>
    <t>同上、かつお兄ちゃんが装備「悪魔の眼球」を所持している場合…</t>
  </si>
  <si>
    <t>左下の黒い眼球(アイコン)から透視することができる！</t>
  </si>
  <si>
    <t>Imouto's Washing - 6</t>
  </si>
  <si>
    <t>Same as above but Onii-chan must possess the equipment "Demon Eyeball"</t>
  </si>
  <si>
    <t>Same as above but a different perspective can be selected by pressing  the black eyeball button in the bottom left corner during the scene</t>
  </si>
  <si>
    <t>Мытьё с Имоуто - 6</t>
  </si>
  <si>
    <t>То же, что и выше.
Только Куроха использует экипировку "Демонический глаз".</t>
  </si>
  <si>
    <t>Нажав на значок "глаза" в левом нижнем углу, вы сможете увидеть анимацию с эффектом "рентгена"</t>
  </si>
  <si>
    <t>Bitte deine Schwester um Hilfe beim Waschen – 6</t>
  </si>
  <si>
    <t xml:space="preserve">Das gleiche wie oben, aber du hast die Ausrüstung "Dämonenauge" </t>
  </si>
  <si>
    <t>Mit dem schwarzen Auge unten links kann man die durchsichtige Version der Szene sehen</t>
  </si>
  <si>
    <t>Imouto tắm cho - 6</t>
  </si>
  <si>
    <t>Giống như trên, nhưng onii-chan có trang bị "Ma Nhãn".</t>
  </si>
  <si>
    <t>Giống như trên nhưng có thể xem từ góc nhìn khác bằng biểu tượng con mắt đen ở góc trái dưới cùng</t>
  </si>
  <si>
    <t>Pedir pra imouto me lavar - 6</t>
  </si>
  <si>
    <t>Igual ao anterior, e o onii-chan equipar o equipamento "Olho Demoníaco".</t>
  </si>
  <si>
    <t>É possível ver uma perspectiva através do "Olho Demoníaco" no canto inferior esquerdo.</t>
  </si>
  <si>
    <t>sama seperti diatas tapi Onii-chan harus memakai perlengkapan "Devil's Eye"</t>
  </si>
  <si>
    <t xml:space="preserve">sama seperti diatas tapi dengan pandangan yang berbedabisa di pilih dengan menekan tombol bola mata hitam  di pojok kiri bawah saat adegan berlangsung </t>
  </si>
  <si>
    <t>請妹妹幫忙洗-7</t>
  </si>
  <si>
    <t>洗浴中口交事件中，在嘴巴發射後，後續又馬上被妹妹用手服務出兩次</t>
  </si>
  <si>
    <t>觸發"洗浴中被榨乾"的相關劇情
P.S.若哥哥體力不足的話，中途會枯萎</t>
  </si>
  <si>
    <t>妹に洗うのを手伝ってもらう-7</t>
  </si>
  <si>
    <t>お風呂でのお口での奉仕で射精した後に、さらに妹が手で奉仕くれる</t>
  </si>
  <si>
    <t>条件「入浴中に絞り取られる」ことによる関連したストーリー
P.S. お兄さんの体力が足りない場合、途中で萎えてしまいます</t>
  </si>
  <si>
    <t>Imouto's Washing - 7</t>
  </si>
  <si>
    <t>After ejaculating in the mouth of from the previous events, she will immediately give you a handjob two more times</t>
  </si>
  <si>
    <t>Triggers the "Sucked dry in the bath" event
PS: If Onii-chan's stamina is not enough (low HP), he will "go limp" midway</t>
  </si>
  <si>
    <t>请妹妹帮忙洗-7</t>
  </si>
  <si>
    <t>洗浴中口交事件中，在嘴巴发射后，后续又马上被妹妹用手服务出两次</t>
  </si>
  <si>
    <t>触发"洗浴中被榨干"的相关剧情
P.S.若哥哥体力不足的话，中途会枯萎</t>
  </si>
  <si>
    <t>Мытьё с Имоуто - 7</t>
  </si>
  <si>
    <t>После эякуляции в рот от предыдущих событий, она сделает "это" руками ещё два раза.</t>
  </si>
  <si>
    <t>Запускает событие "Высосанный досуха в ванне"
P.s.: Если у Курохи недостаточно выносливости (мало здоровья), он "обмякнет" на полпути</t>
  </si>
  <si>
    <t>Bitte deine Schwester um Hilfe beim Waschen – 7</t>
  </si>
  <si>
    <t>Nachdem du ihr nach den vorherigen Ereignissen in den Mund gekommen bist, wird sie dir sofort noch zweimal hintereinander einen Handjob geben</t>
  </si>
  <si>
    <t>Löst das Ereignis "Im Bad ausgesaugt" aus
PS: Wenn Onii-chan nicht genug Ausdauer hat (wenig HP), wird er mittendrin schlaff werden</t>
  </si>
  <si>
    <t>Imouto tắm cho - 7</t>
  </si>
  <si>
    <t>Sau khi xuất vào miệng từ những sự kiện trước đó, em ấy sẽ lập tức handjob bạn thêm hai lần nữa.</t>
  </si>
  <si>
    <t>Xảy ra sự kiện "bị vắt khô trong bồn tắm"
PS: Nếu năng lượng của omii-chan không đủ (HP thấp), anh ấy sẽ "mềm nhũn" giữa chừng</t>
  </si>
  <si>
    <t>Pedir pra imouto me lavar -7</t>
  </si>
  <si>
    <t>Após a felação no banho, depois da imouto engolir, ela irá realizar estimulação manual duas vezes</t>
  </si>
  <si>
    <t>Ocorre o evento "ficar exausto durante o banho".
OBS.: Se a resistência do onii-chan for insuficiente, ele não consiguirá finalizar o trabalho.</t>
  </si>
  <si>
    <t>請妹妹幫忙洗-8</t>
  </si>
  <si>
    <t>達成兩次"洗浴口交"、"洗浴中被榨乾"</t>
  </si>
  <si>
    <t>新增"跳過"選項，直接觀看劇情</t>
  </si>
  <si>
    <t>妹に洗うのを手伝ってもらう-8</t>
  </si>
  <si>
    <t>「入浴中のお口の奉仕」を2回、「入浴中に搾り取られる」シーンを1回達成する</t>
  </si>
  <si>
    <t>『スキップ』オプションを追加し、直接イベントを閲覧可能になる</t>
  </si>
  <si>
    <t>Imouto's Washing - 8</t>
  </si>
  <si>
    <t>Trigger Imouto's Washing - 7 and getting "sucked dry in the bath" twice</t>
  </si>
  <si>
    <t>A new "Skip" button will be added to let you directly watch the scene</t>
  </si>
  <si>
    <t>请妹妹帮忙洗-8</t>
  </si>
  <si>
    <t>达成两次"洗浴口交"、"洗浴中被榨干"</t>
  </si>
  <si>
    <t>新增"跳过"选项，直接观看剧情</t>
  </si>
  <si>
    <t>Мытьё с Имоуто - 8</t>
  </si>
  <si>
    <t>Запустите "Мытьё с Имоуто - 7" и дважды "высушитесь в ванне".</t>
  </si>
  <si>
    <t>Будет добавлена новая кнопка "Пропустить", которая позволит вам непосредственно наблюдать за происходящим</t>
  </si>
  <si>
    <t>Bitte deine Schwester um Hilfe beim Waschen – 8</t>
  </si>
  <si>
    <t>Löst Schwesterchen Waschen – 7“ aus und lässt sie zweimal im Bad "ausgesaugt" werden</t>
  </si>
  <si>
    <t>Ein neuer "Überspringen"-Button wird hinzugefügt, mit dem du die Szene direkt ansehen kannst</t>
  </si>
  <si>
    <t>Imouto tắm cho - 8</t>
  </si>
  <si>
    <t>Xảy ra sự kiện Imouto tắm cho - 7 và "bị vắt khô trong bồn tắm" hai lần</t>
  </si>
  <si>
    <t xml:space="preserve">Một nút "Bỏ qua" sẽ được thêm vào và cho phép bạn xem trực tiếp </t>
  </si>
  <si>
    <t>Pedir pra imouto me lavar -8</t>
  </si>
  <si>
    <t>O incidente resultou em dois casos de "felação no banho(5)" e "ser drenado até a última gota no banho(7)".</t>
  </si>
  <si>
    <t>Uma nova opção "Pular" foi adicionada, permitindo que você assista à história diretamente.</t>
  </si>
  <si>
    <t>請妹妹幫忙洗-9</t>
  </si>
  <si>
    <t>1.至少在其他場景中與妹妹中出一次
2.觸發最少一次浴室口交事件
3.進入賄賂流程，成功賄賂妹妹時才視為一次完整的觸發</t>
  </si>
  <si>
    <t>新增一個本番事件的黑色選項</t>
  </si>
  <si>
    <t>妹に洗うのを手伝ってもらう-9</t>
  </si>
  <si>
    <t>1. 少なくとも他のシナリオで妹と一度は中出しする
2. 少なくとも1回はお風呂でお口イベントを発生させる
3. 賄賂イベントで妹に賄賂が成功した場合にのみ、黒い選択肢が解放される</t>
  </si>
  <si>
    <t>本番イベント用の黒い選択肢が追加される…</t>
  </si>
  <si>
    <t>Imouto's Washing - 9</t>
  </si>
  <si>
    <t xml:space="preserve">1. Creampie Imouto once
2. Trigger at least one oral sex in the washroom
3. Bribe imouto. The black option will show up if you successfully bribe her
</t>
  </si>
  <si>
    <t>A new black option shows up to trigger the event</t>
  </si>
  <si>
    <t>请妹妹帮忙洗-9</t>
  </si>
  <si>
    <t>1.至少在其他场景中与妹妹中出一次
2.触发最少一次浴室口交事件
3.进入贿赂流程，成功贿赂妹妹时才视为一次完整的触发</t>
  </si>
  <si>
    <t>新增一个本番事件的黑色选项</t>
  </si>
  <si>
    <t>Bitte deine Schwester um Hilfe beim Waschen – 9</t>
  </si>
  <si>
    <t>1. Einmal Creampie bei deiner Schwester
2. Mindestens zweimal Oralverkehr im Waschraum auslösen
3. Die Stimmung deiner Schwester wird für den Bestechungsprozess überprüft. Allerdings besteht selbst bei sehr guter Stimmung noch eine 40 % Chance, dass der Bestechungsprozess fortgesetzt wird
4. Besteche deine Schwester während sie dir einen Blowjob gibt
Sobald alle diese Bedingungen erfüllt sind, erscheint eine schwarze Option im Bestechungsmenü.</t>
  </si>
  <si>
    <t>Eine neue schwarze Option erscheint, um das Ereignis auszulösen</t>
  </si>
  <si>
    <t>Imouto tắm cho - 9</t>
  </si>
  <si>
    <t>1. Xuất vào trong em gái ít nhất một lần
2. Xảy ra ít nhất một lần blowjob trong phòng giặt
3. Hối lộ imouto. Lựa chọn màu đen sẽ xuất hiện nếu khi thành công hối lộ em ấy</t>
  </si>
  <si>
    <t>Một tùy chọn màu đen mới xuất hiện để kích hoạt sự kiện.</t>
  </si>
  <si>
    <t>D</t>
  </si>
  <si>
    <t>遊戲機相關劇情</t>
  </si>
  <si>
    <t>ゲームイベント</t>
  </si>
  <si>
    <t>Gaming Console Events</t>
  </si>
  <si>
    <t>Eventos de la Consola de juegos</t>
  </si>
  <si>
    <t>콘솔 게임 중 이벤트</t>
  </si>
  <si>
    <t>События с приставкой</t>
  </si>
  <si>
    <t>Auf die Spielkonsole bezogene Events</t>
  </si>
  <si>
    <t>Sự kiện máy chơi game</t>
  </si>
  <si>
    <t>Eventos do Console</t>
  </si>
  <si>
    <t>Event terkait Game Konsol</t>
  </si>
  <si>
    <t>第一次遊戲中的惡作劇</t>
  </si>
  <si>
    <t>在擁有遊戲機後，第一次對正在獨自一人玩遊戲的妹妹，使用一起遊玩的惡作劇</t>
  </si>
  <si>
    <t>有一段的特殊對話，並且之後可以對遊戲中的妹妹惡作劇</t>
  </si>
  <si>
    <t>ちょっとしたいたずらでも…</t>
  </si>
  <si>
    <t>2回目のゲーム中に妹を膝に乗せるとイベントが始まります</t>
  </si>
  <si>
    <t>ちょっとした会話の後「いたずら」をすることが出来るようになる</t>
  </si>
  <si>
    <t>First Gaming Prank</t>
  </si>
  <si>
    <t>Once you get the gaming console, play a prank on your sister for the first time while she plays a game on her own.</t>
  </si>
  <si>
    <t xml:space="preserve">There will be a special dialogue, and then you can play pranks on your sister while she's occupied with the game.
</t>
  </si>
  <si>
    <t>Primera broma jugando</t>
  </si>
  <si>
    <t>Una vez obtenida la consola de videojuegos, juegale una broma a tu hermana por primera vez mientras ella juega por su cuenta</t>
  </si>
  <si>
    <t>Habra un dialogo especial, y despues podras jugarle una broma a tu hermana mientras esta ocupada jugando.</t>
  </si>
  <si>
    <t>게임 플레이 중에 장난치기</t>
  </si>
  <si>
    <t>게임을 하고 있는 여동생을 오빠 무릎에 두 번 앉히면 이벤트가 발생합니다. (S13으로 이어짐)</t>
  </si>
  <si>
    <t>약간의 대화를 할 예정이며 여동생이 게임에 몰두하고 있을 때 장난을 칠 수 있습니다..</t>
  </si>
  <si>
    <t>Первая шалость во время игры</t>
  </si>
  <si>
    <t>После того как у вас появилась консоль, вы должны присоединиться к игре когда она играет и пранкануть её.</t>
  </si>
  <si>
    <t>Появиться специальный диалог, после которого вы можете потрогать сестру в то время пока она играет на консоли.</t>
  </si>
  <si>
    <t>Erster Gaming-Streich</t>
  </si>
  <si>
    <t>Sobald du die Spielekonsole hast, spielst du zum ersten Mal einen Streich mit deiner Schwester, während sie alleine ein Spiel spielt</t>
  </si>
  <si>
    <t>Es wird einen speziellen Dialog geben, und danach kannst du deiner Schwester Streiche spielen, während sie mit dem Spiel beschäftigt ist</t>
  </si>
  <si>
    <t>Trò đùa lúc chơi game đầu tiên</t>
  </si>
  <si>
    <t>Một khi bạn có máy chơi game, hãy trêu em ấy lần đầu tiên khi em ấy chơi game một mình.</t>
  </si>
  <si>
    <t>Sẽ có hội thoại đặc biệt, và rồi bạn có thể chọc ghẹo em gái khi em ấy tập trung vào trò chơi</t>
  </si>
  <si>
    <t>Primeira Pegadinha Jogando</t>
  </si>
  <si>
    <t>Uma vez que você obtenha o console, pregue uma pegadinha na sua imouto pela primeira vez enquanto ela esteja jogando sozinha.</t>
  </si>
  <si>
    <t xml:space="preserve">Existirá um diálogo especial, e então você pode fazer pegadinahs com a sua imouto enquanto ela está acupada com jogos.
</t>
  </si>
  <si>
    <t>夜晚的發現</t>
  </si>
  <si>
    <t>在擁有遊戲機後，第一次夜襲時，妹妹會因偷玩遊戲被哥哥抓到</t>
  </si>
  <si>
    <t>※觸發一次性劇情</t>
  </si>
  <si>
    <t>ちゃんと寝てるかな？</t>
  </si>
  <si>
    <t>初めて夜中に起きると妹が寝てるのを確認しに部屋に行く</t>
  </si>
  <si>
    <t>※特別なイベントが発生する
「ちゃんと寝るんだよ」</t>
  </si>
  <si>
    <t>Caught at Night</t>
  </si>
  <si>
    <t>Once you get the gaming console, you will be able to catch your sister secretly playing games at night during your first "night raid". A special dialog will trigger.</t>
  </si>
  <si>
    <t>A special one-time event will occur.</t>
  </si>
  <si>
    <t>※触发一次性剧情
[妹妹：你什么都没有看见哟（心虚）]</t>
  </si>
  <si>
    <t>Descubierta por la noche</t>
  </si>
  <si>
    <t>Despues de conseguir la consola de videojuegos, podras atrapar a tu hermana jugando a escondidas durante tu visita nocturna. Un dialogo especial se activara</t>
  </si>
  <si>
    <t>Un evento especial sera activado</t>
  </si>
  <si>
    <t>밤중에 습격?</t>
  </si>
  <si>
    <t>게임 콘솔을 가지고 있는 상태로 밤중에 일어나서 여동생이 자는 것을 확인하러 방에 가보세요.</t>
  </si>
  <si>
    <t>※특별한 이벤트가 발생합니다.</t>
  </si>
  <si>
    <t>Ночное обнаружение</t>
  </si>
  <si>
    <t>После получения консоли, вы можете проверить комнату сестры ночью и застать её играющей за консолью.</t>
  </si>
  <si>
    <t>※Запускает разовое событие</t>
  </si>
  <si>
    <t>Schwester in der Nacht erwischt</t>
  </si>
  <si>
    <t>Sobald du die Spielekonsole hast, wirst du deine Schwester dabei erwischen können, wie sie nachts heimlich spielt, während deiner ersten ,,Nacht-Razzia". Ein spezieller Dialog wird ausgelöst</t>
  </si>
  <si>
    <t>※Ein spezielles einmaliges Ereignis wird ausgelöst</t>
  </si>
  <si>
    <t>Bị bắt vào buổi đêm</t>
  </si>
  <si>
    <t xml:space="preserve">Một khi bạn đã có máy chơi game, bạn sẽ bắt được em gái đang bí mật chơi game vào buổi đêm trong lần "Chọc ghẹo ban đêm" lần đầu tiên. Một cuộc nói chuyện đặc biệt sẽ xảy ra </t>
  </si>
  <si>
    <t>Một sự kiện một lần sẽ xảy ra</t>
  </si>
  <si>
    <t>Pega à noite</t>
  </si>
  <si>
    <t>Uma vez que você obtenha o console, você será capaz de pegar a sua imouto jogando jogos secretamente a noite durante a sua primeria "incursão noturna" . Um dialogo especial ocorrerá.</t>
  </si>
  <si>
    <t>Um evento único irá ocorrer</t>
  </si>
  <si>
    <t>遊戲中的干擾</t>
  </si>
  <si>
    <t>在妹妹獨自一人玩遊戲時，若進行干擾，妹妹會生氣
若在沒有遊戲機的DLC時，選擇打開大腿，會立即被發現!</t>
  </si>
  <si>
    <t>生氣之後安撫好，會獲得隨機的肉料理、別受傷的約定</t>
  </si>
  <si>
    <t>今なら悪戯しても…</t>
  </si>
  <si>
    <t>ゲーム中にいたずらして反応を楽しもう！
※やりすぎはダメ！ゼッタイ！</t>
  </si>
  <si>
    <t>怒らせてしまった後に妹を慰めることで「妹との約束」をする事が出来る！</t>
  </si>
  <si>
    <t>Please don't distract me...</t>
  </si>
  <si>
    <t>Interrupt the sister when she is playing video games and she will become upset.
If you decided to spread the sister's thighs without the Shadowsouls DLC (item), you will be caught immediately!!</t>
  </si>
  <si>
    <t>Sister will get angry and needs to be comforted. 
Once comforted, you'll get asked to make a random meat dish and "Promise: Don't Get Hurt"</t>
  </si>
  <si>
    <t>Porfavor no me distraigas</t>
  </si>
  <si>
    <t>Si interrumpes a tu hermana jugando, ella se enojara</t>
  </si>
  <si>
    <t>Tu hermana estara enojada y tendras que animarla. Una vez hecho, te pedira un platillo random de carne. Promesa: No te lastimes</t>
  </si>
  <si>
    <t>장난치지 말아 줘...</t>
  </si>
  <si>
    <t>여동생이 게임을 하고 있을 때 장난치면서 반응을 즐겨보세요.</t>
  </si>
  <si>
    <t>장난을 치다가 화가 난 여동생을 달래주고 나면 여동생한테 고기 요리를 만들어 달라는 요청과 약속 : 다치지 마세요가 가능해집니다. (S3으로 이어짐)</t>
  </si>
  <si>
    <t>Пожалуйста не отвлекай меня</t>
  </si>
  <si>
    <t>Вмешайтесь, когда ваша сестра будет играть в приставку и помешайте ей играть.</t>
  </si>
  <si>
    <t>Сестра рассердится, после чего нужно будет ее утешить. После чего она попросит вас сделать ей мясное блюдо и пообещать не травмироваться.</t>
  </si>
  <si>
    <t>Bitte lenk mich nicht ab...</t>
  </si>
  <si>
    <t>Unterbreche die Schwester, während sie Videospiele spielt</t>
  </si>
  <si>
    <t>Die Schwester wird wütend und braucht Trost. Nachdem sie getröstet wurde, wirst du gebeten, ein zufälliges Fleischgericht zuzubereiten und das ,,Versprechen: Nicht verletzt zu werden" zu geben</t>
  </si>
  <si>
    <t>Đừng làm em mất tập trung...</t>
  </si>
  <si>
    <t>Làm phiền em gái khi em ấy đang chơi game và làm em ấy tức giận
Nếu bạn lựa chọn mở chân em gái mà không có vật phẩm Shadow Souls DLC, bạn sẽ bị bắt ngay lập tức!</t>
  </si>
  <si>
    <t>Em gái sẽ tức giận và cần được an ủi.
Một khi đã được an ủi, bạn sẽ được hỏi làm một móm thịt bất kì và "Lời hứa: Đừng bị thương"</t>
  </si>
  <si>
    <t>Por favor, não me distraia...</t>
  </si>
  <si>
    <t>Interrompa sua imouto enquanto ela estiver jogando video games e ela vai ficar irritada.</t>
  </si>
  <si>
    <t>Imouto ficará irritada e precisará ser reconfortada. 
Uma vez reconfortada, Você será pedido pra fazer um prato com carne aleatório e a "Promessa: Não se Machuque".</t>
  </si>
  <si>
    <t>遊戲中的干擾-1</t>
  </si>
  <si>
    <t>同上，若擁有暗影之魂-DLC後，即可觸發其他選項</t>
  </si>
  <si>
    <t>新增其他選項</t>
  </si>
  <si>
    <t>今なら悪戯しても…-1</t>
  </si>
  <si>
    <t>Shadow Souls-DLCを持っている場合は、他の選択肢を選ぶことが出来る！</t>
  </si>
  <si>
    <t>選択肢を追加される</t>
  </si>
  <si>
    <t>Game Distractions - 1</t>
  </si>
  <si>
    <r>
      <rPr>
        <rFont val="Microsoft JhengHei"/>
        <color theme="1"/>
      </rPr>
      <t xml:space="preserve">Same as above, if you manage to get the Shadow Souls - DLC from R28, you'll be able to do more actions.
</t>
    </r>
    <r>
      <rPr>
        <rFont val="Microsoft JhengHei"/>
        <b/>
        <color theme="1"/>
      </rPr>
      <t>NOTE: Shadow Souls is a video game that imouto plays. It's not this game's DLC.</t>
    </r>
  </si>
  <si>
    <t>New actions are unlocked during gaming pranks</t>
  </si>
  <si>
    <t>Distracciones del juego -1</t>
  </si>
  <si>
    <r>
      <rPr>
        <rFont val="Microsoft JhengHei"/>
        <color theme="1"/>
      </rPr>
      <t xml:space="preserve">Igual que arriba, si consigues el DLC ''Shadow Souls'' (Por favor revisa el R28), Se desbloquearan mas acciones. </t>
    </r>
    <r>
      <rPr>
        <rFont val="Microsoft JhengHei"/>
        <b/>
        <color theme="1"/>
      </rPr>
      <t>NOTA: Shadow Souls es un videojuego que tu hermana juega, no un dlc dentro del juego</t>
    </r>
  </si>
  <si>
    <t>장난치지 말아 줘 - 1</t>
  </si>
  <si>
    <t>섀도우 소울 - DLC를 얻으면 더 많은 액션을 수행할 수 있습니다. 섀도우 소울 - DLC는 여동생이 플레이하는 비디오 게임입니다.     (RPG事件-Combat R28 항목 참조)</t>
  </si>
  <si>
    <t>Отвлекающие факторы в игре - 1</t>
  </si>
  <si>
    <t>Как и выше, если у вас есть "DLC: Тени Душ", вы можете активировать другие варианты помешать ей играть.</t>
  </si>
  <si>
    <t>Открывает дополнительные действия шалостей над сестрой во время игры в приставку.</t>
  </si>
  <si>
    <t>Spiel-Ablenkung - 1</t>
  </si>
  <si>
    <t>Wie oben, wenn du es schaffst, das Shadow Souls - DLC von R28 zu bekommen, wirst du mehr Aktionen ausführen können. (HINWEIS ein Fantasie DLC von der Schwester und nicht von NLCH)</t>
  </si>
  <si>
    <t>Neue Aktionen werden während der Gaming-Streiche freigeschaltet</t>
  </si>
  <si>
    <t>Mất tập trung khi game - 1</t>
  </si>
  <si>
    <r>
      <t xml:space="preserve">Như trên, nếu bạn có được Linh Hồn Bóng Tối - DLC từ R28, bạn có thể làm thêm nhiều hành động
</t>
    </r>
    <r>
      <rPr>
        <rFont val="Arial"/>
        <b/>
        <color theme="1"/>
      </rPr>
      <t>Ghi chú: Soul Shadow là game mà imouto chơi. Nó không phải DLC của trò chơi</t>
    </r>
  </si>
  <si>
    <t>Vài hành động mới sẽ được mở khóa trong trò đùa khi chơi game</t>
  </si>
  <si>
    <t>Distrações do jogo- 1</t>
  </si>
  <si>
    <r>
      <rPr>
        <rFont val="Microsoft JhengHei"/>
        <color theme="1"/>
      </rPr>
      <t xml:space="preserve">Similar com o de cima, se você conseguiu pegar a Shadow Souls - DLC do R28, Você será capaz de fazer mais ações.
</t>
    </r>
    <r>
      <rPr>
        <rFont val="Microsoft JhengHei"/>
        <b/>
        <color theme="1"/>
      </rPr>
      <t>NOTA: Shadow Souls é o video game que a imouto. Não é a DLC desse jogo.</t>
    </r>
  </si>
  <si>
    <t>Novas ações são desbloqueadas durante as pegadinhas da jogatina</t>
  </si>
  <si>
    <t>遊戲中的干擾-2</t>
  </si>
  <si>
    <t>當能夠顯示揉胸之後，將會自動解鎖選項</t>
  </si>
  <si>
    <t>新增黑色選項-湊近觀察</t>
  </si>
  <si>
    <t>今なら悪戯しても…-2</t>
  </si>
  <si>
    <t>胸を揉む場面に進むと、自動的にロック解除されます</t>
  </si>
  <si>
    <t>黒い選択肢『近づいて観察』を追加される</t>
  </si>
  <si>
    <t>Game Distractions - 2</t>
  </si>
  <si>
    <t>Once the option to massage Imouto's breasts becomes available, a new option will automatically be unlocked</t>
  </si>
  <si>
    <t>Adds a new black option "Observe closely"</t>
  </si>
  <si>
    <t>游戏中的干扰-2</t>
  </si>
  <si>
    <t>当能够显示揉胸之后，将会自动解锁选项</t>
  </si>
  <si>
    <t>新增黑色选项-凑近观察</t>
  </si>
  <si>
    <t>Spiel-Ablenkung - 2</t>
  </si>
  <si>
    <t>Sobald die Option, Schwesterleins Brüste zu massieren verfügbar ist, wird automatisch eine neue Option freigeschaltet</t>
  </si>
  <si>
    <t>Fügt eine neue schwarze Option "Genau beobachten" hinzu</t>
  </si>
  <si>
    <t>Mất tập trung khi game - 2</t>
  </si>
  <si>
    <t>Khi tùy chọn sờ ngực Imouto được chọn, một lựa chọn mới tự động xuất hiện</t>
  </si>
  <si>
    <t>Thêm một tùy chọn màu đen "Lùi lại và quan sát"</t>
  </si>
  <si>
    <t>遊戲中的干擾-3</t>
  </si>
  <si>
    <t>湊近觀察-大口呼吸</t>
  </si>
  <si>
    <t>會增加哥哥的興奮值
*目前暫無後續</t>
  </si>
  <si>
    <t>今なら悪戯しても…-3</t>
  </si>
  <si>
    <t>近づいて観察 ― 大きく息をする</t>
  </si>
  <si>
    <t>お兄ちゃんの興奮度が上がります
*今のところ続きはありません</t>
  </si>
  <si>
    <t>Game Distractions - 3</t>
  </si>
  <si>
    <t>Observe closely -&gt; Breathe deeply</t>
  </si>
  <si>
    <t>Increases onii-chan's excitement level. *Current follow-up events are not yet implemented.</t>
  </si>
  <si>
    <t>游戏中的干扰-3</t>
  </si>
  <si>
    <t>凑近观察-大口呼吸</t>
  </si>
  <si>
    <t>会增加哥哥的兴奋值
*目前暂无后续</t>
  </si>
  <si>
    <t>Spiel-Ablenkung - 3</t>
  </si>
  <si>
    <t>Genau beobachten -&gt; Tief einatmen</t>
  </si>
  <si>
    <t>Erhöht Onii-chans Erregungslevel. *Die aktuellen Folgeveranstaltungen sind noch nicht implementiert.</t>
  </si>
  <si>
    <t>Mất tập trung khi game - 3</t>
  </si>
  <si>
    <t>"Lùi lại và quan sát" -&gt; Thở dốc</t>
  </si>
  <si>
    <t>Mức độ phấn khích của onii-chan tăng.
*Những sự kiện theo sau chưa được triển khai</t>
  </si>
  <si>
    <t>Zzz -1</t>
  </si>
  <si>
    <t>「喝點什麼」給妹妹餵一顆"藍色金平糖"後，會處發妹妹想睡覺的放鬆狀態</t>
  </si>
  <si>
    <t>放鬆戒心，偷窺不容易被發現
和妹妹遊戲對戰時，妹妹會因為犯睏發揮不出全力(未實裝)
捉弄玩遊戲的妹妹，會讓妹妹更快地输掉遊戲(未實裝)</t>
  </si>
  <si>
    <t>うとうとしてる妹-1</t>
  </si>
  <si>
    <t>妹と『一緒に飲む？』時に『ブルーの金平糖』を一粒与えると、妹は眠たくなりリラックスした状態になる</t>
  </si>
  <si>
    <t>警戒心が緩み、覗きがしやすくなる…!
一緒にゲームをしてる際、妹は眠たくて全力を出せない…（未実装）
ゲーム中の妹にいたずらすると、妹はより早くゲームに負けてしまう（未実装）</t>
  </si>
  <si>
    <t>Sleepy Imouto - 1</t>
  </si>
  <si>
    <t>After drinking something with the sister, choose to give her the "Blue Konpeito" candy.
Afterwards, she will be in a state of drowsiness. 
When playing games with your sister, she won't be able to play to her full potential (not yet implemented)
Pranking your sister while she's playing games will make her lose faster (not yet implemented)</t>
  </si>
  <si>
    <t>The sister's guard is lowered down, so it's less likely to get caught when peeping.</t>
  </si>
  <si>
    <t>Hermana dormilona -1</t>
  </si>
  <si>
    <t>Después de beber algo con la hermana, opta por darle el caramelo "Konpeito Azul".
Después, ella estará en un estado de somnolencia. 
Cuando juegues con tu hermana, ella no podrá jugar a su máximo potencial (aún no implementado)
Gastar bromas a tu hermana mientras juega hará que pierda más rápido (aún no implementado)</t>
  </si>
  <si>
    <t>La guardia de la hermana sera reducida, asi que sera menos probable que te descubran mientras espias</t>
  </si>
  <si>
    <t>Сонная сестренка - 1</t>
  </si>
  <si>
    <t>Начав действий "выпить что-нибудь" с сестрой, дайте ей конфету "Синий Конпейто". После чего она станет сонной.
Во время игры с сестрой, она не будет играть в полную силу (*еще не реализовано).
Во время шалости над сестрой во время игры она начнёт проигрывать быстрее (*еще не реализовано).</t>
  </si>
  <si>
    <t xml:space="preserve">Внимательность сестры опуститься, поэтому будет вероятность быть пойманным во время подглядывания снизиться.
</t>
  </si>
  <si>
    <t>Schläfriges Schwesterlein – 1</t>
  </si>
  <si>
    <t>Nachdem du mit deiner Schwester etwas getrunken hast, wähle, ihr das „Blaue Konpeito“ Bonbon zu geben. Danach wird sie in einen Zustand der Schläfrigkeit versetzt. Wenn du mit deiner Schwester Spiele spielst, wird sie nicht ihr volles Potenzial ausschöpfen können (noch nicht implementiert). Einen Streich zu spielen, während sie Spiele spielt, wird dazu führen, dass sie schneller verliert (noch nicht fertig)</t>
  </si>
  <si>
    <t>Die Wachsamkeit der Schwester wird verringert, sodass die Wahrscheinlichkeit, erwischt zu werden, wenn du sie beobachtest, sinkt</t>
  </si>
  <si>
    <t>Imouto buồn ngủ - 1</t>
  </si>
  <si>
    <t>Sau khi uống gì đó, hãy đưa cho em ấy kẹo "Konpeito Xanh".
Sau đó, em ấy sẽ rơi vào trạng thái buồn ngủ.
Khi chơi game với em gái, em ấy sẽ không thể chơi tốt nhất (chưa được thực hiện)
Chọc ghẹo em gái khi em ấy đang chơi game sẽ khiến em ấy thua nhanh hơn (chưa được thực hiện)</t>
  </si>
  <si>
    <t>Sự cảnh giác của em gái bị giảm xuống, việc bị bắt khi đang nhìn trộm khó xảy ra hơn.</t>
  </si>
  <si>
    <t>Imouto sonolenta - 1</t>
  </si>
  <si>
    <t>Depois de beber alguma coisa com a imouto, escolha dar para ela um doce "Konpeito Azul". Posteriormente, Ela entrará em um estado de sonolência. 
Quando jogando jogos com sua imouto, ela não será capaz de jogar com seu potencial completo(ainda não implementado)
Pregar pegadinhas com a imouto enquanto ela esteja jogando irá fazê-la perder mais rápido(ainda não implementado)</t>
  </si>
  <si>
    <t>A guarda da imouto foi abaixada, então é menos provavel que seja pego enquanto espiando.</t>
  </si>
  <si>
    <t>E</t>
  </si>
  <si>
    <t>特殊天氣相關</t>
  </si>
  <si>
    <t>特殊な天気イベント</t>
  </si>
  <si>
    <t>Weather-related Events</t>
  </si>
  <si>
    <t xml:space="preserve">Eventos de Clima especifico </t>
  </si>
  <si>
    <t>날씨 관련 이벤트</t>
  </si>
  <si>
    <t>События зависящие от погоды</t>
  </si>
  <si>
    <t>Aufs Wetter bezogene Events</t>
  </si>
  <si>
    <t>Sự kiện liên quan đến thời tiết</t>
  </si>
  <si>
    <t>Eventos Relacionados ao Clima</t>
  </si>
  <si>
    <t>Event terkait Cuaca</t>
  </si>
  <si>
    <t>炎熱的消暑-1</t>
  </si>
  <si>
    <t>於炎熱天氣時，遞給妹妹喝逆流可樂</t>
  </si>
  <si>
    <t>特殊動畫、妹妹的心情+10好感+20</t>
  </si>
  <si>
    <t>暑さを和らげる-1</t>
  </si>
  <si>
    <t>猛暑の時、妹に『逆流コーラ』を飲ませることができる！</t>
  </si>
  <si>
    <t>特別なアニメーション！妹の心情 +10、好感 +20</t>
  </si>
  <si>
    <t>Hot Weather - Cooling Off 1</t>
  </si>
  <si>
    <t>During the hot weather, you can give your sister a soda.</t>
  </si>
  <si>
    <t>A special animation will play. Sister's mood is increased by 10 and favorability by 20</t>
  </si>
  <si>
    <t>Clima caliente, a refrescarse -1</t>
  </si>
  <si>
    <t>En los dias calurosos, le puedes dar a tu hermana una Coca-cola</t>
  </si>
  <si>
    <t>Освежение в жару 1</t>
  </si>
  <si>
    <t>В жаркую погоду дайте сестре газировку.</t>
  </si>
  <si>
    <t>Будет воспроизведена специальная сцена. Настроение сестры повышается на 10 и заинтересованность на 20.</t>
  </si>
  <si>
    <t>Abkühlung im heißen Sommer - 1</t>
  </si>
  <si>
    <t>Während des heißen Wetters kannst du deiner Schwester eine besondere Cola geben</t>
  </si>
  <si>
    <t>Eine spezielle Animation wird abgespielt. Die Laune der Schwester wird um 10 erhöht und die Beliebtheit um 20</t>
  </si>
  <si>
    <t>Trời nóng - Làm mát 1</t>
  </si>
  <si>
    <t>Nếu trời nóng, bạn có thể cho em gái một chai soda</t>
  </si>
  <si>
    <t>Một animation đặc biệt sẽ xảy ra. Tâm trạng của em gái sẽ tăng lên 10 và độ yêu thích tăng 20</t>
  </si>
  <si>
    <t>Tempo Quente - Esfriando 1</t>
  </si>
  <si>
    <t>Durante o tempo quente, você pode dar refrigerante para sua imouto.</t>
  </si>
  <si>
    <t>Uma animação especial passará. Humor da imouto irá aumentar em 10 e a afeição em 20</t>
  </si>
  <si>
    <t>炎熱的消暑-2</t>
  </si>
  <si>
    <t>於炎熱天氣時，搖一搖後給妹妹喝"逆流可樂"</t>
  </si>
  <si>
    <t>特殊動畫、妹妹的心情會固定剩20點</t>
  </si>
  <si>
    <t>暑さを和らげる-2</t>
  </si>
  <si>
    <t>猛暑の時に、めちゃくちゃ振った『逆流コーラ』を妹に飲ませる</t>
  </si>
  <si>
    <t>特殊なアニメーションでは、妹の気分が常に20ポイントに固定される</t>
  </si>
  <si>
    <t>Hot Weather - Cooling Off 2</t>
  </si>
  <si>
    <t>When passing the soda to the sister, shake it.</t>
  </si>
  <si>
    <t>A special animation will play and your sister's mood will be reduced to a fixed value of 20.</t>
  </si>
  <si>
    <t>特殊动画、妹妹的心情会固定剩20点
（太屑了）</t>
  </si>
  <si>
    <t>Clima caliente, a refrescarse -2</t>
  </si>
  <si>
    <t>Cuando le des la Coca-Cola a tu hermana, agitala</t>
  </si>
  <si>
    <t>Освежение в жару 2</t>
  </si>
  <si>
    <t>Нужно встряхнуть газировку перед тем как дать её сестре.</t>
  </si>
  <si>
    <t>Будет воспроизведена специальная сцена. Настроение сестры понизиться до фиксированого значения в 20 единиц.</t>
  </si>
  <si>
    <t>Abkühlung im heißen Sommer - 2</t>
  </si>
  <si>
    <t>Wenn du der Schwester die Spezial-Cola gibst, schüttle sie</t>
  </si>
  <si>
    <t>Eine spezielle Animation wird abgespielt und die Laune der Schwester wird auf einen festen Wert von 20 reduziert</t>
  </si>
  <si>
    <t>Trời nóng - Làm mát 2</t>
  </si>
  <si>
    <t>Khi đưa soda cho em gái, lắc nó</t>
  </si>
  <si>
    <t>Một animation đặc biệt sẽ xảy ra và tâm trạng của em gái sẽ giảm xuống một mức cố định là 20</t>
  </si>
  <si>
    <t>Tempo Quente - Esfriando 2</t>
  </si>
  <si>
    <t>Quando entregar o refrigerante para sua irmã, balance ele.</t>
  </si>
  <si>
    <t>Uma animação especial passará e o humor da sua imouto será reduzido para um valor fixo de 20 .</t>
  </si>
  <si>
    <t>炎熱的消暑-3</t>
  </si>
  <si>
    <t>同上，第二次之後有70%概率觸發另一段劇情</t>
  </si>
  <si>
    <t>暑さを和らげる-3</t>
  </si>
  <si>
    <t>2回目以降は70%の確率で別のストーリーが発生する</t>
  </si>
  <si>
    <t>Hot Weather - Cooling Off 3</t>
  </si>
  <si>
    <t xml:space="preserve">Same as above. There is now a 70% chance this event will occur </t>
  </si>
  <si>
    <t>Clima caliente, a refrescarse -3</t>
  </si>
  <si>
    <t>Igual que arriba, ahora hay un 70% de probabilidad de que este evento ocurra</t>
  </si>
  <si>
    <t>Освежение в жару 3</t>
  </si>
  <si>
    <t>То же, что и выше, но вероятность события будет 70%.</t>
  </si>
  <si>
    <t>Abkühlung im heißen Sommer - 3</t>
  </si>
  <si>
    <t>Wie oben. Es gibt jetzt eine 70%ige Chance, dass dieses Ereignis eintritt</t>
  </si>
  <si>
    <t>Trời nóng - Làm mát 3</t>
  </si>
  <si>
    <t>Như trên. Hiện tại có 70% sự kiện này xảy ra</t>
  </si>
  <si>
    <t>Tempo Quente - Esfriando 3</t>
  </si>
  <si>
    <t xml:space="preserve">Mesmo que o de cima. Existe agora uma chance de 70% desse evento ocorrer </t>
  </si>
  <si>
    <t>Uma animação especial passará e o humor da sua imouto será reduzido para um valor fixo de 20.</t>
  </si>
  <si>
    <t>掀起來看看</t>
  </si>
  <si>
    <t>妹妹穿遊戲衣服，進行親密互動時，可以進行掀衣服等操作。</t>
  </si>
  <si>
    <t>特殊互動
※初步實裝，部分內容未實裝(例如兔兔塗鴉)
※目前只有天氣炎熱時才能觸發，之後會新增平時夜晚也能穿遊戲衣服</t>
  </si>
  <si>
    <t>服をめくってみても…</t>
  </si>
  <si>
    <t>妹がゲームの衣装を着て、親密なインタラクションを行う際、服をめくるなどの操作が可能です</t>
  </si>
  <si>
    <t>特殊なインタラクション
※初期実装であり、一部の内容は未実装（例えば、ウサギの落書き）。
※現在は猛暑時にのみトリガーされますが、今後は通常の夜間でもゲーム衣装を着ることができるようになります。</t>
  </si>
  <si>
    <t>Lifting up and taking a peek</t>
  </si>
  <si>
    <t>When Imouto is wearing the T-Shirt given by the Weird Knight, you can lift it up and do other things when you have skinship with her.</t>
  </si>
  <si>
    <t>Special interactions
*Currently, this is in its preliminary stage so some contents are not yet fully implemented (such as drawing on her)
*It can only be triggered during hot weather but later on, it can also be triggered at night when the T-Shirt is made available for it in future updates.</t>
  </si>
  <si>
    <t>Levantar y echar un vistazo</t>
  </si>
  <si>
    <t>Cuando tu hermana este vistiendo la camisa que te obtuviste del Caballero Extraño, puedes levantarla y hacer otras cosas cuando eligas la opcion de tocarla.</t>
  </si>
  <si>
    <t>Interacciones especiales
*Actualmente, se encuentra en su fase preliminar por lo que algunos contenidos aún no están totalmente implementados (como dibujar sobre ella)
*Sólo puede activarse cuando hace calor, pero más adelante, también podrá activarse por la noche cuando la camiseta esté disponible para ello en futuras actualizaciones.</t>
  </si>
  <si>
    <t>Подняв руку и заглянув внутрь</t>
  </si>
  <si>
    <t>Когда на младшей сестре надета футболка, подаренная Загадочным Рыцарем, вы можете поднять её и совершать другие действия, если между вами есть физический контакт.</t>
  </si>
  <si>
    <t>Особые взаимодействия
*В настоящее время это находится на предварительной стадии, поэтому некоторые элементы еще не полностью реализованы (например, рисование на ней).
*Взаимодействие может происходить только в жаркую погоду, но позже, в будущих обновлениях, его можно будет активировать и ночью, когда футболка станет доступна для этого.</t>
  </si>
  <si>
    <t>Hochheben und ein Blick erhaschen</t>
  </si>
  <si>
    <t>Wenn Imouto das T-Shirt trägt, das Sie vom Weird Knight bekommen haben, können Sie es hochheben und andere Dinge tun, während Sie mit ihr verkehren</t>
  </si>
  <si>
    <t>Spezielle Interaktionen
Derzeit befindet sich dies noch in der Vorabphase, daher sind einige Inhalte noch nicht vollständig implementiert (wie zum Beispiel das Zeichnen auf ihr).
Es kann nur während heißem Wetter ausgelöst werden, aber später wird es auch nachts verfügbar sein, wenn das T-Shirt in zukünftigen Updates hinzugefügt wird"</t>
  </si>
  <si>
    <t>Vén lên và nhìn trộm</t>
  </si>
  <si>
    <t>Khi imouto đang mặc chiếc T-shirt được cho bởi Hiệp Sĩ Kì Lạ, bạn có thể kéo nó lên và làm những điều khác khi vuốt ve em ấy</t>
  </si>
  <si>
    <t>Tương tác đặc biệt
*Hiện tại, sự kiện này đang ở trong giai đoạn đầu nên một số nội dung chưa được hoàn thiện (như vẽ lên em ấy)
*Điều này chỉ có thể xảy ra trong thời tiết nóng nhưng sau này, nó cũng có thể xảy ra vào buổi tối khi T-shirt sẵn sàng cho lúc đó vào các cập nhật tiếp theo)</t>
  </si>
  <si>
    <t>Levantá-la e espiar</t>
  </si>
  <si>
    <t>Quando a Imouto estiver vestindo a camiseta dada pelo cavaleiro estranho, você pode levantá-la e fazer outras coisas quando você "Acariciar" ela.</t>
  </si>
  <si>
    <t>Interações especiais
*Atualmente, Isso está em um estágio preliminar, logo alguns conteúdos ainda não estão completamente implementados (como por exemplo desenhar nela)
*Só pode ser ativado durante Tempo Quente; entretanto, mais tarde também será possível ativar à noite quando a camiseta estiver disponível em atualizações futuras.</t>
  </si>
  <si>
    <t>提前回家也是件好事-1</t>
  </si>
  <si>
    <t>炎熱天氣並且擁有電風扇時，提前回家後選擇去偷看妹妹</t>
  </si>
  <si>
    <t>妹妹穿著服飾吹電風扇</t>
  </si>
  <si>
    <t>早めに帰宅するしたい....-1</t>
  </si>
  <si>
    <t>猛暑で家に扇風機がある場合、早めに帰宅した後に妹を覗き見することを選択する</t>
  </si>
  <si>
    <t>妹が服を着て扇風機に当たっている…</t>
  </si>
  <si>
    <t>Going home early - 1</t>
  </si>
  <si>
    <t>During hot days, you can go home early and choose to sneak up on Imouto (must have the Electric Fan)</t>
  </si>
  <si>
    <t>Imouto wears the T-shirt and uses the Electric Fan</t>
  </si>
  <si>
    <t xml:space="preserve">妹妹穿着游戏服吹电风扇
</t>
  </si>
  <si>
    <t>Ухожу домой пораньше - 1</t>
  </si>
  <si>
    <t>В жаркие дни можно уйти домой пораньше и незаметно добраться до Имоуто.
(Необходим: вентилятор)</t>
  </si>
  <si>
    <t>Имоуто одета в футболку и использует электрический вентилятор.</t>
  </si>
  <si>
    <t>Früh nach Hause gehen – 1</t>
  </si>
  <si>
    <t>An heißen Tagen kannst du früh nach Hause gehen und dich an deine Schwester heranschleichen (muss einen Ventilator besitzen).</t>
  </si>
  <si>
    <t>Deine Schwester trägt das T-Shirt und benutzt den Ventilator.</t>
  </si>
  <si>
    <t>Về nhà sớm - 1</t>
  </si>
  <si>
    <t>Trong những ngày nóng, bạn có thể chọn về nhà sớm và lén lút tiếp cận imouto (phải có Quạt Điện)</t>
  </si>
  <si>
    <t>Imouto mặc T-shirt và dùng Quạt Điện</t>
  </si>
  <si>
    <t>Ir para casa mais cedo - 1</t>
  </si>
  <si>
    <t>Durante os dias quentes, Você pode ir para casa mais cedo e escolher chegar de fininho pra ver a Imouto (Precisa ter o ventilador elétrico)</t>
  </si>
  <si>
    <t>Imouto veste a camiseta e usa o ventilador elétrico</t>
  </si>
  <si>
    <t>提前回家也是件好事-2</t>
  </si>
  <si>
    <t>同上，偷看妹妹時，有機率出現</t>
  </si>
  <si>
    <t>妹妹無穿著底褲吹電風扇</t>
  </si>
  <si>
    <t>早めに帰宅するしたい....-2</t>
  </si>
  <si>
    <t>妹を覗き見するには確率で発生する</t>
  </si>
  <si>
    <t>妹が下着を履かずに扇風機に当たっている…</t>
  </si>
  <si>
    <t>Going home early - 2</t>
  </si>
  <si>
    <t>Similar to above, there is a chance that this event will occur.</t>
  </si>
  <si>
    <t>Imouto is blowing the fan to her crotch and is not wearing any underwear</t>
  </si>
  <si>
    <t>妹妹穿着游戏服，并且没穿胖次吹电风扇
（确实是好事）</t>
  </si>
  <si>
    <t>Ухожу домой пораньше - 2</t>
  </si>
  <si>
    <t>Аналогично вышесказанному, существует вероятность того, что это событие произойдет.</t>
  </si>
  <si>
    <t>Имоуто направляет поток воздуха из вентилятора себе в промежность и не носит нижнего белья.</t>
  </si>
  <si>
    <t>Früh nach Hause gehen – 2</t>
  </si>
  <si>
    <t>Ähnlich wie oben: Es besteht eine Chance, dass dieses Ereignis eintritt.</t>
  </si>
  <si>
    <t>Deine Schwester hält den Ventilator auf ihren Schritt und trägt keine Unterwäsche.</t>
  </si>
  <si>
    <t>Về nhà sớm - 2</t>
  </si>
  <si>
    <t>Giống như trên, nhưng có khả năng sự kiện này sẽ xảy ra</t>
  </si>
  <si>
    <t>Imouto đang chĩa quạt vào háng em ấy và đang không mặc đồ lót nào</t>
  </si>
  <si>
    <t>Ir para casa mais cedo - 2</t>
  </si>
  <si>
    <t>Similar com o de cima, Existe uma chance que esse evento ocorrerá.</t>
  </si>
  <si>
    <t>Imouto está apontando o ventilador para a própria virilia e não está usando roupas íntimas</t>
  </si>
  <si>
    <t>提前回家也是件好事-3</t>
  </si>
  <si>
    <t>同上，妹妹紫心以及性慾高的時候，有機率出現</t>
  </si>
  <si>
    <t>妹妹使用冰棒(未實裝)</t>
  </si>
  <si>
    <t>早めに帰宅するしたい....-3</t>
  </si>
  <si>
    <t>妹の紫のハートと性欲が高い時に、一定の確率で発生します</t>
  </si>
  <si>
    <t>妹がアイスキャンディーを使用する（未実装）</t>
  </si>
  <si>
    <t>Going home early - 3</t>
  </si>
  <si>
    <t>Similar to above, there is a chance that this even will occur if Imouto has a high purple heart</t>
  </si>
  <si>
    <t>Imouto uses the popsicle on herself (not yet implemented)</t>
  </si>
  <si>
    <t>Ухожу домой пораньше - 3</t>
  </si>
  <si>
    <t>Аналогично вышесказанному, существует вероятность того, что это событие произойдет, если у Имоуто высокий показатель фиолетового сердца.</t>
  </si>
  <si>
    <t>Имоуто использует эскимо на себе (пока не реализовано).</t>
  </si>
  <si>
    <t>Früh nach Hause gehen – 3</t>
  </si>
  <si>
    <t>Ähnlich wie oben: Dieses Ereignis kann auftreten, wenn deine Schwester ein hohes Lilaherz-Level hat.</t>
  </si>
  <si>
    <t>Deine Schwester benutzt das Eis am Stiel an sich selbst (noch nicht implementiert).</t>
  </si>
  <si>
    <t>Về nhà sớm - 3</t>
  </si>
  <si>
    <t>Giống như trên, nhưng có khả năng sự kiện này sẽ xảy ra nếu imouto có số tim tím cao</t>
  </si>
  <si>
    <t>Imouto tự dùng que kem cho em ấy (chưa được triển khai)</t>
  </si>
  <si>
    <t>Ir para casa mais cedo - 3</t>
  </si>
  <si>
    <t>Similar com o de cima, existe uma chance que esse evento irá acontecer se a Imouto tiver muitos corações roxos💜.</t>
  </si>
  <si>
    <t>Imouto usa um picolé em si mesma(ainda não implementada)</t>
  </si>
  <si>
    <t>提前回家也是件好事-4</t>
  </si>
  <si>
    <t>在與妹妹的對話中，進行裸族教育之後，有可能出現</t>
  </si>
  <si>
    <t>裸族妹妹(未實裝)</t>
  </si>
  <si>
    <t>早めに帰宅するしたい....-4</t>
  </si>
  <si>
    <t>妹との対話で、裸の教育(？)を行った後、服を着ずに居ることがある</t>
  </si>
  <si>
    <t>裸の妹が居る…(未実装)</t>
  </si>
  <si>
    <t>Going home early - 4</t>
  </si>
  <si>
    <t>When talking to Imouto about lewd things, there is a chance that this event will occur</t>
  </si>
  <si>
    <t>Imouto will get naked (not yet implemented)</t>
  </si>
  <si>
    <t>在与妹妹的对话中，进行裸体教育（¿）之后，有可能</t>
  </si>
  <si>
    <t>裸体妹妹(未实装)
（还能这样的¿）</t>
  </si>
  <si>
    <t>Ухожу домой пораньше - 4</t>
  </si>
  <si>
    <t>Если поговорить с младшей сестрой о непристойных вещах, есть вероятность, что произойдет следующее.</t>
  </si>
  <si>
    <t>Имоуто разденется (пока не реализовано)</t>
  </si>
  <si>
    <t>Früh nach Hause gehen – 4</t>
  </si>
  <si>
    <t>Wenn du mit deiner Schwester über schmutzige Dinge sprichst, besteht eine Chance, dass dieses Ereignis eintritt.</t>
  </si>
  <si>
    <t>Deie Schwester wird nackt (noch nicht implementiert).</t>
  </si>
  <si>
    <t>Về nhà sớm - 4</t>
  </si>
  <si>
    <t>Khi nói chuyện với imouto về những chuyện dâm đãng, có khả năng sự kiện này sẽ xảy ra</t>
  </si>
  <si>
    <t>Imouto sẽ khỏa thân (chưa được triển khai)</t>
  </si>
  <si>
    <t>Ir para casa mais cedo - 4</t>
  </si>
  <si>
    <t>Quando falar com a Imouto sobre coisas pervertidas, existe uma chance que esse evento ocorrerá</t>
  </si>
  <si>
    <t>Imouto ficará nua (ainda não implementada)</t>
  </si>
  <si>
    <t>F</t>
  </si>
  <si>
    <t>客廳相關</t>
  </si>
  <si>
    <t>リビング関連</t>
  </si>
  <si>
    <t>Living room related</t>
  </si>
  <si>
    <t>客厅相关</t>
  </si>
  <si>
    <t>Relacionado con la sala de estar</t>
  </si>
  <si>
    <t>거실 관련</t>
  </si>
  <si>
    <t>Связанные с гостиной</t>
  </si>
  <si>
    <t>Bezogen auf das Wohnzimmer</t>
  </si>
  <si>
    <t>Phòng khách</t>
  </si>
  <si>
    <t>Eventos na Sala de Estar</t>
  </si>
  <si>
    <t>Event terkait Ruang Tamu</t>
  </si>
  <si>
    <t>客廳的電視</t>
  </si>
  <si>
    <t>平時可以前往客廳觀看電視
18:00~19:00 可以看兔兔新聞
19:00~20:00 可以看天氣預報
20:00~21:00 可以看美食節目(特定日期裡會被切換為魔法少女動畫)
21:00~22:00 無可收視節目
22:00~23:00 無可收視節目（但允許使用錄影帶）</t>
  </si>
  <si>
    <t>觀看特定電視節目</t>
  </si>
  <si>
    <t>リビングルームのテレビ</t>
  </si>
  <si>
    <t xml:space="preserve">
リビングでテレビを見ることができます。
18:00～19:00 うさぎニュースを見ることができます
19:00～20:00 天気予報を見ることができます
20:00～21:00 グルメ番組を見ることができます（特定の日には魔法少女アニメに切り替わります）
21:00～22:00 放送番組はありません
22:00～23:00 放送番組はありません（ただしビデオテープの使用は許可されています）
</t>
  </si>
  <si>
    <t>特定のテレビ番組を見る</t>
  </si>
  <si>
    <t>Watching TV</t>
  </si>
  <si>
    <t xml:space="preserve">You can choose to watch TV in the living room as you please upon getting home.
TV shows currently airing:
18:00-19:00: Abyss News (Rabbit News) Channel
19:00-20:00 Weather Forecast Channel
20:00-21:00: Food Channel (changes to the Magical Girl Anime in certain days)
21:00-22:00: No Channels Available Yet
22:00-23:00: No Channels Available Yet (Video tapes can be used here)
</t>
  </si>
  <si>
    <t>You'll be able to watch various TV programs. Press the TV icon when you click imouto in her room</t>
  </si>
  <si>
    <t>客厅的电视</t>
  </si>
  <si>
    <t>平时可以前往客厅观看电视
18:00~19:00 可以看兔兔新闻
19:00~20:00 可以看天气预报
20:00~21:00 可以看美食节目（特定日期里会被切换为魔法少女动画）
21:00~22:00 无可收视节目
22:00~23:00 无可收视节目（但允许使用录像带）</t>
  </si>
  <si>
    <t>观看特定电视节目</t>
  </si>
  <si>
    <t>Смотря телевизор</t>
  </si>
  <si>
    <t xml:space="preserve">По возвращении домой вы можете посмотреть телевизор в гостиной по своему усмотрению.
Телепередачи, которые сейчас транслируются:
18:00-19:00: Канал «Новости Бездны» (Новости кролика)
19:00-20:00: Канал прогноза погоды
20:00-21:00: Канал о еде (в некоторые дни переключается на аниме про волшебных девочек)
21:00-22:00: Каналы пока недоступны
22:00-23:00: Каналы пока недоступны (Можно использовать видеокассеты)
</t>
  </si>
  <si>
    <t>Вы сможете смотреть различные телепрограммы.
Нажмите на значок телевизора, когда будете кликать на Имоуто в её комнате.</t>
  </si>
  <si>
    <t>Fernsehen glotzen</t>
  </si>
  <si>
    <t>Du kannst nach Hause kommen und nach Belieben Fernsehn.
Derzeit laufende Fernsehsendungen:
18:00-19:00: Abyss News (Hasen News) Kanal
19:00-20:00: Wettervorhersage Kanal
20:00-21:00: Kochkanal (an bestimmten Tagen wechselt es zum Magisches Mädchen Anime)
21:00-22:00: Noch keine Kanäle verfügbar
22:00-23:00: Noch keine Kanäle verfügbar (Hier können Videokassetten genutzt werden)</t>
  </si>
  <si>
    <t>Du wirst verschiedene Fernsehprogramme ansehen können.</t>
  </si>
  <si>
    <t>Xem TV</t>
  </si>
  <si>
    <t>Bạn có thể chọn xem TV trong phòng khách tùy thích khi về nhà.
Các chương trình truyền hình đang phát sóng:
18:00-19:00: Kênh Bản tin Vực Sâu (Tin tức Thỏ)
19:00-20:00: Kênh Dự báo Thời tiết
20:00-21:00: Kênh Ẩm thực (có thể thay đổi chương trình Anime Ma Pháp Thiếu Nữ vào một số ngày nhất định)
21:00-22:00: Chưa có kênh nào
22:00-23:00: Chưa có kênh nào (Có thể sử dụng băng video tại đây)</t>
  </si>
  <si>
    <t>Bạn có thể xem vô số các chương trình TV</t>
  </si>
  <si>
    <t>Assistir TV na sala</t>
  </si>
  <si>
    <t>Você pode escolher ir à sala de estar para assistir TV à vontade quando chegar em casa.
Horário e shows que passam na TV:
18:00~19:00 Programa de notícias do Abismo (Jornal da Coelhinha)
19:00~20:00 Programa da previsão do tempo.
20:00~21:00 Programa de culinária (será substituídos pelo anime Ruby, A Garota da Luz Estelar! periodicamente)
21:00~22:00 Sem programas de TV ainda.
22:00~23:00 Sem programas de TV ainda(Fitas de vídeo podem ser usadas nesse momento.).</t>
  </si>
  <si>
    <t>Você consegue assistir a vários programas de TV</t>
  </si>
  <si>
    <t>Televisi di ruang tamu</t>
  </si>
  <si>
    <t>Anda dapat menonton TV di ruang tamu pada jam-jam normal.
18:00-19:00: Menonton Berita Kelinci
19:00-20:00: Menonton ramalan cuaca
20:00-21:00: Menonton program makanan (pada hari-hari tertentu, program ini akan diganti dengan anime gadis penyihir)
21:00-22:00: Tidak ada program yang tersedia
22:00-23:00: Tidak ada program yang tersedia (tetapi kaset video diperbolehkan)</t>
  </si>
  <si>
    <t>Tonton program TV tertentu</t>
  </si>
  <si>
    <t>魔法少女動畫</t>
  </si>
  <si>
    <t>必須遊玩超過第5日後才會觸發，每個檔案都有一個隨機值判定是禮拜幾觸發。
例如：存檔的隨機值是"每周六"，遊戲內就是第6、13、20、27日可以觸發。設定上大約於晚上8點期間可能觸發</t>
  </si>
  <si>
    <t>魔法少女動畫
*目前妹妹只會在該時段自行前往客廳，並無任何功能
電視動畫和大部分功能皆尚未實裝</t>
  </si>
  <si>
    <t>妹と一緒にテレビを見る</t>
  </si>
  <si>
    <t xml:space="preserve">
リビングに関しては、5日目以降にプレイして初めてイベントが発生します。各セーブデータには、どの曜日に発生するかを決めるランダム値があります。
例：セーブデータのランダム値が『毎週土曜日』の場合、ゲーム内では6日目、13日目、20日目、27日目に発生します。設定上はおおよそ夜8時ごろに発生する可能性があります</t>
  </si>
  <si>
    <t xml:space="preserve">
魔法少女アニメ
*現在、妹はこの時間帯に自分でリビングに行くだけで、機能はありません
テレビアニメとほとんどの機能はまだ実装されていません
</t>
  </si>
  <si>
    <t>Magical Girl Anime</t>
  </si>
  <si>
    <t>The Living Room event only triggers after Day 5. Each save file has a random value that determines which day of the week this event will occur. For example, my value ended up giving me "Saturday" as the day when the Living Room event will occur. That means it will trigger on day 6, day 13, day 20, etc. and this event triggers mostly around 20:00.</t>
  </si>
  <si>
    <t>Plays a Magical Girl Anime on the TV
*Currently, Imouto will go on her own to the living room during the airing period of the anime. Most features are not yet implemented</t>
  </si>
  <si>
    <t>Аниме "Волшебная девочка"</t>
  </si>
  <si>
    <t>Событие «Гостиная» запускается только после 5-го дня. В каждом файле сохранения есть случайное значение, определяющее, в какой день недели произойдет это событие. Например, в моем случае значение оказалось «суббота» как день, когда произойдет событие «Гостиная». Это означает, что оно запустится на 6-й, 13-й, 20-й день и т. д., и это событие чаще всего происходит около 20:00.</t>
  </si>
  <si>
    <t>Играет аниме про волшебных девочек на телевизоре.
*В настоящее время Имоуто будет самостоятельно ходить в гостиную во время показа аниме. Большинство функций ещё не реализованы.</t>
  </si>
  <si>
    <t>Magisches Mädchen Anime</t>
  </si>
  <si>
    <t>Die Wohnzimmerszene wird erst nach Tag 5 ausgelöst. Jeder Spielstand hat einen zufälligen Wert, der bestimmt, an welchem Wochentag dieses Ereignis stattfindet. Zum Beispiel ergab mein Wert den "Samstag" als Tag, an dem das Wohnzimmer-Ereignis ausgelöst wird. Das bedeutet, es wird an Tag 6, Tag 13, Tag 20 usw. ausgelöst, und dieses Ereignis tritt meist gegen 20:00 Uhr auf.</t>
  </si>
  <si>
    <t>Die meisten Funktionen sind noch nicht implementiert</t>
  </si>
  <si>
    <t>Anime Ma Pháp Thiếu Nữ</t>
  </si>
  <si>
    <t>Sự kiện ở Phòng khách chỉ xảy ra sau ngày 5. Mỗi file lưu đều sẽ có một giá trị ngẫu nhiên quyết định sự kiện này sẽ xảy ra vào ngày nào. Ví dụ, giá trị của tôi có thể là Thứ Bảy khi sự kiện xảy ra. Điều này có nghĩa nó sẽ xảy ra vào ngày 6, ngày 13, ngày 20, vv... và sự kiện này sẽ xảy ra nhiều nhất vào khoảng 20:00</t>
  </si>
  <si>
    <t>Phát anime Ma Pháo Thiếu Nữ trên TV
*Hiện tại, Imouto sẽ tự đi ra phòng khách trong thời gian anime phát sóng. Hầu hết các tính năng vẫn chưa được triển khai.</t>
  </si>
  <si>
    <t>Anime Ruby, A Garota da Luz Estelar!</t>
  </si>
  <si>
    <t xml:space="preserve">O evento da sala de estar só ocorrerá depois do dia 5. Cada arquivo salvo(save) tem um valor aleatório que detemina qual dia da semana o evento irá ocorrer. Por exemplo, meu valor terminou me dando "Sábado" como o dia em que o evento na sala de estar ocorrerá. Isso significa que ele vai ocorrer nos dias 6, 13, 20, 27, etc; e que esse evento será ativado na maioria das vezes por volta das 20:00 </t>
  </si>
  <si>
    <t>Passa o anime Ruby, A Garota da Luz Estelar! na TV
*Atualmente, imouto irá por conta própria para a sala de estar durante esse período,
A maioria dos recursos ainda não foram implementados</t>
  </si>
  <si>
    <t>Anime Gadis Penyihir</t>
  </si>
  <si>
    <t>Fitur ini hanya akan aktif setelah bermain lebih dari 5 hari, dan setiap file penyimpanan memiliki nilai acak yang menentukan hari apa dalam seminggu fitur tersebut akan aktif.
Misalnya, jika nilai acak file penyimpanan adalah "setiap hari Sabtu," maka di dalam game fitur tersebut dapat aktif pada tanggal 6, 13, 20, dan 27. Fitur ini diatur untuk aktif sekitar pukul 8 malam.</t>
  </si>
  <si>
    <t>Anime Gadis Penyihir
*Saat ini, adik perempuan hanya akan pergi ke ruang tamu sendirian selama periode waktu tersebut dan tidak memiliki fungsi lain.
Anime TV dan sebagian besar fungsinya belum diimplementasikan.</t>
  </si>
  <si>
    <t>魔法少女動畫-1</t>
  </si>
  <si>
    <t>錯過了</t>
  </si>
  <si>
    <t>魔法少女アニメ</t>
  </si>
  <si>
    <t xml:space="preserve">
このトリガーは5日目以降に初めてプレイしたときに発動し、各ファイルにはランダムな値が設定されており、それが何曜日に発動するかを決定します。
例えば：保存されたランダム値が『毎週土曜日』の場合、ゲーム内では6日目、13日目、20日目、27日目に発動します。設定によっては、午後8時頃に発動する可能性があります
</t>
  </si>
  <si>
    <t xml:space="preserve">
*現在の妹は単にその時間帯に自分からリビングに行くだけで、機能は何もありません
テレビアニメやほとんどの機能はまだ実装されていません
</t>
  </si>
  <si>
    <t>Magical Girl Anime - 1</t>
  </si>
  <si>
    <t>---</t>
  </si>
  <si>
    <t>魔法少女动画-1</t>
  </si>
  <si>
    <t>错过了</t>
  </si>
  <si>
    <t>未实装</t>
  </si>
  <si>
    <t>Аниме про волшебных девочек - 1</t>
  </si>
  <si>
    <t>Пока не реализовано</t>
  </si>
  <si>
    <t>Magisches Mädchen Anime -1</t>
  </si>
  <si>
    <t>Noch nicht fertig</t>
  </si>
  <si>
    <t>Anime Ma Pháp Thiếu Nữ - 1</t>
  </si>
  <si>
    <t>Anime Ruby, A Garota da Luz Estelar!-1</t>
  </si>
  <si>
    <t>Perdido</t>
  </si>
  <si>
    <t>Anime Gadis Penyihir - 1</t>
  </si>
  <si>
    <t>Kosong</t>
  </si>
  <si>
    <t>深夜時段</t>
  </si>
  <si>
    <t>當使用過"紅髓液"，進行治癒後，可以開啟深夜時段</t>
  </si>
  <si>
    <t>開啟深夜時段(22:00~22:30)</t>
  </si>
  <si>
    <t>深夜の時間帯</t>
  </si>
  <si>
    <t>『紅髄液』を使用して治癒を行った後、深夜の時間帯を解放できる！</t>
  </si>
  <si>
    <t>深夜の時間帯を遊べる(22:00~22:30)</t>
  </si>
  <si>
    <t>Late at Night</t>
  </si>
  <si>
    <t>After giving the cure to Imouto, you can now stay up and do late night sessions such as watching video tapes in the living room</t>
  </si>
  <si>
    <t>Allows you and Imouto to stay up at late night hours (22:00~22:30)</t>
  </si>
  <si>
    <t>深夜时段</t>
  </si>
  <si>
    <t>当使用过"红髓液"，进行治愈后，可以开启深夜时段</t>
  </si>
  <si>
    <t>开启深夜时段(22:00~22:30)</t>
  </si>
  <si>
    <t>Поздней ночью</t>
  </si>
  <si>
    <t>После того, как вы дали лекарство Имоуто, вы теперь можете не ложиться спать и проводить вечера за просмотром видеокассет в гостиной.</t>
  </si>
  <si>
    <t>Позволяет вам и Имоуто не ложиться спать поздно ночью (с 22:00 до 22:30).</t>
  </si>
  <si>
    <t>Spät in der Nacht</t>
  </si>
  <si>
    <t>Nachdem du deine Schwester das Heilmittel gegeben hast, kannst du jetzt wach bleiben und nächtliche Aktivitäten machen.</t>
  </si>
  <si>
    <t>Ermöglicht es dir und Imouto, bis spät in die Nacht wach zu bleiben.(22:00~22:30)</t>
  </si>
  <si>
    <t>Thức khuya</t>
  </si>
  <si>
    <t>Sau khi đưa thuốc chữa cho imouto, bạn giờ đây có thể thức khuya và làm việc vào ban đêm</t>
  </si>
  <si>
    <t>Cho phép bạn và imouto thức khuya (22:00~22:30)</t>
  </si>
  <si>
    <t>Tarde da Noite</t>
  </si>
  <si>
    <t>Após concluir o primeiro tratamento da imouto, você pode ficar acordado até tarde e iniciar uma sessão noturna.</t>
  </si>
  <si>
    <t>Permite o onii-chan e a imouto ficarem acordados até mais tarde(22:00~22:30)</t>
  </si>
  <si>
    <t>Larut malam</t>
  </si>
  <si>
    <t>Setelah menggunakan "Red Marrow Liquid" dan menyelesaikan perawatan, Anda dapat memulai sesi larut malam.</t>
  </si>
  <si>
    <t>Buka hingga larut malam (22:00~22:30)</t>
  </si>
  <si>
    <t>好可怕哦！</t>
  </si>
  <si>
    <t>於深夜時段使用"恐怖錄影帶"
並且好感/紫心未達於標準</t>
  </si>
  <si>
    <t>觸發相關劇情</t>
  </si>
  <si>
    <t>恐ろしい！</t>
  </si>
  <si>
    <t xml:space="preserve">
深夜に「恐怖のビデオテープ」を使用する…
💖/💜が基準に達していない場合
</t>
  </si>
  <si>
    <t>あるイベントを引き起こす</t>
  </si>
  <si>
    <t>That's scary!</t>
  </si>
  <si>
    <t>Watch the "horror video tape" late at night</t>
  </si>
  <si>
    <t>Triggers the first part of the sex event with imouto on the living room, with a chance to trigger a follow-up sequence</t>
  </si>
  <si>
    <t>在深夜时段使用"恐怖录像带"</t>
  </si>
  <si>
    <t>触发相关剧情</t>
  </si>
  <si>
    <t>Это было страшно!</t>
  </si>
  <si>
    <t>Посмотрите "Видеокассету с Ужастиком" поздно ночью.</t>
  </si>
  <si>
    <t>Запускает первую часть сексуальной сцены с Имоуто в гостиной, с возможностью запуска последующей последовательности.</t>
  </si>
  <si>
    <t>Das ist gruselig!</t>
  </si>
  <si>
    <t>Benutze die "Horrorvideokassette" spät in der Nacht, wenn nur wenige rote/lila Herzen vorhanden sind.</t>
  </si>
  <si>
    <t>Ein Story Event wird ausgelöst.</t>
  </si>
  <si>
    <t>Thật đáng sợ!</t>
  </si>
  <si>
    <t>Sử dụng "băng video kinh dị" vào đêm khuya với lượng tim đỏ/tím thấp.</t>
  </si>
  <si>
    <t>Một sự kiện câu chuyện sẽ xảy ra</t>
  </si>
  <si>
    <t>Isso é Tão Assustador！</t>
  </si>
  <si>
    <t>Use a "Fita de Vídeo de Terror" tarde da noite
com poucos Corações Vermelhos❤️/Roxos💜.</t>
  </si>
  <si>
    <t>Um evento ocorrerá</t>
  </si>
  <si>
    <t>Menakutkan sekali!</t>
  </si>
  <si>
    <t>Menggunakan "Rekaman Video Horor" larut malam
dan memiliki tingkat afinitas/hati ungu yang lebih rendah dari yang dibutuhkan</t>
  </si>
  <si>
    <t>Alur cerita yang dipicu</t>
  </si>
  <si>
    <t>好可怕哦！-1</t>
  </si>
  <si>
    <t>於深夜時段使用"恐怖錄影帶"
並且紫心度大於3</t>
  </si>
  <si>
    <t>依照選項
觸發和妹妹的本番劇情
第一次是強制在外面
第二次是主動在外面
第三次能自行選擇
(本番次數是全場景共享的，因此若要觀看每個差分，建議先保存)</t>
  </si>
  <si>
    <t>恐ろしい！ -1</t>
  </si>
  <si>
    <t xml:space="preserve">
深夜に「恐怖のビデオテープ」を使用する
💜が3以上である場合…
</t>
  </si>
  <si>
    <t xml:space="preserve">
選択肢に従って
妹との本番シーンが発生します。
1回目は強制的に屋外で発生
2回目は自分から屋外で行う
3回目は自由に選択可能
（本番の回数は全シーンで共通なので、すべての差分を見たい場合は事前にセーブしておくのがおすすめです）
</t>
  </si>
  <si>
    <t>That's scary! - 1</t>
  </si>
  <si>
    <t>Similar to above, watch the "horror video tape" late at night with more than 3 purple hearts</t>
  </si>
  <si>
    <t xml:space="preserve">Based on the choices, the main event with imouto willtrigger
The first time is forced to ejaculate outside
The second time you can choose where
The third time happens if you don't choose
</t>
  </si>
  <si>
    <t>在深夜时段使用"恐怖录像带"
并且紫心度大于3</t>
  </si>
  <si>
    <t xml:space="preserve">依照选项
触发和妹妹的本番剧情
第一次是强制在外面
第二次是主动在外面
第三次能自行选择
(本番次数是全场景共享的，因此若要观看每个差分，建议先保存)
</t>
  </si>
  <si>
    <t>Это было страшно! - 1</t>
  </si>
  <si>
    <t>Аналогично предыдущему, посмотрите "Видеокассету с Ужастиком" поздно ночью, имея более 3 фиолетовых сердечек.</t>
  </si>
  <si>
    <t>В соответствии с выбранным вариантом
Активируется сцена с сестрёнкой
Первый раз: с принудительным вытаскиванием и окончанием наружу.
Второй раз: персонаж сам решает вытащить и кончить наружу.
Третий раз: вы сами выбераете куда кончать.
(Советую сохранить игру, так как сцены имеют вариативности, но из-за заскриптованности после одной из вариаций вас сразу же перекинет на следующий этап, и посмотреть другую вариацию станет невозможно.)</t>
  </si>
  <si>
    <t>Das ist gruselig! -1</t>
  </si>
  <si>
    <t>Wie oben, benutze die "Horrorvideokassette" spät in der Nacht, und die lila Herzen höher als 3 sind.</t>
  </si>
  <si>
    <t>Basierend auf den Entscheidungen wird das Hauptereignis mit deine Schwester ausgelöst
Beim ersten Mal ist es erzwungen draußen zu spritzen
Beim zweiten Mal kannst du wählen wohin
Beim dritten Mal passiert es wenn du nicht wählst</t>
  </si>
  <si>
    <t>Thật đáng sợ! - 1</t>
  </si>
  <si>
    <t>Tương tự như trên, sử dụng "băng video kinh dị" vào đêm khuya  và tim tím cao hơn 3</t>
  </si>
  <si>
    <t>Dựa trên lựa chọn của bạn, bạn sẽ kích hoạt cốt truyện chính với em gái.
Lần đầu tiên là bị ép buộc xuất ra ngoài.
Lần thứ hai là lựa chọn.
Lần thứ ba xảy ra nếu bạn không chọn</t>
  </si>
  <si>
    <t>Isso é Tão Assustador！-1</t>
  </si>
  <si>
    <t xml:space="preserve">Mesmo que acima, use a "Fita de Vídeo de Terror" tarde da noite e tenha 3 ou mais corações roxos💜💜💜. </t>
  </si>
  <si>
    <t>Com base nas suas escolhas, um evento principal com sua imouto ocorrerá
A primeira vez terminará fora obrigatoriamente.
A segunda vez terminará voluntariamente fora.
A terceira vez será opcional.
(Os eventos envolvendo as fitas estão conectados, logo, se você assistir primeiro a "Fita de Vídeo de Terror" vai pular para a segunda vez em ambas as fitas. É aconselhável salvar antes de assistir a cada fita.)</t>
  </si>
  <si>
    <t>Menakutkan sekali! -1</t>
  </si>
  <si>
    <t>Gunakan "Rekaman Video Horor" larut malam
dan miliki skor hati ungu lebih besar dari 3</t>
  </si>
  <si>
    <t>Berdasarkan pilihan yang Anda buat, kejadian utama dengan adik akan dipicu.
Pertama kali, Anda terpaksa berada di luar.
Kedua kalinya, Anda melakukannya secara sukarela.
Ketiga kalinya, Anda memilih untuk melakukannya secara opsional.
(Jumlah kejadian utama dibagi di semua adegan, jadi disarankan untuk menyimpan permainan sebelum menonton setiap segmen.)</t>
  </si>
  <si>
    <t>哥哥~他們在做什麼呀?</t>
  </si>
  <si>
    <t>於深夜時段使用"成人錄影帶"
並且好感/紫心未達於標準</t>
  </si>
  <si>
    <t>お兄ちゃん～あの人たち、何してるの？</t>
  </si>
  <si>
    <t xml:space="preserve">
深夜の時間帯に “アダルトビデオ” を使用し、
かつ💖/💜のハートが一定値に達してない場合
</t>
  </si>
  <si>
    <t>関連するイベントが発生する</t>
  </si>
  <si>
    <t>Onii-chan~what are they doing?</t>
  </si>
  <si>
    <t>Use "Adult Video Tape" at night while not meeting the required amount of red/purple hearts</t>
  </si>
  <si>
    <t>Triggers the related event</t>
  </si>
  <si>
    <t>哥哥~他们在做什么呀?</t>
  </si>
  <si>
    <t>在深夜时段使用"成人录影带"
并且好感/紫心未达于标准</t>
  </si>
  <si>
    <t>Куроха... Чем они занимаются?</t>
  </si>
  <si>
    <t>Используйте "Видеокассету для взрослых" ночью, если не соберете необходимое количество красных/фиолетовых сердечек</t>
  </si>
  <si>
    <t>Запускает соответствующее событие</t>
  </si>
  <si>
    <t>Schwesterlein, was machst du?</t>
  </si>
  <si>
    <t>Benutze "Erwachsenenvideokassette" nachts ohne die erforderliche Anzahl an roten und lila Herzen zu erreichen</t>
  </si>
  <si>
    <t>Löst das zugehörige Ereignis aus</t>
  </si>
  <si>
    <t>Onii-chan, họ đang làm gì vậy?</t>
  </si>
  <si>
    <t>Xem cuộn băng người lớn vào đêm khuya và không có được mức độ yêu thích/tim tím cần thiết</t>
  </si>
  <si>
    <t>Xảy ra sự kiện liên quan</t>
  </si>
  <si>
    <t>Onii-chan, o que você está fazendo?</t>
  </si>
  <si>
    <t>Use a "Fita de Vídeo Adulta" tarde da noite
com poucos Corações Vermelhos❤️/Roxos💜.</t>
  </si>
  <si>
    <t>Ocorre um evento relacionado.</t>
  </si>
  <si>
    <t>Onii-chan~apa yang mereka lakukan?</t>
  </si>
  <si>
    <t>Gunakan "Rekaman Video Dewasa" di malam hari saat tidak memenuhi jumlah hati merah/ungu yang dibutuhkan</t>
  </si>
  <si>
    <t>Memicu event terkait</t>
  </si>
  <si>
    <t>哥哥~他們在做什麼呀?-1</t>
  </si>
  <si>
    <t>於深夜時段使用"成人錄影帶"
並且好感度大於?，紫心度大於?</t>
  </si>
  <si>
    <t>お兄ちゃん～あの人たち、何してるの？‐1</t>
  </si>
  <si>
    <t xml:space="preserve">
深夜の時間帯に “アダルトビデオ” を使用し、
さらに好感度が💖以上、💜が〇以上の場合
</t>
  </si>
  <si>
    <t xml:space="preserve">
選択肢によって妹との本番シナリオが発生する
初回は強制的に屋外で
2回目は自発的に屋外で
3回目は自由に選択可能
（本番回数は全シーン共通のため、各差分を見る場合は事前にセーブすることを推奨）
</t>
  </si>
  <si>
    <t>Onii-chan~what are they doing? - 1</t>
  </si>
  <si>
    <t>Use "Adult Video Tape" at night while having red hearts higher than ? and purple hearts higher than ?</t>
  </si>
  <si>
    <t>Based on the choices, the main event with imouto willtrigger
The first time you climax, it's forced to be outside
The second time, onii-chan is now able to pull out on his own
The third time, you can freely choose where to climax
(The one-time variations are shared across all seggs scenes, so if you want to see every variation, it's recommended to save beforehand)</t>
  </si>
  <si>
    <t>哥哥~他们在做什么呀?-1</t>
  </si>
  <si>
    <t>在深夜时段使用"成人录影带"
并且好感度大于?，紫心度大于?</t>
  </si>
  <si>
    <t>依照选项
触发和妹妹的本番剧情
第一次是强制在外面
第二次是主动在外面
第三次能自行选择
(本番次数是全场景共享的，因此若要观看每个差分，建议先保存)</t>
  </si>
  <si>
    <t>Куроха... Чем они занимаются? - 1</t>
  </si>
  <si>
    <t>Используйте "Видеокассету для взрослых" ночью, когда количество красных и фиолетовых сердечек превышает (#?)</t>
  </si>
  <si>
    <t>В зависимости от выбора, главным событием с Имоуто станет триггер
В первый раз вас заставят эякулировать снаружи
Во второй раз вы можете выбрать, где именно
В третий раз произойдет, если вы не выберете</t>
  </si>
  <si>
    <t>Schwesterlein, was machst du? -1</t>
  </si>
  <si>
    <t>Benutze „"Erwachsenenvideokassette" nachts, während die roten Herzen höher als ? und die lila Herzen höher als ? sind</t>
  </si>
  <si>
    <t>Onii-chan, họ đang làm gì vậy? - 1</t>
  </si>
  <si>
    <t>Đã xem cuộn băng người lớn vào đêm khuya và mức độ yêu thích lớn hơn ?, số tim tím lớn hơn ?</t>
  </si>
  <si>
    <t>Dựa trên các lựa chọn, sự kiện chính với em gái sẽ được kích hoạt
Lần đầu tiên, bạn buộc phải ra bên ngoài
Lần thứ hai, onii-chan giờ có thể tự rút ra
Lần thứ ba, bạn có thể tự do lựa chọn.
(Các biến thể chỉ xảy ra một lần này giống nhau trong tất cả các cảnh sex, vì vậy nếu bạn muốn xem tất cả các biến thể, nên lưu lại từ trước)</t>
  </si>
  <si>
    <t>Onii-chan, o que você está fazendo?-1</t>
  </si>
  <si>
    <t>Mesmo que acima, use a "Fita de Vídeo Adulta" tarde da noite, tenha uma quantidade de Corações Vermelhos ❤️ maior que ? e uma quantidade de Corações Roxos  💜 maior que ?</t>
  </si>
  <si>
    <t>Com base nas suas escolhas, um evento principal com sua imouto ocorrerá
A primeira vez terminará fora obrigatoriamente.
A segunda vez terminará voluntariamente fora.
A terceira vez será opcional.
(Os eventos envolvendo as fitas estão conectados, logo, se você assistir primeiro a "Fita de Vídeo Adulta" vai pular para a segunda vez em ambas as fitas. É aconselhável salvar antes de assistir a cada fita.)</t>
  </si>
  <si>
    <t>Onii-chan~apa yang mereka lakukan? - 1</t>
  </si>
  <si>
    <t>Gunakan "Rekaman Video Dewasa" di malam hari saat memiliki hati merah lebih tinggi dari ? dan hati ungu lebih tinggi dari ?</t>
  </si>
  <si>
    <t>"Berdasarkan pilihan, event utama dengan imouto akan terpicu
Pertama kali paksa ejakulasi diluar
Kedua kali sukarela ejakulasi diluar
Ketiga kali opsional
(Jumlah event utama sama di semua adegan, jadi disarankan untuk menyimpan sebelum menonton setiap segmen.)"</t>
  </si>
  <si>
    <t>一起睡覺</t>
  </si>
  <si>
    <t>於深夜時段使用"成人錄影帶"
並且不斷做喜歡的事情直到深夜，並且"當前"至少累積白心達到"2次"以上(不是2顆白心、不計過往次數)</t>
  </si>
  <si>
    <t>如果該事件是第一次發生，會觸發哥哥的第二次夢境(該夢境只出現一次)
同時，如果妹妹發生過改名並成功配對"妹妹"關鍵字，會多出一段對話
(標題畫面不是彼女，而是妹妹)</t>
  </si>
  <si>
    <t>一緒に寝る</t>
  </si>
  <si>
    <t xml:space="preserve">
深夜の時間帯に “アダルトビデオ” を使用し、
さらに好きなことを夜更けまで続け、
“現在” の時点で白いハートの累計が2回以上に達している場合
（2個の白いハートではなく、過去の回数は含めない）
</t>
  </si>
  <si>
    <t xml:space="preserve">
このイベントが初めて発生した場合お兄ちゃんの2回目の夢が発動します（この夢は一度しか登場しません）。
同時に、妹が改名を行い“妹”というキーワードで正常にペアリングされている場合は追加の会話シーンが発生します。
（タイトル画面の表示は“彼女”ではなく“妹”になります。）
</t>
  </si>
  <si>
    <t>Sleeping together</t>
  </si>
  <si>
    <t>Use "Adult Video Tape" when watching the TV and keep going until late at night and accumulate at least 2 white hearts from said session (does not count previous sessions)</t>
  </si>
  <si>
    <t>Onii-chan's second dream sequence(one-time only) will play if this event is encountered for the first time. Furthermore, if Imouto's name has been renamed from 'Mio' to 'Imouto', an extra dialog will be added. 
(The title of the game will also change from "Unobtrusive Girl" back to the original "Unobtrusive Sister")</t>
  </si>
  <si>
    <t>一起睡觉</t>
  </si>
  <si>
    <t>在深夜时段使用"成人录影带"
并且不断做喜欢的事情直到深夜，并且"当前"至少获取🤍"2次"以上
(不是获取2颗🤍、不计过往次数)</t>
  </si>
  <si>
    <t>如果该事件是第一次发生，会触发哥哥的第二次梦境(该梦境只出现一次)
同时，如果妹妹发生过改名并成功配对"妹妹"关键字，会多出一段对话
(标题画面的字样不是彼女，而是妹妹)</t>
  </si>
  <si>
    <t>Уснули вместе</t>
  </si>
  <si>
    <t>Используйте "Видеокассету для взрослых" при просмотре телевизора и продолжайте смотреть до поздней ночи, по крайней мере, с 2 белыми сердечками (не считая предыдущих сеансов).</t>
  </si>
  <si>
    <t>Второй эпизод из сна Курохи будет воспроизведен, если это событие произойдет впервые.
Кроме того, если её имя было изменено с "Мио" на "Имоуто", будет добавлен дополнительный диалог</t>
  </si>
  <si>
    <t>-Zusammen schlafen</t>
  </si>
  <si>
    <t>Nutze in der späten Zeit die "Erwachsenenvideokassette"
Und fortlaufend die gewünschten Dinge bis tief in die Nacht tun und aktuell mindestens 2  Weißherzen ansammeln(frühere Zählungen werden nicht berücksichtigt)</t>
  </si>
  <si>
    <t>Wenn dieses Ereignis zum ersten Mal eintritt, wird der zweite Traum des Bruders ausgelöst(dieser Traum erscheint nur einmal)
Gleichzeitig erscheint eine zusätzliche Dialogsequenz, wenn bei der Schwester eine Umbenennung stattgefunden hat und das Schlüsselwort "Imouto" erfolgreich zugeordnet wurde</t>
  </si>
  <si>
    <t>Ngủ cùng nhau</t>
  </si>
  <si>
    <t>Sử dụng "Băng video người lớn" khi xem TV và tiếp tục cho đến khuya để tích lũy ít nhất 2 trái tim trắng (không tính các lần trước đó).</t>
  </si>
  <si>
    <t>Phân cảnh giấc mơ thứ hai của Onii-chan (chỉ một lần duy nhất) sẽ xảy ra nếu sự kiện này xảy ra lần đầu tiên. Hơn nữa, nếu tên của Imouto đã được đổi từ 'Mio' thành 'Imouto', sẽ có một đoạn hội thoại bổ sung.
(Tên trò chơi cũng sẽ thay đổi từ "Unobtrusive Girl" trở lại tên gốc "Unobtrusive Sister")"</t>
  </si>
  <si>
    <t>Dormindo Juntos</t>
  </si>
  <si>
    <t>Use ""Fita de Vídeo Adulta" enquanto assiste à TV e continue até tarde da noite com pelo menos 2 corações brancos 🤍🤍(sessões anteriores não contam).</t>
  </si>
  <si>
    <t xml:space="preserve">Se esta for a primeira vez que este evento ocorrer, ele desencadeará o segundo sonho do onii-chan (este sonho aparecerá apenas uma vez).
Além disso, se a imouto for renomeada de "mio" para "imouto", um diálogo adicional aparecerá.
(A tela de título exibirá "irmã" em vez de "namorada").
</t>
  </si>
  <si>
    <t>Tidur bersama</t>
  </si>
  <si>
    <t>menggunakan "Rekaman Video Dewasa" saat menonton TV dan melanjutkan nya sampai larut malam dengan setidaknya mempunyai 2 hati putih (tidak termasuk sesi sebelumnya)</t>
  </si>
  <si>
    <t>Mimpi ke-dua Onii-chan akan diputar jika adegan ini terjadi untuk pertama kalinya. dan, jika nama Imouto  telah di ubah dari 'Mio' ke 'Imouto', percakapan ekstra akan ditambahkan.</t>
  </si>
  <si>
    <t>一起睡吧</t>
  </si>
  <si>
    <t>客廳成人錄影帶事件裡，和妹妹運動結束後，剛好到睡覺時間</t>
  </si>
  <si>
    <t>哥哥比妹妹早醒，進行劇情</t>
  </si>
  <si>
    <t>一緒に寝よう</t>
  </si>
  <si>
    <t>リビングのアダルトビデオイベントで、妹とHな運動を終えた後ちょうど就寝時間になる</t>
  </si>
  <si>
    <t>お兄ちゃんが妹より先に目を覚まし、イベントが進行する</t>
  </si>
  <si>
    <t>After the adult tape scene, you will end up sleeping together with imouto if you keep going until very late night until she's tired</t>
  </si>
  <si>
    <t>Onii-chan wakes up beside Imouto and you'll get a bit more of the story</t>
  </si>
  <si>
    <t>Давай спать вместе</t>
  </si>
  <si>
    <t>После сцены из фильма для взрослых вы уснёте вместе с Имоуто, если будете продолжать до поздней ночи, пока она не устанет.</t>
  </si>
  <si>
    <t>Куроха проснулся раньше Имоуто, чтобы осуществить задуманное</t>
  </si>
  <si>
    <t>Lass uns zusammen schlafen</t>
  </si>
  <si>
    <t>Im Ereignis Erwachsenenvideo im Wohnzimmer, nach dem Sport mit deiner Schwester, ist es genau Schlafenszeit.</t>
  </si>
  <si>
    <t>Der Bruder wacht vor der Schwester auf und löst das Ereignis aus</t>
  </si>
  <si>
    <t>Hãy ngủ cùng nhau</t>
  </si>
  <si>
    <t>Trong sự kiện băng video người lớn trong phòng khách, sau khi đã làm xong cùng em gái, đi ngủ</t>
  </si>
  <si>
    <t>Onii-chan thức dậy trước imouto và xảy ra sự kiện</t>
  </si>
  <si>
    <t>Vamos dormir juntos</t>
  </si>
  <si>
    <t>No incidente do vídeo adulto na sala de estar, depois de se exercitar com a imouto, já era hora de dormir.</t>
  </si>
  <si>
    <t>Onii-chan acorda antes da imouto, um evento ocorre.</t>
  </si>
  <si>
    <t>Setelah adegan video dewasa, kau akan tidur bersama dengan imouto jika kau terus melanjutkannya sampai tengah malam dia akan lelah</t>
  </si>
  <si>
    <t>Onii-chan bangun diaamping Imouto dan kau akan mendapat beberapa cerita</t>
  </si>
  <si>
    <t>一起睡吧-1</t>
  </si>
  <si>
    <t>同上</t>
  </si>
  <si>
    <t>同上
分支-妹妹比哥哥早醒，進行劇情</t>
  </si>
  <si>
    <t>一緒に寝よう~1</t>
  </si>
  <si>
    <t xml:space="preserve">
同上
分岐 ― 妹が兄より先に目を覚まし、イベントが進行する
</t>
  </si>
  <si>
    <t>Sleeping together - 1</t>
  </si>
  <si>
    <t>Same as above</t>
  </si>
  <si>
    <t>Same as above, except Imouto wakes up earlier than Onii-chan which triggers the story</t>
  </si>
  <si>
    <t>Давай спать вместе - 1</t>
  </si>
  <si>
    <t>Так же, как и "Давай спать вместе".</t>
  </si>
  <si>
    <t>Имоуто проснулась раньше Курохи и начала разговор</t>
  </si>
  <si>
    <t>Lass uns zusammen schlafen – 1</t>
  </si>
  <si>
    <t>Das gleiche wie oben</t>
  </si>
  <si>
    <t>Das gleiche wie oben – Verzweigung: Die Schwester wacht vor dem Bruder auf und löst das Ereignis aus</t>
  </si>
  <si>
    <t>Hãy ngủ cùng nhau - 1</t>
  </si>
  <si>
    <t>Giống như trên</t>
  </si>
  <si>
    <t>Như trên - nhánh nhỏ: imouto thức dậy trước</t>
  </si>
  <si>
    <t>Vamos dormir juntos - 1</t>
  </si>
  <si>
    <t>Igual ao anterior</t>
  </si>
  <si>
    <t>Igual ao anterior. Ponto de ramificação: a imouto acorda antes do onii-chan, levando a outro evento.</t>
  </si>
  <si>
    <t xml:space="preserve">sama seperti diatas </t>
  </si>
  <si>
    <t>sama seperti diatas, namun Imouto bangun lebih dulu daripada Onii-chan yang akan memicu jalan cerita</t>
  </si>
  <si>
    <t>G</t>
  </si>
  <si>
    <t>夜襲相關</t>
  </si>
  <si>
    <t>眠りさわさわイベント</t>
  </si>
  <si>
    <t>Night Raid Events</t>
  </si>
  <si>
    <t>Eventos de Noche</t>
  </si>
  <si>
    <t>야간 이벤트</t>
  </si>
  <si>
    <t>Ночные события</t>
  </si>
  <si>
    <t>Auf nächtliche Überfälle bezogene Events</t>
  </si>
  <si>
    <t>Sự kiện đột kích ban đêm</t>
  </si>
  <si>
    <t>Eventos de incursão noturna</t>
  </si>
  <si>
    <t>Event terkait Serangan Malam</t>
  </si>
  <si>
    <t>總覺得睡不著...</t>
  </si>
  <si>
    <t>1.想要半夜醒來，性慾至少高於20
2.早睡可以提升機率，高性慾值也能提高
3.裝備"少女的笑容"時必甦醒 （23點前入睡）
4.吃到黑暗料理，必定甦醒（23點前入睡）</t>
  </si>
  <si>
    <t>哥哥睡不著覺
可以選擇進入妹妹房間</t>
  </si>
  <si>
    <t>なんだか眠れない気がする…</t>
  </si>
  <si>
    <t>1. 深夜に目が覚めるようにするには、性的欲求が少なくとも 20 以上である必要があります
2. 早めに就寝すると確率が上がり、性的欲求が高い場合はさらに確率が上がります
3. 『少女の笑顔』を装備していると必ず目覚めます（23:00 までに就寝した場合）
4. 暗黒料理を食べると必ず目覚めます（23:00 までに就寝した場合）</t>
  </si>
  <si>
    <t>お兄ちゃんはなかなか寝れない…
妹の部屋を見に行くことができる</t>
  </si>
  <si>
    <t>I can't sleep...</t>
  </si>
  <si>
    <t>1. To wake up at night, your excitement level must be more than 20%
2. Going to bed early increases the chances, as well as higher excitement levels
3. You are guaranteed to wake up if you're wearing the "Girl's Smile" equipment if you go to bed before 11PM
4. You are guaranteed to wake up if you ate something bad if you go to bed before 11PM</t>
  </si>
  <si>
    <t>If you are unable to sleep and wake up in the middle of the night, you can go to Imouto's room</t>
  </si>
  <si>
    <t>总觉得睡不着...</t>
  </si>
  <si>
    <t>1.想要半夜醒来，性欲至少高于20
2.早睡可以提升机率，高性欲值也能提高
3.装备"少女的笑容"时必苏醒 （23点前入睡）
4.吃到黑暗料理，必定苏醒（23点前入睡）</t>
  </si>
  <si>
    <t>哥哥睡不着觉
可以选择进入妹妹房间</t>
  </si>
  <si>
    <t>Không ngủ được...</t>
  </si>
  <si>
    <t>1. Để thức dậy vào giữa đêm, mức độ phấn khích phải trên 20%
2. Đi ngủ sớm làm tăng cơ hội cũng như mức độ hưng phấn cao hơn
3. Bạn chắc chắn sẽ thức dậy khi đang trang bị "Nụ cười của em gái" nếu bạn đi ngủ trước 23 giờ tối
4. Bạn chắc chắn sẽ thức dậy nếu bạn ăn gì đó tệ và đi ngủ trước 23 giờ</t>
  </si>
  <si>
    <t>Nếu bạn không ngủ được và thức dậy giữa đêm, bạn sẽ có thể đi sang phòng của imouto</t>
  </si>
  <si>
    <t>夜襲相關選項，目前只有少量的互動
等待夜襲場景重製後，再進行修改內容</t>
  </si>
  <si>
    <t>待重製</t>
  </si>
  <si>
    <t>夜襲に関連する選択肢は、現在は少量のインタラクションのみです
夜襲シーンのリメイク後に、内容を改めて調整予定です</t>
  </si>
  <si>
    <t>リメイク待ち</t>
  </si>
  <si>
    <t>Currently, the interactions with the night raid system is minimal. This is because the system is under rework. There will be more in the future</t>
  </si>
  <si>
    <t>TBA</t>
  </si>
  <si>
    <t>夜袭相关选项，目前只有少量的互动
等待夜袭场景重制后，再进行修改内容</t>
  </si>
  <si>
    <t>待重置
To be continued...</t>
  </si>
  <si>
    <t xml:space="preserve">Hiện tại, sự tương tác với hệ thống đột kích ban đêm rất ít. Điều này là do hệ thống event đang được làm lại. Sẽ có nhiều hơn nữa trong tương lai </t>
  </si>
  <si>
    <t xml:space="preserve">                      </t>
  </si>
  <si>
    <t>RPG事件</t>
  </si>
  <si>
    <t>RPGイベント</t>
  </si>
  <si>
    <t>説明する</t>
  </si>
  <si>
    <t>Combat Event</t>
  </si>
  <si>
    <t>说明</t>
  </si>
  <si>
    <t>结果</t>
  </si>
  <si>
    <t>Evento de rol</t>
  </si>
  <si>
    <t>RPG-событие</t>
  </si>
  <si>
    <t>Описание</t>
  </si>
  <si>
    <t>Итог</t>
  </si>
  <si>
    <t>RPG-Events</t>
  </si>
  <si>
    <t>Orte um das Event zu erhalten</t>
  </si>
  <si>
    <t>Ergebnisse</t>
  </si>
  <si>
    <t xml:space="preserve">Sự kiện </t>
  </si>
  <si>
    <t>Cách đạt được</t>
  </si>
  <si>
    <t>Evento de RPG</t>
  </si>
  <si>
    <t>Event RPG</t>
  </si>
  <si>
    <t xml:space="preserve">Cara mendapatkannya </t>
  </si>
  <si>
    <t>冒險者小道:集結地</t>
  </si>
  <si>
    <t>Adventurer's Path: Gathering Point</t>
  </si>
  <si>
    <t>冒险者小道:集结地</t>
  </si>
  <si>
    <t>Тропа авантюристов: Место сбора</t>
  </si>
  <si>
    <t>Caminho do Aventureiro: Ponto de Encontro(Adventurer's Path: Gathering Point)</t>
  </si>
  <si>
    <t>RA1</t>
  </si>
  <si>
    <t>提前回家</t>
  </si>
  <si>
    <t>於冒險者的街道
起始點往下走，是提前回家。</t>
  </si>
  <si>
    <t>第一次會觸發一段特殊劇情
後續可能觸發
*和妹妹玩了一整天
*和妹妹一起悠閒度過
*和妹妹一起睡午覺
*妹妹幫忙按摩</t>
  </si>
  <si>
    <t>早めにお家に帰る</t>
  </si>
  <si>
    <t>冒険開始地点のすぐ後ろから帰ることが出来る</t>
  </si>
  <si>
    <t>特別な会話があり妹とお昼を過ごす事が出来る
※17時まで時間が進みます
*一日中妹と遊んだ
*妹とゆっくり過ごす
*妹と一緒にお昼寝
※妹がマッサージを手伝ってくれます</t>
  </si>
  <si>
    <t>Going Home Early</t>
  </si>
  <si>
    <t>From the starting point, immediately go down and go back home.</t>
  </si>
  <si>
    <t>A special dialogue will be triggered for the first time.
Subsequent dialogs will be randomzed between
 -Playing games with your sister
 -Relaxing time with your sister
 -Nap together with your sister
 -Sister gives you a massage
Time will be skipped to dinner time.</t>
  </si>
  <si>
    <t>于冒险者的街道 起始点往下走，是提前回家。</t>
  </si>
  <si>
    <t>第一次会触发一段特殊剧情 后续可能触发 *和妹妹玩了一整天 *和妹妹一起悠闲度过 *和妹妹一起睡午觉 *妹妹帮忙按摩</t>
  </si>
  <si>
    <t>Vete a casa temprano</t>
  </si>
  <si>
    <t>일찍 집에 돌아갔어요</t>
  </si>
  <si>
    <t>여동생과 하루 종일 같이 지낼 수 있습니다.
이후에는 다음과 같은 이벤트가 발생할 수 있습니다.
*여동생과 하루 종일 놀았어요.
*여동생이랑 같이 낮잠을 잤어요.
*여동생이 마사지를 도와줬어요.</t>
  </si>
  <si>
    <t>Вернуться домой пораньше</t>
  </si>
  <si>
    <t>На «Тропе авантюристов» вернитесь откуда пришли – лучший способ вернуться домой пораньше.</t>
  </si>
  <si>
    <t>Первое событие вызовет особое событие.
Последующие события также могут вызвать:
* Весь день играл с сестрой.
* Отдохнул с сестрой.
* Поспал с сестрой.
* Сестра сделала мне массаж.</t>
  </si>
  <si>
    <t>Früher als erwartet daheim</t>
  </si>
  <si>
    <t>Wenn du vom Startpunkt jeder Expedition nach unten läufst, kehrst du vorzeitig nach Hause zurück</t>
  </si>
  <si>
    <t>Beim ersten Mal wird eine spezielle Szene ausgelöst.
Danach können zufällig folgende Ereignisse auftreten:
 -Einen ganzen Tag mit der Schwester spielen
 -Entspannt Zeit mit der Schwester verbringen
 -Mit der Schwester ein Mittagsschläfchen halten
 -Die Schwester hilft beim Massieren</t>
  </si>
  <si>
    <t>Về nhà sớm</t>
  </si>
  <si>
    <t>Từ nơi bắt đầu, đi xuống ngay lập tức và quay về nhà</t>
  </si>
  <si>
    <t>Một đoạn hội thoại đặc biệt sẽ được kích hoạt lần đầu tiên. 
Những lần sau sẽ ngẫu nhiên giữa:
 -Chơi game với em gái
 -Thư giãn cùng em gái
 -Ngủ trưa cùng em gái
 -Em gái mát xa cho bạn
Thời gian sẽ được tua nhanh đến bữa tối.</t>
  </si>
  <si>
    <t>Ir para casa mais cedo</t>
  </si>
  <si>
    <t>Do começo, imediatamente vá para baixo de volta para casa.</t>
  </si>
  <si>
    <t>Um diálogo especial ocorrerá pela primeira vez.
Diálogos subsequentes ocorrerão aleatóriamente entre:
 -Jogar jogos com a sua imouto
 -Tempo de lazer com a sua imouto
 -Tirar uma sonoca com a sua imouto
 - Imouta fzer uma massagem em você
O tempo será adiantado para o horário do jantar.</t>
  </si>
  <si>
    <t>Pulang Lebih Awal</t>
  </si>
  <si>
    <t>Saat di titik awal, langsung ke bawah dan pulang kerumah</t>
  </si>
  <si>
    <t xml:space="preserve">Dialog spesial akan dipicu untuk pertama kali.
Dialog selanjutnya akan diacak antara
 -Bermain game bersama adik
 -Bersantai bersama adik
 -Tidursiang bersama adik
 -Adikmu akan memberimu pijatan
Waktu akan dilewati sampai makan malam </t>
  </si>
  <si>
    <t>RA2</t>
  </si>
  <si>
    <t>垃圾桶</t>
  </si>
  <si>
    <t>冒險者小道:集結地
於垃圾桶丟棄裝備，打爆垃圾桶會獲得道具。
只限制丟棄的當天，隔天就不算。</t>
  </si>
  <si>
    <t>獲得道具：魔力小凝膠
用於拓展背包格子</t>
  </si>
  <si>
    <t>ゴミ箱</t>
  </si>
  <si>
    <t>ゴミ箱に不要な装備を捨てることが出来てスロットを開けることが出来る
捨てた後にゴミ箱を破壊すると特定のアイテムが入手できる!だし、捨てるのは当日のみで、翌日以降はカウントされません。</t>
  </si>
  <si>
    <t>魔力の小凝縮ジェルを入手
使用することで武器スロットや装備スロットを拡張できる</t>
  </si>
  <si>
    <t>Garbage Bin</t>
  </si>
  <si>
    <t>You can discard items and equipment you don't need to the garbage bin. Destroying it after discarding items will drop magic gels based on the amount you discarded.
*Only items disposed in the same day are counted</t>
  </si>
  <si>
    <t>Obtain "Small Magic Gel" item.
This expands your backpack slots.</t>
  </si>
  <si>
    <t>冒险者小道:集结地 于垃圾桶丢弃装备，打爆垃圾桶会获得道具。 只限制丢弃的当天，隔天就不算。</t>
  </si>
  <si>
    <t>获得道具：魔力小凝胶 用于拓展背包格子</t>
  </si>
  <si>
    <t>cubo de la basura</t>
  </si>
  <si>
    <t>Мусорка</t>
  </si>
  <si>
    <t>Выбросьте своё снаряжение в мусорку. Разбив мусорку, вы получите предметы.
Это действует только в тот день, когда снаряжение было выброшено. На следующий день это не засчитывается.</t>
  </si>
  <si>
    <t>Получение предмета: Мана-гель
Используется для расширения вместимости рюкзака</t>
  </si>
  <si>
    <t>Mülleimer</t>
  </si>
  <si>
    <t>Du kannst Ausrüstung in den Mülleimer werfen und erhältst Items, wenn du ihn zerstörst. Am nächsten Tag sind die Items vom vorherigen Tag nicht mehr vorhanden.</t>
  </si>
  <si>
    <t>Erhaltenes Item: Magisches Minigel
Verwendung: Erweitert die Inventarplätze</t>
  </si>
  <si>
    <t>Thùng rác</t>
  </si>
  <si>
    <t>Bạn có thể loại bỏ vật phẩm và trang bị bạn không cần trong thùng rác. Phá hủy nó sau khi bỏ đồ vật sẽ rơi ra gel ma thuật dựa trên số lượng bạn đã bỏ đi.
*Chỉ những vật phẩm đã bỏ đi trong cùng ngày mới được tính</t>
  </si>
  <si>
    <t>Nhận vật phẩm “Gel Ma Thuật Nhỏ”. Vật phẩm này mở rộng số ô trong ba lô của bạn.</t>
  </si>
  <si>
    <t>Cesta de lixo</t>
  </si>
  <si>
    <t>Você pode descartar itens e equipamentos que você não quiser mais na cesta do lixo. Destruindo ela depois de descartar is itens irá deixar cair gels mágicos dependendo da quantidade de itens descartados.
*Apenas itens descartados no mesmo dia são considerados.</t>
  </si>
  <si>
    <t>Obtém o item "Gel Mágico Pequeno".
Ele expande os espaços da sua mochila.</t>
  </si>
  <si>
    <t xml:space="preserve">Tempat Sampah </t>
  </si>
  <si>
    <t>Kau bisa membuang item dan perlengkapa yang tidak kau inginkan di tempat sampah. Menghancurkan nya setelah membuang item akan menjatuhkan magic gels berdasarkan jumlah yang telah dibuang
‎*Hanya item yang dibuang di hari yang sama yang akan dihitung.</t>
  </si>
  <si>
    <t>mendapatkan "Small Magic Gel".
Bisa digunakan untuk meningkatkan slot senjata dan perlengkapan mu.</t>
  </si>
  <si>
    <t>RA3</t>
  </si>
  <si>
    <t>稻草人</t>
  </si>
  <si>
    <t>主要用於測試玩家傷害數值用，有可能透過其他方式擊殺。
(可以參考TIPS)</t>
  </si>
  <si>
    <t>獲得道具：稻草人的心</t>
  </si>
  <si>
    <t>カカシ</t>
  </si>
  <si>
    <t>お兄ちゃんのダメージ値をテストするために使用され、色々な方法で撃破する可能性もある！（TIPSを参照）</t>
  </si>
  <si>
    <t>カカシの心を入手できる</t>
  </si>
  <si>
    <t>Scarecrow</t>
  </si>
  <si>
    <t>Mainly used to test the damage values of the player. Can be killed by other means.
Refer to TIPS on how to do so.</t>
  </si>
  <si>
    <t>Obtain "Scarecrow's Heart" equipment</t>
  </si>
  <si>
    <t>主要用于测试玩家伤害数值用，有可能透过其他方式击杀。 (可以参考TIPS)</t>
  </si>
  <si>
    <t>获得道具：稻草人的心</t>
  </si>
  <si>
    <t>espantapájaros</t>
  </si>
  <si>
    <t>Пугало</t>
  </si>
  <si>
    <t>В основном используется для проверки значений урона, наносимого игроком. Его можно убить и другими способами.
(Подробности см. в разделе Tips)</t>
  </si>
  <si>
    <t>Получение предмета: Сердце Пугала</t>
  </si>
  <si>
    <t>Vogelscheuche</t>
  </si>
  <si>
    <t>Es wird hauptsächlich verwendet, um die Schadenswerte des Spielers zu testen. Es ist möglich, dass es auch auf andere Weisen besiegt werden kann.
(Siehe Tipps)</t>
  </si>
  <si>
    <t>Du erhältst den Gegenstand "Herz der Vogelscheuche".</t>
  </si>
  <si>
    <t>Bù Nhìn</t>
  </si>
  <si>
    <t>Chủ yếu dùng để kiểm tra chỉ số sát thương của người chơi. Có thể bị giết bằng cách khác. Xem mục TIPS để biết cách thực hiện.</t>
  </si>
  <si>
    <t>Nhận trang bị “Trái Tim Bù Nhìn”.</t>
  </si>
  <si>
    <t>Espantalho</t>
  </si>
  <si>
    <r>
      <rPr>
        <rFont val="Microsoft JhengHei"/>
        <color theme="1"/>
      </rPr>
      <t xml:space="preserve">Principalmente usado para testar o dano dos jogadores. Pode ser morto por outros métodos.
Olhar em </t>
    </r>
    <r>
      <rPr>
        <rFont val="Microsoft JhengHei"/>
        <i/>
        <color theme="1"/>
      </rPr>
      <t>TIPS</t>
    </r>
    <r>
      <rPr>
        <rFont val="Microsoft JhengHei"/>
        <color theme="1"/>
      </rPr>
      <t xml:space="preserve"> para saber como fazer isso.</t>
    </r>
  </si>
  <si>
    <t>Obtém o equipamento "Coração do espantalho"</t>
  </si>
  <si>
    <t>Orang-orangan sawah</t>
  </si>
  <si>
    <t>Terutama digunakan untuk menguji nilai kerusakan pemain; dimungkinkan untuk membunuh mereka melalui metode lain.
(Lihat TIPS untuk detailnya)</t>
  </si>
  <si>
    <t>Item yang diperoleh: Jantung Orang-orangan Sawah</t>
  </si>
  <si>
    <t>RA4</t>
  </si>
  <si>
    <t>閃步太刀</t>
  </si>
  <si>
    <t>裝備或者持有"硬木劍"
於冒險者小道:集結地的貓耳劍聖NPC對話，並成功擊敗
(中途可切換武器)</t>
  </si>
  <si>
    <t>習得技能:閃步太刀</t>
  </si>
  <si>
    <t>「堅木の剣」を所持してる時に謎の剣士に話すと手合わせする事ができ勝つことで習得できる。</t>
  </si>
  <si>
    <t>閃步太刀を習得する
「これも妹の為…卑怯とは言うまいな？」</t>
  </si>
  <si>
    <t>Senpo Tachi</t>
  </si>
  <si>
    <t>Must have "Hardwood Sword" equipped or in your inventory.
Talk to the Mysterious Swordsman in Adventurer's Path: Gathering Point and spar with them. You must win the fight.</t>
  </si>
  <si>
    <t>Obtain new skill: "Senpo Tachi"</t>
  </si>
  <si>
    <t>闪步太刀</t>
  </si>
  <si>
    <t>装备或者持有"硬木剑" 于冒险者小道:集结地的谜之剑士进行对话，并成功击败(中途可切换武器)
（谜之剑士：卧槽你不讲武德）</t>
  </si>
  <si>
    <t>习得技能:闪步太刀</t>
  </si>
  <si>
    <t>Espada de paso rápido</t>
  </si>
  <si>
    <t>Сенпо Тати</t>
  </si>
  <si>
    <t>Возьмите в руки или получите «Деревянный меч» и поговорите с Загадочной Фехтовальщицей, после чего одолейте её в поединке.
(В процессе можно сменить оружие)</t>
  </si>
  <si>
    <t>Получение навыка: Сенпо Тати</t>
  </si>
  <si>
    <t>Klinge des Blitzschritts</t>
  </si>
  <si>
    <t>Rüste das Hartholzschwert aus oder halte es, während du mit dem Katzenohren-Schwertmeisterin-NPC am Versammlungsort des Abenteurerwegs sprichst. Frag Sie nach einem Kampf und versuche, zu gewinnen. (Waffen können während des Kampfes gewechselt werden)</t>
  </si>
  <si>
    <t>Erlerne die Fähigkeit ,,Klinge des Blitzschritts"
(TP nach vorne, verursacht Schaden)</t>
  </si>
  <si>
    <t>Phải trang bị hoặc có trong túi đồ "Kiếm Gỗ".
Nói chuyện với Kiếm Sĩ Bí Ẩn ở Con Đường Nhà Thám Hiểm: Điểm Tập Trung và chiến đấu với họ. Bạn phải thắng cuộc.</t>
  </si>
  <si>
    <t>Nhận kỹ năng mới: “Senpo Tachi”.</t>
  </si>
  <si>
    <t>Deve ter equipado ou no inventário uma "Espada de Madeira Nobre".
Fale com a espadachim misteriosa no "Adventurer's Path: Gathering Point" e desafie ela. Você deve ganhar essa luta.</t>
  </si>
  <si>
    <t>Obtenha a habilidade nova: "Senpo Tachi"</t>
  </si>
  <si>
    <t xml:space="preserve">Harus mempunyai "Hardwood Sword" terpakai atau ada di penyimpanan mu.
Berbicara dengan pendekar pedang misterius di Adventurer's Path: Gathering Point dan bertanding dengan nya. kau harus memenangkan pertandingannya </t>
  </si>
  <si>
    <t>Mendapat skill baru "Senpo Tachi"</t>
  </si>
  <si>
    <t>RA5</t>
  </si>
  <si>
    <t>攻略在哪裡?</t>
  </si>
  <si>
    <t>冒險者小道:集結地  篝火前方
只有在晴天(不可炎熱)、中午12點以前會出現"連衣裙的幽靈少女"，與其對話並在隔日之後，再次對話可以獲得道具</t>
  </si>
  <si>
    <t>獲得道具：冒險者心得
*後續劇情待更新</t>
  </si>
  <si>
    <t>攻略はどこにあるの…？</t>
  </si>
  <si>
    <t xml:space="preserve">
「冒険者の小道：集結地」篝火の前方に、
晴天（ただし暑すぎる日は不可）で、正午12時以前のみ「ワンピースの幽霊少女」が出現します。
彼女と会話し、翌日以降にもう一度話しかけるとアイテムを入手できます。
</t>
  </si>
  <si>
    <t xml:space="preserve">
入手アイテム：冒険者の心得
※ストーリーはアップデートで追加される予定
</t>
  </si>
  <si>
    <t>Where is the guide?</t>
  </si>
  <si>
    <t>In Adventurer's Path: Gathering Point, the "Girl in White Dress" will show up during sunny days (not hot) before 12:00PM  in front of the bonfire. Talk to her TWICE on separate sunny days to receive the item.</t>
  </si>
  <si>
    <t>Obtain "Adventurer's Handbook" item.
Subsequent events are not yet implemented</t>
  </si>
  <si>
    <t>攻略在哪里?</t>
  </si>
  <si>
    <t>冒险者小道:集结地 篝火前方 只有在晴天(不可炎热)、中午12点以前会出现"连衣裙的幽灵少女"，与其对话并在隔日之后，再次对话可以获得道具</t>
  </si>
  <si>
    <t>获得道具：冒险者心得 *后续剧情待更新</t>
  </si>
  <si>
    <t>¿Dónde puedo encontrar la guía de estrategia?</t>
  </si>
  <si>
    <t>Где я могу найти руководство?</t>
  </si>
  <si>
    <t>Перед костром. «Девушка-призрак в платье» появляется только в солнечные дни (не жаркие) до полудня. Поговорив с ней, а затем снова поговорив только уже на следующий день, вы получите этот предмет.</t>
  </si>
  <si>
    <t>Получение предмета: «Путеводитель авантюриста»
*Дальнейшая история будет обновлена</t>
  </si>
  <si>
    <t>Wo ist der Guide?</t>
  </si>
  <si>
    <t>In Adventurer's Path: Gathering Point
Nur bei klarem Wetter (nicht heiß) und vor 12 Uhr mittags erscheint das "Geistermädchen im Kleid". Sprich mit ihr, und nachdem ein Tag vergangen ist, kannst du beim nächsten Gespräch einen Gegenstand erhalten.</t>
  </si>
  <si>
    <t>Erhaltener Gegenstand: Abenteurerwissen
*Weitere Handlung wird noch aktualisiert</t>
  </si>
  <si>
    <t>Bản hướng dẫn ở đâu?</t>
  </si>
  <si>
    <t>Ở Con Đường Nhà Thám Hiểm: Điểm Tập Hợp, "Cô Gái Ma Mặc Váy" sẽ chỉ xuất hiện trong những ngày nắng (không phải nóng) trước đống lửa trại và trước 12 giờ trưa. Nói chuyện với cô ấy HAI LẦN vào những ngày nắng khác nhau để nhận được vật phẩm</t>
  </si>
  <si>
    <t>Nhận được vật phẩm "Chỉ Dẫn Nhà Thám Hiểm"
Những sự kiện liên quan chưa được triển khai</t>
  </si>
  <si>
    <t>Onde está o guia?</t>
  </si>
  <si>
    <r>
      <rPr>
        <rFont val="Microsoft JhengHei"/>
        <color theme="1"/>
      </rPr>
      <t xml:space="preserve">No </t>
    </r>
    <r>
      <rPr>
        <rFont val="Microsoft JhengHei"/>
        <i/>
        <color theme="1"/>
      </rPr>
      <t>Adventurer's Path: Gathering Point</t>
    </r>
    <r>
      <rPr>
        <rFont val="Microsoft JhengHei"/>
        <color theme="1"/>
      </rPr>
      <t>, A "Garota no Vestido Branco" Vai aparecer durante um dia ensolarado (não quente) antes de 12:00PM  na frente da fogueira. Fale com ela DUAS vezes em dias ensolarados separados para receber o item.</t>
    </r>
  </si>
  <si>
    <t>Obtém o item "Caderno do Aventureiro".
Eventos subsequentes ainda não foram implementado</t>
  </si>
  <si>
    <t>Dimana panduannya?</t>
  </si>
  <si>
    <r>
      <t xml:space="preserve">di Adventurer's Path: Gathering Point, "wanita berbaju putih" akan muncul saat cuaca cerah (tidak panas)  sebelum 12:00  didepan api unggun. bicara dengan nya </t>
    </r>
    <r>
      <rPr>
        <rFont val="Microsoft JhengHei"/>
        <b/>
        <color theme="1"/>
      </rPr>
      <t>DUAKALI</t>
    </r>
    <r>
      <rPr>
        <rFont val="Microsoft JhengHei"/>
        <color theme="1"/>
      </rPr>
      <t xml:space="preserve"> di cuaca cerah yang berbeda untuk mendapat item.</t>
    </r>
  </si>
  <si>
    <t>mendapat item "Adventurer's Handbook".
event selanjutnya masih belum dikembangkan.</t>
  </si>
  <si>
    <t>RA6</t>
  </si>
  <si>
    <t>飲料販售機重生</t>
  </si>
  <si>
    <t>冒險者小道:集結地
若打爆飲料販售機器，機器於雨天時重生，並提高售價。</t>
  </si>
  <si>
    <t>修理された自販機</t>
  </si>
  <si>
    <t>雨が降ると自販機が修理され飲み物を再度購入することが出来る！※値段も上がります</t>
  </si>
  <si>
    <t>Repaired Vending Machine</t>
  </si>
  <si>
    <t xml:space="preserve">If the vending machine has been destroyed, it will respawn again on rainy days. The price of items it sells will increase.
</t>
  </si>
  <si>
    <t>饮料贩售机重生</t>
  </si>
  <si>
    <t>若打爆自动贩卖机，机器将会在下雨天时修好，并提高售价（天价牛奶警告.jpg）</t>
  </si>
  <si>
    <t>La máquina expendedora de bebidas renace</t>
  </si>
  <si>
    <t>Возрождение автомата с напитками</t>
  </si>
  <si>
    <t>Если вы уничтожите автомат с напитками, он появится снова во время дождя, но цена на напитки выростет.</t>
  </si>
  <si>
    <t>Wiedergeburt des Getränkeautomaten</t>
  </si>
  <si>
    <t>Du kannst den Getränkeautomaten zerstören und bekommst ein paar Getränke</t>
  </si>
  <si>
    <t>Der Getränkeautomat ist ein cheater und belebt sich nach ein paar Tagen, wenn es regnet, wieder</t>
  </si>
  <si>
    <t>Máy bán đồ ven đường được sửa</t>
  </si>
  <si>
    <t>Nếu máy bán đồ ven đường bị phá hủy, nó sẽ xuất hiện lại vào những ngày mưa. Giá bán đồ sẽ tăng</t>
  </si>
  <si>
    <t>Reparando a máquina de vendas</t>
  </si>
  <si>
    <t xml:space="preserve">Se a sua máquina de vendas foi destruida, ela irá resurgir em dias chuvosos. O preço dos itens que ela vende aumentarão.
</t>
  </si>
  <si>
    <t>Memperbaiki Mesin Penjual Otomatis</t>
  </si>
  <si>
    <t>jika mesin telah dihancurkan, itu akan muncul lagi di cuaca hujan. harga barang akan meningkat</t>
  </si>
  <si>
    <t>RA7</t>
  </si>
  <si>
    <t>遊戲機</t>
  </si>
  <si>
    <t>冒險者小道:集結地
於冒險者的街道
向騎士花費$5000購買</t>
  </si>
  <si>
    <t>獲得"JoyStation V"
回家後觸發和開啟與妹妹遊戲的功能</t>
  </si>
  <si>
    <t>JS V</t>
  </si>
  <si>
    <t>冒険者の遊歩道 集結地にいる謎の騎士から5000円で買うことが出来る</t>
  </si>
  <si>
    <t>「JS V」を入手
家に帰ると妹と開封の儀を行い妹と一緒にゲームする事が出来るようになる</t>
  </si>
  <si>
    <t>Game Console</t>
  </si>
  <si>
    <t>Purchase the console from the Weird Knight in Adventurer's Path: Gathering Point for 5000 yen.</t>
  </si>
  <si>
    <t>Obtain "JoyStation V" item.
A scene will trigger when you get home to play with your sister.</t>
  </si>
  <si>
    <t>游戏机</t>
  </si>
  <si>
    <r>
      <rPr>
        <rFont val="Microsoft JhengHei"/>
        <color theme="1"/>
      </rPr>
      <t>于冒险者步道里的骑士花费5000元购买
（如果你恰巧获得了木屋后的5000元可以直接找骑士购买，</t>
    </r>
    <r>
      <rPr>
        <rFont val="Microsoft JhengHei"/>
        <strike/>
        <color theme="1"/>
      </rPr>
      <t>什么回收计划</t>
    </r>
    <r>
      <rPr>
        <rFont val="Microsoft JhengHei"/>
        <color theme="1"/>
      </rPr>
      <t>）</t>
    </r>
  </si>
  <si>
    <t>获得"JoyStation V" 回家后触发和开启与妹妹游戏的功能</t>
  </si>
  <si>
    <t>consola de juegos</t>
  </si>
  <si>
    <t>Игровая консоль</t>
  </si>
  <si>
    <t>Можно приобрести у Загадочного Рыцаря за 5000 йен.</t>
  </si>
  <si>
    <t>После приобретения "JoyStation V" вы сможете играть вместе со своей сестрой по возвращению домой.</t>
  </si>
  <si>
    <t>Spielekonsole</t>
  </si>
  <si>
    <t>Wenn du 5000$ hast, gehe zum Ritter am Adventurer's Path Ort</t>
  </si>
  <si>
    <t>Kaufe die ,,JoyStation V".
Nach der Rückkehr nach Hause wird die Funktion „Zocken mit deiner Schwester“ freigeschaltet und ein Zock-Event wird ausgelöst.</t>
  </si>
  <si>
    <t>Máy chơi game</t>
  </si>
  <si>
    <t>Mua chiếc máy từ Hiệp SĨ Kì Lạ ở Con Đường Nhà Thám Hiểm: Điểm Tập Hợp với giá 5000 Yên</t>
  </si>
  <si>
    <t>Nhận vật phẩm “JoyStation V”.
Một cảnh sẽ được kích hoạt khi bạn về nhà để chơi với em gái.</t>
  </si>
  <si>
    <t>Console(video game)</t>
  </si>
  <si>
    <r>
      <rPr>
        <rFont val="Microsoft JhengHei"/>
        <color theme="1"/>
      </rPr>
      <t xml:space="preserve">Compre o console do Cavaleiro Estranho no </t>
    </r>
    <r>
      <rPr>
        <rFont val="Microsoft JhengHei"/>
        <i/>
        <color theme="1"/>
      </rPr>
      <t>Adventurer's Path: Gathering Point</t>
    </r>
    <r>
      <rPr>
        <rFont val="Microsoft JhengHei"/>
        <color theme="1"/>
      </rPr>
      <t xml:space="preserve"> por 5.000 yen.</t>
    </r>
  </si>
  <si>
    <t>Obtém o item "JoyStation V".
Uma cena ocorrerá em que você vai para casa e jogará com a sua imouto.</t>
  </si>
  <si>
    <t>Game Konsol</t>
  </si>
  <si>
    <t>‎Membeli konsol dari Kesatria Aneh di Adventurer's Path: Gathering Point seharga 5000 yen.</t>
  </si>
  <si>
    <t>Medapat "JoyStation V".
Sebuah adegan akan muncul saat kau pulang dan bermain dengan adik.</t>
  </si>
  <si>
    <t>RA8</t>
  </si>
  <si>
    <t>DLC</t>
  </si>
  <si>
    <t>冒險者小道:集結地
和騎士分享一定數量的見聞可以獲得</t>
  </si>
  <si>
    <t>暗影之魂-DLC
讓妹妹玩遊戲更專注，解鎖額外選項</t>
  </si>
  <si>
    <t>DLC！</t>
  </si>
  <si>
    <t>謎の騎士と一定数見聞を共有するとお返しで貰える</t>
  </si>
  <si>
    <t xml:space="preserve">Shadow Souls-DLCを入手できる！
妹がゲームにもっと集中できるようにし、追加の選択肢を出現させる…
</t>
  </si>
  <si>
    <t>Share a certain amount of insights with the Weird Knight.</t>
  </si>
  <si>
    <r>
      <rPr>
        <rFont val="Microsoft JhengHei"/>
        <color theme="1"/>
      </rPr>
      <t xml:space="preserve">Obtain "Shadow Souls - DLC" item. Makes imouto focus more on the game, allowing extra options to be used when pranking her.
</t>
    </r>
    <r>
      <rPr>
        <rFont val="Microsoft JhengHei"/>
        <b/>
        <color theme="1"/>
      </rPr>
      <t>*Shadow Souls is a video game that imouto plays.</t>
    </r>
  </si>
  <si>
    <t>冒险者小道:集结地 和骑士分享一定数量的见闻可以获得</t>
  </si>
  <si>
    <t>暗影之魂-DLC
让妹妹玩游戏更专注，解锁额外选项</t>
  </si>
  <si>
    <t>Contenido descargable</t>
  </si>
  <si>
    <t>Compartir una cierta cantidad de conocimientos con el Caballero Raro.</t>
  </si>
  <si>
    <t>Поделитесь некоторыми соображениями с Загадочным Рыцарем.</t>
  </si>
  <si>
    <t>Получение предмета: Тени Душ - DLC
Это позволит Имоуто больше играть, добавляя дополнительные возможности для розыгрышей.
*Shadow Souls - это видеоигра, в которую играет Имоуто.</t>
  </si>
  <si>
    <t>Shadow Soul-DLC</t>
  </si>
  <si>
    <t>Chia sẻ một lượng kiến thức nhất định với Hiệp sĩ Kì Lạ.</t>
  </si>
  <si>
    <t>Nhận vật phẩm “Shadow Souls - DLC”.
Shadow Souls - DLC: khiến em gái tập trung hơn vào trò chơi và mở khoá thêm hành động</t>
  </si>
  <si>
    <t>No Adventurer's Path: Gathering Point, divida uma certa quantidade de conhecimento com o Cavaleiro Estranho.</t>
  </si>
  <si>
    <r>
      <rPr>
        <rFont val="Microsoft JhengHei"/>
        <color theme="1"/>
      </rPr>
      <t xml:space="preserve">Obtém o item "Shadow Souls - DLC"
</t>
    </r>
    <r>
      <rPr>
        <rFont val="Microsoft JhengHei"/>
        <b/>
        <color theme="1"/>
      </rPr>
      <t>permite que sua irmã se concentre mais no jogo e desbloqueia opções adicionais.</t>
    </r>
  </si>
  <si>
    <t>Jalur Petualang: Tempat Berkumpul Anda dapat memperoleh [sesuatu] dengan berbagi sejumlah pertemuan tertentu dengan ksatria.</t>
  </si>
  <si>
    <t>Shadow Souls - DLC</t>
  </si>
  <si>
    <t>RA9</t>
  </si>
  <si>
    <t>全部見聞</t>
  </si>
  <si>
    <t>於冒險步道的騎士分享見聞：
怪鳥吼聲/獸肉料理/ 走路菇料理/ 史萊姆料理/被遺棄的森林/打掉連接遺跡的石頭/掉到洞窟/機甲/陪妹妹玩遊戲揉大白兔
數字表示:事件編號</t>
  </si>
  <si>
    <t>分享一定數量見聞後，會獲得「特典T恤」，回家後會看到妹妹穿著的劇情。
(後續更衣功能尚未實裝)</t>
  </si>
  <si>
    <t>見聞を共有する</t>
  </si>
  <si>
    <t>謎の騎士と見聞を一定数共有することでお返しを貰える
怪鳥の咆哮/お肉料理/歩くキノコ料理/スライム料理/捨てられた森最奥のキノコの家/大迷宮に繋がる隠し通路/大迷宮内で穴に落ちる/機甲/ゲーム中に妹のおっぱいを揉む</t>
  </si>
  <si>
    <t>一定数を共有すると
「特典Tシャツ」を貰える
帰宅後に玄関で着替える妹を見る事が出来る
(後続のイベントは未実装)</t>
  </si>
  <si>
    <t>Insights</t>
  </si>
  <si>
    <t>Share your insights with the Weird Knight:
Strange bird screeches / Monster Meat Dishes
/ Walking Mushroom Dishes
/ Slime Dishes / Abandoned Forest / Cave Entrance to Ruins / Falling Down / Mecha / 
Play games with your sister and knead her "white rabbits"</t>
  </si>
  <si>
    <t>After sharing a certain amount of insights, you will receive a T-Shirt.
A special event will trigger once you get home.
(Subsequent events have not yet been implemented)</t>
  </si>
  <si>
    <t>全部见闻</t>
  </si>
  <si>
    <t>于冒险步道的骑士分享见闻： 怪鸟吼声/兽肉料理/ 走路菇料理/ 史莱姆料理/被遗弃的森林/打掉连接遗迹的石头/掉到洞窟/机甲/陪妹妹玩游戏揉大白兔 数字表示:事件编号</t>
  </si>
  <si>
    <t>分享一定数量见闻后，会获得「特典T恤」，回家后会看到妹妹穿着的剧情。 (后续更衣功能尚未实装)</t>
  </si>
  <si>
    <t>Todos los conocimientos</t>
  </si>
  <si>
    <t>Comparte tus conocimientos con el Caballero Raro:
Extraños chillidos de pájaro / Platos de carne de monstruo
/ Platos de seta andante
/ Platos de limo / Bosque abandonado / Entrada de cueva a ruinas / Caerse / Mecha / 
Juega con tu hermana y amasa sus "conejos blancos"</t>
  </si>
  <si>
    <t>Все наблюдения</t>
  </si>
  <si>
    <t>Поделитесь с Загадочным Рыцарем историями: Странный птичий рёв / Блюдо из мяса зверя / Блюдо из ходячего гриба / Блюдо из слизи / Затерянный лес / Разрушение камня, соединяющего руины / Падение в пещеру / Мех / Игра с сестрой / Поглаживание её "большого белого кролика"</t>
  </si>
  <si>
    <t>После того, как вы поделитесь определённым количеством своих впечатлений, вы получите «бонусную футболку», которую увидите в сцене, где ваша сестра наденет её, когда вы вернётесь домой.
(Функция последующей смены одежды пока не реализована.)</t>
  </si>
  <si>
    <t>Gesammelte Beobachtungen</t>
  </si>
  <si>
    <t>Ich teile die Erkenntnisse mit dem Unheimlichen Ritter
Monster-Vögel Schreie / Bestien Fleischgerichte / Gehämmerte Pilzgerichte / Schleimgerichte / Der verlassene Wald / Den Felsen zerstören, der die Ruinen verbindet / In eine Höhle fallen / Mecha / Mit der kleinen Schwester spielen und knete ihre „weißen Kaninchen"</t>
  </si>
  <si>
    <t>Nach dem Teilen einer bestimmten Anzahl an Entdeckungen erhältst du ein "spezielle T-Shirt". Wenn du nach Hause gehst, wirst du sehen, wie deine Schwester das T-Shirt trägt.
(Die Umkleidefunktion ist noch nicht implementiert.)</t>
  </si>
  <si>
    <t>Độ thông thái</t>
  </si>
  <si>
    <t>Chia sẻ kiến thức của bạn với Hiệp sĩ Lạ: 
Tiếng chim kêu kỳ lạ / Món thịt quái vật / Món nấm đi bộ / Món ăn từ slime / Khu Rừng Bỏ Hoang / Lối Vào Hang Đến Tàn Tích/ Ngã / Mecha / Chơi trò chơi với em gái và nhào nặn "thỏ trắng" của em ấy.</t>
  </si>
  <si>
    <t>Sau khi chia sẻ một lượng kiến thức nhất định, bạn sẽ nhận được một chiếc T-shirt
Một sự kiện đặc biệt sẽ kích hoạt khi bạn về nhà.
(Các sự kiện sau chưa được triển khai.)</t>
  </si>
  <si>
    <t>Conhecimento</t>
  </si>
  <si>
    <t>Divida seu conhecimento com o Cavaleiro Estranho:
Guincho do pássaro estranho/ Pratos com Carne de Monstros
/ Pratos com o Cogumelo Andante
/ Pratos com Gosmas(slimes) / Floresta Abandonada / Entrada da Caverna pra Ruína / Caindo / Mecha / 
Jogue jogos com a sua imouto e Amassar "Coelhos Brancos" dela</t>
  </si>
  <si>
    <t>Depois de dividir uma certa quantidade de conhecimento, você irá receber uma camiseta.
Um evento especial ocorrerá um vez que você chegue em casa.
(Eventos subsequentes ainda não foram implementados)</t>
  </si>
  <si>
    <t>Semua Pengamatan</t>
  </si>
  <si>
    <t>Para Ksatria di Jalur Petualangan berbagi pengalaman mereka: Raungan burung aneh / Hidangan daging binatang buas / Hidangan jamur berjalan / Hidangan lendir / Hutan terlantar / Menghancurkan batu yang menghubungkan ke reruntuhan / Jatuh ke dalam gua / Mech / Bermain game dengan adikku dan membelai kelinci putih besarnya
Angka mewakili: Nomor Peristiwa</t>
  </si>
  <si>
    <t>Setelah berbagi sejumlah pengalaman tertentu, Anda akan menerima "kaos bonus," yang akan Anda lihat di adegan di mana saudara perempuan Anda memakainya saat Anda pulang.
(Fitur pergantian pakaian selanjutnya belum diimplementasikan.)</t>
  </si>
  <si>
    <t>RA10</t>
  </si>
  <si>
    <t>隱藏通道</t>
  </si>
  <si>
    <t>冒險者小道:集結地，左上方有個寶箱</t>
  </si>
  <si>
    <t>獲得武器-千鳥、特殊字條劇情</t>
  </si>
  <si>
    <t>RA11</t>
  </si>
  <si>
    <t>隠しアイテム</t>
  </si>
  <si>
    <t>冒険者の道：集合場所、左上に宝箱があります</t>
  </si>
  <si>
    <t>武器とボロボロの紙切れを入手できる</t>
  </si>
  <si>
    <t>Hidden Chest</t>
  </si>
  <si>
    <t>In Adventurer's Path: Gathering Point, there is a treasure chest on the top-left corner of the map</t>
  </si>
  <si>
    <t>Obtain "Chidori" weapon
Obtain a note</t>
  </si>
  <si>
    <t>隐藏通道</t>
  </si>
  <si>
    <t>冒险者小道:集结地，左上方有个宝箱</t>
  </si>
  <si>
    <t>获得武器-千鸟、特殊字条剧情</t>
  </si>
  <si>
    <t>Cofre oculto</t>
  </si>
  <si>
    <t>Скрытый сундук</t>
  </si>
  <si>
    <t>Точка сбора, в верхнем левом углу, находится сундук.</t>
  </si>
  <si>
    <t>Получение оружия: Чидори, сюжетная линия со специальными примечаниями</t>
  </si>
  <si>
    <t>Versteckter Durchgang</t>
  </si>
  <si>
    <t>In Adventurer's Path: Versammlungsplatz ist im oberen linken Bereich eine Truhe</t>
  </si>
  <si>
    <t>Erhalte die Waffe ,,Tausend Vögel" und eine spezielle Notiz mit einer Handlung</t>
  </si>
  <si>
    <t>Rương ẩn</t>
  </si>
  <si>
    <t>Ở Con Đường Nhà Thám Hiểm: Điểm Tập Hợp, có một cái rương kho báu ở góc trái trên cùng của bản đồ</t>
  </si>
  <si>
    <t>Nhận vũ khí “Chidori”.
Nhận một ghi chú.</t>
  </si>
  <si>
    <t>Baú escondido</t>
  </si>
  <si>
    <r>
      <rPr>
        <rFont val="Microsoft JhengHei"/>
        <color theme="1"/>
      </rPr>
      <t xml:space="preserve">No </t>
    </r>
    <r>
      <rPr>
        <rFont val="Microsoft JhengHei"/>
        <i/>
        <color theme="1"/>
      </rPr>
      <t>Adventurer's Path: Gathering Point</t>
    </r>
    <r>
      <rPr>
        <rFont val="Microsoft JhengHei"/>
        <color theme="1"/>
      </rPr>
      <t>, existe um baú escondido na parte de cima à esquerda no canto do mapa.</t>
    </r>
  </si>
  <si>
    <t>Obtém a arma "Chidori"
Obtém uma nota</t>
  </si>
  <si>
    <t>Lorong Tersembunyi</t>
  </si>
  <si>
    <t>Jalur Petualang: Titik Berkumpul, ada peti harta karun di pojok kiri atas.</t>
  </si>
  <si>
    <t>Dapatkan senjata - Chidori, alur cerita catatan khusus</t>
  </si>
  <si>
    <t>於"冒險者小道:集結地"
飲料機右方繩索上去後，下方的大片森林有隱藏通道</t>
  </si>
  <si>
    <t>發現機甲，第二天前往後會消失，此時才可觸發見聞
(後續未實裝)
獲得道具：初號核心</t>
  </si>
  <si>
    <t>RA12</t>
  </si>
  <si>
    <t>隠しMAP</t>
  </si>
  <si>
    <t>冒険者の遊歩道(集結地)にある自販機横のツタを上りそのまま下の森の方を散策すると隠された道があり眠りの地に行くことが出来る</t>
  </si>
  <si>
    <t>見つけた後に眠りの地を離れるとメカが怪しく光る描写があるが…翌日また訪れると何故か姿を消している…
（後続部分は未実装）
アイテム獲得：初号機コア</t>
  </si>
  <si>
    <t xml:space="preserve">Adventurer's Path: Gathering Point
If you climb the rope above the vending machine, there will be a hidden path to the right.
</t>
  </si>
  <si>
    <t>Upon interacting with the giant mecha, it will disappear the next day when you come back. This will trigger a short story..
Obtain "Unit 1 Nexus" equipment</t>
  </si>
  <si>
    <t>在冒险者小道:集结地的自动贩卖机右方藤条上去后，下方的大片森林有隐藏通道</t>
  </si>
  <si>
    <t>发现机甲，第二天前往后会消失，此时才可触发见闻 (后续未实装) 获得道具：初号核心</t>
  </si>
  <si>
    <t>Скрытый проход</t>
  </si>
  <si>
    <t>Поднявшись по лозе справа от торгового автомата и пройдя ниже, упераясь в лес, вы попадете в Затерянный лес через потайной проход.</t>
  </si>
  <si>
    <t>Обнаруженный вами робот исчезнет на следующий день, после чего вы сможете начать столкновение.
(Пока не реализовано)
Получение предмета: Модуль 1 "Нексус"</t>
  </si>
  <si>
    <t>Versteckter Weg</t>
  </si>
  <si>
    <t>Adventurer's Path: Gathering Point Ort, gehe rechts vom Getränkeautomaten die Seilrutsche hoch, und im darunterliegenden großen Wald gibt es einen versteckten Gang</t>
  </si>
  <si>
    <t>Der Mech wird entdeckt, am nächsten Tag wird er verschwinden. Erst dann kann die Entdeckung fortgesetzt werden. (Später implementiert)</t>
  </si>
  <si>
    <t>Con Đường Nhà Thám Hiểm: Điểm Tập Hợp
Nếu bạn trèo lên dây thừng phía bên trên máy bán đồ, sẽ có một lối đi ẩn bên phải</t>
  </si>
  <si>
    <t>Khi tương tác với mecha khổng lồ, nó sẽ biến mất vào ngày hôm sau.
Nhận được trang bị "Unit 1 Nexus"</t>
  </si>
  <si>
    <r>
      <rPr>
        <rFont val="Microsoft JhengHei"/>
        <i/>
        <color theme="1"/>
      </rPr>
      <t>Adventurer's Path: Gathering Point</t>
    </r>
    <r>
      <rPr>
        <rFont val="Microsoft JhengHei"/>
        <color theme="1"/>
      </rPr>
      <t xml:space="preserve">
Se você subir a corda acima da máquina de venda, existe um caminho secreto à direita.
</t>
    </r>
  </si>
  <si>
    <t>Ao interagir com o mecha gigante, ele irá desaparecer no dia seguinte quando você voltar. Será mostrado uma história curta..
Obtém o equipamento  "Nexus Unidade 1".</t>
  </si>
  <si>
    <t>Setelah memanjat tali di sebelah kanan mesin penjual otomatis di "Jalur Petualang: Tempat Berkumpul," sebuah lorong tersembunyi mengarah ke hutan besar di bawahnya.</t>
  </si>
  <si>
    <t>Robot yang kamu temukan akan menghilang keesokan harinya, dan pada saat itu kamu dapat memicu sebuah pertemuan.
(Belum diimplementasikan)
Item yang diperoleh: Evolution Core</t>
  </si>
  <si>
    <t>冒險者小道:林間-1/林間-2/ 獵人小屋</t>
  </si>
  <si>
    <t>Adventurer's Path: Grove - 1/ Grove - 2 /Hunter's Lodge</t>
  </si>
  <si>
    <t>冒险者小道 :林间-1</t>
  </si>
  <si>
    <t>Тропа авантюристов: Лес-1 / Лес-2 / Хижина охотника</t>
  </si>
  <si>
    <t>Trilha do Aventureiro: Bosque - 1/ Bosque - 2 / Cabana do Caçador (Adventurer's Path: Grove - 1/ Grove - 2 /Hunter's Lodge)</t>
  </si>
  <si>
    <t>RA13</t>
  </si>
  <si>
    <t>5000$</t>
  </si>
  <si>
    <t>冒險者小道:林間 
小木屋煙囪後方撿取
(木屋左方斧頭可撿到斧頭)</t>
  </si>
  <si>
    <t>$5000
下雨之後會刷新，但金額會降低。</t>
  </si>
  <si>
    <t>隠された5000円</t>
  </si>
  <si>
    <t>冒険の遊歩道:林間
小屋の煙突の後ろに隠されたお金がある…
（左側にある斧が刺さってる切り株から伐採斧を入手可能）</t>
  </si>
  <si>
    <t>5000円
雨が降ると再度入手可能だが金額は減少します。</t>
  </si>
  <si>
    <t>5000 Yen</t>
  </si>
  <si>
    <t xml:space="preserve">Adventurer's Path: Grove
Behind the chimney of the house, there is a 5000 yen bill.
(The Wooden Axe on the tree trunk can also be looted)
</t>
  </si>
  <si>
    <t>5000 yen
You will be able to receive this again once it rains but the amount is reduced.</t>
  </si>
  <si>
    <t>冒险者小道:林间 小木屋烟囱后方捡取 (木屋左方斧头可捡到斧头)</t>
  </si>
  <si>
    <t>$5000 下雨之后会刷新，但金额会降低。
（无限金币池...?）</t>
  </si>
  <si>
    <t>$5000</t>
  </si>
  <si>
    <t>5000엔</t>
  </si>
  <si>
    <t>모험가의 길 : 작은 숲
나무꾼의 집 굴뚝 뒤쪽에서 5000엔을 얻을 수 있습니다.
(그루터기에서 벌목용 도끼를 가져갈 수 있습니다.)</t>
  </si>
  <si>
    <t xml:space="preserve">
5000엔
비가 오면 다시 얻을 수 있지만 금액이 줄어듭니다.
</t>
  </si>
  <si>
    <t>5000 йен</t>
  </si>
  <si>
    <t>Подберите топор за дымоходом Хижины охотника
(Топор находится слева от хижины)</t>
  </si>
  <si>
    <t>Нахождение 5000 йен. Они будут появляться после дождя, но сумма будет становиться всё меньше.</t>
  </si>
  <si>
    <t>5000 $</t>
  </si>
  <si>
    <t>Wenn du direkt nach dem Start nach links gehst, wirst du schnell eine Holzfällerhütte finden.
(Links von der Hütte liegt eine aufhebbare Axt.)</t>
  </si>
  <si>
    <t>Hinter der Hütte findest du 5000$. An Regentagen wird der Quelle erneut erscheinen, aber mit weniger Geld.</t>
  </si>
  <si>
    <t>5000 Yên</t>
  </si>
  <si>
    <t>Con Đường Nhà Thám Hiểm: Bụi Cây
Đằng sau ống khói của căn nhà, có một tờ giấy 5000 Yên.
(Rìu Gỗ ở trên thân cây cũng có thể được nhặt)</t>
  </si>
  <si>
    <t>5000 Yên
Bạn sẽ có thể nhận lại khi trời mưa nhưng số lượng sẽ bị giảm.</t>
  </si>
  <si>
    <t>5.000 Yen</t>
  </si>
  <si>
    <r>
      <rPr>
        <rFont val="Microsoft JhengHei"/>
        <color theme="1"/>
      </rPr>
      <t>"</t>
    </r>
    <r>
      <rPr>
        <rFont val="Microsoft JhengHei"/>
        <i/>
        <color theme="1"/>
      </rPr>
      <t>Adventurer's Path: Grove</t>
    </r>
    <r>
      <rPr>
        <rFont val="Microsoft JhengHei"/>
        <color theme="1"/>
      </rPr>
      <t>"
Atrás da chaminé na casa, existe uma nota de 5.000 yen.
(O Machado de Madeira no toco de árvore pode ser pilhado)</t>
    </r>
  </si>
  <si>
    <t>5.000 yen
Você será capaz de achar dinheiro novamente uma vez que chova, mas o valor é reduzido.</t>
  </si>
  <si>
    <t>di Adventurer's Path: Grove
Dibalik cerobong asap rumah, disana ada uang 5000 yen.
(kapak kayu di batang pohon juga bisa diambil)</t>
  </si>
  <si>
    <t>5000 yen
Kau bisa mengambil nya lagi setelah hujan tapi jumlahnya akan dikurangi.</t>
  </si>
  <si>
    <t>RA14</t>
  </si>
  <si>
    <t>獵人小屋</t>
  </si>
  <si>
    <t xml:space="preserve">獵人小屋開放探索了，需要打破門才能進入
在皮草堆中可撿到獵人服
在中央櫃子堆中可撿到獵人腰帶
</t>
  </si>
  <si>
    <t>獲得裝備：獵人服、獵人腰帶
*未來預計有Npc</t>
  </si>
  <si>
    <t>狩人の小屋</t>
  </si>
  <si>
    <t>獲物小屋が開放されて探索可能になりました。入るにはドアを壊す必要があります。
毛皮の山の中からハンターの服を拾えます
中央の棚の山の中からハンターのベルトを拾えます</t>
  </si>
  <si>
    <t>ハンターの服、ハンターのベルト
*将来的にNPCが追加される予定です</t>
  </si>
  <si>
    <t>Hunter's Lodge</t>
  </si>
  <si>
    <t xml:space="preserve">The Hunter's Lodge is now accessible. You have to break down the door to enter.
Interacting with the hanging fur robe gives you the Hunter's Robe equipment
Interacting with the cabinet to the right of the hanging fur robe gives you the Hunter's Belt equipment
</t>
  </si>
  <si>
    <t>Obtain "Hunter's Robe" equipment
Obtain "Hunter's Belt" equipment
*NPCs are expected to be added in the future</t>
  </si>
  <si>
    <t>猎人小屋</t>
  </si>
  <si>
    <t xml:space="preserve">猎人小屋开放探索了，需要打破门才能进入
在皮草堆中可捡到猎人服
在中央柜子堆中可捡到猎人腰带
</t>
  </si>
  <si>
    <t>获得装备：猎人服、猎人腰带
*未来预计有Npc</t>
  </si>
  <si>
    <t>Logia del cazador</t>
  </si>
  <si>
    <t>Хижина охотника</t>
  </si>
  <si>
    <t xml:space="preserve">Чтобы войти, нужно выломать дверь.
Одежду охотника можно найти в куче меха.
Пояс охотника можно найти в центральной куче шкафов.
</t>
  </si>
  <si>
    <t>Получение снаряжения: Одежда охотника, Пояс охотника
*В будущем ожидается добавление NPC</t>
  </si>
  <si>
    <t>Jägerhütte - Keller</t>
  </si>
  <si>
    <t>Die Jägerhütte kann nun erkundet werden, die Tür muss zum Betreten aufgebrochen werden.
Im Fellhaufen kann man die Jägerkleidung finden.
Im Haufen der mittleren Schränke kann man den Jägergürtel finden.</t>
  </si>
  <si>
    <t>Erhaltene Ausrüstung: Jägerkleidung, Jägergürtel
In Zukunft sind NPCs geplant</t>
  </si>
  <si>
    <t>Căn Nhà Của Thợ Săn</t>
  </si>
  <si>
    <t>Ngôi Nhà Của Thợ Săn giờ đã được mở. Bạn cần phá cửa để đi vào
Tương tác với áo choàng lông đang treo sẽ cho bạn trang bị Áo Choàng Thợ Săn.
Tương tác với chiếc tủ ở bên phải áo choàng lông treo sẽ cho bạn trang bị Đai Thợ Săn.</t>
  </si>
  <si>
    <t>Nhận trang bị “Áo Choàng Thợ Săn”
Nhận trang bị “Đai Thợ Săn”
*Dự kiến NPC sẽ được thêm vào trong tương lai.</t>
  </si>
  <si>
    <t>Cabana do Caçador</t>
  </si>
  <si>
    <t xml:space="preserve">A Cabana do Caçador agora está acessível. Você tem que quebrar a porta para entrar
Interagir com o robe de pele pendurado te dá o equipamento Robe do Caçador.
Interagir com o armário do lado direto do robe de pele pendurado te dá o equipamento Cinto do Caçador
</t>
  </si>
  <si>
    <t>Obtém o equipamento "Robe do Caçador"
Obtém o equipamento "Cinto do Caçador"
*NPCs estão previstos para serem adicionados no futuro</t>
  </si>
  <si>
    <t>Pondok Pemburu</t>
  </si>
  <si>
    <t xml:space="preserve">Pondok Pemburu kini terbuka untuk dijelajahi; Anda perlu mendobrak pintu untuk masuk.
Anda dapat menemukan Jubah Pemburu di tumpukan bulu.
Anda dapat menemukan Sabuk Pemburu di tumpukan lemari tengah.
</t>
  </si>
  <si>
    <t>Perlengkapan yang Diperoleh: Pakaian Pemburu, Sabuk Pemburu
*NPC diharapkan akan ditambahkan di masa mendatang</t>
  </si>
  <si>
    <t>RA15</t>
  </si>
  <si>
    <t>獵人小屋-地下室</t>
  </si>
  <si>
    <t>中下方木板處有隱藏通道，可以通過爆炸等手段進入
可獲得獵人短刀
並且在右下方的木桶中，可以獲得護刃眾的徽章</t>
  </si>
  <si>
    <t>獲得裝備：獵人短刀、護刃眾的徽章</t>
  </si>
  <si>
    <t>狩人の小屋-地下室</t>
  </si>
  <si>
    <t>下方の木板のところに隠し通路があり、爆発などの手段で入ることができます。
ハンターの短刀を獲得できます。
さらに右下の木桶の中で、護刃の徽章を獲得できます</t>
  </si>
  <si>
    <t>ハンターの短刀、護刃衆の徽章</t>
  </si>
  <si>
    <t>Hunter's Lodge - Basement</t>
  </si>
  <si>
    <t>From the center of the lodge, if you look at the bottom left corner, there is a plank that covers a hidden path on the floor. Use explosives to destroy it. You'll be able to find a Hunter's Dagger and upon breaking the barrel to the bottom right, you'll obtain Bladekeeper's Badge</t>
  </si>
  <si>
    <t>Obtain "Hunter's Dagger" equipment
Obtain "Bladekeeper's Badge" equipment</t>
  </si>
  <si>
    <t>猎人小屋-地下室</t>
  </si>
  <si>
    <t>中下方木板处有隐藏通道，可以通过爆炸等手段进入
可获得猎人短刀
并且在右下方的木桶中，可以获得护刃众的徽章</t>
  </si>
  <si>
    <t>获得装备：猎人短刀、护刃众的徽章</t>
  </si>
  <si>
    <t>Hunter's Lodge - Sótano</t>
  </si>
  <si>
    <t>Хижина охотника - Подвал</t>
  </si>
  <si>
    <t>В центральной комнате есть заколоченный потайной проход, который можно разблокировать кинув в него бомбу.
Там можно найти Охотничий кинжал.
А в бочке в правом нижнем углу находится Значок Хранителя Клинков.</t>
  </si>
  <si>
    <t>Приобретенное снаряжение: Охотничий кинжал, Значок Хранителя Клинков.</t>
  </si>
  <si>
    <t>Jägerhütte – Keller</t>
  </si>
  <si>
    <t>Unterhalb der mittleren Holzplanken gibt es einen versteckten Durchgang, den man z. B. durch Sprengung betreten kann.
Man kann das Jägerkurzschwert erhalten.
Außerdem kann man im Holzfass unten rechts das Abzeichen der Schutzklingen bekommen.</t>
  </si>
  <si>
    <t>Erhaltene Ausrüstung: Jägerkurzschwert, Abzeichen der Schutzklingen</t>
  </si>
  <si>
    <t>Căn Nhà Của Thợ Săn - Tầng Hầm</t>
  </si>
  <si>
    <t>Từ trung tâm căn nhà, nếu bạn nhìn xuống góc dưới bên trái, có một tấm ván che một lối đi bí mật trên sàn. Hãy dùng thuốc nổ để phá hủy nó. Bạn sẽ tìm được Dao Thợ Săn và khi phá thùng ở góc dướii bên phải, bạn sẽ nhận được Huy Hiệu Thủ Hộ Kiếm.</t>
  </si>
  <si>
    <t>Nhận trang bị “Dao Thợ Săn”
Nhận trang bị “Huy Hiệu Thủ Hộ Kiếm”.</t>
  </si>
  <si>
    <t>Cabana do Caçador - Porão</t>
  </si>
  <si>
    <t>Do centro da cabana, se você olhar para o canto de baixo à esquerda, existe um tábua que cobre uma passagem secreta no chão. Use explosivos para a destruir. Você será capaz de achar a Adaga do Caçador e quando quebrar o barril na parte de baixo à direta, você irá obter o Emblema dos Guardiões das Lâminas</t>
  </si>
  <si>
    <t>Obtém a arma "Adaga do Caçador"
Obtém o equipamento "Emblema dos Guardiões das Lâminas"</t>
  </si>
  <si>
    <t>Pondok Pemburu - Ruang Bawah Tanah</t>
  </si>
  <si>
    <t>Terdapat lorong tersembunyi di bagian tengah bawah papan kayu, yang dapat diakses melalui ledakan atau cara lain.
Di sana Anda dapat memperoleh Belati Pemburu.
Dan di dalam tong di sudut kanan bawah, Anda dapat menemukan Lencana Pedang Penjaga.</t>
  </si>
  <si>
    <t>Peralatan yang diperoleh: Belati Pemburu, Lencana Master Pedang Penjaga</t>
  </si>
  <si>
    <t>RA16</t>
  </si>
  <si>
    <t>冒險者小道:林間 右下角樹林，有隱藏物品</t>
  </si>
  <si>
    <t>獲得道具</t>
  </si>
  <si>
    <t>冒険者の道：森の右下隅に隠されたアイテム</t>
  </si>
  <si>
    <t>アイテムを入手できる</t>
  </si>
  <si>
    <t xml:space="preserve">Adventurer's Path: Grove
On the bottom-right side of the map, there is a hidden chest.
</t>
  </si>
  <si>
    <t>Obtain random items</t>
  </si>
  <si>
    <t>冒险者小道:林间 右下角树林，有隐藏物品</t>
  </si>
  <si>
    <t>获得道具</t>
  </si>
  <si>
    <t>Cofre oculto 1</t>
  </si>
  <si>
    <t>«Тропа авантюристов: Лес»: Скрытый проход и сундук в правом нижнем углу леса.</t>
  </si>
  <si>
    <t>Получение случайного предмета</t>
  </si>
  <si>
    <t>Adventurer's Path: Grove: Wald gibt es rechts einen Gang nach unten, in dem versteckte Items zu finden sind.</t>
  </si>
  <si>
    <t xml:space="preserve">Erhalte Gegenstände </t>
  </si>
  <si>
    <t>Con Đường Nhà Thám Hiểm: Bụi Cây
Ở góc phải bên dưới bản đồ. có một cái rương ẩn</t>
  </si>
  <si>
    <t>Nhận vật phẩm ngẫu nhiên.</t>
  </si>
  <si>
    <r>
      <rPr>
        <rFont val="Microsoft JhengHei"/>
        <i/>
        <color theme="1"/>
      </rPr>
      <t>Adventurer's Path: Grove</t>
    </r>
    <r>
      <rPr>
        <rFont val="Microsoft JhengHei"/>
        <color theme="1"/>
      </rPr>
      <t xml:space="preserve">
No lado direito em baixo do mapa, existe um baú escondido.
</t>
    </r>
  </si>
  <si>
    <t>Obtém um item aleatório</t>
  </si>
  <si>
    <t>Jalur Petualang: Item tersembunyi di pojok kanan bawah hutan.</t>
  </si>
  <si>
    <t>Dapatkan barang-barang</t>
  </si>
  <si>
    <t>RA17</t>
  </si>
  <si>
    <t>隱藏道具</t>
  </si>
  <si>
    <t>冒險者小道:林間-2，中間隱藏通道的採集點</t>
  </si>
  <si>
    <t>獲得道具：塔羅牌-節制
(雨天刷新)</t>
  </si>
  <si>
    <t>隠されたアイテム</t>
  </si>
  <si>
    <t>冒険者の道：森-2、中央の隠し通路の集合場所</t>
  </si>
  <si>
    <t>入手アイテム：タロットカード - 節制 （雨の日に回復）</t>
  </si>
  <si>
    <t>Hidden item</t>
  </si>
  <si>
    <t>In Adventurer's Path: Grove - 2, there is a small hidden path that leads to a chest with a glowing spot that you can loot</t>
  </si>
  <si>
    <t xml:space="preserve">Obtain "Temperance" tarot card item
(Refreshes on rainy days)
</t>
  </si>
  <si>
    <t>冒险者小道:林间-2，中间隐藏通道的采集点</t>
  </si>
  <si>
    <t>获得道具：塔罗牌-节制
(雨天刷新)</t>
  </si>
  <si>
    <t>Objetos ocultos</t>
  </si>
  <si>
    <t>Скрытый предмет</t>
  </si>
  <si>
    <t>«Тропа авантюристов: Лес-2»: есть небольшая скрытая тропинка, ведущая к сундуку со светящимся пятном, которое можно обыскать.</t>
  </si>
  <si>
    <t xml:space="preserve">Получите карту Таро «Умеренность»
(Обновляется в дождливые дни)
</t>
  </si>
  <si>
    <t>Versteckter Gegenstand</t>
  </si>
  <si>
    <t>In Adventurer's Path: Grove - 2 gibt es einen kleinen versteckten Weg, der zu einer Truhe mit einem leuchtenden Punkt führt, den du plündern kannst.</t>
  </si>
  <si>
    <t>Gegenstand "Temperanz"-Tarotkarte erhalten
(Auf regnerischen Tagen wird sie erneuert)</t>
  </si>
  <si>
    <t xml:space="preserve">Vật phẩm ẩn </t>
  </si>
  <si>
    <t xml:space="preserve">Ở Con Đường Mạo Hiểm Giả: Bụi Cây - 2, có một lối đi bí mật dẫn đến một chiếc rương với một điểm phát sáng mà bạn có thể nhặt được </t>
  </si>
  <si>
    <t>Nhận được vật phẩm "Temperance (Hòa Hợp)"
*Làm mới vào ngày mưa</t>
  </si>
  <si>
    <t>Item Escondido</t>
  </si>
  <si>
    <r>
      <rPr>
        <rFont val="Microsoft JhengHei"/>
        <i/>
        <color theme="1"/>
      </rPr>
      <t>Adventurer's Path: Grove-2</t>
    </r>
    <r>
      <rPr>
        <rFont val="Microsoft JhengHei"/>
        <color theme="1"/>
      </rPr>
      <t>, entrada na floresta à direita em uma passagem escondida no meio.</t>
    </r>
  </si>
  <si>
    <t>Obtém o item: Carta de tarô - A Temperança (Renova todo tempo chuvoso)</t>
  </si>
  <si>
    <t>Barang tersembunyi</t>
  </si>
  <si>
    <t>Jalur Petualang: Hutan-2, titik berkumpul di lorong tersembunyi di tengah</t>
  </si>
  <si>
    <t>Item yang Diperoleh: Kartu Tarot - Kesederhanaan
(Diperbarui pada hari hujan)</t>
  </si>
  <si>
    <t>RA18</t>
  </si>
  <si>
    <t>前往廢墟森林(箱庭的白兔)</t>
  </si>
  <si>
    <t>於"冒險者小道:林間-2"，繞過公告牌子後，通過森林可以抵達"廢墟森林(箱庭的白兔)"</t>
  </si>
  <si>
    <t>抵達"廢墟森林"
(箱庭的白兔)</t>
  </si>
  <si>
    <t>廃墟の森へ向かう（箱庭の白兎）</t>
  </si>
  <si>
    <t>「冒険者の小道：林間-2」にて、掲示板を回り込んだ後、森を抜けると「廃墟の森（箱庭の白兎）」に到達できる</t>
  </si>
  <si>
    <t>『廃墟の森』に到達
（箱庭の白うさぎ）</t>
  </si>
  <si>
    <t>Ruined Forest</t>
  </si>
  <si>
    <t>In Adventurer's Path: Grove - 2, you can destroy the signpost which will give you access to the Forest of Ruins map</t>
  </si>
  <si>
    <t>Will arrive at Forest oF Ruins</t>
  </si>
  <si>
    <t>前往废墟森林</t>
  </si>
  <si>
    <t>于"冒险者小道:林间-2"，绕过公告牌子后，通过森林可以抵达"废墟森林"</t>
  </si>
  <si>
    <t>抵达"废墟森林"</t>
  </si>
  <si>
    <t>Dirígete al Bosque de las Ruinas</t>
  </si>
  <si>
    <t>Прибытие в Лес у руин.</t>
  </si>
  <si>
    <t>Из локации «Тропа авантюристов: Лес-2»: Минуя Загадочного рыцаря, можно пройти через лес в локацию «Лес у руин».</t>
  </si>
  <si>
    <t>Прибытие в «Лес у руин»</t>
  </si>
  <si>
    <t>Geh in den Ruinenwald.</t>
  </si>
  <si>
    <t>Im "Adventurer's Path: Grove - 2“: Nachdem du das Anschlagbrett zerstört hast, kannst du durch den Wald zur "Ruinen-Wald" gelangen.</t>
  </si>
  <si>
    <t>Du erreichst den Ruinenwald.
(Forest oF Ruins)</t>
  </si>
  <si>
    <t>Khu rừng tàn tích</t>
  </si>
  <si>
    <t>Trong Con Đường Nhà Thám Hiểm: Tượng Đài, bạn có thể phá hủy tấm bảng chỉ dẫn để mở lối đến khu vực Khu Rừng Đổ Nát</t>
  </si>
  <si>
    <t>Sẽ đến được Khu Rừng Của Tàn Tích</t>
  </si>
  <si>
    <t>Forest of Ruins</t>
  </si>
  <si>
    <r>
      <rPr>
        <rFont val="Microsoft JhengHei"/>
        <color theme="1"/>
      </rPr>
      <t xml:space="preserve">Na </t>
    </r>
    <r>
      <rPr>
        <rFont val="Microsoft JhengHei"/>
        <i/>
        <color theme="1"/>
      </rPr>
      <t>Adventurer's Path: Grove - 2</t>
    </r>
    <r>
      <rPr>
        <rFont val="Microsoft JhengHei"/>
        <color theme="1"/>
      </rPr>
      <t>, Você pode destruir a sinalização que te dará acesso ao mapa Floresta da Ruína (</t>
    </r>
    <r>
      <rPr>
        <rFont val="Microsoft JhengHei"/>
        <i/>
        <color theme="1"/>
      </rPr>
      <t>Forest of Ruins).</t>
    </r>
  </si>
  <si>
    <r>
      <rPr>
        <rFont val="Microsoft JhengHei"/>
        <color theme="1"/>
      </rPr>
      <t>Vai chegar à Floresta da Ruína (</t>
    </r>
    <r>
      <rPr>
        <rFont val="Microsoft JhengHei"/>
        <i/>
        <color theme="1"/>
      </rPr>
      <t>Forest of Ruins</t>
    </r>
    <r>
      <rPr>
        <rFont val="Microsoft JhengHei"/>
        <color theme="1"/>
      </rPr>
      <t>).</t>
    </r>
  </si>
  <si>
    <t>Pergilah ke Hutan Reruntuhan</t>
  </si>
  <si>
    <t>Dari "Jalur Petualang: Hutan-2", setelah melewati papan pengumuman, Anda dapat mencapai "Hutan Reruntuhan" dengan melewati hutan.</t>
  </si>
  <si>
    <t>Tiba di "Hutan Reruntuhan"</t>
  </si>
  <si>
    <t>冒險者小道:紀念碑</t>
  </si>
  <si>
    <t>Adventurer's Path: Monument</t>
  </si>
  <si>
    <t>冒险者小道:纪念碑</t>
  </si>
  <si>
    <t>Тропа авантюристов: Памятник</t>
  </si>
  <si>
    <t>Caminho do Aventureiro: Monumento (Adventurer's Path: Monument)</t>
  </si>
  <si>
    <t>RA19</t>
  </si>
  <si>
    <t>鴨鴨</t>
  </si>
  <si>
    <t>冒險者小道:紀念碑
在右邊的岸邊可以撿到
*若你從遺跡之森-4的瀑布被沖到此處，會觸發另一段對話。</t>
  </si>
  <si>
    <t>獲得"橡膠鴨"道具
可於洗澡時可放入</t>
  </si>
  <si>
    <t>ゴム製の黄色いアヒル</t>
  </si>
  <si>
    <t>冒険の遊歩道:記念碑 右側の階段を下りた先にある水場で拾うことが出来る
※遺跡の森-4の橋付近から落ち滝から流されるとここで別の会話が発生します。</t>
  </si>
  <si>
    <t>「ゴム製アヒル」を入手する
入浴時にアヒルを風呂に持ち込むことが出来る</t>
  </si>
  <si>
    <t>Quack Quack</t>
  </si>
  <si>
    <t>Adventurer's Pathway 2
A rubber duck can be found floating on near the shore.
Another dialogue will be triggered if you were washed here by the waterfall from Forest of Ruins 4.</t>
  </si>
  <si>
    <t>Obtain "Rubber Ducky" item.
This can be placed on the bathtub.</t>
  </si>
  <si>
    <t>鸭鸭</t>
  </si>
  <si>
    <t>冒险者小道:纪念碑 在右边的岸边可以捡到 *若你从遗迹之森-4的瀑布被冲到此处，会触发另一段对话。</t>
  </si>
  <si>
    <t>获得"橡胶鸭"道具 可于洗澡时可放入</t>
  </si>
  <si>
    <t>Pato de Goma</t>
  </si>
  <si>
    <t>Sendero del aventurero 2. Un pato de goma puede ser encontrado a las orillas del rio, otro dialogo se activara si fuiste arrastrado por la corriente hasta aqui</t>
  </si>
  <si>
    <t>Уточка</t>
  </si>
  <si>
    <t>Её можно найти на правом берегу.
*Если вас принесло туда водопадом в «Лесу у руин - 4», запустится другой диалог.</t>
  </si>
  <si>
    <t>Получение предмета: Резиновая уточка.
Её можно поместить в ванну.</t>
  </si>
  <si>
    <t>Gummiente</t>
  </si>
  <si>
    <t>Adventurer's Path:Monument  (R9)
Du kannst es am rechten Ufer finden.
*Falls du vom Wasserfall im Wald der Ruinen 4 hierher gespült wirst, wird ein spezieller Dialog ausgelöst.:</t>
  </si>
  <si>
    <t>Gegenstand "Quietscheente" erhalten
Kann beim Baden ins Wasser gelegt werden</t>
  </si>
  <si>
    <t>Quạc Quạc</t>
  </si>
  <si>
    <t>Con Đường Nhà Thám Hiểm 2
Một con vịt cao su có thể được tìm thấy đang nổi gần bở.
Một cuộc nói chuyện khác sẽ xảy ra nếu bạn bị cuốn trôi xuống đây bằng thác nước từ Khu Rừng Của Tàn Tích 4</t>
  </si>
  <si>
    <t>Nhận vật phẩm “Vịt Cao Su”.
Có thể đặt nó trong bồn tắm.</t>
  </si>
  <si>
    <r>
      <rPr>
        <rFont val="Microsoft JhengHei"/>
        <i/>
        <color theme="1"/>
      </rPr>
      <t>Adventurer's Pathway 2</t>
    </r>
    <r>
      <rPr>
        <rFont val="Microsoft JhengHei"/>
        <color theme="1"/>
      </rPr>
      <t xml:space="preserve">
Um pato de borracha pode ser achado flutuando próximo da margem do rio.
Outro diálogo ocorrerá se você for levado pela correnteza da cachoeira da </t>
    </r>
    <r>
      <rPr>
        <rFont val="Microsoft JhengHei"/>
        <i/>
        <color theme="1"/>
      </rPr>
      <t>Forest of Ruins 4</t>
    </r>
    <r>
      <rPr>
        <rFont val="Microsoft JhengHei"/>
        <color theme="1"/>
      </rPr>
      <t>.</t>
    </r>
  </si>
  <si>
    <t>Obtém o item "Pato de Borracha".
Ele pode ser colocado na banheira.</t>
  </si>
  <si>
    <t>di Adventurer's Pathway 2
bebek karet bisa ditemukan mengambang di dekat danau.
Dialog lain akan terpicu jika kau menyucinya di air terjun di Forest of Ruins 4.</t>
  </si>
  <si>
    <t>Mendapat "Bebek Karet". bisa ditaruh di bathtub.</t>
  </si>
  <si>
    <t>RA20</t>
  </si>
  <si>
    <t>冒險者小道:紀念碑，下方的石碑後方，有隱藏道具</t>
  </si>
  <si>
    <t>獲得道具和武器-熔岩杖</t>
  </si>
  <si>
    <t>冒険者の遊歩道：記念碑の下の方にある大きな石碑の裏側に隠しアイテムがあります</t>
  </si>
  <si>
    <t>武器とアイテムを入手できる</t>
  </si>
  <si>
    <t>Adventurer's Path: Monument
Behind the large monument, there are hidden items you can loot.</t>
  </si>
  <si>
    <t>Obtain random items.
Obtain "Lava Staff" weapon</t>
  </si>
  <si>
    <t xml:space="preserve">冒险者小道:纪念碑，下方的石碑后方，有隐藏道具
</t>
  </si>
  <si>
    <t>获得道具和武器-熔岩杖</t>
  </si>
  <si>
    <t>За памятником внизу спрятан предмет.</t>
  </si>
  <si>
    <t>Получение случайного предмета.
Получение оружия: Лавовый посох.</t>
  </si>
  <si>
    <t>Adventurer's Pathway 2: 
Hinter dem Stein unten gibt es ein verstecktes Item.</t>
  </si>
  <si>
    <t>Erhalte ein Item und die Waffe ,,Lavastab"</t>
  </si>
  <si>
    <t>Con Đường Nhà Thám Hiểm 2
Sau đài tưởng niệm lớn, có những vật phẩm ẩn mà bạn có thể nhặt</t>
  </si>
  <si>
    <t>Nhận vật phẩm ngẫu nhiên.
Nhận vũ khí “Trượng Dung Nham”.</t>
  </si>
  <si>
    <r>
      <rPr>
        <rFont val="Microsoft JhengHei"/>
        <i/>
        <color theme="1"/>
      </rPr>
      <t>Adventurer's Path: Monument</t>
    </r>
    <r>
      <rPr>
        <rFont val="Microsoft JhengHei"/>
        <color theme="1"/>
      </rPr>
      <t xml:space="preserve">
Atrás do grande monumento, existe um baú escondido que pode ser saqueado.</t>
    </r>
  </si>
  <si>
    <t>Obtém um item aleatório.
Obtém a arma "Cajado de Lava"</t>
  </si>
  <si>
    <t>Jalur Petualang: Di balik monumen di bawah ini, terdapat sebuah item tersembunyi.</t>
  </si>
  <si>
    <t>Dapatkan item dan senjata - Tongkat Lava</t>
  </si>
  <si>
    <t>冒險者小道:深淵之門</t>
  </si>
  <si>
    <t>In front of the ruins gate</t>
  </si>
  <si>
    <t>冒险者小道:深渊之门</t>
  </si>
  <si>
    <t>Тропа авантюристов: Врата Бездны</t>
  </si>
  <si>
    <t>Em frente ao portão das ruínas (In front of the ruins gate)</t>
  </si>
  <si>
    <t>RA21</t>
  </si>
  <si>
    <t>山之洞窟</t>
  </si>
  <si>
    <t>在遺跡門前
往右下方尋找一塊石頭並且清除
裡面有一條個地道，並且可以撿到道具</t>
  </si>
  <si>
    <t>門的後方須從開發中區域(礦坑)-2，突破後才可以自由進出</t>
  </si>
  <si>
    <t>山の洞窟…</t>
  </si>
  <si>
    <t xml:space="preserve">
遺跡の入り口の
右下にある石を探して壊すことが出来る！
中には隠し通路があり使えるものもあるかもしれない…
</t>
  </si>
  <si>
    <t>門の奥へ行くには、開発中エリア（鉱坑）-2を攻略する必要があり、その後に自由に出入りできるようになる</t>
  </si>
  <si>
    <t>Mysterious Cave</t>
  </si>
  <si>
    <t>Near the abyss, there is a rock that you can destroy on the right-hand side of the map. There will be an entrance to a cave where you can collect some items.</t>
  </si>
  <si>
    <t>The door in this cave can only be accessed once the rocks in the Excavation Site (Mine Tunnels - 2) gets destroyed</t>
  </si>
  <si>
    <t>不知名地洞</t>
  </si>
  <si>
    <t>在遗迹门前 往右下方寻找一块石头并且清除 里面有一条个地道，并且可以捡到道具</t>
  </si>
  <si>
    <t>门的后方须从开发中区域(矿坑)-2，突破后才可以自由进出</t>
  </si>
  <si>
    <t>Cueva desconocida</t>
  </si>
  <si>
    <t>Пещера</t>
  </si>
  <si>
    <t>Перед входом в руины направьтесь в нижний правый угол и найдите камень, который нужно убрать. Внутри вы найдете несколько туннелей, где можно найти предметы.</t>
  </si>
  <si>
    <t>В зону за дверью можно свободно входить и выходить только после прорыва через неосвоенную территорию (шахту)-2.</t>
  </si>
  <si>
    <t>Unbekannte Höhle</t>
  </si>
  <si>
    <t>In front of the ruins gate Ort:
Suche unten rechts nach einem Stein und zerstöre ihn.
Darunter befindet sich ein geheimer Tunnel, in dem du ein Item finden kannst.</t>
  </si>
  <si>
    <t>Der Inhalt ist noch nicht implementiert</t>
  </si>
  <si>
    <t>Cái hang bí ẩn</t>
  </si>
  <si>
    <t>Ở gần Vực Thẳm, có một cục đá bạn có thề phá hủy ở bên tay phải của khu vực. Sẽ có một lối vào hang nơi bạn có thể nhặt được một vài vật phẩm.</t>
  </si>
  <si>
    <t>Chỉ có thể đi vào cánh cửa trong hang này khi những tảng đá ở Khu Khai Quật (Đường Hầm Mỏ - 2) bị phá hủy</t>
  </si>
  <si>
    <t>Caverna Misteriosa</t>
  </si>
  <si>
    <t>Próximo ao Abismo, existe uma pedra que você pode destruir no lado direito do mapa. Aparecerá uma entrada para uma caverna onde você pode coletar alguns itens.</t>
  </si>
  <si>
    <r>
      <rPr>
        <rFont val="Microsoft JhengHei"/>
        <color theme="1"/>
      </rPr>
      <t>A porta para a caverna só pode ser acessado uma vez que a pedra do Área de Escavação(</t>
    </r>
    <r>
      <rPr>
        <rFont val="Microsoft JhengHei"/>
        <i/>
        <color theme="1"/>
      </rPr>
      <t>Mine Tunnels - 2</t>
    </r>
    <r>
      <rPr>
        <rFont val="Microsoft JhengHei"/>
        <color theme="1"/>
      </rPr>
      <t>)  for destruída</t>
    </r>
  </si>
  <si>
    <t>Gua yang tidak dikenal</t>
  </si>
  <si>
    <t>Di depan pintu masuk reruntuhan, pergilah ke kanan bawah dan temukan batu untuk disingkirkan. Di dalamnya, terdapat beberapa terowongan tempat Anda dapat menemukan berbagai barang.</t>
  </si>
  <si>
    <t>Area di balik pintu hanya dapat diakses dan ditinggalkan dengan bebas setelah menembus area yang belum dikembangkan (tambang)-2.</t>
  </si>
  <si>
    <t>沉眠之所...(尼伯龍根)</t>
  </si>
  <si>
    <t>Land of Slumber (Nibelungen)</t>
  </si>
  <si>
    <t>沉眠之所…(尼伯龙根)</t>
  </si>
  <si>
    <t>Место отдыха... (Нибелунген)</t>
  </si>
  <si>
    <t>Terra do Sono (Land of Slumber (Nibelungen))</t>
  </si>
  <si>
    <t>遺跡之森-1~4</t>
  </si>
  <si>
    <t>Forest of Ruins - 1 ~ 4</t>
  </si>
  <si>
    <t>遗迹之森-1~4</t>
  </si>
  <si>
    <t>Лес у руин-1~4</t>
  </si>
  <si>
    <t>Floresta de Ruínas - 1 ~ 4 (Forest of Ruins - 1 ~ 4)</t>
  </si>
  <si>
    <t>RB1</t>
  </si>
  <si>
    <t>"遺跡之森-4"右下角樹林，有隱藏物品</t>
  </si>
  <si>
    <t>「遺跡の森-4」右下の森に隠しアイテムがある</t>
  </si>
  <si>
    <t xml:space="preserve">Forest of Ruins 4
There is a hidden chest on the bottom-right corner
(Note: Please refer to the Map section of this document)
</t>
  </si>
  <si>
    <t>"遗迹之森-4"右下角树林，有隐藏物品</t>
  </si>
  <si>
    <t>Se obtienen objetos random</t>
  </si>
  <si>
    <t>В правом нижнем углу спрятан сундук.
(Примечание: Пожалуйста, ознакомьтесь с разделом "Map" в этом документе)</t>
  </si>
  <si>
    <t>Forest of Ruins 4:
Gibt es im unteren rechten Bereich des Waldes ein verstecktes Item</t>
  </si>
  <si>
    <t>Bekomme  einen Gegenständ</t>
  </si>
  <si>
    <t>Khu Rừng Của Tàn Tích 4
Có một cái rương ẩn ở phía bên phải góc dưới.
(Ghi chú: xin hãy xem phần Map của tài liệu này)</t>
  </si>
  <si>
    <r>
      <rPr>
        <rFont val="Microsoft JhengHei"/>
        <i/>
        <color theme="1"/>
      </rPr>
      <t>Forest of Ruins 4</t>
    </r>
    <r>
      <rPr>
        <rFont val="Microsoft JhengHei"/>
        <color theme="1"/>
      </rPr>
      <t xml:space="preserve">
Existe um baú escondido no canto debaixo à direita
(Nota: Por favor, referenciar a seção do mapa nesse documento)
</t>
    </r>
  </si>
  <si>
    <t>Obtém um item aleatório.</t>
  </si>
  <si>
    <t>Terdapat sebuah item tersembunyi di hutan di pojok kanan bawah "Hutan Reruntuhan-4".</t>
  </si>
  <si>
    <t>RB2</t>
  </si>
  <si>
    <t>連結遺跡洞口</t>
  </si>
  <si>
    <t>遺跡之森-4
地圖中央的岩石清除完畢</t>
  </si>
  <si>
    <t>連結至遺跡地圖
見聞</t>
  </si>
  <si>
    <t>開発中エリアに繋がる洞窟</t>
  </si>
  <si>
    <t>遺跡の森-4
入り口を塞いでいた大きな岩がなくなっており入ることが出来る</t>
  </si>
  <si>
    <t>開発エリア内を探索できる
「トロッコに乗って洞窟内を走り回ろう！」</t>
  </si>
  <si>
    <t>Cave entrance to the Ruins</t>
  </si>
  <si>
    <t>Forest of Ruins 4
There is a cave entrance blocked by rocks. Destroy the rocks to gain access.</t>
  </si>
  <si>
    <t>Insight: Gain insight regarding the secret entrance to the Ruins Labyrinth.</t>
  </si>
  <si>
    <t xml:space="preserve">连结遗迹洞口
</t>
  </si>
  <si>
    <t>遗迹之森-4 地图中央的岩石清除完毕</t>
  </si>
  <si>
    <t>连结至遗迹地图 见闻</t>
  </si>
  <si>
    <t>Entrada de la cueva a las ruinas</t>
  </si>
  <si>
    <t>"Bosque de Ruinas-4'' Hay una entrada por la cueva a las ruinas, se pueden destruir las rocas para tener acceso.</t>
  </si>
  <si>
    <t>Вход в пещеру, ведущую к руинам</t>
  </si>
  <si>
    <t>Вход в пещеру завален камнями. Разрушьте камни, чтобы получить доступ.</t>
  </si>
  <si>
    <t>Скрытый вход в Лабиринт руин.</t>
  </si>
  <si>
    <t>Versteckter Felseingang im Wald der Ruinen 4</t>
  </si>
  <si>
    <t>Zerstöre den Felsen in der Kartenmitte von Forest of Ruins 4 (R17), um den versteckten Pfad freizulegen</t>
  </si>
  <si>
    <t>Erkenntnis: Erhalte Einsicht über den geheimen Eingang zum Ruins Labyrinth.</t>
  </si>
  <si>
    <t>Lối vào Tàn Tích bằng hang</t>
  </si>
  <si>
    <t>Khu Rừng Của Tàn Tích 4
Có một cái hang bị chặn bởi đá. Phá chỗ đá để đi vào</t>
  </si>
  <si>
    <t>Tầm nhìn: Nhận được thông tin về lối vào bí mật đến Mê Cung Tàn Tích.</t>
  </si>
  <si>
    <t>Entrada da caverna para as Ruínas</t>
  </si>
  <si>
    <r>
      <rPr>
        <rFont val="Microsoft JhengHei"/>
        <i/>
        <color theme="1"/>
      </rPr>
      <t>Forest of Ruins 4</t>
    </r>
    <r>
      <rPr>
        <rFont val="Microsoft JhengHei"/>
        <color theme="1"/>
      </rPr>
      <t xml:space="preserve">
Existe uma entrada de uma caverna bloqueada por pedras. Destrua as pedras para obter acesso.</t>
    </r>
  </si>
  <si>
    <t>Conhecimento: Ganhe conhecimento sobre a entrada secreta do labirinto da ruína.</t>
  </si>
  <si>
    <t>Menghubungkan pintu masuk ke reruntuhan</t>
  </si>
  <si>
    <t>Bebatuan di tengah peta Hutan Reruntuhan - 4 telah dibersihkan.</t>
  </si>
  <si>
    <t>Tautan ke Peta Reruntuhan
Pengamatan</t>
  </si>
  <si>
    <t>廢墟森林(箱庭的白兔)</t>
  </si>
  <si>
    <t>废墟森林(箱庭的白兔)</t>
  </si>
  <si>
    <t>Лес у руин (Зона босса Кролика-Горничной)</t>
  </si>
  <si>
    <t>Floresta Arruinada (Ruined Forest)</t>
  </si>
  <si>
    <t>RB3</t>
  </si>
  <si>
    <t>女僕兔BOSS區域-1</t>
  </si>
  <si>
    <t>於"廢墟森林"透過特殊移動手段，可以抵達女僕兔的BOSS區域</t>
  </si>
  <si>
    <t>抵達BOSS區域
P.S.例如：怪鳥的羽毛可以進行漂浮</t>
  </si>
  <si>
    <t>メイドバニーBOSSエリア-1</t>
  </si>
  <si>
    <t>『廃墟の森』で特殊な移動手段を使うことで、メイドバニーのBOSS区域に到達できる</t>
  </si>
  <si>
    <t>BOSS区域に到達
P.S. 例：怪鳥の羽は浮遊に使用できます</t>
  </si>
  <si>
    <t>Maid Rabbit Boss Area - 1</t>
  </si>
  <si>
    <t>In the Ruined Forest map, you can reach the Maid Rabbit's Boss Area by using special movement methods</t>
  </si>
  <si>
    <t>Will arrive at the Maid Rabbit Boss Area
PS: For example, you can use the weapon "Weird Feather" to float around the hole</t>
  </si>
  <si>
    <t>女仆兔BOSS区域-1</t>
  </si>
  <si>
    <t>于"废墟森林"透过特殊移动手段，可以抵达女仆兔的BOSS区域</t>
  </si>
  <si>
    <t xml:space="preserve">抵达BOSS区域 P.S.例如：怪鸟的羽毛可以进行漂浮
</t>
  </si>
  <si>
    <t>Área BOSS de Maid Bunny -1</t>
  </si>
  <si>
    <t>Зона босса Кролика-Горничной - 1</t>
  </si>
  <si>
    <t>Добраться до локации с боссом можно используя особый способ передвижения в «Лесу у руин».</t>
  </si>
  <si>
    <t>Зона с боссом.
P.s. Например: Перо можно использовать для левитации.</t>
  </si>
  <si>
    <t>Bereich der Hasenmädchen Magd BOSS-1</t>
  </si>
  <si>
    <t>Im "Ruinenwald": Mit speziellen Bewegungsmethoden kannst du zum Bossbereich der Hasenmädchenmagd gelangen.</t>
  </si>
  <si>
    <t>Ankunft im Bossbereich
Ps. Mit den Federn des Monstervogels kann man schweben.</t>
  </si>
  <si>
    <t>Khu vực boss Thỏ Hầu Gái - 1</t>
  </si>
  <si>
    <t>Trong bản đồ Khu Rừng Đổ Nát, bạn có thể đến Khu Vực Boss Thỏ Hầu Gái bằng cách sử dụng những phương pháp di chuyển đặc biệt.</t>
  </si>
  <si>
    <t>Sẽ đến được Khu Vực Trùm Thỏ Hầu Gái.
P/S: Ví dụ, bạn có thể dùng vũ khí “Lông Vũ Kỳ Lạ” để bay lơ lửng quanh cái hố.</t>
  </si>
  <si>
    <t xml:space="preserve"> Área da Chefe das Coelhinhas Empregadas - 1</t>
  </si>
  <si>
    <t>No mapa Floresta da Ruína, você pode chegar na  Área da Chefe das Coelhinhas Empregadas ao utilizar métodos de movimento especial.</t>
  </si>
  <si>
    <t>Chegará na Área da Chefe das Coelhinhas Empregadas
PS: Por Exemplo, Você pode usar a "Pena estranha" para flutuar em volta do buraco.</t>
  </si>
  <si>
    <t>Area BOSS Maid Bunny -1</t>
  </si>
  <si>
    <t>Anda dapat mencapai area bos Maid Bunny dengan menggunakan metode pergerakan khusus di "Hutan Reruntuhan".</t>
  </si>
  <si>
    <t>Tiba di area BOSS.
P.S. Misalnya: bulu burung monster dapat digunakan untuk melayang.</t>
  </si>
  <si>
    <t>RB4</t>
  </si>
  <si>
    <t>女僕兔BOSS區域-2</t>
  </si>
  <si>
    <t>於BOSS區域前的寶箱，開啟後會爆炸，會對玩家或敵人造成傷害</t>
  </si>
  <si>
    <t>請謹慎開啟
*不會重置</t>
  </si>
  <si>
    <t>メイドバニーBOSSエリア-2</t>
  </si>
  <si>
    <t>BOSSエリア前の宝箱は開けると爆発し、お兄ちゃんや敵にダメージを与えます…</t>
  </si>
  <si>
    <t>慎重に開けよう…
※リセットされません</t>
  </si>
  <si>
    <t>Maid Rabbit Boss Area - 2</t>
  </si>
  <si>
    <t>The treasure chest placed in the boss area will explode immediately after interacting that damages both the player and the enemy.</t>
  </si>
  <si>
    <t>Open with caution
*One-time only</t>
  </si>
  <si>
    <t>女仆兔BOSS区域-2</t>
  </si>
  <si>
    <t>于BOSS区域前的宝箱，开启后会爆炸，会对玩家或敌人造成伤害</t>
  </si>
  <si>
    <t>请谨慎开启
*不会重置</t>
  </si>
  <si>
    <t>Área BOSS de Maid Bunny - 2</t>
  </si>
  <si>
    <t>Зона босса Кролика-Горничной - 2</t>
  </si>
  <si>
    <t>Сундук с сокровищами перед зоной босса взорвется при открытии, нанеся урон игроку или врагам.</t>
  </si>
  <si>
    <t>Пожалуйста, открывайте с осторожностью.
*Только один раз</t>
  </si>
  <si>
    <t>Bereich der Hasenmädchen Magd BOSS-2</t>
  </si>
  <si>
    <t>Die Schatzkiste vor dem Bossbereich explodiert beim Öffnen und verursacht Schaden an Spieler oder Gegner.</t>
  </si>
  <si>
    <t>Bitte vorsichtig öffnen.</t>
  </si>
  <si>
    <t>Khu vực boss Thỏ Hầu Gái - 2</t>
  </si>
  <si>
    <t>Rương kho báu đặt trong khu vực boss sẽ phát nổ ngay sau khi tương tác, gây sát thương cho cả người chơi lẫn kẻ địch.</t>
  </si>
  <si>
    <t>Mở ra một cách thận trọng.
*Chỉ một lần duy nhất</t>
  </si>
  <si>
    <t xml:space="preserve"> Área da Chefe das Coelhinhas Empregadas - 2</t>
  </si>
  <si>
    <t>O baú de tesouro colocado na área do chefe vai explodir imediatamente depois de ser interagido e dá dano em tanto os jogadores e inimigos.</t>
  </si>
  <si>
    <t>Abra com cuidado
*Único</t>
  </si>
  <si>
    <t>Area BOSS Maid Bunny - 2</t>
  </si>
  <si>
    <t>Peti harta karun di depan area BOSS akan meledak saat dibuka, menyebabkan kerusakan pada pemain atau musuh.</t>
  </si>
  <si>
    <t>Harap buka dengan hati-hati. *Tidak akan direset.</t>
  </si>
  <si>
    <t>RB5</t>
  </si>
  <si>
    <t>女僕兔BOSS區域-3</t>
  </si>
  <si>
    <t>拔除發光的胡蘿蔔後，將召喚女僕兔BOSS
P.S.穿著女僕裝有不同的分歧對話，但仍會觸發戰鬥，請記得更新戰鬥裝備</t>
  </si>
  <si>
    <t>召喚BOSS-箱庭的白兔</t>
  </si>
  <si>
    <t>メイドバニーBOSSエリア-3</t>
  </si>
  <si>
    <t>ニンジンを抜くと、メイドバニーのボスが召喚されます
P.S. メイド服を着ている場合、異なる分岐会話が発生しますが、戦闘は発生します。装備を変更するのを忘れることなかれ…</t>
  </si>
  <si>
    <t>ボス召喚-箱庭の白うさぎ</t>
  </si>
  <si>
    <t>Maid Rabbit Boss Area - 3</t>
  </si>
  <si>
    <t>Picking up the glowing carrot on the ground will trigger the boss battle.
PS: Wearing the maid outfit will trigger different dialog but still triggers a fight. Please remember to change your gear.</t>
  </si>
  <si>
    <t xml:space="preserve">Spawns the boss "White Rabbit Beyond Wonderland"
</t>
  </si>
  <si>
    <t>女仆兔BOSS区域-3</t>
  </si>
  <si>
    <t>拔除发光的胡萝卜后，将召唤女仆兔BOSS
P.S.穿着女仆装有不同的分歧对话，但仍会触发战斗，请记得更新战斗装备</t>
  </si>
  <si>
    <t>召唤BOSS-箱庭的白兔</t>
  </si>
  <si>
    <t>Área del JEFE de Maid Rabbit - 3</t>
  </si>
  <si>
    <t>Зона босса Кролика-Горничной - 3</t>
  </si>
  <si>
    <t>После вытягивания светящейся морковки будет призван босс — Кролик-Горничная.
P.S. Надевание костюма горничной активирует различные варианты диалога, но битва всё равно состоится. Пожалуйста, не забудьте обновить своё боевое снаряжение.</t>
  </si>
  <si>
    <t>Призыв босса - Белый Кролик из Маленького Сада</t>
  </si>
  <si>
    <t>Bereich der Hasenmädchen Magd BOSS-3</t>
  </si>
  <si>
    <t>Nachdem die Karotte herausgezogen wird, wird der Boss der Hasenmädchenmagd beschworen. Im Dienstmädchenoutfit gibt es unterschiedliche verzweigte Dialoge.</t>
  </si>
  <si>
    <t>Beschwöre den Boss: Weiße Kaninchen des Miniaturgartens</t>
  </si>
  <si>
    <t>Khu vực boss Thỏ Hầu Gái - 3</t>
  </si>
  <si>
    <t>Nhặt những củ cà rốt trên mặt đất sẽ kích hoạt trận chiến với boss.
Ghi chú: Mặc bộ đồ hầu gái sẽ kích hoạt hội thoại khác nhưng vẫn dẫn đến trận chiến. Hãy nhớ thay đổi trang bị của bạn.</t>
  </si>
  <si>
    <t>Triệu hồi boss “Thỏ Trắng Vượt Ngoài Xứ Sở Thần Tiên” (CHƯA ĐƯỢC TRIỂN KHAI).</t>
  </si>
  <si>
    <t xml:space="preserve"> Área da Chefe das Coelhinhas Empregadas - 3</t>
  </si>
  <si>
    <t>Pegar a Cenoura Brilhante do chão iniciará a batalha do chefe.
PS: Vestir a roupa de empregada irá ativar um diálogo diferente mas ainda iniciará a batalha. Por favor, se lembre de mudar seus equipamentos.</t>
  </si>
  <si>
    <t xml:space="preserve">Surgi a chefe "A Coelha Branca de Além do País das Maravilhas"
</t>
  </si>
  <si>
    <t>Area BOSS Maid Bunny - 3</t>
  </si>
  <si>
    <t>Setelah menghilangkan wortel bercahaya, BOSS Kelinci Pelayan akan dipanggil.
P.S. Mengenakan pakaian pelayan akan memicu pilihan dialog yang berbeda, tetapi pertempuran tetap akan terjadi. Harap ingat untuk memperbarui perlengkapan pertempuran Anda.</t>
  </si>
  <si>
    <t>Bos Panggilan - Kelinci Putih dari Taman Kecil</t>
  </si>
  <si>
    <t>RB6</t>
  </si>
  <si>
    <t>女僕兔BOSS區域-4</t>
  </si>
  <si>
    <t>擊敗-箱庭的白兔
特殊擊敗(未實裝)-將所有洞口炸毀，即可擊敗BOSS</t>
  </si>
  <si>
    <t>機率掉落道具：胡蘿蔔大劍/凍蘿蔔大劍/霉蘿蔔大劍
機率掉落食材：胡蘿蔔
機率掉落裝甲：萌萌兔耳、女僕制服
掉落道具：兔子地圖(唯一)</t>
  </si>
  <si>
    <t>メイドバニーBOSSエリア-4</t>
  </si>
  <si>
    <t>撃破 ― 箱庭の白うさぎ
特殊な撃破（未実装） ― すべての穴を爆破すれば、BOSSを倒すことができる</t>
  </si>
  <si>
    <t xml:space="preserve">
確率でドロップするアイテム：にんじん大剣／凍ったにんじん大剣／カビたにんじん大剣
確率でドロップする食材：にんじん
確率でドロップする防具：もふもふウサ耳、メイド服
確定ドロップアイテム：うさぎの地図（唯一）
</t>
  </si>
  <si>
    <t>Maid Rabbit Boss Area - 4</t>
  </si>
  <si>
    <t>Defeat White Rabbit Beyond Wonderland
Special method of killing: Blow up all the rabbit holes until there is nothing left</t>
  </si>
  <si>
    <t>Drops "Carrot Sword" weapon
Drops "Frozen Carrot Greatsword" weapon
Drops "Moldy Carrot Greatsword" weapon
Drops "Carrot" food ingredient
Drops Bunny Map item at a chance</t>
  </si>
  <si>
    <t>女仆兔BOSS区域-4</t>
  </si>
  <si>
    <t>击败-箱庭的白兔
特殊击败(未实装)-将所有洞口炸毁，即可击败BOSS</t>
  </si>
  <si>
    <t>机率掉落道具：胡萝卜大剑/冻萝卜大剑/霉萝卜大剑
机率掉落食材：胡萝卜
机率掉落装甲：萌萌兔耳、女仆制服
掉落道具：兔子地图(唯一)</t>
  </si>
  <si>
    <t>Área del jefe de Maid Rabbit -4</t>
  </si>
  <si>
    <t>Зона босса Кролика-Горничной - 4</t>
  </si>
  <si>
    <t>Победа над Белым Кроликом из Маленького Сада
Особый способ победы (не реализовано) - Уничтожьте все входы в пещеру, чтобы победить Босса.</t>
  </si>
  <si>
    <t>Шанс выпадения предметов: Морковный меч/Замороженный морковный меч/Заплесневелый морковный меч
Шанс выпадения еды: Морковь
Шанс выпадения брони: Милые кроличьи ушки, Форма горничной
Выпадающий предмет: Карта Кроликов (уникальная)</t>
  </si>
  <si>
    <t>Bereich der Hasenmädchen Magd BOSS-4</t>
  </si>
  <si>
    <t>Besiege das Weiße Kaninchen des Miniaturgartens</t>
  </si>
  <si>
    <t>Gefundenes Item: Riesenkarottenschwert
Gefundene Zutat: Karotte</t>
  </si>
  <si>
    <t>Khu vực boss Thỏ Hầu Gái - 4</t>
  </si>
  <si>
    <t>Đánh bại Thỏ Trắng Ngoài Xứ Sở Thần Tiên.
Cách đặc biệt để đánh bại: cho nổ tung tất cả các hang thỏ đến khi không còn gì sót lại</t>
  </si>
  <si>
    <t>Rơi ra vũ khí “Kiếm Cà Rốt”
Rơi ra vũ khí "Đại Kiếm Cà Rốt Băng Giá"
Rơi ra vũ khí "Đại Kiếm Cà Rốt Mốc"
Rơi ra nguyên liệu thức ăn “Cà Rốt”.
Rơi ra vật phẩm Bản Đồ Thỏ ngẫu nhiên</t>
  </si>
  <si>
    <t xml:space="preserve"> Área da Chefe das Coelhinhas Empregadas - 4</t>
  </si>
  <si>
    <t>Derrote A Coelha Branca de Além do País das Maravilhas
Método espeial de a matar: Exploda todos os buracos de coelho até não ter sobrado nada.</t>
  </si>
  <si>
    <t>Deixa cair a arma "Espada de Cenoura"
Deixa cair a arma "Espadão de Cenoura Congelada" 
Deixa cair a arma "Espadão de Cenoura Mofada" 
Deixa cair o ingrediente "Cenoura"
Existe uma chance de cair o item Mapa da Coelha</t>
  </si>
  <si>
    <t>Area BOSS Maid Bunny - 4</t>
  </si>
  <si>
    <t>Kekalahan - Kelinci Putih dari Taman Kecil
Kekalahan Spesial (Belum Diimplementasikan) - Hancurkan semua pintu masuk gua untuk mengalahkan BOS.</t>
  </si>
  <si>
    <t>Peluang mendapatkan item: Pedang Besar Wortel/Pedang Besar Wortel Beku/Pedang Besar Wortel Berjamur
Peluang mendapatkan makanan: Wortel
Peluang mendapatkan baju zirah: Telinga Kelinci Lucu, Seragam Pelayan
Item yang didapatkan: Peta Kelinci (Unik)</t>
  </si>
  <si>
    <t>RB7</t>
  </si>
  <si>
    <t>發光的胡蘿蔔</t>
  </si>
  <si>
    <t>發光的胡蘿蔔會在女僕兔BOSS出場時，沒收掉在場的特殊胡蘿蔔，直到你打倒它才會出現。
拔起這個特殊胡蘿蔔，會掉落特殊物品</t>
  </si>
  <si>
    <t>獲得：胡蘿蔔大劍、天上之石碎片
未實裝後續流程，現階段無法製作第二號紅髓液</t>
  </si>
  <si>
    <t>光るにんじん</t>
  </si>
  <si>
    <t xml:space="preserve">
光るニンジンは、メイドウサギBOSSが登場すると場にある特殊ニンジンを没収し、撃破するまで出現しない。
この特殊ニンジンを引き抜くと、特殊アイテムがドロップする
</t>
  </si>
  <si>
    <t xml:space="preserve">
ドロップ：にんじん大剣、天上の石の欠片
後続の内容は未実装のため、現時点では第2号紅髄液を製作できない…
</t>
  </si>
  <si>
    <t>Glowing Carrot</t>
  </si>
  <si>
    <t>When the Maid Rabbit Boss appears, all your carrots will be confiscated upon picking this up. It will be returned shortly after you defeat the boss. Pulling this carrot up will give you the Carrot Sword weapon and a fragment of the Philosopher's Stone</t>
  </si>
  <si>
    <t>Obtain "Carrot Greatsword" equipment
Obtain "Philosopher's Stone Fragment"
*The subsequent events regarding the Philosopher's stone upgrade isn't implemented yet.</t>
  </si>
  <si>
    <t>发光的胡萝卜</t>
  </si>
  <si>
    <t>发光的胡萝卜会在女仆兔BOSS出场时，没收掉在场的特殊胡萝卜，直到你打倒它才会出现。
拔起这个特殊胡萝卜，会掉落特殊物品</t>
  </si>
  <si>
    <t>获得：胡萝卜大剑、天上之石碎片
未实装后续流程，现阶段无法制作第二号红髓液</t>
  </si>
  <si>
    <t>Zanahorias brillantes</t>
  </si>
  <si>
    <t>Светящаяся морковь</t>
  </si>
  <si>
    <t>Светящаяся морковка конфискует все присутствующие особые морковки, после появления босса Кролик-Горничная, она не появится снова, пока вы его не победите.
Подняв эту особую морковку, вы получите особый предмет.</t>
  </si>
  <si>
    <t>Получено: Морковный меч, фрагмент Философского камня.
Последующие события пока не реализованы. В настоящее время невозможно изготовить второй Эликсир Рубрум.</t>
  </si>
  <si>
    <t>Leuchtende Karotte</t>
  </si>
  <si>
    <t>Erhalten: Karottengroßschwert, Himmelssteinsplitter
Der weitere Ablauf ist noch nicht implementiert; aktuell kann die zweite Portion Rotmarksaft noch nicht hergestellt werden.</t>
  </si>
  <si>
    <t>Cà Rốt Phát Sáng</t>
  </si>
  <si>
    <t>Khi boss Thỏ Hầu Gái xuất hiện, tất cả cà rốt của bạn sẽ bị tịch thu khi nhặt nó lên. Nó sẽ được trả lại ngay sau khi bạn đánh bại boss. Kéo củ cà rốt này lên, bạn sẽ nhận được vũ khí Kiếm Cà Rốt và một mảnh Đá Hiền Triết</t>
  </si>
  <si>
    <t>Nhận được trang bị "Đại Kiếm Cà Rốt"
Nhận được "Mảnh Đá Hiền Triết"
*Những sự kiện liên quan đến Mảnh Hiền Triết chưa được triển khai</t>
  </si>
  <si>
    <t>Cenoura Brilhate</t>
  </si>
  <si>
    <t>No mapa Floresta da Ruína, você pode chegar na Área da Chefe das Coelhinhas Empregadas ao utilizar métodos de movimento especial.</t>
  </si>
  <si>
    <t>Obtém o equipamento "Espadão de Cenoura"
Obtém o "Fragmento da Pedra do Filósofo"
*Os eventos subsequentes relacionados a Pedra do FilósofoThe subsequent events regarding the Philosopher's stone upgrade isn't implemented yet.</t>
  </si>
  <si>
    <t>Wortel bercahaya</t>
  </si>
  <si>
    <t>Wortel bercahaya akan menyita semua wortel spesial yang ada saat BOSS Kelinci Pelayan muncul, dan hanya akan muncul kembali setelah Anda mengalahkannya.
Mencabut wortel spesial ini akan menyebabkan wortel tersebut menjatuhkan item spesial.</t>
  </si>
  <si>
    <t>Diperoleh: Pedang Besar Wortel, Fragmen Batu Surgawi
Proses selanjutnya belum diimplementasikan; saat ini belum dapat membuat Ramuan Sumsum Merah kedua.</t>
  </si>
  <si>
    <t>迷失之森 / 迷失之森(終點)</t>
  </si>
  <si>
    <t>Abadoned Forest / Abandoned Forest (End)</t>
  </si>
  <si>
    <t>迷失之森</t>
  </si>
  <si>
    <t>Затерянный лес (Конечная)</t>
  </si>
  <si>
    <t>Floresta Abandonada / Floresta Abandonada (Fim) (Abadoned Forest / Abandoned Forest (End))</t>
  </si>
  <si>
    <t>RB8</t>
  </si>
  <si>
    <t>我不是哈梅恩的吹笛人啊~</t>
  </si>
  <si>
    <t>Z正常只出現在迷失森林裡，如果你和Z發生接觸，有機率會獲得特殊狀態，在該狀態下，切換地圖時有機率會有Z不斷跟隨你</t>
  </si>
  <si>
    <t>機率獲得狀態並且被Z跟隨
可以於貓娘商店車購買滅蟲杖</t>
  </si>
  <si>
    <t>ハーメルンの笛吹き男ではないんだよ〜</t>
  </si>
  <si>
    <t xml:space="preserve">
Gは普段は迷いの森にのみ出現します
Gと接触すると一定確率で特殊状態が発生しその状態でマップを移動するとGが執拗に付きまとってくる可能性がある
</t>
  </si>
  <si>
    <t>茶会の宅配車で虫除けの杖を購入して対策可能</t>
  </si>
  <si>
    <t>I'm not the Pied Piper</t>
  </si>
  <si>
    <t>The Unnameable "C" is a monster that shows up in the Abandoned Forest. If you come in contact with it, there's a chance that it'll inflict you with a special status. When under this status, "C" will continuously follow you throughout the maps</t>
  </si>
  <si>
    <t>Has a chance to gain status effects and be followed by "C".
You can buy the "Pest Bane Staff" from the Cat Girl van</t>
  </si>
  <si>
    <t>Z正常只出现在迷失森林里，如果你和Z发生接触，有几率会获得特殊状态，在该状态下，切换地图时有几率会有Z不断跟随你</t>
  </si>
  <si>
    <t>概率获得状态并被Z跟随
可以在猫娘商店车购买灭虫杖</t>
  </si>
  <si>
    <t>No soy el flautista de Hamem~</t>
  </si>
  <si>
    <t>Я не Крысолов</t>
  </si>
  <si>
    <t>Безымянный «Т» — это монстр, появляющийся в Затерянном лесу. При контакте с ним есть вероятность, что он наложит на вас особый негативный эффект. Находясь под действием этого эффекта, «Т» будет постоянно следовать за вами по всей карте.</t>
  </si>
  <si>
    <t>Есть шанс получить негативные эффекты и получить последующий эффект «Т».
Вы можете купить «Спрей от вредителей» в фургоне кошко-девочек.</t>
  </si>
  <si>
    <t>Der Unnennbare "C" ist ein Monster, das im Verlassenen Wald auftaucht. Wenn du mit ihm in Kontakt kommst, besteht die Möglichkeit, dass es dir einen speziellen Status zufügt. Unter diesem Status wird "C" dich kontinuierlich über die Karten hinweg verfolgen.</t>
  </si>
  <si>
    <t>Hat die Chance, Statuswerte zu erhalten und von "C" verfolgt zu werden.
Du kannst den "Schädlingsvernichter Stab beim Katzenmädchen Van kaufen.</t>
  </si>
  <si>
    <t>Tôi không phải là người thổi sáo</t>
  </si>
  <si>
    <t>Quái vật "C" không tên là một quái vật xuất hiện trong Khu Rừng Bỏ Hoang. Nếu bạn thấy nó, có khả năng nó sẽ gây ra cho bạn một trạng thái đặc biệt. Khi ở trạng thái này, "C" sẽ liên tục bám theo bạn trên khắp bản đồ.</t>
  </si>
  <si>
    <t>Có khả năng nhận hiệu ứng trạng thái và bị "C" bám theo
Bạn có thể mua vật phẩm "Trượng Bả Bọ" ở xe van Cô Gái Mèo</t>
  </si>
  <si>
    <t>Eu não sou o flautista de Hame~</t>
  </si>
  <si>
    <r>
      <rPr>
        <rFont val="Microsoft JhengHei"/>
        <color theme="1"/>
      </rPr>
      <t xml:space="preserve">B normalmente só aparece na </t>
    </r>
    <r>
      <rPr>
        <rFont val="Microsoft JhengHei"/>
        <i/>
        <color theme="1"/>
      </rPr>
      <t>Abandoned Forest</t>
    </r>
    <r>
      <rPr>
        <rFont val="Microsoft JhengHei"/>
        <color theme="1"/>
      </rPr>
      <t>. Se você entrar em contato com a B, há uma chance dela te infligir um status especial. Com esse status, há uma chance da B te seguir continuamente mesmo quando trocar de mapa.</t>
    </r>
  </si>
  <si>
    <t>Chance de obter o efeito de status e ser seguido por B
Você pode comprar o "Cajado Exterminador de Insetos" da Catgirl(Garota Gato) da Van</t>
  </si>
  <si>
    <t>Aku bukan pemain seruling Hamem~</t>
  </si>
  <si>
    <t>Z biasanya hanya muncul di Hutan Hilang. Jika Anda bertemu dengan Z, ada kemungkinan Anda akan mendapatkan status khusus. Dengan status ini, ada kemungkinan Z akan terus mengikuti Anda saat Anda berpindah peta.</t>
  </si>
  <si>
    <t>Kesempatan untuk mendapatkan efek status dan diikuti oleh Z
Pembasmi Serangga dapat dibeli dari Keranjang Toko Nekogami</t>
  </si>
  <si>
    <t>RB9</t>
  </si>
  <si>
    <t>迷失之森，依照發光的蘑菇走，到達終點地圖後的右下方寶箱</t>
  </si>
  <si>
    <t>獲得"熔岩杖"武器</t>
  </si>
  <si>
    <t>迷いの森では光るキノコに従って進み終点マップに到達後に右下の宝箱へ向かう</t>
  </si>
  <si>
    <t>武器を入手できる</t>
  </si>
  <si>
    <t xml:space="preserve">Abandoned Forest
Follow the glowing mushrooms. Once you reach the end, there will be a wooden chest on the bottom-right side
</t>
  </si>
  <si>
    <t>Obtain "Lava Staff" weapon</t>
  </si>
  <si>
    <t>被遗弃的森林，依照发光的蘑菇走，到达终点地图后的右下方宝箱</t>
  </si>
  <si>
    <t>获得"熔岩杖"武器</t>
  </si>
  <si>
    <t>Следуйте за светящимися грибами, чтобы добраться до сундука в правом нижнем углу карты.</t>
  </si>
  <si>
    <t>Получение оружия: «Лавовый посох»</t>
  </si>
  <si>
    <t>Abandoned Forest:
Folge den leuchtenden Pilzen und du findest im unteren rechten Bereich der Endkarte eine Truhe</t>
  </si>
  <si>
    <t>Erhalte die Waffe ,,Lavastab"</t>
  </si>
  <si>
    <t>Khu Rừng Bỏ Hoang
Theo dấu những cây nấm phát sáng. Một khi đã đến đích, sẽ có một rương gỗ ở phía bên phải góc dưới</t>
  </si>
  <si>
    <t>Nhận vũ khí “Trượng Dung Nham”.</t>
  </si>
  <si>
    <r>
      <rPr>
        <rFont val="Microsoft JhengHei"/>
        <i/>
        <color theme="1"/>
      </rPr>
      <t>Abandoned Forest</t>
    </r>
    <r>
      <rPr>
        <rFont val="Microsoft JhengHei"/>
        <color theme="1"/>
      </rPr>
      <t xml:space="preserve">
Siga os cogumelos brilhantes. Uma vez que você chegue ao final, existirá um baú de madeira em baixo do lado direito
</t>
    </r>
  </si>
  <si>
    <t>Obtém a arma "Cajado de Lava"</t>
  </si>
  <si>
    <t>Di hutan yang terlantar, ikuti jamur bercahaya untuk mencapai peti harta karun di sudut kanan bawah peta.</t>
  </si>
  <si>
    <t>Dapatkan senjata "Lava Staff"</t>
  </si>
  <si>
    <t>RB10</t>
  </si>
  <si>
    <t>出現了一個未知的生物</t>
  </si>
  <si>
    <t>迷失之森(終點)，出現了一個未知的生物</t>
  </si>
  <si>
    <t>初步設置的BOSS甲蟲
目前無作用</t>
  </si>
  <si>
    <t>カブトムシ…？</t>
  </si>
  <si>
    <t>迷いの森（最奥）に、未知の生物が現れた…</t>
  </si>
  <si>
    <t>初期設置のボスモンスター
現在はただのデカい虫でしかない！</t>
  </si>
  <si>
    <t>Beetle Boss</t>
  </si>
  <si>
    <t>Similar to R16, an unknown creature appears for a short time.</t>
  </si>
  <si>
    <t>A preliminary stage for the Beetle boss fight. Currently inactive.</t>
  </si>
  <si>
    <t>甲虫</t>
  </si>
  <si>
    <t>同R16，出现了一个未知的生物</t>
  </si>
  <si>
    <t>初步设置的BOSS甲虫 目前无作用</t>
  </si>
  <si>
    <t>escarabajo</t>
  </si>
  <si>
    <t>Жук</t>
  </si>
  <si>
    <t>Как и в случае с R16, появилось неизвестное существо.</t>
  </si>
  <si>
    <t>Изначально жук планировался как новый Босс, но в настоящее время это не реализовано.</t>
  </si>
  <si>
    <t>Käfer</t>
  </si>
  <si>
    <t>Wie in R16 erscheint eine unbekannte Kreatur</t>
  </si>
  <si>
    <t>Vorläufig eingerichteter Boss-Käfer, derzeit ohne Funktion</t>
  </si>
  <si>
    <t>Boss Bọ Cánh Cứng</t>
  </si>
  <si>
    <t>Giống như R16, một sinh vật bí ẩn xuất hiện trong thời gian ngắn.</t>
  </si>
  <si>
    <t>Một giai đoạn sơ bộ cho trận đánh boss Bọ Cánh Cứng. Hiện chưa hoạt động.</t>
  </si>
  <si>
    <t>Chefe Besouro</t>
  </si>
  <si>
    <t>Similar com o R16, uma criatura desconhecida aparece por um curto periodo de tempo.</t>
  </si>
  <si>
    <t>Um estágio preliminar da luta contra o Chefe Besouro. Atualmente desativado.</t>
  </si>
  <si>
    <t>Kumbang</t>
  </si>
  <si>
    <t>Mirip dengan R16, makhluk tak dikenal muncul.</t>
  </si>
  <si>
    <t>Pengaturan awal BOSS beetle saat ini tidak efektif.</t>
  </si>
  <si>
    <t>開拓中地區(山之洞窟)</t>
  </si>
  <si>
    <t>Mountain Caves</t>
  </si>
  <si>
    <t>开拓中地区(山之洞窟)</t>
  </si>
  <si>
    <t>Место раскопок</t>
  </si>
  <si>
    <t>Cavernas de montanha (Mountain Caves)</t>
  </si>
  <si>
    <t>RC1</t>
  </si>
  <si>
    <t>於"開拓中地區(山之洞窟)"進入後的左方木箱發光處</t>
  </si>
  <si>
    <t>獲得裝備：護刃眾的徽章</t>
  </si>
  <si>
    <t>「開発中エリア（山の洞窟）」に入った後の左側の木箱の光る部分</t>
  </si>
  <si>
    <t>装備アイテムを入手できる</t>
  </si>
  <si>
    <t>Hidden Items</t>
  </si>
  <si>
    <t>On the leftmost side of the Mountain Cave, there is a glowing spot that can be looted.</t>
  </si>
  <si>
    <t>Obtain "Bladekeeper's Badge" equipment</t>
  </si>
  <si>
    <t>隐藏道具</t>
  </si>
  <si>
    <t>于"开拓中地区(山之洞窟)"进入后的左侧木箱发光处</t>
  </si>
  <si>
    <t>获得装备：护刃众的徽章</t>
  </si>
  <si>
    <t>Скрытые предметы</t>
  </si>
  <si>
    <t>Подойдите к деревянному ящику слева, после входа в «Место раскопок (шахта)».</t>
  </si>
  <si>
    <t>Получите экипировку: Значок Стража Клинков</t>
  </si>
  <si>
    <t>Itens Ocultos:</t>
  </si>
  <si>
    <t xml:space="preserve">No lado mais à esquerda da Caverna da Montanha, há um ponto brilhante que pode ser obtido. </t>
  </si>
  <si>
    <t>Obtenha o equipamento "Insígnia dos Guardiões da Lâmina".</t>
  </si>
  <si>
    <t>開拓中地區(礦坑)-1~開拓中地區(礦坑)-4</t>
  </si>
  <si>
    <t>Excavation Site (Mine Tunnels) - 1 ~ 4</t>
  </si>
  <si>
    <t>开拓中地区(矿坑)</t>
  </si>
  <si>
    <t>Место раскопок (шахта)-1~4</t>
  </si>
  <si>
    <t>Sítio de Escavação (Túneis da Mina) - 1 ~ 4 (Excavation Site (Mine Tunnels) - 1 ~ 4)</t>
  </si>
  <si>
    <t>RC2</t>
  </si>
  <si>
    <t>摔洞裡</t>
  </si>
  <si>
    <t>開發中區域(礦坑)
在礦坑地圖中摔落至下一層</t>
  </si>
  <si>
    <t>見聞：掉到洞窟</t>
  </si>
  <si>
    <t>穴に落ちる…</t>
  </si>
  <si>
    <t>開発中エリア（坑道）
坑道マップで下の層に落下…</t>
  </si>
  <si>
    <t>見聞: 穴に落ちる</t>
  </si>
  <si>
    <t>Falling Down</t>
  </si>
  <si>
    <t xml:space="preserve">Fall in any of the holes in the Excavation Site Mines
</t>
  </si>
  <si>
    <t>Insight: Gain insight about falling in caves</t>
  </si>
  <si>
    <t>摔洞里</t>
  </si>
  <si>
    <t>开发中区域(矿坑) 矿坑地图掉下去</t>
  </si>
  <si>
    <t>见闻：掉到洞窟</t>
  </si>
  <si>
    <t>Caer en el agujero</t>
  </si>
  <si>
    <t>Dejate caer en cualquier agujero que estan en el sitio de excavacion.</t>
  </si>
  <si>
    <t>Падение в яму</t>
  </si>
  <si>
    <t>Место раскопок (шахта) - Вы окажетесь на локации Шахта.</t>
  </si>
  <si>
    <t>Прибытие в пещеру.</t>
  </si>
  <si>
    <t>Hoppla, da war ein Loch</t>
  </si>
  <si>
    <t>Falle im Excavation Site Mines von der Map</t>
  </si>
  <si>
    <t>Entdeckung: In die Höhle gefallen.</t>
  </si>
  <si>
    <t>Rơi xuống</t>
  </si>
  <si>
    <t>Rơi xuống bất kì cái hố nào trong Khu Khai Quật Mỏ</t>
  </si>
  <si>
    <t>Tầm nhìn: Nhận thông tin về việc rơi xuống hang động.</t>
  </si>
  <si>
    <t>Caindo</t>
  </si>
  <si>
    <r>
      <rPr>
        <rFont val="Microsoft JhengHei"/>
        <color theme="1"/>
      </rPr>
      <t xml:space="preserve">Caia em qualquer um dos buracos da </t>
    </r>
    <r>
      <rPr>
        <rFont val="Microsoft JhengHei"/>
        <i/>
        <color theme="1"/>
      </rPr>
      <t>Excavation Site Mines</t>
    </r>
    <r>
      <rPr>
        <rFont val="Microsoft JhengHei"/>
        <color theme="1"/>
      </rPr>
      <t xml:space="preserve">
</t>
    </r>
  </si>
  <si>
    <t>Conhecimento: Ganhe conhecimento sobre cair nas cavernas</t>
  </si>
  <si>
    <t>Jatuh ke dalam lubang</t>
  </si>
  <si>
    <t>Area pengembangan (tambang) - Anda akan jatuh ke dalam peta tambang.</t>
  </si>
  <si>
    <t>Apa yang saya lihat: Saya jatuh ke dalam gua</t>
  </si>
  <si>
    <t>RC3</t>
  </si>
  <si>
    <t>開發中地帶(礦坑)-1，沿著樓梯的中央有寶箱</t>
  </si>
  <si>
    <t>獲得道具：魔力小凝膠x10
雨天刷新</t>
  </si>
  <si>
    <t>開発地帯(鉱山)-2の階段沿い中央に宝箱ある</t>
  </si>
  <si>
    <t>武器「狩人の弓」を入手できる
ねこパンチと組み合わせるとマップ兵器と化す…</t>
  </si>
  <si>
    <t xml:space="preserve">Excavation Site Mines 2
There is a chest on the center of the stairs area.
</t>
  </si>
  <si>
    <t>Obtain 10 "Small Magic Gel " item
Refreshes every rainy day.</t>
  </si>
  <si>
    <t>开发中地带(矿坑)-1，沿着楼梯的中央有宝箱</t>
  </si>
  <si>
    <t>获得道具：魔力小凝胶x10 雨天刷新</t>
  </si>
  <si>
    <t>Sitio de excavacion 2 - 1, hay un cofre del tesoro en el medio de las escaleras</t>
  </si>
  <si>
    <t>Место раскопок (шахта) - 1, в центре лестницы, находится сундук.</t>
  </si>
  <si>
    <t>Получение предмета: Мана-гель x10 (освежает в дождливые дни)</t>
  </si>
  <si>
    <t>Verstecktes Item</t>
  </si>
  <si>
    <t>Excavation Site Mines 2: In der Mitte der Treppe befindet sich eine Truhe</t>
  </si>
  <si>
    <t>Gegenstand erhalten</t>
  </si>
  <si>
    <t>Vật phẩm ẩn</t>
  </si>
  <si>
    <t>Khu Khai Quật Mỏ 2
Có một cái rương ở giữa khu vực cầu thang</t>
  </si>
  <si>
    <t>Nhận 10 vật phẩm “Gel Ma Thuật Nhỏ”.
*Mỗi ngày mưa sẽ được làm mới.</t>
  </si>
  <si>
    <t>Itens Escondidos</t>
  </si>
  <si>
    <r>
      <rPr>
        <rFont val="Microsoft JhengHei"/>
        <i/>
        <color theme="1"/>
      </rPr>
      <t>Excavation Site Mines 2</t>
    </r>
    <r>
      <rPr>
        <rFont val="Microsoft JhengHei"/>
        <color theme="1"/>
      </rPr>
      <t xml:space="preserve">
Existe um baú no centro da área das escadas.
</t>
    </r>
  </si>
  <si>
    <t>Obtém 10 tens "gel Mágico Pequeno".
Renova todo dia chuvoso.</t>
  </si>
  <si>
    <t>Di area pengembangan (tambang)-1, terdapat peti harta karun di tengah tangga.</t>
  </si>
  <si>
    <t>Item yang Didapatkan: Gel Ajaib x10 (Menyegarkan di hari hujan)</t>
  </si>
  <si>
    <t>RC4</t>
  </si>
  <si>
    <t>開發中區域(礦坑)-1，礦車到達最遠處，可以取得裝備</t>
  </si>
  <si>
    <t>獲得裝備-倒吊人骨戒</t>
  </si>
  <si>
    <t>開発中エリア-1ではトロッコで最遠地点まで到達することで装備を入手できます</t>
  </si>
  <si>
    <t>装備を入手できる</t>
  </si>
  <si>
    <t>Excavation Site Mines 2
When the minecart reaches the furthest point, you can obtain the equipment.</t>
  </si>
  <si>
    <t>Obtain "Hanged Man's Bone Ring" equipment.</t>
  </si>
  <si>
    <t>开发中区域(矿坑)-1，矿车到达最远处，可以取得装备</t>
  </si>
  <si>
    <t>获得装备-倒吊人骨戒</t>
  </si>
  <si>
    <t>Sitio de excavacion 2. Cuando el carrito de mina llegue al final del trayecto podras adquirir el equipamiento.</t>
  </si>
  <si>
    <t>Место раскопок (шахта) - 1 вы можете получить снаряжение, доехав до самой дальней точки на вагонетке.</t>
  </si>
  <si>
    <t>Получение экипировки: Костяное кольцо Повешенного.</t>
  </si>
  <si>
    <t>Excavation Site Mines 2:
Musst du der Lore folgen, bis du das Ende des Bergwerks erreichst und eine Truhe findest</t>
  </si>
  <si>
    <t>Erhalte die Ausrüstung ,,Knochenring des Gehängten"</t>
  </si>
  <si>
    <t>Khu Khai Quật Mỏ 2
Khi chiếc xe mỏ đến chỗ xa nhất, bạn có thể nhận được trang bị</t>
  </si>
  <si>
    <t>Nhận trang bị “Nhẫn Xương Tử Tội”.</t>
  </si>
  <si>
    <r>
      <rPr>
        <rFont val="Microsoft JhengHei"/>
        <i/>
        <color theme="1"/>
      </rPr>
      <t>Excavation Site Mines 2</t>
    </r>
    <r>
      <rPr>
        <rFont val="Microsoft JhengHei"/>
        <color theme="1"/>
      </rPr>
      <t xml:space="preserve">
Quando o carrinho de mineiro chegar ao ponto mais distante, você obterá um equipamento.</t>
    </r>
  </si>
  <si>
    <t>Obtém o equipamento "Anel de Osso do Homem Enforcado" equipment.</t>
  </si>
  <si>
    <t>Lorong Tersembunyi 6</t>
  </si>
  <si>
    <t>Di area pengembangan (tambang)-1, Anda dapat memperoleh peralatan dengan mencapai titik terjauh menggunakan kereta tambang.</t>
  </si>
  <si>
    <t>Dapatkan perlengkapan - Cincin Tulang Orang yang Digantung</t>
  </si>
  <si>
    <t>RC5</t>
  </si>
  <si>
    <t>開發中區域(礦坑)-2</t>
  </si>
  <si>
    <t>從開發中區域(礦坑)-1的最後方，可以通往下一張地圖</t>
  </si>
  <si>
    <t>抵達"開發中區域(礦坑)-2"</t>
  </si>
  <si>
    <t>開発中エリア（鉱坑）-2</t>
  </si>
  <si>
    <t>開発中エリア-1の最後の部分から、次のマップに進むことができる</t>
  </si>
  <si>
    <t>『開発中区域（鉱坑）-2』に到達</t>
  </si>
  <si>
    <t>Excavation Site (Mine Tunnels) - 2</t>
  </si>
  <si>
    <t>At the end of Excavation Site (Mine Tunnels) - 1, you can proceed further to the second tunnel</t>
  </si>
  <si>
    <t>Will arrive at  Excavation Site (Mine Tunnels) - 2</t>
  </si>
  <si>
    <t>开发中区域(矿坑)-2</t>
  </si>
  <si>
    <t>从开发中区域(矿坑)-1的最后方，可以通往下一张地图</t>
  </si>
  <si>
    <t>抵达"开发中区域(矿坑)-2"</t>
  </si>
  <si>
    <t>Área de desarrollo (pozo minero) -2</t>
  </si>
  <si>
    <t>Место раскопок (шахта) - 2</t>
  </si>
  <si>
    <t>С самого дальнего конца «Место раскопок (шахта) - 1» вы можете пройти к следующей локации.</t>
  </si>
  <si>
    <t>Прибытие в «Место раскопок (шахта) - 2»</t>
  </si>
  <si>
    <t>Entwicklungsbereich (Mine-2)</t>
  </si>
  <si>
    <t>Vom hintersten Ende des Entwicklungsbereichs (Mine-1) aus gelangst du zur nächsten Karte.</t>
  </si>
  <si>
    <t>Ankunft im Entwicklungsbereich (Mine-2)</t>
  </si>
  <si>
    <t>Khu Khai Quật (Đường Hầm Mỏ) - 2</t>
  </si>
  <si>
    <t>Ở cuối Khu Khai Quật (Đường Hầm Mỏ) - 1, bạn có thể tiến xa hơn vào đường hầm thứ hai.</t>
  </si>
  <si>
    <t>Sẽ đến được Khu Khai Quật (Đường Hầm Mỏ) – 2.</t>
  </si>
  <si>
    <r>
      <rPr>
        <rFont val="Microsoft JhengHei"/>
        <color theme="1"/>
      </rPr>
      <t>Área de Escavação (</t>
    </r>
    <r>
      <rPr>
        <rFont val="Microsoft JhengHei"/>
        <i/>
        <color theme="1"/>
      </rPr>
      <t>Mine Tunnels</t>
    </r>
    <r>
      <rPr>
        <rFont val="Microsoft JhengHei"/>
        <color theme="1"/>
      </rPr>
      <t>) - 2</t>
    </r>
  </si>
  <si>
    <r>
      <rPr>
        <rFont val="Microsoft JhengHei"/>
        <color theme="1"/>
      </rPr>
      <t>No final da Área de Escavação (</t>
    </r>
    <r>
      <rPr>
        <rFont val="Microsoft JhengHei"/>
        <i/>
        <color theme="1"/>
      </rPr>
      <t>Mine Tunnels</t>
    </r>
    <r>
      <rPr>
        <rFont val="Microsoft JhengHei"/>
        <color theme="1"/>
      </rPr>
      <t>) - 1, você pode preceder ainda mais para o segundo túnel</t>
    </r>
  </si>
  <si>
    <r>
      <rPr>
        <rFont val="Microsoft JhengHei"/>
        <color theme="1"/>
      </rPr>
      <t>Chegará na Área de escavação (</t>
    </r>
    <r>
      <rPr>
        <rFont val="Microsoft JhengHei"/>
        <i/>
        <color theme="1"/>
      </rPr>
      <t>Mine Tunnels</t>
    </r>
    <r>
      <rPr>
        <rFont val="Microsoft JhengHei"/>
        <color theme="1"/>
      </rPr>
      <t>) - 2</t>
    </r>
  </si>
  <si>
    <t>Area Pengembangan (Lubang Tambang) - 2</t>
  </si>
  <si>
    <t>Dari bagian paling belakang area pengembangan (tambang)-1, Anda dapat mengakses peta berikutnya.</t>
  </si>
  <si>
    <t>Tiba di "Area Pengembangan (Tambang)-2"</t>
  </si>
  <si>
    <t>RC6</t>
  </si>
  <si>
    <t>於"開發中區域(礦坑)-2"最下方水面的發光處</t>
  </si>
  <si>
    <t>「開発中エリア-2」の下の方、水面に光る場所があります</t>
  </si>
  <si>
    <t>護刃衆の徽章</t>
  </si>
  <si>
    <t>In Excavation Site (Mine Tunnels) - 2, there is a glowing spot on the water just to the left of the entrance.</t>
  </si>
  <si>
    <t>于"开发中区域(矿坑)-2"最下方水面的发光处</t>
  </si>
  <si>
    <t>Светящееся пятно расположено на дне под водой в «Место раскопок (шахта) - 2».</t>
  </si>
  <si>
    <t>Erhaltene Ausrüstung: Abzeichen der Schutzklingen</t>
  </si>
  <si>
    <t>Ở Khu Khai Quật (Đường Hầm Mỏ) - 2, có một chấm sáng trên mặt nước ngay bên trái lối vào.</t>
  </si>
  <si>
    <t>Nhận trang bị “Huy Hiệu Thủ Hộ Kiếm”.</t>
  </si>
  <si>
    <r>
      <rPr>
        <rFont val="Microsoft JhengHei"/>
        <color theme="1"/>
      </rPr>
      <t>Na Área de Escavação (</t>
    </r>
    <r>
      <rPr>
        <rFont val="Microsoft JhengHei"/>
        <i/>
        <color theme="1"/>
      </rPr>
      <t>Mine Tunnels</t>
    </r>
    <r>
      <rPr>
        <rFont val="Microsoft JhengHei"/>
        <color theme="1"/>
      </rPr>
      <t>) - 2, Existe um local brilhante na água que fica ao lado esquerdo da entrada.</t>
    </r>
  </si>
  <si>
    <t>Obtém o equipamento "Insígnia dos Guardiões das Lâminas"</t>
  </si>
  <si>
    <t>Titik bercahaya tersebut terletak di dasar permukaan air di "Area Pengembangan (Tambang)-2".</t>
  </si>
  <si>
    <t>Peralatan yang Diperoleh: Medali Pedang Penjaga</t>
  </si>
  <si>
    <t>RC7</t>
  </si>
  <si>
    <t>開發中區域(礦坑)-2，地圖中間往右上方，有一個隱藏通道可以連接到"山的洞窟"(R11)</t>
  </si>
  <si>
    <t>清除岩石後可以連接到山的洞窟</t>
  </si>
  <si>
    <t>隠し通路</t>
  </si>
  <si>
    <t>開発中区域（鉱坑）-2の地図の中央から右上に、山の洞窟（R11）に繋がる隠し通路があります</t>
  </si>
  <si>
    <t>岩石を取り除いた後、山の洞窟に繋がります</t>
  </si>
  <si>
    <t>Hidden Passage</t>
  </si>
  <si>
    <t>When in Excavation Site (Mine Tunnels) - 2, there is a hidden passage that can be found at the upper right corner in the middle part of the map that you can walk through which leads to the Mountain Cave map (R11)</t>
  </si>
  <si>
    <t>Once you break the rocks blocking the doorway, you'll be able to enter the Mountain Cave</t>
  </si>
  <si>
    <t>开发中区域(矿坑)-2，地图中间往右上方，有一个隐藏通道可以连接到"山的洞窟"(R11)</t>
  </si>
  <si>
    <t>清除岩石后可以连接到山的洞窟</t>
  </si>
  <si>
    <t>Pasaje oculto</t>
  </si>
  <si>
    <t>«Место раскопок (шахта) - 2»: От центра локации вверху справа, находится скрытый проход, ведущий в «Пещеру» (R11).</t>
  </si>
  <si>
    <t>После расчистки завала можно будет попасть в пещеру.</t>
  </si>
  <si>
    <t>Geheimer Durchgang</t>
  </si>
  <si>
    <t>Im Entwicklungsbereich (Mine-2), in der Mitte der Karte gibt es rechts oben einen geheimen Durchgang, der zur "Berghöhle" (R11) führt.</t>
  </si>
  <si>
    <t>Nach dem Entfernen des Felsens gelangt man zur Berghöhle.</t>
  </si>
  <si>
    <t>Lối đi bí mật</t>
  </si>
  <si>
    <t>Khi ở Khu Khai Quật (Đường Hầm Mỏ) - 2, có một lối đi bí mật nằm ở góc trên bên phải phần giữa bản đồ mà bạn có thể đi qua để đến khu vực Hang Núi (R11).</t>
  </si>
  <si>
    <t>Khi bạn phá vỡ những tảng đá chặn lối vào, bạn sẽ có thể tiến vào Hang Núi.</t>
  </si>
  <si>
    <t>Passagem Secreta</t>
  </si>
  <si>
    <r>
      <rPr>
        <rFont val="Microsoft JhengHei"/>
        <color theme="1"/>
      </rPr>
      <t>Quando em Área de Escavação (</t>
    </r>
    <r>
      <rPr>
        <rFont val="Microsoft JhengHei"/>
        <i/>
        <color theme="1"/>
      </rPr>
      <t>Mine Tunnels</t>
    </r>
    <r>
      <rPr>
        <rFont val="Microsoft JhengHei"/>
        <color theme="1"/>
      </rPr>
      <t xml:space="preserve">) - 2, existirá uma passagem secreta que pode ser achada no canto superior à direita na parte do meio do mapa que pode ser atravessado que levará para o mapa </t>
    </r>
    <r>
      <rPr>
        <rFont val="Microsoft JhengHei"/>
        <i/>
        <color theme="1"/>
      </rPr>
      <t>Mountain Cave</t>
    </r>
    <r>
      <rPr>
        <rFont val="Microsoft JhengHei"/>
        <color theme="1"/>
      </rPr>
      <t>(R11)</t>
    </r>
  </si>
  <si>
    <t>Uma vez que você quebre a pedra que bloqueia o portal, você será capaz de entrar na caverna da montanha.</t>
  </si>
  <si>
    <t>Lorong tersembunyi</t>
  </si>
  <si>
    <t>Di area pengembangan (tambang)-2, dari tengah peta ke kanan atas, terdapat lorong tersembunyi yang terhubung ke "Gua Gunung" (R11).</t>
  </si>
  <si>
    <t>Setelah membersihkan bebatuan, jalan tersebut dapat terhubung ke gua-gua di pegunungan.</t>
  </si>
  <si>
    <t>RC8</t>
  </si>
  <si>
    <t>開發中區域(礦坑)-3</t>
  </si>
  <si>
    <t>於"開發中區域(礦坑)-2"，地圖中間往上方的巨大岩石，通過後可以抵達"開發中區域(礦坑)-3"，可以手動破壞，或者乘坐礦車衝進去</t>
  </si>
  <si>
    <t>抵達"開發中區域(礦坑)-3"</t>
  </si>
  <si>
    <t>開発中エリア-3</t>
  </si>
  <si>
    <t>『開発中区域（鉱坑）-2』の中央上方にある巨大な岩石を通過すると、『開発中区域（鉱坑）-3』に到達できます。手動で破壊するか、鉱車に乗って突進することが可能です</t>
  </si>
  <si>
    <t>『開発中区域（鉱坑）-3』に到達</t>
  </si>
  <si>
    <t>Excavation Site (Mine Tunnels) - 3</t>
  </si>
  <si>
    <t>In Excavation Site (Mine Tunnels) - 2, there is a passage that can be found at the north from the middle part of the map which leads further to the tunnels. The rocks blocking the way can be destroyed by attacking or hit by the minecart.</t>
  </si>
  <si>
    <t xml:space="preserve">Will arrive at Excavation Site (Mine Tunnels) - 3
 </t>
  </si>
  <si>
    <t>开发中区域(矿坑)-3</t>
  </si>
  <si>
    <t>于"开发中区域(矿坑)-2"，地图中间往上方的巨大岩石，通过后可以抵达"开发中区域(矿坑)-3"，可以手动破坏，或者乘坐矿车冲进去</t>
  </si>
  <si>
    <t>抵达"开发中区域(矿坑)-3"</t>
  </si>
  <si>
    <t>Área de desarrollo (pozo minero) -3</t>
  </si>
  <si>
    <t>Место раскопок (шахта) - 3</t>
  </si>
  <si>
    <t>«Место раскопок (шахта) - 2»: Посреди локации находится огромный камень, ведущий вверх. Пройдя через него, вы попадете в «Место раскопок (шахта) - 3», где сможете либо уничтожить его вручную, либо протаранить его на вагонетке.</t>
  </si>
  <si>
    <t>Прибытие в «Место раскопок (шахта) - 3»</t>
  </si>
  <si>
    <t>Entwicklungsbereich (Mine-3)</t>
  </si>
  <si>
    <t>Im "Entwicklungsbereich (Mine-2)": Der riesige Felsen in der Mitte der Karte nach oben kann überwunden werden, um zum "Entwicklungsbereich (Mine-3)" zu gelangen. Er kann entweder manuell zerstört oder mit der Lore durchstoßen werden.</t>
  </si>
  <si>
    <t>Ankunft im "Entwicklungsbereich (Mine-3)"</t>
  </si>
  <si>
    <t>Khu Khai Quật (Đường Hầm Mỏ) - 3</t>
  </si>
  <si>
    <t>Ở Khu Khai Quật (Đường Hầm Mỏ) - 2, có một lối đi ở phía bắc từ giữa bản đồ dẫn sâu hơn vào đường hầm. Những tảng đá chặn đường có thể bị phá hủy bằng cách tấn công hoặc bị xe mỏ va vào.</t>
  </si>
  <si>
    <t>Sẽ đến được Khu Khai Quật (Đường Hầm Mỏ) – 3.</t>
  </si>
  <si>
    <r>
      <rPr>
        <rFont val="Microsoft JhengHei"/>
        <color theme="1"/>
      </rPr>
      <t>Área de Escavação (</t>
    </r>
    <r>
      <rPr>
        <rFont val="Microsoft JhengHei"/>
        <i/>
        <color theme="1"/>
      </rPr>
      <t>Mine Tunnels</t>
    </r>
    <r>
      <rPr>
        <rFont val="Microsoft JhengHei"/>
        <color theme="1"/>
      </rPr>
      <t>) - 3</t>
    </r>
  </si>
  <si>
    <r>
      <rPr>
        <rFont val="Microsoft JhengHei"/>
        <color theme="1"/>
      </rPr>
      <t>Na Área de Escavação (</t>
    </r>
    <r>
      <rPr>
        <rFont val="Microsoft JhengHei"/>
        <i/>
        <color theme="1"/>
      </rPr>
      <t>Mine Tunnels</t>
    </r>
    <r>
      <rPr>
        <rFont val="Microsoft JhengHei"/>
        <color theme="1"/>
      </rPr>
      <t>) - 2, existe uma passagem que pode ser encontrada no norte da parte do meio do mapa em que leva uma área mais profundo nos túneis. As pedras que bloqueiam o caminho podem ser quebradas por ataques ou atingindo com o carrinho de mina.</t>
    </r>
  </si>
  <si>
    <r>
      <rPr>
        <rFont val="Microsoft JhengHei"/>
        <color theme="1"/>
      </rPr>
      <t>Chegará na Área de escavação (</t>
    </r>
    <r>
      <rPr>
        <rFont val="Microsoft JhengHei"/>
        <i/>
        <color theme="1"/>
      </rPr>
      <t>Mine Tunnels</t>
    </r>
    <r>
      <rPr>
        <rFont val="Microsoft JhengHei"/>
        <color theme="1"/>
      </rPr>
      <t xml:space="preserve">)) - 3
 </t>
    </r>
  </si>
  <si>
    <t>Area Pengembangan (Lubang Tambang) - 3</t>
  </si>
  <si>
    <t>Di "Area Pengembangan (Tambang)-2", terdapat batu besar di tengah peta yang mengarah ke atas. Melewatinya akan membawa Anda ke "Area Pengembangan (Tambang)-3", di mana Anda dapat menghancurkannya secara manual atau menaiki kereta tambang ke dalamnya.</t>
  </si>
  <si>
    <t>Tiba di "Area Pengembangan (Tambang)-3"</t>
  </si>
  <si>
    <t>RC9</t>
  </si>
  <si>
    <t>於"開發中區域(礦坑)-3"進入後的左方木箱發光處</t>
  </si>
  <si>
    <t>獲得裝備：安全手套</t>
  </si>
  <si>
    <t>開発中エリア-3の入り口から上っていくと左側に光る木箱があります</t>
  </si>
  <si>
    <t>セーフティグローブ</t>
  </si>
  <si>
    <t>In Excavation Site (Mine Tunnels) - 3, there is a glowing spot just to the left after going up from the entrance.</t>
  </si>
  <si>
    <t>Obtain "Safety Gloves" equipment</t>
  </si>
  <si>
    <t>于"开发中区域(矿坑)-3"进入后的左方木箱发光处</t>
  </si>
  <si>
    <t>获得装备：安全手套</t>
  </si>
  <si>
    <t>Светящийся деревянный ящик находится слева после входа в «Место раскопок (шахта) - 3».</t>
  </si>
  <si>
    <t>Получение экипировки: Защитные перчатки.</t>
  </si>
  <si>
    <t>Erhaltene Ausrüstung: Sichere Handschuhe</t>
  </si>
  <si>
    <t>Ở Khu Khai Quật (Đường Hầm Mỏ) - 3, có một chấm sáng ngay bên trái sau khi đi lên từ lối vào.</t>
  </si>
  <si>
    <t>Nhận trang bị “Găng Tay An Toàn”.</t>
  </si>
  <si>
    <r>
      <rPr>
        <rFont val="Microsoft JhengHei"/>
        <color theme="1"/>
      </rPr>
      <t>Na Área de Escavação (</t>
    </r>
    <r>
      <rPr>
        <rFont val="Microsoft JhengHei"/>
        <i/>
        <color theme="1"/>
      </rPr>
      <t>Mine Tunnels</t>
    </r>
    <r>
      <rPr>
        <rFont val="Microsoft JhengHei"/>
        <color theme="1"/>
      </rPr>
      <t>) - 3, Existe um local brilhante na água que fica logo ao lado esquerdo depois de subir da entrada.</t>
    </r>
  </si>
  <si>
    <t>Obtém o equipamento "Luvas de Proteção"</t>
  </si>
  <si>
    <t>Peti kayu bercahaya terletak di sisi kiri setelah memasuki "Area Pengembangan (Tambang)-3".</t>
  </si>
  <si>
    <t>Peralatan yang diperoleh: Sarung tangan pengaman</t>
  </si>
  <si>
    <t>RC10</t>
  </si>
  <si>
    <t xml:space="preserve">於開發中區域(礦坑)-3的懸空處，利用裝備技巧可以獲得隱藏道具
</t>
  </si>
  <si>
    <t>獲得裝備：寶石劍</t>
  </si>
  <si>
    <t>開発中エリア-3の浮いている場所で、浮遊しながら進むと隠しアイテムを獲得できます(怪鳥の羽など)</t>
  </si>
  <si>
    <t>宝石の剣</t>
  </si>
  <si>
    <t>In Excavation Site (Mine Tunnels) - 3, after you pass the first wooden bridge, there is a glowing spot below on a cave stalagmite. You can obtain it by uitilizing various equipments' abilities.</t>
  </si>
  <si>
    <t>Obtain "Jeweled Armament" equipment</t>
  </si>
  <si>
    <t xml:space="preserve">于开发中区域(矿坑)-3的悬空处，利用装备技巧可以获得隐藏道具
</t>
  </si>
  <si>
    <t>获得装备：宝石剑</t>
  </si>
  <si>
    <t>Скрытый предмет можно получить, используя навык экипировки в подвешенном состоянии «Место раскопок (шахта) - 3».</t>
  </si>
  <si>
    <t>Получение экипировки: Оружие с драгоценными камнями</t>
  </si>
  <si>
    <t>Erhaltene Ausrüstung: Juwelenschwert</t>
  </si>
  <si>
    <t>Ở Khu Khai Quật (Đường Hầm Mỏ) - 3, sau khi bạn đi qua cây cầu gỗ đầu tiên, có một chấm sáng bên dưới trên măng đá trong hang. Bạn có thể lấy nó bằng cách tận dụng khả năng của nhiều loại trang bị khác nhau.</t>
  </si>
  <si>
    <t>Nhận trang bị “Vũ Khí Nạm Ngọc”.</t>
  </si>
  <si>
    <r>
      <rPr>
        <rFont val="Microsoft JhengHei"/>
        <color theme="1"/>
      </rPr>
      <t>Na Área de Escavação (</t>
    </r>
    <r>
      <rPr>
        <rFont val="Microsoft JhengHei"/>
        <i/>
        <color theme="1"/>
      </rPr>
      <t>Mine Tunnels</t>
    </r>
    <r>
      <rPr>
        <rFont val="Microsoft JhengHei"/>
        <color theme="1"/>
      </rPr>
      <t>) - 3, Depois que você passar da primeira ponte de madeira, Existe um local brilhante abaixo de uma estalagmite de caverna. Você pode obter o item ao utilizar deversas habilidades de equipamentos.</t>
    </r>
  </si>
  <si>
    <t>Obtém o equipamento "Arma Joalhada"</t>
  </si>
  <si>
    <t>Item tersembunyi dapat diperoleh dengan menggunakan keterampilan peralatan di area gantung dari area pengembangan (tambang)-3.</t>
  </si>
  <si>
    <t>Peralatan yang Diperoleh: Pedang Permata</t>
  </si>
  <si>
    <t>RC11</t>
  </si>
  <si>
    <t>開發中區域(礦坑)-4</t>
  </si>
  <si>
    <t>於"開發中區域(礦坑)-3"，順著地圖路徑可以抵達"開發中區域(礦坑)-4"，若不慎跌落將抵達熔岩區域</t>
  </si>
  <si>
    <t>抵達"開發中區域(礦坑)-4"</t>
  </si>
  <si>
    <t>開発中エリア-4</t>
  </si>
  <si>
    <t>『開発中区域（鉱坑）-3』から道を進むと、『開発中区域（鉱坑）-4』に到達できます。もし不注意で落ちると、溶岩エリアに落ちてしまう…</t>
  </si>
  <si>
    <t>『開発中区域（鉱坑）-4』に到達</t>
  </si>
  <si>
    <t>Excavation Site (Mine Tunnels) - 4</t>
  </si>
  <si>
    <t>In Excavation Site (Mine Tunnels) - 3, keep following the path to reach the furthest area of the mines. If you accidentally fall, you'll arrive at the Scorching Lava Zone map.</t>
  </si>
  <si>
    <t xml:space="preserve">Will arrive at  Excavation Site (Mine Tunnels) - 4
 </t>
  </si>
  <si>
    <t>开发中区域(矿坑)-4</t>
  </si>
  <si>
    <t>于"开发中区域(矿坑)-3"，顺着地图路径可以抵达"开发中区域(矿坑)-4"，若不慎跌落将抵达熔岩区域</t>
  </si>
  <si>
    <t>抵达"开发中区域(矿坑)-4"</t>
  </si>
  <si>
    <t>Área de desarrollo (pozo minero) -4</t>
  </si>
  <si>
    <t>Место раскопок (шахта) - 4</t>
  </si>
  <si>
    <t>Из «Место раскопок (шахта) - 3» следуйте по дороге, чтобы добраться до «Место раскопок (шахта) - 4». Если вы случайно упадете, то окажетесь в лавовой зоне.</t>
  </si>
  <si>
    <t>Прибытие в «Место раскопок (шахта) - 4»</t>
  </si>
  <si>
    <t>Entwicklungsbereich (Mine-4)</t>
  </si>
  <si>
    <t>Im "Entwicklungsbereich (Mine-3)": Folge dem Kartenweg, um zum "Entwicklungsbereich (Mine-4)" zu gelangen. Ein unvorsichtiges Hinabfallen führt in den Lavabereich.</t>
  </si>
  <si>
    <t>Ankunft im "Entwicklungsbereich (Mine-4)"</t>
  </si>
  <si>
    <t>Ở Khu Khai Quật (Đường Hầm Mỏ) - 3, tiếp tục đi theo con đường để đến khu Vực Thẳm nhất của mỏ. Nếu bạn lỡ ngã xuống, bạn sẽ đến khu vực Khu Dung Nham Nóng Chảy.</t>
  </si>
  <si>
    <t>Sẽ đến được Địa Điểm Khai Quật (Đường Hầm Mỏ) – 4.</t>
  </si>
  <si>
    <r>
      <rPr>
        <rFont val="Microsoft JhengHei"/>
        <color theme="1"/>
      </rPr>
      <t>Área de Escavação (</t>
    </r>
    <r>
      <rPr>
        <rFont val="Microsoft JhengHei"/>
        <i/>
        <color theme="1"/>
      </rPr>
      <t>Mine Tunnels</t>
    </r>
    <r>
      <rPr>
        <rFont val="Microsoft JhengHei"/>
        <color theme="1"/>
      </rPr>
      <t>) - 4</t>
    </r>
  </si>
  <si>
    <r>
      <rPr>
        <rFont val="Microsoft JhengHei"/>
        <color theme="1"/>
      </rPr>
      <t>Na Área de Escavação (</t>
    </r>
    <r>
      <rPr>
        <rFont val="Microsoft JhengHei"/>
        <i/>
        <color theme="1"/>
      </rPr>
      <t>Mine Tunnels</t>
    </r>
    <r>
      <rPr>
        <rFont val="Microsoft JhengHei"/>
        <color theme="1"/>
      </rPr>
      <t>) - 3, mantenha-se seguindo o caminho até atingir a parte mais profunda da mina. Se você cair acidentalmente, você vai chegar ao mapa Zona de Lava Escaldante(</t>
    </r>
    <r>
      <rPr>
        <rFont val="Microsoft JhengHei"/>
        <i/>
        <color theme="1"/>
      </rPr>
      <t>Scorching Lava Zone)</t>
    </r>
    <r>
      <rPr>
        <rFont val="Microsoft JhengHei"/>
        <color theme="1"/>
      </rPr>
      <t>.</t>
    </r>
  </si>
  <si>
    <r>
      <rPr>
        <rFont val="Microsoft JhengHei"/>
        <color theme="1"/>
      </rPr>
      <t>Chegará na Área de escavação (</t>
    </r>
    <r>
      <rPr>
        <rFont val="Microsoft JhengHei"/>
        <i/>
        <color theme="1"/>
      </rPr>
      <t>Mine Tunnels</t>
    </r>
    <r>
      <rPr>
        <rFont val="Microsoft JhengHei"/>
        <color theme="1"/>
      </rPr>
      <t xml:space="preserve">) - 4
 </t>
    </r>
  </si>
  <si>
    <t>Area Pengembangan (Lubang Tambang) - 4</t>
  </si>
  <si>
    <t>Dari "Area Pengembangan (Tambang)-3", ikuti jalur peta untuk mencapai "Area Pengembangan (Tambang)-4". Jika Anda terjatuh secara tidak sengaja, Anda akan sampai di area lava.</t>
  </si>
  <si>
    <t>Tiba di "Area Pengembangan (Tambang)-4"</t>
  </si>
  <si>
    <t>RC12</t>
  </si>
  <si>
    <t>於開發中區域(礦坑)-4，中央樓梯上方的發光處</t>
  </si>
  <si>
    <t>獲得裝備：生鏽的鐵劍</t>
  </si>
  <si>
    <t>「開発中エリア-4」の中央の階段上方にある光る木箱があります</t>
  </si>
  <si>
    <t>錆びた鉄剣</t>
  </si>
  <si>
    <t xml:space="preserve">In the Excavation Site (Mine Tunnels) - 4, find the glowing spot on the top of the stairs before you go down
</t>
  </si>
  <si>
    <t>Obtain "Rusty Iron Sword" equipment</t>
  </si>
  <si>
    <t>于开发中区域(矿坑)-4，中央楼梯上方的发光处</t>
  </si>
  <si>
    <t>获得装备：生锈的铁剑</t>
  </si>
  <si>
    <t>«Место раскопок (шахта) - 4»: Над центральной лестницей, находится светящееся пятно.</t>
  </si>
  <si>
    <t>Получение оружия: Ржавый железный меч</t>
  </si>
  <si>
    <t>Erhaltene Ausrüstung: Verrostetes Eisenschwert</t>
  </si>
  <si>
    <t>Ở Khu Khai Quật (Đường Hầm Mỏ) - 4, hãy tìm chấm sáng ở trên đỉnh cầu thang trước khi bạn đi xuống</t>
  </si>
  <si>
    <t>Nhận trang bị “Kiếm Sắt Gỉ”.</t>
  </si>
  <si>
    <r>
      <rPr>
        <rFont val="Microsoft JhengHei"/>
        <color theme="1"/>
      </rPr>
      <t>Na Área de Escavação (</t>
    </r>
    <r>
      <rPr>
        <rFont val="Microsoft JhengHei"/>
        <i/>
        <color theme="1"/>
      </rPr>
      <t>Mine Tunnels</t>
    </r>
    <r>
      <rPr>
        <rFont val="Microsoft JhengHei"/>
        <color theme="1"/>
      </rPr>
      <t xml:space="preserve">) - 4,  encontre um local brilhante em cima da escada antes de ir para baixo
</t>
    </r>
  </si>
  <si>
    <t>Obtém o equipamento "Espada de Ferro Enferrujada"</t>
  </si>
  <si>
    <t>Di area pengembangan (tambang)-4, di atas tangga tengah, terdapat titik bercahaya.</t>
  </si>
  <si>
    <t>Dapatkan perlengkapan: Pedang Besi Berkarat</t>
  </si>
  <si>
    <t>RC13</t>
  </si>
  <si>
    <t>於開發中區域(礦坑)-4，中央樓梯下去後的左方</t>
  </si>
  <si>
    <t>獲得裝備：鐵覘
鐵覘的規則說明於Tips中</t>
  </si>
  <si>
    <t>「開発中エリア-4」で、中央の階段を降りた後の左側にあります</t>
  </si>
  <si>
    <t>金床
金床の説明はTipsに記載されています</t>
  </si>
  <si>
    <t xml:space="preserve">In the Excavation Site (Mine Tunnels) - 4, find the glowing spot on the left after going down the stairs from the center
</t>
  </si>
  <si>
    <t>Obtain "Anvil" equipment
Anvil's purpose is explained in TIPS</t>
  </si>
  <si>
    <t>于开发中区域(矿坑)-4，中央楼梯下去后的左方</t>
  </si>
  <si>
    <t>获得装备：铁觇
铁觇的规则说明于Tips中</t>
  </si>
  <si>
    <t>«Место раскопок (шахта) - 4»: Cлева после спуска по центральной лестнице.</t>
  </si>
  <si>
    <t>Получение экипировки: Кузнечная наковальна.
Правила использования смотрите в разделе «Tips».</t>
  </si>
  <si>
    <t>Erhaltene Ausrüstung: Eisenzirkel
Die Regeln für den Eisenzirkel sind im Tipps-Bereich erklärt</t>
  </si>
  <si>
    <t>Ở Khu Khai Quật (Đường Hầm Mỏ) - 4, hãy tìm điểm sáng bên trái sau khi đi xuống cầu thang từ trung tâm.</t>
  </si>
  <si>
    <t>Nhận trang bị “Đe Sắt”.
Công dụng của Đe Sắt được giải thích trong phần MẸO.</t>
  </si>
  <si>
    <r>
      <rPr>
        <rFont val="Microsoft JhengHei"/>
        <color theme="1"/>
      </rPr>
      <t>Na Área de Escavação (</t>
    </r>
    <r>
      <rPr>
        <rFont val="Microsoft JhengHei"/>
        <i/>
        <color theme="1"/>
      </rPr>
      <t>Mine Tunnels</t>
    </r>
    <r>
      <rPr>
        <rFont val="Microsoft JhengHei"/>
        <color theme="1"/>
      </rPr>
      <t xml:space="preserve">) - 4, encontre um local brilhante à esquerda depois de descer nas escadas do centro.
</t>
    </r>
  </si>
  <si>
    <r>
      <rPr>
        <rFont val="Microsoft JhengHei"/>
        <color theme="1"/>
      </rPr>
      <t xml:space="preserve">Obtém o equipamento "Bigorna"
Propósito da Bigorna é explicada nos </t>
    </r>
    <r>
      <rPr>
        <rFont val="Microsoft JhengHei"/>
        <i/>
        <color theme="1"/>
      </rPr>
      <t>TIPS</t>
    </r>
  </si>
  <si>
    <t>Di area pengembangan (lubang tambang) -4, di sebelah kiri setelah menuruni tangga tengah.</t>
  </si>
  <si>
    <t>Cara Mendapatkan Peralatan: Golem Besi Aturan untuk Golem Besi dijelaskan di bagian Tips.</t>
  </si>
  <si>
    <t>RC14</t>
  </si>
  <si>
    <t>於開發中區域(礦坑)-4，中央樓梯下去後的右方發光處</t>
  </si>
  <si>
    <t>獲得道具：魔力小凝膠x10</t>
  </si>
  <si>
    <t>「開発中エリア-4」で、中央の階段を降りた後の右側にある発光してる樽があります</t>
  </si>
  <si>
    <t>魔力の小凝縮ジェル×10</t>
  </si>
  <si>
    <t>In the Excavation Site (Mine Tunnels) - 4, find the glowing spot on the right after going down the stairs from the center</t>
  </si>
  <si>
    <t>Obtain "Small Mana Gel" x10</t>
  </si>
  <si>
    <t>于开发中区域(矿坑)-4，中央楼梯下去后的右方发光处</t>
  </si>
  <si>
    <t>获得道具：魔力小凝胶x10</t>
  </si>
  <si>
    <t>«Место раскопок (шахта) - 4»: Светящееся пятно находится справа после спуска по центральной лестнице.</t>
  </si>
  <si>
    <t>Получение предмета: Мана-гель x10</t>
  </si>
  <si>
    <t>Erhaltenes Item: Magischer Minigel x10</t>
  </si>
  <si>
    <t>Ở Khu Khai Quật (Đường Hầm Mỏ) - 4, hãy tìm điểm sáng bên phải sau khi đi xuống cầu thang từ trung tâm.</t>
  </si>
  <si>
    <t>Nhận “Gel Ma Lực Nhỏ” ×10.</t>
  </si>
  <si>
    <r>
      <rPr>
        <rFont val="Microsoft JhengHei"/>
        <color theme="1"/>
      </rPr>
      <t>Na Área de Escavação (</t>
    </r>
    <r>
      <rPr>
        <rFont val="Microsoft JhengHei"/>
        <i/>
        <color theme="1"/>
      </rPr>
      <t>Mine Tunnels</t>
    </r>
    <r>
      <rPr>
        <rFont val="Microsoft JhengHei"/>
        <color theme="1"/>
      </rPr>
      <t>) - 4, encontre o local brilhante à direita despois de descer as escadas no centro.</t>
    </r>
  </si>
  <si>
    <t>Obtém 10 x "Gel de Mana Pequeno"</t>
  </si>
  <si>
    <t>Di area pengembangan (lubang tambang) -4, titik bercahaya berada di sebelah kanan setelah menuruni tangga tengah.</t>
  </si>
  <si>
    <t>Item yang diperoleh: Gel Ajaib x10</t>
  </si>
  <si>
    <t>RC15</t>
  </si>
  <si>
    <t>於"開發中區域(礦坑)-4"，離開樓梯區域後的右上方大片岩石，有個隱藏的通道</t>
  </si>
  <si>
    <t>抵達"被遺忘的墓穴下層"</t>
  </si>
  <si>
    <t>『開発中区域（鉱坑）-4』で、階段エリアを出た後の右上方にある大きな岩石の裏に、隠し通路があります</t>
  </si>
  <si>
    <t>『忘却のカタコンベ』に進む</t>
  </si>
  <si>
    <t xml:space="preserve">Hidden Passage </t>
  </si>
  <si>
    <t>When in Excavation Site (Mine Tunnels) - 4, there is a hidden passage that can be found on the large rock in the upper right corner after leaving the stairs.</t>
  </si>
  <si>
    <t>Will arrive at Forgotten Catacombs - Upper Level</t>
  </si>
  <si>
    <t>于"开发中区域(矿坑)-4"，离开楼梯区域后的右上方大片岩石，有个隐藏的通道</t>
  </si>
  <si>
    <t>抵达"被遗忘的墓穴-1"</t>
  </si>
  <si>
    <t>«Место раскопок (шахта) - 4»: После спуска по лестнице, в верхней правой части находится потайной проход в большом скалистом участке.</t>
  </si>
  <si>
    <t>Прибытие в «Забытые катакомбы - Нижний уровень»</t>
  </si>
  <si>
    <t>Im "Entwicklungsbereich (Mine-4)": Rechts oben hinter dem Treppenbereich befindet sich ein großer Felsen mit einem geheimen Durchgang.</t>
  </si>
  <si>
    <t>Ankunft im "Vergessenen Grabmal-1"</t>
  </si>
  <si>
    <t>Khi ở Khu Khai Quật (Đường Hầm Mỏ) - 4, có một lối đi bí mật nằm trên tảng đá lớn ở góc trên bên phải sau khi rời khỏi cầu thang.</t>
  </si>
  <si>
    <t>Sẽ đến được Hầm Mộ Bị Lãng Quên – 1.</t>
  </si>
  <si>
    <r>
      <rPr>
        <rFont val="Microsoft JhengHei"/>
        <color theme="1"/>
      </rPr>
      <t>Quando na Área de Escavação (</t>
    </r>
    <r>
      <rPr>
        <rFont val="Microsoft JhengHei"/>
        <i/>
        <color theme="1"/>
      </rPr>
      <t>Mine Tunnels</t>
    </r>
    <r>
      <rPr>
        <rFont val="Microsoft JhengHei"/>
        <color theme="1"/>
      </rPr>
      <t>) - 4, existe uma passagem secreta que pode ser achada na pedra grande no canto direito em cima depois de sair das escadas.</t>
    </r>
  </si>
  <si>
    <r>
      <rPr>
        <rFont val="Microsoft JhengHei"/>
        <color theme="1"/>
      </rPr>
      <t xml:space="preserve">Chegará na </t>
    </r>
    <r>
      <rPr>
        <rFont val="Microsoft JhengHei"/>
        <i/>
        <color theme="1"/>
      </rPr>
      <t>Forgotten Catacombs</t>
    </r>
    <r>
      <rPr>
        <rFont val="Microsoft JhengHei"/>
        <color theme="1"/>
      </rPr>
      <t xml:space="preserve"> no nível superior - 1</t>
    </r>
  </si>
  <si>
    <t>Di "Area Pengembangan (Tambang)-4", setelah meninggalkan area tangga, terdapat lorong tersembunyi di area berbatu besar di sebelah kanan atas.</t>
  </si>
  <si>
    <t>Tiba di "Makam Terlupakan-1"</t>
  </si>
  <si>
    <t>淺層遺跡迷宮</t>
  </si>
  <si>
    <t>Shallow Ruins Labyrinth</t>
  </si>
  <si>
    <t>浅层遗迹迷宫</t>
  </si>
  <si>
    <t>Поверхность лабиринта</t>
  </si>
  <si>
    <t>Área inicial do Labirinto de Ruínas(Shallow Ruins Labyrinth)</t>
  </si>
  <si>
    <t>RD1</t>
  </si>
  <si>
    <t>淺層遺跡迷宮
遺跡第一層
右方機關處、左方連接外面處，各有一個白寶箱
左方有一個紅寶箱，可以從藤蔓邊緣走過去</t>
  </si>
  <si>
    <t>白寶箱獲得：漏電的不良品、火燒雲
紅寶箱獲得：霜月、戰車塔羅牌 (紅寶箱可以刷新)</t>
  </si>
  <si>
    <t>遺跡の1階
右側の仕掛け部屋と左上の端の方に白い宝箱があります。
左側に赤い宝箱があり、植物の横を通ることで入手できます</t>
  </si>
  <si>
    <t>白い宝箱で獲得：漏電の不良品、火焼雲
赤い宝箱で獲得：霜月、ザ・チャリオットのカード（赤い宝箱はリフレッシュ可能）</t>
  </si>
  <si>
    <t xml:space="preserve">On the first floor of the Labyrinth Ruins, there is a switch to the right side from the entrance with a white box nearby.
Just below from the entrance and to the left, there is a red treasure chest beside a hole. You can get to it by squeezing through between the large vine and the hole.
</t>
  </si>
  <si>
    <t>White Box: Obtain "Leaky Electric Sword" equipment
Red Box: Obtain "Frostmoon" or "Sunflare" equipment</t>
  </si>
  <si>
    <t>浅层遗迹迷宫 遗迹第一层 右方机关处、左方连接外面处，各有一个白宝箱 左方有一个红宝箱，可以从藤蔓边缘走过去</t>
  </si>
  <si>
    <t>白宝箱获得：漏电的不良品、火烧云 红宝箱获得：霜月、战车塔罗牌 (红宝箱可以刷新)</t>
  </si>
  <si>
    <t>En la primera planta de las Ruinas del Laberinto, hay un interruptor a la derecha de la entrada con un cofre blanco cerca.
Justo debajo de la entrada y a la izquierda, hay un cofre rojo al lado de un agujero. Puedes llegar a él colándote entre la gran enredadera y el agujero.</t>
  </si>
  <si>
    <t>Первый (верхний) уровень Руин.
У механизма справа и у выхода наружу слева находится белый сундук.
Слева находится красный сундук. (До него можно добраться, пройдя вдоль края)</t>
  </si>
  <si>
    <t>Белый сундук: Протекающий электро-меч.
Красный сундук: Ледяная луна, Карта Таро «Колесница» (Красные сундуки можно обновлять)</t>
  </si>
  <si>
    <t>Im ,,Labyrinth Ruins", in der ersten Ebene der Ruinen, gibt es rechts bei den Mechanismen und links beim Ausgang jeweils eine weiße Truhe.
Links befindet sich eine rote Truhe, die du entlang des Rands der Lianen erreichen kannst.</t>
  </si>
  <si>
    <t>Weiße Truhe erhältst du: Defektes Elektrogut, Feuerwolke
Rote Truhe erhältst du: Frostmond, Streitwagen-Tarotkarte (Rote Truhe kann aktualisiert werden)</t>
  </si>
  <si>
    <t>Tầng đầu tiên của Tàn Tích Mê Cung, có một công tắc ở bên phải cửa ra vào với một hộp trắng gần đó.
Ngay dưới cửa vào và bên trái, có một rương kho báu đỏ bên cạnh một hố. Bạn có thể vào được bằng cách chui qua giữa cái dây leo lớn và cái hố đó.</t>
  </si>
  <si>
    <t>Hộp Trắng: Nhận trang bị “Kiếm Rò Rỉ Điện”.
Hộp Đỏ: Nhận trang bị “Hàn Nguyệt” hoặc “Nhật Diễm”.</t>
  </si>
  <si>
    <t xml:space="preserve">No primeiro andar do Labirinto da Ruína, Existe uma alavanca no lado direito da entrada com uma caixa branca próxima.
Logo abaixo da entrada ao lado esquerdo, existe um baú de tesouro vermelho ao lado do buraco. Você pode pegar ele ao se espremer entre a grande vinha e o buraco.
</t>
  </si>
  <si>
    <t>Caixa Branca: Obtém o equipamento "Espada Elétrica com Vazamento".
Caixa Vermelha: Obtém o equipamento "Lua Gélida" ou "Clarão Solar"</t>
  </si>
  <si>
    <t>Labirin Reruntuhan Dangkal
Tingkat pertama reruntuhan
Terdapat peti harta karun berwarna putih di mekanisme di sebelah kanan dan di penghubung ke luar di sebelah kiri.
Terdapat peti harta karun berwarna merah di sebelah kiri; Anda dapat mencapainya dengan berjalan di sepanjang tepi tanaman rambat.</t>
  </si>
  <si>
    <t>Peti Harta Karun Putih: Produk Cacat Bocor, Awan Berapi
Peti Harta Karun Merah: Bulan Beku, Kartu Tarot Kereta Perang (Peti Harta Karun Merah dapat diperbarui)</t>
  </si>
  <si>
    <t>忘卻的墓穴-上層</t>
  </si>
  <si>
    <t>Forgotten Catacombs</t>
  </si>
  <si>
    <t>忘却的墓穴-上层</t>
  </si>
  <si>
    <t>Забытые катакомбы - Верхний уровень</t>
  </si>
  <si>
    <t>Catacumbas Esquecidas (Forgotten Catacombs)</t>
  </si>
  <si>
    <t>RD2</t>
  </si>
  <si>
    <t>於被遺忘的墓穴-上層，將左側墳墓打掉，會有隱藏通道</t>
  </si>
  <si>
    <t>隱藏地圖內可獲得"魔力汲取手套"、營火地點、忍者NPC</t>
  </si>
  <si>
    <t>忘却のカタコンベ上層で左側の墓を破壊すると隠し通路を進むことができる</t>
  </si>
  <si>
    <t>隠しマップで焚き火と装備を入手できる
NPCも居るので話しかけてみよう</t>
  </si>
  <si>
    <t>In the first floor of the Forgotten Tomb, you can knock down a tombstone on the left side and there will be a secret entrance.</t>
  </si>
  <si>
    <t>You can obtain "Magic Draining Gloves" equipment in the hidden room. There is also a bonfire in there.
A wounded ninja NPC is also lying down nearby.</t>
  </si>
  <si>
    <t>于被遗忘的墓穴，将左侧坟墓打掉，会有隐藏通道</t>
  </si>
  <si>
    <t>隐藏地图内可获得"魔力汲取手套"、营火地点 *0.75版本实装 忍者NPC</t>
  </si>
  <si>
    <t>Разрушив могилу слева, вы обнаружите потайной проход.</t>
  </si>
  <si>
    <t>Нахождение предмета: Перчатки поглощения маны.
Нахождение Костра.
Нахождение НПС "Ниндзя"</t>
  </si>
  <si>
    <t>Forgotten Tomb: 
Zerstöre alle Gräber, um einen versteckten Gang zu finden</t>
  </si>
  <si>
    <t>Im Forgotten Tomb kannst du die ,,Magieabsorbierenden Handschuhe" und den Lagerfeuerpunkt finden. *Version 0.75 eingeführt, Ninja-NPC</t>
  </si>
  <si>
    <t>Ở tầng thứ nhất của Khu Mộ Bị Lãng Quên, bạn có thể phá đổ một bia mộ ở bên trái và sẽ có một lối vào ẩn.</t>
  </si>
  <si>
    <t>Bạn có thể nhận trang bị “Găng Tay Hấp Thụ Mana” trong căn phòng bí mật. Trong đó cũng có một đống lửa.
Một NPC ninja bị thương cũng đang nằm gần đó.</t>
  </si>
  <si>
    <r>
      <rPr>
        <rFont val="Microsoft JhengHei"/>
        <color theme="1"/>
      </rPr>
      <t xml:space="preserve">No primerio andar da </t>
    </r>
    <r>
      <rPr>
        <rFont val="Microsoft JhengHei"/>
        <i/>
        <color theme="1"/>
      </rPr>
      <t>Forgotten Tomb</t>
    </r>
    <r>
      <rPr>
        <rFont val="Microsoft JhengHei"/>
        <color theme="1"/>
      </rPr>
      <t>, você pode derrubar(quebrar) a lápide no canto esquerdo e lá você achará uma entrada secreta.</t>
    </r>
  </si>
  <si>
    <t>Você pode obter o equipamento "Luvas de Drenar Magia" no cômodo secreto. Existe também uma fogueira lá.
Uma NPC ninja machucada também se encontra deitada próxima.</t>
  </si>
  <si>
    <t>Di Makam Terlupakan, menghancurkan makam di sebelah kiri akan mengungkap lorong tersembunyi.</t>
  </si>
  <si>
    <t>Sarung Tangan Penyerap Mana dan lokasi api unggun dapat diperoleh di dalam peta tersembunyi.
* Diimplementasikan pada versi 0.75: NPC Ninja</t>
  </si>
  <si>
    <t>RD3</t>
  </si>
  <si>
    <t>忍術-1</t>
  </si>
  <si>
    <t>於第R18項目的位置，投餵食物後，可以與忍者NPC學習技能</t>
  </si>
  <si>
    <t>習得技能：氣息消除
可以減少範圍內的敵人警戒範圍，最大可達??格
可以減少妹妹的警戒值累積速率，最大可達??%
需要按下shift鍵切換為走路姿態。</t>
  </si>
  <si>
    <t>R18項目の部屋で、食べ物を与えると忍者NPCからスキルを学ぶことができる！</t>
  </si>
  <si>
    <t>習得スキル：気配遮断
スキル発動中にshiftキーでステルス状態に変更することが出来る
モンスターに発見される警戒範囲を1マス減少する！
妹を覗き見する際の警戒蓄積値を15％減少する
※熟練度を上げることで効果が強くなる！</t>
  </si>
  <si>
    <t>Ninjutsu - 1</t>
  </si>
  <si>
    <t>In the same location as R18, by feeding the ninja NPC some food, she will offer to teach you some ninja skills</t>
  </si>
  <si>
    <t>Obtain new skill: "Breath Concealment"
This skill can reduce detection range by up to ?? tiles.
This skill can reduce imouto's alertness level when peeping by up to ??%
Press the "Shift" key to go to sneaking pose in combat.</t>
  </si>
  <si>
    <t>忍术-1</t>
  </si>
  <si>
    <t>于第R18项目的位置，投喂食物后，可以与忍者NPC学习技能</t>
  </si>
  <si>
    <t>习得技能：气息消除 可以减少范围内的敌人警戒范围，最大可达??格 可以减少妹妹的警戒值累积速率，最大可达??% 需要按下shift键切换为走路姿态。</t>
  </si>
  <si>
    <t>Ninja 1</t>
  </si>
  <si>
    <t>Ниндзюцу - 1</t>
  </si>
  <si>
    <t>В том же месте, что и R18, накормив NPC-ниндзя едой, она предложит вам обучить вас некоторым навыкам ниндзя.</t>
  </si>
  <si>
    <t>Изученный навык: Устранение ауры
Уменьшает радиус действия тревоги врагов в области, максимум на ?? клеток.
Уменьшает скорость накопления значения тревоги вашей сестры, максимум на ??%.
Для переключения в режим ходьбы необходимо нажать клавишу Shift.</t>
  </si>
  <si>
    <t>Ninjutsu -1</t>
  </si>
  <si>
    <t>An der Stelle des R18-Objekts kannst du nach dem Füttern mit Nahrung eine Fähigkeit vom Ninja-NPC erlernen.</t>
  </si>
  <si>
    <t>Erlerne die Fähigkeit: ,,Atemmaskierung"
Kann den Wahrnehmungsbereich der Feinde im Umkreis reduzieren, bis zu ?? Felder.
Kann die Akkumulationsrate der Wachsamkeit von der kleinen Schwester verringern, bis zu ??%.
Du musst die Shift-Taste drücken, um in den Gehmodus zu wechseln.</t>
  </si>
  <si>
    <t>Nhẫn Thuật - 1</t>
  </si>
  <si>
    <t>Ở cùng vị trí với R18, nếu cho NPC ninja một ít thức ăn, cô ấy sẽ đề nghị dạy bạn một số kỹ năng ninja.</t>
  </si>
  <si>
    <t>Nhận kỹ năng mới: “Ẩn Hơi Thở”.
Kỹ năng này có thể giảm phạm vi phát hiện tối đa ?? ô.
Kỹ năng này có thể giảm mức độ cảnh giác của em gái khi rình trộm tối đa ??%.
Nhấn phím “Shift” để vào tư thế lén lút trong chiến đấu.</t>
  </si>
  <si>
    <t>No mesmo local que o R18, ao alimentar a ninja NPC alguma comida, ela vai oferecer para te ensinar algumas técnicas de ninja</t>
  </si>
  <si>
    <t>Nova técnica obtida: "Ocultar a Respiração"
Essa técnica pode reduzir a distância de detecção por até ?? espaços.
Essa técnica pode reduzir o nível de alerta da imouto quando estiver espicando por ??%
Aperte a tecla "Shift"para ir para uma pose sorrateira em combate.</t>
  </si>
  <si>
    <t>Ninjutsu-1</t>
  </si>
  <si>
    <t>Di lokasi item R18, setelah memberi makan ninja, Anda dapat mempelajari keterampilan dari NPC ninja.</t>
  </si>
  <si>
    <t>Keterampilan yang Dipelajari: Penghapusan Aura
Mengurangi jangkauan peringatan musuh dalam suatu area, hingga maksimum ?? petak.
Mengurangi laju akumulasi nilai peringatan saudara perempuan Anda, hingga maksimum ??%.
Membutuhkan penekanan tombol Shift untuk beralih ke mode berjalan.</t>
  </si>
  <si>
    <t>RD4</t>
  </si>
  <si>
    <t>忍術-2</t>
  </si>
  <si>
    <t>同上，投餵食物後，可以學習另一項技能
PS：詳細內容於TIPS中</t>
  </si>
  <si>
    <t>習得技能：背後刺殺
於敵人背後進行攻擊，可提升傷害。倍率會隨著熟練度提升，最高可以達到300%</t>
  </si>
  <si>
    <t>さらに他に、食べ物を与えると別のスキルを学ぶことができる。
PS：詳細はTIPSにあります</t>
  </si>
  <si>
    <t>習得スキル：背後刺殺(？)
敵の背後から攻撃することでダメージが増加します。倍率は熟練度に応じて上昇し、最大で300%に達します。</t>
  </si>
  <si>
    <t>Ninjutsu - 2</t>
  </si>
  <si>
    <t>If you feed the ninja NPC some more food, she will teach you more skills</t>
  </si>
  <si>
    <t>Obtain new skill: "Backstab"
Gain up to 300% bonus damage increase when hitting enemies from behind. Proficiency accumulates similarly to Swordsmanship Training.</t>
  </si>
  <si>
    <t>忍术-2</t>
  </si>
  <si>
    <t>同上，投喂食物后，可以学习另一项技能 PS：详细内容于TIPS中</t>
  </si>
  <si>
    <t xml:space="preserve">习得技能：背后刺杀 于敌人背后进行攻击，可提升伤害。倍率会随着熟练度提升，最高可以达到300%
</t>
  </si>
  <si>
    <t>Ninja 2</t>
  </si>
  <si>
    <t>Ниндзюцу - 2</t>
  </si>
  <si>
    <t>Если вы покормите нинздю ещё немного, то вы получите ещё навык.
(Подробности см. в разделе Tips)</t>
  </si>
  <si>
    <t>Изучение навыка: Удар в спину
Атакуя врага сзади, увеличивает урон. Множитель увеличивается с повышением уровня владения навыком, достигая максимума в 300%.</t>
  </si>
  <si>
    <t>Ninjutsu-2</t>
  </si>
  <si>
    <t>Wie oben, nach dem Füttern mit Nahrung kannst du eine weitere Fähigkeit erlernen.
PS: Weitere Details findest du in den TIPS.</t>
  </si>
  <si>
    <t>Erlerne die Fähigkeit: ,,Hinterhalt"
Greife deinen Feind von hinten an, um den Schaden zu erhöhen. Der Multiplikator steigt mit der Fertigkeit und kann bis zu 300% erreichen</t>
  </si>
  <si>
    <t>Nhẫn Thuật - 2</t>
  </si>
  <si>
    <t>Nếu bạn cho NPC ninja thêm thức ăn, cô ấy sẽ dạy bạn thêm kỹ năng.</t>
  </si>
  <si>
    <t>Nhận kỹ năng mới: “Đâm Lén”.
Gây thêm tối đa 300% sát thương khi tấn công kẻ địch từ phía sau. Độ thành thạo tích lũy tương tự như kỹ năng Rèn Luyện Kiếm Thuật.</t>
  </si>
  <si>
    <t>Se você alimentar a ninja NPC  mais comida, ela irá te ensinar mais técnicas</t>
  </si>
  <si>
    <t>Obtenha a nova técnica: "Apunhalada nas costas"
Ganhe até 300% bônus de aumento de dano quando atingindo inimigos pelas costas. Proficiência  acumula de forma similar com o treinamento de espadachim.</t>
  </si>
  <si>
    <t>Seperti yang telah disebutkan, memberi makan anak akan memungkinkan mereka mempelajari keterampilan lain.
PS: Detail selengkapnya ada di bagian TIPS.</t>
  </si>
  <si>
    <t>Keterampilan yang Dipelajari: Serangan dari Belakang
Menyerang musuh dari belakang, meningkatkan kerusakan. Pengali meningkat seiring dengan kemahiran, mencapai maksimum 300%.</t>
  </si>
  <si>
    <t>RD5</t>
  </si>
  <si>
    <t>於被"遺忘的墓穴上層"，將右側石板打掉，會有隱藏通道</t>
  </si>
  <si>
    <t>隱藏地圖內可獲得寶箱與隱藏光點</t>
  </si>
  <si>
    <t>忘却のカタコンベ上層で右側の墓石を壊すと隠し通路が通れるようになる。</t>
  </si>
  <si>
    <t>隠しマップでは宝箱とアイテムを入手することが出来る</t>
  </si>
  <si>
    <t>In the first floor of the Forgotten Tomb, knock down the tombstone on the right-most side and there will be a hidden path.</t>
  </si>
  <si>
    <t>There will be a chest and item spots at the end of the path. Obtain random items.</t>
  </si>
  <si>
    <t>于被遗忘的墓穴，将右侧石板打掉，会有隐藏通道</t>
  </si>
  <si>
    <t>隐藏地图内可获得宝箱与隐藏光点</t>
  </si>
  <si>
    <t>Разбив каменную плиту справа, вы обнаружите потайной проход.</t>
  </si>
  <si>
    <t>В конце пути будет сундук и места с предметами.
Получение случайных предметов.</t>
  </si>
  <si>
    <t>Forgotten Tomb: 
Zerstöre die Steintafel auf der rechten Seite, um einen versteckten Gang zu finden</t>
  </si>
  <si>
    <t>Im Forgotten Tomb kannst du eine Truhe und versteckte Lichtpunkte finden</t>
  </si>
  <si>
    <t>Ở tầng thứ nhất của Khu Mộ Bị Lãng Quên, bạn có thể phá đổ một bia mộ ở bên phải và sẽ có một lối đi ẩn</t>
  </si>
  <si>
    <t>Ở cuối con đường sẽ có một rương và các vật phẩm.
Nhận vật phẩm ngẫu nhiên.</t>
  </si>
  <si>
    <t>No primerio andar da Forgotten Tomb, derrube(quebre) a lápide mais à direita e encontrará um caminho secreto.</t>
  </si>
  <si>
    <t>Você encontrará um baú e locais com item no final do caminho. Obtém itens aleatórios.</t>
  </si>
  <si>
    <t>Di makam yang terlupakan, memecahkan lempengan batu di sebelah kanan akan mengungkap lorong tersembunyi.</t>
  </si>
  <si>
    <t>Peti harta karun dan titik-titik bercahaya tersembunyi dapat ditemukan di dalam peta tersembunyi.</t>
  </si>
  <si>
    <t>RD6</t>
  </si>
  <si>
    <t>被遺忘的墓穴第一層右邊洞窟出入口旁，在一排蛋的左邊有一個寶箱</t>
  </si>
  <si>
    <t>獲得武器-臭魚骨</t>
  </si>
  <si>
    <t>忘却のカタコンベ上層右側の卵が3つ並んでいる場所に宝箱があります。</t>
  </si>
  <si>
    <t>On the base floor of the Forgotten Tomb, there is a chest that you can open near the cave entrance.</t>
  </si>
  <si>
    <t>Obtain "Rotten Fishbone" equipment</t>
  </si>
  <si>
    <t xml:space="preserve">被遗忘的墓穴第一层右边洞窟出入口旁，在一排蛋的左边有一个宝箱
</t>
  </si>
  <si>
    <t>获得武器-臭鱼骨</t>
  </si>
  <si>
    <t>En el primer piso de la Tumba Olvidada, hay un cofre que puedes abrir cerca de la entrada a la cueva</t>
  </si>
  <si>
    <t>Слева от ряда яиц, рядом с правым входом в пещеру, находится сундук.</t>
  </si>
  <si>
    <t>Получение оружия: Вонючая Рыбья Кость</t>
  </si>
  <si>
    <t>Erhalte die Waffe „Verfaulter Fischknochen"</t>
  </si>
  <si>
    <t>Tầng đầu tiên của Khu Mộ Bị Lãng Quên, có một chiếc rương mà bạn có thể mở gần cửa hang.</t>
  </si>
  <si>
    <t>Nhận trang bị “Xương Cá Thối”.</t>
  </si>
  <si>
    <r>
      <rPr>
        <rFont val="Microsoft JhengHei"/>
        <color theme="1"/>
      </rPr>
      <t xml:space="preserve">No andar base do </t>
    </r>
    <r>
      <rPr>
        <rFont val="Microsoft JhengHei"/>
        <i/>
        <color theme="1"/>
      </rPr>
      <t>Forgotten Tomb</t>
    </r>
    <r>
      <rPr>
        <rFont val="Microsoft JhengHei"/>
        <color theme="1"/>
      </rPr>
      <t>, existe um baú que você pode abrir próximo da entrada da caverna.</t>
    </r>
  </si>
  <si>
    <t>Obtém o equipamento "Espinha de Peixe Podre".</t>
  </si>
  <si>
    <t>Terdapat peti harta karun di sebelah kiri deretan telur, di samping pintu masuk gua sebelah kanan di tingkat pertama Makam Terlupakan.</t>
  </si>
  <si>
    <t>Dapatkan senjata - Tulang Ikan Busuk</t>
  </si>
  <si>
    <t>忘卻的墓穴-下層</t>
  </si>
  <si>
    <t>Forgotten Catacombs - Upper Level</t>
  </si>
  <si>
    <t>忘却的墓穴-下层</t>
  </si>
  <si>
    <t>Забытые катакомбы - Нижний уровень</t>
  </si>
  <si>
    <t>Catacumbas Esquecidas - Nível Superior  (Forgotten Catacombs - Upper Level)</t>
  </si>
  <si>
    <t>RD7</t>
  </si>
  <si>
    <t>被遺忘的墓穴-1，中間的蛋附近一個寶箱</t>
  </si>
  <si>
    <t>獲得武器-雪見</t>
  </si>
  <si>
    <t>忘却のカタコンベ下層の中央辺り、卵がたくさん並んでる場所に宝箱があります</t>
  </si>
  <si>
    <t>In the lower levels of the Forgotten Tomb, there is a chest nearby a row of eggs in the middle.</t>
  </si>
  <si>
    <t>Obtain "Snow Watch" weapon.</t>
  </si>
  <si>
    <t>被遗忘的墓穴-1，中间的蛋附近一个宝箱</t>
  </si>
  <si>
    <t>获得武器-雪见</t>
  </si>
  <si>
    <t>En los niveles inferiores de la Tumba Olvidada, hay un cofre cerca de una fila de huevos en el centro.</t>
  </si>
  <si>
    <t>Сундук с сокровищами рядом с яйцом посередине.</t>
  </si>
  <si>
    <t>Получение оружия: Снежный дозор</t>
  </si>
  <si>
    <t>Hol dir die Waffe ,,Schneeschau"</t>
  </si>
  <si>
    <t>Ở các tầng thấp hơn của Khu Mộ Bị Lãng Quên, có một chiếc rương gần một hàng trứng ở giữa.</t>
  </si>
  <si>
    <t>Nhận vũ khí “Tuyết Giám”.</t>
  </si>
  <si>
    <r>
      <rPr>
        <rFont val="Microsoft JhengHei"/>
        <color theme="1"/>
      </rPr>
      <t xml:space="preserve">No nível mais baixo da </t>
    </r>
    <r>
      <rPr>
        <rFont val="Microsoft JhengHei"/>
        <i/>
        <color theme="1"/>
      </rPr>
      <t>Forgotten Tomb</t>
    </r>
    <r>
      <rPr>
        <rFont val="Microsoft JhengHei"/>
        <color theme="1"/>
      </rPr>
      <t>, existe um baú próximo da linha de ovos no meio.</t>
    </r>
  </si>
  <si>
    <t>Obtém a arma "Vigia da Neve".</t>
  </si>
  <si>
    <t>Makam Terlupakan-1, peti harta karun di dekat telur di tengah.</t>
  </si>
  <si>
    <t>Dapatkan senjata - Xuejian</t>
  </si>
  <si>
    <t>???墓穴(狂亂的紅獸)</t>
  </si>
  <si>
    <t>Forgotten Catacombs - Lower Level</t>
  </si>
  <si>
    <t>??? Гробница (Обезумевший Багровый зверь)</t>
  </si>
  <si>
    <t>Catacumbas Esquecidas - Nível Inferior (Forgotten Catacombs - Lower Level)</t>
  </si>
  <si>
    <t>RD8</t>
  </si>
  <si>
    <t>於"???墓穴(狂亂的紅獸)"
遺跡BOSS-狂亂的紅獸，下方的懸崖利用道具過去，可以在那裏找到寶箱
或者使用復活羽毛，從上一層的左下角地洞掉落，跳過BOSS進入該地區。</t>
  </si>
  <si>
    <t>獲得"倒吊人的骨戒"裝備</t>
  </si>
  <si>
    <t>崖の下の道具を使って向こう側に渡ると、宝箱が見つかります。
または、復活の羽根を使って上層の左下の穴から落下しボスをスキップしてそのエリアに進むこともできます</t>
  </si>
  <si>
    <t>In the room of the first boss, there is a place you can get into below the map. Use items or Senpo Tachi to get to the other side. Additionally, you can use the Phoenix Feather and fall in the bottom-left hole from the previous floor.</t>
  </si>
  <si>
    <t>被遗忘的墓穴-2 遗迹BOSS-狂乱的红兽，下方的悬崖利用道具过去，可以在那里找到宝箱 或者使用复活羽毛，从上一层的左下角地洞掉落，跳过BOSS进入该地区。</t>
  </si>
  <si>
    <t>获得"倒吊人的骨戒"装备</t>
  </si>
  <si>
    <t>En la sala del primer jefe, hay un lugar al que puedes acceder por debajo del mapa. Usa objetos o Senpo Tachi para llegar al otro lado. Además, puedes usar la Pluma de Fénix y caer en el agujero de abajo a la izquierda desde el piso anterior.</t>
  </si>
  <si>
    <t>Комната Босса.
Используйте предмет, чтобы пересечь обрыв внизу локации и найти сундук.
В качестве альтернативы, используйте Перо Феникса, чтобы спуститься с нижнего левого угла предыдущего уровня, минуя босса и попав в эту область.</t>
  </si>
  <si>
    <t>Forgotten Catacombs- 2. Wo der Ruinen-Boss (die wahnsinnige rote Bestie) ist, überquere die Klippe unten mit einem Item, um dort eine Truhe zu finden. Alternativ kannst du eine Wiederbelebungsfeder verwenden, um vom linken unteren Bereich der vorherigen Ebene in das Loch zu fallen und den Boss zu überspringen, um in diesen Bereich zu gelangen.</t>
  </si>
  <si>
    <t>Erhalte die Ausrüstung: 
Knochenring des Gehängten</t>
  </si>
  <si>
    <t xml:space="preserve">Trong căn phòng của boss đầu tiên, sẽ có một nơi bạn có thể đi vào bên dưới bản đồ. Dùng vật phẩm hoặc Senpo Tachi để sang đến bên kia. Thêm vào đó, bạn có thể sử dụng Hỏa Điểu Vũ và rơi xuống cái hố bên trái góc dưới từ tầng trước đó </t>
  </si>
  <si>
    <t>Na sala do primeiro chefe, Existe um espaço que você pode ir na parte de baixo do mapa. Use itens ou Senpo Tachi para chegar ao outro lado. Em adição, você pdoe usar a pena da fênix para cair no buraco na parte de baixo à esquerda do andar prévio.</t>
  </si>
  <si>
    <t>Obtém o equipamento "Anel de Osso do Homem Enforcado".</t>
  </si>
  <si>
    <t>Makam Terlupakan - 2 Reruntuhan BOSS - Binatang Merah Mengamuk. Gunakan item untuk menyeberangi tebing di bawah untuk menemukan peti harta karun.
Alternatifnya, gunakan bulu kebangkitan untuk turun dari sudut kiri bawah level sebelumnya, melewati BOSS dan memasuki area tersebut.</t>
  </si>
  <si>
    <t>Dapatkan perlengkapan "Cincin Tulang Orang yang Digantung".</t>
  </si>
  <si>
    <t>RD9</t>
  </si>
  <si>
    <t>深淵BOSS
狂亂的紅獸</t>
  </si>
  <si>
    <t>於"???墓穴(狂亂的紅獸)"
攻略遺跡BOSS</t>
  </si>
  <si>
    <t>獲得道具和裝備
P.S.深淵BOSS每七天會重生，而且每次重生會更强，也可以使用"世界"塔羅牌</t>
  </si>
  <si>
    <t>深淵のBOSS</t>
  </si>
  <si>
    <t xml:space="preserve">深淵の3階層にいるBOSS
狂乱の紅獣
</t>
  </si>
  <si>
    <t>BOSSを倒すことで装備とアイテムを獲得できる！
P,S,BOSSは7日事に復活し、復活するごとに強くなる…タロットカード「ザ・ワールド」を使用する事ですぐに復活することが出来る！</t>
  </si>
  <si>
    <t>Abyss Boss: Frenzied Crimson Beast</t>
  </si>
  <si>
    <t>Fight the Frenzied Crimson Beast  on the 3rd level of the Ruins Labyrinth.</t>
  </si>
  <si>
    <t>Obtain items and equipment.
Note: The Abyss Boss will respawn every 7 days. You can forcibly respawn it using "The World" tarot card.</t>
  </si>
  <si>
    <t>深渊BOSS</t>
  </si>
  <si>
    <t>被遗忘的墓穴-2 攻略遗迹BOSS</t>
  </si>
  <si>
    <t>获得道具和装备 P.S.深渊BOSS每七天会重生，而且每次重生会更强，也可以使用"世界"塔罗牌</t>
  </si>
  <si>
    <t>JEFE del abismo</t>
  </si>
  <si>
    <t xml:space="preserve">Pelea contra el jefe del abismo en el tercer nivel del Laberinto en ruinas </t>
  </si>
  <si>
    <t>Босс Бездны</t>
  </si>
  <si>
    <t>Можете ознакомиться с руководством по победе над боссом Руин.</t>
  </si>
  <si>
    <t>Получение предметов и экипировки.
P.S. Босс Бездны возрождается каждые семь дней, и каждое последующее возрождение делает его сильнее.
Вы также можете использовать карту Таро «Мир». (Чтобы сбросить таймер событий)</t>
  </si>
  <si>
    <t>Ruinen-Boss</t>
  </si>
  <si>
    <t>Forgotten Catacombs- 2
Besiege dort den Ruinenboss</t>
  </si>
  <si>
    <t>Erhalte Items und Ausrüstung
P.S. Der Ruinen-Boss wird alle sieben Tage wiedergeboren und wird bei jeder Wiedergeburt stärker. Du kannst auch die "Welt"-Tarotkarte verwenden.</t>
  </si>
  <si>
    <t>Boss Vực Thẳm</t>
  </si>
  <si>
    <t>Đánh boss Vực Thẳm ở tầng 3 của Mê Cung Tàn Tích.</t>
  </si>
  <si>
    <t>Nhận vật phẩm và trang bị.
Lưu ý: Trùm Vực Thẳm sẽ hồi sinh lại sau mỗi 7 ngày. Bạn có thể ép nó hồi sinh bằng cách dùng lá bài tarot “Thế Giới”.</t>
  </si>
  <si>
    <t>Chefe do Abismo</t>
  </si>
  <si>
    <t>Lute contra a Besta em Frenesi Rubra que está no terceiro nível do Labirinto da Ruína.</t>
  </si>
  <si>
    <t>Obtém itens e equipamentos.
Nota: O chefe do Abismo irá reaparecer a cada 7 dias. você pode forçosamente trazê-lo de volta usando a carta de tarô "O Mundo".</t>
  </si>
  <si>
    <t>Bos Jurang</t>
  </si>
  <si>
    <t>Makam Terlupakan - 2: Panduan untuk mengalahkan Bos Reruntuhan</t>
  </si>
  <si>
    <t>Dapatkan item dan perlengkapan
P.S. Bos Abyss muncul kembali setiap tujuh hari, dan setiap kemunculan kembali akan lebih kuat. Anda juga dapat menggunakan kartu Tarot "Dunia".</t>
  </si>
  <si>
    <t>RD10</t>
  </si>
  <si>
    <t>贖罪吧</t>
  </si>
  <si>
    <t>於"???墓穴(狂亂的紅獸)"
攻略遺跡的BOSS(必須要20秒內打完)，會有一個召喚門</t>
  </si>
  <si>
    <t>新地點-墮落的聖堂
有營火
(地圖簡稱"教堂"，目前NPC無任何功能，等待日後更新)</t>
  </si>
  <si>
    <t>汝よ、自からの罪を数えよ！</t>
  </si>
  <si>
    <t>深淵3階層のBOSSを倒すと異空間に繋がる建物が出現する
※20秒以内に倒すと発生する</t>
  </si>
  <si>
    <t>隠しマップ‐堕落の聖堂
聖堂には焚き火と謎のサキュバスが存在してるが現時点ではまだ「その時」ではないらしい
(後続のイベントは未実装)</t>
  </si>
  <si>
    <t>Atone for your sins</t>
  </si>
  <si>
    <t>If you kill the BOSS of the Labyrinth Ruins within 20 seconds, a special door will appear.</t>
  </si>
  <si>
    <t>New Location - "The Fallen Church"
Also called "Church". There are plethora of items and an NPC.
Currently this place serves no purpose and will be implemented in the future.</t>
  </si>
  <si>
    <t>赎罪吧</t>
  </si>
  <si>
    <t>被遗忘的墓穴-2 攻略遗迹的BOSS(必须要20秒内打完)，会有一个召唤门</t>
  </si>
  <si>
    <t>新地点-堕落的圣堂 有营火 (地图简称"教堂"，目前NPC无任何功能，等待日后更新)</t>
  </si>
  <si>
    <t>Expia tus pecados</t>
  </si>
  <si>
    <t>Искупи свои грехи</t>
  </si>
  <si>
    <t>Победите босса Руин (необходимо выполнить в течение 20 секунд), после чего появятся врата в Падшую церковь.</t>
  </si>
  <si>
    <t>Новая локация — Падшая церковь (с костром)
(Эта локация просто называется «Церковь». 
В настоящее время NPC не выполняют никаких функций и будут обновлены позже.)</t>
  </si>
  <si>
    <t>Buße</t>
  </si>
  <si>
    <t>Besiege den Ruinen-Boss in der Forgotten Catacombs- 2 innerhalb von 20 Sekunden, um ein Kirchentor zu beschwören</t>
  </si>
  <si>
    <t>Neuer Ort – The Fallen Sanctuary
Es gibt ein Lagerfeuer.
(Kartenkürzel: „Kathedrale“. Die NPCs haben derzeit keine Funktion – Inhalte folgen in zukünftigen Updates.)</t>
  </si>
  <si>
    <t>Chuộc lại tội lỗi của bạn</t>
  </si>
  <si>
    <t>Nếu bạn giết boss của Mê Cung Tàn Tích trong vòng 20 giây, một cánh cửa đặc biệt sẽ xuất hiện.</t>
  </si>
  <si>
    <t>Địa điểm mới – “Nhà Thờ Sa Ngã”
Còn gọi là “Nhà Thờ”. Bên trong có một đống lửa, rất nhiều vật phẩm và một NPC.
Hiện tại nơi này chưa có tác dụng và sẽ được triển khai trong tương lai.</t>
  </si>
  <si>
    <t>Reparar seus pecados</t>
  </si>
  <si>
    <t>Se você matar o chefe do labirinto da ruína em até 20 segundos, uma porta especial aparecerá.</t>
  </si>
  <si>
    <t>Novo local - "A Igreja Caída"
Também chamado de  "Igreja". Existe uma pletora de itens e um NPC.
Atualmente esse local não tem propósito e será implementado no futuro.</t>
  </si>
  <si>
    <t>Tebuslah dosa-dosamu</t>
  </si>
  <si>
    <t>Makam Terlupakan - 2: Kalahkan bos di reruntuhan (harus diselesaikan dalam 20 detik), dan portal pemanggilan akan muncul.</t>
  </si>
  <si>
    <t>Lokasi baru - Gereja yang Runtuh. Api unggun tersedia.
(Singkatan peta: "Gereja". Saat ini, NPC belum memiliki fungsi; menunggu pembaruan di masa mendatang.)</t>
  </si>
  <si>
    <t>RD11</t>
  </si>
  <si>
    <t>大焦熱溶岩帶</t>
  </si>
  <si>
    <t>於"???墓穴(狂亂的紅獸)"
往洞口掉落(請攜帶復活羽毛)，即可抵達新地圖</t>
  </si>
  <si>
    <t>新地圖：大焦熱溶岩帶
(本地圖各功能皆尚未完成，可能遭遇錯誤BUG，未存檔前不建議前往。)</t>
  </si>
  <si>
    <t>大焦熱溶岩帯</t>
  </si>
  <si>
    <t>忘却のカタコンベ-2において、穴に落ちると新しいマップ行くことができます（火の鳥の羽を装備して落ちよう…）</t>
  </si>
  <si>
    <t>このマップの各機能は未完成のため、エラーやバグに遭遇する可能性があります。セーブせず向かうのは推奨しません。</t>
  </si>
  <si>
    <t>Scorching Lava Zone</t>
  </si>
  <si>
    <t>In Forgotten Catacombs - 2, drop down from the entrance of the cave to reach the new map. Bring a "Feather of Firebird" or use the "Sun" item and try saving before doing so.</t>
  </si>
  <si>
    <t>New area unlocked: "Scorching Lava Zone"
(This map is not completely finished and as such, it might cause bugs or errors. Please save before going here.)</t>
  </si>
  <si>
    <t>大焦热溶岩带</t>
  </si>
  <si>
    <t>于被遗忘的墓穴-2，往洞口掉落(请携带复活羽毛)，即可抵达新地图</t>
  </si>
  <si>
    <t>新地图：大焦热溶岩带 (本地图各功能皆尚未完成，可能遭遇错误BUG，未存档前不建议前往。)</t>
  </si>
  <si>
    <t>Zona de lava</t>
  </si>
  <si>
    <t>En Catacumbas Olvidadas - 2, déjate caer desde la entrada de la cueva para llegar al nuevo mapa. Lleva una «Pluma de Pájaro de Fuego» e intenta guardar antes de hacerlo.</t>
  </si>
  <si>
    <t>Место у лавы</t>
  </si>
  <si>
    <t>Упадите с обрыва в комнате с Боссом (обязательно экипируйте Перо Феникса перед тем как упасть), чтобы попасть в эту локацию.</t>
  </si>
  <si>
    <t>Новая локация: Место у лавы
(Функционал локации ещё не доработан, и в ней могут встречаться ошибки. Не рекомендуется посещать её, не сохранив игру.)</t>
  </si>
  <si>
    <t>Große, brennend heiße Lavazone</t>
  </si>
  <si>
    <t>Forgotten Catacombs - 2, falle in den Eingang der Höhle (bitte nimm ein Wiederbelebungsfeder mit), um eine neue Karte zu erreichen</t>
  </si>
  <si>
    <t>Neuen Scorching Lava Zone.
(Diese Karte ist noch unvollständig, es können Fehler und Bugs auftreten. Es wird empfohlen, sie nicht zu betreten, bevor du gespeichert hast.)</t>
  </si>
  <si>
    <t>Vùng Dung Nham Nóng Chảy</t>
  </si>
  <si>
    <t>Ở Khu Mộ Bị Lãng Quên - 2, nhảy xuống từ lối vào hang để đến bản đồ mới. Hãy mang theo “Hỏa Điểu Vũ” và thử lưu trước khi thực hiện.</t>
  </si>
  <si>
    <t>Khu vực mới được mở khóa: “Khu Dung Nham Nóng Cháy”.
(Bản đồ này chưa hoàn chỉnh nên có thể gây ra lỗi. Hãy lưu game trước khi đến đây.)</t>
  </si>
  <si>
    <t>Zona de Lava Escaldante</t>
  </si>
  <si>
    <r>
      <rPr>
        <rFont val="Microsoft JhengHei"/>
        <color theme="1"/>
      </rPr>
      <t xml:space="preserve">Na </t>
    </r>
    <r>
      <rPr>
        <rFont val="Microsoft JhengHei"/>
        <i/>
        <color theme="1"/>
      </rPr>
      <t>Forgotten Catacombs - 2</t>
    </r>
    <r>
      <rPr>
        <rFont val="Microsoft JhengHei"/>
        <color theme="1"/>
      </rPr>
      <t>, Caindo da entrada da caverna para chegar ao novo mapa. Traga uma "Pena do pássaro de fogo" e tente salvar antes de fazer isso.</t>
    </r>
  </si>
  <si>
    <r>
      <rPr>
        <rFont val="Microsoft JhengHei"/>
        <color theme="1"/>
      </rPr>
      <t>Nova área é desbloquea: "</t>
    </r>
    <r>
      <rPr>
        <rFont val="Microsoft JhengHei"/>
        <i/>
        <color theme="1"/>
      </rPr>
      <t>Scorching Lava Zone</t>
    </r>
    <r>
      <rPr>
        <rFont val="Microsoft JhengHei"/>
        <color theme="1"/>
      </rPr>
      <t>"
(Esse mapa não está completamente finalizado e logo, pode causar alguns buggs ou erros. Por afvor, salve antes de entrar aqui.).</t>
    </r>
  </si>
  <si>
    <t>Sabuk lava panas Dajiao</t>
  </si>
  <si>
    <t>Di Makam Terlupakan-2, jatuhkan tubuh ke arah pintu masuk (harap bawa bulu kebangkitan) untuk mencapai peta baru.</t>
  </si>
  <si>
    <t>Peta Baru: Zona Lava Hangus yang Luas
(Fungsi peta ini belum lengkap dan mungkin mengalami bug. Tidak disarankan untuk pergi ke sana sebelum menyimpan permainan Anda.)</t>
  </si>
  <si>
    <t>墮落的聖堂</t>
  </si>
  <si>
    <t>Fallen Sanctuary</t>
  </si>
  <si>
    <t>Падшая церковь</t>
  </si>
  <si>
    <t>Santuário Caído (Fallen Sanctuary)</t>
  </si>
  <si>
    <t>RD12</t>
  </si>
  <si>
    <t>教堂隱藏物品-1</t>
  </si>
  <si>
    <t>教堂NPC後方，石像的背後</t>
  </si>
  <si>
    <t>裝備:聖少女的憐憫</t>
  </si>
  <si>
    <t>教会に隠されたもの-1</t>
  </si>
  <si>
    <t>謎の淫魔の後ろにある石造の裏側</t>
  </si>
  <si>
    <t>装備を入手</t>
  </si>
  <si>
    <t>Hidden Item - Church - 1</t>
  </si>
  <si>
    <t>Behind the NPC in the Church, there is a statue. Behind it is the hidden item.</t>
  </si>
  <si>
    <t>Obtain "Saint Maiden's Mercy" equipment.</t>
  </si>
  <si>
    <t>教堂隐藏物品-1</t>
  </si>
  <si>
    <t xml:space="preserve">教堂NPC后方，石像的背后
</t>
  </si>
  <si>
    <t>装备:圣少女的怜悯</t>
  </si>
  <si>
    <t>Objeto oculto de la iglesia - 1</t>
  </si>
  <si>
    <t>Detras del NPC en la iglesia, hay una estatua. Detras de la estatua hay un objeto oculto</t>
  </si>
  <si>
    <t>За спиной NPC в церкви находится статуя. За ней спрятан предмет.</t>
  </si>
  <si>
    <t>Получение экипировки: Милость Святой Девы</t>
  </si>
  <si>
    <t>Versteckter Gegenständ der Kirche- 1</t>
  </si>
  <si>
    <t>Hinter dem Kirchen-NPC, auf der Rückseite der Statue.</t>
  </si>
  <si>
    <t>Ausrüstung: Gnade der Heiligen Jungfrau</t>
  </si>
  <si>
    <t>Vật phẩm ẩn - Nhà thờ - 1</t>
  </si>
  <si>
    <t>Đằng sau NPC trong Nhà Thờ có một bức tượng. Sau bức tượng là vật phẩm ẩn.</t>
  </si>
  <si>
    <t>Nhận trang bị “Lòng Thương Xót của Thánh Nữ"</t>
  </si>
  <si>
    <t>Item Escondido - Igreja - 1</t>
  </si>
  <si>
    <t>Atrás do NPC na Igreja, existe uma estátua. Atrás dela tem um item escondido.</t>
  </si>
  <si>
    <t>Obtém o equipamento "Misericórdia da Donzela Santa".</t>
  </si>
  <si>
    <t>Barang Tersembunyi Gereja - 1</t>
  </si>
  <si>
    <t>Di belakang NPC gereja, di belakang patung batu.</t>
  </si>
  <si>
    <t>Perlengkapan: Belas Kasihan Gadis Suci</t>
  </si>
  <si>
    <t>RD13</t>
  </si>
  <si>
    <t>懺悔吧</t>
  </si>
  <si>
    <t>與教堂中的修女懺悔，興奮值需要高於50%
不足的話會沒有選項</t>
  </si>
  <si>
    <t xml:space="preserve">觸發第一段劇情
*選擇傷害她會觸發必死。 </t>
  </si>
  <si>
    <t>悔い改めなさい…</t>
  </si>
  <si>
    <t>教会の修道女に懺悔する</t>
  </si>
  <si>
    <t>最初のストーリーが発生する</t>
  </si>
  <si>
    <t>Confession</t>
  </si>
  <si>
    <t xml:space="preserve">Confess your sins to the "Nun" at the Fallen Sanctuary
If your excitement level is below 50%, the option to confess won't appear
</t>
  </si>
  <si>
    <t xml:space="preserve">Triggers the Confession event with the "Nun"
*Hurting her will force an unwinnable "boss battle" </t>
  </si>
  <si>
    <t>忏悔吧</t>
  </si>
  <si>
    <t>与教堂中的修女忏悔，兴奋值需要高于50%
不足的话会没有选项</t>
  </si>
  <si>
    <t xml:space="preserve">触发第一段剧情
*选择伤害她会触发必死。 </t>
  </si>
  <si>
    <t>Arrepentirse</t>
  </si>
  <si>
    <t>Признание</t>
  </si>
  <si>
    <t xml:space="preserve">Исповедуйтесь монахине.
Если ваш уровень возбуждения ниже 50%, возможность исповедаться не появится.
</t>
  </si>
  <si>
    <t>Запускает событие «Признание» с «монахиней».
*Если вы нападёте на неё, то это преведет к битве
(в ней у Курохи не будет ни шанса на победу).</t>
  </si>
  <si>
    <t>Beichte deine Sünden der "Nonne" im Gefallenen Heiligtum.</t>
  </si>
  <si>
    <t>Beginnt den ersten Teil der Handlung.</t>
  </si>
  <si>
    <t>Thú tội</t>
  </si>
  <si>
    <t>Thú tội của bạn với "Nữ tu" ở Nhà Thờ Sa Ngã</t>
  </si>
  <si>
    <t>Xảy ra sự kiên Thú tội với "Nữ tu"
*Chọn làm đau cô ấy sẽ buộc bạn có một "trận chiến boss" không thể thắng</t>
  </si>
  <si>
    <t>Confissão</t>
  </si>
  <si>
    <t>Para confessar-se à "freira" na igreja você precisa ter uma excitação de 50%. Caso não esteja, essa opção não aparecerá.</t>
  </si>
  <si>
    <t xml:space="preserve">Ocorre a primeira parte do enredo desse evento
*Escolher machucá-la resutará em morte certa."
</t>
  </si>
  <si>
    <t>Menyesali</t>
  </si>
  <si>
    <t>Untuk mengaku dosa kepada para biarawati di gereja, tingkat antusiasme Anda harus di atas 50%. Jika terlalu rendah, tidak akan ada pilihan.</t>
  </si>
  <si>
    <t>Picu bagian pertama cerita.
*Memilih untuk menyakitinya akan mengakibatkan kematian.*</t>
  </si>
  <si>
    <t>RD14</t>
  </si>
  <si>
    <t>懺悔吧-1</t>
  </si>
  <si>
    <t>當罪惡值達到-，可以觸發第二段懺悔</t>
  </si>
  <si>
    <t>觸發第二段劇情
*未實裝</t>
  </si>
  <si>
    <t>悔い改めなさい…-1</t>
  </si>
  <si>
    <t>罪悪値が－に達すると、2回目の懺悔が出来るようになる</t>
  </si>
  <si>
    <t xml:space="preserve">
二段階目のストーリーが発生する
※未実装</t>
  </si>
  <si>
    <t>Confession - 1</t>
  </si>
  <si>
    <t>When your sin value reaches -, you can confess again to the "Nun"</t>
  </si>
  <si>
    <t>Triggers the second part of the storyline. 
*Not yet implemented</t>
  </si>
  <si>
    <t>忏悔吧-1</t>
  </si>
  <si>
    <t>当罪恶值达到-，可以触发第二段忏悔</t>
  </si>
  <si>
    <t>触发第二段剧情
*未实装</t>
  </si>
  <si>
    <t>Arrepentirse - 1</t>
  </si>
  <si>
    <t>Признание - 1</t>
  </si>
  <si>
    <t>Когда ваш показатель грехов достигнет нуля, вы можете снова исповедаться монахине.</t>
  </si>
  <si>
    <t>Запускает вторую часть сюжетной линии.
*Пока не реализовано</t>
  </si>
  <si>
    <t>Wenn dein Sündenwert - erreicht, kannst du erneut der "Nonne" beichten.</t>
  </si>
  <si>
    <t>Löst den zweiten Teil der Handlung aus.
Noch nicht implementiert</t>
  </si>
  <si>
    <t>Thú tội - 1</t>
  </si>
  <si>
    <t>Khi giá trị tội lỗi của bạn chạm mức -, bạn có thể thú tội lần nữa với "Nữ tu"</t>
  </si>
  <si>
    <t>Bắt đầu phần thứ hai của cốt truyện
*Chưa được triển khai</t>
  </si>
  <si>
    <t>Confissão-1</t>
  </si>
  <si>
    <t>Quando o valor do pecado atingir -, você poderá se confessar novamente à "freira".</t>
  </si>
  <si>
    <t>Acorre a segunda parte do enredo desse evento
*Ainda não implementado</t>
  </si>
  <si>
    <t>Bertobat - 1</t>
  </si>
  <si>
    <t>Ketika nilai dosa mencapai -, tahap kedua pertobatan dapat dipicu.</t>
  </si>
  <si>
    <t>Memicu bagian kedua cerita
*Belum diimplementasikan</t>
  </si>
  <si>
    <t>Zona de Lava Escaldante (Scorching Lava Zone)</t>
  </si>
  <si>
    <t>RD15</t>
  </si>
  <si>
    <t>於"大焦熱溶岩帶"左側柱子後面，有個隱藏物品與採集處</t>
  </si>
  <si>
    <t>裝備:熔岩戒指
*此道具可以通過地圖刷新後重複取得</t>
  </si>
  <si>
    <t>大焦熱溶岩帯エリアの左側の柱の後ろに、取得できるアイテムがあります</t>
  </si>
  <si>
    <t>装備：溶岩リング
※この装備はマップを更新すると繰り返し入手できます</t>
  </si>
  <si>
    <t>Behind the pillar to the left in the Scorching Lava Zone area, there is an item that you can collect.</t>
  </si>
  <si>
    <t>Obtain "Lava Ring" equipment.
*This item can be obtained every time you enter the map.</t>
  </si>
  <si>
    <t>于"大焦热溶岩带"左侧柱子后面，有个隐藏物品与采集处</t>
  </si>
  <si>
    <t>装备:熔岩戒指 *此道具可以通过地图刷新后重复取得</t>
  </si>
  <si>
    <t>За колонной слева от «Места у лавы» находится спрятанный предмет.</t>
  </si>
  <si>
    <t>Получение экипировки: Лавовое кольцо
*Этот предмет можно получить повторно после обновления карты.</t>
  </si>
  <si>
    <t>Im ,,Scorching Lava Zone area" Ort, hinter der Säule auf der linken Seite, gibt es ein verstecktes Item und einen Sammelpunkt</t>
  </si>
  <si>
    <t xml:space="preserve">Sie benötigen den Lavaring.
*Dieses Item kann nach dem Aktualisieren der Karte erneut erhalten werden. </t>
  </si>
  <si>
    <t>Đằng sau cái cột bên trái của Khu Dung Nham Nóng Chảy, có một vật phẩm bạn có thể nhặt</t>
  </si>
  <si>
    <t>Nhận trang bị “Nhẫn Hỏa Ngục”.
*Vật phẩm này có thể được nhận mỗi lần bạn vào bản đồ.</t>
  </si>
  <si>
    <r>
      <rPr>
        <rFont val="Microsoft JhengHei"/>
        <color theme="1"/>
      </rPr>
      <t xml:space="preserve">Atrás do pilar à esquerda da área </t>
    </r>
    <r>
      <rPr>
        <rFont val="Microsoft JhengHei"/>
        <i/>
        <color theme="1"/>
      </rPr>
      <t>Scorching Lava Zone</t>
    </r>
    <r>
      <rPr>
        <rFont val="Microsoft JhengHei"/>
        <color theme="1"/>
      </rPr>
      <t>, existe um item que você pode coletar.</t>
    </r>
  </si>
  <si>
    <t>Obtém o equipamento "Anel de Lava".
*Esse item pode ser obtido toda vez que entrar no mapa..</t>
  </si>
  <si>
    <t>Di balik pilar di sisi kiri "Sabuk Lava Kokas Besar", terdapat item tersembunyi dan titik pengumpulan.</t>
  </si>
  <si>
    <t>Perlengkapan: Cincin Lava
*Item ini dapat diperoleh berulang kali setelah peta diperbarui.</t>
  </si>
  <si>
    <t>X</t>
  </si>
  <si>
    <t>無特定區域</t>
  </si>
  <si>
    <t>Non-specific Area</t>
  </si>
  <si>
    <t>(Нет конкретной области)</t>
  </si>
  <si>
    <t>Áreas não específicas (Non-specific Area)</t>
  </si>
  <si>
    <t>RX1</t>
  </si>
  <si>
    <t>劍術修行</t>
  </si>
  <si>
    <t>習得「閃步太刀」後
裝備「近戰武器」進行揮空攻擊達到第4次時，將自動進入隱藏的劍術修行狀態。
若使用增大了的武器，可以提升修行效率（例如塔羅牌或武器本身附帶技能）。</t>
  </si>
  <si>
    <t>在修行過程中，將逐步累積隱藏數值，最高可達空揮36000次。
[4, 15, 50, 150, 500, 1600, 4800, 12000, 24000, 36000]
隨著空揮次數的累積，將逐漸提升平砍攻擊力和些微的攻擊速度
攻擊倍率最高為357%(1.8*劍術修行等級)</t>
  </si>
  <si>
    <t>剣術修行</t>
  </si>
  <si>
    <t>『閃步太刀』を習得後、近接武器を装備して空振り攻撃を4回行うと、自動的に隠された剣術修行状態に入ります。もし強化された武器を使用すると、修行の効率が向上します（例えば、タロットカードや武器自体に付随するスキルなど）</t>
  </si>
  <si>
    <t>修行の過程で、隠された数値が段階的に蓄積されます。空振り回数が蓄積されるにつれて、通常攻撃力とわずかな攻撃速度が徐々に上がっていく!※36000回まで</t>
  </si>
  <si>
    <t>Swordsmanship Training</t>
  </si>
  <si>
    <t>Prerequisite: Senpo Tachi
After swinging your sword for the 4th time in the air, you will receive a hidden skill. Additionally, you can also speed up your training efficiency when using a large weapon (e.g Strength Tarot card, weapon skills, etc.)</t>
  </si>
  <si>
    <t>Obtain new passive: "Swordsmanship Training".
You can do practice swings. While practicing, you can accumulate up to 36000 practice swings, with each swing increasing the base damage of each melee weapon by a certain amount. The amount is increased on intervals of
[4, 15, 50, 150, 500, 1600, 4800, 12000, 24000, 36000]
Attack speed also increases by a short amount. The maximum attack multiplier is 357% (1.8 * swordsmanship training level)."</t>
  </si>
  <si>
    <t>剑术修行</t>
  </si>
  <si>
    <t>习得「闪步太刀」后 装备「近战武器」进行挥空攻击达到第4次时，将自动进入隐藏的剑术修行状态。 若使用增大了的武器，可以提升修行效率（例如塔罗牌或武器本身附带技能）。</t>
  </si>
  <si>
    <t>在修行过程中，将逐步累积隐藏数值，最高可达空挥36000次。 随着空挥次数的累积，将逐渐提升平砍攻击力和些微的攻击速度</t>
  </si>
  <si>
    <t>Entrenamiento de esgrima</t>
  </si>
  <si>
    <t>Тренировки по фехтованию</t>
  </si>
  <si>
    <t>Обязательное условие: Семпо Тати
Взмахнув мечом в четвертый раз, вы получите скрытый навык. Кроме того, вы также можете повысить эффективность тренировок, используя крупное оружие.
(например используя, карту Таро «Сила», навыки владения оружием и т.д.)</t>
  </si>
  <si>
    <t>Получение пассивного навыка: «Тренировка владения мечом».
Вы можете выполнять тренировочные взмахи. Во время тренировки вы можете накопить до 36000 тренировочных взмахов, при этом каждый взмах увеличивает базовый урон от каждого оружия ближнего боя на определенную величину.
Количество увеличивается с интервалом в [4, 15, 50, 150, 500, 1600, 4800, 12000, 24000, 36000]
Скорость атаки также увеличивается на короткое время. Максимальный коэффициент атаки составляет 357% (1,8 * на уровень владения мечом).</t>
  </si>
  <si>
    <t>Meister der Schwertkunst</t>
  </si>
  <si>
    <t>Voraussetzung ist die Fähigkeit „Klinge des Blitzschritts"!!!
Nachdem du dein Schwert zum vierten Mal in der Luft schwingst, wird eine verborgene Fähigkeit freigeschaltet. Mit dieser Fähigkeit kannst du die Effizienz deines Trainings steigern. Der Fortschritt wird beschleunigt, wenn du eine größere Waffe verwendest (z.B. durch die Stärke-Tarotkarte oder waffenspezifische Fähigkeiten).</t>
  </si>
  <si>
    <t>Im Laufe des Trainings wird ein versteckter Wert schrittweise angesammelt, der bis zu 36.000 Luftschläge erreichen kann. Mit der Ansammlung dieser Luftschläge werden sowohl die Grundangriffsleistung als auch die Angriffsgeschwindigkeit allmählich gesteigert</t>
  </si>
  <si>
    <t>Luyện kĩ năng kiếm thuật</t>
  </si>
  <si>
    <t>Yêu cầu: Senpo Tachi
Sau khi vung kiếm trong không khí lần thứ 4, bạn sẽ nhận được một kĩ năng ẩn. Thêm vào đó, bạn có thể tăng tốc quá trình rèn luyện bằng cách dùng vũ khí lớn (vd: lá bài Tarot Sức Mạnh, kĩ năng vũ khí, vv...)</t>
  </si>
  <si>
    <t>Trong quá trình luyện kiếm, chỉ số ẩn sẽ tăng dần, tối đa 36000 lần vung kiếm.
[4, 15, 50, 150, 500, 1600, 4800, 12000, 24000, 36000]
Khi số lần vung kiếm tăng, sát thường và tốc đánh cũng sẽ tăng dần. Hệ số sát thương tối đa là 357% (1.8 * cấp độ)</t>
  </si>
  <si>
    <t>Treinamento de espadachim</t>
  </si>
  <si>
    <t>Pré-requisito: Senpo Tachi
Depois de golpear com a sua espada pela 4ª vez no ar, Você receberá uma habilidade escondida. 
Adicionalmente, você também pode acelerar a velocidade da eficiência do seu treinamento quando usar uma arma grande(p. ex. Carta de tarô da força, habilidade com arma, etc.)</t>
  </si>
  <si>
    <t>Obtenha uma nova passiva: "Treinamento de Espadachim".
Durante o treinamento, os atributos ocultos se acumularão gradualmente, atingindo um máximo de 36.000 golpes praticados.
[4, 15, 50, 150, 500, 1600, 4800, 12000, 24000, 36000]
Com o acúmulo de golpes praticados, o poder de ataque normal e a velocidade de ataque aumentarão gradualmente. O multiplicador de ataque máximo é de 357% (1,8 * nível de treinamento de Espadachim).</t>
  </si>
  <si>
    <t>Pelatihan ilmu pedang</t>
  </si>
  <si>
    <t>Persyaratan: Senpo Tachi
Setelah mengayunkan pedang diudara untuk ke-4 kalinya, kau akan mendapatkan skill tersembunyi. Selainitu, kau juga bisa mempercepat efisiensi pelatihan mu saat menggunakan senjata besar (seperti kartu tarot kekuatan, skill senjata, dll.)</t>
  </si>
  <si>
    <t>mendapatkan pasif baru: "Pelatihan Ilmu pedang".
Kau bisa melatih ayunan mu. Saat berlatih, kau bisa mengumpulkan sampai 36000 ayunan, dengan setiap ayunan sedikit meningkatkan serangan dasar setiap senjata jarak dekat. kecepatan serangan juga meningkat sedikit.</t>
  </si>
  <si>
    <t>RX2</t>
  </si>
  <si>
    <t>炎熱天氣1</t>
  </si>
  <si>
    <t>晴天時，外出有機率變為炎熱。
(妹妹若已經收到了T恤，炎熱機率會提升)</t>
  </si>
  <si>
    <t>部分NPC會躲起來
若提前回家(不可使用星之門)，妹妹有炎熱天氣相關劇情</t>
  </si>
  <si>
    <t>猛暑-1</t>
  </si>
  <si>
    <t>晴天の時、外出すると猛暑になることがある。
（妹がすでにTシャツを受け取っている場合、猛暑になる確率が上がる）</t>
  </si>
  <si>
    <t>一部のNPCは避難します。
早めに帰宅すると（星の門は使用不可）、妹に関連する猛暑にに関連するストーリーが発生する。</t>
  </si>
  <si>
    <t>Hot Weather 1</t>
  </si>
  <si>
    <t>During sunny days, there is a chance that the weather will be really hot. (If the sister has already obtained the T-Shirt, then the chance of this happening increases)</t>
  </si>
  <si>
    <t>Some NPCs won't be available.
If you go home early (not using the Star Gate (Red Door)), a dialogue with your sister will occur regarding the hot weather.</t>
  </si>
  <si>
    <t>炎热天气1</t>
  </si>
  <si>
    <t>晴天时，外出有机率变为炎热。 (妹妹若已经收到了T恤，炎热机率会提升)</t>
  </si>
  <si>
    <t>部分NPC会躲起来 若提前回家(不可使用星之门)，妹妹有炎热天气相关剧情</t>
  </si>
  <si>
    <t>Clima caluroso 1</t>
  </si>
  <si>
    <t>Жаркая погода 1</t>
  </si>
  <si>
    <t>В солнечные дни есть вероятность, что погода будет по-настоящему жаркой.
(Если сестра уже получила футболку, вероятность того, что это произойдет, возрастает)</t>
  </si>
  <si>
    <t>Некоторые NPC спрячутся.
Если вы вернетесь домой раньше (не используя Звёздную дверь), у вашей сестры произойдет событие, связанное с жаркой погодой.</t>
  </si>
  <si>
    <t>Heißes Wetter 1</t>
  </si>
  <si>
    <t>An sonnigen Tagen besteht eine Chance, dass es mega heiß wird.
(Wenn die Schwester bereits das T-Shirt erhalten hat, steigt die Wahrscheinlichkeit für extreme Hitze.)</t>
  </si>
  <si>
    <t>Einige NPCs verstecken sich.
Wenn du frühzeitig nach Hause zurückkehrst (die Sternentor-Nutzung ist dabei nicht erlaubt), kann bei heißem Wetter eine entsprechende Szene mit deiner kleinen Schwester ausgelöst werden</t>
  </si>
  <si>
    <t>Trời nóng 1</t>
  </si>
  <si>
    <t>Vào những ngày nắng, có khả năng thời tiết sẽ rất nóng. (Nếu em gái đã nhận được áo T-Shirt, khả năng này sẽ tăng lên).</t>
  </si>
  <si>
    <t>Một số NPC sẽ không xuất hiện.
Nếu bạn về nhà sớm (không dùng Cổng Sao (Hồng Môn)), sẽ có một đoạn hội thoại với em gái về thời tiết nóng.</t>
  </si>
  <si>
    <t>Tempo Quente 1</t>
  </si>
  <si>
    <t>Durante dias ensolarados, existe uma chance de que o tempo fique realmente quente. (Se a imouto já obteve a camiseta, a chance disso ocorrer aumenta)</t>
  </si>
  <si>
    <t>Alguns NPCs não estarão disponíveis.
Se você chegar em casa mais cedo (não usando o portão estelar (porta vermelha)), um diálogo com a sua imouto ocorrerá em relação ao tempo quente.</t>
  </si>
  <si>
    <t>Cuaca panas 1</t>
  </si>
  <si>
    <t>Pada hari-hari cerah, ada kemungkinan cuaca akan panas di luar.
(Jika saudara perempuanmu sudah menerima kaus tersebut, kemungkinan cuaca akan panas meningkat.)</t>
  </si>
  <si>
    <t>Beberapa NPC akan bersembunyi.
Jika Anda pulang lebih awal (dan tidak dapat menggunakan Gerbang Bintang), akan ada peristiwa terkait cuaca panas untuk saudara perempuan Anda.</t>
  </si>
  <si>
    <t>RX3</t>
  </si>
  <si>
    <t>炎熱天氣2
特典T恤</t>
  </si>
  <si>
    <t>同上，若有T恤時，將有分支劇情</t>
  </si>
  <si>
    <t>同上
炎熱天氣分支劇情
(現版本不管你有沒有取得T恤，都會是自動穿上這套)</t>
  </si>
  <si>
    <t>猛暑-2
特典Tシャツ</t>
  </si>
  <si>
    <t>特典Tシャツを妹に渡してる場合は、分岐するストーリーが発生します。</t>
  </si>
  <si>
    <t>猛暑による分岐ストーリーがあります。
（現バージョンでは、特典Tシャツを取得しているかどうかに関わらず、自動的にこの服を着ることになります）</t>
  </si>
  <si>
    <t>Hot Weather 2 -
Special T-Shirt</t>
  </si>
  <si>
    <t>Similar to above, if you manage to obtain the T-Shirt, there will be another event with the sister.</t>
  </si>
  <si>
    <t>Same as Hot Weather 1
(Currently in this version, the T-Shirt will be worn regardless if you obtained it or not)</t>
  </si>
  <si>
    <t>炎热天气2 特典T恤</t>
  </si>
  <si>
    <t>同上，若有T恤时，将有分支剧情</t>
  </si>
  <si>
    <t>同上 炎热天气分支剧情 (现版本不管你有没有取得T恤，都会是自动穿上这套)</t>
  </si>
  <si>
    <t>Clma caluroso 2, Camisa especial</t>
  </si>
  <si>
    <t>Igual que lo anterior, si consigues la camiseta especial, se desbloqueara un evento con tu hermana.</t>
  </si>
  <si>
    <t>Жаркая погода 2
(Бонусная футболка)</t>
  </si>
  <si>
    <t>Как и в случае с описанным выше, если вам удастся получить футболку, то с Имоуто состоится ещё одно событие.</t>
  </si>
  <si>
    <t>То же самое, что и выше.
Дополнительная сюжетная линия для жаркой погоды.
(В настоящее время в этой версии футболка будет использоваться независимо от того, получили вы её или нет)</t>
  </si>
  <si>
    <t>Heißes Wetter 2
Spezial T-Shirt</t>
  </si>
  <si>
    <t>Wie oben, wenn das T-Shirt vorhanden ist, wird es eine alternative Handlung geben</t>
  </si>
  <si>
    <t>Wie oben.
Verzweigte Szene bei heißem Wetter.
(Im aktuellen Spielstand wird das spezielle T-Shirt automatisch getragen – unabhängig davon, ob du es erhalten hast oder nicht.)</t>
  </si>
  <si>
    <t>Trời nóng 2 -
Chiếc T-shirt đặc biệt</t>
  </si>
  <si>
    <t>Tương tự như trên, nếu bạn nhận được áo T-Shirt, sẽ có một sự kiện khác với em gái</t>
  </si>
  <si>
    <t>Giống như Trời nóng 1
(Hiện tại trong phiên bản này, T-shirt sẽ được mặc bất kể bạn đã nhận được nó hay chưa.)</t>
  </si>
  <si>
    <t>Tempo Quente 2 -
Camiseta Especial</t>
  </si>
  <si>
    <t>Similar com a de cima, se você conseguiu obter a camiseta, ocorrerá outro evento com a imouto.</t>
  </si>
  <si>
    <t>Mesmo que o Tempo Quente 1
(atualmente nessa versão, a camiseta sera vestida sem se importar se voce a obteve ou não)</t>
  </si>
  <si>
    <t>Kaos Bonus Cuaca Panas 2</t>
  </si>
  <si>
    <t>Seperti yang telah disebutkan di atas, jika ada kaos, maka akan ada alur cerita bercabang.</t>
  </si>
  <si>
    <t>Sama seperti di atas. Kisah sampingan cuaca panas
(Pada versi saat ini, Anda akan otomatis mengenakan pakaian ini terlepas dari apakah Anda sudah mendapatkan kaus tersebut atau belum.)</t>
  </si>
  <si>
    <t>RX4</t>
  </si>
  <si>
    <t>炎熱天氣3
電風扇</t>
  </si>
  <si>
    <t>同上，可以透過"戰車"塔羅牌召喚的商店車中，購買電風扇</t>
  </si>
  <si>
    <t>獲得電風扇
炎熱天氣分支劇情</t>
  </si>
  <si>
    <t>猛暑-3
扇風機</t>
  </si>
  <si>
    <t xml:space="preserve">
ザ・チャリオットのタロットカードで召喚された宅配車から扇風機を購入するこ
とができます
</t>
  </si>
  <si>
    <t>扇風機を入手
猛暑時の分岐ストーリーが発生します</t>
  </si>
  <si>
    <t>Hot Weather 3 -
Electric Fan</t>
  </si>
  <si>
    <t>Similar to above, if you manage to buy an Electric Fan from the shop car summoned by the "Chariot" Tarot card, there will be another event with the sister.</t>
  </si>
  <si>
    <t>Obtain "Electric Fan" item.
Another event from the "Hot Weather" storyline</t>
  </si>
  <si>
    <t>炎热天气3 电风扇</t>
  </si>
  <si>
    <t xml:space="preserve">同上，可以透过"战车"塔罗牌召唤的商店车中，购买电风扇
</t>
  </si>
  <si>
    <t xml:space="preserve">获得电风扇 炎热天气分支剧情
</t>
  </si>
  <si>
    <t>Clima caluroso 3, Ventilador electrico</t>
  </si>
  <si>
    <t>Al igual que en el caso anterior, si consigues comprar un Ventilador Eléctrico del carro de la tienda invocado por la carta del Tarot «Carro», habrá otro evento con la hermana.</t>
  </si>
  <si>
    <t>Жаркая погода 3
(Вентилятор)</t>
  </si>
  <si>
    <t>Аналогичным образом, вы можете приобрести электрический вентилятор в магазине, которую вызовет карта Таро «Колесница».</t>
  </si>
  <si>
    <t>Получение предмета: Вентилятор.
Дополнительная сюжетная линия для жаркой погоды.</t>
  </si>
  <si>
    <t>Heißes Wetter 3
Elektrischer Ventilator</t>
  </si>
  <si>
    <t>Wie oben, der Ladenwagen, der durch die „Kriegswagen“ Tarotkarte herbeigerufen wird, bietet einen elektrischen Ventilator zum Kauf an.</t>
  </si>
  <si>
    <t>Hol dir den elektrischen Ventilator um eine Heiße Wetter Handlung zu bekommen</t>
  </si>
  <si>
    <t>Trời nóng 3 - 
Quạt điện</t>
  </si>
  <si>
    <t>Tương tự như trên, nếu bạn có thể mua một chiếc Quạt Điện từ cửa hàng trên xe triệu hồi bởi lá bài Tarot "Xe Ngựa", sẽ có một sự kiện khác với em gái</t>
  </si>
  <si>
    <t>Nhận vật phẩm “Quạt Điện”.
Một sự kiện khác từ cốt truyện “Trời Nóng”</t>
  </si>
  <si>
    <t>Tempo Quente 3 -
Ventilador Elétrico</t>
  </si>
  <si>
    <t>Similar com a de cima, se você conseguir comprar o ventilado elétrico da loja carro envocada pela carta de tarô "Chariot", Ocorrerá outro evento com a imouto.</t>
  </si>
  <si>
    <t>Ter o item "Ventilador Elétrico".
Outro evento da história "Tempo Quente"</t>
  </si>
  <si>
    <t>Cuaca panas 3. Kipas angin listrik</t>
  </si>
  <si>
    <t>Demikian pula, Anda dapat membeli kipas angin listrik dari troli toko yang dipanggil oleh kartu tarot "Kereta Perang".</t>
  </si>
  <si>
    <t>Belilah kipas angin listrik. Kisah sampingan tentang cuaca panas.</t>
  </si>
  <si>
    <t>RX5</t>
  </si>
  <si>
    <t>神秘商店</t>
  </si>
  <si>
    <t>晴天天氣时，60%概率在"遺跡之森系列"的隨機地點刷新
"遺跡之森"系列，請看地圖，並不是"迷失之森"</t>
  </si>
  <si>
    <t>初次見到時有兩個選項的對話，""請記得都要對話完成""。
否則錯過之後就不會再有了，會錯失之後出現的商品。</t>
  </si>
  <si>
    <t>神秘商店—「アキの菓子店」</t>
  </si>
  <si>
    <t>晴れた天気の時、60%の確率で『遺跡の森エリア』のランダムな地点に出現します。
『遺跡の森』エリアは地図を確認してください。『迷いの森』ではありません。</t>
  </si>
  <si>
    <t>このコードを使用できます（神秘商店専用で、バグが発生する可能性がありますので注意してください）
晴れた日に遺跡の森の空き地を見つけ、F12-&gt;2列目（Console）にスクリプトを入力します。</t>
  </si>
  <si>
    <t>Mysterious Shop -
"Aki's Sweet Shop"</t>
  </si>
  <si>
    <t>During sunny days, there is a 60% chance that the mysterious shop will spawn on a random location of Forest of Ruins.
Note: "Forest of Ruins" and not "Abandoned Forest"</t>
  </si>
  <si>
    <t>Upon first encounter, there will be two dialog options. Please make sure to complete both dialog options or you might miss out on future items.</t>
  </si>
  <si>
    <t xml:space="preserve">晴天天气时，60%概率在"遗迹之森系列"的随机地点刷新
（商店贩卖功能未实装，目前只会在遗迹森林的随机地点刷新） 
ps：是"遗迹之森"地区，并不是"迷失之森"地区的地图
</t>
  </si>
  <si>
    <t xml:space="preserve">初次见到时有两个选项的对话，""请记得都要对话完成""。 否则错过之后就不会再有了，会错失之后出现的商品。
</t>
  </si>
  <si>
    <t>Tienda misteriosa - Dulceria de Aki</t>
  </si>
  <si>
    <t>Durante los dias soleados, Hay una probalidad del 60% de que aparezca una tienda misteriosa, aparecera en una locacion aleatoria del Bosque en ruinas. NOTA: ''Bosque en ruinas'' y no en ''Bosque abandonado''</t>
  </si>
  <si>
    <t>Тайный магазин</t>
  </si>
  <si>
    <t>В солнечные дни существует 60% вероятность его появления в случайных местах в пределах локации «Лес у руин».
(Не «Затерянный лес»)</t>
  </si>
  <si>
    <t>В первый раз вам будут предложены два варианта диалога. Пожалуйста, не забудьте завершить оба диалога.
В противном случае вы пропустите будущие предметы.</t>
  </si>
  <si>
    <t>Mysteriöser Laden</t>
  </si>
  <si>
    <t>An sonnigen Tagen besteht eine 60%ige Wahrscheinlichkeit, dass an zufälligen Orten im „Ruinenwald" Bereich ein Spawn stattfindet.
Der „Forest of Ruins" Bereich ist auf der Karte zu finden und darf nicht mit dem „Abandoned Forest" verwechselt werden.</t>
  </si>
  <si>
    <t>Du kannst diesen Code verwenden (nur zur Beschwörung des Ladenwagens – kann Bugs verursachen, also mit Vorsicht benutzen)
An einem sonnigen Tag, suche dir eine freie Fläche im „</t>
  </si>
  <si>
    <t>Cửa hàng bí ẩn - 
"Cửa hàng kẹo của Aki"</t>
  </si>
  <si>
    <t>Trong những ngày nắng, có 60% khả năng một cửa hàng bí ẩn sẽ xuất hiện ở một nơi bất kì trong Khu Rừng Của Tàn Tích 
Ghi chú: "Khu Rừng Của Tàn Tích" và không phải "Khu Rừng Bị Bỏ Hoang"</t>
  </si>
  <si>
    <t>Lưu ý: Bạn có thể tự triệu hồi cửa hàng.
Đầu tiên, tìm một chỗ trống trong Khu Rừng Đổ Nát vào ngày nắng.</t>
  </si>
  <si>
    <t>Loja Misteriosa -
"Loja de Doces da Aki"</t>
  </si>
  <si>
    <r>
      <rPr>
        <rFont val="Microsoft JhengHei"/>
        <color theme="1"/>
      </rPr>
      <t xml:space="preserve">Durante dias ensolarados, existe uma chance de 60% que a loja misteriosa irá surgir em um local aleatório na </t>
    </r>
    <r>
      <rPr>
        <rFont val="Microsoft JhengHei"/>
        <i/>
        <color theme="1"/>
      </rPr>
      <t>Forest of Ruins</t>
    </r>
    <r>
      <rPr>
        <rFont val="Microsoft JhengHei"/>
        <color theme="1"/>
      </rPr>
      <t>.
Nota: "</t>
    </r>
    <r>
      <rPr>
        <rFont val="Microsoft JhengHei"/>
        <i/>
        <color theme="1"/>
      </rPr>
      <t>Forest of Ruins</t>
    </r>
    <r>
      <rPr>
        <rFont val="Microsoft JhengHei"/>
        <color theme="1"/>
      </rPr>
      <t>" e não "</t>
    </r>
    <r>
      <rPr>
        <rFont val="Microsoft JhengHei"/>
        <i/>
        <color theme="1"/>
      </rPr>
      <t>Abandoned Forest</t>
    </r>
    <r>
      <rPr>
        <rFont val="Microsoft JhengHei"/>
        <color theme="1"/>
      </rPr>
      <t>"</t>
    </r>
  </si>
  <si>
    <r>
      <rPr>
        <rFont val="Microsoft JhengHei"/>
        <color theme="1"/>
      </rPr>
      <t xml:space="preserve">Nota: Você pode invocar a Loja manualmente.
Primerio, encontra um espaço aberto na </t>
    </r>
    <r>
      <rPr>
        <rFont val="Microsoft JhengHei"/>
        <i/>
        <color theme="1"/>
      </rPr>
      <t>Forest of Ruins</t>
    </r>
    <r>
      <rPr>
        <rFont val="Microsoft JhengHei"/>
        <color theme="1"/>
      </rPr>
      <t xml:space="preserve"> durante o dia ensolarado.</t>
    </r>
  </si>
  <si>
    <t>Toko Misteri</t>
  </si>
  <si>
    <t>Pada hari-hari cerah, ada kemungkinan 60% ia akan muncul di lokasi acak dalam seri "Hutan Reruntuhan".
Seri "Hutan Reruntuhan" ditunjukkan pada peta; itu bukan "Hutan yang Hilang".</t>
  </si>
  <si>
    <t>Saat pertama kali Anda menemui ini, ada dua pilihan dialog; harap ingat untuk menyelesaikan kedua dialog tersebut.
Jika tidak, Anda akan kehilangan kesempatan untuk mendapatkan item selanjutnya.</t>
  </si>
  <si>
    <t>RX6</t>
  </si>
  <si>
    <t>神秘商店-1</t>
  </si>
  <si>
    <t>於神秘商店的扭蛋，花費5千元或指定道具</t>
  </si>
  <si>
    <t>隨機獲得藍色、綠色、粉色的金平糖
"商店主人的好感度越高，花費越低"</t>
  </si>
  <si>
    <t>神秘商店—「アキの菓子店」‐1</t>
  </si>
  <si>
    <t>アキの菓子店ではガチャを5,000円、または指定のアイテムを消費して利用できます。</t>
  </si>
  <si>
    <t>ランダムで青、緑、ピンクの金平糖を獲得できます。
『商店主の好感度が高いほど費用が安くなります。』</t>
  </si>
  <si>
    <t>Aki's Sweet Shop - 1</t>
  </si>
  <si>
    <t>Roll on the gacha of the mysterious shop.
Costs 5000 yen or an item.</t>
  </si>
  <si>
    <t xml:space="preserve">Randomly obtain a Pink, Green, or Blue Konpeito candy item.
The higher your favorability with the shop owner, the lower the cost to roll. 
</t>
  </si>
  <si>
    <t xml:space="preserve">神秘商店-1
</t>
  </si>
  <si>
    <t>于神秘商店的扭蛋，花费5千元或指定道具</t>
  </si>
  <si>
    <t>随机获得蓝色、绿色、粉色的金平糖 "商店主人的好感度越高，花费越低"</t>
  </si>
  <si>
    <t>Dulceria de Aki 1</t>
  </si>
  <si>
    <t>Rueda en el gacha de la tienda misteriosa. Cuesta 5000 yenes o un objeto</t>
  </si>
  <si>
    <t>Тайный покупатель - 1</t>
  </si>
  <si>
    <t>Сыграйте в гачу в Таинственном магазине (Аки).
Цена за один предмет - 5000 иен.</t>
  </si>
  <si>
    <t>Случайным образом выпадает синие, зелёные или розовые конпейто (японские конфеты).
«Чем выше ваши отношения с продавцом, тем ниже цена».</t>
  </si>
  <si>
    <t>Mysteriöser Laden - 1</t>
  </si>
  <si>
    <t>Im mysteriösen Geschäft gibt es ein Gacha-Spiel, bei dem du ca 5000$ oder ein bestimmtes Item ausgeben kannst.</t>
  </si>
  <si>
    <t>Zufälliger Erhalt von blauen, grünen und pinken Bonbons.
Je höher die Zuneigung des Ladenbesitzers, desto geringer die Kosten.</t>
  </si>
  <si>
    <t>Cửa hàng kẹo của Aki - 1</t>
  </si>
  <si>
    <t>Quay gacha ở cửa hàng bí ẩn.
Tốn 5000 yên hoặc một vật phẩm.</t>
  </si>
  <si>
    <t>Ngẫu nhiên nhận kẹo Konpeito Hồng, Xanh Lá hoặc Xanh Dương.
Độ thiện cảm với chủ cửa hàng càng cao, chi phí quay càng thấp.</t>
  </si>
  <si>
    <t>Loja de Doces da Aki - 1</t>
  </si>
  <si>
    <t>Sorteie o gacha da loja misteriosa.
custa 5.000 yen ou um item.</t>
  </si>
  <si>
    <t>Aleatoriamente obtenha um item doce Konpeito Rosa, Verdes ou Azul.
Quanto maior a sua favorabilidade com a dona de loja, mais barato custa para sortear.</t>
  </si>
  <si>
    <t>Toko Misteri - 1</t>
  </si>
  <si>
    <t>Dalam sistem gacha di Mystery Shop, Anda dapat menghabiskan 5.000 yen atau menggunakan item tertentu.</t>
  </si>
  <si>
    <t>Dapatkan permen Jepang (konpeito) berwarna biru, hijau, atau merah muda secara acak.
"Semakin baik hubungan Anda dengan penjaga toko, semakin rendah harganya."</t>
  </si>
  <si>
    <t>RX7</t>
  </si>
  <si>
    <t>神秘商店-2</t>
  </si>
  <si>
    <t>於神秘商店的店長對話，並給予"鮭魚"。</t>
  </si>
  <si>
    <t>糖果機降價$50
*糖果機最低價格為$500</t>
  </si>
  <si>
    <t>神秘商店—「アキの菓子店」‐2</t>
  </si>
  <si>
    <t>不思議なお店の店主と話して「鮭」をあげましょう。</t>
  </si>
  <si>
    <t>キャンディマシンの価格が50ドル値下げされました *キャンディマシンの最低価格は500ドルです</t>
  </si>
  <si>
    <t>Aki's Sweet Shop - 2</t>
  </si>
  <si>
    <t>Talk to the shopkeeper and give her a "Salmon".</t>
  </si>
  <si>
    <t>Gacha price of the candy machine is reduced by 50 yen. You can't reduce the price below 500 yen</t>
  </si>
  <si>
    <t xml:space="preserve">于神秘商店的店长对话，并给予"鲑鱼"。
</t>
  </si>
  <si>
    <t>糖果机降价$50 *糖果机最低价格为$500</t>
  </si>
  <si>
    <t>Dulceria de Aki 2</t>
  </si>
  <si>
    <t>Тайный покупатель - 2</t>
  </si>
  <si>
    <t>Поговорите с владелицей Таинственного магазина и дайте ей «лосося».</t>
  </si>
  <si>
    <t>Цена на крутку автомата с конфетами понизиться на 50 йен.
*Самая низкая цена - 500 йен</t>
  </si>
  <si>
    <t>Mysteriöser Laden - 2</t>
  </si>
  <si>
    <t>Sprich mit dem Ladenbesitzer im geheimnisvollen Laden und gib ihr einen Lachs.</t>
  </si>
  <si>
    <t>Zuckermaschine um $50 reduziert
Der Mindestpreis der Zuckermaschine beträgt $500</t>
  </si>
  <si>
    <t>Cửa hàng kẹo của Aki - 2</t>
  </si>
  <si>
    <t>Nói chuyện với chủ cửa hàng và đưa cho cô ấy “Cá Hồi”.</t>
  </si>
  <si>
    <t>Giá gacha máy bán kẹo được giảm 50 yên. Bạn không thể giảm giá bán xuống dưới 500 yên</t>
  </si>
  <si>
    <t>Loja de Doces da Aki - 2</t>
  </si>
  <si>
    <t>fale com a dona da loja e dê para ela o "Salmão".</t>
  </si>
  <si>
    <t>Preço do gacha da máquina de doce é reduzida em 50. Você não pode reduzir o preço a baixo dos 500 yen.</t>
  </si>
  <si>
    <t>Toko Misteri - 2</t>
  </si>
  <si>
    <t>Bicaralah dengan pemilik Toko Misterius dan berikan dia seekor "Salmon".</t>
  </si>
  <si>
    <t>Harga mesin permen turun $50
*Harga terendah mesin permen adalah $500</t>
  </si>
  <si>
    <t>RX8</t>
  </si>
  <si>
    <t>神秘商店-3</t>
  </si>
  <si>
    <t>於神秘商店的店長對話，並給予"帝王鮭"。</t>
  </si>
  <si>
    <t>糖果機降價$500
獲得道具:壽司布丁
*糖果機最低價格為$500</t>
  </si>
  <si>
    <t>神秘商店—「アキの菓子店」‐3</t>
  </si>
  <si>
    <t>不思議なお店の店主と話して「キングサーモン」を渡す。</t>
  </si>
  <si>
    <t>キャンディマシンの価格が500ドル値下げされました 受け取るアイテム：寿司プリン *キャンディマシンの価格は500ドルから</t>
  </si>
  <si>
    <t>Aki's Sweet Shop - 3</t>
  </si>
  <si>
    <t>Talk to the shopkeeper and give her a "King Salmon".</t>
  </si>
  <si>
    <t>Aki's favorability increased.
One-time only:
Obtain "Sushi Pudding" item</t>
  </si>
  <si>
    <t>于神秘商店的店长对话，并给予"帝王鲑"。</t>
  </si>
  <si>
    <t>糖果机降价$500 获得道具:寿司布丁 *糖果机最低价格为$500</t>
  </si>
  <si>
    <t>Dulceria de Aki 3</t>
  </si>
  <si>
    <t>Тайный покупатель - 3</t>
  </si>
  <si>
    <t>Поговорите с владелицей Таинственного магазина и дайте ей «Королевского лосося».</t>
  </si>
  <si>
    <t>Цена на крутку автомата с конфетами понизиться на 500 йен.
Получение предмета: Суши-пудинг
*Самая низкая цена на автомат для конфет — 500 долларов</t>
  </si>
  <si>
    <t>Mysteriöser Laden - 3</t>
  </si>
  <si>
    <t>Im Gespräch mit der Besitzerin kannst du ihr auch einen Königslachs geben</t>
  </si>
  <si>
    <t>Akis Beliebtheit hat zugenommen.
Einmalig:
Gegenstand "Sushi Pudding" erhalten</t>
  </si>
  <si>
    <t>Cửa hàng kẹo của Aki - 3</t>
  </si>
  <si>
    <t>Nói chuyện với chủ cửa hàng và đưa cho cô ấy “Cá Hồi Vua”.</t>
  </si>
  <si>
    <t>Độ thiện cảm của Aki tăng lên.
Chỉ một lần duy nhất:
Nhận vật phẩm “Sushi Pudding”.</t>
  </si>
  <si>
    <t>Loja de Doces da Aki - 3</t>
  </si>
  <si>
    <t>fale com a dona da loja e dê para ela o "Rei Salmão".</t>
  </si>
  <si>
    <t>Favorabilidade com a Aki aumentará.
Único:
Obtém o item "Pudim de Sushi"</t>
  </si>
  <si>
    <t>Toko Misteri - 3</t>
  </si>
  <si>
    <t>Bicaralah dengan pemilik Toko Misterius dan berikan kepadanya "Raja Salmon".</t>
  </si>
  <si>
    <t>Harga Mesin Permen Diturunkan $500
Dapatkan Item: Puding Sushi
*Harga Mesin Permen Terendah adalah $500</t>
  </si>
  <si>
    <t>RX9</t>
  </si>
  <si>
    <t>神秘商店-4</t>
  </si>
  <si>
    <t>於神秘商店店長對話，並"不給予"鮭魚。</t>
  </si>
  <si>
    <t>獲得狀態：詛咒
哥哥的下面發光。
目前只有和妹妹共浴時，坐在一起，會有特殊劇情</t>
  </si>
  <si>
    <t>神秘商店—「アキの菓子店」‐4</t>
  </si>
  <si>
    <t>店主にサーモンを「あげない」を選択する</t>
  </si>
  <si>
    <t>BADステータス：お前はもう呪われている…
妹と一緒に風呂に入ることでイベントが発生します
「俺は考えることをやめた…」</t>
  </si>
  <si>
    <t>Aki's Sweet Shop - 4</t>
  </si>
  <si>
    <t>Talk to the shopkeeper and don't give her any "Salmon"</t>
  </si>
  <si>
    <t>Obtain "Cursed" status effect.
Onii-chan's crotch will glow.
Currently, the only event associated with this is when you take a bath with your sister and "sit together" and a scene will trigger.</t>
  </si>
  <si>
    <t>于神秘商店店长对话，并"不给予"鲑鱼。</t>
  </si>
  <si>
    <t>获得状态：诅咒 哥哥的下面发光。 
目前只有和妹妹共浴时，坐在一起，会有特殊剧情
（妹妹：...老哥，你喝生可乐了...?）</t>
  </si>
  <si>
    <t>Dulceria de Aki 4</t>
  </si>
  <si>
    <t>Тайный покупатель - 4</t>
  </si>
  <si>
    <t>Поговорите с владелицей Таинственного магазина и «не отдавайте» лосося.</t>
  </si>
  <si>
    <t>Получение статуса: «Проклятый».
(Гениталии Курохи светятся)
В настоящее время это особое явление происходит только тогда, когда он и Имоуто купаются вместе, сидя рядом.</t>
  </si>
  <si>
    <t>Mysteriöser Laden - 4</t>
  </si>
  <si>
    <t>Nach dem Gespräch mit der Besitzerin gibst du ihr keinen Lachs</t>
  </si>
  <si>
    <t>Erhaltene den Status: ,,Verflucht"
Der untere Teil des Bruders leuchtet.
Aktuell gibt es ein spezielles Ereignis, wenn du mit deiner Schwester zusammen badest und gemeinsam sitzt</t>
  </si>
  <si>
    <t>Cửa hàng kẹo của Aki - 4</t>
  </si>
  <si>
    <t>Nói chuyện với chủ cửa hàng và đừng đưa cho cô ấy bất kỳ “Cá Hồi” nào.</t>
  </si>
  <si>
    <t>Nhận hiệu ứng trạng thái “Nguyền Rủa”.
Chỗ kín của Onii-chan sẽ phát sáng.
Hiện tại, sự kiện duy nhất liên quan đến điều này là khi bạn tắm với em gái và chọn “ngồi cùng nhau”, một cảnh sẽ được kích hoạt.</t>
  </si>
  <si>
    <t>Loja de Doces da Aki - 4</t>
  </si>
  <si>
    <t>Toko Misteri - 4</t>
  </si>
  <si>
    <t>Bicaralah dengan pemilik Toko Misterius dan "jangan berikan" salmon itu.</t>
  </si>
  <si>
    <t>Status: Terkutuk
Alat kelamin sang saudara laki-laki bersinar.
Saat ini, peristiwa khusus hanya terjadi ketika dia dan saudara perempuannya mandi bersama dan duduk berdampingan.</t>
  </si>
  <si>
    <t>RX10</t>
  </si>
  <si>
    <t>神秘商店-5</t>
  </si>
  <si>
    <t>接續上一項目，給予帝王鮭，可以解除該詛咒狀態</t>
  </si>
  <si>
    <t>解除詛咒</t>
  </si>
  <si>
    <t>神秘商店—「アキの菓子店」‐5</t>
  </si>
  <si>
    <t>呪われた状態で店主に話しかけて「キングサーモン」を渡すを選択すると呪いを解いてくれる</t>
  </si>
  <si>
    <t>無事に呪いは解かれた…</t>
  </si>
  <si>
    <t>Aki's Sweet Shop - 5</t>
  </si>
  <si>
    <t>If you are cursed by the shopkeeper, give her "Salmon"</t>
  </si>
  <si>
    <t>The curse will be lifted.</t>
  </si>
  <si>
    <t>接续上一项目，给予帝王鲑，可以解除该诅咒状态</t>
  </si>
  <si>
    <t>解除诅咒</t>
  </si>
  <si>
    <t>Dulceria de Aki 5</t>
  </si>
  <si>
    <t>Тайный покупатель - 5</t>
  </si>
  <si>
    <t>В продолжение предыдущего события, можно сказать, что, дав ей королевского лосося, можно снять проклятие.</t>
  </si>
  <si>
    <t>Снятие статуса: «Проклятый»</t>
  </si>
  <si>
    <t>Mysteriöser Laden - 5</t>
  </si>
  <si>
    <t>Nachdem du mit der Besitzerin gesprochen hast, gib ihr den Kaiserlachs, um den Fluch zu lösen</t>
  </si>
  <si>
    <t>Hebt den Fluch auf</t>
  </si>
  <si>
    <t>Cửa hàng kẹo của Aki - 5</t>
  </si>
  <si>
    <t>Nếu bạn bị chủ cửa hàng nguyền rủa, hãy đưa cho cô ấy “Cá Hồi”.</t>
  </si>
  <si>
    <t>Lời nguyền sẽ được hóa giải.</t>
  </si>
  <si>
    <t>Loja de Doces da Aki - 5</t>
  </si>
  <si>
    <t>Se você for amaldiçoado pela dona da loja, dê "Salmão" para ela"</t>
  </si>
  <si>
    <t>a maldição será removida..</t>
  </si>
  <si>
    <t>Toko Misteri - 5</t>
  </si>
  <si>
    <t>Melanjutkan dari poin sebelumnya, memberikannya kepada ikan salmon raja dapat menghilangkan kutukan tersebut.</t>
  </si>
  <si>
    <t>Hilangkan kutukan</t>
  </si>
  <si>
    <t>RX11</t>
  </si>
  <si>
    <t>神秘商店-6</t>
  </si>
  <si>
    <t>完成對話後，並且第二次遇到商店時，可能就會有水饅頭的商品</t>
  </si>
  <si>
    <t>購買後獲得道具"超敏軟Q水饅頭"</t>
  </si>
  <si>
    <t>神秘商店—「アキの菓子店」‐6</t>
  </si>
  <si>
    <t>会話を完了した後、2回目に商店と遭遇した際に、超敏やわQ水まんじゅうの商品が出現することがある</t>
  </si>
  <si>
    <t>購入すると、アイテム『超敏やわQ水まんじゅう』を獲得する</t>
  </si>
  <si>
    <t>Aki's Sweet Shop - 6</t>
  </si>
  <si>
    <t>After talking to her for the second time, you may a see a new product called "Springy Mizumanju"</t>
  </si>
  <si>
    <t>Obtain "Springy Mizumanju" item after purchase</t>
  </si>
  <si>
    <t xml:space="preserve">神秘商店-6
</t>
  </si>
  <si>
    <t xml:space="preserve">完成对话后，并且第二次遇到商店时，可能就会有水馒头的商品
</t>
  </si>
  <si>
    <t>购买后获得道具"超敏软Q水馒头"</t>
  </si>
  <si>
    <t>Tienda Misteriosa - 6</t>
  </si>
  <si>
    <t>Тайный покупатель - 6</t>
  </si>
  <si>
    <t>Поговорив с ней во второй раз, вы, возможно, увидите новый продукт «Упругий мизуманджу».</t>
  </si>
  <si>
    <t>Получение предмета: Упругий мизуманджу</t>
  </si>
  <si>
    <t>Mysteriöser Laden - 6</t>
  </si>
  <si>
    <t>Nachdem du zum zweiten Mal mit ihr gesprochen hast, könnte ein neues Produkt erscheinen: "Federndes Mizumanju"</t>
  </si>
  <si>
    <t>Erhalte den Gegenstand "Federndes Mizumanju" nach dem Kauf</t>
  </si>
  <si>
    <t>Cửa hàng kẹo của Aki - 6</t>
  </si>
  <si>
    <t>Sau khi nói chuyện với cô ấy lần thứ hai, bạn có thể thấy một sản phẩm mới gọi là “Bánh Mizumanju Đàn Hồi".</t>
  </si>
  <si>
    <t>Nhận vật phẩm “Bánh Mizumanju Đàn Hồi” sau khi mua</t>
  </si>
  <si>
    <t>Loja de Doces da Aki - 6</t>
  </si>
  <si>
    <t>Depois de falar com ela pela segunda vez, você pode ver um novo produro chamado "Mizumanju Saltitante"</t>
  </si>
  <si>
    <t>Obtém o item "Mizumanju Saltitante" depois de comprar</t>
  </si>
  <si>
    <t>Toko Misteri - 6</t>
  </si>
  <si>
    <t>Setelah menyelesaikan dialog, dan setelah mengunjungi toko tersebut untuk kedua kalinya, Anda mungkin menemukan roti air sebagai salah satu barang yang dijual.</t>
  </si>
  <si>
    <t>Beli untuk mendapatkan item "Bakpao Kukus Super Sensitif Lembut dan Kenyal".</t>
  </si>
  <si>
    <t>RX12</t>
  </si>
  <si>
    <t>天上之石碎片1</t>
  </si>
  <si>
    <t>攻略遺跡第三層的BOSS，獲得道具後，使用"星之門"回家，觸發劇情</t>
  </si>
  <si>
    <t>獲得道具"紅髓液"</t>
  </si>
  <si>
    <t>天上の石の欠片1</t>
  </si>
  <si>
    <t>遺跡3階にいるBOSSを倒し、天上の石の欠片を入手したら「星の門」を使って家に帰りろうとするとイベントが発生する</t>
  </si>
  <si>
    <t>「紅髄液」を入手</t>
  </si>
  <si>
    <t>Philosopher's Fragment 1</t>
  </si>
  <si>
    <t>Defeat the boss of Labyrinth Ruins. Afterwards, use the "Star Gate" (Red Door) to go home and an event will trigger to turn it into liquid.</t>
  </si>
  <si>
    <t>Obtain "Philosopher's Fragment" item</t>
  </si>
  <si>
    <t>攻略遗迹第三层的BOSS，获得道具后，使用"星之门"回家，触发剧情</t>
  </si>
  <si>
    <t xml:space="preserve">获得道具"红髓液"
</t>
  </si>
  <si>
    <t>Fragmento de la Piedra Celestial 1</t>
  </si>
  <si>
    <t>Фрагмент Философского камня - 1</t>
  </si>
  <si>
    <t>После победы над боссом на третьем этаже руин и получения камня, используйте «Звёздную дверь», чтобы вернуться домой и запустить событие.</t>
  </si>
  <si>
    <t>Получение предмета: Эликсир Рубрум</t>
  </si>
  <si>
    <t>Fragment des Steins der Weisen - 1</t>
  </si>
  <si>
    <t>Besiege den Boss der dritten Ebene der Ruinen, erhalte ein Item und benutze das „Sternentor“, um nach Hause zurückzukehren und eine Szene auszulösen</t>
  </si>
  <si>
    <t>Erhalte das Item "Rote Markflüssigkeit".</t>
  </si>
  <si>
    <t>Mảnh Hiền Triết 1</t>
  </si>
  <si>
    <t>Đánh bại Boss của Mê Cung Tàn Tích. Sau đó, dùng “Cổng Sao” (Hồng Môn) để về nhà và một sự kiện sẽ kích hoạt biến nó thành chất lỏng.</t>
  </si>
  <si>
    <t>Nhận vật phẩm “Mảnh Hiền Triết”.</t>
  </si>
  <si>
    <t>Fragmento do Filósofo 1</t>
  </si>
  <si>
    <t>Derrote o chefe do labirinto da ruína. Logo depois, use o "Portão Estelar"(Porta Vermelha) para ir para casa e um evento ocorrerá em que ele virá líquido.</t>
  </si>
  <si>
    <t>Obtém o item "Fragmento do Filósofo".</t>
  </si>
  <si>
    <t>Fragmen Batu Surgawi 1</t>
  </si>
  <si>
    <t>Setelah mengalahkan bos di lantai tiga reruntuhan dan mendapatkan item tersebut, gunakan "Gerbang Bintang" untuk kembali ke rumah dan memicu peristiwa tersebut.</t>
  </si>
  <si>
    <t>Dapatkan item "Cairan Sumsum Merah"</t>
  </si>
  <si>
    <t>RX13</t>
  </si>
  <si>
    <t>天上之石碎片2</t>
  </si>
  <si>
    <t>哥哥可以喝下該道具，並獲得狀態。</t>
  </si>
  <si>
    <t>獲得狀態
*治癒妹妹前、後喝下，有不同劇情</t>
  </si>
  <si>
    <t>天上の石の欠片2</t>
  </si>
  <si>
    <t>冒険中にItemから選択し飲むことが出来る、非常に不味いらしいがお兄ちゃんが強化される</t>
  </si>
  <si>
    <t>お兄ちゃんの体力が増える
※妹を治す前と治した後に飲むとイベントが異なる反応になる</t>
  </si>
  <si>
    <t>Philosopher's Fragment 2</t>
  </si>
  <si>
    <t>Onii-chan can drink this item and permanently increase his stats</t>
  </si>
  <si>
    <t>Receive buffs.
Drinking this before or after the curing the sister will have different dialogs</t>
  </si>
  <si>
    <t>哥哥可以喝下该道具，并获得状态。</t>
  </si>
  <si>
    <t>获得状态 *治愈妹妹前、后喝下，有不同剧情</t>
  </si>
  <si>
    <t>Fragmento de piedra celestial 2</t>
  </si>
  <si>
    <t>Фрагмент Философского камня - 2</t>
  </si>
  <si>
    <t>Куроха может выпить Эликсир Рубрум и получить соответствующий эффект.</t>
  </si>
  <si>
    <t>Получение положительного эффекта
*Выпив это до или после лечения, у Имоуто будут разные диалоги</t>
  </si>
  <si>
    <t>Fragment des Steins der Weisen - 2</t>
  </si>
  <si>
    <t>Ich kann diesen Gegenstand Trinken und meinen Status erhöhen</t>
  </si>
  <si>
    <t>Erhalte den Status:
*Trinke vor oder nach der Heilung deiner Schwester, es wird unterschiedliche Szenen auslösen.</t>
  </si>
  <si>
    <t>Mảnh Hiền Triết 2</t>
  </si>
  <si>
    <t>Onii-chan có thể uống vật phẩm này và vĩnh viễn tăng chỉ số của mình.</t>
  </si>
  <si>
    <t>Nhận hiệu ứng cường hóa.
Uống cái này trước hoặc sau khi chữa trị cho em gái sẽ có hội thoại khác nhau.</t>
  </si>
  <si>
    <t>Fragmento do Filósofo 2</t>
  </si>
  <si>
    <t>Onii-chan pode beber esse item e permanentemente aumentar seus status</t>
  </si>
  <si>
    <t>Receba buffs.
Beber isso antes ou depois de curar a imouto terá diálogos diferentes.</t>
  </si>
  <si>
    <t>Fragmen Batu Surgawi 2</t>
  </si>
  <si>
    <t>Kakak laki-laki dapat meminum ramuan tersebut dan mendapatkan efek status.</t>
  </si>
  <si>
    <t>Mendapatkan Status
*Alur cerita yang berbeda terjadi tergantung pada apakah minuman diberikan sebelum atau setelah menyembuhkan saudari tersebut.</t>
  </si>
  <si>
    <t>RX14</t>
  </si>
  <si>
    <t>商店車-1</t>
  </si>
  <si>
    <t>平時可能會在地圖中隨機遇到
可以使用"戰車"塔羅牌進行召喚
*同一天只能召喚一次</t>
  </si>
  <si>
    <t>與貓娘商店車進行互動。
請勿立刻撿起物品！否則會視為偷竊！</t>
  </si>
  <si>
    <t>茶会の宅配車-1</t>
  </si>
  <si>
    <t xml:space="preserve">
普段はマップ内でランダムに出現する
「ザ・チャリオット」のタロットカードで召喚可能
*1日に1回のみ召喚可能。
</t>
  </si>
  <si>
    <t xml:space="preserve">
宅配車にいるネコ娘と話そう！
すぐにアイテムを拾わないでください！さもないと窃盗と見なされます！
</t>
  </si>
  <si>
    <t>Shopping Van - 1</t>
  </si>
  <si>
    <t>You might randomly encounter the Cat Girl Shopping Van around the map.
You can forcibly summon them by using the Chariot card. 
*You can only summon 1 Chariot per day</t>
  </si>
  <si>
    <t>Summons a van owned by a cat girl shop owner.
Don't pick up items immediately because it's considered stealing!!</t>
  </si>
  <si>
    <t>商店车-1</t>
  </si>
  <si>
    <t>平时可能会在地图中随机遇到
可以使用塔罗牌"战车"进行召唤
*同一天只能召唤一次</t>
  </si>
  <si>
    <t>与猫娘商店车进行互动。
请勿立刻捡起物品！否则会视为偷窃！</t>
  </si>
  <si>
    <t>Coche de tienda-1</t>
  </si>
  <si>
    <t>Торговый фургон - 1</t>
  </si>
  <si>
    <t>Вы можете случайно встретить его на карте.
Вы можете вызвать его, используя карту Таро «Колесница».
*Вы можете вызвать только раз в день</t>
  </si>
  <si>
    <r>
      <rPr>
        <rFont val="Microsoft JhengHei"/>
        <color theme="1"/>
        <sz val="12.0"/>
      </rPr>
      <t xml:space="preserve">Появления фургона с кошко-девочками.
</t>
    </r>
    <r>
      <rPr>
        <rFont val="Microsoft JhengHei"/>
        <b/>
        <color theme="1"/>
        <sz val="12.0"/>
      </rPr>
      <t>*Не забирайте вещи сразу, потому что это считается кражей!!</t>
    </r>
  </si>
  <si>
    <t>Einkaufswagen - 1</t>
  </si>
  <si>
    <t>Du könntest zufällig auf den Catgirl-Einkaufswagen auf der Karte stoßen.
Du kannst ihn mit der Chariot-Karte erzwingen herbeirufen.
*Pro Tag kann nur 1 Chariot herbeigerufen werden.</t>
  </si>
  <si>
    <t>Ruft einen Van der Catgirlverkäuferin herbei.
Nimm die Gegenstände nicht sofort auf, da es als Diebstahl gilt!!</t>
  </si>
  <si>
    <t>Xe Van Bán Đồ - 1</t>
  </si>
  <si>
    <t>Bạn có thể bắt gặp nó ngẫu nhiên trên bản đồ
Có thể triệu hồi bằng lá bài Tarot "Xe Ngựa"
*Chỉ có thể triệu hồi một lần 1 ngày</t>
  </si>
  <si>
    <t>Có thể tương tác với xe đẩy hàng của cửa hàng cô gái mèo. Đừng nhặt bất kỳ món đồ nào ngay lập tức! Làm như vậy sẽ bị coi là trộm cắp!</t>
  </si>
  <si>
    <t>Comprando na Van - 1</t>
  </si>
  <si>
    <t>Você pode encontrar aleatoriamente a garota gato dona da loja van ao longo do mapa
Pode ser invocado usando a carta de tarô "Chariot".
*Só pode ser invocado uma vez por dia.</t>
  </si>
  <si>
    <t>Invoca a van que pertence a garota gato dona da loja.
Não pegue os itens imediatamente porque isso é considerado roubo!!</t>
  </si>
  <si>
    <t>Truk Toko - 1</t>
  </si>
  <si>
    <t>Anda mungkin akan menemui mereka secara acak di peta.
Anda dapat memanggil mereka menggunakan kartu Tarot "Kereta Perang".
*Anda hanya dapat memanggil mereka sekali sehari.</t>
  </si>
  <si>
    <t>Berinteraksilah dengan troli toko gadis kucing.
Jangan langsung mengambil barang! Melakukan hal itu akan dianggap sebagai pencurian!</t>
  </si>
  <si>
    <t>RX15</t>
  </si>
  <si>
    <t>商店車-2</t>
  </si>
  <si>
    <t>於商店車偷竊商品</t>
  </si>
  <si>
    <t>警告:貓娘浅羽極為強大，通常情況下是無法擊殺的存在。因此在存檔之前請不要輕易挑戰她
選擇"偷偷拿走"後，會被攻擊 (P.S.即使使用時間暫停器仍會被發現)
玩家需要舉著商品逃離當前地圖才視為成功帶走，將商品扔進星之門內也視為帶走，你可以同時偷竊多樣物品
如果在舉著商品逃跑途中被淺羽擊倒，會收回商品並開罰單收取罰金
舉著商品期間可以主動丟掉商品，可以避免被擊倒後收到的罰單，但不會解除淺羽的仇恨狀態
擊敗淺羽不會收到罰單
*罰單的詳細內容請見TIPS</t>
  </si>
  <si>
    <t>茶会の宅配車-2</t>
  </si>
  <si>
    <t>店で商品を盗む…</t>
  </si>
  <si>
    <t xml:space="preserve">
警告：猫耳メイドの浅羽は非常に強力で、通常の状況では倒すことができない存在です。そのため、セーブする前に安易に挑戦しないでください
『こっそり持ち去る』を選択すると攻撃されます（P.S.タイムストップを使用しても発見されます）
プレイヤーが商品を掲げながら現在のマップから脱出した場合にのみ、商品の奪取が成功とみなされます。商品を星の門の中に投げ入れることも奪取とみなされます。同時に複数のアイテムを盗むことも可能です
商品を掲げながら逃げている途中で浅羽に倒された場合、商品は回収され、罰金の請求書が発行されます
商品を掲げながらの移動中に任意で商品を放棄することは可能です。これにより、倒された後に罰金の請求書を受け取ることは回避できますが、浅羽の敵対状態は解除されません
浅羽を倒すことでは罰金は発生しません
*罰金の詳細についてはTIPSを参照してください
</t>
  </si>
  <si>
    <t>Shopping Van - 2</t>
  </si>
  <si>
    <t>Steal items from the shop lady</t>
  </si>
  <si>
    <t>The shop owner will attack you.
WARNING: She is extremely strong and will most likely destroy you. Please consider saving before you start stealing.
PS: Even if you stop time, she can still attack you.
Players must carry the item away from the current map to successfully steal it. Throwing the item to the star gate also counts as stealing it. You can steal items multiple times.
If Cat Girl Asaba incapacitates you while stealing an item, you will be fined and received a Cat Girl Ticket. 
You can intentionally throw the item to the ground so she won't fine you, but it won't stop her attacking you.
Defeating Cat Girl Asaba will not result in a fine.
See TIPS for details on fines</t>
  </si>
  <si>
    <t>商店车-2</t>
  </si>
  <si>
    <t>在商店车偷窃商品</t>
  </si>
  <si>
    <t>警告:猫娘浅羽极为强大，通常情况下是无法击杀的存在。因此在存档之前请不要轻易挑战她
选择"偷偷拿走"后，会被攻击 (P.S.即使使用时间暂停器仍会被发现)
玩家需要举着商品逃离当前地图才视为成功带走，将商品扔进星之门内也视为带走，你可以同时偷窃多样物品
如果在举着商品逃跑途中被浅羽击倒，会收回商品并开罚单收取罚金
举着商品期间可以主动丢掉商品，可以避免被击倒后收到的罚单，但不会解除浅羽的仇恨状态
击败浅羽不会收到罚单
*罚单的详细内容请见TIPS</t>
  </si>
  <si>
    <t>Camión de tienda-2</t>
  </si>
  <si>
    <t>Торговый фургон - 2</t>
  </si>
  <si>
    <t>Кража товара</t>
  </si>
  <si>
    <t>Владелица магазина нападет на вас.
ВНИМАНИЕ: Она очень сильна и, скорее всего, вы проиграете. Пожалуйста, подумайте о сохранении, прежде чем начать воровать.
P.s.: Даже если вы остановите время, она все равно может напасть на вас.
Чтобы успешно украсть предмет, игроки должны унести его с текущей локации. Занос его в Звёздную дверь также считается кражей. Вы можете красть предметы несколько раз.
- Если Кошко-девочка одолеет вас во время кражи, вы будете оштрафованы. 
- Вы можете намеренно бросить предмет на землю, чтобы она вас не оштрафовала, но она не перестанет атаковать.
- Победа над Кошко-девочкой не приведет к штрафу.
*Подробности о штрафах см. в разделе «Tips».</t>
  </si>
  <si>
    <t>Einkaufswagen - 2</t>
  </si>
  <si>
    <t>Stehle Gegenstände von der Shop lady</t>
  </si>
  <si>
    <t>Xe Van Bán Đồ - 2</t>
  </si>
  <si>
    <t>Ăn cắp vật phẩm từ chiếc xe bán hàng.</t>
  </si>
  <si>
    <t>CẢNH BÁO: Asaba, cô gái mèo, cực kỳ mạnh và thường không thể bị đánh bại. Vì vậy, đừng chiến đấu với cô ấy mà không lưu trò chơi
Chọn "Lén lút đi theo" cũng sẽ dẫn đến một cuộc chiến đấu (Lưu ý: Ngay cả khi dừng thời gian, bạn vẫn sẽ bị phát hiện).
Người chơi phải mang vật phẩm ra khỏi khu vực hiện tại để đánh cắp thành công. Ném vật phẩm vào Cổng Sao cũng được tính là đánh cắp. Bạn có thể đánh cắp nhiều vật phẩm cùng lúc.</t>
  </si>
  <si>
    <t>Comprando na Van - 2</t>
  </si>
  <si>
    <t>Roube itens da dona da loja van</t>
  </si>
  <si>
    <t>CUIDADO:Ela é extremamente forte e irá com quase toda certeza te destruir. Por favor, considere salvar antes de começar a roubar
Escolher "Pegar secretamente" resultará em um ataque (OBS.: Mesmo usando o dispositivo de parada no tempo, você ainda será detectado). Os jogadores devem carregar o item para fora do mapa atual para pegá-lo com sucesso; jogar o item no portal estelar também conta como pegá-lo. Você pode roubar vários itens simultaneamente.
Se você for derrubado por Asaba enquanto estiver fugindo com o item, ele será recuperado por ela e você receberá uma multa.
Você pode soltar o item intencionalmente enquanto o carrega para evitar a multa após ser derrubado, mas isso não removerá a agressividade de Asaba.
Derrotar Asaba não resultará em multa.
*Consulte em TIPS para obter detalhes sobre as multas.</t>
  </si>
  <si>
    <t>Truk Toko - 2</t>
  </si>
  <si>
    <t>Mencuri barang dari troli belanja</t>
  </si>
  <si>
    <t>Peringatan: Catgirl Asaba sangat kuat dan biasanya tak terkalahkan. Oleh karena itu, jangan menantangnya sebelum menyimpan permainan Anda.
Memilih "Menyelinap" akan mengakibatkan serangan (P.S. Bahkan menggunakan alat penghenti waktu pun akan tetap mendeteksi Anda).
Pemain harus membawa barang tersebut menjauh dari peta saat ini untuk berhasil mengambilnya. Melempar barang ke Gerbang Bintang juga dihitung sebagai pengambilan. Anda dapat mencuri beberapa barang secara bersamaan.
Jika Anda dijatuhkan oleh Asaba saat membawa barang tersebut, barang tersebut akan diambil kembali dan denda akan dikenakan.
Anda dapat sengaja menjatuhkan barang tersebut saat membawanya untuk menghindari denda, tetapi ini tidak akan menghilangkan aggro Asaba.
Mengalahkan Asaba tidak akan mengakibatkan denda.
*Lihat TIPS untuk detail tentang denda.</t>
  </si>
  <si>
    <t>RX16</t>
  </si>
  <si>
    <t>商店車-3</t>
  </si>
  <si>
    <t>商店車的固定商品之一</t>
  </si>
  <si>
    <t>獲得道具-魔導映寫器(照相機)
*實裝.拍攝對象是妹妹時，妹妹可能會扮鬼臉
H場景時拍攝也會讓妹妹感到害羞
哥哥被詛咒時，容易拍到靈異照片
*實裝.在深淵中使用，拍照的音效會引起附近怪物們的注意
(目前功能還在初期階段，許多內容未完全實裝)</t>
  </si>
  <si>
    <t>茶会の宅配車-3</t>
  </si>
  <si>
    <t>商店車の固定アイテムの一つ</t>
  </si>
  <si>
    <t>道具 - 魔導映写器（カメラ）
*実装.妹を撮影する際、妹が怒ることがある
Hなシーンで撮影すると妹が恥ずかしがることがある
お兄ちゃんが呪われていると心霊写真が撮れやすくなる…
*実装.大迷宮で使用すると、シャッター音で近くのモンスターの注意を引きます
※まだ初期段階の機能であり、十分に実装されていないコンテンツも多くあります。</t>
  </si>
  <si>
    <t>Shopping Van - 3</t>
  </si>
  <si>
    <t>Buy one of the fixed items from the shop lady</t>
  </si>
  <si>
    <t>Obtain "Magic Camera" item.
Uses: 
- Taking a picture of the sister might cause her to get angry.
- Taking a picture of the sister during H-Scenes might cause her to become embarrassed.
- Taking a picture while cursed might have ghosts in it
- Taking a picture in the abyss might attract monsters due to the sound of the shutters
*Item is still in very early stage and as such, it could be buggy.</t>
  </si>
  <si>
    <t xml:space="preserve">商店车-3
</t>
  </si>
  <si>
    <t>商店车的固定商品之一</t>
  </si>
  <si>
    <t>获得道具-魔导映写器(照相机) *实装.拍摄对象是妹妹时，妹妹可能会扮鬼脸 H场景时拍摄也会让妹妹感到害羞 哥哥被诅咒时，容易拍到灵异照片 *实装.在深渊中使用，拍照的音效会引起附近怪物们的注意 (目前功能还在初期阶段，许多内容未完全实装)</t>
  </si>
  <si>
    <t>Camión de tienda-3</t>
  </si>
  <si>
    <t>Compra uno de los objetos fijos a la señora de la tienda</t>
  </si>
  <si>
    <t>Торговый фургон - 3</t>
  </si>
  <si>
    <t>Купите один из товаров</t>
  </si>
  <si>
    <t>Получение предмета: Волшебная камера
*Реализация: При фотографировании Имоуто она может скорчить смешную гримасу.
*Фотографирование во время эротических сцен заставит Имоуто стесняться.
*Когда Куроха проклят, легче делать жуткие фотографии.
*Реализация: При использовании в Бездне звуковой эффект фотосъемки привлечет внимание находящихся поблизости монстров.
(В настоящее время эта функция находится на ранней стадии разработки, и большая часть контента ещё не полностью реализована.)</t>
  </si>
  <si>
    <t>Fahrender Laden 3</t>
  </si>
  <si>
    <t>Eines der festen Produkte des Ladenwagens.</t>
  </si>
  <si>
    <t>Erhalte das Item: Magische Fotokamera (Magisches Kamera-Gerät)
Implementiert. Wenn du ein Foto von deiner Schwester machst, könnte sie ein lustiges Gesicht ziehen.
In H-Szenen wird das Fotografieren sie schüchtern machen.
Wenn der Bruder verflucht ist, können Geisterfotos gemacht werden.
Implementiert. Wenn du es in der Ruinen-Zone benutzt, wird das Fotografieren Geräusche erzeugen, die nahegelegene Monster aufmerksam machen.
(Die Funktion befindet sich noch in der Anfangsphase, viele Inhalte sind noch nicht vollständig implementiert.)</t>
  </si>
  <si>
    <t>Xe Van Bán Đồ - 3</t>
  </si>
  <si>
    <t>Mua một trong các vật phẩm cố định từ cô gái bán hàng.</t>
  </si>
  <si>
    <t>Nhận vật phẩm “Máy Ảnh Ma Thuật”.
Công dụng:
 - Chụp hình em gái có thể khiến cô ấy tức giận.
 - Chụp hình em gái trong cảnh H có thể khiến cô ấy xấu hổ.
 - Chụp hình khi đang bị nguyền có thể xuất hiện hồn ma trong ảnh.
 - Chụp hình trong Vực Thẳm có thể thu hút quái vật vì tiếng chụp.
*Vật phẩm này vẫn đang ở giai đoạn rất ban đầu nên có thể bị lỗi.</t>
  </si>
  <si>
    <t>Comprando na Van - 3</t>
  </si>
  <si>
    <t>Compre um dos itens fixos da dona da loja</t>
  </si>
  <si>
    <t>Obtém o item "Câmera Mágica".
Usos: 
- Tirar uma foto da sua imouto pode fazer ela ficar irada.
- Tirar uma foto da imouto durante cenas-H pode fazer ela ficar envergonhada.
- Tirar uma foto enquanto amaldiçoado podem ter fantasmas nela.
- Tirar uma foto no Abismo pode atrair monstros por conta do som do obturador.
*Esse item ainda está nos estágio iniciais portanto pode figar um pouco buggado.</t>
  </si>
  <si>
    <t>Truk Toko - 3</t>
  </si>
  <si>
    <t>Salah satu barang tetap di troli toko</t>
  </si>
  <si>
    <t>Dapatkan Item - Fotografer Ajaib (Kamera)
*Implementasi: Saat memotret adik perempuan Anda, dia mungkin akan membuat ekspresi lucu.
*Mengambil foto selama adegan H juga akan membuat adik perempuan Anda malu.
*Saat kakak laki-laki Anda dikutuk, akan lebih mudah untuk mengambil foto yang menyeramkan.
*Implementasi: Saat digunakan di Abyss, efek suara saat mengambil foto akan menarik perhatian monster di dekatnya.
(Saat ini, fitur ini masih dalam tahap awal, dan banyak konten yang belum sepenuhnya diimplementasikan.)</t>
  </si>
  <si>
    <t>RX17</t>
  </si>
  <si>
    <t>商店車-4</t>
  </si>
  <si>
    <t>獲得道具:豬豬存錢罐
該道具在蒐集到100萬之後會進化(同時只能存在一個)
能獲得利息、"瑪門光輝"能力、移速加快能力、堅不可摧能力
P.S.無法將身上的錢餵給小豬</t>
  </si>
  <si>
    <t>茶会の宅配車-4</t>
  </si>
  <si>
    <t>宅配車の固定アイテムの一つ</t>
  </si>
  <si>
    <t>アイテム:小豚貯金箱
この貯金箱は100万円集めると進化します(貯金箱は一つしか出現しない)
貯金額に応じて『マモンの光環』能力、移動速度アップ能力、不屈の能力を得ます
P.S. お兄ちゃんが持ってるお金を貯金することは出来ません！</t>
  </si>
  <si>
    <t>Shopping Van - 4</t>
  </si>
  <si>
    <t>Obtain "Piggy Bank" item.
The item will evolve after you collect 1 million yen. (You can only have one at a time)
Depending on how much money it has, you will be able to get certain abilities such as "Mammon Halo", a movement speed acceleration ability and invincibility.
PS: You can't feed the money you have to the piggy bank.</t>
  </si>
  <si>
    <t>商店车-4</t>
  </si>
  <si>
    <t>获得道具:猪猪存钱罐 该道具在搜集到100万之后会进化(同时只能存在一个) 能获得利息、"玛门光辉"能力、移速加快能力、坚不可摧能力 P.S.无法将身上的钱喂给小猪</t>
  </si>
  <si>
    <t>Coche de taller-4</t>
  </si>
  <si>
    <t>Торговый фургон - 4</t>
  </si>
  <si>
    <t>Получение экипировки: Свинка-копилка
Этот предмет эволюционирует после сбора 1 миллиона йен (одновременно может существовать только один экземпляр). Она даёт проценты, способность «Сияние Маммона», увеличенную скорость передвижения и неуязвимость.
P.s.: Вы не можете кормить копилку своими монетами.</t>
  </si>
  <si>
    <t>Fahrender Laden 4</t>
  </si>
  <si>
    <t>Erhalte das Item: Sparschwein
Dieses Item wird sich weiterentwickeln, wenn du 1 Million gesammelt hast (nur ein Exemplar kann gleichzeitig existieren).
Es gewährt Zinsen, die Fähigkeit "Mammon Aura", erhöhte Bewegungsgeschwindigkeit und die Fähigkeit "Unzerstörbar".
P.S. Es ist nicht möglich, das Geld aus deinem Inventar dem Sparschwein zu geben.</t>
  </si>
  <si>
    <t>Xe Van Bán Đồ - 4</t>
  </si>
  <si>
    <t>Nhận vật phẩm “Heo Đất”.
Vật phẩm này sẽ tiến hóa sau khi bạn tích lũy được 1 triệu yên. (Chỉ có thể giữ một cái cùng lúc)
Tùy theo số tiền bên trong, bạn sẽ có thể nhận được những kỹ năng nhất định như “Vòng Sáng Mammon”, kỹ năng tăng tốc độ di chuyển và bất tử.
P/S: Bạn không thể nạp số tiền đang có vào ống heo</t>
  </si>
  <si>
    <t>Comprando na Van - 4</t>
  </si>
  <si>
    <t>Obtém um item " Cofrinho".
O item evolui depois de você coletar 1 milhão de yen. (Você só pode ter um de cada vez)
Dependendo de quanto dinheiro ele tenha, você será capaz de pegar certas habilidade como "Halo de Mammon", Uma habilidade de aceleração de movimento e invencibilidade.
OBS: Você não pode dar o dinheiro que você já tem para o cofre de porquinho.</t>
  </si>
  <si>
    <t>Truk Toko - 4</t>
  </si>
  <si>
    <t>Cara Mendapatkan Item: Celengan
Item ini berevolusi setelah mengumpulkan 1 juta koin (hanya satu yang dapat ada pada satu waktu). Item ini memberikan bunga, kemampuan "Cahaya Mammon", peningkatan kecepatan gerak, dan kekebalan.
P.S. Anda tidak dapat memasukkan koin Anda sendiri ke dalam celengan.</t>
  </si>
  <si>
    <t>RX18</t>
  </si>
  <si>
    <t>商店車-5</t>
  </si>
  <si>
    <t xml:space="preserve">
在商店車出現時，如果哥哥剛好被撞到並HP歸零，會到新地圖(未實裝)</t>
  </si>
  <si>
    <t>未實装</t>
  </si>
  <si>
    <t>茶会の宅配車-5</t>
  </si>
  <si>
    <t>茶会の宅配車を呼び出した時にお兄ちゃんが轢かれ体力が0になると異世界転生します…
※現時点では未実装</t>
  </si>
  <si>
    <t>Shopping Van - 5</t>
  </si>
  <si>
    <t>When your hp is reduced to 0 after being run over by the Shopping Van (upon summoning it), you will be transported into a different place. (Not yet implemented)</t>
  </si>
  <si>
    <t>商店车-5</t>
  </si>
  <si>
    <t>在商店车出现时，如果哥哥刚好被撞到并HP归零，会到新地图(未实装)</t>
  </si>
  <si>
    <t>Camión de tienda-5</t>
  </si>
  <si>
    <t>Cuando tu HP se reduzca a 0 despues de ser arrollado por el carrito de compras (Despues de invocarlo) seras teletransportado a un lugar diferente. (Todavia no ha sido implementado)</t>
  </si>
  <si>
    <t>Торговый фургон - 5</t>
  </si>
  <si>
    <t>Если Куроху собьёт грузовик и его ОЗ достигнут нуля, его перенесёт на новую локацию.</t>
  </si>
  <si>
    <t>Не реализовано</t>
  </si>
  <si>
    <t>Fahrender Laden 5</t>
  </si>
  <si>
    <t>Wenn der Ladenwagen erscheint und der Bruder zufällig angefahren wird, sodass seine HP auf null sinken, gelangt er in eine neue Karte (noch nicht implementiert)</t>
  </si>
  <si>
    <t>Nicht implementiert</t>
  </si>
  <si>
    <t>Xe Van Bán Đồ - 5</t>
  </si>
  <si>
    <t>Khi HP của bạn giảm xuống 0 sau khi bị Xe Van Bán Đồ cán qua (khi triệu hồi nó), bạn sẽ được đưa đến một nơi khác. (Chưa được triển khai)</t>
  </si>
  <si>
    <t>Chưa được triển khai.</t>
  </si>
  <si>
    <t>Comprando na Van - 5</t>
  </si>
  <si>
    <t>Quando seu PV é reduzido a 0 depois de ser atropelado pela Van(assim que a invocar), você será transportado para um local diferente.( ainda não implementado)</t>
  </si>
  <si>
    <t>Truk Toko - 5</t>
  </si>
  <si>
    <t>Jika kakak laki-laki tertabrak truk toko dan HP-nya mencapai nol, dia akan dipindahkan ke peta baru (belum diimplementasikan).</t>
  </si>
  <si>
    <t>RX19</t>
  </si>
  <si>
    <t>商店車-6</t>
  </si>
  <si>
    <t>獲得道具:百合同人本
效果：提升性慾
※目前版本只是實驗性道具，之後會有CG鑑賞的功能</t>
  </si>
  <si>
    <t>茶会の宅配車-6</t>
  </si>
  <si>
    <t>商店車の固定商品の一つ</t>
  </si>
  <si>
    <t>百合同人本
効果：性欲を高める
※現在のバージョンは実験的な道具であり、今後CG鑑賞機能が追加される予定です</t>
  </si>
  <si>
    <t>Shopping Van - 6</t>
  </si>
  <si>
    <t>Purchase the new item added in the shopping van</t>
  </si>
  <si>
    <t>Obtain "Yuri Doujinshi" item.
This item increases your sexual desire.
*The current version of this item is just an experimental version. A CG related to this item will be added later.</t>
  </si>
  <si>
    <t>商店车-6</t>
  </si>
  <si>
    <t>获得道具:百合同人本 效果：提升性欲 ※目前版本只是实验性道具，之后会有CG鉴赏的功能</t>
  </si>
  <si>
    <t>Camión de tienda-6</t>
  </si>
  <si>
    <t>Торговый фургон - 6</t>
  </si>
  <si>
    <t>Получение предмета: Юри Додзинси
Эффект: Повышает желание
※Этот предмет в настоящее время находится в экспериментальной стадии. Функция просмотра CG-изображений будет добавлена ​​позже.</t>
  </si>
  <si>
    <t>Fahrender Laden 6</t>
  </si>
  <si>
    <t>Ein Festes Produkt vom Fahrenden Laden</t>
  </si>
  <si>
    <t>Erhaltenes Item: Lily Dōjinshi
Effekt: Erhöht das sexuelle Verlangen
※ In der aktuellen Version ist dies nur ein experimentelles Item. Später wird eine Bildergalerie verfügbar sein.</t>
  </si>
  <si>
    <t>Xe Van Bán Đồ - 6</t>
  </si>
  <si>
    <t>Mua vật phẩm mới được thêm vào trong xe tải mua sắm.</t>
  </si>
  <si>
    <t>Nhận vật phẩm “Yuri Doujinshi”. Vật phẩm này làm tăng ham muốn tình dục của bạn.
*Phiên bản hiện tại của vật phẩm này chỉ là thử nghiệm. Hình CG liên quan sẽ được bổ sung sau.</t>
  </si>
  <si>
    <t>Comprando na Van - 6</t>
  </si>
  <si>
    <t>Compre o novo item adicionado na van</t>
  </si>
  <si>
    <t>Obtém o item "Doujinshi Yuri".
Esse item aumenta os desejos sexuais.
*A versão atual desse item é apenas uma versão experimental. Uma CG relacionada a esse item será adicionada mais tarde.</t>
  </si>
  <si>
    <t>Truk Toko-6</t>
  </si>
  <si>
    <t>Item yang Didapatkan: Doujinshi Yuriko
Efek: Meningkatkan libido
※Item ini saat ini masih dalam tahap percobaan; fungsi melihat CG akan ditambahkan kemudian.</t>
  </si>
  <si>
    <t>RX20</t>
  </si>
  <si>
    <t>商店車-7</t>
  </si>
  <si>
    <t>獲得道具:萌萌同人本
效果：是提升性慾
※目前版本只是實驗性道具，之後會有CG鑑賞的功能</t>
  </si>
  <si>
    <t>茶会の宅配車-7</t>
  </si>
  <si>
    <t>萌え萌え同人誌
効果：性欲を高める
※現在のバージョンは実験的な道具であり、今後CG鑑賞機能が追加される予定です</t>
  </si>
  <si>
    <t>Shopping Van - 7</t>
  </si>
  <si>
    <t>Obtain "Moe Doujinshi" item.
This item increases your sexual desire.
*The current version of this item is just an experimental version. A CG related to this item will be added later.</t>
  </si>
  <si>
    <t>商店车-7</t>
  </si>
  <si>
    <t>获得道具:萌萌同人本 效果：是提升性欲 ※目前版本只是实验性道具，之后会有CG鉴赏的功能</t>
  </si>
  <si>
    <t>Vehículo de tienda-7</t>
  </si>
  <si>
    <t>Торговый фургон - 7</t>
  </si>
  <si>
    <t>Получение предмета: Моэ Додзинси
Эффект: Повышает желание
※Этот предмет в настоящее время находится в экспериментальной стадии. Функция просмотра CG-изображений будет добавлена ​​позже.</t>
  </si>
  <si>
    <t>Fahrender Laden 7</t>
  </si>
  <si>
    <t>Ebenfalls ein Festes Produkt vom Fahrenden Laden</t>
  </si>
  <si>
    <t>Erhaltenes Item: Moe Dōjinshi
Effekt: Steigert das sexuelle Verlangen
※ In der aktuellen Version ist dies nur ein experimentelles Item. Später wird es eine Bildergalerie geben.</t>
  </si>
  <si>
    <t>Xe Van Bán Đồ - 7</t>
  </si>
  <si>
    <t>Nhận vật phẩm “Doujinshi Moe”. Vật phẩm này làm tăng ham muốn tình dục của bạn.
*Phiên bản hiện tại của vật phẩm này chỉ là thử nghiệm. Hình CG liên quan sẽ được bổ sung sau.</t>
  </si>
  <si>
    <t>Comprando na Van - 7</t>
  </si>
  <si>
    <t>Obtém o item "Doujinshi Moe" .
Esse item aumenta o seu desejo sexual.
*A versão atual desse item é apenas uma versão experimental. Uma CG relacionada a esse item será adicionada mais tarde.</t>
  </si>
  <si>
    <t>Kendaraan bengkel-7</t>
  </si>
  <si>
    <t>Item yang Didapatkan: Doujinshi Lucu
Efek: Meningkatkan libido
※Item ini saat ini masih dalam tahap percobaan; fungsi melihat CG akan ditambahkan kemudian.</t>
  </si>
  <si>
    <t>RX21</t>
  </si>
  <si>
    <t>深夜的好選擇</t>
  </si>
  <si>
    <t>解鎖深夜時段後，可以向騎士花費5000元或者於AKI商店花費一隻帝王鲑
購買恐怖錄影帶、成人錄影帶</t>
  </si>
  <si>
    <t>獲得道具:恐怖錄影帶
獲得道具:成人錄影帶</t>
  </si>
  <si>
    <t>深夜にぴったりの選択！</t>
  </si>
  <si>
    <t xml:space="preserve">
深夜の時間帯を開放すると、騎士に5000円支払い、アキの菓子店でキングサーモン1匹を渡すなどすると
恐怖のビデオテープやアダルトビデオを購入できるようになります
</t>
  </si>
  <si>
    <t xml:space="preserve">
入手
恐怖のビデオテープ
アダルトビデオ
</t>
  </si>
  <si>
    <t>Great choice for the late night!</t>
  </si>
  <si>
    <t>Once you unlock "Late at Night", you will be able to purchase the "Horror Video Tape" from the Weird Knight's Shop for 5000 yen or the "Adult Video Tape" from Aki by giving her a King Salmon</t>
  </si>
  <si>
    <t xml:space="preserve">Obtain "Horror Video Tape" item
Obtain "Adult Video Tape" item
</t>
  </si>
  <si>
    <t>Отличный выбор для позднего вечера</t>
  </si>
  <si>
    <t>Как только вы разблокируете "Поздно ночью", вы сможете приобрести "Видеокассету ужасов" у Загадочного рыцаря за 5000 иен или "Видеокассету для взрослых" у Аки, подарив ей Королевского лосося.</t>
  </si>
  <si>
    <t>Получение предмета: Видеокассета с Ужастиком
Получение предмета: Видеокассета для взрослых</t>
  </si>
  <si>
    <t>Gute Wahl zur späten Stunde</t>
  </si>
  <si>
    <t>Nach Freischaltung der späten Nacht kann man beim Ritter für 5000 Yen oder im AKI-Laden gegen einen Königslachs ein Horror- oder Erwachsenvideokassette kaufen</t>
  </si>
  <si>
    <t>Gegenstand erhalten: Horrorvideokassette
Gegenstand erhalten: Erwachsenenvideokassette</t>
  </si>
  <si>
    <t>Lựa chọn tuyệt vời cho việc thức khuya</t>
  </si>
  <si>
    <t>Nhận được vật phẩm: Băng video kinh dị
Nhận được vật phẩm: Băng video người lớn</t>
  </si>
  <si>
    <t>Uma boa opção para noites longas.</t>
  </si>
  <si>
    <t>"Após desbloquear a sessão noturna, você pode gastar 5.000 Yen com o Cavaleiro ou um Rei Salmão na Loja AKI para comprar a Fita de Vídeo de Terror e/ou a Fita de Vídeo Adulta."</t>
  </si>
  <si>
    <t>Item obtido: Fita de Vídeo de Terror
Item obtido: Fita de Vídeo Adulta</t>
  </si>
  <si>
    <t>Pilihan Bagus Saat Tengah Malam!</t>
  </si>
  <si>
    <t>setelah kau membuka "Late at Night", kau akan bisa membeli "Kaset Video Horor" dari toko kesatria aneh seharga 5000 yen atau "Kaset Video Dewasa" dari Aki dengan memberinya Raja Salmon</t>
  </si>
  <si>
    <t xml:space="preserve">Mendapatkan "Kaset Video Horor"
Mendapatkan "Kaset Video Dewasa"
</t>
  </si>
  <si>
    <t>RX22</t>
  </si>
  <si>
    <t>ASABA-1</t>
  </si>
  <si>
    <t>餵食ASABA-"一般食物"</t>
  </si>
  <si>
    <t>毫無反應，次數多了還會產生厭惡</t>
  </si>
  <si>
    <t>A↗SA↘BA↗-1</t>
  </si>
  <si>
    <t>A↗SA↘BA↗に普通の食べ物を与える</t>
  </si>
  <si>
    <t>何の反応もなく、回数が増えると嫌悪感を生む...</t>
  </si>
  <si>
    <t>ASABA - 1</t>
  </si>
  <si>
    <t>Feed ASABA "Normal Food"</t>
  </si>
  <si>
    <t>No reaction, and sometimes will show a disgusting face if fed too often</t>
  </si>
  <si>
    <t>喂食ASABA-"一般食物"</t>
  </si>
  <si>
    <t>毫无反应，次数多了还会产生厌恶</t>
  </si>
  <si>
    <t>Асаба - 1</t>
  </si>
  <si>
    <t>Покормите Асабу обычной едой</t>
  </si>
  <si>
    <t>Никакой реакции, а повторные случаи могут даже привести к отвращению.</t>
  </si>
  <si>
    <t>Keine Reaktion; bei zu häufiger Anwendung kann es eine Abneigung hervorrufen</t>
  </si>
  <si>
    <t>Cho ASABA ăn “Thức Ăn Bình Thường”.</t>
  </si>
  <si>
    <t>Không có phản ứng, và đôi khi sẽ hiện nét mặt ghê tởm nếu bị cho ăn quá nhiều lần.</t>
  </si>
  <si>
    <t>Alimentar ASABA "Comida normal"</t>
  </si>
  <si>
    <t>Sem reação, e as vezes irá mostrar uma cara de desgosto se alimentada com muita frequência</t>
  </si>
  <si>
    <t>Berikan ASABA - "makanan biasa"</t>
  </si>
  <si>
    <t>Tidak ada reaksi sama sekali, dan kejadian berulang bahkan dapat menyebabkan rasa jijik.</t>
  </si>
  <si>
    <t>RX23</t>
  </si>
  <si>
    <t>ASABA-2</t>
  </si>
  <si>
    <t>餵食ASABA-"妹妹的呆毛"</t>
  </si>
  <si>
    <t>讓ASABA的大腦當機</t>
  </si>
  <si>
    <t>A↗SA↘BA↗-2</t>
  </si>
  <si>
    <t>A↗SA↘BA↗にアホ毛を食べさせると…？</t>
  </si>
  <si>
    <t>A↗SA↘BA↗が壊れた…</t>
  </si>
  <si>
    <t>ASABA - 2</t>
  </si>
  <si>
    <t>Feed ASABA "Imouto's Ahoge"</t>
  </si>
  <si>
    <t>ASABA's brain will crash and glitch out</t>
  </si>
  <si>
    <t>喂食ASABA-"妹妹的呆毛"</t>
  </si>
  <si>
    <t>让ASABA的大脑当机</t>
  </si>
  <si>
    <t>Асаба - 2</t>
  </si>
  <si>
    <t>Покормите Асабу Агохе Имоуто</t>
  </si>
  <si>
    <t>Асабу начинает глючить</t>
  </si>
  <si>
    <t>ASABAs Gehirn zum Absturz bringen</t>
  </si>
  <si>
    <t>Cho ASABA ăn “Ahoge Của Em Gái".</t>
  </si>
  <si>
    <t>Bộ não của ASABA sẽ bị rối và trở nên lỗi.</t>
  </si>
  <si>
    <t>Alimentar ASABA "Ahoge da Imouto "</t>
  </si>
  <si>
    <t>O cérebro da ASABA irá para de funcionar e dar erro</t>
  </si>
  <si>
    <t>Memberi makan ASABA - "Ahoge saudari"</t>
  </si>
  <si>
    <t>Mematikan otak ASABA</t>
  </si>
  <si>
    <t>RX24</t>
  </si>
  <si>
    <t>ASABA-3</t>
  </si>
  <si>
    <t>餵食ASABA-"草莓"，可以獲得BUFF</t>
  </si>
  <si>
    <t>獲得BUFF</t>
  </si>
  <si>
    <t>A↗SA↘BA↗-3</t>
  </si>
  <si>
    <t>イチゴを与えると、謎のバフを獲得する</t>
  </si>
  <si>
    <t>BUFFを取得する</t>
  </si>
  <si>
    <t>ASABA - 3</t>
  </si>
  <si>
    <t>Feed ASABA "Strawberry"</t>
  </si>
  <si>
    <t>Will receive a positive BUFF</t>
  </si>
  <si>
    <t>喂食ASABA-"草莓"，可以获得BUFF</t>
  </si>
  <si>
    <t>获得BUFF</t>
  </si>
  <si>
    <t>Асаба - 3</t>
  </si>
  <si>
    <t>Покормите Асабу клубничкой</t>
  </si>
  <si>
    <t>Накачайся</t>
  </si>
  <si>
    <t>Erhalte einen Buff</t>
  </si>
  <si>
    <t>Cho ASABA ăn “Dâu Tây”.</t>
  </si>
  <si>
    <t>Sẽ nhận được một hiệu ứng cường hóa tích cực</t>
  </si>
  <si>
    <t>Alimentar ASABA "Morango"</t>
  </si>
  <si>
    <t>Vai receber um BUFF positivo</t>
  </si>
  <si>
    <t>Memberi makan ASABA dengan "Strawberry" akan memberimu buff.</t>
  </si>
  <si>
    <t>Dapatkan tubuh yang kekar</t>
  </si>
  <si>
    <t>RX25</t>
  </si>
  <si>
    <t>ASABA-4</t>
  </si>
  <si>
    <t>將普通的ASABA擊敗後獲得"ASABA的草莓"</t>
  </si>
  <si>
    <t>獲得ASABA的草莓</t>
  </si>
  <si>
    <t>A↗SA↘BA↗-4</t>
  </si>
  <si>
    <t>通常のASABAを倒すと報酬として「ASABAのイチゴ」がもらえます。</t>
  </si>
  <si>
    <t>A↗SA↘BA↗のイチゴを入手</t>
  </si>
  <si>
    <t>ASABA - 4</t>
  </si>
  <si>
    <t>After killing the normal ASABA, you will obtain "ASABA's Strawberry"</t>
  </si>
  <si>
    <t>Obtain "ASABA's Strawberry" food</t>
  </si>
  <si>
    <t>将普通的ASABA击败后获得"ASABA的草莓"</t>
  </si>
  <si>
    <t>获得ASABA的草莓</t>
  </si>
  <si>
    <t>Асаба - 4</t>
  </si>
  <si>
    <t>Победа над обычной Асабой даст вам в награду «Клубнику Асабы».</t>
  </si>
  <si>
    <t>Получение еды: Клубника Асабы</t>
  </si>
  <si>
    <t>Erhalten eine ASABAs Erdbeere</t>
  </si>
  <si>
    <t>Sau khi đánh bại ASABA thường, bạn sẽ nhận được “Dâu Tây của ASABA”.</t>
  </si>
  <si>
    <t>Nhận món ăn “Dâu Tây của ASABA”.</t>
  </si>
  <si>
    <t>Depois de matar a ASABA normal, você vai obter o "Morango da ASABA"</t>
  </si>
  <si>
    <t>Obtém a comida "Morango da ASABA"</t>
  </si>
  <si>
    <t>Mengalahkan ASABA biasa akan memberi Anda hadiah berupa "Strawberry ASABA".</t>
  </si>
  <si>
    <t>Stroberi dari ASABA</t>
  </si>
  <si>
    <t>RX26</t>
  </si>
  <si>
    <t>ASABA-5</t>
  </si>
  <si>
    <t>餵食ASABA-"ASABA的草莓"，可以進入BOSS戰鬥</t>
  </si>
  <si>
    <t>擊敗後獲得"ASABA的草莓"</t>
  </si>
  <si>
    <t>A↗SA↘BA↗-5</t>
  </si>
  <si>
    <t>A↗SA↘BA↗にA↗SA↘BA↗のイチゴを与えるとbossバトルが発生する</t>
  </si>
  <si>
    <t>倒すとA↗SA↘BA↗のイチゴを入手できる</t>
  </si>
  <si>
    <t>ASABA - 5</t>
  </si>
  <si>
    <t>Feed ASABA "ASABA's Strawberry"</t>
  </si>
  <si>
    <t>Boss battle. After defeating ASABA, you will reobtain ASABA's Strawberry</t>
  </si>
  <si>
    <t>喂食ASABA-"ASABA的草莓"，可以进入BOSS战斗</t>
  </si>
  <si>
    <t>击败后获得"ASABA的草莓"</t>
  </si>
  <si>
    <t>Асаба - 5</t>
  </si>
  <si>
    <t>Покормите Асабу «Клубникой Асабы» чтобы запустить битву с боссом.</t>
  </si>
  <si>
    <t>Победа над Асабой вернёт вам «Клубнику Асабы»</t>
  </si>
  <si>
    <t>Nach dem Besiegen erhält man eine ASABAs Erdbeere</t>
  </si>
  <si>
    <t>Cho ASABA ăn “Dâu Tây của ASABA”.</t>
  </si>
  <si>
    <t>Trận đánh boss. Sau khi đánh bại ASABA, bạn sẽ nhận Dâu Tây của ASABA lần nữa.</t>
  </si>
  <si>
    <t>Alimente ASABA "Morango da ASABA"</t>
  </si>
  <si>
    <t>Batalha de chefe. Depois de derrotar ASABA, Você vai reobter o Morango da ASABA</t>
  </si>
  <si>
    <t>Memberi makan ASABA dengan "Strawberry ASABA" akan memicu pertarungan BOSS.</t>
  </si>
  <si>
    <t>Mengalahkan musuh akan memberimu hadiah berupa "Strawberry ASABA".</t>
  </si>
  <si>
    <t>RX27</t>
  </si>
  <si>
    <t>ASABA-6</t>
  </si>
  <si>
    <t>同上，期間被BOSS的必殺技命中越多次，會越來越有機會獲得特殊掉落</t>
  </si>
  <si>
    <t>獲得裝備"把草莓奪回來！!"
(指令請看技能欄位)</t>
  </si>
  <si>
    <t>A↗SA↘BA↗-6</t>
  </si>
  <si>
    <t>BOSSの必殺技に命中する回数が増えるほど、特殊ドロップを獲得するチャンスが高まります</t>
  </si>
  <si>
    <t>装備「イチゴを取り戻せ！！」を入手 （コマンドはスキルバーで確認できます）</t>
  </si>
  <si>
    <t>ASABA - 6</t>
  </si>
  <si>
    <t>Continuing from above, the more you get hit by the ASABA's special attack, the chances of you dropping the special item increases.</t>
  </si>
  <si>
    <t>Obtain "Ichigo Wo Torimodose!!" equipment
Check the skills tab when you equip it to see the command.</t>
  </si>
  <si>
    <t>同上，期间被BOSS的必杀技命中越多次，会越来越有机会获得特殊掉落</t>
  </si>
  <si>
    <t>获得装备"把草莓夺回来！!"
(指令请看技能栏位)</t>
  </si>
  <si>
    <t>Асаба - 6</t>
  </si>
  <si>
    <t>Аналогично, чем чаще вас поражает ультимативная атака босса, тем выше ваши шансы получить особый предмет.</t>
  </si>
  <si>
    <t>Получение экипировки: «Верни мою клубничку!»
(Команды смотрите на панели навыков)</t>
  </si>
  <si>
    <t>Tiếp theo ở trên, càng bị trúng nhiều đòn tấn công đặc biệt của ASABA, cơ hội rơi ra vật phẩm đặc biệt càng cao.</t>
  </si>
  <si>
    <t>Nhận trang bị “Giành lại tình yêu!!”.
Hãy kiểm tra tab kỹ năng khi bạn trang bị nó để xem lệnh.</t>
  </si>
  <si>
    <t>Continuando o evento de cima, o quanto mais você é atingido pela ataque especial da ASABA, as chances de cair o item especial aumenta.</t>
  </si>
  <si>
    <t>Obtém o equipamento "Recupere o Ichigo!!"
Olhe a aba de habilidade quando você equipá-lo para ver o comando.</t>
  </si>
  <si>
    <t>Demikian pula, semakin sering Anda terkena serangan pamungkas BOSS, semakin besar peluang Anda untuk mendapatkan item spesial.</t>
  </si>
  <si>
    <t>Dapatkan perlengkapan "Ambil Kembali Stroberi!!"
(Lihat bilah keterampilan untuk perintah)</t>
  </si>
  <si>
    <t>RX28</t>
  </si>
  <si>
    <t>◉▽◉?</t>
  </si>
  <si>
    <t>炸魚時，可能會出現該小怪</t>
  </si>
  <si>
    <t>薩卡班甲魚(小)
擊殺掉落：◉▽◉(藍色)</t>
  </si>
  <si>
    <t>魚を爆破した時、この小型モンスターが出現することがある</t>
  </si>
  <si>
    <t>サカバンバスピス(小)
討伐時のドロップ：◉▽◉（青）</t>
  </si>
  <si>
    <t>When you throw bombs in the water, this monster may spawn</t>
  </si>
  <si>
    <t>Spawns Small Sacambaspis
Drops: ◉▽◉ (Blue)</t>
  </si>
  <si>
    <t>炸鱼时，可能会出现该小怪</t>
  </si>
  <si>
    <t>萨卡班甲鱼(小)
击杀掉落：◉▽◉(蓝色)</t>
  </si>
  <si>
    <t>Когда вы бросаете бомбы в воду, этот монстр может появиться.</t>
  </si>
  <si>
    <t>Черепаха Сакабан (маленькая) -
Получение еды: ◉▽◉ (синяя)</t>
  </si>
  <si>
    <t>Nếu ném bom vào trong nước, con quái này có thể xuất hiện</t>
  </si>
  <si>
    <t>Xuất hiện Sacambaspis Nhỏ
Rơi ra ◉▽◉ (Xanh)</t>
  </si>
  <si>
    <t>Quando você joga uma bomba na água, esse monstro pode aparecer.</t>
  </si>
  <si>
    <t>Aparece um pequeno Sacambaspis
Drops: ◉▽◉ (Azul)</t>
  </si>
  <si>
    <t>Monster kecil ini mungkin muncul saat Anda menggoreng ikan.</t>
  </si>
  <si>
    <t>Kura-kura Sakaban (Kecil) - Menjatuhkan item setelah dikalahkan: ◉▽◉ (Biru)</t>
  </si>
  <si>
    <t>RX29</t>
  </si>
  <si>
    <t>◉▽◉!?</t>
  </si>
  <si>
    <t>炸魚時，較低機率可能會出現該小怪</t>
  </si>
  <si>
    <t>薩卡班甲魚(大)
擊殺掉落：◉▽◉(紫色)</t>
  </si>
  <si>
    <t>爆破漁の際、低確率でこの小型モンスターが出現する</t>
  </si>
  <si>
    <t>サカバンバスピス（大）
ドロップ：◉▽◉（紫）</t>
  </si>
  <si>
    <t>When you throw bombs in the water, this monster may spawn at a low chance</t>
  </si>
  <si>
    <t xml:space="preserve">Spawns a Large Sacambaspis
Drops: ◉▽◉ (Purple)
</t>
  </si>
  <si>
    <t>炸鱼时，较低机率可能会出现该小怪</t>
  </si>
  <si>
    <t>萨卡班甲鱼(大)
击杀掉落：◉▽◉(紫色)</t>
  </si>
  <si>
    <t>◉▽◉?!</t>
  </si>
  <si>
    <t>Когда вы бросаете бомбы в воду, этот монстр с небольшой вероятностью может появиться.</t>
  </si>
  <si>
    <t>Черепаха Сакабан (большая) -
Получение еды: ◉▽◉ (фиолетовая)</t>
  </si>
  <si>
    <t>Nếu bạn ném bom vào trong nước, con quái này có thể xuất hiện với khả năng thấp</t>
  </si>
  <si>
    <t>Xuất hiện Sacambaspis Lớn
Rơi ra ◉▽◉ (Đỏ)</t>
  </si>
  <si>
    <t>Quando você joga uma bomba na água, esse monstro pode aparecer com uma chance pequena.</t>
  </si>
  <si>
    <t xml:space="preserve">Aparece um grande Sacambaspis
Drops: ◉▽◉ (roxo)
</t>
  </si>
  <si>
    <t>Monster ini mungkin muncul dengan peluang rendah saat menggoreng ikan.</t>
  </si>
  <si>
    <t>Kura-kura Sakaban (Besar) - Item yang dijatuhkan setelah dikalahkan: ◉▽◉ (Ungu)</t>
  </si>
  <si>
    <t>RX30</t>
  </si>
  <si>
    <t>♔
◉▽◉</t>
  </si>
  <si>
    <t>當稀有機率足夠，且符合地形條件時，可能召喚出BOSS
(詳細說明於TIPS中)</t>
  </si>
  <si>
    <t>召喚BOSS：
應該已經滅絕的河之主!?(甲魚王)
擊殺掉落：王權之令、◉▽◉(粉色)</t>
  </si>
  <si>
    <t>レア出現率かつ、特定の条件を満たす場合BOSSが召喚されることがある
（詳細はTIPSを参照）</t>
  </si>
  <si>
    <t>BOSS召喚：
すでに絶滅したはずの河の主！？（甲魚王）
撃破ドロップ：王権征令、◉▽◉（ピンク）</t>
  </si>
  <si>
    <t>When the rare spawn chance is high enough and the environment conditions are met, a boss may spawn instead.
(See TIPS)</t>
  </si>
  <si>
    <t>Spawns The River Lord  - Wasn't it extinct!?
Drops: Royal Decree, ◉▽◉ (Pink)</t>
  </si>
  <si>
    <t>当稀有机率足够，且符合地形条件时，可能召唤出BOSS
(详细说明于TIPS中)</t>
  </si>
  <si>
    <t>召唤BOSS：
应该已经灭绝的河之主!?(甲鱼王)
击杀掉落：王权之令、◉▽◉(粉色)</t>
  </si>
  <si>
    <t>♔
◉▽◉</t>
  </si>
  <si>
    <t>Когда вероятность появления редкого монстра достаточно высока и условия окружающей среды соблюдены, вместо него может появиться Босс.
(Подробное см. в Tips)</t>
  </si>
  <si>
    <t>Призыв босса: Повелитель Реки, которому суждено вымереть!? (Король Черепах)
Получение после победы: Королевский указ, ◉▽◉ (Розовая)</t>
  </si>
  <si>
    <t>Khi cơ hội xuất hiện đủ cao và điều kiện môi trường được đáp ứng, boss có thể xuất hiện thay thế.
(Xem TIPS)</t>
  </si>
  <si>
    <t>Triệu hồi Chúa tể Sông - Không phải nó đã tuyệt chủng rồi sao!?
Rơi: Sắc Lệnh Hoàng Gia, ◉▽◉ (Hồng)</t>
  </si>
  <si>
    <r>
      <rPr>
        <rFont val="Microsoft JhengHei"/>
        <color theme="1"/>
      </rPr>
      <t xml:space="preserve">Quando a chance de surgir é alta o suficiente e as condiçãos ambientais são alcançadas, o chefe pode aparecer no lugar de um monstro comum.
(Veja em </t>
    </r>
    <r>
      <rPr>
        <rFont val="Microsoft JhengHei"/>
        <i/>
        <color theme="1"/>
      </rPr>
      <t>TIPS</t>
    </r>
    <r>
      <rPr>
        <rFont val="Microsoft JhengHei"/>
        <color theme="1"/>
      </rPr>
      <t>)</t>
    </r>
  </si>
  <si>
    <t>Aparece o Lord do rio - Ele não estava extinto!?
Drops: Decreto real, ◉▽◉ (Rosa)</t>
  </si>
  <si>
    <t>Ketika peluangnya cukup tinggi dan kondisi medan terpenuhi, BOSS dapat dipanggil.
(Penjelasan detail ada di TIPS)</t>
  </si>
  <si>
    <t>Bos yang dipanggil: Raja Sungai, yang seharusnya punah!? (Raja Kura-kura)
Hasil rampasan setelah dikalahkan: Dekrit Kerajaan, ◉▽◉ (Merah Muda)</t>
  </si>
  <si>
    <t>RX31</t>
  </si>
  <si>
    <t>回歸水中</t>
  </si>
  <si>
    <t>當甲魚從者、甲魚王遇到水面，將會逃跑回水中。</t>
  </si>
  <si>
    <t>對象逃跑</t>
  </si>
  <si>
    <t>水中へ帰還</t>
  </si>
  <si>
    <t>甲魚の従者および甲魚王は、水面に触れると水中へ逃げ帰る</t>
  </si>
  <si>
    <t>逃げられた....</t>
  </si>
  <si>
    <t>Back to the water I go!</t>
  </si>
  <si>
    <t>When Small/Large Sacambaspis or The River Lord - Wasn't it extinct!? gets near a water surface, they'll swim away and escape</t>
  </si>
  <si>
    <t>The fight will end and the monster will escape</t>
  </si>
  <si>
    <t>回归水中</t>
  </si>
  <si>
    <t>当甲鱼从者、甲鱼王遇到水面，将会逃跑回水中。</t>
  </si>
  <si>
    <t>对象逃跑</t>
  </si>
  <si>
    <t>Regresar al agua</t>
  </si>
  <si>
    <t>Обратно в воду</t>
  </si>
  <si>
    <t>Когда маленький/большой Сакамбапсис или Речной Владыка приблизится к воде, они уплывут и спасутся.</t>
  </si>
  <si>
    <t>Побег Сакамбапсисов</t>
  </si>
  <si>
    <t>Zurück ins Wasser!</t>
  </si>
  <si>
    <t>Feind geht Milch holen</t>
  </si>
  <si>
    <t>Quay trở lại với nước tôi đi!</t>
  </si>
  <si>
    <t>Khi Sacambaspis Nhỏ/Lớn hoặc Chúa tể Sông - Không phải nó đã tuyệt chủng rồi sao!? đến gần mặt nước, chúng sẽ bơi đi và trốn thoát</t>
  </si>
  <si>
    <t>Cuộc đấu sẽ kết thúc và con quái sẽ trốn thoát</t>
  </si>
  <si>
    <t>Dê volta à água eu vou.</t>
  </si>
  <si>
    <t>Quando o pequeno/grande Sacambaspis ou o Lord do rio - Ele não estava extinto!? Chega perto da superfície da água, eles irão nada pra longe para escapar.</t>
  </si>
  <si>
    <t>A luta vai terminar e o monstro irá fugir</t>
  </si>
  <si>
    <t>Kembali ke air</t>
  </si>
  <si>
    <t>Ketika para pengikut kura-kura atau raja kura-kura bertemu dengan permukaan air, mereka akan berlari kembali ke dalam air.</t>
  </si>
  <si>
    <t>Objek lepas</t>
  </si>
  <si>
    <t>RX32</t>
  </si>
  <si>
    <t>蘿蔔大劍</t>
  </si>
  <si>
    <t>於篝火中使用凍蘿蔔大劍解凍之後，能獲得霉蘿蔔大劍</t>
  </si>
  <si>
    <t>にんじん大剣</t>
  </si>
  <si>
    <t>篝火で凍ったニンジン大剣を解凍すると、カビたニンジン大剣を入手できる</t>
  </si>
  <si>
    <t>Frozen Carrot Greatsword</t>
  </si>
  <si>
    <t>Using a Frozen Radish Greatsword on the campfire will thaw out the ice and transform it into a Moldy Carrot Greatsword</t>
  </si>
  <si>
    <t>萝卜大剑</t>
  </si>
  <si>
    <t>于篝火中使用冻萝卜大剑解冻之后，能获得霉萝卜大剑</t>
  </si>
  <si>
    <t>Espada grande</t>
  </si>
  <si>
    <t>Замороженный Морковный меч</t>
  </si>
  <si>
    <t>Разморозив Замороженный Морковный меч над костром, вы получите Заплесневелый Морковный меч.</t>
  </si>
  <si>
    <t>Gefrorenes Karottengroßschwert</t>
  </si>
  <si>
    <t>Đại Kiếm Củ Cải</t>
  </si>
  <si>
    <t>Sử dụng Đại Kiếm Củ Cái Băng Giá trên lửa trại sẽ làm tan băng và biến nó thành Đại Kiếm Cà Rốt mốc</t>
  </si>
  <si>
    <t>Espadão de Cenoura Congelada</t>
  </si>
  <si>
    <t xml:space="preserve">Usar uma Espadão de Cenoura Congelado na fogueira irá descongelar o gelo e transformar isso em uma Espadão de Cenoura Mofada </t>
  </si>
  <si>
    <t>Pedang Besar</t>
  </si>
  <si>
    <t>Setelah mencairkan Pedang Besar Wortel Beku di atas api unggun, Anda bisa mendapatkan Pedang Besar Wortel Berjamur.</t>
  </si>
  <si>
    <t>RX33</t>
  </si>
  <si>
    <t>蘿蔔大劍-1</t>
  </si>
  <si>
    <t>於篝火中使用胡蘿蔔大劍，可以召喚友好的女僕兔，幫助你進行地圖傳送</t>
  </si>
  <si>
    <t>にんじん大剣-1</t>
  </si>
  <si>
    <t>篝火でニンジン大剣を使用すると、友好的なメイドバニーを召喚でき、マップ移動を助けてくれる！</t>
  </si>
  <si>
    <t>Carrot Greatsword</t>
  </si>
  <si>
    <t>Using the Carrot Greatsword in the campfire spawns a Maid Rabbit NPC that will let you teleport to other discovered campfires</t>
  </si>
  <si>
    <t>萝卜大剑-1</t>
  </si>
  <si>
    <t>于篝火中使用胡萝卜大剑，可以召唤友好的女仆兔，帮助你进行地图传送</t>
  </si>
  <si>
    <t>Espada larga de zanahoria - 1</t>
  </si>
  <si>
    <t>Морковный меч</t>
  </si>
  <si>
    <t>Использование морковного меча у костра призовёт дружелюбную крольчиху, которая поможет вам телепортироваться по карте.</t>
  </si>
  <si>
    <t>Karottengroßschwert</t>
  </si>
  <si>
    <t>Đại Kiếm Cà Rốt</t>
  </si>
  <si>
    <t>Sử dụng Đại Kiếm Cà rốt trong lửa trại sẽ sinh ra một NPC Thỏ Hầu Gái cho phép bạn dịch chuyển đến các lửa trại khác đã được tìm thấy</t>
  </si>
  <si>
    <t>Espadão de Cenoura</t>
  </si>
  <si>
    <t>Usar a Espadão de Cenoura na fogueira faz aparecer uma NPC de Coelhinha Empregada que vai deixar você teleportar para outras fogueiras descobertas.</t>
  </si>
  <si>
    <t>Pedang Besar Wortel - 1</t>
  </si>
  <si>
    <t>Menggunakan pedang besar wortel di sekitar api unggun akan memanggil kelinci pelayan yang ramah untuk membantu Anda berteleportasi di sekitar peta.</t>
  </si>
  <si>
    <t>RX34</t>
  </si>
  <si>
    <t>封印之柱</t>
  </si>
  <si>
    <t xml:space="preserve">"深淵氣息濃度"超過某數值時，會使"封印之柱"出現在深淵的隨機地點
【塔羅牌-塔】可以直接召喚出來，並且標示出位置(人物必須在深淵)
</t>
  </si>
  <si>
    <t>領域範圍內玩家無法自由離開，且領域內會出現強力怪物
最後階段會出現【淫奔的惡魔】
需要擊殺完所有的怪物才會解除領域牆
不論在領域內外，只要是地圖上的怪物也會受到領域牆壁的傷害
可以用傳送手段逃跑，但逃跑後，封印之柱會消失</t>
  </si>
  <si>
    <t>封印されし柱</t>
  </si>
  <si>
    <t xml:space="preserve">
“深淵の気配濃度”が一定の数値を超えると、“封印の柱”が深淵のランダムな場所に出現します。
【ザ・タワー】を使用すると、直接召喚して位置を表示することができます（キャラクターが深淵内にいる必要があります）
</t>
  </si>
  <si>
    <t xml:space="preserve">
領域内ではお兄ちゃんは自由に離脱できず、内部には強力なモンスターが出現する。
最終段階では【淫乱の悪魔】が出現する。
すべてのモンスターを撃破しなければ領域の壁は解除されない。
領域の内外を問わずマップ上のモンスターは領域の壁からダメージを受ける。
テレポートで逃走することは可能だが逃走後は封印の柱が消失する。
</t>
  </si>
  <si>
    <t>Sealed Pillars</t>
  </si>
  <si>
    <t>When the "Abyssal Aura Concentration" reaches a certain amount, the "Abyssal Pillar" will appear at a random location inside the Abyss. 
Using "The Tower" tarot card, the player can directly summon it on their location (must be in the abyss)</t>
  </si>
  <si>
    <t>Players will be unable to leave the area and powerful monsters called "Gladiators"will spawn inside it. The last monster will be "Lewd Demon"
The seal can only be lifted once all the monsters have been defeated. Monsters inside and outside the ""arena"" will be damaged by the walls on contact.
Escape is possible such as by teleporation, but the arena itself will disappear</t>
  </si>
  <si>
    <t>"深渊气息浓度"超过某数值时，会使"封印之柱"出现在深渊的随机地点
【塔罗牌-塔】可以直接召唤出来，并且标示出位置(人物必须在深渊)</t>
  </si>
  <si>
    <t>Столп печати</t>
  </si>
  <si>
    <t>Когда «Концентрация Ауры Бездны» достигает определённого уровня, «Колонна Бездны» появляется в случайном месте внутри Бездны.
Используя карту Таро «Башня», игрок может напрямую призвать её на своё местоположение (должен находиться в Бездне).</t>
  </si>
  <si>
    <t>Игрок не сможет покинуть это место, и там будут появляться могущественные монстры.
На заключительном этапе появится "Похотливый Демон".
Печать можно будет снять только после того, как все монстры будут побеждены. Монстры внутри и за пределами "арены" будут получать урон от стен при соприкосновении.
Сбежать можно, например, с помощью телепортации, но сама арена исчезнет.</t>
  </si>
  <si>
    <t>Säule der Versiegelung</t>
  </si>
  <si>
    <t>Wenn die"Konzentration der abyssalen Aura" einen bestimmten Wert erreicht, erscheint die "Abyss-Säule" an einem zufälligen Ort im Abyss.
Mit der Tarotkarte "Der Turm" kann der Spieler sie direkt an seinem Standort herbeirufen (muss sich im Abyss befinden).</t>
  </si>
  <si>
    <t>Spieler können den Bereich nicht frei verlassen, und starke Monster erscheinen darin.
Im letzten Abschnitt erscheint der „Laufende Dämon“.
Alle Monster müssen besiegt werden, damit die Barriere verschwindet.
Egal ob innerhalb oder außerhalb des Bereichs, alle Monster auf der Karte erleiden Schaden durch die Barriere.
Man kann mit Teleportation entkommen, aber danach verschwindet die Säule der Versiegelung.**</t>
  </si>
  <si>
    <t>Trụ Bị Phong Ấn</t>
  </si>
  <si>
    <t>"Khi "Mức độ Hào quang Vực Thẳm" đạt đến một mức nhất định, "Tháp Vực Thẳm" sẽ xuất hiện tại một vị trí ngẫu nhiên bên trong Vực Thẳm
Sử dụng lá bài tarot "The Tower - Tòa Tháp", người chơi có thể trực tiếp triệu hồi nó tại vị trí của mình (phải ở trong Vực Thẳm)."</t>
  </si>
  <si>
    <t>Người chơi không thể tự rời khỏi khu vực, và nhiều quái vật mạnh sẽ xuất hiện
Màn cuối sẽ xuất hiện "Quỷ Dục Vọng"
Tất cả quái phải bị đánh bại để làm bức tường chắn biến mất. Quái trong khu vực, cả bên trong và ngoài bức tường, đều chịu sát thương khi chạm vào nó
Bạn có thể dịch chuyển ra ngoài, nhưng Tòa Tháp sẽ biến mất sau khi bạn thoát ra.</t>
  </si>
  <si>
    <t>Pilar do Selo</t>
  </si>
  <si>
    <t>Quando a "Concentração da Aura Abissal" ultrapassar um determinado valor, o "Pilar Selador" aparecerá em um local aleatório no Abismo.
A [Carta de Tarô - Torre] pode invocá-lo diretamente e marcar sua localização (o jogador precisa estar no Abismo).</t>
  </si>
  <si>
    <t>Os jogadores não podem sair livremente da área, e monstros poderosos aparecerão dentro dela.
A fase final apresentará o [Demônio Lascivo].
Todos os monstros devem ser derrotados para remover a parede da área.
Os monstros no mapa, tanto dentro quanto fora da área, também sofrerão dano pela parede.
Você pode escapar usando teletransporte, mas o pilar de selamento desaparecerá após a sua fuga.</t>
  </si>
  <si>
    <t>Pilar teraegel</t>
  </si>
  <si>
    <t>saat "Konsentrasi Aura Abyss" melebihi nilai tertentu, "Pilar Penyegel" akan muncul di lokasi acak di Abyss.
[Kartu Tarot - Menara] dapat memanggilnya secara langsung dan menandai lokasinya (pemain harus berada di Abyss).</t>
  </si>
  <si>
    <t>Pemain tidakakan bisa pergi dari area dan monster kuat dipanggil "Gladiator"akan muncul didalam nya. monster terakhir akan menjadi "Iblis Mesum"
Segel hanya bisa di cabut sekali seluruh monster telah dijalankan. Monster didalam dan diluar ""arena"" akan terluka oleh tembok  saat bersentuhan.
kabur masih bisa dilakukan menggunakan teleportasi, tapi arena akan hilang</t>
  </si>
  <si>
    <t>RX35</t>
  </si>
  <si>
    <t>滿滿的鮭魚</t>
  </si>
  <si>
    <t>1.
觸發購買成人錄影帶流程條件：
深夜在客廳試圖看電視結果沒有錄影帶時，會獲得支線標記，之後向騎士或aki對話時可以觸發購買的流程
2.
和aki觸發購買成人錄影帶流程時，如果你沒有可以交換的帝王鮭，aki會贈送裝備</t>
  </si>
  <si>
    <t>獲得裝備：少女的祈禱
*在目前版本下，如果已經擁有對應的錄影帶，將無法觸發此流程</t>
  </si>
  <si>
    <t>サーモンたっぷり</t>
  </si>
  <si>
    <t xml:space="preserve">"
1.
アダルトビデオ購入する条件：
深夜にリビングでテレビを見ようとしたがビデオがなかった場合、イベントがトリガーされ、騎士やakiとの会話で購入することができるようになる
2.
akiからアダルトビデオを購入する際、交換可能なキングサーモンを持っていない場合、akiは装備品を提供してくれます
"
</t>
  </si>
  <si>
    <t xml:space="preserve">
装備獲得：少女の祈り
*現在のバージョンでは、対応するビデオテープをすでに所有している場合、このイベントは発生しません</t>
  </si>
  <si>
    <t>So much salmons</t>
  </si>
  <si>
    <t>1. If you try to watch the TV in the living room late at night without any tapes, it will trigger the appropriate side quest marker. Talking to Aki or the Weird Knight then triggers the purchase event.
2. When you trigger the adult video tape purchasing event with Aki. you can exchange a King Salmon for it. If you don't have a King Salmon, she will give you an equipment instead called "A Maiden's Prayer"</t>
  </si>
  <si>
    <t>Obtain "A Maiden's Prayer" equipment.
*Currently in this version, this cannot be triggered if you already own the adult video tape.</t>
  </si>
  <si>
    <t>Так много лосося</t>
  </si>
  <si>
    <t>1. Если вы попытаетесь посмотреть телевизор в гостиной поздно вечером без кассет, это вызовет соответствующий дополнительный квестовый маркер. Разговор с Аки или Загадочным рыцарем запустит событие покупки.
2. Когда вы запустите событие покупки видеокассеты для взрослых с Аки, вы сможете обменять её на Королевского лосося. Если у вас нет Королевского лосося, она даст вам взамен снаряжение под названием "Молитва девы".</t>
  </si>
  <si>
    <t>Получение экипировки: Молитва девы
*В настоящее время в этой версии это не может быть активировано, если у вас уже есть видеокассета для взрослых.</t>
  </si>
  <si>
    <t>Cheio de salmão</t>
  </si>
  <si>
    <t>"1. Missão Compra do Vídeo Adulto: Se você tentar assistir TV na sala de estar tarde da noite, mas não encontrar nenhuma fita de vídeo, você receberá um marcador de missão secundária. Conversar com o Cavaleiro ou com Aki acionará o processo de compra.
2. Ao acionar o processo de compra de vídeo adulto com Aki, se você não tiver nenhum Salmão Rei para trocar, Aki lhe dará um equipamento." "Equipamento Obtido: Oração da Donzela"</t>
  </si>
  <si>
    <t>*Na versão atual, este processo não pode ser acionado se você já possuir a fita de vídeo correspondente."</t>
  </si>
  <si>
    <t>インタラクティブマップリンク（地図の表示/操作が可能） 
地図ウェブサイト作成者：Ruika</t>
  </si>
  <si>
    <t>Interactive map link (map viewing/interaction available) 
Map website created by: Ruika</t>
  </si>
  <si>
    <t>互动式地图连结网址(可以进行地图查看/互动) 
地图网站制作者：Ruika</t>
  </si>
  <si>
    <t>本頁面"暫時"無其他語系的翻譯，只依據官方的設定，並且不會隨時更新，請見諒
地圖製作者：Mio</t>
  </si>
  <si>
    <t xml:space="preserve">This page currently does not have translations in other languages; it is based solely on the official settings and will not be updated regularly. We apologize for the inconvenience. Map creator: Mio                        
                        </t>
  </si>
  <si>
    <t>本頁面"暫時"無其他語系的翻譯，仅依據官方设定，并不会随时更新，请见谅
地图制作者：mio</t>
  </si>
  <si>
    <t>野外區域</t>
  </si>
  <si>
    <t>Outdoors Area</t>
  </si>
  <si>
    <t>野外区域</t>
  </si>
  <si>
    <t>迷失之森(終點)
R16
▼</t>
  </si>
  <si>
    <t>捨てられた森(ターミナル) 
R16 
▼</t>
  </si>
  <si>
    <t>Abandoned Forest(End) 
R16 
▼</t>
  </si>
  <si>
    <r>
      <rPr>
        <rFont val="Microsoft JhengHei"/>
        <color rgb="FF000000"/>
        <sz val="10.0"/>
      </rPr>
      <t>迷失之森（终点）</t>
    </r>
    <r>
      <rPr>
        <rFont val="Microsoft JhengHei"/>
        <color theme="1"/>
        <sz val="10.0"/>
      </rPr>
      <t xml:space="preserve">
 R16
▼</t>
    </r>
  </si>
  <si>
    <t>遺跡區域</t>
  </si>
  <si>
    <t>發中區域(礦坑)-2</t>
  </si>
  <si>
    <t>▲
迷失之森(終點入口)
▼</t>
  </si>
  <si>
    <t>遺跡地域</t>
  </si>
  <si>
    <t>▲ 
捨てられた森
 (ゴールラインの入り口で)
▼</t>
  </si>
  <si>
    <t>Ruins</t>
  </si>
  <si>
    <t>Development Zone (Mine Pit) -2</t>
  </si>
  <si>
    <t>▲
Abandoned Forest
(Pathway)
▼</t>
  </si>
  <si>
    <t>遗迹区域</t>
  </si>
  <si>
    <r>
      <rPr>
        <rFont val="Microsoft JhengHei"/>
        <color theme="1"/>
        <sz val="10.0"/>
      </rPr>
      <t xml:space="preserve">▲
 </t>
    </r>
    <r>
      <rPr>
        <rFont val="Microsoft JhengHei"/>
        <color rgb="FF000000"/>
        <sz val="10.0"/>
      </rPr>
      <t>迷失之森(终点入口)</t>
    </r>
    <r>
      <rPr>
        <rFont val="Microsoft JhengHei"/>
        <color theme="1"/>
        <sz val="10.0"/>
      </rPr>
      <t xml:space="preserve">
▼</t>
    </r>
  </si>
  <si>
    <r>
      <rPr>
        <rFont val="Microsoft JhengHei"/>
        <color rgb="FF000000"/>
      </rPr>
      <t>遺跡之森-4</t>
    </r>
    <r>
      <rPr>
        <rFont val="Microsoft JhengHei"/>
        <color theme="1"/>
      </rPr>
      <t xml:space="preserve"> ▶
R10.R15
▼</t>
    </r>
  </si>
  <si>
    <t>▲
◀ 冒險者小道:深淵之門 ▶
R11
▼</t>
  </si>
  <si>
    <t>▲
◀ 山之洞窟
R11</t>
  </si>
  <si>
    <t>▲
迷失之森
▼</t>
  </si>
  <si>
    <r>
      <rPr>
        <rFont val="Microsoft JhengHei"/>
        <color rgb="FF000000"/>
      </rPr>
      <t>遺跡の森-4</t>
    </r>
    <r>
      <rPr>
        <rFont val="Microsoft JhengHei"/>
        <color theme="1"/>
      </rPr>
      <t xml:space="preserve"> ▶ 
R10.R15
▼</t>
    </r>
  </si>
  <si>
    <r>
      <rPr>
        <rFont val="Microsoft JhengHei"/>
        <color theme="1"/>
      </rPr>
      <t xml:space="preserve">▲ 
◀ </t>
    </r>
    <r>
      <rPr>
        <rFont val="Microsoft JhengHei"/>
        <color rgb="FF000000"/>
      </rPr>
      <t>遺跡門前</t>
    </r>
    <r>
      <rPr>
        <rFont val="Microsoft JhengHei"/>
        <color theme="1"/>
      </rPr>
      <t xml:space="preserve"> 
R11
▼</t>
    </r>
  </si>
  <si>
    <t>▲ 
捨てられた森 
▼</t>
  </si>
  <si>
    <t>Forest of Ruins-4 ▶ 
R10.R15
▼</t>
  </si>
  <si>
    <t>▲ 
◀ In front of the ruins gate
R11 
▼</t>
  </si>
  <si>
    <t>▲
 Abandoned Forest
▼</t>
  </si>
  <si>
    <r>
      <rPr>
        <rFont val="Microsoft JhengHei"/>
        <color rgb="FF000000"/>
        <sz val="10.0"/>
      </rPr>
      <t xml:space="preserve">遗迹之森-4 </t>
    </r>
    <r>
      <rPr>
        <rFont val="Microsoft JhengHei"/>
        <color theme="1"/>
        <sz val="10.0"/>
      </rPr>
      <t>▶ 
R10.R15 
▼</t>
    </r>
  </si>
  <si>
    <r>
      <rPr>
        <rFont val="Microsoft JhengHei"/>
        <color theme="1"/>
        <sz val="10.0"/>
      </rPr>
      <t xml:space="preserve">▲
◀ </t>
    </r>
    <r>
      <rPr>
        <rFont val="Microsoft JhengHei"/>
        <color rgb="FF000000"/>
        <sz val="10.0"/>
      </rPr>
      <t>冒险者小道:深渊之门</t>
    </r>
    <r>
      <rPr>
        <rFont val="Microsoft JhengHei"/>
        <color theme="1"/>
        <sz val="10.0"/>
      </rPr>
      <t xml:space="preserve">
 R11 
▼</t>
    </r>
  </si>
  <si>
    <r>
      <rPr>
        <rFont val="Microsoft JhengHei"/>
        <color theme="1"/>
        <sz val="10.0"/>
      </rPr>
      <t xml:space="preserve">▲
◀ </t>
    </r>
    <r>
      <rPr>
        <rFont val="Microsoft JhengHei"/>
        <color rgb="FF000000"/>
        <sz val="10.0"/>
      </rPr>
      <t>山之洞窟</t>
    </r>
    <r>
      <rPr>
        <rFont val="Microsoft JhengHei"/>
        <color theme="1"/>
        <sz val="10.0"/>
      </rPr>
      <t xml:space="preserve">
R11</t>
    </r>
  </si>
  <si>
    <t>▲
 迷失之森
▼</t>
  </si>
  <si>
    <t>▲
遺跡之森-2 ▶
▼</t>
  </si>
  <si>
    <t>▲
◀ 遺跡之森 ▶
▼</t>
  </si>
  <si>
    <t>▲
◀ 遺跡之森-1</t>
  </si>
  <si>
    <t>▲ 
遺跡の森-2 ▶
▼</t>
  </si>
  <si>
    <r>
      <rPr>
        <rFont val="Microsoft JhengHei"/>
        <color theme="1"/>
      </rPr>
      <t xml:space="preserve">▲ 
◀ </t>
    </r>
    <r>
      <rPr>
        <rFont val="Microsoft JhengHei"/>
        <color rgb="FF000000"/>
      </rPr>
      <t>遺跡の森</t>
    </r>
    <r>
      <rPr>
        <rFont val="Microsoft JhengHei"/>
        <color theme="1"/>
      </rPr>
      <t xml:space="preserve"> ▶ 
▼</t>
    </r>
  </si>
  <si>
    <t xml:space="preserve">▲ 
遺跡の森-1
</t>
  </si>
  <si>
    <t>▲ 
Forest of Ruins-2 ▶
▼</t>
  </si>
  <si>
    <r>
      <rPr>
        <rFont val="Microsoft JhengHei"/>
        <color theme="1"/>
        <sz val="10.0"/>
      </rPr>
      <t xml:space="preserve">▲ 
◀ </t>
    </r>
    <r>
      <rPr>
        <rFont val="Microsoft JhengHei"/>
        <color rgb="FF000000"/>
        <sz val="10.0"/>
      </rPr>
      <t xml:space="preserve">Forest of Ruins </t>
    </r>
    <r>
      <rPr>
        <rFont val="Microsoft JhengHei"/>
        <color theme="1"/>
        <sz val="10.0"/>
      </rPr>
      <t>▶ 
▼</t>
    </r>
  </si>
  <si>
    <r>
      <rPr>
        <rFont val="Microsoft JhengHei"/>
        <color theme="1"/>
        <sz val="10.0"/>
      </rPr>
      <t xml:space="preserve">▲ 
</t>
    </r>
    <r>
      <rPr>
        <rFont val="Microsoft JhengHei"/>
        <color rgb="FF000000"/>
        <sz val="10.0"/>
      </rPr>
      <t>Forest of Ruins-1</t>
    </r>
  </si>
  <si>
    <t>▲
遗迹之森-2 ▶
▼</t>
  </si>
  <si>
    <t>▲ 
◀ 遗迹之森 ▶
▼</t>
  </si>
  <si>
    <r>
      <rPr>
        <rFont val="Microsoft JhengHei"/>
        <color theme="1"/>
        <sz val="10.0"/>
      </rPr>
      <t xml:space="preserve">▲ 
◀ </t>
    </r>
    <r>
      <rPr>
        <rFont val="Microsoft JhengHei"/>
        <color rgb="FF000000"/>
        <sz val="10.0"/>
      </rPr>
      <t>遗迹之森-1</t>
    </r>
  </si>
  <si>
    <r>
      <rPr>
        <rFont val="Microsoft JhengHei"/>
        <color theme="1"/>
      </rPr>
      <t xml:space="preserve">▲
</t>
    </r>
    <r>
      <rPr>
        <rFont val="Microsoft JhengHei"/>
        <color rgb="FF000000"/>
      </rPr>
      <t xml:space="preserve">遺跡之森-3 
</t>
    </r>
    <r>
      <rPr>
        <rFont val="Microsoft JhengHei"/>
        <color theme="1"/>
      </rPr>
      <t>▼</t>
    </r>
  </si>
  <si>
    <t>▲
冒險者小道:集結地▶
R2.R5.R6.R8.R13.R27.R29.R50
▼</t>
  </si>
  <si>
    <t>◀ 沉眠之所...(尼伯龍根)
R21</t>
  </si>
  <si>
    <t>廢墟森林
(箱庭的白兔)
R65、R66、R67
▼</t>
  </si>
  <si>
    <t>▲ 
遺跡の森-3 
▼</t>
  </si>
  <si>
    <t>▲ 
冒険の遊歩道:集結地 ▶ 
R2.R5.R6.R8.R13.R27.R29.R50
▼</t>
  </si>
  <si>
    <t xml:space="preserve">◀ 眠りの地...（ニーベルンゲ）
R21 </t>
  </si>
  <si>
    <t>▲ 
Forest of Ruins-3 
▼</t>
  </si>
  <si>
    <r>
      <rPr>
        <rFont val="Microsoft JhengHei"/>
        <color theme="1"/>
        <sz val="10.0"/>
      </rPr>
      <t xml:space="preserve">▲ 
</t>
    </r>
    <r>
      <rPr>
        <rFont val="Microsoft JhengHei"/>
        <color rgb="FF000000"/>
        <sz val="10.0"/>
      </rPr>
      <t>Adventurer's Path:
Gathering Point</t>
    </r>
    <r>
      <rPr>
        <rFont val="Microsoft JhengHei"/>
        <color theme="1"/>
        <sz val="10.0"/>
      </rPr>
      <t xml:space="preserve"> ▶
R2.R5.R6.R8.R13.R27.R29.R50
▼</t>
    </r>
  </si>
  <si>
    <r>
      <rPr>
        <rFont val="Microsoft JhengHei"/>
        <color theme="1"/>
        <sz val="10.0"/>
      </rPr>
      <t xml:space="preserve">◀ </t>
    </r>
    <r>
      <rPr>
        <rFont val="Microsoft JhengHei"/>
        <color rgb="FF000000"/>
        <sz val="10.0"/>
      </rPr>
      <t>Land of Slumber… (Nibelungen)</t>
    </r>
    <r>
      <rPr>
        <rFont val="Microsoft JhengHei"/>
        <color theme="1"/>
        <sz val="10.0"/>
      </rPr>
      <t xml:space="preserve">
R21 </t>
    </r>
  </si>
  <si>
    <r>
      <rPr>
        <rFont val="Microsoft JhengHei"/>
        <color rgb="FF000000"/>
        <sz val="10.0"/>
      </rPr>
      <t>Ruined Forest</t>
    </r>
    <r>
      <rPr>
        <rFont val="Microsoft JhengHei"/>
        <color theme="1"/>
        <sz val="10.0"/>
      </rPr>
      <t xml:space="preserve">
(White Rabbit 
Beyond Wonderland)
R65.R66.R67
▼</t>
    </r>
  </si>
  <si>
    <r>
      <rPr>
        <rFont val="Microsoft JhengHei"/>
        <color theme="1"/>
        <sz val="10.0"/>
      </rPr>
      <t xml:space="preserve">▲ 
</t>
    </r>
    <r>
      <rPr>
        <rFont val="Microsoft JhengHei"/>
        <color rgb="FF000000"/>
        <sz val="10.0"/>
      </rPr>
      <t>遗迹之森-3</t>
    </r>
    <r>
      <rPr>
        <rFont val="Microsoft JhengHei"/>
        <color theme="1"/>
        <sz val="10.0"/>
      </rPr>
      <t xml:space="preserve">
▼</t>
    </r>
  </si>
  <si>
    <t>▲
冒险者小道:集結地 ▶ 
R2.R5.R6.R8.R13.R27.R29.R50
▼</t>
  </si>
  <si>
    <t>◀ 沉眠之所…(尼伯龙根)
R21</t>
  </si>
  <si>
    <r>
      <rPr>
        <rFont val="Microsoft JhengHei"/>
        <color rgb="FF000000"/>
        <sz val="10.0"/>
      </rPr>
      <t>废墟森林</t>
    </r>
    <r>
      <rPr>
        <rFont val="Microsoft JhengHei"/>
        <color rgb="FF000000"/>
        <sz val="10.0"/>
      </rPr>
      <t xml:space="preserve">
(箱庭的白兔)
R65.R66.R67
▼</t>
    </r>
  </si>
  <si>
    <t>▲
開發中區域(礦坑)
R22
▼</t>
  </si>
  <si>
    <t>◀ 冒險者小道:林間-1 ▶
R7.R12
▼</t>
  </si>
  <si>
    <t>▲
◀ 冒險者小道:林間-2
▼
R64</t>
  </si>
  <si>
    <t>▲ 
開発中エリア（鉱山トンネル）
 R22 
▼</t>
  </si>
  <si>
    <t>◀ 冒険の遊歩道:林間 ▶ 
R7.R12</t>
  </si>
  <si>
    <r>
      <rPr>
        <rFont val="Microsoft JhengHei"/>
        <color theme="1"/>
      </rPr>
      <t xml:space="preserve">◀ </t>
    </r>
    <r>
      <rPr>
        <rFont val="Microsoft JhengHei"/>
        <color rgb="FF000000"/>
      </rPr>
      <t>冒険の遊歩道:記念碑</t>
    </r>
    <r>
      <rPr>
        <rFont val="Microsoft JhengHei"/>
        <color theme="1"/>
      </rPr>
      <t xml:space="preserve"> 
R9.R14</t>
    </r>
  </si>
  <si>
    <t>▲
Excavation Site (Mine Tunnels)
R22 
▼</t>
  </si>
  <si>
    <r>
      <rPr>
        <rFont val="Microsoft JhengHei"/>
        <color theme="1"/>
        <sz val="10.0"/>
      </rPr>
      <t xml:space="preserve">◀ </t>
    </r>
    <r>
      <rPr>
        <rFont val="Microsoft JhengHei"/>
        <color rgb="FF000000"/>
        <sz val="10.0"/>
      </rPr>
      <t>Adventurer's Path:Grove - 1</t>
    </r>
    <r>
      <rPr>
        <rFont val="Microsoft JhengHei"/>
        <color theme="1"/>
        <sz val="10.0"/>
      </rPr>
      <t xml:space="preserve"> ▶ 
R7.R12</t>
    </r>
  </si>
  <si>
    <r>
      <rPr>
        <rFont val="Microsoft JhengHei"/>
        <color theme="1"/>
        <sz val="10.0"/>
      </rPr>
      <t xml:space="preserve">▲ 
◀ </t>
    </r>
    <r>
      <rPr>
        <rFont val="Microsoft JhengHei"/>
        <color rgb="FF000000"/>
        <sz val="10.0"/>
      </rPr>
      <t>Adventurer's Path:Grove - 2</t>
    </r>
    <r>
      <rPr>
        <rFont val="Microsoft JhengHei"/>
        <color theme="1"/>
        <sz val="10.0"/>
      </rPr>
      <t xml:space="preserve">▶ 
R.64
</t>
    </r>
  </si>
  <si>
    <t>▲ 
开发中区域(矿坑) 
R22
▼</t>
  </si>
  <si>
    <t>◀ 冒险者小道 :林间-1 ▶
 R7.R12</t>
  </si>
  <si>
    <r>
      <rPr>
        <rFont val="Microsoft JhengHei"/>
        <color theme="1"/>
        <sz val="10.0"/>
      </rPr>
      <t xml:space="preserve">▲
◀ </t>
    </r>
    <r>
      <rPr>
        <rFont val="Microsoft JhengHei"/>
        <color rgb="FF000000"/>
        <sz val="10.0"/>
      </rPr>
      <t>冒险者小道:林间-2</t>
    </r>
    <r>
      <rPr>
        <rFont val="Microsoft JhengHei"/>
        <color theme="1"/>
        <sz val="10.0"/>
      </rPr>
      <t xml:space="preserve">
R64
▼</t>
    </r>
  </si>
  <si>
    <t>▲
開發中區域(礦坑)-1
R17.R23.R24
R59</t>
  </si>
  <si>
    <t>提前回家
R1</t>
  </si>
  <si>
    <t>▲
獵人小屋
R69
▼</t>
  </si>
  <si>
    <t>▲
冒險者小道:紀念碑
R9.R14</t>
  </si>
  <si>
    <r>
      <rPr>
        <rFont val="Microsoft JhengHei"/>
        <color theme="1"/>
      </rPr>
      <t xml:space="preserve">▲ 
</t>
    </r>
    <r>
      <rPr>
        <rFont val="Microsoft JhengHei"/>
        <color rgb="FF000000"/>
      </rPr>
      <t>開発中エリア（鉱山トンネル）-1</t>
    </r>
    <r>
      <rPr>
        <rFont val="Microsoft JhengHei"/>
        <color theme="1"/>
      </rPr>
      <t xml:space="preserve">
 R17.R22.R23</t>
    </r>
  </si>
  <si>
    <t>早く帰る
R1</t>
  </si>
  <si>
    <t>▲ 
Excavation Site (Mine Tunnels)-1 
R17.R22.R23</t>
  </si>
  <si>
    <t>Go home early
R1</t>
  </si>
  <si>
    <t>▲ 
Hunter's Lodge
R69
▼</t>
  </si>
  <si>
    <r>
      <rPr>
        <rFont val="Microsoft JhengHei"/>
        <color theme="1"/>
        <sz val="10.0"/>
      </rPr>
      <t xml:space="preserve">◀ </t>
    </r>
    <r>
      <rPr>
        <rFont val="Microsoft JhengHei"/>
        <color rgb="FF000000"/>
        <sz val="10.0"/>
      </rPr>
      <t>Adventurer's Path:Monument</t>
    </r>
    <r>
      <rPr>
        <rFont val="Microsoft JhengHei"/>
        <color theme="1"/>
        <sz val="10.0"/>
      </rPr>
      <t xml:space="preserve"> 
R9.R14</t>
    </r>
  </si>
  <si>
    <r>
      <rPr>
        <rFont val="Microsoft JhengHei"/>
        <color theme="1"/>
        <sz val="10.0"/>
      </rPr>
      <t xml:space="preserve">▲ 
</t>
    </r>
    <r>
      <rPr>
        <rFont val="Microsoft JhengHei"/>
        <color rgb="FF000000"/>
        <sz val="10.0"/>
      </rPr>
      <t xml:space="preserve">开发中区域(矿坑)-1 </t>
    </r>
    <r>
      <rPr>
        <rFont val="Microsoft JhengHei"/>
        <color theme="1"/>
        <sz val="10.0"/>
      </rPr>
      <t xml:space="preserve">
R17.R23.R24
R59
▼</t>
    </r>
  </si>
  <si>
    <t>▲
猎人小屋
R69
▼</t>
  </si>
  <si>
    <t>▲
冒险者小道:纪念碑
R9.R14</t>
  </si>
  <si>
    <r>
      <rPr>
        <rFont val="Microsoft JhengHei"/>
        <color theme="1"/>
      </rPr>
      <t xml:space="preserve">▲
</t>
    </r>
    <r>
      <rPr>
        <rFont val="Microsoft JhengHei"/>
        <color rgb="FF000000"/>
      </rPr>
      <t>開發中區域(礦坑)-2</t>
    </r>
    <r>
      <rPr>
        <rFont val="Microsoft JhengHei"/>
        <color theme="1"/>
      </rPr>
      <t xml:space="preserve"> ▶
▼
R11.R60.R61</t>
    </r>
  </si>
  <si>
    <t>山的洞窟</t>
  </si>
  <si>
    <t>▲
獵人小屋:地下室
R70</t>
  </si>
  <si>
    <t xml:space="preserve">▲ 
Excavation Site (Mine Tunnels)-2 ▶
R11.R60.R61
▼
</t>
  </si>
  <si>
    <t>Mountain Cave</t>
  </si>
  <si>
    <t>▲
Hunter's Lodge - Basement</t>
  </si>
  <si>
    <r>
      <rPr>
        <rFont val="Microsoft JhengHei"/>
        <color theme="1"/>
        <sz val="10.0"/>
      </rPr>
      <t xml:space="preserve">▲
</t>
    </r>
    <r>
      <rPr>
        <rFont val="Microsoft JhengHei"/>
        <color rgb="FF000000"/>
        <sz val="10.0"/>
      </rPr>
      <t>中发中区域(矿坑)-2</t>
    </r>
    <r>
      <rPr>
        <rFont val="Microsoft JhengHei"/>
        <color theme="1"/>
        <sz val="10.0"/>
      </rPr>
      <t xml:space="preserve"> ▶
R11.R60.R61</t>
    </r>
  </si>
  <si>
    <t>▲
猎人小屋:地下室
R70</t>
  </si>
  <si>
    <r>
      <rPr>
        <rFont val="Microsoft JhengHei"/>
        <color theme="1"/>
      </rPr>
      <t xml:space="preserve">▲
</t>
    </r>
    <r>
      <rPr>
        <rFont val="Microsoft JhengHei"/>
        <color rgb="FF000000"/>
      </rPr>
      <t xml:space="preserve">開發中區域(礦坑)-3 </t>
    </r>
    <r>
      <rPr>
        <rFont val="Microsoft JhengHei"/>
        <color theme="1"/>
      </rPr>
      <t>▶
▼
R62</t>
    </r>
  </si>
  <si>
    <r>
      <rPr>
        <rFont val="Microsoft JhengHei"/>
        <color theme="1"/>
        <sz val="10.0"/>
      </rPr>
      <t xml:space="preserve">▲ 
</t>
    </r>
    <r>
      <rPr>
        <rFont val="Microsoft JhengHei"/>
        <color rgb="FF000000"/>
        <sz val="10.0"/>
      </rPr>
      <t xml:space="preserve">Excavation Site (Mine Tunnels)-3 </t>
    </r>
    <r>
      <rPr>
        <rFont val="Microsoft JhengHei"/>
        <color theme="1"/>
        <sz val="10.0"/>
      </rPr>
      <t xml:space="preserve">▶
R62
▼
</t>
    </r>
  </si>
  <si>
    <r>
      <rPr>
        <rFont val="Microsoft JhengHei"/>
        <color theme="1"/>
        <sz val="10.0"/>
      </rPr>
      <t xml:space="preserve">▲
</t>
    </r>
    <r>
      <rPr>
        <rFont val="Microsoft JhengHei"/>
        <color rgb="FF000000"/>
        <sz val="10.0"/>
      </rPr>
      <t xml:space="preserve">开发中区域(矿坑)-3 </t>
    </r>
    <r>
      <rPr>
        <rFont val="Microsoft JhengHei"/>
        <color theme="1"/>
        <sz val="10.0"/>
      </rPr>
      <t>▶
R62</t>
    </r>
  </si>
  <si>
    <t>大焦热熔岩带</t>
  </si>
  <si>
    <t xml:space="preserve">被遺忘的墓穴-1 </t>
  </si>
  <si>
    <r>
      <rPr>
        <rFont val="Microsoft JhengHei"/>
        <color theme="1"/>
      </rPr>
      <t>▲
◀</t>
    </r>
    <r>
      <rPr>
        <rFont val="Microsoft JhengHei"/>
        <color rgb="FF000000"/>
      </rPr>
      <t xml:space="preserve">開發中區域(礦坑)-4 </t>
    </r>
    <r>
      <rPr>
        <rFont val="Microsoft JhengHei"/>
        <color theme="1"/>
      </rPr>
      <t>▶
R63</t>
    </r>
  </si>
  <si>
    <t>被遺忘的墓穴-1</t>
  </si>
  <si>
    <r>
      <rPr>
        <rFont val="Microsoft JhengHei"/>
        <color theme="1"/>
        <sz val="10.0"/>
      </rPr>
      <t xml:space="preserve">▲ 
</t>
    </r>
    <r>
      <rPr>
        <rFont val="Microsoft JhengHei"/>
        <color rgb="FF000000"/>
        <sz val="10.0"/>
      </rPr>
      <t>Excavation Site (Mine Tunnels)-4</t>
    </r>
    <r>
      <rPr>
        <rFont val="Microsoft JhengHei"/>
        <color theme="1"/>
        <sz val="10.0"/>
      </rPr>
      <t xml:space="preserve"> ▶
R63</t>
    </r>
  </si>
  <si>
    <t>Forgotten Catacombs -1 Upper Level</t>
  </si>
  <si>
    <t>被遗忘的墓穴-1</t>
  </si>
  <si>
    <r>
      <rPr>
        <rFont val="Microsoft JhengHei"/>
        <color theme="1"/>
        <sz val="10.0"/>
      </rPr>
      <t xml:space="preserve">▲
◀ </t>
    </r>
    <r>
      <rPr>
        <rFont val="Microsoft JhengHei"/>
        <color rgb="FF000000"/>
        <sz val="10.0"/>
      </rPr>
      <t>开发中区域(矿坑)-4</t>
    </r>
    <r>
      <rPr>
        <rFont val="Microsoft JhengHei"/>
        <color theme="1"/>
        <sz val="10.0"/>
      </rPr>
      <t xml:space="preserve"> ▶
R63</t>
    </r>
  </si>
  <si>
    <t>Abyss Ruins Area</t>
  </si>
  <si>
    <t>淺層遺跡迷宮  R24
▼</t>
  </si>
  <si>
    <t>淺層遺跡迷宮  
R24
▼</t>
  </si>
  <si>
    <r>
      <rPr>
        <rFont val="Microsoft JhengHei"/>
        <color rgb="FF000000"/>
        <sz val="10.0"/>
      </rPr>
      <t xml:space="preserve">Shallow Ruins Labyrinth 
</t>
    </r>
    <r>
      <rPr>
        <rFont val="Microsoft JhengHei"/>
        <color rgb="FF000000"/>
        <sz val="10.0"/>
      </rPr>
      <t>R24 
▼</t>
    </r>
  </si>
  <si>
    <r>
      <rPr>
        <rFont val="Microsoft JhengHei"/>
        <color rgb="FF000000"/>
        <sz val="10.0"/>
      </rPr>
      <t xml:space="preserve">浅层遗迹迷宫 
</t>
    </r>
    <r>
      <rPr>
        <rFont val="Microsoft JhengHei"/>
        <color rgb="FF000000"/>
        <sz val="10.0"/>
      </rPr>
      <t>R24 
▼</t>
    </r>
  </si>
  <si>
    <r>
      <rPr>
        <rFont val="Microsoft JhengHei"/>
        <color rgb="FF000000"/>
      </rPr>
      <t>被遺忘的墓穴:藏身處</t>
    </r>
    <r>
      <rPr>
        <rFont val="Microsoft JhengHei"/>
        <color rgb="FF777777"/>
      </rPr>
      <t xml:space="preserve">  ▶
</t>
    </r>
    <r>
      <rPr>
        <rFont val="Microsoft JhengHei"/>
        <color theme="1"/>
      </rPr>
      <t>R18</t>
    </r>
  </si>
  <si>
    <r>
      <rPr>
        <rFont val="Microsoft JhengHei"/>
        <color theme="1"/>
      </rPr>
      <t xml:space="preserve">▲
◀ </t>
    </r>
    <r>
      <rPr>
        <rFont val="Microsoft JhengHei"/>
        <color rgb="FF000000"/>
      </rPr>
      <t>遺忘的墓穴</t>
    </r>
    <r>
      <rPr>
        <rFont val="Microsoft JhengHei"/>
        <color theme="1"/>
      </rPr>
      <t xml:space="preserve">
R18.R19.R25
▼</t>
    </r>
  </si>
  <si>
    <r>
      <rPr>
        <rFont val="Microsoft JhengHei"/>
        <color theme="1"/>
      </rPr>
      <t>忘却のカタコンベ:隠れ家</t>
    </r>
    <r>
      <rPr>
        <rFont val="Microsoft JhengHei"/>
        <color rgb="FF777777"/>
      </rPr>
      <t xml:space="preserve">  ▶
</t>
    </r>
    <r>
      <rPr>
        <rFont val="Microsoft JhengHei"/>
        <color theme="1"/>
      </rPr>
      <t>R18</t>
    </r>
  </si>
  <si>
    <t>▲
◀ 忘却のカタコンベ  R18.R19.R25
▼</t>
  </si>
  <si>
    <r>
      <rPr>
        <rFont val="Microsoft JhengHei"/>
        <color rgb="FF000000"/>
        <sz val="8.0"/>
      </rPr>
      <t>Forgotten Catacombe:Hideout</t>
    </r>
    <r>
      <rPr>
        <rFont val="Microsoft JhengHei"/>
        <color rgb="FF777777"/>
        <sz val="8.0"/>
      </rPr>
      <t xml:space="preserve">  ▶
</t>
    </r>
    <r>
      <rPr>
        <rFont val="Microsoft JhengHei"/>
        <color theme="1"/>
        <sz val="8.0"/>
      </rPr>
      <t>R18</t>
    </r>
  </si>
  <si>
    <t>▲
◀ Forgotten Catacombs
R18.R19.R25
▼</t>
  </si>
  <si>
    <r>
      <rPr>
        <rFont val="Microsoft JhengHei"/>
        <color rgb="FF000000"/>
      </rPr>
      <t>忘卻的墓穴:藏身处</t>
    </r>
    <r>
      <rPr>
        <rFont val="Microsoft JhengHei"/>
        <color rgb="FF777777"/>
      </rPr>
      <t xml:space="preserve">  ▶
</t>
    </r>
    <r>
      <rPr>
        <rFont val="Microsoft JhengHei"/>
        <color theme="1"/>
      </rPr>
      <t>R18</t>
    </r>
  </si>
  <si>
    <r>
      <rPr>
        <rFont val="Microsoft JhengHei"/>
        <color theme="1"/>
      </rPr>
      <t xml:space="preserve">▲
◀ </t>
    </r>
    <r>
      <rPr>
        <rFont val="Microsoft JhengHei"/>
        <color rgb="FF000000"/>
      </rPr>
      <t>被遗忘的墓穴</t>
    </r>
    <r>
      <rPr>
        <rFont val="Microsoft JhengHei"/>
        <color theme="1"/>
      </rPr>
      <t xml:space="preserve">
R18.R19.R25
▼</t>
    </r>
  </si>
  <si>
    <t>▲
被遺忘的墓穴-1 ▶
R26.R63
▼</t>
  </si>
  <si>
    <t xml:space="preserve">發中區域(礦坑)-4 </t>
  </si>
  <si>
    <t>▲
忘却のカタコンベ-1
R26
▼</t>
  </si>
  <si>
    <r>
      <rPr>
        <rFont val="Microsoft JhengHei"/>
        <color rgb="FF000000"/>
      </rPr>
      <t xml:space="preserve">▲
</t>
    </r>
    <r>
      <rPr>
        <rFont val="Microsoft JhengHei"/>
        <color rgb="FF000000"/>
      </rPr>
      <t>Forgotten Catacombs- 1
Upper Level</t>
    </r>
    <r>
      <rPr>
        <rFont val="Microsoft JhengHei"/>
        <color rgb="FF000000"/>
      </rPr>
      <t xml:space="preserve"> 
R26
▼</t>
    </r>
  </si>
  <si>
    <r>
      <rPr>
        <rFont val="Microsoft JhengHei"/>
        <color rgb="FF000000"/>
      </rPr>
      <t xml:space="preserve">▲
</t>
    </r>
    <r>
      <rPr>
        <rFont val="Microsoft JhengHei"/>
        <color rgb="FF000000"/>
      </rPr>
      <t xml:space="preserve">被遗忘的墓穴-1 </t>
    </r>
    <r>
      <rPr>
        <rFont val="Microsoft JhengHei"/>
        <color rgb="FF000000"/>
      </rPr>
      <t>▶
R26.R63
▼</t>
    </r>
  </si>
  <si>
    <t>▲
被遺忘的墓穴-2 
（狂亂的紅獸）▶
R20.R40.R43
▼</t>
  </si>
  <si>
    <t>墮落的聖堂
（限定時間擊殺狂亂的紅獸）
R45</t>
  </si>
  <si>
    <t>▲
忘却のカタコンベ-2 
（狂乱の紅獣）▶
R20.R40.R43
 ▼</t>
  </si>
  <si>
    <t>堕落の聖堂
（狂乱の紅獣を倒すための制限時間）
R45</t>
  </si>
  <si>
    <r>
      <rPr>
        <rFont val="Microsoft JhengHei"/>
        <color theme="1"/>
      </rPr>
      <t xml:space="preserve">▲
</t>
    </r>
    <r>
      <rPr>
        <rFont val="Microsoft JhengHei"/>
        <color rgb="FF000000"/>
      </rPr>
      <t xml:space="preserve">Forgotten Catacombs- 2 Lower Level 
</t>
    </r>
    <r>
      <rPr>
        <rFont val="Microsoft JhengHei"/>
        <color theme="1"/>
      </rPr>
      <t>（Frenzied Crimson Beast）▶
R20.R40.R43
 ▼</t>
    </r>
  </si>
  <si>
    <t>The Fallen Sanctuary 
(Kill Frenzied Crimson Beast in a limited time)
R45</t>
  </si>
  <si>
    <r>
      <rPr>
        <rFont val="Microsoft JhengHei"/>
        <color theme="1"/>
      </rPr>
      <t xml:space="preserve">▲
</t>
    </r>
    <r>
      <rPr>
        <rFont val="Microsoft JhengHei"/>
        <color rgb="FF000000"/>
      </rPr>
      <t xml:space="preserve">被遗忘的墓穴-2 </t>
    </r>
    <r>
      <rPr>
        <rFont val="Microsoft JhengHei"/>
        <color theme="1"/>
      </rPr>
      <t xml:space="preserve">
（狂乱的红兽）▶
R20.R42.R45
 ▼</t>
    </r>
  </si>
  <si>
    <r>
      <rPr>
        <rFont val="Microsoft JhengHei"/>
        <color rgb="FF000000"/>
      </rPr>
      <t>堕落的圣堂</t>
    </r>
    <r>
      <rPr>
        <rFont val="Microsoft JhengHei"/>
        <color theme="1"/>
      </rPr>
      <t xml:space="preserve">
（限定时间击杀狂乱的红兽）
R46</t>
    </r>
  </si>
  <si>
    <r>
      <rPr>
        <rFont val="Microsoft JhengHei"/>
        <color rgb="FF000000"/>
      </rPr>
      <t xml:space="preserve">大焦熱溶岩帶 
</t>
    </r>
    <r>
      <rPr>
        <rFont val="Microsoft JhengHei"/>
        <color theme="1"/>
      </rPr>
      <t>R22</t>
    </r>
  </si>
  <si>
    <t>大焦熱溶岩帯
R22</t>
  </si>
  <si>
    <t>Scorching Lava Zone
R22</t>
  </si>
  <si>
    <r>
      <rPr>
        <rFont val="Microsoft JhengHei"/>
        <color rgb="FF000000"/>
      </rPr>
      <t>大焦热熔岩带</t>
    </r>
    <r>
      <rPr>
        <rFont val="Microsoft JhengHei"/>
        <color theme="1"/>
      </rPr>
      <t xml:space="preserve">
R22</t>
    </r>
  </si>
  <si>
    <t>通用掉落物不列入
(泛用型白.藍品質裝備和消耗道具)
金幣的部分僅記錄500$以上
(數字)=同一隻怪物可能重複掉落的最高數量，重複機率的會降低，不會維持原機率</t>
  </si>
  <si>
    <t xml:space="preserve">General drops are not included
(White and Blue quality drops)
Only money worth more than 500 yen are listed. The number inside the parenthesis is the maximum amount of drops that a specific monster can give. Should the SAME item drop twice in one monster kill, the first item will have normal drop rates while the next one will have lower rates.
</t>
  </si>
  <si>
    <t>В список не включены обычные предметы, выпадающие из монстров.
(Общее снаряжение и расходные предметы белого и синего качества)
Учитываются только золотые монеты стоимостью 500 йен и более.
(Число) = Максимальное количество предметов, которые могут многократно выпадать из одного и того же монстра.
Вероятность повторного выпадения будет уменьшаться и не останется на первоначальном уровне.</t>
  </si>
  <si>
    <t>Không bao gồm các vật phẩm rơi thông thường
 (Vật phẩm chất lượng Trắng và Xanh) 
Chỉ liệt kê số tiền có giá trị hơn 500 yên. Con số trong ngoặc đơn là số lượng vật phẩm tối đa mà một quái vật có thể rơi ra. Nếu cungd một vật phẩm rơi ra hai lần trong một lần giết quái, vật phẩm đầu tiên sẽ có tỷ lệ rơi bình thường trong khi vật phẩm tiếp theo sẽ có tỷ lệ thấp hơn.</t>
  </si>
  <si>
    <t>Itens gerais que caem não estou inclusos
(Qualidade de itens que caem brancos e azuis)
Apenas notas acima de 500 yen
(Número) = O maior número de um mesmo item que pode ser obtido repetidamente do mesmo monstro. Depois disso a probabilidade de obter o item irá diminuir.</t>
  </si>
  <si>
    <t>Item umum yang jatuhtidak termasuk
(Item berkualitas Putih dan Biru)
Hanya uang senilai lebih dari 500 yen yang tercantum. Angka di dalam tanda kurung adalah jumlah maksimum item yang dapat diberikan oleh monster tertentu. Jika item yang SAMA jatuh dua kali dalam satu kali membunuh monster, item pertama akan memiliki tingkat jatuh normal sedangkan item berikutnya akan memiliki tingkat yang lebih rendah.</t>
  </si>
  <si>
    <t>項目</t>
  </si>
  <si>
    <t>特殊掉落</t>
  </si>
  <si>
    <t>機率(%)</t>
  </si>
  <si>
    <t>備註</t>
  </si>
  <si>
    <t>Source</t>
  </si>
  <si>
    <t>Unique Drops</t>
  </si>
  <si>
    <t>Drop Rate (%)</t>
  </si>
  <si>
    <t>Origen</t>
  </si>
  <si>
    <t>Artículo</t>
  </si>
  <si>
    <t>Probabilidad (%)</t>
  </si>
  <si>
    <t>Notas</t>
  </si>
  <si>
    <t>Получение</t>
  </si>
  <si>
    <t>Особый лут</t>
  </si>
  <si>
    <t>Шанс 
выпадения
(%)</t>
  </si>
  <si>
    <t>Примечания</t>
  </si>
  <si>
    <t>Spielinhalte die Loot geben</t>
  </si>
  <si>
    <t>Einzigartige Beute</t>
  </si>
  <si>
    <t>Bemerkung</t>
  </si>
  <si>
    <t>Nguồn</t>
  </si>
  <si>
    <t>Vật phẩm đặc biệt</t>
  </si>
  <si>
    <t>Tỉ lệ rơi 
(%)</t>
  </si>
  <si>
    <t>Lưu Ý</t>
  </si>
  <si>
    <t>Origem</t>
  </si>
  <si>
    <r>
      <rPr>
        <rFont val="Microsoft JhengHei"/>
        <b/>
        <color theme="1"/>
        <sz val="14.0"/>
      </rPr>
      <t>Itens únicos que caem(</t>
    </r>
    <r>
      <rPr>
        <rFont val="Microsoft JhengHei"/>
        <b/>
        <i/>
        <color theme="1"/>
        <sz val="14.0"/>
      </rPr>
      <t>drops</t>
    </r>
    <r>
      <rPr>
        <rFont val="Microsoft JhengHei"/>
        <b/>
        <color theme="1"/>
        <sz val="14.0"/>
      </rPr>
      <t>)</t>
    </r>
  </si>
  <si>
    <r>
      <rPr>
        <rFont val="Microsoft JhengHei"/>
        <b/>
        <color theme="1"/>
        <sz val="14.0"/>
      </rPr>
      <t>Taxa de queda (</t>
    </r>
    <r>
      <rPr>
        <rFont val="Microsoft JhengHei"/>
        <b/>
        <i/>
        <color theme="1"/>
        <sz val="14.0"/>
      </rPr>
      <t>drop</t>
    </r>
    <r>
      <rPr>
        <rFont val="Microsoft JhengHei"/>
        <b/>
        <color theme="1"/>
        <sz val="14.0"/>
      </rPr>
      <t>) (%)</t>
    </r>
  </si>
  <si>
    <t>Observação</t>
  </si>
  <si>
    <t>Sumber</t>
  </si>
  <si>
    <t>Drop Unik</t>
  </si>
  <si>
    <t>Persentasi (%)</t>
  </si>
  <si>
    <t>Komentar</t>
  </si>
  <si>
    <t>一般小型怪物</t>
  </si>
  <si>
    <t>Normal Monsters</t>
  </si>
  <si>
    <t>Monstruos Normales</t>
  </si>
  <si>
    <t>Маленькие монстры</t>
  </si>
  <si>
    <t>Quái thường</t>
  </si>
  <si>
    <t>Monstros Pequenos Normais</t>
  </si>
  <si>
    <t>Monster Normal</t>
  </si>
  <si>
    <t>香蕉妖精</t>
  </si>
  <si>
    <t>香蕉妖精
香蕉?</t>
  </si>
  <si>
    <t>35
35</t>
  </si>
  <si>
    <t>バナナ妖精</t>
  </si>
  <si>
    <t>バナナの妖精 
バナナ?</t>
  </si>
  <si>
    <t>Banana Fairy</t>
  </si>
  <si>
    <t>Banana Fairy
Banana?</t>
  </si>
  <si>
    <t>Банановая фея</t>
  </si>
  <si>
    <t>Банановая Фея
Банан?</t>
  </si>
  <si>
    <t>Bananenfee</t>
  </si>
  <si>
    <t>Bananenfee
Banane?</t>
  </si>
  <si>
    <t>Tiên Chuối</t>
  </si>
  <si>
    <t>Tiên Chuối
Chuối?</t>
  </si>
  <si>
    <t>Fada Banana</t>
  </si>
  <si>
    <t>Fada Banana
Banana?</t>
  </si>
  <si>
    <t>Peri Pisang</t>
  </si>
  <si>
    <t>Peri Pisang Pisang?</t>
  </si>
  <si>
    <t>蘋果妖精</t>
  </si>
  <si>
    <t>蘋果妖精
蘋果頭套</t>
  </si>
  <si>
    <t>20
20</t>
  </si>
  <si>
    <t>リンゴ妖精</t>
  </si>
  <si>
    <t>リンゴの妖精
リンゴヘルメット</t>
  </si>
  <si>
    <t>Apple Fairy</t>
  </si>
  <si>
    <t>Apple Fairy
Apple Headband</t>
  </si>
  <si>
    <t>Яблочная
 Фея</t>
  </si>
  <si>
    <t>Яблочная фея
Яблочный головной убор</t>
  </si>
  <si>
    <t>Apfelfee</t>
  </si>
  <si>
    <t>Apfelfee
Apfelkopfbedeckung</t>
  </si>
  <si>
    <t>Tiên Táo</t>
  </si>
  <si>
    <t>Tiên Chuối
Mũ Quả Táo</t>
  </si>
  <si>
    <t>Fada Maçã</t>
  </si>
  <si>
    <t>Fada Maçã
Capacete de Maçã</t>
  </si>
  <si>
    <t>Peri Apel</t>
  </si>
  <si>
    <t>Peri Apel
Bando Apel</t>
  </si>
  <si>
    <t>20 20</t>
  </si>
  <si>
    <t>貓咪史萊姆</t>
  </si>
  <si>
    <t>史萊姆的黏液
借來的貓爪
貓貓玩偶服
招財貓</t>
  </si>
  <si>
    <t>27
24
24
10</t>
  </si>
  <si>
    <t>猫スライム</t>
  </si>
  <si>
    <t>スライムの粘液
借りネコの手
貓貓玩偶服
招き猫</t>
  </si>
  <si>
    <t>Cat Slime</t>
  </si>
  <si>
    <t>Slime Mucus
Borrowed Neko Claws
Neko Plush Suit
Maneki Neko</t>
  </si>
  <si>
    <t>Кото-слайм</t>
  </si>
  <si>
    <t>Слайм
Одолжённые лапки Неко
Костюм плюшевого кота
Кот удачи</t>
  </si>
  <si>
    <t>Katzenschleim</t>
  </si>
  <si>
    <t>Schleimige Substanz
Geliehene Katzenkrallen
Plüsch-Katzenkostüm
Glückskatze</t>
  </si>
  <si>
    <t>Slime Mèo</t>
  </si>
  <si>
    <t>Chất Nhầy Slime
Vuốt Mèo Vay Mượn
Trang Phục Mèo Bông
Mèo Thần Tài</t>
  </si>
  <si>
    <t>Slime Neko</t>
  </si>
  <si>
    <t>Muco de Slime
Garras de Neko Emprestadas
Traje de Pelúcia de Neko
Neko da Sorte</t>
  </si>
  <si>
    <t>Lendir Kucing</t>
  </si>
  <si>
    <t>Lendir Lendir
Cakar Neko yang dipinjam
Setelan Mewah Neko
Maneki Neko</t>
  </si>
  <si>
    <t>草食史萊姆</t>
  </si>
  <si>
    <t>史萊姆的黏液
芳草心
硬木棒
硬木劍
斬裂劍提爾鋒</t>
  </si>
  <si>
    <t>28 (2)
23 (2)
8 (2)
8 (2)
0.8</t>
  </si>
  <si>
    <t>草食スライム</t>
  </si>
  <si>
    <t>スライムの粘液
芳草心
硬木の棒
堅木の剣
斬裂剣ティルファング</t>
  </si>
  <si>
    <t>Herbivorous Slime</t>
  </si>
  <si>
    <t>Slime Mucus
Fragrant Grass Ring
Hardwood Stick
Hardwood Sword
Tyrfing</t>
  </si>
  <si>
    <t xml:space="preserve">28 (2)
23 (2)
8 (2)
8 (2)
0.8 </t>
  </si>
  <si>
    <t>Травоядный слайм</t>
  </si>
  <si>
    <t>Слайм
Кольцо из душистой травы
Прочная палка
Деревянный меч
Тирфинг</t>
  </si>
  <si>
    <t>Pflanzenfressender Schleim</t>
  </si>
  <si>
    <t>Schleimige Substanz
Duftender Grasring
Hartholzstock
Hartholzschwert
"Tyrfing"</t>
  </si>
  <si>
    <t>"Tyrfing" - Schwert</t>
  </si>
  <si>
    <t>Slime Ăn Cỏ</t>
  </si>
  <si>
    <t>Chất Nhầy Slime
Nhẫn Cỏ Thảo Hương
Gậy Gỗ
Kiếm Gỗ
Tyrfing</t>
  </si>
  <si>
    <t>Slime Herbívoro</t>
  </si>
  <si>
    <t>Muco de Slime
Anel da Relva Fragrante
Bastão de Madeira Nobre
Espada de Madeira Nobre
Tyrfing</t>
  </si>
  <si>
    <t>Lendir Herbivora</t>
  </si>
  <si>
    <t>Lendir Lendir
Cincin Rumput Wangi
Tongkat Kayu Keras
Pedang Kayu Keras
Tyrfing</t>
  </si>
  <si>
    <t>急凍史萊姆</t>
  </si>
  <si>
    <t>史萊姆的黏液
魔力晶簇
雪見
霜月
寒冰杖</t>
  </si>
  <si>
    <t>21 (2)
15 (2)
8 (2)
8 (2)
8 (2)</t>
  </si>
  <si>
    <t>急凍スライム</t>
  </si>
  <si>
    <t>スライムの粘液
魔晶石クラスター
雪見
タロットカード
寒冰の杖</t>
  </si>
  <si>
    <t>Frost Slime</t>
  </si>
  <si>
    <t>Slime Mucus
Mana Crystal Cluster
Snow Watch
Frostmoon
Ice Staff</t>
  </si>
  <si>
    <t>Морозный слайм</t>
  </si>
  <si>
    <t>Слайм
Кластер мана-кристаллов
Снежный дозор
Ледяная луна
Ледяной посох</t>
  </si>
  <si>
    <t>Frostschleim</t>
  </si>
  <si>
    <t>Schleimige Substanz
Manakristallbündel
"Schneewächter" (Bogen)
"Eiskalter Mund" (Schwert)
Eisstab</t>
  </si>
  <si>
    <t>"Schneewächter" - Bogen
"Eiskalter Mund"- Schwert</t>
  </si>
  <si>
    <t>Slime Đông Đá</t>
  </si>
  <si>
    <t>Chất Nhầy Slime
Cụm Tinh Thạch Mana
Tuyết Giám
Hàn Nguyệt
Trượng Băng</t>
  </si>
  <si>
    <t>Slime Gélido</t>
  </si>
  <si>
    <t>Muco de Slime
Aglomerado de Cristais de Mana
Vigia da Neve (arco)
Lua Gélida (espada)
Cajado de Gelo</t>
  </si>
  <si>
    <t>Lendir Beku</t>
  </si>
  <si>
    <t>Lendir Lendir
Kluster Kristal Mana
Pengawas Salju
Bulan Es
Tongkat Es</t>
  </si>
  <si>
    <t>嗶哩嗶哩史萊姆</t>
  </si>
  <si>
    <t>史萊姆的黏液
會漏電的不良品
千鳥</t>
  </si>
  <si>
    <t>28 (2)
30 (2)
10 (2)</t>
  </si>
  <si>
    <t>ビリビリスライム</t>
  </si>
  <si>
    <t>スライムの粘液
タロットカード
千鳥</t>
  </si>
  <si>
    <t>Crackling Slime</t>
  </si>
  <si>
    <t>Slime Mucus
Leaky Electric Sword
Chidori</t>
  </si>
  <si>
    <t>Электро-слайм</t>
  </si>
  <si>
    <t>Слайм
Протекающий электро-меч
Чидори</t>
  </si>
  <si>
    <t>Knisternder Schleim</t>
  </si>
  <si>
    <t>Schleimige Substanz
Leckendes Elektroschwert
"Chidori"</t>
  </si>
  <si>
    <t>"Chidori" - Bogen</t>
  </si>
  <si>
    <t>Slime Lách Tách</t>
  </si>
  <si>
    <t>Chất Nhầy Slime
Kiếm Rò Rỉ Điện
Thiên Điểu</t>
  </si>
  <si>
    <t>Slime Crepitante</t>
  </si>
  <si>
    <t xml:space="preserve">Muco de Slime
Espada Elétrica com Vazamento
Chidori (arco)
</t>
  </si>
  <si>
    <t>Lendir yang berderak</t>
  </si>
  <si>
    <t>Lendir Lendir
Pedang Listrik Bocor
Chidori</t>
  </si>
  <si>
    <t>角兔</t>
  </si>
  <si>
    <t>小塊獸肉</t>
  </si>
  <si>
    <t>44 (2)</t>
  </si>
  <si>
    <t>ボーンラビット</t>
  </si>
  <si>
    <t>小さいお肉</t>
  </si>
  <si>
    <t>Horned Rabbit</t>
  </si>
  <si>
    <t>Small Beast Meat</t>
  </si>
  <si>
    <t>Рогатый кролик</t>
  </si>
  <si>
    <t>Мясо маленького зверя</t>
  </si>
  <si>
    <t>Gehörnter Hase</t>
  </si>
  <si>
    <t>Kleines stück Wildfleisch</t>
  </si>
  <si>
    <t>Thỏ Sừng</t>
  </si>
  <si>
    <t>Thịt Quái Vật Nhỏ</t>
  </si>
  <si>
    <t>Coelho Chifrudo</t>
  </si>
  <si>
    <t>Carne de Pequena Fera</t>
  </si>
  <si>
    <t>Kelinci Bertanduk</t>
  </si>
  <si>
    <t>Daging Hewan Kecil</t>
  </si>
  <si>
    <t>鹿角兔</t>
  </si>
  <si>
    <t>小塊獸肉
紅色的角</t>
  </si>
  <si>
    <t>27 (3)
27</t>
  </si>
  <si>
    <t>擊殺10隻角兔/擊殺紅獸  可以解鎖。
解鎖鹿角兔後，每隻刷新出來的角兔都有40%機率轉換為鹿角兔</t>
  </si>
  <si>
    <t>ジャッカロープ</t>
  </si>
  <si>
    <t xml:space="preserve">
小さいお肉
赤い角
</t>
  </si>
  <si>
    <t xml:space="preserve">
ボーンラビットを10体撃破すると解放される可能性がある／紅獣を撃破する
ジャッカロープを解放した後は、出現した角ウサギが40%の確率でジャッカロープに変化する
</t>
  </si>
  <si>
    <t>Horned Jackalope</t>
  </si>
  <si>
    <t>Small Beast Meat
Red Horn</t>
  </si>
  <si>
    <t xml:space="preserve">Kill 10 Horned Rabbits / Kill the Frenzied Crimson Beast to unlock
Once you meet this requirement, there's a 40% chance for a Horned Rabbit to spawn as a Horned Jackalope
</t>
  </si>
  <si>
    <t>Шакалоп</t>
  </si>
  <si>
    <t>Мясо маленького зверя
Красный Рог</t>
  </si>
  <si>
    <t>Убийство 10 рогатых кроликов/убийство красного зверя открывает эту функцию.
После открытия рогатого кролика у каждого появляющегося рогатого кролика есть 40% шанс превратиться в рогатого кролика.</t>
  </si>
  <si>
    <t>Jackalope</t>
  </si>
  <si>
    <t>Giết 10 con Thỏ Sừng / Giết Cuồng Huyết Xích Liệt để mở khóa 
Khi bạn đáp ứng yêu cầu này, sẽ có 40% cơ hội Thỏ Sừng xuất hiện dưới dạng Jackalope.</t>
  </si>
  <si>
    <t>Carne de Pequena Besta
Chifre Vermelho</t>
  </si>
  <si>
    <t>Mate 10 Coelhos Chifrudos/Mate a Besta Carmesin em Frenesi para o desbloquear. Após desbloqueado, cada Coelho Chifrudo gerado terá 40% de chance de se transformar em um Jackalope.</t>
  </si>
  <si>
    <t>Jackalope Bertanduk</t>
  </si>
  <si>
    <t>Daging Hewan Kecil
Tanduk Merah</t>
  </si>
  <si>
    <t>Bunuh 10 Kelinci Bertanduk / Bunuh Binatang Merah Mengamuk untuk membuka kunci
Setelah Anda memenuhi persyaratan ini, ada peluang 40% bagi Kelinci Bertanduk untuk muncul sebagai Jackalope Bertanduk</t>
  </si>
  <si>
    <t>"Z"
(蟑螂)</t>
  </si>
  <si>
    <t>垃圾
陰暗爬行者的餽贈</t>
  </si>
  <si>
    <t>36
14</t>
  </si>
  <si>
    <t>"G"
(ゴキブリ)</t>
  </si>
  <si>
    <t xml:space="preserve">
ゴミ
陰鬱な爬行者の贈り物
</t>
  </si>
  <si>
    <t xml:space="preserve">
36
14</t>
  </si>
  <si>
    <t>The Unnameable "C"</t>
  </si>
  <si>
    <t>Junk
Shadowcrawler Gift</t>
  </si>
  <si>
    <t>Таракан</t>
  </si>
  <si>
    <t>Мусор / Подарок Теней</t>
  </si>
  <si>
    <t>Müll
ein Geschenk der schattenhaften Kriecher</t>
  </si>
  <si>
    <t xml:space="preserve">Vô danh
"C" </t>
  </si>
  <si>
    <t>Rác
Quà tặng Shadowcrawler</t>
  </si>
  <si>
    <t>"B"
(Barata)</t>
  </si>
  <si>
    <t>Sucata
Presente do Rastejador Sombrio</t>
  </si>
  <si>
    <t>Huruf "C" yang Tak Tersebutkan</t>
  </si>
  <si>
    <t>Hadiah Sampah Shadowcrawler</t>
  </si>
  <si>
    <t>水中相關</t>
  </si>
  <si>
    <t>Water-related</t>
  </si>
  <si>
    <t>Связанные с водой</t>
  </si>
  <si>
    <t>Liên quan đến nước</t>
  </si>
  <si>
    <t>Relativos à água</t>
  </si>
  <si>
    <t>Berkaitan dengan Air</t>
  </si>
  <si>
    <t>神秘的小氣泡
(水面)</t>
  </si>
  <si>
    <t>金槍魚
條石鯛
秋刀魚
石斑魚
鯛魚
章魚觸手
甜蝦
大龍蝦
毛蟹
鮭魚
帝王鮭
巨大蟹鉗
綠龜殼
◉▽◉(藍色)
X△X</t>
  </si>
  <si>
    <t>7 (2)
7 (2)
7 (2)
7 (2)
12 (2)
12 (2)
5 (2)
5 (2)
2 (2)
17 (2)
2 (2)
7 (2)
7 (2)
1 (2)
-</t>
  </si>
  <si>
    <t>使用炸彈炸水面
(最多三組掉落物)
(有機率出現敵方生物、河之主BOSS)</t>
  </si>
  <si>
    <t>神秘的な小さな泡（水面）</t>
  </si>
  <si>
    <t>マグロ
シマアジ
サンマ
ハタ
タイ
タコの足
甘エビ
イセエビ
毛ガニ
サケ
キングサーモン
タラバガニの爪
アオウミガメの甲羅
◉▽◉（青）
X△X</t>
  </si>
  <si>
    <t xml:space="preserve">
爆弾で水面を爆破する
（最大3つのドロップアイテム）
（敵の生物やリバー・ロードのボスがランダムで出現する可能性がある）
</t>
  </si>
  <si>
    <t>Mysterious Small Bubbles
(On water surface)</t>
  </si>
  <si>
    <t xml:space="preserve">
Tuna
Striped Beakfish
Pacific Saury
Grouper
Sea Bream
Octopus Tentacle
Sweet Shrimp
Spiny Lobster
Hairy Crab
Salmon
King Salmon
Giant Crab Claw
Green Turtle Shell
◉▽◉(Blue)
X△X</t>
  </si>
  <si>
    <t>7 (2)
7 (2)
7 (2)
7 (2)
12 (2)
12 (2)
5 (2)
5 (2)
2 (2)
17 (2)
2 (2)
7 (2)
7 (2)
1 (2)</t>
  </si>
  <si>
    <t xml:space="preserve">Throw bombs to water.
Can be bombed up to 3 times for loot
May potentially spawn monsters or the River Lord Boss
</t>
  </si>
  <si>
    <t>Маленькие пузыри
(На поверхности воды)</t>
  </si>
  <si>
    <t>Тунец
Полосатый морской окунь
Сайра
Групер
Дорада
Щупальца осьминога
Сладкая креветка
Лобстер
Волосатый краб
Лосось
Королевский лосось
Клешня гигантского краба
Панцирь черепахи
◉▽◉(Синий)
X△X</t>
  </si>
  <si>
    <t>Используйте бомбы, чтобы взорвать поверхность воды.
(Максимум три комплекта добычи)
(В режиме Мудреца есть шанс призвать вражеских существ или босса «Речного Владыку»)</t>
  </si>
  <si>
    <t>Mysteriöse kleine Blasen
(Wasseroberfläche)</t>
  </si>
  <si>
    <t>Thunfisch
Streifen-Steinbrasse
Herbstmakrele
Zackenbarsch
Brasse
Oktopustentakel
Süßgarnele
Großer Hummer
Wollkrabbe
Lachs
Königslachs
Riesige Krabbenzange
Grüner Schildkrötenpanzer
◉▽◉(Blau)
X△X</t>
  </si>
  <si>
    <t>Benutze eine Bombe, um die Wasseroberfläche zu sprengen
(Maximal drei Drop-Gruppen)
(Es besteht eine Chance, feindliche Kreaturen oder den Flussherr(BOSS)erscheinen zu lassen)</t>
  </si>
  <si>
    <t>Bong bóng nhỏ bí ẩn
(Trên mặt nước)</t>
  </si>
  <si>
    <t>Cá Ngừ
Cá Mỏ Vằn
Cá Thu Đao
Cá Mú
Cá Tráp
Râu Bach Tuộc
Tôm Ngọt
Tôm Hùm Gai
Cua Lông
Cá Hồi
Cá Hồi Vua
Càng Cua Khổng Lồ
Mai Rùa Xanh
◉▽◉(Xanh)
X△X</t>
  </si>
  <si>
    <t>Ném bom vào nước
Có thể ném bom nhiều nhất 3 lần cho vật phẩm
Có khả năng xuất hiện quái hay Chúa Tể Dòng Sông</t>
  </si>
  <si>
    <t>Pequenas bolhas misteriosas (na superfície da água)</t>
  </si>
  <si>
    <t xml:space="preserve">
Atum
Peixe-bico-listrado
Salmão-do-pacífico
Garoupa
Dourada
Tentáculo de Polvo
Camarão-doce
Lagosta-espinhosa
Caranguejo-peludo
Salmão
Salmão-rei
Garra de caranguejo-gigante
Casco de tartaruga-verdel
◉▽◉(Azul)
X△X</t>
  </si>
  <si>
    <t xml:space="preserve">Arremesse uma bomba na água
Pode ser bobardeado até 3 vezes pra saque
Possivelmente pode surgir monstros ou o chefe Lord do Rio
</t>
  </si>
  <si>
    <t>Gelembung-gelembung Kecil Misterius
(Di permukaan air)</t>
  </si>
  <si>
    <t>Tuna
Ikan Paruh Bergaris
Ikan Saury Pasifik
Kerapuh
Ikan Kakap Laut
Tentakel Gurita
Udang Manis
Lobster Berduri
Kepiting Berbulu
Salmon
Salmon Raja
Cakar Kepiting Raksasa
Cangkang Penyu Hijau
◉▽◉(Biru)
X△X</t>
  </si>
  <si>
    <t>7 (2)
7 (2)
7 (2)
12 (2)
12 (2)
5 (2)
5 (2)
2 (2)
17 (2)
2 (2)
7 (2)
7 (2)
1 (2)</t>
  </si>
  <si>
    <t>Lemparkan bom ke air.
Dapat dibom hingga 3 kali untuk mendapatkan jarahan.
Berpotensi memunculkan monster atau Bos Penguasa Sungai.</t>
  </si>
  <si>
    <t>神秘的大氣泡
(水面)</t>
  </si>
  <si>
    <t>隨機魚類
垃圾
隨機符文
綠龜殼
巨大蟹鉗
◉▽◉(藍色)
X△X</t>
  </si>
  <si>
    <t>25
10
9
17
17
4</t>
  </si>
  <si>
    <t>使用炸彈炸水面
(最多一組掉落物)
(目前無敵方生物、無BOSS)</t>
  </si>
  <si>
    <t>神秘的な大きな泡（水面）</t>
  </si>
  <si>
    <t>ランダムな魚 
ジャンク
 ランダムなルーン
アオウミガメの甲羅
巨大カニの爪
◉▽◉(青)
X△X</t>
  </si>
  <si>
    <t>爆弾を使って水面を爆破する
ガシャポンマシンにゴミを与えて、一度に大量の爆弾をばら撒いて乱獲できる</t>
  </si>
  <si>
    <t>Mysterious Large Bubbles
(On water surface)</t>
  </si>
  <si>
    <t>Random Fish
Junk
Random Rune
Giant Crab Claw
Green Turtle Shell
◉▽◉(Blue)
X△X</t>
  </si>
  <si>
    <t xml:space="preserve">Throw bombs to water.
Can be bombed up to 1 time for loot
No monsters or boss will be spawned
</t>
  </si>
  <si>
    <t>Большие пузыри
(На поверхности воды)</t>
  </si>
  <si>
    <t>Случайная рыба
Хлам
Случайные руны
Панцирь черепахи
Клешня гигантского краба
◉▽◉(Синий)
X△X</t>
  </si>
  <si>
    <t>Используйте бомбы, чтобы взорвать поверхность воды.
(Максимум один набор добычи)
(В настоящее время нет вражеских существ, нет босса)</t>
  </si>
  <si>
    <t>Mysteriöse große Blasen
(Wasseroberfläche)</t>
  </si>
  <si>
    <t>Zufälliger Fisch
Müll
Zufällige Rune
Grüne Schildkrötenpanzer
Riesige Krabbenzange
◉▽◉(Blau)
X△X</t>
  </si>
  <si>
    <t>Benutze eine Bombe, um die Wasseroberfläche zu sprengen
(Maximal eine Drop-Gruppe)
(Derzeit keine feindlichen Kreaturen, kein BOSS)</t>
  </si>
  <si>
    <t>Bong bóng lớn bí ẩn
(Trên mặt nước)</t>
  </si>
  <si>
    <t>Cá Ngẫu Nhiên
Rác
Phù văn Ngẫu Nhiên
Càng Cua Khổng Lồ
Mai Rùa Xanh 
◉▽◉ (Xanh)
X△X</t>
  </si>
  <si>
    <t>Ném bom vào trong nước
Có thể ném nhiều nhất 1 lần cho vật phẩm
Không quái hay boss nào xuất hiện</t>
  </si>
  <si>
    <t>Grandes bolhas misteriosas (na superfície da água)</t>
  </si>
  <si>
    <t xml:space="preserve">
Peixe Aleatório
Sucata
Runa Aleatória
Garra de caranguejo-gigante
Casco de tartaruga-verdel
◉▽◉(Azul)
X△X</t>
  </si>
  <si>
    <t xml:space="preserve">Arremesse uma bomba na água.
Pode ser bombardeado até 1 vez pra saque
Monstros e chefes não aparecerão
</t>
  </si>
  <si>
    <t>Gelembung Besar Misterius
(Di permukaan air)</t>
  </si>
  <si>
    <t>Ikan Acak
Sampah
Rune Acak
Cakar Kepiting Raksasa
Cangkang Kura-kura Hijau
◉▽◉(Biru)
X△X</t>
  </si>
  <si>
    <t>Lemparkan bom ke air.
Dapat dibom hingga 1 kali untuk mendapatkan jarahan.
Tidak akan ada monster atau bos yang muncul.</t>
  </si>
  <si>
    <t>魚影
(水面)</t>
  </si>
  <si>
    <t>金槍魚
條石鯛
秋刀魚
鯛魚
鮭魚
帝王鮭</t>
  </si>
  <si>
    <t>15
15
15
15
15
5</t>
  </si>
  <si>
    <t>使用攻擊或者觸碰捕捉
(僅掉落食材)</t>
  </si>
  <si>
    <t>マグロ
シマダイ
サンマ
タイ
サーモン
キングサーモン</t>
  </si>
  <si>
    <t xml:space="preserve">
攻撃または接触で捕獲
（食材のみドロップ）
</t>
  </si>
  <si>
    <t>Fish Silhouettes
(Surface of water)</t>
  </si>
  <si>
    <t xml:space="preserve">"
Tuna
Striped Beakfish
Pacific Saury
Sea Bream
Salmon
King Salmon
</t>
  </si>
  <si>
    <t>Throw bombs to fish in the water or touch the fish siilhouettes
Only food items will be dropped</t>
  </si>
  <si>
    <t>Рыбы
(На поверхности воды)</t>
  </si>
  <si>
    <t>Тунец
Дорада
Сайра
Групер
Лосось
Королевский лосось</t>
  </si>
  <si>
    <t>Используйте атаки или касание для захвата (выпадут только ингредиенты).</t>
  </si>
  <si>
    <t>Fischschatten
(Wasseroberfläche)</t>
  </si>
  <si>
    <t>Thunfisch
Streifen-Steinbrasse
Herbstmakrele
Brasse
Lachs
Königslachs</t>
  </si>
  <si>
    <t>Fange durch Angreifen oder Berühren</t>
  </si>
  <si>
    <t>Bóng cá</t>
  </si>
  <si>
    <t>Cá Ngừ
Cá Mỏ Sọc
Cá Thu Đao 
Cá Tráp 
Cá Hồi
Cá Hồi Vua</t>
  </si>
  <si>
    <t>Ném bom để bắt cá trên mặt nước hoặc chạm vào bóng cá
Chỉ những vật phẩm đồ ăn sẽ rơi ra</t>
  </si>
  <si>
    <t>Silhueta de peixe
(Superfície da água)</t>
  </si>
  <si>
    <t>Atum
Peixe-bico listrado
Salmão-do-pacífico
Dourada
Salmão
Rei Salmão</t>
  </si>
  <si>
    <t xml:space="preserve">Arremesse bombas na água ou toque na silhueta do peixe
Apenas ingredientes(peixes) podem ser obtidos
</t>
  </si>
  <si>
    <t>Siluet Ikan
(Permukaan air)</t>
  </si>
  <si>
    <t>"Tuna
Ikan Paruh Bergaris
Sauri Pasifik
Ikan Kakap Laut
Salmon
Salmon Raja</t>
  </si>
  <si>
    <t>Lemparkan bom ke ikan di air atau sentuh siluet ikan.
Hanya barang-barang makanan yang akan dijatuhkan.</t>
  </si>
  <si>
    <t>水怪</t>
  </si>
  <si>
    <t>水怪黏液
魔力晶簇
潮汐之詩</t>
  </si>
  <si>
    <t>50
13
7</t>
  </si>
  <si>
    <t>WaterWeird</t>
  </si>
  <si>
    <t>WaterWeird Mucus
Mana Crystal Cluster
Tidewyrm's Song</t>
  </si>
  <si>
    <t>Водный вирд</t>
  </si>
  <si>
    <t>Слизь водяного духа
Кластер мана-кристаллов
Песнь Приливного змея</t>
  </si>
  <si>
    <t>Wassergeist</t>
  </si>
  <si>
    <t>Wässriges Schleimsekret/Manakristallbündel/Fokusreif</t>
  </si>
  <si>
    <t>Töte um Loot zu erhalten</t>
  </si>
  <si>
    <t>Thủy Quái</t>
  </si>
  <si>
    <t>Chất Nhầy Thủy Quái
Cụm Tinh Thạch Mana
Khúc Ca Của Tydewyrm</t>
  </si>
  <si>
    <t>Muco de WaterWeird
Aglomerado de Cristais de Mana
Poem of the Tides</t>
  </si>
  <si>
    <t>Lendir WaterWeird
Gugusan Kristal Mana
Lagu Tidewyrm</t>
  </si>
  <si>
    <t>薩卡班甲魚(小)</t>
  </si>
  <si>
    <t>◉▽◉(藍色)</t>
  </si>
  <si>
    <t>使用炸彈炸水面</t>
  </si>
  <si>
    <t>サカバンバスピス(小)</t>
  </si>
  <si>
    <t>◉▽◉(青)</t>
  </si>
  <si>
    <t>爆弾を使って水面を爆破する</t>
  </si>
  <si>
    <t>Sacambaspis (Small)</t>
  </si>
  <si>
    <t>◉▽◉ (Blue)</t>
  </si>
  <si>
    <t>Throw bombs in water</t>
  </si>
  <si>
    <t>Сакабамбаспис
(маленький)</t>
  </si>
  <si>
    <t>◉▽◉ (Синий)</t>
  </si>
  <si>
    <t>Используйте бомбы, чтобы взорвать поверхность воды.</t>
  </si>
  <si>
    <t>Saccabania Schildkröte (klein)</t>
  </si>
  <si>
    <t>◉▽◉(blau)</t>
  </si>
  <si>
    <t>Mit Bomben die Wasseroberfläche sprengen.</t>
  </si>
  <si>
    <t>Sacambaspis (Nhỏ)</t>
  </si>
  <si>
    <t>◉▽◉ (Xanh)</t>
  </si>
  <si>
    <t>Ném bom vào nước</t>
  </si>
  <si>
    <t>Sacambaspis (Pequeno)</t>
  </si>
  <si>
    <t>◉▽◉ (Azul)</t>
  </si>
  <si>
    <t>Arremesse bombas na água</t>
  </si>
  <si>
    <t>Sacambaspis (Kecil)</t>
  </si>
  <si>
    <t>◉▽◉ (Biru)</t>
  </si>
  <si>
    <t>100</t>
  </si>
  <si>
    <t>Lemparkan bom ke dalam air</t>
  </si>
  <si>
    <t>薩卡班甲魚(大)</t>
  </si>
  <si>
    <t>◉▽◉(紫色)</t>
  </si>
  <si>
    <t>サカバンバスピス(大)</t>
  </si>
  <si>
    <t>◉▽◉(紫)</t>
  </si>
  <si>
    <t>Sacambaspis (Large)</t>
  </si>
  <si>
    <t>◉▽◉ (Purple)</t>
  </si>
  <si>
    <t>Сакабамбаспис
(крупный)</t>
  </si>
  <si>
    <t>◉▽◉ (Фиолетовый)</t>
  </si>
  <si>
    <t>Saccabania Schildkröte (groß)</t>
  </si>
  <si>
    <t>◉▽◉(lila)</t>
  </si>
  <si>
    <t>Sacambaspis (Lớn)</t>
  </si>
  <si>
    <t>◉▽◉ (Tím)</t>
  </si>
  <si>
    <t>Sacambaspis (Grande)</t>
  </si>
  <si>
    <t>◉▽◉ (Roxo)</t>
  </si>
  <si>
    <t>Sacambaspis (Besar)</t>
  </si>
  <si>
    <t>◉▽◉ (Ungu)</t>
  </si>
  <si>
    <t>礦坑相關</t>
  </si>
  <si>
    <t>Mine Tunnels</t>
  </si>
  <si>
    <t>Связанные с шахтами</t>
  </si>
  <si>
    <t>Đường Hầm Mỏ</t>
  </si>
  <si>
    <t>Terowongan Tambang</t>
  </si>
  <si>
    <t>惡靈史萊姆</t>
  </si>
  <si>
    <t>史萊姆的黏液
來自地獄
魔力晶簇
墮落法師的手套
精神凝聚頭環</t>
  </si>
  <si>
    <t>24 (2)
5 (2)
8 (2)
5 (2)
0.8 (2)</t>
  </si>
  <si>
    <t>悪霊スライム</t>
  </si>
  <si>
    <t>スライムスライム
地獄から来たもの 
魔水晶クラスター 
堕ちた魔術師の手袋 
精神集中ヘッドバンド</t>
  </si>
  <si>
    <t>Spectral Slime</t>
  </si>
  <si>
    <t>Slime Mucus
From Hell
Mana Crystal Cluster
Fallen Mage's Gloves
Determination Headband</t>
  </si>
  <si>
    <t>Злая слизь</t>
  </si>
  <si>
    <t>Слизь
Из Ада
Кластер мана-кристаллов
Перчатки падшего мага
Повязка решимости</t>
  </si>
  <si>
    <t>Spektralschleim</t>
  </si>
  <si>
    <t>Aus der Hölle/Schleimsekret/Handschuhe des Gefallenen Magiers/Manakristallbündel</t>
  </si>
  <si>
    <t>Slime Quang Phổ</t>
  </si>
  <si>
    <t>Chất Nhầy Slime
Địa Ngục Khởi Nguyên
Cụm Tinh Thạch Mana
Găng Tay Của Phù Thủy Sa ngã
Băng Đô Kiên Định</t>
  </si>
  <si>
    <t>Slime Espectral</t>
  </si>
  <si>
    <t xml:space="preserve">Muco de Slime
Do Inferno (espada)
Aglomerado de Cristais de Mana
Luvas do Mago Caído
Bandana da Determinação
</t>
  </si>
  <si>
    <t>Lendir Spektral</t>
  </si>
  <si>
    <t>Lendir Lendir
Dari Neraka
Kluster Kristal Mana
Sarung Tangan Penyihir Jatuh
Ikat Kepala Tekad</t>
  </si>
  <si>
    <t>24 (2)
5 (2)
8 (2)
5 (2)
0,8 (2)</t>
  </si>
  <si>
    <t>礦石史萊姆</t>
  </si>
  <si>
    <t>史萊姆的黏液
魔力晶簇
深邃魔力晶簇</t>
  </si>
  <si>
    <t>50
39 (2)
6 (2)</t>
  </si>
  <si>
    <t>Ore Slime</t>
  </si>
  <si>
    <t xml:space="preserve">Slime Mucus
Mana Crystal Cluster
Abyssal Mana Cluster
</t>
  </si>
  <si>
    <t>Рудный слизень</t>
  </si>
  <si>
    <t>Слайм
Кластер мана-кристаллов
Кластер маны бездны</t>
  </si>
  <si>
    <t>Erzschleim</t>
  </si>
  <si>
    <t>Abgründiges Manabündel/Schleimsekret/Universal Items</t>
  </si>
  <si>
    <t>Slime Mỏ</t>
  </si>
  <si>
    <t>Chất Nhầy Slime
Cụm Tinh Thạch Mana
Cụm Mana Vực Thẳm</t>
  </si>
  <si>
    <t xml:space="preserve">Slime Mineral </t>
  </si>
  <si>
    <t>Muco de Slime
Aglomerado de Cristais de Mana
Aglomerado Abissal de Mana</t>
  </si>
  <si>
    <t>Lendir Bijih</t>
  </si>
  <si>
    <t>Lendir Lendir
Kluster Kristal Mana
Kluster Mana Jurang</t>
  </si>
  <si>
    <t>邪惡斗篷</t>
  </si>
  <si>
    <t>500元
1000元
受詛胎體
調皮的杰克
夜霧幻影
來自地獄
紫色品質物品
粉色品質物品</t>
  </si>
  <si>
    <t>18
6
16 (2)
6 (2)
3 (2)
6 (2)
1.6 (2)
0.6 (2)</t>
  </si>
  <si>
    <t>邪悪なマント</t>
  </si>
  <si>
    <t>500円
1000円
呪われた胎児
いたずらジャック
夜霧の幻影
地獄から
紫品質アイテム
ピンク品質アイテム</t>
  </si>
  <si>
    <t>Evil Cloak</t>
  </si>
  <si>
    <t xml:space="preserve">500 yen
1000 yen
Cursed Fetus
Saucy Jacky
Misty Night Phantom
From Hell
Purple Quality Item
Pink Quality Item
</t>
  </si>
  <si>
    <t>18
6
16 (2)
6 (2)
3 (2)
6 (2)</t>
  </si>
  <si>
    <t>Злой плащ</t>
  </si>
  <si>
    <t>500 йен
1000 йен
Проклятый зародыш
Озорной Джекки
Призрак туманной ночи
Из Ада
Предмет фиолетового качества
Предмет розового качества</t>
  </si>
  <si>
    <t>Böser Umhang</t>
  </si>
  <si>
    <t>Aus der Hölle / Nachtnebelphantom / Frecher Jack</t>
  </si>
  <si>
    <t>Áo Choàng Ác</t>
  </si>
  <si>
    <t>500 Yên
1000 Yên
Bào Thai Bị Nguyền Rủa
Saucy Jacky
Vũ Dạ Huyễn Ảnh
Địa Ngục Khởi Nguyên
Vật phẩm chất lượng tím
Vật phẩm chất lượng hồng</t>
  </si>
  <si>
    <t>500 yen
1.000yen
Fetu amaldiçoado
Jack Atrevido
Fantasma da Noite Nebulosa
Do Inferno (espada)
Equipamento de Qualidade Roxa
Equipamento de Qualidade Rosa</t>
  </si>
  <si>
    <t>18
6
16 (2)
6 (2)
3 (2)
6 (2)
1.6(2)
0.6(2)</t>
  </si>
  <si>
    <t>Jubah Jahat</t>
  </si>
  <si>
    <t>500 yen
1000 yen
Janin Terkutuk
Jacky Genit
Hantu Malam Berkabut
Dari Neraka</t>
  </si>
  <si>
    <t>18
6
16 (2)
6 (2)
3 (2)
6 (2)</t>
  </si>
  <si>
    <t>遺跡相關</t>
  </si>
  <si>
    <t>Abyss Ruins</t>
  </si>
  <si>
    <t>Руины</t>
  </si>
  <si>
    <t>Tàn TÍch Vực Sâu</t>
  </si>
  <si>
    <t>Reruntuhan Jurang</t>
  </si>
  <si>
    <t>初級獸人</t>
  </si>
  <si>
    <t>小獸肉
大獸肉
500元
獸人的骨釜</t>
  </si>
  <si>
    <t>19 (2)
19 (2)
8 (2)
30 (2)</t>
  </si>
  <si>
    <t>初級オーク</t>
  </si>
  <si>
    <t>小さい獣肉
大きい獣肉
500金
オークの背斧</t>
  </si>
  <si>
    <t>Low Orc</t>
  </si>
  <si>
    <t>Small Beast Meat
Large Beast Meat
500 yen
Orc's Boneaxe</t>
  </si>
  <si>
    <t>Орки</t>
  </si>
  <si>
    <t>Мясо маленького зверя
Мясо крупного зверя
 500 йен
Костяной топор орка</t>
  </si>
  <si>
    <t>Niedriger Ork</t>
  </si>
  <si>
    <t>Kleines Tierfleisch/Großes Tierfleisch/Orkknochenaxt</t>
  </si>
  <si>
    <t xml:space="preserve">Orc Thấp </t>
  </si>
  <si>
    <t>Thịt Quái Vật Nhỏ
Thịt Quái Vật Lớn
500 Yên
RÌu Xương Orc</t>
  </si>
  <si>
    <t>Orc Baixo</t>
  </si>
  <si>
    <t>Carne de Pequena Fera
Carne de Grande Fera
500yen
Machado de Osso de Orc</t>
  </si>
  <si>
    <t>Orc Rendah</t>
  </si>
  <si>
    <t>Daging Binatang Kecil
Daging Binatang Besar
500 yen
Kapak Tulang Orc</t>
  </si>
  <si>
    <t>怪鳥</t>
  </si>
  <si>
    <t>雞腿肉
怪鳥的羽毛</t>
  </si>
  <si>
    <t>39
12</t>
  </si>
  <si>
    <t>鳥足肉
怪鳥の羽</t>
  </si>
  <si>
    <t>Weird Bird</t>
  </si>
  <si>
    <t>Bird Leg Meat
Weird Bird Feather</t>
  </si>
  <si>
    <t>Странная птица</t>
  </si>
  <si>
    <t>Птичья ножка
Странное перо</t>
  </si>
  <si>
    <t>Seltsamer Vogel</t>
  </si>
  <si>
    <t>Vogelschenkelfleisch/Feder des seltsamen Vogels</t>
  </si>
  <si>
    <t>Chim Kỳ Lạ</t>
  </si>
  <si>
    <t>Đùi Chim
Lông Vũ Kì Lạ</t>
  </si>
  <si>
    <t>Pássaro Estranho</t>
  </si>
  <si>
    <t>Coxa de Ave
Pena Estranha (espada)</t>
  </si>
  <si>
    <t>Burung Aneh</t>
  </si>
  <si>
    <t>Daging Kaki Burung
Bulu Burung Aneh</t>
  </si>
  <si>
    <t>39 12</t>
  </si>
  <si>
    <t>走路菇</t>
  </si>
  <si>
    <t>走路菇
毒孢針</t>
  </si>
  <si>
    <t>25 (2)
30 (2)</t>
  </si>
  <si>
    <t>歩き茸</t>
  </si>
  <si>
    <t>歩きキノコ
毒胞の針</t>
  </si>
  <si>
    <t>Walking Mushroom</t>
  </si>
  <si>
    <t>Walking Mushroom
Toxic Spore Blade</t>
  </si>
  <si>
    <t>Ходячий гриб</t>
  </si>
  <si>
    <t>Ходячий гриб
Лезвие из токсичных спор</t>
  </si>
  <si>
    <t>Wandernder Pilz</t>
  </si>
  <si>
    <t>Laufender Pilz/Giftsporenklinge</t>
  </si>
  <si>
    <t>Nấm Di Động</t>
  </si>
  <si>
    <t>Nấm Biết ĐI
KIếm Bào Tử Độc</t>
  </si>
  <si>
    <t>Cogumelos Andantes
Lâmina de Esporos Tóxicos (espada)</t>
  </si>
  <si>
    <t>Jamur Berjalan</t>
  </si>
  <si>
    <t>Jamur Berjalan
Pisau Spora Beracun</t>
  </si>
  <si>
    <t>25 (2) 30 (2)</t>
  </si>
  <si>
    <t>杰克史萊姆</t>
  </si>
  <si>
    <t>史萊姆的黏液
杰克爆彈
炸彈魔之魂</t>
  </si>
  <si>
    <t>20 (2)
70 (2)
7</t>
  </si>
  <si>
    <t>スライムの粘液
ジャックボム
爆弾魔の魂</t>
  </si>
  <si>
    <t>Jack Slime</t>
  </si>
  <si>
    <t xml:space="preserve">Slime Mucus
Jack Bomb
Bomb Fiend's Soul
</t>
  </si>
  <si>
    <t>Джек-Слайм</t>
  </si>
  <si>
    <t>Слайм
Бомба Джека
Душа взрывного маньяка</t>
  </si>
  <si>
    <t>Jackschleim</t>
  </si>
  <si>
    <t>Jack Bombe/Schleimsekret/Seele des Bombenteufels</t>
  </si>
  <si>
    <t>Slime Jack</t>
  </si>
  <si>
    <t>Chầy Nhầy Slime
Jack Bomb
Linh Hồn Ma Hỏa</t>
  </si>
  <si>
    <t xml:space="preserve">Slime Jack </t>
  </si>
  <si>
    <t>Muco de Slime
Bomba Jack
Alma do Demônio das Bombas</t>
  </si>
  <si>
    <t>Lendir Lendir
Jack Bomb
Jiwa Iblis Bom</t>
  </si>
  <si>
    <t>女僕兔</t>
  </si>
  <si>
    <t>胡蘿蔔
500元
1000元
萌萌兔耳
女僕制服</t>
  </si>
  <si>
    <t>30 (2)
30
10
10
10</t>
  </si>
  <si>
    <t>メイドバニー</t>
  </si>
  <si>
    <t>ニンジン
500元
1000元
モエモエバニーイヤー
メイド服</t>
  </si>
  <si>
    <t>Carrot
500 yen
1000 yen
Moe Bunny Ears
Maid Uniform</t>
  </si>
  <si>
    <t>Кролик Горничная</t>
  </si>
  <si>
    <t>Морковь
500 йен
1000 йен
Милые кроличьи ушки
Форма горничной</t>
  </si>
  <si>
    <t>Dienstmädchen Kaninchen</t>
  </si>
  <si>
    <t>Süße Hasenohren/Dienstmädchen Uniform/Geld</t>
  </si>
  <si>
    <t>Thỏ Hầu Gái</t>
  </si>
  <si>
    <t>Cà Rốt
500 Yên
1000 Yên
Tai Thỏ Moe
Đồng Phục Hầu Gái</t>
  </si>
  <si>
    <t>Coelhinha Empregada</t>
  </si>
  <si>
    <t>Cenoura
500 yen
1.000 yen
Orelhas de Coelhinha Moe
Uniforme de Maid</t>
  </si>
  <si>
    <t>Pelayan Kelinci</t>
  </si>
  <si>
    <t>Wortel
500 yen
1000 yen
Telinga Kelinci Moe
Seragam Pelayan</t>
  </si>
  <si>
    <t>小紅怪</t>
  </si>
  <si>
    <t>來自地獄
受詛胎體</t>
  </si>
  <si>
    <t>20 (2)
20 (2)</t>
  </si>
  <si>
    <t>赤き幼獣</t>
  </si>
  <si>
    <t>地獄より
呪われた胎児</t>
  </si>
  <si>
    <t>Red Cub</t>
  </si>
  <si>
    <t>From Hell
Cursed Fetus</t>
  </si>
  <si>
    <t>Маленький Красный Монстр</t>
  </si>
  <si>
    <t>Из Ада
Проклятый зародыш</t>
  </si>
  <si>
    <t>Rotes junges Biest</t>
  </si>
  <si>
    <t>Aus der Hölle/ Verfluchter Fötus/Tarotkarten</t>
  </si>
  <si>
    <t>Gấu Đỏ</t>
  </si>
  <si>
    <t>Địa Ngục Khởi Nguyên
Bào Thai Bị Nguyền Rủa</t>
  </si>
  <si>
    <t>Filhote Vermelho</t>
  </si>
  <si>
    <t>Do Inferno (espada)
Feto Amaldiçoado</t>
  </si>
  <si>
    <t>Anak Singa Merah</t>
  </si>
  <si>
    <t>Janin Terkutuk dari Neraka</t>
  </si>
  <si>
    <t>惡魔貓</t>
  </si>
  <si>
    <t>隨機塔羅牌
隨機符文
盧恩符文R
盧恩符文E
魔力汲取手套
星月夜
招財貓</t>
  </si>
  <si>
    <t>2
2
5
5
3
25
13</t>
  </si>
  <si>
    <t>デビルネコ</t>
  </si>
  <si>
    <t xml:space="preserve">
ランダムなタロットカード
ランダムなルーン
ルーンR
ルーンE
魔力吸収の手袋
星月夜
招き猫
</t>
  </si>
  <si>
    <t>Demon Cat</t>
  </si>
  <si>
    <t>Random Tarot Cards
Random Runes
Mana Draining Gloves
Starlit Night
Maneki Neko</t>
  </si>
  <si>
    <t>Дьявольский Кот</t>
  </si>
  <si>
    <t>Случайные карты Таро
Случайные руны
Руна R
Руна E
Перчатки напитанные маной
Звёздная ночь
Кот удачи</t>
  </si>
  <si>
    <t>Dämonenkatze</t>
  </si>
  <si>
    <t>Sternenklare Nacht/Glückskatze/Tarotkarten</t>
  </si>
  <si>
    <t>Mèo Quỷ</t>
  </si>
  <si>
    <t>Bài Tarot ngẫu nhiên
Phù văn ngẫu nhiên
Găng Tay Hấp Thụ Mana
Đêm Sao Lấp Lánh
Mèo Thần Tài</t>
  </si>
  <si>
    <t>Gato demoníaco</t>
  </si>
  <si>
    <t>Carta de Tarô Aleatória
Runa Aleatória
Luvas Drenadoras de Mana
Noite Estrelada (cajado)
Neko da Sorte</t>
  </si>
  <si>
    <t>Kucing Iblis</t>
  </si>
  <si>
    <t>Kartu Tarot Acak
Rune Acak
Sarung Tangan Penguras Mana
Malam Berbintang
Maneki Neko</t>
  </si>
  <si>
    <t>怨靈</t>
  </si>
  <si>
    <t>隨機塔羅牌
隨機符文
魔力晶簇
墮落法師的手套
精神凝聚頭環</t>
  </si>
  <si>
    <t>3
3
22
7
1</t>
  </si>
  <si>
    <t xml:space="preserve">
ランダムなタロットカード
ランダムなルーン
魔力水晶クラスター
堕落魔術師の手袋
精神凝縮の髪飾り
</t>
  </si>
  <si>
    <t>Vengeful Spirit</t>
  </si>
  <si>
    <t>Random Tarot Cards
Random Runes
Mana Crystal Cluster
Fallen Mage's Gloves
Focus Circlet</t>
  </si>
  <si>
    <t>Мстительные духи</t>
  </si>
  <si>
    <t>Случайные карты Таро
Случайные руны
Кластер мана-кристаллов
Перчатки падшего мага
Повязка сосредоточения</t>
  </si>
  <si>
    <t>Geist des Grolls</t>
  </si>
  <si>
    <t>Handschuhe des gefallenen Magiers/Tarotkarten</t>
  </si>
  <si>
    <t>Linh Hồn Oán Giận</t>
  </si>
  <si>
    <t>Thẻ Tarot ngẫu nhiên
Phù văn ngẫu nhiên
Cụm Tinh Thạch Mana
Găng Tay Của Phù Thủy Sa Ngã
Vòng Định Tâm</t>
  </si>
  <si>
    <t>Espírito de resentimento</t>
  </si>
  <si>
    <t>Carta de Tarô Aleatória
Runa Aleatória
Aglomerado de Cristais de Mana
Luvas do Mago Caído
Tiara do Foco</t>
  </si>
  <si>
    <t>Semangat Dendam</t>
  </si>
  <si>
    <t>Kartu Tarot Acak
Rune Acak
Kluster Kristal Mana
Sarung Tangan Penyihir Jatuh
Lingkaran Fokus</t>
  </si>
  <si>
    <t>喪屍</t>
  </si>
  <si>
    <t>垃圾
毒蛇之擁
毅力頭巾
臭魚骨</t>
  </si>
  <si>
    <t>11
10 (2)
10 (2)
20 (2)</t>
  </si>
  <si>
    <t>ゴミ
蛇の抱擁
忍耐のヘッドバンド
臭い魚の骨</t>
  </si>
  <si>
    <t>Zombie</t>
  </si>
  <si>
    <t>Junk
Venomous Embrace
Determination Headband
Rotten Fishbone</t>
  </si>
  <si>
    <t>Зомби</t>
  </si>
  <si>
    <t>Хлам
Ядовитые объятия
Повязка решимости
Вонючая рыбья кость</t>
  </si>
  <si>
    <t>Zombies</t>
  </si>
  <si>
    <t>Abfall/Verfaulter Fischknochen/Giftige Umarmung</t>
  </si>
  <si>
    <t>Rác
Vòng Tay Độc Tử
Băng Đô Kiên Định
Xương Cá Thối</t>
  </si>
  <si>
    <t>Zumbi</t>
  </si>
  <si>
    <t>Sucata
Abraço Venenoso
Bandana da Determinação
Espinha de Peixe Podre (espada)</t>
  </si>
  <si>
    <t>Sampah
Pelukan Beracun
Ikat Kepala Tekad
Tulang Ikan Busuk</t>
  </si>
  <si>
    <t>墮落法師的斷手</t>
  </si>
  <si>
    <t>憤怒的拳頭
謝里斯的詛咒之手
紅髓玉吊墜 *</t>
  </si>
  <si>
    <t>31
31
*</t>
  </si>
  <si>
    <t>* 紅髓玉吊墜 是特殊掉落，需要擊殺10隻以上才有可能掉落。</t>
  </si>
  <si>
    <t>堕落した法師の切断された手</t>
  </si>
  <si>
    <t>Severed Hand of the Fallen Mage</t>
  </si>
  <si>
    <t>Fist of Fury
Xerise's Cursed Hand
Rubrum Pendant*</t>
  </si>
  <si>
    <t>*Rubrum Pendant is a special drop and will only start dropping after you've killed more than 10 Severed Hands</t>
  </si>
  <si>
    <t>Отрубленная рука падшего мага</t>
  </si>
  <si>
    <t>Кулаки ярости
Проклятая рука Ксериса
Кулон Рубрум*</t>
  </si>
  <si>
    <t>* Кулон Рубрум — это особый предмет, который выпадает после убийства более 10 монстров.</t>
  </si>
  <si>
    <t>Abgetrennte Hand des Gefallenen Magiers</t>
  </si>
  <si>
    <t>Lässt "Xerises verfluchte Hand" fallen.</t>
  </si>
  <si>
    <t>Bàn Tay Bị Cắt Đứt Của Phù Thủy Sa Ngã</t>
  </si>
  <si>
    <t>Nắm Đấm Cuồng Nộ
Bàn Tay Bị Nguyền Rủa Của Xerise
Mặt Dây Chuyền Rubrum</t>
  </si>
  <si>
    <t>*Mặt Dây Chuyển Rubrum là một vật phẩm rơi đặc biệt và chỉ rơi sau khi bạn đã giết nhiều hơn 10 Cánh Tay Bị Cắt Đứt</t>
  </si>
  <si>
    <t>Mão decepada do mago caído</t>
  </si>
  <si>
    <t>Punho da Fúria
Mão Amaldiçoada de Xerise
Pingente Rubrum*</t>
  </si>
  <si>
    <t>*Pingente Rubrum é um item especial e só começará a cair do monstro quando você tiver matado mais de 10 mãos decepadas.</t>
  </si>
  <si>
    <t>Tangan Terputus dari Penyihir yang Jatuh</t>
  </si>
  <si>
    <t>Tinju Amarah
Tangan Terkutuk Xerise
Liontin Rubrum*</t>
  </si>
  <si>
    <t>*Rubrum Pendant adalah item khusus yang hanya akan muncul setelah Anda membunuh lebih dari 10 Severed Hands.</t>
  </si>
  <si>
    <t>BOSS/特殊生物</t>
  </si>
  <si>
    <t>BOSS/Special Mobs</t>
  </si>
  <si>
    <t>Босс/Особое существо</t>
  </si>
  <si>
    <t>BOSS/Quái đặc biệt</t>
  </si>
  <si>
    <t>BOS / Monster Spesial</t>
  </si>
  <si>
    <t>狂亂的紅獸</t>
  </si>
  <si>
    <t>天上之石碎片
不幸的誕生
寄壞劍
血狩</t>
  </si>
  <si>
    <t>100
18 (2)
36 (2)
36 (2)</t>
  </si>
  <si>
    <t>遺跡BOSS 
弱點：毒</t>
  </si>
  <si>
    <t>狂乱の紅獣</t>
  </si>
  <si>
    <t>天上の石の欠片
不幸な誕生
寄懐剣
?</t>
  </si>
  <si>
    <t>遺跡深層BOSS
弱点：中毒</t>
  </si>
  <si>
    <t>Frenzied Crimson Beast</t>
  </si>
  <si>
    <t>Philosopher's Stone Fragment
Birth of Misfortune
Infested Blade
Blood Hunt</t>
  </si>
  <si>
    <t>Abyss BOSS
Weak to Poison</t>
  </si>
  <si>
    <t>기괴한 검/불행한 탄생/천상의 돌 조각</t>
  </si>
  <si>
    <t xml:space="preserve">
유적 BOSS
약점 : 독
</t>
  </si>
  <si>
    <t>Обезумевший Багровый Зверь</t>
  </si>
  <si>
    <t>Фрагмент Философского камня
Рождение несчастья
Зараженный клинок
Кровавая охота</t>
  </si>
  <si>
    <t>Босс Руин
Слабость: Яд</t>
  </si>
  <si>
    <t>Rasendes purpurrotes Biest</t>
  </si>
  <si>
    <t>Geburt des Unheils/Fragment des Steins der Weisen/Aus der Hölle</t>
  </si>
  <si>
    <t>Abgrund-BOSS
Schwach gegen Gift</t>
  </si>
  <si>
    <t>Cuồng Huyết Xích Liệt</t>
  </si>
  <si>
    <t>Mảnh Đá Hiền Triết
Khởi Nguyên Của Tai Ương
Kiếm Ô Uế
Huyết Liệt</t>
  </si>
  <si>
    <t>BOSS Vực Sâu
Yếu với Độc</t>
  </si>
  <si>
    <t>Besta Carmesin em Frenesi</t>
  </si>
  <si>
    <t>Fragmento da Pedra do Filósofo
Nascimento da Infortuna
Lâmina Infestada (espada)
Caçada de Sangue (arco)</t>
  </si>
  <si>
    <t>Chefe do Abismo
Fraco contra Envenenamento</t>
  </si>
  <si>
    <t>Binatang Merah Mengamuk</t>
  </si>
  <si>
    <t>Fragmen Batu Filsuf
Kelahiran Kemalangan
Pedang yang Terinfeksi
Perburuan Darah</t>
  </si>
  <si>
    <t>Bos Abyss Lemah terhadap Racun</t>
  </si>
  <si>
    <t>箱庭的白兔</t>
  </si>
  <si>
    <t>天上之石碎片
胡蘿蔔
女僕制服
萌萌兔耳
胡蘿蔔大劍
凍蘿蔔大劍
霉蘿蔔大劍</t>
  </si>
  <si>
    <t>100
50 (3)
7
7
40
25
25</t>
  </si>
  <si>
    <t>BOSS</t>
  </si>
  <si>
    <t>箱庭の白うさぎ</t>
  </si>
  <si>
    <t>White Rabbit Beyond Wonderland</t>
  </si>
  <si>
    <t>Philosopher's Stone Fragment
Carrot
Maid Uniform
Moe Bunny Ears
Carrot Greatsword
Frozen Carrot Greatsword
Moldy Carrot Greatsword</t>
  </si>
  <si>
    <t>Белый кролик из маленького сада</t>
  </si>
  <si>
    <t>Фрагмент Философского камня
Морковь
Униформа горничной
Милые кроличьи ушки
Морковный меч
Замороженный морковный меч
Плесневый морковный меч</t>
  </si>
  <si>
    <t>Босс</t>
  </si>
  <si>
    <t>Weiße Kaninchen des Miniaturgartens</t>
  </si>
  <si>
    <t>Riesenkarottenschwert/Karotte</t>
  </si>
  <si>
    <t xml:space="preserve">BOSS </t>
  </si>
  <si>
    <t>Thỏ Trắng Ngoài Xứ Sở Thần Tiên</t>
  </si>
  <si>
    <t xml:space="preserve">Mảnh Đá Hiền Triết
Cà Rốt
Đồng Phục Hầu Gái
Tai Thỏ Moe
Đại Kiếm Cà Rốt
Đại Kiểm Cà Rốt Đóng Băng
Đại Kiếm Cà Rốt Mốc
</t>
  </si>
  <si>
    <t>A Coelha Branca de Além do País das Maravilhas</t>
  </si>
  <si>
    <t>Fragmento da Pedra do Filósofo
Cenoura
Uniforme de Maid
Orelhas de Coelhinha Moe
Espadão de Cenoura
Espadão de Cenoura Congelado
Espadão de Cenoura Mofado</t>
  </si>
  <si>
    <t>Chefe</t>
  </si>
  <si>
    <t>Kelinci Putih di Balik Negeri Ajaib</t>
  </si>
  <si>
    <t>Fragmen Batu Filsuf
Wortel
Seragam Pelayan
Telinga Kelinci Moe
Pedang Besar Wortel
Pedang Besar Wortel Beku
Pedang Besar Wortel Berjamur</t>
  </si>
  <si>
    <t>BOS</t>
  </si>
  <si>
    <t>稻草人的心</t>
  </si>
  <si>
    <t>傷害測試</t>
  </si>
  <si>
    <t>カカシの心</t>
  </si>
  <si>
    <t>DPSチェックできる</t>
  </si>
  <si>
    <t>Scarecrow's Heart</t>
  </si>
  <si>
    <t>Test Dummy</t>
  </si>
  <si>
    <t>허수아비의 마음</t>
  </si>
  <si>
    <t>데미지 체크 가능</t>
  </si>
  <si>
    <t>Сердце Пугала</t>
  </si>
  <si>
    <t>Проверка урона оружия</t>
  </si>
  <si>
    <t>Vogelscheuchenherz</t>
  </si>
  <si>
    <t>Testpuppe</t>
  </si>
  <si>
    <t>Trái Tim Bù Nhìn</t>
  </si>
  <si>
    <t>Hình nộm thử nghiệm</t>
  </si>
  <si>
    <t>Coração do Espantalho</t>
  </si>
  <si>
    <t>Boneco de teste</t>
  </si>
  <si>
    <t>Jantung Orang-orangan Sawah</t>
  </si>
  <si>
    <t>Boneka Uji Coba</t>
  </si>
  <si>
    <t>ASABA</t>
  </si>
  <si>
    <t>ASAB的草莓</t>
  </si>
  <si>
    <t>淺羽Doro，會吃掉路邊的草莓</t>
  </si>
  <si>
    <t>ASABのいちご</t>
  </si>
  <si>
    <t>浅羽ドロは道端のイチゴを食べる</t>
  </si>
  <si>
    <t>Asaba's Strawberry</t>
  </si>
  <si>
    <t>Asaba Doro will occassionally eat strawberries around the sidewalks.</t>
  </si>
  <si>
    <t>Асаба</t>
  </si>
  <si>
    <t>Клубника Асабы</t>
  </si>
  <si>
    <t>Асаба будет есть клубнику, растущую вдоль дороги.</t>
  </si>
  <si>
    <t>ASABA Erdbeere</t>
  </si>
  <si>
    <t>Asaba Doro frisst gelegentlich Erdbeeren am Straßenrand.</t>
  </si>
  <si>
    <t>ASABA Cuồng Nộ</t>
  </si>
  <si>
    <t>Dâu Tây Của ASABA</t>
  </si>
  <si>
    <t>Asaba Doro sẽ thỉnh thoảng ăn dâu tây ở ven đường</t>
  </si>
  <si>
    <t>Morango da ASABA</t>
  </si>
  <si>
    <t>Asaba Doro irá ocasionalmente comer morango na calçada.</t>
  </si>
  <si>
    <t>Stroberi Asaba</t>
  </si>
  <si>
    <t>Asaba Doro terkadang memakan stroberi di sekitar trotoar.</t>
  </si>
  <si>
    <t>狂暴的ASABA</t>
  </si>
  <si>
    <t>ASAB的草莓
把草莓奪回來！! *</t>
  </si>
  <si>
    <t>100
*</t>
  </si>
  <si>
    <t>BOSS
* 把草莓奪回來！! 是特殊掉落，被瞬獄殺擊中一次增加10%掉落機率，十次必定掉落</t>
  </si>
  <si>
    <t>狂暴なASABA</t>
  </si>
  <si>
    <t>ASABAのイチゴ
いちごをとりもどせ!!*</t>
  </si>
  <si>
    <t>Raging ASABA</t>
  </si>
  <si>
    <t>Asaba's Strawberry
Ichigo Wo Torimodose!!*</t>
  </si>
  <si>
    <t>BOSS
*Ichigo Wo Torimodose!! is a special drop. Each time ASABA uses its special technique, the drop rate increases by 10%, up to a guaranteed 100%</t>
  </si>
  <si>
    <t>Берсерк Асаба</t>
  </si>
  <si>
    <t>Клубника Асабы
Верни мне мою клубничку!</t>
  </si>
  <si>
    <t>Dâu Tây Của ASABA
Giành Lại Tình Yêu!!</t>
  </si>
  <si>
    <t>ASABA Furiosa</t>
  </si>
  <si>
    <t>Morango de ASABA
Recupere o Ichigo!</t>
  </si>
  <si>
    <t>Chefe
*Recupere o Ichigo!! é um item especial. Cada vez que ASABA usa sua técnica especial, a chance dele cair aumenta em 10%, até o limite de 100% tornando-o garantido.</t>
  </si>
  <si>
    <t>ASABA yang mengamuk</t>
  </si>
  <si>
    <t>Stroberi Asaba
Ichigo Wo Torimodose!!*</t>
  </si>
  <si>
    <t>100
*</t>
  </si>
  <si>
    <t>BOS
*Ichigo Wo Torimodose!! adalah item spesial yang bisa didapatkan. Setiap kali ASABA menggunakan teknik spesialnya, tingkat perolehannya meningkat sebesar 10%, hingga dijamin 100%.</t>
  </si>
  <si>
    <t>淺羽</t>
  </si>
  <si>
    <t>貓爪手套</t>
  </si>
  <si>
    <t>由 塔羅牌-戰車 召喚
貓娘商店車
弱點：雷</t>
  </si>
  <si>
    <t>ネコグローブ</t>
  </si>
  <si>
    <t>Asaba</t>
  </si>
  <si>
    <t>Neko Punch</t>
  </si>
  <si>
    <t xml:space="preserve"> Summoned by Chariot tarot card
Cat girl shop owner
Weak to Lightning</t>
  </si>
  <si>
    <t>고양이 장갑</t>
  </si>
  <si>
    <t>고양이 소녀의 노점
 약점 : 뇌속성</t>
  </si>
  <si>
    <t>Кошко-девочка</t>
  </si>
  <si>
    <t>Одолжённые лапки Неко</t>
  </si>
  <si>
    <t>Призвана картой Таро - Колесница
Торговый Фургон с Кошко-девочками
Слабость: Электричество</t>
  </si>
  <si>
    <t>Katzenhandschuhe</t>
  </si>
  <si>
    <t>Katzenmädchen im Wagen
Schwach gegen Blitz</t>
  </si>
  <si>
    <t>Nấm Đấm Neko</t>
  </si>
  <si>
    <t>Chủ cửa hàng cô gái mèo 
Xuất hiện bởi Chariot
Yếu với Sét</t>
  </si>
  <si>
    <t>Soco de Neko</t>
  </si>
  <si>
    <r>
      <rPr>
        <rFont val="Microsoft JhengHei"/>
        <color theme="1"/>
      </rPr>
      <t xml:space="preserve">A catgirl(garota gato) dona da loja invocada pelo </t>
    </r>
    <r>
      <rPr>
        <rFont val="Microsoft JhengHei"/>
        <i/>
        <color theme="1"/>
      </rPr>
      <t>Chariot</t>
    </r>
    <r>
      <rPr>
        <rFont val="Microsoft JhengHei"/>
        <color theme="1"/>
      </rPr>
      <t xml:space="preserve">
é fraca a eletricidade</t>
    </r>
  </si>
  <si>
    <t>Dipanggil oleh kartu tarot Kereta Perang
pemilik toko gadis kucing
Lemah terhadap Petir</t>
  </si>
  <si>
    <t>應該已經滅絕的河之主!?</t>
  </si>
  <si>
    <t>◉▽◉(粉色)
王權之令</t>
  </si>
  <si>
    <t>100
0~?</t>
  </si>
  <si>
    <t>BOSS
弱點：雷
若被擊敗時周圍有水，它會逃跑
掉落物受控制與地形狀態影響</t>
  </si>
  <si>
    <t>川の領主 - 絶滅してなかったか！？</t>
  </si>
  <si>
    <t>◉▽◉(ピンク)/王権征令</t>
  </si>
  <si>
    <t>The River Lord - Wasn't it extinct!?</t>
  </si>
  <si>
    <t>◉▽◉ (Pink)
Royal Decree</t>
  </si>
  <si>
    <t>BOSS
Weak to Lightning
Drop rate can be affected by weather and other conditions</t>
  </si>
  <si>
    <t>Речной Владыка</t>
  </si>
  <si>
    <t>◉▽◉ (Розовый)
Королевский Указ</t>
  </si>
  <si>
    <t>Слабость: Электричество
Если рядом с ним в момент победы окажется вода, он сбежит.
Редкость предметов при выпадении может зависеть от погодных и других условий.</t>
  </si>
  <si>
    <t>Der eig. längst ausgestorbene Herr des Flusses!?</t>
  </si>
  <si>
    <t>◉▽◉(pink) / Herrschaftsdekret</t>
  </si>
  <si>
    <t>BOSS
Schwäche: Blitz</t>
  </si>
  <si>
    <t>Chúa tể Sông - Không phải nó đã tuyệt chủng rồi sao!?</t>
  </si>
  <si>
    <t>◉▽◉ (Hồng)
Sắc Lệnh Hoàng Gia</t>
  </si>
  <si>
    <t>BOSS
Yếu với Sét</t>
  </si>
  <si>
    <t>Lord do Rio - Ele não estava extinto!?</t>
  </si>
  <si>
    <t xml:space="preserve">◉▽◉ (Rosa)
Decreto Real </t>
  </si>
  <si>
    <t>Chefe
Fraco contra eletricidade
Caso ele esteja perto da água quando for derrotado, ele fugirá.
Taxa de queda de itens pode ser afetada pelo tempo e outras condições</t>
  </si>
  <si>
    <t>Penguasa Sungai - Bukankah ia sudah punah!?</t>
  </si>
  <si>
    <t>◉▽◉ (Merah Muda) Dekrit Kerajaan</t>
  </si>
  <si>
    <t>100 0~?</t>
  </si>
  <si>
    <t>BOS
Lemah terhadap Petir
Tingkat jatuhnya item dapat dipengaruhi oleh cuaca dan kondisi lainnya</t>
  </si>
  <si>
    <t>白色品質物品
藍色品質物品
紫色品質物品
粉色品質物品
金色品質物品</t>
  </si>
  <si>
    <t>43
43
31 (5)
62 (5)
8 (5)</t>
  </si>
  <si>
    <t>深淵氣息濃度達到一定值時，於地牢內刷新
於"塔羅牌-塔"進行召喚</t>
  </si>
  <si>
    <t>封印の柱</t>
  </si>
  <si>
    <t>白色品質アイテム
青色品質アイテム
紫色品質アイテム
ピンク品質アイテム
金色品質アイテム</t>
  </si>
  <si>
    <t>43
43
31 (5)
62 (5)
8 (5)</t>
  </si>
  <si>
    <t>深淵の気配の濃度が一定値に達すると、ダンジョン内でランダムに出現する
「ザ・タワー」でも召喚することができる</t>
  </si>
  <si>
    <t>Sealed Pillar</t>
  </si>
  <si>
    <t>White Quality Items
Blue Quality Items
Purple Quality Items
Pink Quality Items
Gold Quality Items</t>
  </si>
  <si>
    <t xml:space="preserve">43
43
31 (5)
62 (5)
8 (5)
</t>
  </si>
  <si>
    <t>When the "Abyssal Aura" concentration reaches a certain value, the Sealed Pillars will spawn. Summoning them can also be done via Tarot Card - Tower in the item menu.</t>
  </si>
  <si>
    <t>白色品质物品
蓝色品质物品
紫色品质物品
粉色品质物品
金色品质物品</t>
  </si>
  <si>
    <t>深渊气息浓度达到一定值时，在地牢内刷新
或者用"塔罗牌-塔"进行召唤</t>
  </si>
  <si>
    <t>Запечатанный столб</t>
  </si>
  <si>
    <t>Предмет белого / синего / фиолетового / розового / золотого качества</t>
  </si>
  <si>
    <t>Когда концентрация "Ауры Бездны" достигнет определенного значения, появятся Запечатанные столбы. Их также можно вызвать с помощью карты Таро "Башня" в меню предметов.</t>
  </si>
  <si>
    <t>Tháp Phong Ấn</t>
  </si>
  <si>
    <t>Vật phẩm chất lượng trắng
Vật phẩm chất lượng xanh
Vật phẩm chất lượng tím
Vật phẩm chất lượng hồng
Vật phẩm chất lượng vàng</t>
  </si>
  <si>
    <t>Khi "Hào Quang Vực Thẳm" đạt đến một số lượng nhất định, Tháp Phong Ấn sẽ xuất hiện. Cũng có thể triệu hồi nó bằng Bài Tarot - Tòa Tháp ở mục vật phẩm</t>
  </si>
  <si>
    <t>Equipamento de Qualidade Branco
Equipamento de Qualidade Azul
Equipamento de Qualidade Roxa
Equipamento de Qualidade Rosa
Equipamento de Qualidade Dourada</t>
  </si>
  <si>
    <t>Quando a concentração da Aura do Abismo atingir um certo valor, ela será recarregada na masmorra.
Invoque-a usando "Cartas de Tarô - Torre"</t>
  </si>
  <si>
    <t>淫奔的惡魔
(真名：阿薩謝爾)</t>
  </si>
  <si>
    <t xml:space="preserve">儀式的御柱
惡魔眼球
粉色品質物品
金色品質物品
</t>
  </si>
  <si>
    <t>24
48
16
1.6</t>
  </si>
  <si>
    <t>於"封印之柱"中進行召喚</t>
  </si>
  <si>
    <t xml:space="preserve">
淫乱な悪魔
（真名：アザゼル）
</t>
  </si>
  <si>
    <t xml:space="preserve">
儀式の御柱
悪魔の眼球
ピンク品質アイテム
金色品質アイテム</t>
  </si>
  <si>
    <t>「封印の柱」で召喚することができる</t>
  </si>
  <si>
    <t>Lewd Demon
(Real name: Azazel)</t>
  </si>
  <si>
    <t>Pillar of Ritual
Demon Eyeball
Pink Quality Items
Gold Quality Items</t>
  </si>
  <si>
    <t xml:space="preserve">24
48
16
1.6
</t>
  </si>
  <si>
    <t>Appears inside the sealed pillar</t>
  </si>
  <si>
    <t>Похотливый Демон
(Настоящее имя: Азазель)</t>
  </si>
  <si>
    <t>Ритуальный столб
Дьявольский глаз
Предмет розового качества
Предмет золотого качества</t>
  </si>
  <si>
    <t>Призыв в "Столбе печати"</t>
  </si>
  <si>
    <t>Laufender Dämon (Wahrer Name: Asasel)</t>
  </si>
  <si>
    <t>Ritualsäule
Dämonenauge</t>
  </si>
  <si>
    <t>Im "Säule der Versiegelung“ beschwören</t>
  </si>
  <si>
    <t>Quỷ Dục Vọng (Tên thật: Azazel)</t>
  </si>
  <si>
    <t xml:space="preserve">Cột Lễ Vật
Nhãn Cầu Quỷ
Vật phẩm chất lượng hồng
Vật phẩm chất lượng vàng
</t>
  </si>
  <si>
    <t>Triệu hồi từ "Trụ Phong Ấn"</t>
  </si>
  <si>
    <t>O demônio lascivo (Nome verdadeiro: Azazel)</t>
  </si>
  <si>
    <t>Pilar do Ritual
Olho Demoníaco
Equipamento de Qualidade Rosa
Equipamento de Qualidade Dourada</t>
  </si>
  <si>
    <t>24
48
16
1,6</t>
  </si>
  <si>
    <t>Invocação do "Pilar do Selo"</t>
  </si>
  <si>
    <t>死之惡魔
(真名：未知)</t>
  </si>
  <si>
    <t>於"塔羅牌-死神"進行召喚
無法擊殺此單位</t>
  </si>
  <si>
    <t>死の悪魔
(真名：不明)</t>
  </si>
  <si>
    <t xml:space="preserve">
『ザ・タワー』のタロットカードで召喚する
この悪魔は撃破できません
</t>
  </si>
  <si>
    <t>Death Demon
(Real name: Unknown)</t>
  </si>
  <si>
    <t>This is the demon that appears when you use "Death" tarot card. It cannot be killed.</t>
  </si>
  <si>
    <t>Демон Смерти
(Настоящее имя: неизвестно)</t>
  </si>
  <si>
    <t>Призывается картой Таро "Смерть".
Невозможно убить.</t>
  </si>
  <si>
    <t>Todesdämon (Wahrer Name: Unbekannt)</t>
  </si>
  <si>
    <t>Dies ist der Dämon, der erscheint, wenn du die Tarotkarte "Tod" benutzt. Er kann nicht getötet werden.</t>
  </si>
  <si>
    <t>Ác quỷ Tử thần
(Tên thật: Không rõ)</t>
  </si>
  <si>
    <t>Triệu hồi bằng lá bài Tarot "Death - Tử Thần" không thể tiêu diệt quái này.</t>
  </si>
  <si>
    <t>O Demônio da Morte
(Nome verdadeiro: Desconhecido)</t>
  </si>
  <si>
    <t>Invocar através de "Tarô - Morte" não pode matar esta unidade.</t>
  </si>
  <si>
    <t>場景物件</t>
  </si>
  <si>
    <t>Environment Objects</t>
  </si>
  <si>
    <t>Объекты сцены</t>
  </si>
  <si>
    <t>Vật phẩm làm cảnh</t>
  </si>
  <si>
    <t>Objek Sekitar</t>
  </si>
  <si>
    <t>堵路巨石</t>
  </si>
  <si>
    <t>Huge Boulder on the Road</t>
  </si>
  <si>
    <t>Завал</t>
  </si>
  <si>
    <t>Tảng Đá Lớn Bên Đường</t>
  </si>
  <si>
    <t>Pedra Enorme Bloqueando a Estrada</t>
  </si>
  <si>
    <t>Batu Besar di Jalan</t>
  </si>
  <si>
    <t>石中劍</t>
  </si>
  <si>
    <t>騎士之劍</t>
  </si>
  <si>
    <t>突き立てられた剣</t>
  </si>
  <si>
    <t>Sword in the Stone</t>
  </si>
  <si>
    <t>Knight's Sword</t>
  </si>
  <si>
    <t>땅속에 박힌 검</t>
  </si>
  <si>
    <t>기사의 검</t>
  </si>
  <si>
    <t>Меч в камне</t>
  </si>
  <si>
    <t>Рыцарский меч</t>
  </si>
  <si>
    <t>Schwert im Stein</t>
  </si>
  <si>
    <t>Ritterschwert</t>
  </si>
  <si>
    <t>Zerstöre um Loot zu erhalten</t>
  </si>
  <si>
    <t>Kiếm Trong Đá</t>
  </si>
  <si>
    <t>Kiếm Hiệp Sĩ</t>
  </si>
  <si>
    <t>Espada na Pedra</t>
  </si>
  <si>
    <t>Espada de Cavaleiro</t>
  </si>
  <si>
    <t>Pedang di Batu</t>
  </si>
  <si>
    <t>Pedang Ksatria</t>
  </si>
  <si>
    <t>很大的蛋</t>
  </si>
  <si>
    <t>很大的蛋
小紅怪*</t>
  </si>
  <si>
    <t>-
*</t>
  </si>
  <si>
    <t>於遺跡底層撿取(不可以打破)
*撿取/打破有50%機率出現小紅怪</t>
  </si>
  <si>
    <t>A Large Egg</t>
  </si>
  <si>
    <t>A Large Egg
Red Cub*</t>
  </si>
  <si>
    <t>Must be picked up in the third level of the ruins to get eggs
*Red Cub monster potentially comes out when broken/picked up</t>
  </si>
  <si>
    <t>커다란 알</t>
  </si>
  <si>
    <t>유적의 3층에서 주울 수 있습니다.</t>
  </si>
  <si>
    <t>Большое яйцо</t>
  </si>
  <si>
    <t>Большое яйцо
Маленький Красный Монстр*</t>
  </si>
  <si>
    <t>Подберите его внизу руин (не разбивайте). Есть 50% вероятность, что, подняв/разбив его, появится Маленький Красный монстр.</t>
  </si>
  <si>
    <t>Sehr großes Ei</t>
  </si>
  <si>
    <t>Ein großes Ei</t>
  </si>
  <si>
    <t>Kann im untergrund aufgesammelt werden, indem man in die Eier reinläuft</t>
  </si>
  <si>
    <t>Quả Trứng Lớn</t>
  </si>
  <si>
    <t>Quả Trứng Lớn
Gấu Đỏ</t>
  </si>
  <si>
    <t>Phải được nhặt lên ở tầng thứ ba của tàn tích để có quả trứng
*Quái Gấu Đỏ có khả năng xuất hiện khi bị phá hủy/nhặt lên</t>
  </si>
  <si>
    <t>Um Ovo Grande</t>
  </si>
  <si>
    <t>Um Ovo Grande
Filhote Vermelho*</t>
  </si>
  <si>
    <t>Deve ser pego no terceiro nível da ruína(Não destruido)
*Existe uma chance de 50% de surgir um Filhote Vermelho quando for pego ou quebrado.</t>
  </si>
  <si>
    <t>Telur Besar</t>
  </si>
  <si>
    <t>Anak Beruang Merah Bertelur Besar*</t>
  </si>
  <si>
    <t>-*</t>
  </si>
  <si>
    <t>Harus diambil di tingkat ketiga reruntuhan untuk mendapatkan telur
*Monster Anak Beruang Merah berpotensi muncul saat dihancurkan/diambil</t>
  </si>
  <si>
    <t>遺跡菇類</t>
  </si>
  <si>
    <t>香菇
平菇
蟹味菇
月夜茸
紫丁香蘑</t>
  </si>
  <si>
    <t>26
26
26
10
10</t>
  </si>
  <si>
    <t>於遺跡打地面上的蘑菇</t>
  </si>
  <si>
    <t>遺跡に生えたキノコ</t>
  </si>
  <si>
    <t>椎茸
ヒラタケ
カニタケ
月茸
ライラックタケ</t>
  </si>
  <si>
    <t>遺跡の地面にあるキノコを攻撃する</t>
  </si>
  <si>
    <t>Abyss Mushrooms</t>
  </si>
  <si>
    <t>Shiitake
Oyster Mushroom
Beech Mushroom
Moonlight Mushroom
Lilac Mushroom</t>
  </si>
  <si>
    <t>Hit the mushrooms on the ground in the ruins</t>
  </si>
  <si>
    <t>유적에 자라난 버섯</t>
  </si>
  <si>
    <t>표고버섯/느타리버섯/시메지버섯/달빛버섯</t>
  </si>
  <si>
    <t>유적의 지면에 있는 버섯을 공격하면 얻을 수 있습니다.</t>
  </si>
  <si>
    <t>Грибы</t>
  </si>
  <si>
    <t>Грибы шиитаке, вешенки, крабовые грибы, лунные грибы и сиреневые грибы</t>
  </si>
  <si>
    <t>Грибы на земле у руин.</t>
  </si>
  <si>
    <t>Pilz des Abgrunds</t>
  </si>
  <si>
    <t>Shiitake/Buchenpilz/Fliederpilz/Austernpilz/Mondlichtpilz</t>
  </si>
  <si>
    <t>Im Abgrund - draufschlagen</t>
  </si>
  <si>
    <t>Nấm Vực Sâu</t>
  </si>
  <si>
    <t>Nấm Hương
Nấm Sò
Nấm Ngọc Châm
Nấm Phát Sáng
Nấm Lilac</t>
  </si>
  <si>
    <t>Tấn công những ngọn nấm trên mặt đất trong tàn tích</t>
  </si>
  <si>
    <t>Cogumelo do Abismo</t>
  </si>
  <si>
    <t>Shiitake
Cogumelo-ostra
Shimeji (faia)
Cogumelo da Luz da Lua
Cogumelo-lilás</t>
  </si>
  <si>
    <t>Acerte os cogumelos no chão das ruínas</t>
  </si>
  <si>
    <t>Jamur Jurang</t>
  </si>
  <si>
    <t>Jamur Shiitake
Jamur Tiram
Jamur Beech
Jamur Cahaya Bulan
Jamur Lilac</t>
  </si>
  <si>
    <t>Pukul jamur-jamur yang ada di tanah di reruntuhan.</t>
  </si>
  <si>
    <t>紅花</t>
  </si>
  <si>
    <t>火鳥的羽毛
500元
1000元</t>
  </si>
  <si>
    <t>10
6
3</t>
  </si>
  <si>
    <t>於遺跡打地面上的紅花</t>
  </si>
  <si>
    <t>赤い花</t>
  </si>
  <si>
    <t>火の鳥の羽根
500円
1000円</t>
  </si>
  <si>
    <t>遺跡の地面に咲いてる赤い花からドロップする</t>
  </si>
  <si>
    <t>Safflower</t>
  </si>
  <si>
    <t>Feather of Firebird
500 yen
1000 yen</t>
  </si>
  <si>
    <t>Hit the red flowers on the ground in the ruins</t>
  </si>
  <si>
    <t>붉은 꽃</t>
  </si>
  <si>
    <t>불새의 깃털</t>
  </si>
  <si>
    <t>유적의 지면에 피어있는 붉은 꽃에서 얻을 수 있습니다.</t>
  </si>
  <si>
    <t>Сафлор</t>
  </si>
  <si>
    <t>Перо Феникса
500 йен
1000 йен</t>
  </si>
  <si>
    <t>Красные цветы на земле у руин.</t>
  </si>
  <si>
    <t>Färberdistel</t>
  </si>
  <si>
    <t>Feder des Feuervogels</t>
  </si>
  <si>
    <t>Rote Blumen im Abgrund - draufschlagen</t>
  </si>
  <si>
    <t>Hoa Rum</t>
  </si>
  <si>
    <t>Lông Vũ Hỏa Điểu
500 Yên
1000 Yên</t>
  </si>
  <si>
    <t>Tấn công những bông hoa đỏ trên mặt đất trong tàn tích</t>
  </si>
  <si>
    <t>Pena da Ave de Fogo
500 yen
1.000 yen</t>
  </si>
  <si>
    <t>Acerte as flores vermelhas no chão das ruínas</t>
  </si>
  <si>
    <t>Bunga safflower</t>
  </si>
  <si>
    <t>Bulu Burung Api
500 yen
1000 yen</t>
  </si>
  <si>
    <t>Pukul bunga-bunga merah yang berserakan di tanah di reruntuhan.</t>
  </si>
  <si>
    <t>墓碑/石板</t>
  </si>
  <si>
    <t>銀坷拉
杰克爆彈
隨機塔羅牌(「節制」除外)
隨機符文
1000元
白色品質物品
藍色品質物品
喪屍</t>
  </si>
  <si>
    <t>6 (2)
6 (2)
2 (2)
2 (2)
1
2 (2)
2 (2)
*</t>
  </si>
  <si>
    <t>*打破有30%機率出現喪屍</t>
  </si>
  <si>
    <t>墓石/石板</t>
  </si>
  <si>
    <t xml:space="preserve">
銀の土塊
ジャック爆弾
ランダムタロットカード
ランダムルーン
1000円
白品質装備
青品質装備
</t>
  </si>
  <si>
    <t>6 (2)
6 (2)
2 (2)
2 (2)
1
2 (2)
2 (2)</t>
  </si>
  <si>
    <t>Tombstone/Slabs</t>
  </si>
  <si>
    <t>Ginkela
Jack Bomb
Random Tarot Cards (excluding Temperance)
Random Runes
1000 yen
White Quality Equipment
Blue Quality Equipment</t>
  </si>
  <si>
    <t>银坷拉
杰克爆弹
随机塔罗牌
随机符文
1000元
白色品质物品
蓝色品质物品
丧尸</t>
  </si>
  <si>
    <t>Надгробный камень/каменная плита</t>
  </si>
  <si>
    <t>Гинкела
Бомба Джека
Случайные карты Таро (кроме «Умеренности»)
Случайные руны
1000 йен
Снаряжение белого качества
Снаряжение синего качества</t>
  </si>
  <si>
    <t>Grabstein/Steintafel</t>
  </si>
  <si>
    <t>Silber-Kela
Jack-Bombe
Zufällige Tarotkarte
Zufällige Rune
1000 Yuan
Ausrüstung weißer Qualität
Ausrüstung blauer Qualität</t>
  </si>
  <si>
    <t>Bia Mộ/Phiến Đá</t>
  </si>
  <si>
    <t>Ginkela
Jack Bomb
Thẻ Tarot ngẫu nhiên (trừ Temperance)
Phù văn ngẫu nhiên
1000 Yên
Trang bị chất lượng trắng
Trang bị chất lượng xanh</t>
  </si>
  <si>
    <t>Lápide/Placa</t>
  </si>
  <si>
    <t>Ginkela
Bomba Jack
Carta de Tarô Aleatória (menos "A Temperança")
Runa aleatória
1.000 yen
Equipamento de Qualidade Branca
Equipamento de Qualidade Azul</t>
  </si>
  <si>
    <t>Batu Nisan/Lempengan</t>
  </si>
  <si>
    <t>Ginkela
Bom Jack
Kartu Tarot Acak (tidak termasuk Temperance)
Rune Acak
1000 yen
Peralatan Kualitas Putih
Peralatan Kualitas Biru</t>
  </si>
  <si>
    <t>遺跡陶瓶</t>
  </si>
  <si>
    <t>銀坷拉
杰克爆彈
隨機塔羅牌(「節制」除外)
隨機符文
1000元
白色品質物品
藍色品質物品</t>
  </si>
  <si>
    <t>遺跡の陶器の壺</t>
  </si>
  <si>
    <t>Abyss Pots</t>
  </si>
  <si>
    <t>遗迹陶瓶</t>
  </si>
  <si>
    <t>银坷拉
杰克爆弹
随机塔罗牌
随机符文
1000元
白色品质物品
蓝色品质物品</t>
  </si>
  <si>
    <t>Глиняная ваза из руин</t>
  </si>
  <si>
    <t>Ruinen-Keramikgefäß</t>
  </si>
  <si>
    <t>Bình Vực Sâu</t>
  </si>
  <si>
    <t>Pot Jurang</t>
  </si>
  <si>
    <t>木桶</t>
  </si>
  <si>
    <t>Wooden Barrels</t>
  </si>
  <si>
    <t>Деревянная бочка</t>
  </si>
  <si>
    <t>Holzfass</t>
  </si>
  <si>
    <t>Thùng Gỗ</t>
  </si>
  <si>
    <t>Barril de Madeira</t>
  </si>
  <si>
    <t>Tong Kayu</t>
  </si>
  <si>
    <t>破碎的蛋</t>
  </si>
  <si>
    <t>割れた卵</t>
  </si>
  <si>
    <t>Cracked Egg</t>
  </si>
  <si>
    <t>Разбитое яйцо</t>
  </si>
  <si>
    <t>Zerbrochenes Ei</t>
  </si>
  <si>
    <t>Quả Trứng Vỡ</t>
  </si>
  <si>
    <t>Ovo Quebrado</t>
  </si>
  <si>
    <t>Telur Retak</t>
  </si>
  <si>
    <t>礦石</t>
  </si>
  <si>
    <t>藍輝石
火菱石
魔力小凝膠
隨機符文
魔力晶簇
深邃魔力晶簇</t>
  </si>
  <si>
    <t>21 (2)
7 (2)
21 (2)
4 (2)
35 (2)
7 (2)</t>
  </si>
  <si>
    <t xml:space="preserve">
青輝石
赤菱石
魔力の小凝縮ジェル
ランダムなルーン
魔晶クラスター
深淵魔晶クラスター
</t>
  </si>
  <si>
    <t>Ores</t>
  </si>
  <si>
    <t>Blue Radiant Stone
Red Rhomboid Stone
Small Mana Gel
Random Rune
Mana Crystal Cluster
Abyssal Mana Cluster</t>
  </si>
  <si>
    <t>Руда</t>
  </si>
  <si>
    <t>Синий сапфир
Красный сапфир
Мана-гель
Случайная руна
Кластер мана-кристаллов
Кластер маны Бездны</t>
  </si>
  <si>
    <t>Erze</t>
  </si>
  <si>
    <t>Apfelkopfbedeckung/Blau strahlender Stein/Kleines Managel/Abgründiges Manabündel</t>
  </si>
  <si>
    <t>Draufhauen  Draufhauen Draufhauen</t>
  </si>
  <si>
    <t>Mỏ</t>
  </si>
  <si>
    <t>Lam Thạch Phát Sáng
Đá Hình Thoi Đỏ
Tinh Thạc Mana Nhỏ
Phù văn ngẫu nhiên
Cụm Tinh Thạch Mana
Cụm Mana Vực Thẳm</t>
  </si>
  <si>
    <t>Minérios</t>
  </si>
  <si>
    <t>Pedra Radiante Azul
Pedra romboidal Vermelha
Gel de Mana Pequena
Runa aleatória
Aglomerado de Cristais de Mana
Aglomerado Abissal de Mana</t>
  </si>
  <si>
    <t>Bijih</t>
  </si>
  <si>
    <t>Batu Biru Bercahaya
Batu Belah Ketupat Merah
Gel Mana Kecil
Rune Acak
Kluster Kristal Mana
Kluster Mana Jurang</t>
  </si>
  <si>
    <t>果樹</t>
  </si>
  <si>
    <t>芳草心
硬木棒
硬木劍
大木槌
寄生刃
柳葉長劍
古樹殘骸</t>
  </si>
  <si>
    <t>20 (2)
22 (2)
22 (2)
11
2 (2)
2 (2)
2 (2)</t>
  </si>
  <si>
    <t xml:space="preserve">
芳草心
硬木の棒
堅木の剣
大木槌
寄生剣
柳葉の剣
古木の残骸
</t>
  </si>
  <si>
    <t>Fruit Trees</t>
  </si>
  <si>
    <t>Fragrant Grass Ring
Hardwood Stick
Hardwood Sword
Heavy Mallet
Parasitic Blade
Willow Leaf
Ancient Tree Remnants</t>
  </si>
  <si>
    <t>Фруктовые деревья</t>
  </si>
  <si>
    <t>Кольцо из душистой травы
Прочная палка
Деревянный меч
Большой молот
Паразитический клинок
Ивовый меч
Остатки древнего дерева</t>
  </si>
  <si>
    <t>Apfelbaum</t>
  </si>
  <si>
    <t>Apfel/Hartholzstab/Hartholzschwert/Weidenblatt/Uralter Baumrest</t>
  </si>
  <si>
    <t>Zerstöre den Baum oder triff die Apfel im richtigen Winkel</t>
  </si>
  <si>
    <t>Cây Táo</t>
  </si>
  <si>
    <t>Nhẫn Cỏ Thảo Hương
Gậy Gỗ 
Kiếm Gỗ 
Trọng Búa
Kiếm Ký Sinh
Đại Kiếm Lá Liễu
Nhánh Cây Cổ Đại</t>
  </si>
  <si>
    <t>Árvores frutíferas</t>
  </si>
  <si>
    <t>Anel da Relva Fragrante
Bastão de Madeira de Lei
Espada de Madeira de Lei
Malho Pesado
Lâmina Parasítica
Espadão Folha-de-Salgueiro
Remanescente de Árvore Ancestral</t>
  </si>
  <si>
    <t>Pohon Buah</t>
  </si>
  <si>
    <t>Cincin Rumput Wangi
Tongkat Kayu Keras
Pedang Kayu Keras
Palu Berat
Pisau Parasit
Daun Willow
Sisa-sisa Pohon Kuno</t>
  </si>
  <si>
    <t>蘋果</t>
  </si>
  <si>
    <t>リンゴ</t>
  </si>
  <si>
    <t>Apple</t>
  </si>
  <si>
    <t>Яблоко</t>
  </si>
  <si>
    <t>Apfel</t>
  </si>
  <si>
    <t>Táo</t>
  </si>
  <si>
    <t>Maçã</t>
  </si>
  <si>
    <t>Apel</t>
  </si>
  <si>
    <t>草莓苗</t>
  </si>
  <si>
    <t>草莓</t>
  </si>
  <si>
    <t>100 (3)</t>
  </si>
  <si>
    <t>有40%機率掉落2個，8%機率掉落3個</t>
  </si>
  <si>
    <t>Strawberry Seeds</t>
  </si>
  <si>
    <t>Strawberry</t>
  </si>
  <si>
    <t>딸기 모종</t>
  </si>
  <si>
    <t>Рассада клубники</t>
  </si>
  <si>
    <t>Клубника</t>
  </si>
  <si>
    <t>Вероятность выпадения 2 предметов составляет 40%, а вероятность выпадения 3 предметов — 8%.</t>
  </si>
  <si>
    <t>Erdbeerpflanze</t>
  </si>
  <si>
    <t>Erdbeeren</t>
  </si>
  <si>
    <t>Loot beim hinübergehen</t>
  </si>
  <si>
    <t>Hạt Dâu Tây</t>
  </si>
  <si>
    <t>Dâu Tây</t>
  </si>
  <si>
    <t>Có 40% rơi ra 2 vật phẩm, có 8% rơi ra 3 vật phẩm</t>
  </si>
  <si>
    <t>Morangueiro</t>
  </si>
  <si>
    <t>Morango</t>
  </si>
  <si>
    <t>Existe uma chance de 40% de cairem 2 itens, e 8% de cairem 3 itens</t>
  </si>
  <si>
    <t>Biji Stroberi</t>
  </si>
  <si>
    <t>Stroberi</t>
  </si>
  <si>
    <t>Ada peluang 40% untuk mendapatkan 2 item, dan peluang 8% untuk mendapatkan 3 item.</t>
  </si>
  <si>
    <t>土豆苗</t>
  </si>
  <si>
    <t>土豆</t>
  </si>
  <si>
    <t>Potato Seeds</t>
  </si>
  <si>
    <t>Potato</t>
  </si>
  <si>
    <t>감자 모종</t>
  </si>
  <si>
    <t>Ростки картофеля</t>
  </si>
  <si>
    <t>Картофель</t>
  </si>
  <si>
    <t>Katoffelpflanze</t>
  </si>
  <si>
    <t>Kartoffel</t>
  </si>
  <si>
    <t>Hạt Khoai Tây</t>
  </si>
  <si>
    <t>Khoai Tây</t>
  </si>
  <si>
    <t>Pé de Batata</t>
  </si>
  <si>
    <t>Batata</t>
  </si>
  <si>
    <t>Bibit Kentang</t>
  </si>
  <si>
    <t>Kentang</t>
  </si>
  <si>
    <t>番茄苗</t>
  </si>
  <si>
    <t>番茄</t>
  </si>
  <si>
    <t>Tomato Seeds</t>
  </si>
  <si>
    <t>Tomato</t>
  </si>
  <si>
    <t>Рассада томатов</t>
  </si>
  <si>
    <t>Помидор</t>
  </si>
  <si>
    <t>Tomatenpflanze</t>
  </si>
  <si>
    <t>Tomaten</t>
  </si>
  <si>
    <t>Hạt Cà Chua</t>
  </si>
  <si>
    <t>Cà Chua</t>
  </si>
  <si>
    <t>Tomateiro</t>
  </si>
  <si>
    <t>Tomate</t>
  </si>
  <si>
    <t>Benih Tomat</t>
  </si>
  <si>
    <t>Tomat</t>
  </si>
  <si>
    <t>辣椒苗</t>
  </si>
  <si>
    <t>辣椒</t>
  </si>
  <si>
    <t>Chili Seeds</t>
  </si>
  <si>
    <t>Chili</t>
  </si>
  <si>
    <t>Ростки перца чили</t>
  </si>
  <si>
    <t>Чили</t>
  </si>
  <si>
    <t>Chilischotenpflanze</t>
  </si>
  <si>
    <t>Chilischoten</t>
  </si>
  <si>
    <t>Hạt Ớt</t>
  </si>
  <si>
    <t>Ớt</t>
  </si>
  <si>
    <t>Pimenteira</t>
  </si>
  <si>
    <t>Pimenta</t>
  </si>
  <si>
    <t>Biji Cabai</t>
  </si>
  <si>
    <t>Cabai</t>
  </si>
  <si>
    <t>火山熔岩相關</t>
  </si>
  <si>
    <t>Vùng Dung Nham Nóng Cháy</t>
  </si>
  <si>
    <t>Zona Lava Panas</t>
  </si>
  <si>
    <t>火焰妖精</t>
  </si>
  <si>
    <t>熔岩杖
紫色品質物品</t>
  </si>
  <si>
    <t>35
3.3</t>
  </si>
  <si>
    <t>フレイムピクシー</t>
  </si>
  <si>
    <t>溶岩の杖</t>
  </si>
  <si>
    <t>Flame Fairy</t>
  </si>
  <si>
    <t>Lava Staff
Purple Quality Item</t>
  </si>
  <si>
    <t>용암 지팡이</t>
  </si>
  <si>
    <t>Огненная Фея</t>
  </si>
  <si>
    <t>Лавовый посох
Предмет фиолетового качества</t>
  </si>
  <si>
    <t>Flammenfee</t>
  </si>
  <si>
    <t>Lavastab</t>
  </si>
  <si>
    <t>Loot beim Töten</t>
  </si>
  <si>
    <t>Tiên Lửa</t>
  </si>
  <si>
    <t>Trượng Dung Nham 
Vật phẩm chất lượng tím</t>
  </si>
  <si>
    <t>Fada das Chamas</t>
  </si>
  <si>
    <t>Cajado de Lava
Equipamento de Qualidade Roxa</t>
  </si>
  <si>
    <t>Peri Api</t>
  </si>
  <si>
    <t>Staf Lava</t>
  </si>
  <si>
    <t>35</t>
  </si>
  <si>
    <t>燃燒史萊姆</t>
  </si>
  <si>
    <t>熔岩戒指
紫色品質物品</t>
  </si>
  <si>
    <t>42
6</t>
  </si>
  <si>
    <t>バーニングスライム</t>
  </si>
  <si>
    <t>Burning Slime</t>
  </si>
  <si>
    <t>Lava Ring
Purple Quality Equipment</t>
  </si>
  <si>
    <t>용암 반지</t>
  </si>
  <si>
    <t>Горящая слизь</t>
  </si>
  <si>
    <t>Лавовое кольцо
Экипировка фиолетового качества</t>
  </si>
  <si>
    <t>Brennender Schleim</t>
  </si>
  <si>
    <t>Lavaring</t>
  </si>
  <si>
    <t>Slime Cháy</t>
  </si>
  <si>
    <t>Nhẫn Dung Nham
Trang bị chất lượng Tím</t>
  </si>
  <si>
    <t>Slime Flamejante</t>
  </si>
  <si>
    <t>Anel de Lava
Equipamento de Qualidade Roxa</t>
  </si>
  <si>
    <t>Lendir yang Terbakar</t>
  </si>
  <si>
    <t>Cincin Lava
Peralatan Berkualitas Ungu</t>
  </si>
  <si>
    <t>炎魔</t>
  </si>
  <si>
    <t>熔岩杖
陽炎
日輪
紫色品質物品
粉色品質物品</t>
  </si>
  <si>
    <t>24
24
8
2
2</t>
  </si>
  <si>
    <t>溶岩の杖
陽炎
日輪
紫色品質アイテム
ピンク品質アイテム</t>
  </si>
  <si>
    <t>Balrog</t>
  </si>
  <si>
    <t>Lava Staff
Sunflare
Nichirin
Purple Quality Item
Pink Quality Item</t>
  </si>
  <si>
    <t xml:space="preserve">24
24
8
2
2
</t>
  </si>
  <si>
    <t>24
24
8</t>
  </si>
  <si>
    <t>Огненный Демон</t>
  </si>
  <si>
    <t>Лавовый посох
Солнечный блик
Ничирин
Предмет фиолетового качества
Предмет розового качества</t>
  </si>
  <si>
    <t>Lavastab/Sonnenflamme</t>
  </si>
  <si>
    <t>Trượng Dung Nham
Ngọn Lửa Thái Dương
Nhật Luân
Vật phẩm chất lượng tím
Vật phẩm chất lượng hồng</t>
  </si>
  <si>
    <t>Cajado de Lava
Clarão Solar (espada)
Nichirin (espada)
Equipamento de Qualidade Roxa
Equipamento de Qualidade Rosa</t>
  </si>
  <si>
    <t>Tongkat Lava
Sunflare Nichirin</t>
  </si>
  <si>
    <t>販賣相關</t>
  </si>
  <si>
    <t>贩卖相关</t>
  </si>
  <si>
    <t>aki的糖果機</t>
  </si>
  <si>
    <t>粉色金平糖
藍色金平糖
綠色金平糖</t>
  </si>
  <si>
    <t>40
40
20</t>
  </si>
  <si>
    <t>位於貓娘aki的商店右側
(聽說給aki送鮭魚，買糖會打折)</t>
  </si>
  <si>
    <t>Aki's Candy Machine</t>
  </si>
  <si>
    <t>Pink Konpeito
Blue Konpeito
Green Konpeito</t>
  </si>
  <si>
    <t>Located on the right side of Aki
(Giving her salmon reduces the price)</t>
  </si>
  <si>
    <t>akiの糖果机</t>
  </si>
  <si>
    <t>粉色金平糖
蓝色金平糖
绿色金平糖</t>
  </si>
  <si>
    <t>位于猫娘aki的商店右侧
(听说给aki送鲑鱼，买糖会打折哦~)</t>
  </si>
  <si>
    <t>Máy bán kẹo của Aki</t>
  </si>
  <si>
    <t>Kẹo Konpeito Hồng
Kẹo Konpeito Xanh
Kẹo Konpeito Xanh Lá</t>
  </si>
  <si>
    <t>Ở bên phải của Aki
(Đưa cá hồi cho cô ấy được giảm giá)</t>
  </si>
  <si>
    <t>奇怪的騎士</t>
  </si>
  <si>
    <t>傑克爆彈
冰霜傑克爆彈
毒液傑克爆彈
銀坷垃
隨機塔羅牌
隨機符文
封存的時針
封術捲軸
JoyStation V
妹妹的T恤
暗影之魂-DLC</t>
  </si>
  <si>
    <t>30
10
10
30
10
5
2
2
*
*
*</t>
  </si>
  <si>
    <t>位於"冒險者小道:集結地"
*花費5000金幣購買;                 
*分享見聞≥5,解鎖 妹妹的T恤;
       *分享見聞≥6,解鎖 暗影之魂-DLC;
(尋找全部見聞 請前往SLG欄)</t>
  </si>
  <si>
    <t>Weird Knight</t>
  </si>
  <si>
    <t>Jack Bomb
Frost Jack Bomb
Venom Jack Bomb
Ginkela
Random Tarot Cads
Random Runes
Sealed Timepiece
Sealing Scroll
Joystation V
T-Shirt
Shadow Souls - DLC</t>
  </si>
  <si>
    <t xml:space="preserve">30
10
10
30
10
5
2
2
*
*
*
</t>
  </si>
  <si>
    <t>Located in Adventurer's Path: Gathering Point
*Joystation V purchased for 5000 yen
*T-Shirt is unlocked by sharing 5 or more tales
*Shadow Souls DLC is unlocked by sharing 6 or more tales
(To find out how to share tales, check the SLG tab of this document)</t>
  </si>
  <si>
    <t>奇怪的骑士</t>
  </si>
  <si>
    <t>杰克爆弹
冰霜杰克爆弹
猛毒杰克爆弹
银坷垃
随机塔罗牌
随机符文
封存的时针
封术卷轴
JoyStation V
妹妹的T恤
暗影之魂-DLC</t>
  </si>
  <si>
    <t xml:space="preserve">位于"冒险者小道:集结地"
*花费5000金币购买;                 
*分享见闻≥5,解锁 妹妹的T恤;
       *分享见闻≥6,解锁 暗影之魂-DLC;
(查找全部见闻 请前往SLG栏)
</t>
  </si>
  <si>
    <t>Hiệp Sĩ Kì Lạ</t>
  </si>
  <si>
    <t>Jack Bomb
Frost Jack Bomb
Venom Jack Bomb
Bạch quả
Thẻ Tarot ngẫu nhiên
Phù văn ngẫu nhiên
Đồng Hồ Phong Ấn
Cuộn Phép Phong Ấn
Joystation V
T-shirt
Shadow Souls - DLC</t>
  </si>
  <si>
    <t>Ở Con Đường Mạo Hiểm Giá: Điểm Tập Hợp
*Joystation V mua với giá 5000 yên
*T-shirt được mở khóa bằng cách chia sẻ từ 5 câu chuyện trờ lên
*Shadow Souls DLC được mở khóa bằng cách chia sẻ từ 6 câu chuyện trở lên
(Để biết cách chia sẻ câu chuyện, xem tab SLG của bản hướng dẫn)</t>
  </si>
  <si>
    <t>逆流茶會商店車</t>
  </si>
  <si>
    <t xml:space="preserve">
白米飯
小麥粉
咖哩塊
義大利麵
番茄醬
西瓜
隨機魚類
傑克爆彈
隨機塔羅牌
電風扇
魔導映寫器
恐怖錄影帶
成人錄影帶
百合約人本
萌萌同人本
貓娘同人本
2號機
滅蟲杖
豬豬存錢罐
白色隨機物品
藍色隨機物品
紫色隨機物品
粉色隨機物品
金色隨機物品</t>
  </si>
  <si>
    <t>4
4
4
4
4
4
6
13
4
8
1
6
6
1
1
1
6
5
6
6
3
1
1
0.6</t>
  </si>
  <si>
    <t>用"塔羅牌-戰車"召喚/在地圖中隨機刷新</t>
  </si>
  <si>
    <t>NLCH Truck</t>
  </si>
  <si>
    <t xml:space="preserve">White Rice
Wheat Flour
Curry Block
Pasta
Ketchup
Watermelon
Random Fish
Jack Bomb
Random Tarot Cards
Electric Fan
Magic Camera
Horror Video Tape
Adult Video Tape
Yuri Doujinshi
Moe Doujinshi
Catgirl Doujinshi
Unit 2
Pest Bane Staff
Piggy Bank
White Random Item
Blue Random Item
Purple Random Item
Pink Random Item
Gold Random Item
</t>
  </si>
  <si>
    <t xml:space="preserve">4
4
4
4
4
4
6
13
4
8
1
6
6
1
1
1
6
5
6
6
3
1
1
0.6
</t>
  </si>
  <si>
    <t>Can be summoned by using the tarot card "Chariot"
Can also be found on the map as a random spawn</t>
  </si>
  <si>
    <t>逆流茶会商店车</t>
  </si>
  <si>
    <t xml:space="preserve">
白米饭
小麦粉
咖喱块
意大利面
番茄酱
西瓜
随机鱼类
杰克爆弹
随机塔罗牌
电风扇
魔导映写器
恐怖录像带
成人录像带
百合同人本
萌萌同人本
猫娘同人本
2号机
灭虫杖
猪猪存钱罐
白色随机物品
蓝色随机物品
紫色随机物品
粉色随机物品
金色随机物品
</t>
  </si>
  <si>
    <t>用"塔罗牌-战车"召唤/在地图中随机刷新
(打爆猫车可以"零元购",当然,前提是你打得过w)</t>
  </si>
  <si>
    <t>Xe Tải NLCH</t>
  </si>
  <si>
    <t>Cơm Trắng
Bột Mì
Khối Cà Ri
Pasta
Tương Cà
Dưa Hấu
Cá ngẫu nhiên
Jack Bomb
Thẻ Tarot ngẫu nhiên
Quạt ĐIện
Máy Ảnh Ma Thuật
Băng Video Kinh Dị
Văng Video Người Lớn
Doujinshi Yuri
Doujinshi Moe
Doujinshi Gái Mèo
Đơn Vị Số 2
Trượng Diệt Côn Trùng
Heo Đất
Vật phẩm trắng ngẫu nhiên
Vật phẩm xanh ngẫu nhiên
Vật phẩm tím ngẫu nhiên
Vật phẩm hồng ngẫu nhiên
Vật phẩm vàng ngẫu nhiên</t>
  </si>
  <si>
    <t>Có thể được triệu hồi bằng bài tarot "Chiến Xa"
Cũng có thể xuất hiện một cách ngẫu nhiên</t>
  </si>
  <si>
    <t>武器項目</t>
  </si>
  <si>
    <t>武器屬性</t>
  </si>
  <si>
    <t>Weapon</t>
  </si>
  <si>
    <t>Effects</t>
  </si>
  <si>
    <t>Оружие</t>
  </si>
  <si>
    <t>Характеристики</t>
  </si>
  <si>
    <t>Waffen</t>
  </si>
  <si>
    <t>Effekte</t>
  </si>
  <si>
    <t>Vũ khí</t>
  </si>
  <si>
    <t>Hiệu ứng</t>
  </si>
  <si>
    <t>Armas</t>
  </si>
  <si>
    <t>Efeitos</t>
  </si>
  <si>
    <t>白色品質</t>
  </si>
  <si>
    <t>白品質</t>
  </si>
  <si>
    <t>Common</t>
  </si>
  <si>
    <t>白色品质</t>
  </si>
  <si>
    <t>Обычный</t>
  </si>
  <si>
    <t>Thông thường</t>
  </si>
  <si>
    <t>Comum</t>
  </si>
  <si>
    <t>握緊的拳頭</t>
  </si>
  <si>
    <t>物攻：2
攻擊依照最大體力增加</t>
  </si>
  <si>
    <t>握り拳</t>
  </si>
  <si>
    <t>物理攻撃力2
最大体力に応じてダメージアップ</t>
  </si>
  <si>
    <t>Clenched Fist</t>
  </si>
  <si>
    <t>Physical Attack: 2
Attack increases based on your max HP</t>
  </si>
  <si>
    <t>Puño limpio</t>
  </si>
  <si>
    <t>단단히 쥔 주먹</t>
  </si>
  <si>
    <t>물리 공격력 : 2
최대 체력이 높을수록 공격력 증가</t>
  </si>
  <si>
    <t>Кулаки</t>
  </si>
  <si>
    <t>Физический урон: 2
(Урон увеличивается в зависимости от макс. ОЗ)</t>
  </si>
  <si>
    <t>Geballte Faust</t>
  </si>
  <si>
    <t>Physischer Angriff: 2
Angriff steigt basierend auf deinem maximalen HP</t>
  </si>
  <si>
    <t>Nắm Đấm Siết Chặt</t>
  </si>
  <si>
    <t>Sát thương vật lý: 2
Sát thương đấm tỷ lệ với HP tối đa!</t>
  </si>
  <si>
    <t>Punho Cerrado</t>
  </si>
  <si>
    <t>Ataque físico: 2
Ataque aumenta dependendo da base do seu PV máximo</t>
  </si>
  <si>
    <t>硬木劍</t>
  </si>
  <si>
    <t>物攻：15</t>
  </si>
  <si>
    <t>堅木の剣</t>
  </si>
  <si>
    <t>物理攻撃力: 15</t>
  </si>
  <si>
    <t>Hardwood Sword</t>
  </si>
  <si>
    <t>Physical attack 15</t>
  </si>
  <si>
    <t>Espada de madera robusta</t>
  </si>
  <si>
    <t>목검</t>
  </si>
  <si>
    <t>물리 공격력 : 15</t>
  </si>
  <si>
    <t>Деревянный меч</t>
  </si>
  <si>
    <t>Физический урон: 15</t>
  </si>
  <si>
    <t>Hartholzschwert</t>
  </si>
  <si>
    <t>Physischer Angriff: 15</t>
  </si>
  <si>
    <t>Kiếm Gỗ</t>
  </si>
  <si>
    <t>Sát thương vật lý: 15</t>
  </si>
  <si>
    <t>Espada de Madeira Nobre</t>
  </si>
  <si>
    <t>Ataque físico 15</t>
  </si>
  <si>
    <t>硬木棒</t>
  </si>
  <si>
    <t>物攻：14</t>
  </si>
  <si>
    <t>硬木の棒</t>
  </si>
  <si>
    <t>物理攻撃力: 14</t>
  </si>
  <si>
    <t>Hardwood Stick</t>
  </si>
  <si>
    <t>Physical attack 14</t>
  </si>
  <si>
    <t>Palo de madera robusta</t>
  </si>
  <si>
    <t>물리 공격력 : 14</t>
  </si>
  <si>
    <t>Прочная палка</t>
  </si>
  <si>
    <t>Физический урон: 14</t>
  </si>
  <si>
    <t>Hartholzstab</t>
  </si>
  <si>
    <t>Physischer Angriff: 14</t>
  </si>
  <si>
    <t>Gậy Gỗ</t>
  </si>
  <si>
    <t>Sát thương vật lý: 14</t>
  </si>
  <si>
    <t>Bastão de Madeira Nobre</t>
  </si>
  <si>
    <t>Ataque físico 14</t>
  </si>
  <si>
    <t>伐木斧</t>
  </si>
  <si>
    <t>物攻：24</t>
  </si>
  <si>
    <t>伐採斧</t>
  </si>
  <si>
    <t>物理攻撃力: 24</t>
  </si>
  <si>
    <t>Axe</t>
  </si>
  <si>
    <t>Physical attack 24</t>
  </si>
  <si>
    <t>Hacha</t>
  </si>
  <si>
    <t>벌목용 도끼</t>
  </si>
  <si>
    <t>물리 공격력 : 24</t>
  </si>
  <si>
    <t>Топор</t>
  </si>
  <si>
    <t>Физический урон: 24</t>
  </si>
  <si>
    <t>Axt</t>
  </si>
  <si>
    <t>Physischer Angriff: 24</t>
  </si>
  <si>
    <t>Rìu Gỗ</t>
  </si>
  <si>
    <t>Sát thương vật lý: 24</t>
  </si>
  <si>
    <t>Machado de Lenhador</t>
  </si>
  <si>
    <t>Ataque físico 24</t>
  </si>
  <si>
    <t>大木槌</t>
  </si>
  <si>
    <t>物攻：36
機率暈眩</t>
  </si>
  <si>
    <t>物理攻撃力：36
攻撃時33％で気絶させる
体力400未満ではうまく扱えない</t>
  </si>
  <si>
    <t>Heavy Mallet</t>
  </si>
  <si>
    <t>Physical attack: 36
Has a chance to stun targets
Weapon stats are conditional
*Gachapon Item</t>
  </si>
  <si>
    <t>Mazo de madera pesado</t>
  </si>
  <si>
    <t>Большой молот</t>
  </si>
  <si>
    <t>Физический урон: 36
(Шанс оглушить цель. Урон увеличивается при выполнении определенных условий)
*Предмет из Гачи</t>
  </si>
  <si>
    <t>Schwerer Holzhammer</t>
  </si>
  <si>
    <t>Physischer Angriff: 36
Chance, Gegner zu betäuben
Waffenwerte sind bedingt</t>
  </si>
  <si>
    <t>Búa Gỗ Lớn</t>
  </si>
  <si>
    <t>Sát thương vật lý: 36
Có khả năng làm choáng mục tiêu
Chỉ số vũ khí có điều kiện
*Vật phẩm gacha</t>
  </si>
  <si>
    <t>Malho Pesado</t>
  </si>
  <si>
    <t>Ataque físico: 36
Tem uma chance de atordoar alvos
Status são condicionais
*Item de Gachapon</t>
  </si>
  <si>
    <t>獸人的骨釜</t>
  </si>
  <si>
    <t>物攻：42</t>
  </si>
  <si>
    <t>オークの背斧</t>
  </si>
  <si>
    <t>物理攻撃力: 42</t>
  </si>
  <si>
    <t>Orc Bone Axe</t>
  </si>
  <si>
    <t>Physical attack: 42</t>
  </si>
  <si>
    <t>Hacha de huesos de Orco</t>
  </si>
  <si>
    <t>오크의 도끼</t>
  </si>
  <si>
    <t>물리 공격력 : 42</t>
  </si>
  <si>
    <t>Костяной топор орка</t>
  </si>
  <si>
    <t>Физический урон: 42</t>
  </si>
  <si>
    <t>Orkknochenaxt</t>
  </si>
  <si>
    <t>Physischer Angriff: 42</t>
  </si>
  <si>
    <t>Rìu Xương Orc</t>
  </si>
  <si>
    <t>Sát thương vật lý: 42</t>
  </si>
  <si>
    <t>Machado de Osso de Orc</t>
  </si>
  <si>
    <t>Ataque físico: 42</t>
  </si>
  <si>
    <t>怪鳥的羽毛</t>
  </si>
  <si>
    <t>物攻：18
旋風斬提升移速
旋風斬進入漂浮狀態</t>
  </si>
  <si>
    <t>怪鳥の羽根</t>
  </si>
  <si>
    <t>物理攻撃力：18
旋風斬で移動速度が上昇
旋風斬が浮遊状態になる</t>
  </si>
  <si>
    <t>Weird Feather</t>
  </si>
  <si>
    <t>Physical attack: 18
Increase speed for Senpuu Giri based on attack speed
Levitates off the ground during Senpuu Giri</t>
  </si>
  <si>
    <t>Plumas extrañas</t>
  </si>
  <si>
    <t>괴조의 깃털</t>
  </si>
  <si>
    <t>Странное перо</t>
  </si>
  <si>
    <t>Физический урон: 18
(Вихревой разрез увеличивает скорость передвижения и переходит в состояние парения.)</t>
  </si>
  <si>
    <t>Feder des Monstervogels</t>
  </si>
  <si>
    <t>Phys. Angriff: 18
Wirbelhieb erhöht die Bewegungsgeschwindigkeit
Wirbelhieb versetzt in Schwebezustand</t>
  </si>
  <si>
    <t>Lông Vũ Kỳ Lạ</t>
  </si>
  <si>
    <t>Sát thương vật lý: 18
Tăng tốc độ di chuyển khi dùng
 Whirlwind Slash
Khi xoay với tốc độ cao,
 bước vào trạng thái lơ lửng</t>
  </si>
  <si>
    <t>Pena Estranha</t>
  </si>
  <si>
    <t>Ataque físico: 18
Aumenta a velocidade para Senpuu Giri baseado na sua velocidade de ataque
levita fora do chão durante o Senpuu Giri</t>
  </si>
  <si>
    <t>巨大蟹鉗</t>
  </si>
  <si>
    <t>物攻：15
夾住目標</t>
  </si>
  <si>
    <t>巨大ガニのハサミ</t>
  </si>
  <si>
    <t>物理攻撃力：15
投げると相手を挟み続ける</t>
  </si>
  <si>
    <t>Crab Claw</t>
  </si>
  <si>
    <t>Physical attack: 15
Clamps to targets when thrown
*Gachapon Item</t>
  </si>
  <si>
    <t>Pinzas de cangrejo enormes</t>
  </si>
  <si>
    <t>Клешня Гигантского краба</t>
  </si>
  <si>
    <t>Физический урон: 15
(Вцепляется в цель, нанося постоянный урон)</t>
  </si>
  <si>
    <t>Krabbenzange</t>
  </si>
  <si>
    <t>Physischer Angriff: 15
Klammern sich beim Werfen an Ziele</t>
  </si>
  <si>
    <t>Càng Cua Khổng Lồ</t>
  </si>
  <si>
    <t>Sát thương vật lý: 15
Kẹp chặt mục tiêu khi ném trúng
*Vật phẩm Gacha</t>
  </si>
  <si>
    <t>Garra de Caranguejo Gigante</t>
  </si>
  <si>
    <t>Ataque físico: 15
Prende o alvo quando arremessado
*Item do Gachapon</t>
  </si>
  <si>
    <t>香蕉?</t>
  </si>
  <si>
    <t>物攻：10
爆炸</t>
  </si>
  <si>
    <t>バナナ？</t>
  </si>
  <si>
    <t>物理攻撃力: 10
高速で回ると飛んでいきやすく...</t>
  </si>
  <si>
    <t>Banana?</t>
  </si>
  <si>
    <t>Physical attack: 10
Explodes</t>
  </si>
  <si>
    <t>¿Banana?</t>
  </si>
  <si>
    <t>Банан?</t>
  </si>
  <si>
    <t>Физический урон: 10
("Взрыв")</t>
  </si>
  <si>
    <t>Banane?</t>
  </si>
  <si>
    <t>Physischer Angriff: 10
Explodiert</t>
  </si>
  <si>
    <t>Chuối??</t>
  </si>
  <si>
    <t>Sát thương vật lý: 10
Bùm!!!</t>
  </si>
  <si>
    <t>Ataque físico: 10
Explode</t>
  </si>
  <si>
    <t>胡蘿蔔大劍</t>
  </si>
  <si>
    <t>物攻：1
累計傷害型武器
投擲穿刺效果
*特殊傳送效果(請參考TIPS)</t>
  </si>
  <si>
    <t xml:space="preserve">
物理攻撃：1
累積ダメージ型の武器
投擲時に貫通する
※特殊な転送効果あり（詳細はTIPS参照）
</t>
  </si>
  <si>
    <t xml:space="preserve">Physical attack: 1
Stacking weapon
Pierces through when thrown
Allows usage of teleport on campfires
(See TIPS)
</t>
  </si>
  <si>
    <t>Espada larga de zanahoria</t>
  </si>
  <si>
    <t>Физический урон: 1
(Может быть съедено при атаке. Эффект Пробития)
*Особый способ телепортации у Костра (см. Tips)</t>
  </si>
  <si>
    <t>Körperlicher Angriff: 1
Stapelfähige Waffe
Durchdringt beim Werfen
Erlaubt die Nutzung von Teleport an Lagerfeuern
(Siehe TIPPS)</t>
  </si>
  <si>
    <t>Sát thương vật lý: 1
Vũ khí (có thể cộng dồn)
Cho phép dịch chuyển bằng lửa trại
(Xem TIPS)</t>
  </si>
  <si>
    <r>
      <rPr>
        <rFont val="Microsoft JhengHei"/>
        <color theme="1"/>
      </rPr>
      <t xml:space="preserve">Ataque físico: 1
Arma empilha
Trespassa quando arremessado
Permite a uso de teleporte atravez das fogueira
(veja em </t>
    </r>
    <r>
      <rPr>
        <rFont val="Microsoft JhengHei"/>
        <i/>
        <color theme="1"/>
      </rPr>
      <t>TIPS</t>
    </r>
    <r>
      <rPr>
        <rFont val="Microsoft JhengHei"/>
        <color theme="1"/>
      </rPr>
      <t xml:space="preserve">)
</t>
    </r>
  </si>
  <si>
    <t>棒球棍</t>
  </si>
  <si>
    <t>物攻：20
反彈拋射物</t>
  </si>
  <si>
    <t>野球バット</t>
  </si>
  <si>
    <t xml:space="preserve">
物理攻撃: 20
弾や飛翔物を撃ち返すことが出来る！
</t>
  </si>
  <si>
    <t>Baseball Bat</t>
  </si>
  <si>
    <t>Physical attack 20
Deflect Projectile
*Gachapon Item</t>
  </si>
  <si>
    <t>Bate de béisbol</t>
  </si>
  <si>
    <t>야구 방망이</t>
  </si>
  <si>
    <t>물리 공격력 : 20
투사체 굴절</t>
  </si>
  <si>
    <t>Бейсбольная бита</t>
  </si>
  <si>
    <t>Физический урон: 20
(Отбивает снаряды)</t>
  </si>
  <si>
    <t>Baseballschläger</t>
  </si>
  <si>
    <t>Physischer Angriff: 20
Lenkt Projektile ab</t>
  </si>
  <si>
    <t>Gậy Bóng Chày</t>
  </si>
  <si>
    <t>Sát thương vật lý: 20
Sát thương nhân lên khi
 đánh bật vật thể bay</t>
  </si>
  <si>
    <t>Taco de Beisebol</t>
  </si>
  <si>
    <t>Ataque físico 20
Deflete projéteis
*Item do Gachapon</t>
  </si>
  <si>
    <t>生鏽的鐵劍</t>
  </si>
  <si>
    <t>物攻：15
機率附加中毒、出血必定中毒</t>
  </si>
  <si>
    <t>物理攻撃力：15
15％で出血付与
出血状態だと毒を付与する</t>
  </si>
  <si>
    <t>Rusty Iron Sword</t>
  </si>
  <si>
    <t>Physical attack: 15
15% chance to inflict poison with each attack
Becomes guaranteed when attacking bleeding enemies</t>
  </si>
  <si>
    <t>Espada de hierro oxidada</t>
  </si>
  <si>
    <t>Заржавевший меч</t>
  </si>
  <si>
    <t>Физический урон: 15
(Шанс наложить Яд. Всегда накладывает Яд при Кровотечении цели)</t>
  </si>
  <si>
    <t>Rostiges Eisenschwert</t>
  </si>
  <si>
    <t>Physischer Angriff: 15
15 % Chance, bei jedem Angriff Gift zuzufügen
Wird garantiert, wenn das Ziel blutet</t>
  </si>
  <si>
    <t>Kiếm Rỉ Sét</t>
  </si>
  <si>
    <t>Sát thương vật lý: 15
15% khả năng gây độc khi tấn công
Luôn gây độc với mục tiêu đang Chảy Máu</t>
  </si>
  <si>
    <t>Espada de Ferro Enferrujada</t>
  </si>
  <si>
    <t>Ataque físico: 15
15% chance to inflict poison with each attack
Becomes guaranteed when attacking bleeding enemies</t>
  </si>
  <si>
    <t>鍛造錘</t>
  </si>
  <si>
    <t>物攻：6
鍛造用途，詳情於TIPS</t>
  </si>
  <si>
    <t>鍛造ハンマー</t>
  </si>
  <si>
    <t>物理攻撃力：6
鍛造の使用については、詳細はTIPSを参照してください</t>
  </si>
  <si>
    <t>Forging Hammer</t>
  </si>
  <si>
    <t>Physical attack: 6
Mainly used for Forging, see TIPS for more info</t>
  </si>
  <si>
    <t>Martillo de forja</t>
  </si>
  <si>
    <t>Кузнечный молот</t>
  </si>
  <si>
    <t>Физический урон: 6
(В основном используется для ковки, дополнительную информацию смотрите в Tips)</t>
  </si>
  <si>
    <t>Schmiedehammer</t>
  </si>
  <si>
    <t>Physischer Angriff: 6
Wird hauptsächlich zum Schmieden verwendet, siehe TIPPS für weitere Infos</t>
  </si>
  <si>
    <t>Búa Rèn</t>
  </si>
  <si>
    <t>Sát thương vật lý: 6
Chủ yếu dùng để rèn, xem TIPS để
biết thêm thông tin</t>
  </si>
  <si>
    <t>Martelo de Forja</t>
  </si>
  <si>
    <r>
      <rPr>
        <rFont val="Microsoft JhengHei"/>
        <color theme="1"/>
      </rPr>
      <t xml:space="preserve">Ataque físico: 6
Prinipalmente usado pra forjar, veja </t>
    </r>
    <r>
      <rPr>
        <rFont val="Microsoft JhengHei"/>
        <i/>
        <color theme="1"/>
      </rPr>
      <t>TIPS</t>
    </r>
    <r>
      <rPr>
        <rFont val="Microsoft JhengHei"/>
        <color theme="1"/>
      </rPr>
      <t xml:space="preserve"> para mais info</t>
    </r>
  </si>
  <si>
    <t>木弓</t>
  </si>
  <si>
    <t>物攻：20
穿透(傷害遞減)</t>
  </si>
  <si>
    <t>木の弓</t>
  </si>
  <si>
    <t xml:space="preserve">
物理攻撃：20
貫通する度にダメージ減少する
</t>
  </si>
  <si>
    <t>Bow</t>
  </si>
  <si>
    <t xml:space="preserve">Physical attack: 20
Passes through units (Damage lowers on each enemy it passes through)
</t>
  </si>
  <si>
    <t>Arco de madera</t>
  </si>
  <si>
    <t>Лук</t>
  </si>
  <si>
    <t>Физический урон: 20
(Каждая пробитая цель снижает урон выпущенной стрелы)</t>
  </si>
  <si>
    <t>Bogen</t>
  </si>
  <si>
    <t>Physischer Angriff: 20</t>
  </si>
  <si>
    <t>Cung Gỗ</t>
  </si>
  <si>
    <t>Sát thương vật lý: 20</t>
  </si>
  <si>
    <t>Arco de Madeira Nobre</t>
  </si>
  <si>
    <t xml:space="preserve">Ataque físico: 20
Atravessa unidades (Danos reduz para cada inimigo que trespassa)
</t>
  </si>
  <si>
    <t>藍色品質</t>
  </si>
  <si>
    <t>青品質</t>
  </si>
  <si>
    <t>Uncommon</t>
  </si>
  <si>
    <t>蓝色品质</t>
  </si>
  <si>
    <t>Необычный</t>
  </si>
  <si>
    <t>Không thông thường</t>
  </si>
  <si>
    <t>Incomum</t>
  </si>
  <si>
    <t>物攻：30
滿足條件後翻倍</t>
  </si>
  <si>
    <t>騎士の剣</t>
  </si>
  <si>
    <t xml:space="preserve">
物理攻撃力：30
特定条件を満たすと2倍</t>
  </si>
  <si>
    <t>Physical attack: 30
Attack is doubled when conditions are met</t>
  </si>
  <si>
    <t>Espada de caballero</t>
  </si>
  <si>
    <t>물리 공격력 : 30
조건 충족 시 공격력 2배 증가</t>
  </si>
  <si>
    <t>Физический урон: 30
(Урон удваивается при выполнении определенных условий)</t>
  </si>
  <si>
    <t>Physischer Angriff: 30
Angriff wird bei erfüllten Bedingungen verdoppelt</t>
  </si>
  <si>
    <t>Sát thương vật lý: 30
Tấn công tăng gấp đôi khi điều kiện
 được đáp ứng</t>
  </si>
  <si>
    <t>Ataque físico: 30
Ataque dobra quando as condições são atendidas</t>
  </si>
  <si>
    <t>臭魚骨</t>
  </si>
  <si>
    <t>物攻：14
散發惡臭</t>
  </si>
  <si>
    <t>くさい魚の骨</t>
  </si>
  <si>
    <t xml:space="preserve">
物理攻撃力: 14 
悪臭を放つ
</t>
  </si>
  <si>
    <t>Rotten Fishbone</t>
  </si>
  <si>
    <t>Physical attack 14
"Smelly"
Chance to inflict Poison on each attack</t>
  </si>
  <si>
    <t>Huesos podridos de Pez</t>
  </si>
  <si>
    <t>물리 공격력 : 14
악취를 내뿜음</t>
  </si>
  <si>
    <t>Гнилая рыбья кость</t>
  </si>
  <si>
    <t>Физический урон: 14
(Издает отвратительный запах. Накладывает Отравление)</t>
  </si>
  <si>
    <t>Verfaulter Fischknochen</t>
  </si>
  <si>
    <t>Physischer Angriff: 14
„Stinkt"</t>
  </si>
  <si>
    <t>Xương Cá Thối</t>
  </si>
  <si>
    <t>Sát thương vật lý: 14
Hôi thối</t>
  </si>
  <si>
    <t>Espinha de Peixe Podre</t>
  </si>
  <si>
    <t>Ataque físico 14
"Fedido"</t>
  </si>
  <si>
    <t>陽炎</t>
  </si>
  <si>
    <t>物攻：24
魔攻：16
炎屬性</t>
  </si>
  <si>
    <t xml:space="preserve">
物理攻撃力：24
魔法攻撃力：16
火属性
</t>
  </si>
  <si>
    <t>Sunflare</t>
  </si>
  <si>
    <t>Physical attack: 24
Magic attack: 16
Fire Attribute</t>
  </si>
  <si>
    <t>Llamarada Solar</t>
  </si>
  <si>
    <t>카게로우</t>
  </si>
  <si>
    <t>물리 공격력 : 24
마법 공격력 : 16
화염 속성</t>
  </si>
  <si>
    <t>Вспышка</t>
  </si>
  <si>
    <t>Физический урон: 24
Магический урон: 16
(Накладывает Поджог)</t>
  </si>
  <si>
    <t>Sonnenflamme</t>
  </si>
  <si>
    <t>Physischer Angriff: 24
Magischer Angriff: 16
Feuer-Attribut</t>
  </si>
  <si>
    <t>Hoả Ảnh Nhiệt Lưu</t>
  </si>
  <si>
    <t>Sát thương vật lý: 24
Sát thương ma thuật : 16
Thuộc tính Lửa</t>
  </si>
  <si>
    <t>Clarão Solar</t>
  </si>
  <si>
    <t>Ataque físico: 24
Ataque Mágico: 16
Atributo de fogo</t>
  </si>
  <si>
    <t>霜月</t>
  </si>
  <si>
    <t>物攻：20
魔攻：14
冰屬性</t>
  </si>
  <si>
    <t xml:space="preserve">
物理攻撃力：20
魔法攻撃力：14
氷属性
</t>
  </si>
  <si>
    <t>Frostmoon</t>
  </si>
  <si>
    <t>Physical attack: 20
Magic attack: 14
Ice Attribute</t>
  </si>
  <si>
    <t>Luna helada</t>
  </si>
  <si>
    <t>서리달</t>
  </si>
  <si>
    <t>물리 공격력 : 20
마법 공격력 : 14
얼음 속성</t>
  </si>
  <si>
    <t>Ледяная Луна</t>
  </si>
  <si>
    <t>Физический урон: 20
Магический урон: 14
(Накладывает Заморозку)</t>
  </si>
  <si>
    <t>Frostmond</t>
  </si>
  <si>
    <t>Physischer Angriff: 20
Magischer Angriff: 14
Eis-Attribut</t>
  </si>
  <si>
    <t>Hàn Nguyệt</t>
  </si>
  <si>
    <t>Sát thương vật lý: 20
Sát thương ma thuật : 14
Thuộc tính Băng</t>
  </si>
  <si>
    <t>Lua Gélida</t>
  </si>
  <si>
    <t>Ataque físico: 20
Ataque Mágico: 14
Atributo de frio</t>
  </si>
  <si>
    <t>會漏電的不良品</t>
  </si>
  <si>
    <t>物攻：28
魔攻：12
電屬性</t>
  </si>
  <si>
    <t>漏電した不良品</t>
  </si>
  <si>
    <t xml:space="preserve">
物理攻撃力：28
魔法攻撃力：12
電撃属性
</t>
  </si>
  <si>
    <t>Leaky Electric Sword</t>
  </si>
  <si>
    <t>Physical attack: 28
Magic attack: 12
Electric Attribute</t>
  </si>
  <si>
    <t>Espada con fugas electricas</t>
  </si>
  <si>
    <t>누전되는 불량품</t>
  </si>
  <si>
    <t>Протекающий Электро-меч</t>
  </si>
  <si>
    <t>Физический урон: 28
Магический урон: 12
(Накладывает Шок)</t>
  </si>
  <si>
    <t>Undichtes Elektroschwert</t>
  </si>
  <si>
    <t>Physischer Angriff: 28
Magischer Angriff: 12
Elektro-Attribut</t>
  </si>
  <si>
    <t>Kiếm Sét Rò Rỉ</t>
  </si>
  <si>
    <t>Sát thương vật lý: 28
Sát thương ma thuật: 12
Thuộc tính Lôi</t>
  </si>
  <si>
    <t>Espada Elétrica com Vazamento</t>
  </si>
  <si>
    <t>Ataque físico: 28
Ataque Mágico: 12
Atributo elétrico</t>
  </si>
  <si>
    <t>毒孢針</t>
  </si>
  <si>
    <t>物攻：14
毒屬性</t>
  </si>
  <si>
    <t>毒胞の針</t>
  </si>
  <si>
    <t xml:space="preserve">
物理攻撃：14
毒属性
</t>
  </si>
  <si>
    <t>Toxic Spore Blade</t>
  </si>
  <si>
    <t>Physical attack: 32
Poison Attribute</t>
  </si>
  <si>
    <t>Hoja de esporas tóxicas</t>
  </si>
  <si>
    <t>독성 포자 바늘</t>
  </si>
  <si>
    <t>Лезвие из токсичных спор</t>
  </si>
  <si>
    <t>Физический урон: 14
(Накладывает Яд)</t>
  </si>
  <si>
    <t>Toxische Sporenklinge</t>
  </si>
  <si>
    <t>Physischer Angriff: 32
Gift-Attribut</t>
  </si>
  <si>
    <t>Kim Bào Tử Độc</t>
  </si>
  <si>
    <t>Sát thương vật lý: 32
Thuộc tính Độc</t>
  </si>
  <si>
    <t>Lâmina de Esporos Tóxicos</t>
  </si>
  <si>
    <t>Ataque físico: 32
Atributo venenoso</t>
  </si>
  <si>
    <t>銀輝大劍</t>
  </si>
  <si>
    <t>物攻：48
魔抗：20
滿足條件類型武器</t>
  </si>
  <si>
    <t>銀輝の大剣</t>
  </si>
  <si>
    <t xml:space="preserve">
物理攻撃力：48
魔法耐性：20
体力が400以上で真価を発揮する
</t>
  </si>
  <si>
    <t>Silver Greatsword</t>
  </si>
  <si>
    <t>Physical attack: 48
Magic defense: 20
Weapon stats are conditional</t>
  </si>
  <si>
    <t>Espada larga de plata</t>
  </si>
  <si>
    <t>은빛 대검</t>
  </si>
  <si>
    <t>Серебряный меч</t>
  </si>
  <si>
    <t>Физический урон: 48
Сопротивление магии: 20
(Урон увеличивается при выполнении определенных условий)</t>
  </si>
  <si>
    <t>Silbergroßschwert</t>
  </si>
  <si>
    <t>Physischer Angriff: 48
Magieresistenz: 20
Waffenwerte sind bedingt</t>
  </si>
  <si>
    <t>Đại Kiếm Ánh Ngân</t>
  </si>
  <si>
    <t>Sát thương vật lý: 48
Sát thương ma thuật: 20
Chỉ số vũ khí có điều kiện</t>
  </si>
  <si>
    <t>Espadão de Prata</t>
  </si>
  <si>
    <t>Ataque físico: 48
Defesa Mágica: 20
Os status da arma são condicionais</t>
  </si>
  <si>
    <t>甜筒大劍</t>
  </si>
  <si>
    <t>物攻：1
累計傷害型武器</t>
  </si>
  <si>
    <t>シュガーコーン大剣</t>
  </si>
  <si>
    <t xml:space="preserve">
物理攻撃力：1
攻撃すると食べられる可能性がある
装備中は時間経過で溶けてしまう
</t>
  </si>
  <si>
    <t>Cone Greatsword</t>
  </si>
  <si>
    <t>Physical attack: 1
Common Grade Stack Weapon
*Gachapon Item</t>
  </si>
  <si>
    <t>Espada larga de cono</t>
  </si>
  <si>
    <t>Меч из рожка с мороженым</t>
  </si>
  <si>
    <t>Физический урон: 1
(Может быть съедено при атаке)</t>
  </si>
  <si>
    <t>Kegelgroßschwert</t>
  </si>
  <si>
    <t>Physischer Angriff: 1
Waffe mit Stapel-Effekt – gewöhnliche Qualität</t>
  </si>
  <si>
    <t>Đại kiếm Ốc Quế</t>
  </si>
  <si>
    <t>Sát thương vật lý: 1
Vũ khí thường (có thể cộng dồn)
*Vật phẩm Gacha</t>
  </si>
  <si>
    <t>Espadão de Cone</t>
  </si>
  <si>
    <t>Ataque físico: 1
Arma acumula com qualidade comum
*Item de Gachapon</t>
  </si>
  <si>
    <t>混合口味冰棒</t>
  </si>
  <si>
    <t>ミックス味アイスバー</t>
  </si>
  <si>
    <t>物理攻撃力：1
攻撃すると食べられる可能性がある
装備中は時間経過で溶けてしまう</t>
  </si>
  <si>
    <t>Mixed Flavor Popsicle</t>
  </si>
  <si>
    <t>Physical attack: 1
Food stacking weapon</t>
  </si>
  <si>
    <t>物攻：1
累计伤害型武器</t>
  </si>
  <si>
    <t>혼합맛 아이스크림</t>
  </si>
  <si>
    <t>물리 공격력: 1
누적 데미지 무기</t>
  </si>
  <si>
    <t>Фруктовое мороженое со смешанным вкусом</t>
  </si>
  <si>
    <t>Kem Que Vị Tổng Hợp</t>
  </si>
  <si>
    <t>Sát thương vật lí: 1
Vũ khí chồng đồ ăn</t>
  </si>
  <si>
    <t>Picolé de sabores diversos</t>
  </si>
  <si>
    <t>Ataque físico: 1
Arma que acumula dano</t>
  </si>
  <si>
    <t>凍蘿蔔大劍</t>
  </si>
  <si>
    <t>物攻：26
物防：2
凍結效果
投擲穿刺效果</t>
  </si>
  <si>
    <t>凍ったにんじん大剣</t>
  </si>
  <si>
    <t xml:space="preserve">
物理攻撃力：26
物理防御力：2
凍結効果
投擲時に貫通する
</t>
  </si>
  <si>
    <t>Physical attack: 26
Physical defense: 2
Chance to apply freeze
Pierces through when thrown</t>
  </si>
  <si>
    <t>Espada larga Zanahoria congelada</t>
  </si>
  <si>
    <t>Физический урон: 26
Магический урон: 2
(Накладывает Заморозку.
Эффект Пробития)</t>
  </si>
  <si>
    <t>Körperlicher Angriff: 26
Körperliche Verteidigung: 2
Chance, Eis-Effekt zu verursachen
Durchdringt beim Werfen</t>
  </si>
  <si>
    <t>Đại Kiếm Cà Rốt Băng Giá</t>
  </si>
  <si>
    <t>Sát thương vật lý: 26
Kháng vật lý: 2
Có khả năng gây đông cứng
Xuyên mục tiêu khi ném</t>
  </si>
  <si>
    <t>Espadão de Cenoura
Congelado</t>
  </si>
  <si>
    <t>Ataque físico: 26
Defesa física: 2
Chance de aplicar congelamento
Trespassa quando arremessado</t>
  </si>
  <si>
    <t>霉蘿蔔大劍</t>
  </si>
  <si>
    <t>物攻：10
魔攻：10
中毒效果
投擲穿刺效果</t>
  </si>
  <si>
    <t>カビたニンジンの大剣</t>
  </si>
  <si>
    <t xml:space="preserve">
物理攻撃力：10
魔法攻撃力：10
毒攻撃
投擲時に貫通する
</t>
  </si>
  <si>
    <t>Moldy Carrot Greatsword</t>
  </si>
  <si>
    <t>Physical attack: 10
Magic attack: 10
Chance to apply poison
Pierces through when thrown</t>
  </si>
  <si>
    <t>Espada larga de zanahoria mohosa</t>
  </si>
  <si>
    <t>Заплесневелый Морковный меч</t>
  </si>
  <si>
    <t>Физический урон: 10
Магический урон: 10
(Накладывает Отравление. Эффект Пробития)</t>
  </si>
  <si>
    <t>Schimmeliges Karottengroßschwert</t>
  </si>
  <si>
    <t>Körperlicher Angriff: 10
Magischer Angriff: 10
Chance, Gift-Effekt zu verursachen
Durchdringt beim Werfen</t>
  </si>
  <si>
    <t>Đại Kiếm Cà Rốt Mốc</t>
  </si>
  <si>
    <t>Sát thương vật lý: 10
Sát thương ma thuật: 10
Có khả năng gây độc
Xuyên mục tiêu khi ném</t>
  </si>
  <si>
    <t>Espadão de Cenoura Mofado</t>
  </si>
  <si>
    <t>Ataque físico: 10
Ataque Mágico: 10
Chance de aplicar veneno
Trespassa quando arremessado</t>
  </si>
  <si>
    <t>巨蝸吸塵器</t>
  </si>
  <si>
    <t>物攻：1
魔攻：1
吸取物品</t>
  </si>
  <si>
    <t>巨カタ掃除機</t>
  </si>
  <si>
    <t>物理攻撃力：1
魔法攻撃力：1
アイテムに向けて使用すると引き寄せる</t>
  </si>
  <si>
    <t>Giant Snail Vacuum</t>
  </si>
  <si>
    <t>Physical attack: 1
Magic attack: 1
Pulls objects closer
*Gachapon Item</t>
  </si>
  <si>
    <t>Aspiradora gigante de caracol</t>
  </si>
  <si>
    <t>Гигантская улитка-пылесос</t>
  </si>
  <si>
    <t>Физический урон: 1
Магический урон: 1
(Притягивает предметы)</t>
  </si>
  <si>
    <t>Riesenschneckenstaubsauger</t>
  </si>
  <si>
    <t>Physischer Angriff: 1
Magischer Angriff: 1
Zieht Objekte an</t>
  </si>
  <si>
    <t>Máy Hút Ốc Sên
Khổng Lồ</t>
  </si>
  <si>
    <t>Sát thương vật lý: 1
Sát thương ma thuật: 1
Kéo các vật thể lại gần
*Vật phẩm Gacha</t>
  </si>
  <si>
    <t>Aspirador de Caracol Gigante</t>
  </si>
  <si>
    <t>Ataque físico: 1
Ataque Mágico: 1
Puxa objetos para perto
*Item de Gachapon</t>
  </si>
  <si>
    <t>熔岩杖</t>
  </si>
  <si>
    <t>物攻：1
魔攻：66
炎屬性</t>
  </si>
  <si>
    <t xml:space="preserve">物理攻撃力：1
魔法攻撃力：66
火属性        </t>
  </si>
  <si>
    <t>Lava Staff</t>
  </si>
  <si>
    <t>Physical attack: 1
Magic attack: 66
Fire Attribute</t>
  </si>
  <si>
    <t>Bastón de Lava</t>
  </si>
  <si>
    <t>Лавовый посох</t>
  </si>
  <si>
    <t>Физический урон: 1
Магический урон: 66
(Накладывает Поджог)</t>
  </si>
  <si>
    <t>Physischer Angriff: 1
Magischer Angriff: 66
Feuer-Attribut</t>
  </si>
  <si>
    <t>Trượng Nham Hoả</t>
  </si>
  <si>
    <t>Sát hương vật lý: 1
Sát thương ma thuật: 66
Thuộc tính Lửa</t>
  </si>
  <si>
    <t>Cajado de Lava</t>
  </si>
  <si>
    <t>Ataque físico: 1
Ataque Mágico: 66
Atributo de fogo</t>
  </si>
  <si>
    <t>寒冰杖</t>
  </si>
  <si>
    <t>物攻：1
魔攻：55
冰屬性</t>
  </si>
  <si>
    <t>寒氷の杖</t>
  </si>
  <si>
    <t>物理攻撃力: 1 
魔法攻撃力: 55 
氷属性</t>
  </si>
  <si>
    <t>Ice Staff</t>
  </si>
  <si>
    <t>Physical attack: 1
Magic attack: 55
Ice Attribute</t>
  </si>
  <si>
    <t>Bastón de Hielo</t>
  </si>
  <si>
    <t>Ледяной посох</t>
  </si>
  <si>
    <t>Физический урон: 1
Магический урон: 55
(Накладывает Заморозку)</t>
  </si>
  <si>
    <t>Eisstab</t>
  </si>
  <si>
    <t>Physischer Angriff: 1
Magischer Angriff: 55
Eis-Attribut</t>
  </si>
  <si>
    <t>Trượng Hàn Băng</t>
  </si>
  <si>
    <t>Sát thương vật lý: 1
Sát thương ma thuật: 55
Thuộc tính băng</t>
  </si>
  <si>
    <t>Cajado de Gelo</t>
  </si>
  <si>
    <t>Ataque físico: 1
Ataque Mágico: 55
Atributo de gelo</t>
  </si>
  <si>
    <t>滅蟲杖</t>
  </si>
  <si>
    <t>魔攻：40
滅蟲</t>
  </si>
  <si>
    <t>ヴァーミンロッド</t>
  </si>
  <si>
    <t xml:space="preserve">
魔法攻撃力：40
蟲殺しを発動できる(魔法)
</t>
  </si>
  <si>
    <t>Pest Bane Staff</t>
  </si>
  <si>
    <t xml:space="preserve">Magic attack: 40
Allows usage of Insect Extermination Magic
</t>
  </si>
  <si>
    <t>灭虫杖</t>
  </si>
  <si>
    <t>魔攻：40
灭虫</t>
  </si>
  <si>
    <t>Bastón pesticida</t>
  </si>
  <si>
    <t>Спрей от вредителей</t>
  </si>
  <si>
    <t>Магический урон: 40
(Уничтожает насекомых)</t>
  </si>
  <si>
    <t xml:space="preserve">
Schädlingsverfluchungsstab</t>
  </si>
  <si>
    <t>Magischer Angriff: 40
Erlaubt die Nutzung von Insektenvernichtungszaubern</t>
  </si>
  <si>
    <t>Trượng Diệt Côn Trùng</t>
  </si>
  <si>
    <t>Sát thương ma thuật: 40
Cho phép sử dụng Phép Diệt Côn Trùng</t>
  </si>
  <si>
    <t>Cajado Exterminador de Insetos</t>
  </si>
  <si>
    <t>Ataque mágico：40
Permite o uso da magia Controle de Pragas</t>
  </si>
  <si>
    <t>獵人之弓</t>
  </si>
  <si>
    <t>物攻：24
穿透</t>
  </si>
  <si>
    <t>狩人の弓</t>
  </si>
  <si>
    <t xml:space="preserve">
物理攻撃：24
攻速上昇、威力耐久－20％
</t>
  </si>
  <si>
    <t>Hunter's Bow</t>
  </si>
  <si>
    <t>Physical attack: 24
Passes through targets</t>
  </si>
  <si>
    <t>Arco de Cazador</t>
  </si>
  <si>
    <t>Лук охотника</t>
  </si>
  <si>
    <t>Физический урон: 24
(Эффект Пробития)</t>
  </si>
  <si>
    <t>Jägerbogen</t>
  </si>
  <si>
    <t>Physischer Angriff: 24
Durchschlägt Ziele</t>
  </si>
  <si>
    <t>Cung Thợ Săn</t>
  </si>
  <si>
    <t>Sát thương vật lý: 24
Đi xuyên qua mục tiêu</t>
  </si>
  <si>
    <t>Arco do Caçador</t>
  </si>
  <si>
    <t>Ataque físico: 24
Atravessa unidades</t>
  </si>
  <si>
    <t>紫色品質</t>
  </si>
  <si>
    <t>紫品質</t>
  </si>
  <si>
    <t>Rare</t>
  </si>
  <si>
    <t>紫色品质</t>
  </si>
  <si>
    <t>Редкий</t>
  </si>
  <si>
    <t>Hiếm</t>
  </si>
  <si>
    <t>Raro</t>
  </si>
  <si>
    <t>古樹殘骸</t>
  </si>
  <si>
    <t>物攻：20
物抗：2
累計素質型武器</t>
  </si>
  <si>
    <t>古木の残骸</t>
  </si>
  <si>
    <t xml:space="preserve">
物理攻撃力：20
物理耐性：2
敵を倒すと耐久値が回復する
最大値を超過した場合は威力アップ
</t>
  </si>
  <si>
    <t>Ancient Tree Remnant</t>
  </si>
  <si>
    <t>Physical attack: 20
Physical resistance: 2
Epic Grade Stack Weapon</t>
  </si>
  <si>
    <t>Restos de árbol antiguo</t>
  </si>
  <si>
    <t>Остатки древних деревьев</t>
  </si>
  <si>
    <t>Физический урон 20
Физическое сопротивление: 2
(Накопительное оружие)</t>
  </si>
  <si>
    <t>Uralter Baumrest</t>
  </si>
  <si>
    <t>Physischer Angriff: 20
Physische Resistenz: 2
Waffe mit Stapel-Effekt – epische Qualität</t>
  </si>
  <si>
    <t>Nhánh Cây Cổ Đại</t>
  </si>
  <si>
    <t>Sát thương vật lý: 20
Kháng vật lý: 2
Vũ khí sử thi ( có thể cộng dồn)</t>
  </si>
  <si>
    <t>Remanescente de Árvore Ancestral</t>
  </si>
  <si>
    <t>Ataque físico: 20
Resistência física: 2
Arma acumula com qualidade épica</t>
  </si>
  <si>
    <t>來自地獄</t>
  </si>
  <si>
    <t>物攻：30
出血</t>
  </si>
  <si>
    <t>地獄より</t>
  </si>
  <si>
    <t xml:space="preserve">
物理攻撃力：30
出血を付与しダメージアップ
</t>
  </si>
  <si>
    <t>From Hell</t>
  </si>
  <si>
    <t>Physical attack 30
Applies Bleed</t>
  </si>
  <si>
    <t>Del infierno</t>
  </si>
  <si>
    <t>지옥으로부터</t>
  </si>
  <si>
    <t>Из Ада</t>
  </si>
  <si>
    <t>Физический урон: 30
(Накладывает Кровотечение)</t>
  </si>
  <si>
    <t>Aus der Hölle</t>
  </si>
  <si>
    <t>Physischer Angriff: 30
Verursacht Blutung</t>
  </si>
  <si>
    <t>Sứ Giả Địa Ngục</t>
  </si>
  <si>
    <t>Sát thương vật lý: 30
Gây trạng thái Chảy Máu</t>
  </si>
  <si>
    <t>Do Inferno</t>
  </si>
  <si>
    <t>Ataque físico 30
Aplica sangramento</t>
  </si>
  <si>
    <t>寄生刃</t>
  </si>
  <si>
    <t>物攻：32
擊倒回復</t>
  </si>
  <si>
    <t>寄生剣</t>
  </si>
  <si>
    <t xml:space="preserve">
物理攻撃力：32
敵を倒すと回復する
</t>
  </si>
  <si>
    <t>Parasitic Blade</t>
  </si>
  <si>
    <t>Physical attack: 32
Recover HP on kill</t>
  </si>
  <si>
    <t>Hoja parasita</t>
  </si>
  <si>
    <t>기생 칼날</t>
  </si>
  <si>
    <t>물리 공격력 : 32
적 처치시 HP 회복</t>
  </si>
  <si>
    <t>Паразитический клинок</t>
  </si>
  <si>
    <t>Физический урон: 32
(Восстанавливает ОЗ при добивании врага)</t>
  </si>
  <si>
    <t>Parasitäre Klinge</t>
  </si>
  <si>
    <t>Physischer Angriff: 32
Stellt HP bei Kills wieder her</t>
  </si>
  <si>
    <t>Kiếm Ký Sinh</t>
  </si>
  <si>
    <t>Sát thương vật lý: 32
Hồi phục HP khi giết mục tiêu</t>
  </si>
  <si>
    <t>Lâmina Parasítica</t>
  </si>
  <si>
    <t>Ataque físico: 32
Recupera PV com morte</t>
  </si>
  <si>
    <t>日輪</t>
  </si>
  <si>
    <t>物攻：12
魔攻：30
魔防：30
召喚隕石</t>
  </si>
  <si>
    <t>物理攻撃力：36
魔法攻撃力：30
魔法防御：30
隕石を降らせることがある</t>
  </si>
  <si>
    <t>Nichirin</t>
  </si>
  <si>
    <t>Physical attack: 12
Magic attack: 30
Magic defense: 30
May summon a meteor when attacking</t>
  </si>
  <si>
    <t>Ничирин</t>
  </si>
  <si>
    <t>Физический урон: 12
Магический урон: 30
Сопротивление магии: 30
(Шанс наложить Поджог. Призывает Метеор)</t>
  </si>
  <si>
    <t>Sonnenrad</t>
  </si>
  <si>
    <t>Phys. Angriff: 12
Mag. Angriff: 30
Mag. Abwehr: 30
Beschwört Meteoriten</t>
  </si>
  <si>
    <t>Nhật Luân</t>
  </si>
  <si>
    <t>Sát thương vật lý: 12
Sát thương ma thuật: 30
Kháng ma thuật: 30
Có thể triệu hồi thiên thạch</t>
  </si>
  <si>
    <t>Ataque físico: 12
Ataque Mágico: 30
Defesa Mágica: 30
Existe chance de invocar um meteoro quando atacar</t>
  </si>
  <si>
    <t>登的陰鬱手鐮</t>
  </si>
  <si>
    <t xml:space="preserve">
物攻：18
魔攻：9
迴力鏢類型武器</t>
  </si>
  <si>
    <t>デンの陰気な鎌</t>
  </si>
  <si>
    <t>物理攻撃力：18
魔法攻撃力：9
ブーメランタイプの武器</t>
  </si>
  <si>
    <t>Den's Hand Scythe</t>
  </si>
  <si>
    <t xml:space="preserve">Physical attack: 18
Magic attack: 9
Boomerang-like weapon. Can be thrown again when caught.
</t>
  </si>
  <si>
    <t>Guadaña de mano de Den</t>
  </si>
  <si>
    <t>Ручная коса Дена</t>
  </si>
  <si>
    <t>Физический урон: 18
Магический урон: 9
(Оружие типа бумеранг)</t>
  </si>
  <si>
    <t>Dengs düstere Sense</t>
  </si>
  <si>
    <t>Phys. Angriff: 18
Mag. Angriff: 9
Bumerangartige Waffe</t>
  </si>
  <si>
    <t>Đoạt Hồn Liềm Den</t>
  </si>
  <si>
    <t>Sát thương vật lý: 18
Sát thương ma thuật: 9
Vũ khí giống như boomerang.
Có thể ném lại khi bị bắt.</t>
  </si>
  <si>
    <t>Foice de Mão de Den</t>
  </si>
  <si>
    <t xml:space="preserve">Ataque físico: 18
Ataque Mágico: 9
Arma como bumerangue. Pode ser arremessado novamente quando pego.
</t>
  </si>
  <si>
    <t>星月夜</t>
  </si>
  <si>
    <t>物攻：1
魔攻：68
黑洞</t>
  </si>
  <si>
    <t>星空の夜</t>
  </si>
  <si>
    <t>物理攻撃力: 1
魔法攻撃力: 68
ブラックホールを生成する…</t>
  </si>
  <si>
    <t>Starlit Night</t>
  </si>
  <si>
    <t>Physical attack: 1
Magic attack: 68
Can conjure Black Holes</t>
  </si>
  <si>
    <t>Noche estrellada</t>
  </si>
  <si>
    <t>Звёздная ночь</t>
  </si>
  <si>
    <t>Физический урон: 1
Магический урон: 68
(Способность: Создание Чёрной дыры)</t>
  </si>
  <si>
    <t>Sternenklare Nacht</t>
  </si>
  <si>
    <t>Physischer Angriff: 1
Magischer Angriff: 68
Kann Schwarze Löcher beschwören</t>
  </si>
  <si>
    <t>Đêm Sao Lấp Lánh</t>
  </si>
  <si>
    <t>Sát thương vật lý: 1
Sát thương ma huật: 68
Có thể thi triển Hố Đen</t>
  </si>
  <si>
    <t>Noite Estrelada</t>
  </si>
  <si>
    <t>Ataque físico: 1
Ataque Mágico: 68
Pode conjurar buracos negros</t>
  </si>
  <si>
    <t>潮汐之詩</t>
  </si>
  <si>
    <t>物攻：1
魔攻：45
魔防：20
於水中作戰時可以提升攻擊力
(波紋穿刺：可以用於炸水面；無法配合貓爪增加炸魚次數)</t>
  </si>
  <si>
    <t>潮汐の詩</t>
  </si>
  <si>
    <t xml:space="preserve">
物攻：1
魔攻：45
魔防：20
水中で戦闘すると攻撃力が上昇する
（波紋穿刺：水面の爆破に使用可能／猫の爪と併用して爆破漁の回数を増やすことはできない）
</t>
  </si>
  <si>
    <t>Tidewyrm's Song</t>
  </si>
  <si>
    <t xml:space="preserve">Physical attack: 1
Magic attack: 45
Magic defense: 20
Provides attack power boost when underwater
(???: Can be used to blast water surfaces)
</t>
  </si>
  <si>
    <t>Poema de las mareas</t>
  </si>
  <si>
    <t>Песнь Приливного змея</t>
  </si>
  <si>
    <t>Физический урон: 1
Магический урон: 45
Сопротивление магии: 20
(Заклинания рядом с водой усиливаются.
Водяной удар: Может использоваться для ловли рыбы)</t>
  </si>
  <si>
    <t>Gesang der Gezeiten</t>
  </si>
  <si>
    <t>Physischer Angriff: 1
Magischer Angriff: 45
Magische Verteidigung: 20
Im Wasserkampf kann der Angriff erhöht werden
(Wellenstich: Kann zum Sprengen der Wasseroberfläche verwendet werden)</t>
  </si>
  <si>
    <t>Khúc Ca Của Tydewyrm</t>
  </si>
  <si>
    <t>Sát thương vật lí: 1
Sát thương ma thuật: 45
Kháng ma thuật: 20
Nhận tăng sức tấn công khi ở dưới nước
(???: Có thể dùng để tấn công bề mặt nước)</t>
  </si>
  <si>
    <t>Poem of the Tides</t>
  </si>
  <si>
    <t xml:space="preserve">Ataque físico: 1
Ataque Mágico: 45
Defesa Mágica: 20
Providencia melhoria de poder de ataque de baixo da água
(???: Pode ser usado para explodir superfícies da água)
</t>
  </si>
  <si>
    <t>血狩</t>
  </si>
  <si>
    <t>物攻：20
1.續力可使用穿血箭
2.消耗自身血量提升攻擊，擊殺目標後回復血量
(血量允許超量回復，突破生命值上限並且獲得霸體)</t>
  </si>
  <si>
    <t>物理攻撃力：20
1.「血染めの矢」を使用可能
2.自身の体力を消費して攻撃力を上昇させ、敵を倒した際に体力を回復
（回復量は上限を超えて可能で、体力値の上限を突破し「覇体」を獲得できる）</t>
  </si>
  <si>
    <t>Blood Hunt</t>
  </si>
  <si>
    <t>Physical attack: 20
1. Uses blood-piercing arrows when attacking
2. Consumes own health per shot and killing enemies restores health
(Health restored this way can exceed your maximum health)</t>
  </si>
  <si>
    <t>Cazadora de Sangre</t>
  </si>
  <si>
    <t>Кровавая охота</t>
  </si>
  <si>
    <t>Физический урон: 20
1. Может использовать «Проникающую стрелу» после зарядки.
2. Расходует собственные ОЗ для увеличения атаки, восстанавливает ОЗ после победы над целью.
(Восстановление ОЗ может быть чрезмерным, превышая максимальное значение, и вы получаете неуязвимость)</t>
  </si>
  <si>
    <t>Blutjagd</t>
  </si>
  <si>
    <t>Physischer Angriff: 20
Verwendet blutdurchdringende Pfeile beim Angriff
Verbraucht eigene Gesundheit pro Schuss, und das Töten von Feinden stellt Gesundheit wieder her
(Nicht mehr als die maximale Lebenspunkte Anzahl)</t>
  </si>
  <si>
    <t>Huyết Liệt</t>
  </si>
  <si>
    <t>Sát thương vật lý: 20
1. Khi tấn công sẽ bắn ra mũi tên
xuyên thấu
2. Tiêu hao HP của bản thân mỗi lần bắn
và tiêu diệt kẻ địch sẽ hồi HP
(Lượng HP hồi phục có thể
 vượt mức tối đa)</t>
  </si>
  <si>
    <t>Caçada de Sangue</t>
  </si>
  <si>
    <t>Ataque físico: 20
1. Usa flechas perfuradoras de sangue quando ataca
2. Consome sua vida por tiro e inimigos mortos restauram sua vida
(Vida restaurada dessa forma pode exceder sua vida máxima)</t>
  </si>
  <si>
    <t>千鳥</t>
  </si>
  <si>
    <t>物攻：16
魔攻：16
雷屬性</t>
  </si>
  <si>
    <t>物理攻撃力：16
魔法攻撃力：16
雷属性</t>
  </si>
  <si>
    <t>Chidori</t>
  </si>
  <si>
    <t>Physical attack: 16
Magic attack: 16
Electric Attribute</t>
  </si>
  <si>
    <t>Чидори</t>
  </si>
  <si>
    <t>Физический урон: 16
Магический урон: 16
(Накладывает Шок)</t>
  </si>
  <si>
    <t>Tausend Vögel</t>
  </si>
  <si>
    <t>Physischer Angriff: 16
Magischer Angriff: 16
Elektro-Attribut</t>
  </si>
  <si>
    <t>Thiên Điểu</t>
  </si>
  <si>
    <t>Sát thương vật lý: 16
Sát thương ma thuật: 16
Thuộc tính Lôi</t>
  </si>
  <si>
    <t>Ataque físico: 16
Ataque Mágico: 16
Atributo elétrico</t>
  </si>
  <si>
    <t>火燒雲</t>
  </si>
  <si>
    <t>物攻：18
魔攻：18
炎屬性</t>
  </si>
  <si>
    <t>夕焼雲</t>
  </si>
  <si>
    <t xml:space="preserve">
物理攻撃力：18
魔法攻撃力：18
火属性
</t>
  </si>
  <si>
    <t>Sunset Cloud</t>
  </si>
  <si>
    <t>Physical attack: 18
Magic attack: 18
Fire Attribute</t>
  </si>
  <si>
    <t>Nubes del atardecer</t>
  </si>
  <si>
    <t>Облако на закате</t>
  </si>
  <si>
    <t>Физический урон: 18
Магический урон: 18
(Накладывает Поджог)</t>
  </si>
  <si>
    <t>Feuerwolke(Feuerbogen)</t>
  </si>
  <si>
    <t>Physischer Angriff: 18
Magischer Angriff: 18
Feuer-Attribut</t>
  </si>
  <si>
    <t>Mây Hoàng Hôn</t>
  </si>
  <si>
    <t>Sát thương vật lý: 18
Sát thương ma thật: 18
Thuộc tính lửa</t>
  </si>
  <si>
    <t>Nuvem do Entardecer</t>
  </si>
  <si>
    <t>Ataque físico: 18
Ataque Mágico: 18
Atributo de fogo</t>
  </si>
  <si>
    <t>雪見</t>
  </si>
  <si>
    <t>物攻：16
魔攻：16
冰屬性</t>
  </si>
  <si>
    <t>物理攻撃力：16
魔法攻撃力：16
氷属性</t>
  </si>
  <si>
    <t>Snow Watch</t>
  </si>
  <si>
    <t>Physical attack: 16
Magic attack: 16
Ice Attribute</t>
  </si>
  <si>
    <t>Reloj de nieve</t>
  </si>
  <si>
    <t>Снежный дозор</t>
  </si>
  <si>
    <t>Физический урон: 16
Магический урон: 16
(Накладывает Заморозку)</t>
  </si>
  <si>
    <t>Schneewacht</t>
  </si>
  <si>
    <t>Physischer Angriff: 16
Magischer Angriff: 16
Eis-Attribut</t>
  </si>
  <si>
    <t>Tuyết Giám</t>
  </si>
  <si>
    <t>Sát thương vật lý: 16
Sát thương ma thuật: 16
Thuộc tính Băng</t>
  </si>
  <si>
    <t>Vigia da Neve</t>
  </si>
  <si>
    <t>Ataque físico: 16
Ataque Mágico: 16
Atributo de gelo</t>
  </si>
  <si>
    <t>粉色品質</t>
  </si>
  <si>
    <t xml:space="preserve">ピンク品質        </t>
  </si>
  <si>
    <t>Epic</t>
  </si>
  <si>
    <t>粉色品质</t>
  </si>
  <si>
    <t>Эпический</t>
  </si>
  <si>
    <t>Sử thi</t>
  </si>
  <si>
    <t>Épico</t>
  </si>
  <si>
    <t>柳葉長劍</t>
  </si>
  <si>
    <t>物攻：32
分裂攻擊</t>
  </si>
  <si>
    <t>柳葉の剣</t>
  </si>
  <si>
    <t xml:space="preserve">
物理攻撃：32 
攻撃すると葉っぱが飛んで跳ねまわる
</t>
  </si>
  <si>
    <t>Willow Leaf</t>
  </si>
  <si>
    <t>Physical attack: 32
Chance to generate leaf shuriken when attacking</t>
  </si>
  <si>
    <t>Ивовый меч</t>
  </si>
  <si>
    <t>Физический урон: 32
(Выпускает сюрикены-листья)</t>
  </si>
  <si>
    <t>Weidenblatt</t>
  </si>
  <si>
    <t>Physischer Angriff: 32
Chance, bei Angriff Wurfsterne aus Blättern zu erzeugen</t>
  </si>
  <si>
    <t>Đại Kiếm Lá Liễu</t>
  </si>
  <si>
    <t>Sát thương vật lý: 32
Có cơ hội bắn phi tiêu
 lá liễu khi tấn công</t>
  </si>
  <si>
    <t>Espadão Folha-de-Salgueiro</t>
  </si>
  <si>
    <t>Ataque físico: 32
Pode gerar shuriken das folhas quando atacando</t>
  </si>
  <si>
    <t>斬裂劍提爾鋒</t>
  </si>
  <si>
    <t>物攻：40
發射劍波</t>
  </si>
  <si>
    <t>斬裂剣ティルフィング</t>
  </si>
  <si>
    <t xml:space="preserve">
物理攻撃力：40 
剣撃を飛ばすことが出来る
</t>
  </si>
  <si>
    <t>Tyrfing</t>
  </si>
  <si>
    <t>Physical attack: 40
Can Generate Sword Waves</t>
  </si>
  <si>
    <t>Tyrifing</t>
  </si>
  <si>
    <t>Тирфинг</t>
  </si>
  <si>
    <t>Физический урон 40
(Выпускает Волновые разрезы)</t>
  </si>
  <si>
    <t>Tyrs Schwert 
(Nordischer Kriegsgott)</t>
  </si>
  <si>
    <t>Physischer Angriff: 40
Kann Schwertwellen erzeugen</t>
  </si>
  <si>
    <t>Kiếm Tyrfing</t>
  </si>
  <si>
    <t>Sát thương vật lý: 40
Có thể thi triển kiếm khí</t>
  </si>
  <si>
    <t>Ataque físico: 40
Pode gerar ondas de espada</t>
  </si>
  <si>
    <t>寄壞劍</t>
  </si>
  <si>
    <t>物攻：36
1.對出血目標增加額外傷害
2.擊殺出血狀態的目標後，回復血量
(血量允許超量回復，突破生命值上限並且獲得霸體)</t>
  </si>
  <si>
    <t>寄壊剣</t>
  </si>
  <si>
    <t>物攻：36
1.出血状態の対象に対して追加ダメージを与える
2.出血状態の対象を撃破した後、HPを回復する
（HPは上限を超えて回復可能で、生命値上限を突破し、霸体を獲得する）</t>
  </si>
  <si>
    <t>Infested Blade</t>
  </si>
  <si>
    <t>Physical attack: 36
Applies bleed
When a target with bleed dies, restores health to the wearer
(Health restored this way can exceed your maximum health)</t>
  </si>
  <si>
    <t>Espada infestada</t>
  </si>
  <si>
    <t>기괴한 검</t>
  </si>
  <si>
    <t>Зараженный клинок</t>
  </si>
  <si>
    <t>Физический урон: 36
1. Увеличивает урон по целям с Кровотечением.
2. Восстанавливает здоровье после ликвидации цели с Кровотечением.
(Здоровье может быть наложено поверх основного)</t>
  </si>
  <si>
    <t>Infizierte Klinge</t>
  </si>
  <si>
    <t>Physischer Angriff: 36
Verursacht Blutung
Wenn ein Ziel mit Blutung stirbt, stellt es Gesundheit für den Träger wieder her
(Nicht mehr als die maximale Lebenspunkte Anzahl)</t>
  </si>
  <si>
    <t>Kiếm Ô Uế</t>
  </si>
  <si>
    <t>Sát thương vật lý: 36
Gây trạng thái Chảy Máu
Khi mục tiêu bị chảy máu chết, hồi phục
HP cho người sử dụng
(Lượng HP hồi phục có thể
 vượt mức tối đa)</t>
  </si>
  <si>
    <t>Lâmina Infestada</t>
  </si>
  <si>
    <t>Ataque físico: 36
Aplica sangramento
Quando o sangramento mata o alvo, restaura a vida do portador
(Vida restaurada dessa forma pode exceder sua vida máxima)</t>
  </si>
  <si>
    <t>2號機</t>
  </si>
  <si>
    <t>消耗金幣進行攻擊
物攻：2
魔防：20
幸運：20
*可消耗此物品使初號核心升級
(可於商店車購買)</t>
  </si>
  <si>
    <t>弍号機</t>
  </si>
  <si>
    <t>物理攻撃力：2
魔法防御力：20
幸運：20
お金を使用して依頼することが出来る
※このアイテムは初号機コアのアップグレードに使用できます
(宅配車から購入可能）</t>
  </si>
  <si>
    <t>Unit 2</t>
  </si>
  <si>
    <t>Physical attack: 2
Spend money to snipe enemies
*Gachapon Item
*This item can be used to upgrade Unit 1</t>
  </si>
  <si>
    <t>Unidad 2</t>
  </si>
  <si>
    <t>Модуль 2</t>
  </si>
  <si>
    <t>Физический урон: 2
Сопротивление магии: 20
Удача: 20
(Атака расходует деньги)
*Можно использовать для улучшения Модуля 1 "Nexus"
*Можно купить в магазине</t>
  </si>
  <si>
    <t>Einheit Zwei</t>
  </si>
  <si>
    <t>Physischer Angriff: 2
Gibt Geld aus, um Feinde zu treffen</t>
  </si>
  <si>
    <t>Đơn vị số 2</t>
  </si>
  <si>
    <t>Sát thương vật lý: 2
Dùng tiền dể gọi hỗ trợ bắn tỉa
*Vật phẩm Gacha</t>
  </si>
  <si>
    <t>Unidade 2</t>
  </si>
  <si>
    <t>Ataque físico: 2
Ganha dinheiro para atirar nos inimigos
*Item do Gachapon
*Esse item pode ser usado para melhorar a unidade 1</t>
  </si>
  <si>
    <t>三頭連弓地獄犬</t>
  </si>
  <si>
    <t>物攻：32
連發</t>
  </si>
  <si>
    <t>三頭連弓ケルベロス</t>
  </si>
  <si>
    <t xml:space="preserve">
物理攻撃力：32
3本まとめて射る！        
</t>
  </si>
  <si>
    <t>Hellhound Cursed Bow</t>
  </si>
  <si>
    <t>Physical attack: 32
Splits into multiple projectiles</t>
  </si>
  <si>
    <t>Arco maldito del perro infernal</t>
  </si>
  <si>
    <t>Адская Гончая</t>
  </si>
  <si>
    <t>Физический урон: 32
(Быстрая стрельба)</t>
  </si>
  <si>
    <t>Verfluchter Höllenhundbogen</t>
  </si>
  <si>
    <t>Physischer Angriff: 32
Schießt eine Kette aus Projektilen</t>
  </si>
  <si>
    <t>Huyết Khuyển</t>
  </si>
  <si>
    <t>Sát thương vật lý: 32
Bắn liên hoàn</t>
  </si>
  <si>
    <t>Arco Amaldiçoado Cão-do-Inferno</t>
  </si>
  <si>
    <t>Ataque físico: 32
Separa em muitos projéties</t>
  </si>
  <si>
    <t>金色品質</t>
  </si>
  <si>
    <t>金品質</t>
  </si>
  <si>
    <t>Legendary</t>
  </si>
  <si>
    <t>金色品质</t>
  </si>
  <si>
    <t>Легендарный</t>
  </si>
  <si>
    <t>Huyền thoại</t>
  </si>
  <si>
    <t>Lendário</t>
  </si>
  <si>
    <t>克里烏之光</t>
  </si>
  <si>
    <t>物攻：32
魔攻：36
無視防禦、隱形刀刃
*稀有品扭蛋品</t>
  </si>
  <si>
    <t>クラウ・ソラス</t>
  </si>
  <si>
    <t xml:space="preserve">
物理攻撃力：32
魔法攻撃力：36
防御力無視、不可視の刃
*ガチャのレアアイテム
</t>
  </si>
  <si>
    <t>Claiohm Solais</t>
  </si>
  <si>
    <t>Physical attack: 32
Magic attack: 36
Ignores defense, Transparent
*Rare Gachapon Item</t>
  </si>
  <si>
    <r>
      <rPr>
        <rFont val="Microsoft JhengHei"/>
        <color theme="1"/>
        <sz val="10.0"/>
      </rPr>
      <t>物攻：32 
魔攻：36 
无视防御、隐形刀刃 
*稀有扭蛋物品、</t>
    </r>
    <r>
      <rPr>
        <rFont val="Microsoft JhengHei"/>
        <strike/>
        <color theme="1"/>
        <sz val="10.0"/>
      </rPr>
      <t>阿瓦隆</t>
    </r>
  </si>
  <si>
    <t>Световой меч</t>
  </si>
  <si>
    <t>Физический урон: 32
Магический урон: 36
(Игнорирует защиту. Невидимый клинок)
*Редкий предмет из Гачи</t>
  </si>
  <si>
    <t>Schwert des Lichts</t>
  </si>
  <si>
    <t xml:space="preserve">Physischer Angriff: 32
Magischer Angriff: 36
Ignoriert Verteidigung, durchsichtig
Seltenes Gachapon-Item
</t>
  </si>
  <si>
    <t>Claíomh Solais</t>
  </si>
  <si>
    <t>Sát thương vật lý: 32
Sát thương ma thuật: 36
Bỏ qua phòng thủ, trong suốt
*Vật phẩm Gacha hiếm</t>
  </si>
  <si>
    <t>Ataque físico: 32
Ataque Mágico: 36
Ignora defesa, Transparente
*Item do Gachapon Raro</t>
  </si>
  <si>
    <t>荒古榮光</t>
  </si>
  <si>
    <t>物攻：36
特殊指令強化
*稀有品扭蛋品</t>
  </si>
  <si>
    <t>荒古の栄光</t>
  </si>
  <si>
    <t>物理攻撃力：36
特殊コマンド強化
※レアガシャポンアイテム</t>
  </si>
  <si>
    <t>Ancient Glory</t>
  </si>
  <si>
    <t>Physical attack: 36
Gain enhancement on
command input
*Rare Gachapon Item</t>
  </si>
  <si>
    <t>Древняя слава</t>
  </si>
  <si>
    <t>Физический урон: 36
(Усиляет после ввода специальной команды)
*Редкий предмет из Гачи</t>
  </si>
  <si>
    <t>Uralter Ruhm</t>
  </si>
  <si>
    <t>Physischer Angriff: 36
Erhält Verstärkung durch Eingabebefehl
Seltenes Gachapon-Item</t>
  </si>
  <si>
    <t>Vinh Quang Cổ Đại</t>
  </si>
  <si>
    <t>Sát thương vật lý: 36
Tăng cường hiệu ứng khi nhập lệnh
*Vật phẩm Gacha hiếm</t>
  </si>
  <si>
    <t>Glória Ancestral</t>
  </si>
  <si>
    <t>Ataque físico: 36
Ganha melhoria com entrada de comando
*Item do Gachapon Raro</t>
  </si>
  <si>
    <t>儀式的御柱</t>
  </si>
  <si>
    <t>物攻：66
物防：6
魔防：66
高耐久度
遊戲時間整點時，可提升大量屬性增益</t>
  </si>
  <si>
    <t>儀式の御柱</t>
  </si>
  <si>
    <t>物理攻撃力：66
物理防御力：6
魔法防御力：66
高い耐久性
ゲーム時間の整数倍時に多数の属性バフが付与されます</t>
  </si>
  <si>
    <t>Ritual Pillar</t>
  </si>
  <si>
    <t>Physical attack: 66
Physical defense: 6
Magic defense: 66
High durability
All attributes are increased depending on the time (by hour)</t>
  </si>
  <si>
    <t>Ритуальный столб</t>
  </si>
  <si>
    <t>Физический урон: 66
Защита: 6
Сопротивление магии: 66
(Высокая прочность.
В конце каждого часа вы получаете благословение, повышающее ваши характеристики)</t>
  </si>
  <si>
    <t>Ritualsäule</t>
  </si>
  <si>
    <t>Physischer Angriff: 66
Physische Verteidigung: 6
Magische Verteidigung: 66
Hohe Haltbarkeit
Zur vollen Stunde der Spielzeit können große Statusboni aktiviert werden</t>
  </si>
  <si>
    <t>Nghi Thức Ngự Trụ</t>
  </si>
  <si>
    <t xml:space="preserve">Sát thương vật lí: 66
Phòng thủ vật lí: 6
Kháng ma thuật: 66
</t>
  </si>
  <si>
    <t>Pilar do Ritual</t>
  </si>
  <si>
    <t xml:space="preserve">Ataque Físico: 66
Defesa Física: 6
Defesa mágica: 66
Alta durabilidade
No início de cada hora durante o jogo, proporcionará um aumento significativo nos atributos.
</t>
  </si>
  <si>
    <t>裝備項目</t>
  </si>
  <si>
    <t>裝備屬性</t>
  </si>
  <si>
    <t>Equipment</t>
  </si>
  <si>
    <t>Экипировка</t>
  </si>
  <si>
    <t>Ausrüstung</t>
  </si>
  <si>
    <t>Ausrüstungseffekte</t>
  </si>
  <si>
    <t>Trang bị</t>
  </si>
  <si>
    <t>Equipamentos</t>
  </si>
  <si>
    <t>雨天娃娃</t>
  </si>
  <si>
    <t>魔抗：10
幸運：10
第二天雨天(消耗品)</t>
  </si>
  <si>
    <t>あめあめ坊主</t>
  </si>
  <si>
    <t>魔法耐性：10
幸運：10
装備して寝ると雨になる(消耗品)</t>
  </si>
  <si>
    <t>Ame Bozu</t>
  </si>
  <si>
    <t>Magic defense: 10
Luck: 10
Next day will be Rainy (Will be consumed)</t>
  </si>
  <si>
    <t>아메아메보즈</t>
  </si>
  <si>
    <t>마법 방어력 : 10
행운 : 10
다음 날 비</t>
  </si>
  <si>
    <t>Дождливая кукла</t>
  </si>
  <si>
    <t>Сопротивление магии: 10
Удача: 10
(Следующий день будет Дождливым, а этот предмет израсходуется)</t>
  </si>
  <si>
    <t>Puppe des Regens</t>
  </si>
  <si>
    <t>Magieabwehr: 10
Glück: 10
Der nächste Tag wird regnerisch</t>
  </si>
  <si>
    <t>Búp Bê Cầu Mưa</t>
  </si>
  <si>
    <t xml:space="preserve">Kháng ma thuật: 10
May mắn: 10
Trời mưa vào ngày mai </t>
  </si>
  <si>
    <t>Ame Ame Bouzu</t>
  </si>
  <si>
    <t>Defesa Mágica: 10
Sorte: 10
Próximo dia será chuvoso.</t>
  </si>
  <si>
    <t>炎天娃娃</t>
  </si>
  <si>
    <t>魔抗：10
幸運：10
第二天炎熱(消耗品)</t>
  </si>
  <si>
    <t>あつあつ坊主</t>
  </si>
  <si>
    <t>魔法耐性：10
幸運：10
これを持って寝ると翌日は猛暑になる…(消耗品)</t>
  </si>
  <si>
    <t>Atsu Bozu</t>
  </si>
  <si>
    <t>Magic defense: 10
Luck: 10
Next day will be Extremely Hot (Will be consumed)</t>
  </si>
  <si>
    <t>Обжигающая кукла</t>
  </si>
  <si>
    <t>Сопротивление магии: 10
Удача: 10
(Следующий день будет Жирким, а этот предмет израсходуется)</t>
  </si>
  <si>
    <t>Puppe des heißen Wetters</t>
  </si>
  <si>
    <t>Magieabwehr: 10
Glück: 10
Der nächste Tag wird extrem heiß sein</t>
  </si>
  <si>
    <t>Búp Bê Cầu Nắng Gắt</t>
  </si>
  <si>
    <t>Kháng ma thuật: 10
May mắn: 10
Trời cực nóng vào ngày mai</t>
  </si>
  <si>
    <t>Atsu Atsu Bouzu</t>
  </si>
  <si>
    <t>Defesa Mágica: 10
Sorte: 10
Próximo dia será extremamente quente</t>
  </si>
  <si>
    <t>陰天娃娃</t>
  </si>
  <si>
    <t>魔抗：10
幸運：10
第二天陰天(消耗品)</t>
  </si>
  <si>
    <t>くもくも坊主</t>
  </si>
  <si>
    <t>魔法耐性：10
幸運：10
装備して寝ると曇りになる(消耗品)</t>
  </si>
  <si>
    <t>Kumo Bozu</t>
  </si>
  <si>
    <t>Magic defense: 10
Luck: 10
Next day will be Cloudy (Will be consumed)</t>
  </si>
  <si>
    <t>쿠모쿠모보즈</t>
  </si>
  <si>
    <t>마법 방어력 : 10
행운 : 10
다음 날 흐림</t>
  </si>
  <si>
    <t>Облачная кукла</t>
  </si>
  <si>
    <t>Сопротивление магии: 10
Удача: 10
(Следующий день будет Облачным, а этот предмет израсходуется)</t>
  </si>
  <si>
    <t>Puppe des Bewölkten</t>
  </si>
  <si>
    <t>Magieabwehr: 10
Glück: 10
Der nächste Tag wird bewölkt</t>
  </si>
  <si>
    <t>Búp Bê Cầu Mây</t>
  </si>
  <si>
    <t>Kháng ma thuật: 10
May mắn: 10
Trời nhiều mây vào ngày mai.</t>
  </si>
  <si>
    <t>Kumo Kumo Bouzu</t>
  </si>
  <si>
    <t>Defesa Mágica: 10
Sorte: 10
Próximo dia será nublado.</t>
  </si>
  <si>
    <t>晴天娃娃</t>
  </si>
  <si>
    <t>魔抗：10
幸運：10
第二天晴天(消耗品)</t>
  </si>
  <si>
    <t>てるてる坊主</t>
  </si>
  <si>
    <t>魔法耐性：10
幸運：10
装備して寝ると晴れになる(消耗品)</t>
  </si>
  <si>
    <t>Teru Bozu</t>
  </si>
  <si>
    <t>Magic defense: 10
Luck: 10
Next day will be Sunny (Will be consumed)</t>
  </si>
  <si>
    <t>테루테루보즈</t>
  </si>
  <si>
    <t>마법 방어력 : 10
행운 : 10
다음 날 맑음</t>
  </si>
  <si>
    <t>Солнечная Кукла</t>
  </si>
  <si>
    <t>Сопротивление магии: 10
Удача: 10
(Следующий день будет Солнечным, а этот предмет израсходуется)</t>
  </si>
  <si>
    <t>Puppe des Sonnenscheins</t>
  </si>
  <si>
    <t>Magieabwehr: 10
Glück: 10
Der nächste Tag wird sonnig</t>
  </si>
  <si>
    <t xml:space="preserve">Búp Bê Cầu Nắng </t>
  </si>
  <si>
    <t>Kháng ma thuật: 10
May mắn: 10
Trời nắng vào ngày mai.</t>
  </si>
  <si>
    <t>Teru Teru Bouzu</t>
  </si>
  <si>
    <t>Defesa Mágica: 10
Sorte: 10
Próximo dia será ensolarado.</t>
  </si>
  <si>
    <t>廁紙</t>
  </si>
  <si>
    <t>物防：1
降低出血傷害</t>
  </si>
  <si>
    <t>トイレットペーパー</t>
  </si>
  <si>
    <t>物理防御：1
出血ダメージを軽減します</t>
  </si>
  <si>
    <t>Toilet Paper</t>
  </si>
  <si>
    <t>Physical defense: 1
Reduces damage from bleeding</t>
  </si>
  <si>
    <t>물리 방어력 : 1
출혈 방어</t>
  </si>
  <si>
    <t>Туалетная бумага</t>
  </si>
  <si>
    <t>Защита: 1
(Снижает риск кровотечения)</t>
  </si>
  <si>
    <t>Toilettenpapier</t>
  </si>
  <si>
    <t>Physische Verteidigung: 1
Schützt vor Blutungseffekten</t>
  </si>
  <si>
    <t>Giấy Vệ Sinh</t>
  </si>
  <si>
    <t>Phòng thủ vật lý: 1
Giảm sát thương Chảy Máu</t>
  </si>
  <si>
    <t>Papel Higiênico</t>
  </si>
  <si>
    <t>Defesa física: 1
Reduz o dano quando sangrando</t>
  </si>
  <si>
    <t>芳草心</t>
  </si>
  <si>
    <t>物防：1
魔抗：10
幸運：5
提升最大體力</t>
  </si>
  <si>
    <t>物理防御力：1
魔法耐性：10
幸運：5
最大HPを増加</t>
  </si>
  <si>
    <t>Fragrant Grass Ring</t>
  </si>
  <si>
    <t>Physical defense: 1
Magic defense: 10
Luck: 5
Increases maximum HP</t>
  </si>
  <si>
    <t>향기로운 풀의 마음</t>
  </si>
  <si>
    <t>물리 방어력 : 1
마법 방어력 : 10
행운 : 5
최대 체력 증가</t>
  </si>
  <si>
    <t>Кольцо из душистой травы</t>
  </si>
  <si>
    <t>Защита: 1
Сопротивление магии: 10
Удача: 5
(Увеличивает максимальное количество ОЗ)</t>
  </si>
  <si>
    <t>Duftgrasring</t>
  </si>
  <si>
    <t>Physische Verteidigung: 1
Magieabwehr: 10
Glück: 5
Erhöht das maximale HP</t>
  </si>
  <si>
    <t>Nhẫn Cỏ Thảo Hương</t>
  </si>
  <si>
    <t>Phòng thủ vật lý: 1
Kháng ma thuật: 10
May mắn: 5
Tăng HP tối đa</t>
  </si>
  <si>
    <t>Anel da Relva Fragrante</t>
  </si>
  <si>
    <t>Defesa física: 1
Defesa Mágica: 10
Sorte: 5
Aumenta PV máximo
Quanto mais equipados mais forte fica</t>
  </si>
  <si>
    <t>綠龜殼</t>
  </si>
  <si>
    <t>物防：20
魔抗：60
增加游泳移速、降低陸地移速</t>
  </si>
  <si>
    <t>緑の甲羅</t>
  </si>
  <si>
    <t>物理防御力：20
魔法耐性：60
水泳速度が上昇し、陸上移動速度が低下</t>
  </si>
  <si>
    <t>Green Turtle Shell</t>
  </si>
  <si>
    <t>Physical defense: 20
Magic defense: 60
Increases swim speed, decreases land movement speed</t>
  </si>
  <si>
    <t>Черепаший панцирь</t>
  </si>
  <si>
    <t>Защита: 20
Сопротивление магии: 60
(Увеличивает скорость плавания, снижает скорость передвижения по суше)</t>
  </si>
  <si>
    <t>Mai Rùa Xanh</t>
  </si>
  <si>
    <t>Phòng thủ vật lý: 20
Kháng ma thuật: 60
Tăng tốc độ bơi, giảm tốc độ di chuyển trên cạn</t>
  </si>
  <si>
    <t>Casco de Tartaruga Verde</t>
  </si>
  <si>
    <t>Defesa física: 20
Defesa Mágica: 60
Aumenta velocidade de natação, reduz velocidade na terra</t>
  </si>
  <si>
    <t>獵人服</t>
  </si>
  <si>
    <t>物防：3
魔抗：10
站在草地上回復體力</t>
  </si>
  <si>
    <t>ハンター服</t>
  </si>
  <si>
    <t>物理防御力：3
魔法耐性：10
草の上にいる間、スタミナが回復する</t>
  </si>
  <si>
    <t>Hunter's Garb</t>
  </si>
  <si>
    <t>Physical defense: 3
Luck: 10
Standing still on grass regenerates health over time</t>
  </si>
  <si>
    <t>Одежда охотника</t>
  </si>
  <si>
    <t>Защита: 3
Сопротивление магии: 10
(Восстанавливает ОЗ, стоя на траве)</t>
  </si>
  <si>
    <t>Trang Phục Thợ Săn</t>
  </si>
  <si>
    <t>Phòng thủ vật lý: 3
May mắn: 10
Đứng yên trên cỏ sẽ hồi phục máu theo thời gian</t>
  </si>
  <si>
    <t>Traje do Caçador</t>
  </si>
  <si>
    <t>Defesa física: 3
Sorte: 10
Ficar parado na grama regenera PV ao longo do tempo</t>
  </si>
  <si>
    <t>獵人腰帶</t>
  </si>
  <si>
    <t>物防：1
小幅提升：體力上限、移動速度、裝備攜帶數量</t>
  </si>
  <si>
    <t>ハンターのベルト</t>
  </si>
  <si>
    <t>物理防御力: 1
体力+20、移動速度強化
武器の所持数+5、携行できる装備+5</t>
  </si>
  <si>
    <t>Hunter's Belt</t>
  </si>
  <si>
    <t>Physical Defense: 1
Max HP +20, movement speed increased
Extra weapon and gear slot +5</t>
  </si>
  <si>
    <t>Пояс охотника</t>
  </si>
  <si>
    <t>Защита: 1
(Незначительные усиления: Макс. ОЗ, Скорость передвижения, Вместимость снаряжения)</t>
  </si>
  <si>
    <t>Đai Thợ Săn</t>
  </si>
  <si>
    <t>Phòng thủ vật lý: 1
Máu tối đa +20, tốc độ di chuyển tăng
Kho vũ khí và trang bị +5</t>
  </si>
  <si>
    <t>Cinto do Caçador</t>
  </si>
  <si>
    <t>Defesa física: 1
PV máx +20, aumenta a velocidade de movimento
Espaços para armas e equipamentos +5</t>
  </si>
  <si>
    <t>獵人短刀</t>
  </si>
  <si>
    <t>物攻：6
幸運：20
肉類掉落機率翻倍(包含炸魚)</t>
  </si>
  <si>
    <t>ハンターの短刀</t>
  </si>
  <si>
    <t>物理攻撃力: 6
幸運: 20
肉のドロップ率が上がる</t>
  </si>
  <si>
    <t>Hunter's Dagger</t>
  </si>
  <si>
    <t xml:space="preserve">Physical attack 6:
Luck: 20
Doubles the chance of dropping meat (including fish)
</t>
  </si>
  <si>
    <t>Кинжал охотника</t>
  </si>
  <si>
    <t>Физический урон: 6
Удача: 20
(Шанс выпадения мяса удвоен (включая жареную рыбу))</t>
  </si>
  <si>
    <t>Dao Găm Thợ Săn</t>
  </si>
  <si>
    <t>Sát thương vật lý 6:
May mắn: 20
Tăng gấp đôi cơ hội rơi ra thịt (bao gồm cả cá)</t>
  </si>
  <si>
    <t>Adaga do Caçador</t>
  </si>
  <si>
    <t xml:space="preserve">Ataque físico 6:
Sorte: 20
Dobra a chance de cair carne(inclui peixe)
</t>
  </si>
  <si>
    <t>安全手套</t>
  </si>
  <si>
    <t>物攻：1
物防：2
魔抗：45
防禦雷電</t>
  </si>
  <si>
    <t>安全手袋</t>
  </si>
  <si>
    <t>物理攻撃力: 1
物理防御力: 2
魔法耐性: 45
感電を防ぐ</t>
  </si>
  <si>
    <t>Safety Gloves</t>
  </si>
  <si>
    <t>Physical attack: 1
Physical defense: 2
Magic defense: 45
Greatly reduces damage taken from lightning</t>
  </si>
  <si>
    <t>Защитные перчатки</t>
  </si>
  <si>
    <t>Физический урон: 1
Защита: 2
Сопротивление магии: 45
(Защита от электричества)</t>
  </si>
  <si>
    <t>Găng Tay Bảo Hộ</t>
  </si>
  <si>
    <t>Sát thương vật lý: 1
Phòng thủ vật lý: 2
Kháng ma thuật: 45
Giảm đáng kể sát thương nhận phải từ sét</t>
  </si>
  <si>
    <t>Luvas de Proteção</t>
  </si>
  <si>
    <t>Ataque físico: 1
Defesa física: 2
Defesa Mágica: 45
Reduz enormemente o dano recebido por eletricidade</t>
  </si>
  <si>
    <t>豬豬存錢罐</t>
  </si>
  <si>
    <t>幸運：40
撿錢(100萬進化)、易碎</t>
  </si>
  <si>
    <t>豚の貯金箱</t>
  </si>
  <si>
    <t>幸運: 40 
お金を見つけると勝手に貯金する(100万で進化)
すぐ壊れる</t>
  </si>
  <si>
    <t>Piggy Bank</t>
  </si>
  <si>
    <t>Luck: 40
Collects money (up to 1 million)
Fragile</t>
  </si>
  <si>
    <t>행운 : 40
돈을 자동으로 주움(최대 100만까지) 내구성이 약함(잘 부서짐)</t>
  </si>
  <si>
    <t>Свинка-копилка</t>
  </si>
  <si>
    <t>Удача: 40
(Хранит деньги
(Улучшается с 1 миллионом).
Хрупкая)</t>
  </si>
  <si>
    <t>Sparschwein</t>
  </si>
  <si>
    <t>Glück: 40
Sammelt Geld (bis zu 1 Million).
Zerbrechlich</t>
  </si>
  <si>
    <t>Heo Đất</t>
  </si>
  <si>
    <t>May mắn: 40
Thu thập tiền (tối đa 1 triệu)
Dễ vỡ</t>
  </si>
  <si>
    <t xml:space="preserve"> Cofrinho</t>
  </si>
  <si>
    <t>Sorte: 40
Coleta dinheiro (Até 1 milhão)
Frágil</t>
  </si>
  <si>
    <t>炸薯條</t>
  </si>
  <si>
    <t>フライドポテト</t>
  </si>
  <si>
    <t>Potato Chips</t>
  </si>
  <si>
    <t>Картофель Фри</t>
  </si>
  <si>
    <t>Pommes Frites</t>
  </si>
  <si>
    <t>Hunger im reallife</t>
  </si>
  <si>
    <t>Khoai Tây Chiên</t>
  </si>
  <si>
    <t>Batata Frita</t>
  </si>
  <si>
    <t>陰暗爬行者的餽贈</t>
  </si>
  <si>
    <t>移動速度提升
必定獲得特殊狀態</t>
  </si>
  <si>
    <t>闇這いの贈り物</t>
  </si>
  <si>
    <t xml:space="preserve">
移動速度が上昇する
■■■■の視線を引き付ける…
</t>
  </si>
  <si>
    <t>Shadowcrawler's Gift</t>
  </si>
  <si>
    <t xml:space="preserve">Increases movement speed
Puts you under a special status inflicted by a certain enemy
</t>
  </si>
  <si>
    <t>阴暗爬行者的馈赠</t>
  </si>
  <si>
    <t>移动速度提升
必定获得特殊状态</t>
  </si>
  <si>
    <t>Подарок Теней</t>
  </si>
  <si>
    <t>Увеличенная скорость передвижения.
Накладывает особый эффект статуса</t>
  </si>
  <si>
    <t>Quà tặng của Shadowcrawler</t>
  </si>
  <si>
    <t>Tăng tốc độ di chuyển
Chắc chắn nhận được trạng thái đặc biệt</t>
  </si>
  <si>
    <t>Presente do Rastejador Sombrio</t>
  </si>
  <si>
    <t>Aumento da velocidade de movimento.
Coloca você sob um status especial por um certo inimigo (B).</t>
  </si>
  <si>
    <t>鐵覘</t>
  </si>
  <si>
    <t>物防：15
魔抗：10
詳細說明於Tips</t>
  </si>
  <si>
    <t>金床</t>
  </si>
  <si>
    <t>物理防御力：15
魔法耐性：10
詳細はヒントをご覧ください</t>
  </si>
  <si>
    <t>Anvil</t>
  </si>
  <si>
    <t>Physical defense: 15
Magic defense: 10
Forging system. Refer to TIPS for more info.</t>
  </si>
  <si>
    <t>Кузнечная наковальня</t>
  </si>
  <si>
    <t>Защита: 15
Сопротивление магии: 10
(Подробное объяснение в разделе «Tips»)</t>
  </si>
  <si>
    <t>Cái Đe</t>
  </si>
  <si>
    <t>Phòng thủ vật lý: 15
Kháng ma thuật: 10
Hệ thống rèn. 
Tham khảo TIPS để biết thêm thông tin.</t>
  </si>
  <si>
    <t>Bigorna</t>
  </si>
  <si>
    <r>
      <rPr>
        <rFont val="Microsoft JhengHei"/>
        <color theme="1"/>
      </rPr>
      <t xml:space="preserve">Defesa física: 15
Defesa Mágica: 10
Sistema de forja. Consulte as </t>
    </r>
    <r>
      <rPr>
        <rFont val="Microsoft JhengHei"/>
        <i/>
        <color theme="1"/>
      </rPr>
      <t xml:space="preserve">TIPS </t>
    </r>
    <r>
      <rPr>
        <rFont val="Microsoft JhengHei"/>
        <color theme="1"/>
      </rPr>
      <t>para mais informações.</t>
    </r>
  </si>
  <si>
    <t>初號機樞I~VII</t>
  </si>
  <si>
    <t>可以於技能欄位中，消耗特定物品進行提升機甲的型態，由此獲得新能力
魔抗：20~??
*無法丟棄或破壞
(請見TIPS說明)</t>
  </si>
  <si>
    <t>初号機コアI~VII</t>
  </si>
  <si>
    <t xml:space="preserve">
機甲の形態を強化し、能力を獲得する
魔法耐性：20~??
※捨てたり破壊したりはできない
（詳細はTIPSを参照）
</t>
  </si>
  <si>
    <t>Unit 1 Nexus I~VII</t>
  </si>
  <si>
    <t xml:space="preserve">Part of the "Unit" series. Upgradeable.
Magic defense: 20~??
*Cannot be dropped or destroyed
(See TIPS)
</t>
  </si>
  <si>
    <t>Модуль 1 "Nexus" (1-7)</t>
  </si>
  <si>
    <t>Сопротивление магии: 20~??
Вы можете улучшать свой модуль, используя определённые предметы в слотах навыков, получая таким образом новые способности.
*Не может быть выброшен или уничтожен
(Подробное объяснение в разделе «Tips»)</t>
  </si>
  <si>
    <t>Erster Kern</t>
  </si>
  <si>
    <t>Verbessert die Form des Mechas und verleiht Fähigkeiten
Magische Abwehr: 20~??
*Kann nicht weggeworfen oder zerstört werden
(Siehe TIPPS für weitere Informationen)</t>
  </si>
  <si>
    <t>Một phần của series "Unit". Có thể nâng cấp được
Kháng ma thuật: 20~??
*Không thể vứt đi hay phá hủy
(Xem TIPS)</t>
  </si>
  <si>
    <t>Unidade 1 Nexus I~VII</t>
  </si>
  <si>
    <r>
      <rPr>
        <rFont val="Microsoft JhengHei"/>
        <color theme="1"/>
      </rPr>
      <t xml:space="preserve">Parte da serie "Unidade". atualizável.
Defesa Mágica: 20~??
*Não pode ser destruído ou perdido
(Veja </t>
    </r>
    <r>
      <rPr>
        <rFont val="Microsoft JhengHei"/>
        <i/>
        <color theme="1"/>
      </rPr>
      <t>TIPS</t>
    </r>
    <r>
      <rPr>
        <rFont val="Microsoft JhengHei"/>
        <color theme="1"/>
      </rPr>
      <t xml:space="preserve">)
</t>
    </r>
  </si>
  <si>
    <t>把草莓奪回來！!</t>
  </si>
  <si>
    <t>指令類型裝備
(請見技能欄位)</t>
  </si>
  <si>
    <t>いちごをとりもどせ!!</t>
  </si>
  <si>
    <t>コマンドタイプの装備
(スキルスロット参照)</t>
  </si>
  <si>
    <t>Ichigo Wo Torimodose!!</t>
  </si>
  <si>
    <t>Command Skill Equipment. Refer to the skills tab when worn to see the command</t>
  </si>
  <si>
    <t>Верни мою клубничку!</t>
  </si>
  <si>
    <t>Командное оборудование (См. слоты навыков)</t>
  </si>
  <si>
    <t>Giành Lại Tình Yêu!!</t>
  </si>
  <si>
    <t>Trang bị kỹ năng lệnh. 
Xem ở tab kỹ năng khi đeo để xem lệnh</t>
  </si>
  <si>
    <t>Recupere o Ichigo!!</t>
  </si>
  <si>
    <t>Equipamento com técnica usada com comando. Consulte a aba da técnica quando vestido para ver o comando</t>
  </si>
  <si>
    <t>Hiếm gặp</t>
  </si>
  <si>
    <t>蘋果頭套</t>
  </si>
  <si>
    <t>幸運：10
概率回復</t>
  </si>
  <si>
    <t>リンゴヘルメット</t>
  </si>
  <si>
    <t>運：10
偶に回復する</t>
  </si>
  <si>
    <t>Apple Headgear</t>
  </si>
  <si>
    <t>Luck: 10
Chance to recover HP when hit</t>
  </si>
  <si>
    <t>Diadema de manzana</t>
  </si>
  <si>
    <t>Suerte: 10 
Posibilidad de recuperar HP al recibir daño</t>
  </si>
  <si>
    <t>사과 머리띠</t>
  </si>
  <si>
    <t>행운 : 10
피격 시 일정 확률로 HP 회복</t>
  </si>
  <si>
    <t>Яблочный головной убор</t>
  </si>
  <si>
    <t>Удача: 10
(Шанс получить лечение при ранении)</t>
  </si>
  <si>
    <t>Apfelkopfbedeckung</t>
  </si>
  <si>
    <t>Glück: 10
Chance, HP wiederherzustellen, wenn du getroffen wirst</t>
  </si>
  <si>
    <t>Mũ Táo</t>
  </si>
  <si>
    <t>May mắn: 10
Có tỷ lệ hồi phục HP khi bị tấn công</t>
  </si>
  <si>
    <t>Capacete de Maçã</t>
  </si>
  <si>
    <t>Sorte: 10
Chance to recover HP when hit</t>
  </si>
  <si>
    <t>受詛胎體</t>
  </si>
  <si>
    <t>體力上升，基礎25，額外加成2%
體力恢复效果提升20%</t>
  </si>
  <si>
    <t>呪われた胎児</t>
  </si>
  <si>
    <t>スタミナが増加（基本25、追加ボーナス2%）。スタミナ回復効果が20%増加</t>
  </si>
  <si>
    <t>Cursed Fetus</t>
  </si>
  <si>
    <t>Max health increased by 25, with an additional 2% HP bonus.
Recovery effects increased by 20%</t>
  </si>
  <si>
    <t>체력 25 증가, 추가 보너스 2%
체력 회복 효과 20% 증가</t>
  </si>
  <si>
    <t>Проклятый зародыш</t>
  </si>
  <si>
    <t xml:space="preserve">Выносливость увеличена с базового значения в 25, с дополнительным бонусом в 2%. Эффект восстановления выносливости увеличен на 20%.
</t>
  </si>
  <si>
    <t>Verfluchter Fötus</t>
  </si>
  <si>
    <t>Physische Stärke erhöht, Basis 25, zusätzlicher Bonus 2%.
Effekt der physischen Stärke-Wiederherstellung um 20% erhöht</t>
  </si>
  <si>
    <t>Bào Thai Bị Nguyền Rủa</t>
  </si>
  <si>
    <t>HP tăng từ mức cơ bản là 25, cộng thêm 2%.
HP hồi phục tăng 20%.</t>
  </si>
  <si>
    <t>Feto Amaldiçoado</t>
  </si>
  <si>
    <t>O PV máximo aumenta em 25, com um bônus adicional de 2% dos PV.
Aumenta o efeito de recuperação em 20%</t>
  </si>
  <si>
    <t>魔力晶簇</t>
  </si>
  <si>
    <t>魔攻：20
魔抗：10
加快吟唱、提升魔法威力上限</t>
  </si>
  <si>
    <t>魔晶クラスター</t>
  </si>
  <si>
    <t>魔法攻撃力：20
魔法耐性：10
詠唱時間を短縮し、最大魔法威力を増加</t>
  </si>
  <si>
    <t>Mana Crystal Cluster</t>
  </si>
  <si>
    <t>Magic attack: 20
Magic defense: 10
Boosts casting speed and magic power cap</t>
  </si>
  <si>
    <t>마력 수정체</t>
  </si>
  <si>
    <t>마법 공격력 : 20
마법 방어력 : 10
시전속도와 마법 관통력 상승</t>
  </si>
  <si>
    <t>Кластер мана-кристаллов</t>
  </si>
  <si>
    <t>Магический урон: 20
Сопротивление магии: 10
(Ускоряет произнесение заклинаний.
Увеличивает максимальный магический урон)</t>
  </si>
  <si>
    <t>Manakristallbündel</t>
  </si>
  <si>
    <t>Magieangriff: 20
Magieabwehr: 10
Erhöht die Zaubergeschwindigkeit und Magiekraft</t>
  </si>
  <si>
    <t>Cụm Tinh Thạch Mana</t>
  </si>
  <si>
    <t>Sát thương ma thuật: 20
Kháng ma thuật: 10
Tăng tốc độ niệm phép và giới hạn sức mạnh phép thuật</t>
  </si>
  <si>
    <t>Aglomerado de Cristais de Mana</t>
  </si>
  <si>
    <t>Ataque Mágico: 20
Defesa Mágica: 10
Acelera a velocidade de conjuração e aumenta o limite do poder mágico</t>
  </si>
  <si>
    <t>借來的貓爪</t>
  </si>
  <si>
    <t>物攻：5
攻擊力、攻速上升</t>
  </si>
  <si>
    <t>借りネコの手</t>
  </si>
  <si>
    <t>物理攻撃力：5
攻撃力上昇、攻撃速度上昇</t>
  </si>
  <si>
    <t>Borrowed Neko Claws</t>
  </si>
  <si>
    <t>Physical attack: 5
Increases attack speed.
Increases attack</t>
  </si>
  <si>
    <t>Garras de gato prestadas</t>
  </si>
  <si>
    <t>고양이 손</t>
  </si>
  <si>
    <t>물리 공격력 : 5
공격속도와 이동속도 증가</t>
  </si>
  <si>
    <t>Одолжённые когти Неко</t>
  </si>
  <si>
    <t>Физический урон: 5
(Увеличивает силу и скорость атаки)</t>
  </si>
  <si>
    <t>Geliehene Katzenkrallen</t>
  </si>
  <si>
    <t>Physische Angriffskraft: 5
Erhöht die Angriffsgeschwindigkeit und Bewegungsgeschwindigkeit</t>
  </si>
  <si>
    <t>Vuốt Mèo Vay Mượn</t>
  </si>
  <si>
    <t>Sát thương vật lý: 5
Tăng tốc độ đánh.
Tăng tốc độ di chuyển.</t>
  </si>
  <si>
    <t>Garras de Neko Emprestadas</t>
  </si>
  <si>
    <t>Ataque físico: 5
Aumenta velocidade de ataque.
Aumenta ataque</t>
  </si>
  <si>
    <t>貓貓玩偶服</t>
  </si>
  <si>
    <t>物防：3
魔抗：25
武器數量+10
裝備數量+20</t>
  </si>
  <si>
    <t>ネコぬいぐるみ服</t>
  </si>
  <si>
    <t>物防：3
魔抗：25
武器の所持数+10
裝備の所持数+20</t>
  </si>
  <si>
    <t>Neko Plush Suit</t>
  </si>
  <si>
    <t>Physical defense: 3
Magic defense: 25
Weapon slots +10
Gear slots +20
*Gachapon Item</t>
  </si>
  <si>
    <t>Traje de gato de peluche</t>
  </si>
  <si>
    <t xml:space="preserve">물리 방어력 : 3
마법 방어력 : 25
무기 소지 수 + 10
장비 소지 수 + 20
</t>
  </si>
  <si>
    <t>Костюм плюшевого кота</t>
  </si>
  <si>
    <t>Защита: 3
Сопротивление магии: 25
(Количество оружия +10.
Количество снаряжения +20)</t>
  </si>
  <si>
    <t xml:space="preserve">Neko Plüschanzug </t>
  </si>
  <si>
    <t>Physische Verteidigung: 3
Magieabwehr: 25
Waffenplätze +10
Ausrüstungsplätze +20</t>
  </si>
  <si>
    <t>Trang Phục Mèo Bông</t>
  </si>
  <si>
    <t>Phòng thủ vật lý: 3
Kháng ma thuật: 25
Kho vũ khí +10
Kho trang bị +20
*Vật phẩm Gacha</t>
  </si>
  <si>
    <t>Traje de Pelúcia de Neko</t>
  </si>
  <si>
    <t>Defesa física: 3
Defesa Mágica: 25
Espaços para arma +10
Espaços para equipamento +20
*Item de Gachapon</t>
  </si>
  <si>
    <t>借來的貓足</t>
  </si>
  <si>
    <t>攻速、移速上升
閃步冷卻時間縮短</t>
  </si>
  <si>
    <t>借りネコの足</t>
  </si>
  <si>
    <t xml:space="preserve">攻撃力上昇、移動速度上昇、閃歩CT短縮
</t>
  </si>
  <si>
    <t>Borrowed Neko Paws</t>
  </si>
  <si>
    <t>Increases attack speed.
Increases movement speed.
Reduces cooldown of Senpo</t>
  </si>
  <si>
    <t>고양이 발</t>
  </si>
  <si>
    <t xml:space="preserve">공격속도와 이동속도 증가
플래시 스텝 쿨다운 감소
</t>
  </si>
  <si>
    <t>Увеличивает скорость атаки и передвижения, сокращает перезарядку Сенпо</t>
  </si>
  <si>
    <t>Geliehene Katzenpfote</t>
  </si>
  <si>
    <t>Erhöht die Angriffsgeschwindigkeit.
Erhöht die Bewegungsgeschwindigkeit und Reduziert die Abklingzeit von Senpo.</t>
  </si>
  <si>
    <t>Chân Mèo Vay Mượn</t>
  </si>
  <si>
    <t>Tăng tốc độ đánh.
Tăng tốc độ di chuyển.
Giảm thời gian hồi chiêu của Senpo</t>
  </si>
  <si>
    <t>Patinhas de Neko Emprestada</t>
  </si>
  <si>
    <t>Aumenta velocidade de ataque
Aumenta a velocidade de movimento.
Reduz o tempo de recarga do Senpo</t>
  </si>
  <si>
    <t>寶石劍</t>
  </si>
  <si>
    <t>魔攻：15
魔抗：20
幸運：20
消耗寶石強化攻擊</t>
  </si>
  <si>
    <t>魔法攻撃力: 15
魔法耐性: 20
幸運: 20 宝石を消費して攻撃力を強化</t>
  </si>
  <si>
    <t>Jeweled Armament</t>
  </si>
  <si>
    <t>Magic attack: 15
Magic defense: 20
Luck: 20
Randomly consumes a gem to boost damage
The higher the quality of the game is, the more damage it deals</t>
  </si>
  <si>
    <t>Оружие с драгоценными камнями</t>
  </si>
  <si>
    <t>Магический урон: 15
Сопротивление магии: 20
Удача: 20
(Использует драгоценные камни для усиления атаки)</t>
  </si>
  <si>
    <t>Vũ Khí Khảm Ngọc</t>
  </si>
  <si>
    <t>Sát thương ma thuật: 15
Kháng ma thuật: 20
May mắn: 20
Ngẫu nhiên tiêu thụ một viên ngọc để tăng sát thương
Chất lượng trò chơi càng cao, sát thương gây ra càng nhiều</t>
  </si>
  <si>
    <t>Arma Joalhada</t>
  </si>
  <si>
    <t>Ataque Mágico: 15
Defesa Mágica: 20
Sorte: 20
Aleatoriamente consome gemas para aumentar o dano
Quanto maior a qualidade da gema, mais dano extra ela dá</t>
  </si>
  <si>
    <t>破顏拳套</t>
  </si>
  <si>
    <t>物攻：6
物防：1
裝備時無法穿戴武器。
機率性根據對方最大生命值，造成額外傷害。
額外傷害的數值為3倍暴擊傷害，但若敵人血量大於此數值的1%，則改為敵人血量的1%。
穿戴多個可以提升觸發機率。</t>
  </si>
  <si>
    <t>破顔グローブ</t>
  </si>
  <si>
    <t>物理攻撃力：6
物理防御力：1
装備中は武器を装備できません
敵の最大体力に応じて追加ダメージを与える可能性があります
追加ダメージはクリティカルヒットダメージの3倍ですが、敵の体力がこの値の1%を超える場合、敵の体力の1%に減少します
複数装備すると発動確率が上昇します</t>
  </si>
  <si>
    <t>Face Breaker</t>
  </si>
  <si>
    <t>Physical attack: 6
Physical defense: 1
Unable to wear weapons while equipped
Punching may deal bonus damage based on HP
*Gachapon Item</t>
  </si>
  <si>
    <t>Rompe caras</t>
  </si>
  <si>
    <t>Ataque Físico: 6
Defensa Física: 1
Incapaz de equipar armas mientras lo lleves puesto
golpear a puño podria hacer daño bonus basado en el HP</t>
  </si>
  <si>
    <t>Ломатель лиц</t>
  </si>
  <si>
    <t>Физический урон: 6
Защита: 1
(Оружие нельзя носить, пока оно экипировано. Существует вероятность нанесения дополнительного урона в зависимости от максимального здоровья противника. Дополнительный урон в 3 раза превышает урон от критического удара, но если здоровье противника превышает 1% от этого значения, он будет уменьшен до 1% от здоровья противника. Ношение нескольких копий увеличивает вероятность срабатывания)</t>
  </si>
  <si>
    <t>Schädelbrecher</t>
  </si>
  <si>
    <t>Physischer Angriff: 6
Physische Verteidigung: 1
Kann keine Waffen tragen, während dieses Item ausgerüstet ist
Faustangriffe verursachen möglicherweise Bonusschaden basierend auf der aktuellen HP</t>
  </si>
  <si>
    <t>Găng Tay Huỷ Dung</t>
  </si>
  <si>
    <t>Sát thương vật lý: 6
Phòng thủ vật lý: 1
Không thể dùng vũ khí khi đang trang bị
Đấm có thể gây thêm sát thương dựa trên HP
*Vật phẩm Gacha</t>
  </si>
  <si>
    <t>Quebra-Faces</t>
  </si>
  <si>
    <t>Ataque físico: 6
Defesa física: 1
Incapaz de usar armas enquanto equipado
Socar pode dar um bônus de dano baseado no PV
*Item de Gachapon</t>
  </si>
  <si>
    <t>萌萌兔耳</t>
  </si>
  <si>
    <t>物防：1
幸運：60
增加物品掉落率</t>
  </si>
  <si>
    <t>モエモエバニーイヤー</t>
  </si>
  <si>
    <t xml:space="preserve">物理防御力: 1
幸運: 60
アイテムドロップ率アップ
</t>
  </si>
  <si>
    <t>Moe Bunny Ears</t>
  </si>
  <si>
    <t>Physical defense: 1
Luck: 60
Increases item drop rate</t>
  </si>
  <si>
    <t>Милые кроличьи ушки</t>
  </si>
  <si>
    <t>Защита: 1
Удача: 60
(Увеличивает вероятность выпадения предметов)</t>
  </si>
  <si>
    <t>Süße Hasenohren</t>
  </si>
  <si>
    <t>Physische Verteidigung: 1
Glück: 60</t>
  </si>
  <si>
    <t>Tai Thỏ Moe</t>
  </si>
  <si>
    <t>Phòng thủ vật lý: 1
May mắn: 60
Tăng tỉ lệ rơi vật phẩm</t>
  </si>
  <si>
    <t>Orelhas de Coelhinha Moe</t>
  </si>
  <si>
    <t>Defesa física: 1
Sorte: 60
Aumenta a taxa de queda de item</t>
  </si>
  <si>
    <t>女僕制服</t>
  </si>
  <si>
    <t>物防：4
魔抗：4
幸運：30
無法攻擊、特殊效果</t>
  </si>
  <si>
    <t>メイド服</t>
  </si>
  <si>
    <t>物理防御力: 4
魔法耐性: 4
幸運: 30
魔物に擬態するが攻撃不可になる
メイドバニーと友好関係になる</t>
  </si>
  <si>
    <t>Maid Uniform</t>
  </si>
  <si>
    <t>Physical defense: 4
Magic defense: 4
Luck: 30
Unable to attack, receive special effects</t>
  </si>
  <si>
    <t>메이드복</t>
  </si>
  <si>
    <t>물리 방어력 : 4
마법 방어력 : 4
행운 : 30
공격 불가, 특수효과</t>
  </si>
  <si>
    <t>Форма горничной</t>
  </si>
  <si>
    <t>Защита: 4
Сопротивление магии: 4
Удача: 30
(Не может атаковать. Особый эффект)</t>
  </si>
  <si>
    <t>Dienstmädchen Uniform</t>
  </si>
  <si>
    <t>Physische Verteidigung und Magieabwehr: 4
Glück: 30 
Kann nicht angreifen, erhält besondere Effekte.</t>
  </si>
  <si>
    <t>Đồng Phục Hầu Gái</t>
  </si>
  <si>
    <t>Phòng thủ vật lý: 4
Kháng ma thuật: 4
May mắn: 30
Không thể tấn công, nhận hiệu ứng đặc biệt</t>
  </si>
  <si>
    <t>Uniforme de Maid</t>
  </si>
  <si>
    <t>Defesa física: 4
Defesa Mágica: 4
Sorte: 30
Capaz de atacar, recebe efeito especial</t>
  </si>
  <si>
    <t>毅力頭巾</t>
  </si>
  <si>
    <t>物防：2
體力上升5%、增加了15%全異常抗性、15%機率免死</t>
  </si>
  <si>
    <t>気合のハチマキ</t>
  </si>
  <si>
    <t>体質強化、状態異常に強くなり低確率で致命傷を無効化する</t>
  </si>
  <si>
    <t>Determination Headband</t>
  </si>
  <si>
    <t>Physical Defense 2:
Physical damage increased by 5%
15% chance to resist status ailments
15% chance to resist death</t>
  </si>
  <si>
    <t>기합의 머리띠</t>
  </si>
  <si>
    <t>물리 방어력 : 2
체력 5% 증가 
모든 상태 이상 내성 15% 증가
즉사 내성 15% 증가</t>
  </si>
  <si>
    <t>Повязка решимости</t>
  </si>
  <si>
    <t>Защита: 2
(Увеличивает выносливость на 5%.
Снижает шанс наложения негативных статусов.
Есть небольшой шанс устоять перед смертельным уроном)</t>
  </si>
  <si>
    <t>Stirnband der Entschlossenheit</t>
  </si>
  <si>
    <t>Physische Verteidigung: 2:
Erhöht den physischen Schaden um 5%.
15% Chance, Statusveränderungen zu widerstehen und 15% Chance, dem Tod zu widerstehen.</t>
  </si>
  <si>
    <t>Băng Đô Kiên Định</t>
  </si>
  <si>
    <t>Phòng thủ vật lý 2:
Sát thương vật lý tăng 5%
15% khả năng kháng trạng thái bất lợi
15% khả năng kháng tử</t>
  </si>
  <si>
    <t>Faixa de Determinação</t>
  </si>
  <si>
    <t>Defesa física 2:
Aumento de dano físico em 5%
15% chance de resistir a redução de status
15% chance de resistir à morte</t>
  </si>
  <si>
    <t>武術家護腕</t>
  </si>
  <si>
    <t>物攻：3
減少物理系武器耐久消耗、提升攻速和拳擊的傷害</t>
  </si>
  <si>
    <t>武闘家のリスト</t>
  </si>
  <si>
    <t>物理攻撃力：3
物理武器の耐久度消費を減らし、攻撃速度とパンチダメージを増加させます</t>
  </si>
  <si>
    <t>Physical attack: 3
Increases attack speed
Increases fist damaage
Reduces the durability consumption of physical weapons by 12%</t>
  </si>
  <si>
    <t>Наручи бойца</t>
  </si>
  <si>
    <t>Физический урон: 3
(Снижает расход прочности физического оружия.
Увеличивает скорость атаки и урон от удара)</t>
  </si>
  <si>
    <t>Handschutz des Kampfkünstlers</t>
  </si>
  <si>
    <t>Physischer Angriff: 3
Reduziert den Verbrauch von Waffenhaltbarkeit, erhöht die Angriffsgeschwindigkeit und den Boxschaden</t>
  </si>
  <si>
    <t>Băng Tay Võ Sĩ</t>
  </si>
  <si>
    <t>Sát thương vật lý: 3
Tăng tốc độ đánh
Tăng sát thương cú đấm
Giảm tiêu thụ độ bền vũ khí 12%</t>
  </si>
  <si>
    <t>Braçadeiras do Artista Marcial</t>
  </si>
  <si>
    <t>Ataque físico: 3
Aumenta a velocidade de ataque
Aumenta dano dos punhos
Reduz o consumo da durabilidade das armas físicas em 12%</t>
  </si>
  <si>
    <t>武術家之鞋</t>
  </si>
  <si>
    <t>物防：2
魔抗：10
閃步效果强化</t>
  </si>
  <si>
    <t>武闘家の靴</t>
  </si>
  <si>
    <t>物理防御力：2
魔法耐性：10
移動速度強化、閃歩強化</t>
  </si>
  <si>
    <t>Martial Arists Shoes</t>
  </si>
  <si>
    <t>Physical defense: 2
Magic defense: 10
Enhances "Senpo"
*Gachapon Item</t>
  </si>
  <si>
    <t>Обувь бойца</t>
  </si>
  <si>
    <t>Защита: 2
Сопротивление магии: 10
(Увеличивает скорость передвижения.
Усиливает Сенпо)</t>
  </si>
  <si>
    <t>Schuhe des Kampfkünstlers</t>
  </si>
  <si>
    <t>Physische Verteidigung: 2
Magieabwehr: 10
Verbessert "Senpo".</t>
  </si>
  <si>
    <t>Giày Võ Sĩ</t>
  </si>
  <si>
    <t>Phòng thủ vật lý: 2
Kháng ma thuật: 10
Cường hóa "Senpo"
*Vật phẩm Gacha</t>
  </si>
  <si>
    <t>Botas do Artista Marcial</t>
  </si>
  <si>
    <t>Defesa física: 2
Defesa Mágica: 10
Melhora "Senpo"
*Item do Gachapon</t>
  </si>
  <si>
    <t>穿刺釘盔</t>
  </si>
  <si>
    <t>物攻：4
物防：2
傷害型防具</t>
  </si>
  <si>
    <t>鋼刺の兜</t>
  </si>
  <si>
    <t>物理攻撃: 4
物理防御: 2
付近の敵にダメージを与える</t>
  </si>
  <si>
    <t>Piercing Spike Helmet</t>
  </si>
  <si>
    <t>Physical attack: 4
Physical defense: 2
Damages nearby enemies</t>
  </si>
  <si>
    <t>관통 가시 투구</t>
  </si>
  <si>
    <t>물리 공격력 : 4
물리 방어력 : 2
주변 적들에게 피해를 줌</t>
  </si>
  <si>
    <t>Шлем с шипами</t>
  </si>
  <si>
    <t>Физический урон: 4
Защита: 2
(Броня, наносящая урон)</t>
  </si>
  <si>
    <t>Durchbohrender Stachelhelm</t>
  </si>
  <si>
    <t>Physischer Angriff: 4
Physische Verteidigung: 2
Verursacht Schaden an nahe Feinde.</t>
  </si>
  <si>
    <t>Mũ Gai Xuyên Phá</t>
  </si>
  <si>
    <t>Sát thương vật lý: 4
Phòng thủ vật lý: 2
Gây sát thương lên kẻ địch xung quanh</t>
  </si>
  <si>
    <t>Elmo de Espinhos Perfurantes</t>
  </si>
  <si>
    <t>Ataque físico: 4
Defesa física: 2
inimigos próximos recebem dano</t>
  </si>
  <si>
    <t>穿刺釘甲</t>
  </si>
  <si>
    <t>物攻：2
物防：6
傷害型防具</t>
  </si>
  <si>
    <t>鋼刺の鎧</t>
  </si>
  <si>
    <t>物理攻撃: 2
物理防御: 6
付近の敵にダメージを与える</t>
  </si>
  <si>
    <t>Piercing Spike Armour</t>
  </si>
  <si>
    <t>Physical attack: 2
Physical defense: 6
Damages nearby enemies</t>
  </si>
  <si>
    <t>관통 가시 갑옷</t>
  </si>
  <si>
    <t>물리 공격력 : 2
물리 방어력 : 6
주변 적들에게 피해를 줌</t>
  </si>
  <si>
    <t>Нагрудник с шипами</t>
  </si>
  <si>
    <t>Физический урон: 2
Защита: 6
(Броня, наносящая урон)</t>
  </si>
  <si>
    <t>Durchbohrende Stachelrüstung</t>
  </si>
  <si>
    <t>Physischer Angriff: 2
Physische Verteidigung: 6
Verursacht Schaden an nahe Feinde.</t>
  </si>
  <si>
    <t>Giáp Gai Xuyên Phá</t>
  </si>
  <si>
    <t>Sát thương vật lý: 2
Phòng thủ vật lý: 6
Gây sát thương lên kẻ địch xung quanh</t>
  </si>
  <si>
    <t>Armadura de Espinhos Perfurantes</t>
  </si>
  <si>
    <t>Ataque físico: 2
Defesa física: 6
Inimigos próximos recebem dano</t>
  </si>
  <si>
    <t>穿刺臂鎧</t>
  </si>
  <si>
    <t>物攻：5
物防：1
傷害型防具</t>
  </si>
  <si>
    <t>鋼刺の篭手</t>
  </si>
  <si>
    <t>物理攻撃: 5
物理防御: 1
付近の敵にダメージを与える</t>
  </si>
  <si>
    <t>Piercing Spike Gauntlets</t>
  </si>
  <si>
    <t>Physical attack: 5
Physical defense: 1
Damages nearby enemies</t>
  </si>
  <si>
    <t>관통 가시 장갑</t>
  </si>
  <si>
    <t>물리 공격력 : 5
물리 방어력 : 1
주변 적들에게 피해를 줌</t>
  </si>
  <si>
    <t>Рукавицы с шипами</t>
  </si>
  <si>
    <t>Физический урон: 5
Защита: 1
(Броня, наносящая урон)</t>
  </si>
  <si>
    <t>Durchbohrende Stachelarmschienen</t>
  </si>
  <si>
    <t>Physischer Angriff: 5
Physische Verteidigung: 1
Verursacht Schaden an nahe Feinde</t>
  </si>
  <si>
    <t>Găng Gai Xuyên Phá</t>
  </si>
  <si>
    <t>Sát thương vật lý: 5
Phòng thủ vật lý: 1
Gây sát thương lên kẻ địch xung quanh</t>
  </si>
  <si>
    <t>Manoplas de Espinhos Perfurantes</t>
  </si>
  <si>
    <t>Ataque físico: 5
Defesa física: 1
Inimigos próximos recebem dano</t>
  </si>
  <si>
    <t>穿刺釘鞋</t>
  </si>
  <si>
    <t>物攻：2
物防：2
傷害型防具</t>
  </si>
  <si>
    <t>鋼刺の靴</t>
  </si>
  <si>
    <t>物理攻撃: 2
物理防御: 2
移動時に付近の敵にダメージを与える</t>
  </si>
  <si>
    <t>Piercing Spike Boots</t>
  </si>
  <si>
    <t>Physical attack: 2
Physical defense2
Damages nearby enemies</t>
  </si>
  <si>
    <t>Botas con pinchos perforadores</t>
  </si>
  <si>
    <t>관통 가시 부츠</t>
  </si>
  <si>
    <t>물리 공격력 : 2
물리 방어력 : 2
주변 적들에게 피해를 줌</t>
  </si>
  <si>
    <t>Сапоги с шипами</t>
  </si>
  <si>
    <t>Физический урон: 2
Защита: 2
(Броня, наносящая урон)</t>
  </si>
  <si>
    <t>Durchbohrende Stiefel</t>
  </si>
  <si>
    <t>Physischer Angriff: 2
Physische Verteidigung 2
Verursacht Schaden an nahe Feinde.</t>
  </si>
  <si>
    <t>Giày Gai Xuyên Phá</t>
  </si>
  <si>
    <t>Sát thương vật lý: 2
Phòng thủ vật lý: 2
Gây sát thương lên kẻ địch xung quanh</t>
  </si>
  <si>
    <t>Ataque físico: 2
Defesa física2
Inimigos próximos recebem dano</t>
  </si>
  <si>
    <t>騎士頭盔</t>
  </si>
  <si>
    <t>物防：5
魔抗：2
低體力加防禦</t>
  </si>
  <si>
    <t>騎士の兜</t>
  </si>
  <si>
    <t>物理防御力：5
魔法耐性：2
HPが低いと防御力が上昇</t>
  </si>
  <si>
    <t>Knight's Helmet</t>
  </si>
  <si>
    <t>Physical defense: 5
Magic defense: 2
Gain bonus physical defense when HP is low</t>
  </si>
  <si>
    <t>기사의 투구</t>
  </si>
  <si>
    <t>물리 방어력 : 5
마법 방어력 : 2
체력이 적을 때 추가 효과를 얻음</t>
  </si>
  <si>
    <t>Рыцарский шлем</t>
  </si>
  <si>
    <t>Защита: 5
Сопротивление магии: 2
(Низкий уровень здоровья повышает защиту)</t>
  </si>
  <si>
    <t>Helm des Ritters</t>
  </si>
  <si>
    <t>Physische Verteidigung: 5
Magieabwehr: 2
Erhält Boni, wenn HP niedrig sind</t>
  </si>
  <si>
    <t>Mũ Hiệp Sĩ</t>
  </si>
  <si>
    <t>Phòng thủ vật lý: 5
Kháng ma thuật: 2
Nhận hiệu ứng phòng thủ vật lý cộng thêm khi HP thấp</t>
  </si>
  <si>
    <t>Elmo do Cavaleiro</t>
  </si>
  <si>
    <t>Defesa física: 5
Defesa Mágica: 2
Ganha bônus de defesa física quando o PV está baixo</t>
  </si>
  <si>
    <t>騎士鎧甲</t>
  </si>
  <si>
    <t>物防：10
魔抗：4
低體力加防禦</t>
  </si>
  <si>
    <t>騎士の鎧</t>
  </si>
  <si>
    <t>物理防御力: 10
魔法耐性: 4
スタミナが低いと防御力が上昇</t>
  </si>
  <si>
    <t>Knight's Armor</t>
  </si>
  <si>
    <t>Physical defense: 10
Magic defense: 4
Gain bonus physical defense when HP is low</t>
  </si>
  <si>
    <t>기사의 갑옷</t>
  </si>
  <si>
    <t>물리 방어력 : 10
마법 방어력 : 4
체력이 적을 때 추가 효과를 얻음</t>
  </si>
  <si>
    <t>Рыцарский нагрудник</t>
  </si>
  <si>
    <t>Защита: 10
Сопротивление магии: 4
(Низкий уровень здоровья повышает защиту)</t>
  </si>
  <si>
    <t>Rüstung des Ritters</t>
  </si>
  <si>
    <t>Physische Verteidigung: 10
Magieabwehr: 4
Erhält Boni, wenn HP niedrig sind</t>
  </si>
  <si>
    <t>Giáp Hiệp sĩ</t>
  </si>
  <si>
    <t>Phòng thủ vật lý: 10
Kháng ma thuật: 4
Nhận hiệu ứng phòng thủ vật lý cộng thêm khi HP thấp</t>
  </si>
  <si>
    <t>Armadura do Cavaleiro</t>
  </si>
  <si>
    <t>Defesa física: 10
Defesa Mágica: 4
Ganha bônus de defesa física quando PV está baixo</t>
  </si>
  <si>
    <t>騎士護臂</t>
  </si>
  <si>
    <t>物攻：3
物防：3
低體力加攻擊、防禦</t>
  </si>
  <si>
    <t>騎士の篭手</t>
  </si>
  <si>
    <t>物理攻撃：3
物理防御：3
HPが少ないときに攻撃力と防御力が上昇します</t>
  </si>
  <si>
    <t>Knight's Gauntlets</t>
  </si>
  <si>
    <t>Physical defense: 3
Magic defense: 3
Gain bonus attack and physical defense when HP is low</t>
  </si>
  <si>
    <t>Guanteletes de Caballero</t>
  </si>
  <si>
    <t>기사의 장갑</t>
  </si>
  <si>
    <t>물리 방어력 : 3
마법 방어력 : 3
체력이 적을 때 추가 효과를 얻음</t>
  </si>
  <si>
    <t>Рыцарские рукавицы</t>
  </si>
  <si>
    <t>Физический урон: 3
Защита: 3
(Увеличивает атаку и защиту при низком ОЗ)</t>
  </si>
  <si>
    <t>Armschienen des Ritters</t>
  </si>
  <si>
    <t>Physische Verteidigung: 3
Magieabwehr: 3
Erhält Boni, wenn HP niedrig sind</t>
  </si>
  <si>
    <t>Găng Tay Hiệp Sĩ</t>
  </si>
  <si>
    <t>Phòng thủ vật lý: 3
Kháng ma thuật: 3
Nhận hiệu ứng tấn công và phòng thủ vật lý cộng thêm khi HP thấp</t>
  </si>
  <si>
    <t>Manoplas do Cavaleiro</t>
  </si>
  <si>
    <t>Defesa física: 3
Defesa Mágica: 3
Ganha bônus de ataque e defesa física quando o PV está baixo</t>
  </si>
  <si>
    <t>騎士脛甲</t>
  </si>
  <si>
    <t>物防：2
魔抗：2
低體力加移速</t>
  </si>
  <si>
    <t>騎士の靴</t>
  </si>
  <si>
    <t>物理防御力：2
魔法耐性：2
スタミナ低下、移動速度上昇</t>
  </si>
  <si>
    <t>Knight's Greaves</t>
  </si>
  <si>
    <t>Physical defense: 2
Magic defense: 2
Gain bonus movement speed when HP is low</t>
  </si>
  <si>
    <t>기사의 경갑</t>
  </si>
  <si>
    <t>물리 방어력 : 2
마법 방어력 : 2
체력이 적을 때 추가 효과를 얻음</t>
  </si>
  <si>
    <t>Рыцарские поножи</t>
  </si>
  <si>
    <t>Защита: 2
Сопротивление магии: 2
(Низкая выносливость, повышенная скорость передвижения)</t>
  </si>
  <si>
    <t>Beinschienen des Ritters</t>
  </si>
  <si>
    <t>Physische Verteidigung: 2
Magieabwehr: 2
Erhält Boni, wenn HP niedrig sind</t>
  </si>
  <si>
    <t>Giày Hiệp Sĩ</t>
  </si>
  <si>
    <t>Phòng thủ vật lý: 2
Kháng ma thuật: 2
Nhận hiệu ứng tốc chạy cộng thêm khi HP thấp</t>
  </si>
  <si>
    <t>Caneleiras do Cavaleiro</t>
  </si>
  <si>
    <t>Defesa física: 2
Defesa Mágica: 2
Ganha bônus de velocidade de movimento quando o PV está baixo</t>
  </si>
  <si>
    <t>倒吊人的骨戒</t>
  </si>
  <si>
    <t>物防：2
魔抗：15
掉落傷害減免</t>
  </si>
  <si>
    <t>ハングドマンの骨戒</t>
  </si>
  <si>
    <t>物理防御力: 2
魔法耐性: 15
落下ダメージ軽減</t>
  </si>
  <si>
    <t>Hanged Man's Bone Ring</t>
  </si>
  <si>
    <t>Physical defense: 2
Magic defense: 15
Reduce damage from falling</t>
  </si>
  <si>
    <t>매달린 남자의 뼈 반지</t>
  </si>
  <si>
    <t>물리 방어력 : 2
마법 방어력 : 15
낙하 피해 감소</t>
  </si>
  <si>
    <t>Костяное кольцо Повешенного</t>
  </si>
  <si>
    <t>Защита: 2
Сопротивление магии: 15
(Снижает урон от падения)</t>
  </si>
  <si>
    <t>Knochenring des Gehängten</t>
  </si>
  <si>
    <t>Physische Verteidigung: 2
Magieabwehr: 15
Reduziert den Fallschaden</t>
  </si>
  <si>
    <t>Nhẫn Xương Tử Tội</t>
  </si>
  <si>
    <t>Phòng thủ vật lý: 2
Kháng ma thuật: 15
Giảm sát thương khi ngã</t>
  </si>
  <si>
    <t>Anel de Osso do Homem Enforcado</t>
  </si>
  <si>
    <t>Defesa física: 2
Defesa Mágica: 15
Reduz o dano quando caindo</t>
  </si>
  <si>
    <t>熔岩戒指</t>
  </si>
  <si>
    <t>物防：2
魔功：15
魔抗：60
降低結冰、炎上的機率</t>
  </si>
  <si>
    <t>溶岩リング</t>
  </si>
  <si>
    <t>物理防御：2
魔法攻撃：15
魔法耐性：60
凍結と燃焼の可能性を軽減します</t>
  </si>
  <si>
    <t>Lava Ring</t>
  </si>
  <si>
    <t>Physical defense: 2
Magic attack: 15
Magic defense: 60
Reduces chances of being Frozen or Burned</t>
  </si>
  <si>
    <t>물리 방어력 : 2
마법 공격력 : 15
마법 방어력 : 60
빙결이나 화상에 걸릴 확률 감소</t>
  </si>
  <si>
    <t>Кольцо лавы</t>
  </si>
  <si>
    <t>Защита: 2
Магический урон: 15
Сопротивление магии: 60
(Снижает вероятность заморозки и ожога)</t>
  </si>
  <si>
    <t>Physische Verteidigung: 2
Magieangriff: 15
Magieabwehr: 60
Reduziert die Chance, eingefroren oder verbrannt zu werden</t>
  </si>
  <si>
    <t>Nhẫn Hoả Ngục</t>
  </si>
  <si>
    <t>Phòng thủ vật lý: 2
Sát thương ma thuật: 15
Kháng ma thuật: 60
Giảm khả năng bị đóng băng hoặc thiêu đốt</t>
  </si>
  <si>
    <t>Anel de Lava</t>
  </si>
  <si>
    <t>Defesa física: 2
Ataque Mágico: 15
Defesa Mágica: 60
Reduz a chance de ser congelado ou queimado</t>
  </si>
  <si>
    <t>火蠑螈之卷</t>
  </si>
  <si>
    <t>魔攻：25
魔防：15
強化火焰元素</t>
  </si>
  <si>
    <t>火サンショウウオの書</t>
  </si>
  <si>
    <t>魔法攻撃力：25
魔法防御力：15
火属性を強化</t>
  </si>
  <si>
    <t>Volumen Salamandrae</t>
  </si>
  <si>
    <t>Magic attack: 25
Magic defense: 15
Strengthens fire element attribute</t>
  </si>
  <si>
    <t>Гримуар Саламандры</t>
  </si>
  <si>
    <t xml:space="preserve">Магический урон: 25
Сопротивление магии: 15
(Усиленная стихия огня)
</t>
  </si>
  <si>
    <t>Rolle des Feuersalamanders</t>
  </si>
  <si>
    <t>Mag. Angriff: 25
Mag. Abwehr: 15
Verstärkt Feuerelement</t>
  </si>
  <si>
    <t>Cổ Thư Hỏa Linh
Salamander</t>
  </si>
  <si>
    <t>Sát thương ma thuật: 25
Kháng ma thuật: 15
Cường hóa thuộc tính hỏa</t>
  </si>
  <si>
    <t>Ataque Mágico: 25
Defesa Mágica: 15
Fortalece o atributo do elemento fogo</t>
  </si>
  <si>
    <t>縱火狂的防燙手套</t>
  </si>
  <si>
    <t>物攻：4
魔抗：8
幸運：4
增強炸彈效果
(丟炸彈概率連環爆炸)</t>
  </si>
  <si>
    <t>放火狂のグローブ</t>
  </si>
  <si>
    <t>物理攻撃力: 4
魔法耐性: 8
幸運: 4
爆弾効果強化
(爆弾投下時に連鎖爆発の確率)</t>
  </si>
  <si>
    <t>Arsonist's Gloves</t>
  </si>
  <si>
    <t>Physical attack 4:
Magic defense: 8
Luck: 4
Bombs detonated by self is enhanced
(Thrown bombs have a chance to explode multiple times)</t>
  </si>
  <si>
    <t>방화범의 장갑</t>
  </si>
  <si>
    <t>물리 공격력 : 4
폭탄 피해 강화</t>
  </si>
  <si>
    <t>Перчатки Поджигателя</t>
  </si>
  <si>
    <t>Физический урон: 4
Сопротивление магии: 8
Удача: 4
(Усиленный эффект бомбы
(Вероятность цепного взрыва при броске бомбы))</t>
  </si>
  <si>
    <t>Handschuhe des Brandstifters</t>
  </si>
  <si>
    <t>Physischer Angriff 4:
Bomben, die durch dich detoniert werden, werden verstärkt</t>
  </si>
  <si>
    <t>Găng Tay Hoả Ngục</t>
  </si>
  <si>
    <t>Sát thương vật lý: 4
Kháng ma thuật: 8
May mắn: 4
Bom tự kích nổ được tăng cường
(Ném bom có khả năng phát nổ bom nhiều lần</t>
  </si>
  <si>
    <t>Luvas do Incendiário</t>
  </si>
  <si>
    <t>Ataque físico 4:
Defesa Mágica: 8
Sorte: 4
Bombas auto detonadas são melhoradas
(Arremessar bombas tem uma chance de explodir multiplas vezes)</t>
  </si>
  <si>
    <t>護刃眾的徽章</t>
  </si>
  <si>
    <t>減少攻擊力、攻擊上限降低至200
降低武器耐久度消耗</t>
  </si>
  <si>
    <t>攻撃力が20％下がり攻撃力上限が200まで下がる
武器の耐久の減少が20％軽減される</t>
  </si>
  <si>
    <t>Bladekeeper's Badge</t>
  </si>
  <si>
    <t>Reduces attack power and imposes an attack limit cap to 200
Weapons now consume 20% less durability</t>
  </si>
  <si>
    <t>Значок Хранителя Клинков</t>
  </si>
  <si>
    <t>Снижена сила атаки, максимальный урон уменьшен до 200.
Снижен расход прочности оружия.</t>
  </si>
  <si>
    <t>Huy Hiệu Thủ Hộ Kiếm</t>
  </si>
  <si>
    <t xml:space="preserve">Giảm sức mạnh tấn công và
áp đặt giới hạn tấn công là 200
Vũ khí giờ đây tiêu thụ độ bền ít hơn 20% </t>
  </si>
  <si>
    <t>Insígnia dos Guardiões da Lâmina</t>
  </si>
  <si>
    <t>Reduz o poder de ataque e impoem um limite de ataque com teto de 200
Armas agora consomem menos de 20% de durabilidade</t>
  </si>
  <si>
    <t>少女的祈禱</t>
  </si>
  <si>
    <t>幸運：60
增加獲得特定物品的機率</t>
  </si>
  <si>
    <t>少女の祈り</t>
  </si>
  <si>
    <t>幸運：60
特定のアイテムを獲得する確率が上昇します</t>
  </si>
  <si>
    <t>A Maiden's Prayer</t>
  </si>
  <si>
    <t>Luck: 40
Increases chance of obtaining Salmon and King Salmon when fishing</t>
  </si>
  <si>
    <t>少女的祈祷</t>
  </si>
  <si>
    <t>幸运：60
增加钓鱼时获得鲑鱼/帝王鲑的概率</t>
  </si>
  <si>
    <t>Молитва девы</t>
  </si>
  <si>
    <t>Удача: 40
Увеличивает шанс поймать Лосося и Королевского Лосося на рыбалке.</t>
  </si>
  <si>
    <t>Thiếu Nữ Cầu Nguyện</t>
  </si>
  <si>
    <t xml:space="preserve">Vận may: 40
Tăng xác suất nhận được Cá Hồi và Cá Hồi Vua </t>
  </si>
  <si>
    <t>Oração da Donzela</t>
  </si>
  <si>
    <t>"Sorte: 60. Aumenta a chance de obter itens específicos.(Rei Salmão)"</t>
  </si>
  <si>
    <t>逆咒縛契約</t>
  </si>
  <si>
    <t>代替從者受到傷害
依從者數量提升主角生命回復力</t>
  </si>
  <si>
    <t>逆呪縛契約</t>
  </si>
  <si>
    <t>代替従者がダメージを受けると、従者の数に応じて主人公の生命回復力が上昇する</t>
  </si>
  <si>
    <t>Chain Spellbinding Contract</t>
  </si>
  <si>
    <t>Any damage your servants take will be passed to yours.
Each linked servant grants a recovery effect</t>
  </si>
  <si>
    <t>Пакт хозяина и слуги</t>
  </si>
  <si>
    <t>Получение урона вместо Слуг.
Увеличение восстановления ОЗ в зависимости от количества Слуг.</t>
  </si>
  <si>
    <t>Umgekehrter Fluchbannpakt</t>
  </si>
  <si>
    <t>Erleidet Schaden anstelle der Gefährten
Erhöht die Lebensregeneration des Helden je nach Anzahl der Gefährten</t>
  </si>
  <si>
    <t>Khế Ước Xiềng Xích</t>
  </si>
  <si>
    <t>Mọi sát thương mà Servant của bạn phải chịu sẽ được chuyển sang cho bạn.
Mỗi Servant được liên kết sẽ cho một hiệu ứng hồi phục</t>
  </si>
  <si>
    <t>Contrato de Encadeamento de Feitiços</t>
  </si>
  <si>
    <t>Qualquer dano que um servo receberia será transferido para você.
Cada servo conectado garante um efeito de recuperação</t>
  </si>
  <si>
    <t>憤怒的拳頭</t>
  </si>
  <si>
    <t>物攻：1
魔攻：8
自動環繞攻擊</t>
  </si>
  <si>
    <t>怒りの拳</t>
  </si>
  <si>
    <t>物理攻撃力：1
魔法攻撃力：8
自分の周りで回り攻撃する</t>
  </si>
  <si>
    <t>Fists of Fury</t>
  </si>
  <si>
    <t>Physical attack: 1
Magic attack: 8
A flying fist automatically pushes nearby enemies away
*Gachapon Item</t>
  </si>
  <si>
    <t>물리 공격력 : 1
마법 공격력 : 8
자동공격 기능</t>
  </si>
  <si>
    <t>Кулаки ярости</t>
  </si>
  <si>
    <t>Физический урон: 1
Магический урон: 8
(Автоматическая круговая атака)</t>
  </si>
  <si>
    <t>Fäuste der Wut</t>
  </si>
  <si>
    <t>Physischer Angriff: 1
Magieangriff: 8
Ein fliegender Faustschlag schiebt nahe Feinde automatisch weg</t>
  </si>
  <si>
    <t>Nắm Đấm Cuồng Nộ</t>
  </si>
  <si>
    <t>Sát thương vật lý: 1
Sát thương ma thuật: 8
Nắm đấm bay tự động đẩy lùi kẻ địch gần đó
*Vật phẩm Gacha</t>
  </si>
  <si>
    <t>Punho da Fúria</t>
  </si>
  <si>
    <t>Ataque físico: 1
Ataque Mágico: 8
Um punho voador que automaticamente empurra inimigos próximo pra longe
*Item do Gachapon</t>
  </si>
  <si>
    <t>投擲攻擊
遇水消失、會被擊殺
幸運：10</t>
  </si>
  <si>
    <t>◉▽◉（青）</t>
  </si>
  <si>
    <t xml:space="preserve">
投擲攻撃
水に当たると消滅し、撃破される
幸運：10</t>
  </si>
  <si>
    <t>Throwable weapon
Disappears upon contact with water
Luck: 10</t>
  </si>
  <si>
    <t>Удача: 10
Метательная атака.
Исчезает при контакте с водой и может быть убит.</t>
  </si>
  <si>
    <t>Wurfangriff
Verschwindet im Wasser, kann getötet werden
Glück: 10</t>
  </si>
  <si>
    <t>Vũ khí ném được
Biến mất khi tiếp xúc với nước
Vận may: 10</t>
  </si>
  <si>
    <t>Arma arremessável
Desaparece em contato com a água
Sorte: 10</t>
  </si>
  <si>
    <t>Rất hiếm</t>
  </si>
  <si>
    <t>增加攻擊速度、攻擊數目+1</t>
  </si>
  <si>
    <t>攻撃力上昇、攻撃回数+1
特殊効果半減</t>
  </si>
  <si>
    <t>Increases attack speed.
Number of projectiles +1</t>
  </si>
  <si>
    <t>공격속도 증가, 공격 횟수 + 1</t>
  </si>
  <si>
    <t>Кошачий удар</t>
  </si>
  <si>
    <t xml:space="preserve">Увеличение скорости атаки и количество атак на 1.
</t>
  </si>
  <si>
    <t>Erhöht die Angriffsgeschwindigkeit.
Anzahl der Projektile +1.</t>
  </si>
  <si>
    <t>Găng Tay Vuốt Mèo</t>
  </si>
  <si>
    <t>Tăng tốc độ tấn công.
Đòn tấn công thêm +1</t>
  </si>
  <si>
    <t>Aumenta velocidade de ataque.
Número de projéteis +1</t>
  </si>
  <si>
    <t>脇差</t>
  </si>
  <si>
    <t>近距離普通攻擊次數+1
機率出血
判定較小，且不會隨著武器大小變動
固定傷害，但可以配合劍術修行的傷害加成</t>
  </si>
  <si>
    <t xml:space="preserve">
近接通常攻撃回数 +1
出血確率上昇
判定が小さく、武器サイズの影響を受けない
固定ダメージだが、剣術修行によるダメージ増加効果は適用される
</t>
  </si>
  <si>
    <t>Wakizashi</t>
  </si>
  <si>
    <t xml:space="preserve">Adds an additional attack when using melee weapons
Additional attack has a chance to cause bleeding
The additional attack has a small hitbox and does not change with the weapon's size
The damage is fixed, but can be strengthed further with swordsmanship training
</t>
  </si>
  <si>
    <t>Вакидзаси</t>
  </si>
  <si>
    <t xml:space="preserve"> Количество обычных атак ближнего боя +1.
Шанс на кровотечение.
Небольшая зона поражения, не меняется в зависимости от размера оружия.
Фиксированный урон, но может сочетаться с тренировкой фехтования для получения бонусов к урону.</t>
  </si>
  <si>
    <t>Thêm một đòn tấn công bổ sung khi sử dụng vũ khí cận chiến
Đòn tấn công bổ sung có khả năng gây Chảy Máu
Đòn tấn công bổ sung có tầm đánh nhỏ và không thay đổi theo kích thước vũ khí
Sát thương cố định, nhưng có thể được tăng cường thêm thông qua luyện tập kiếm thuật</t>
  </si>
  <si>
    <r>
      <rPr>
        <rFont val="Microsoft JhengHei"/>
        <color theme="1"/>
      </rPr>
      <t xml:space="preserve">Adiciona um ataque extra quando usando uma arma corpo a corpo
O ataque adicional tem chance de causar sangramento
O ataque adicional tem um pequena </t>
    </r>
    <r>
      <rPr>
        <rFont val="Microsoft JhengHei"/>
        <i/>
        <color theme="1"/>
      </rPr>
      <t>hitbox</t>
    </r>
    <r>
      <rPr>
        <rFont val="Microsoft JhengHei"/>
        <color theme="1"/>
      </rPr>
      <t xml:space="preserve"> e muda com o tamanho da arma
O dano é fixo, mas pode ser reforçado aind mais com treinamento de espadachim
</t>
    </r>
  </si>
  <si>
    <t>銳刃指環</t>
  </si>
  <si>
    <t xml:space="preserve">物攻：4
物防：1
物攻+15%
</t>
  </si>
  <si>
    <t>鋭刃の指輪</t>
  </si>
  <si>
    <t>物理攻撃力：4
物理防御力：1
物理攻撃力 +15%</t>
  </si>
  <si>
    <t>Sharpblade Ring</t>
  </si>
  <si>
    <t xml:space="preserve">Physical attack: 4
Physical defense: 1
Physical attack power +15%
</t>
  </si>
  <si>
    <t>Кольцо с клинком</t>
  </si>
  <si>
    <t>Физический урон: 4
Защита: 1
Физическая атака: +15%</t>
  </si>
  <si>
    <t>Nhẫn Lưỡi Sắc</t>
  </si>
  <si>
    <t>Sát thương vật lý: 4
Phòng thủ vật lý: 1
Sức mạnh tấn công vật lý +15%</t>
  </si>
  <si>
    <t>Anel da Lâmina Afiada</t>
  </si>
  <si>
    <t xml:space="preserve">Ataque físico: 4
Defesa física: 1
Poder de ataque físico +15%
</t>
  </si>
  <si>
    <t>炸彈魔之魂</t>
  </si>
  <si>
    <t>小概率附帶爆炸效果、爆炸減免</t>
  </si>
  <si>
    <t>爆弾魔の魂</t>
  </si>
  <si>
    <t>爆発効果または爆発軽減を発動する確率が低い</t>
  </si>
  <si>
    <t>Bomb Fiend's Soul</t>
  </si>
  <si>
    <t>Reduces damage from explosions
Has a chance to trigger explosions when attacking</t>
  </si>
  <si>
    <t>폭탄마의 영혼</t>
  </si>
  <si>
    <t>공격 시 일정 확률로 폭발을 일으키고 폭발로 인한 피해 감소</t>
  </si>
  <si>
    <t>Душа взрывного маньяка</t>
  </si>
  <si>
    <t>Низкая вероятность возникновения эффекта взрыва или снижения его интенсивности.</t>
  </si>
  <si>
    <t>Seele des Bombenteufels</t>
  </si>
  <si>
    <t>Reduziert Schaden durch Explosionen.
Hat eine Chance, Explosionen beim Angreifen auszulösen</t>
  </si>
  <si>
    <t>Linh Hồn Ma Hoả</t>
  </si>
  <si>
    <t>Giảm sát thương từ vụ nổ
Có cơ hội kích hoạt vụ nổ khi tấn công</t>
  </si>
  <si>
    <t>Alma do Demônio das Bombas</t>
  </si>
  <si>
    <t>Reduz dano com explosão
Tem uma chance de ativar um explosão quando atacando</t>
  </si>
  <si>
    <t>墮落法師的頭環</t>
  </si>
  <si>
    <t>魔攻：10
魔抗：25
提升魔攻並降低自身體力上限</t>
  </si>
  <si>
    <t>堕落魔術師の頭環</t>
  </si>
  <si>
    <t>魔法攻撃力：10
魔法耐性：25
魔法攻撃力が上昇し、最大スタミナが減少します</t>
  </si>
  <si>
    <t>Fallen Mage's Circlet
(Not implemented yet)</t>
  </si>
  <si>
    <t>Magic attack: 30
Magic defense: 35
Projectiles track enemies</t>
  </si>
  <si>
    <t>타락한 마법사의 머리띠 (미구현)</t>
  </si>
  <si>
    <t>마법 공격력 : 30
마법 방어력 : 35
자동 조준</t>
  </si>
  <si>
    <t>Повязка павшего мага (Ещё не реализована)</t>
  </si>
  <si>
    <t>Магический урон: 10
Сопротивление магии: 25
(Увеличивает магическую атаку и снижает максимальную выносливость)</t>
  </si>
  <si>
    <t>Reif des gefallenen Magiers (Noch nicht implementiert</t>
  </si>
  <si>
    <t>Magieangriff: 30
Magieabwehr: 35
Projektile verfolgen Feinde</t>
  </si>
  <si>
    <t>Vòng Nguyền Rủa Của 
Pháp Sư Sa Ngã</t>
  </si>
  <si>
    <t>Sát thương phép thuật: 30
Kháng ma thuật: 35
Đạn bay theo kẻ địch</t>
  </si>
  <si>
    <t>Diadema do Mago Caído
(Ainda não implementado)</t>
  </si>
  <si>
    <t>Ataque Mágico: 30
Defesa Mágica: 35
Projéteis perseguem inimigos</t>
  </si>
  <si>
    <t>墮落法師的披風</t>
  </si>
  <si>
    <t>魔攻：10
物防:1
魔抗：35
閃步使物體陷入凝滯狀態</t>
  </si>
  <si>
    <t>堕落魔術師のマント</t>
  </si>
  <si>
    <t>魔法攻撃力：10
物理防御：1
魔法耐性:35
閃歩の残像が長く残る
残像に触れた敵は停止状態になる</t>
  </si>
  <si>
    <t>Fallen Mage's Cloak</t>
  </si>
  <si>
    <t>Magic attack: 10
Physical resistance: 1
Magic defense: 35
Afterimages generated by Senpo lasts longer
Objects touching the afterimages become frozen</t>
  </si>
  <si>
    <t>타락한 마법사의 로브 (미구현)</t>
  </si>
  <si>
    <t>마법 공격력 : 10
물리 방어력 : 1
마법 방어력 : 35
자동 조준</t>
  </si>
  <si>
    <t>Плащ павшего мага</t>
  </si>
  <si>
    <t>Магический урон: 10
Защита: 1
Сопротивление магии: 35
(Послесветы от Сенпо, остаются дольше.
Объекты, которых они касаются, замирают на месте)</t>
  </si>
  <si>
    <t>Robe des gefallenen Magiers (Noch nicht implementiert)</t>
  </si>
  <si>
    <t>Magieangriff: 10
Physische Verteidigung: 1
Magieabwehr: 35
Projektile verfolgen Feinde</t>
  </si>
  <si>
    <t>Áo Choàng của Pháp Sư
Sa Ngã</t>
  </si>
  <si>
    <t>Sát thương ma thuật: 10
Phòng thủ vật lý: 1
Kháng ma thuật: 35
Dư ảnh do Senpo tạo ra tồn tại lâu hơn
Các vật thể chạm vào dư ảnh sẽ bị đóng băng</t>
  </si>
  <si>
    <t>Manto do Mago Caído</t>
  </si>
  <si>
    <r>
      <rPr>
        <rFont val="Microsoft JhengHei"/>
        <color theme="1"/>
      </rPr>
      <t xml:space="preserve">Ataque Mágico: 10
Resistência física: 1
Defesa Mágica: 35
</t>
    </r>
    <r>
      <rPr>
        <rFont val="Microsoft JhengHei"/>
        <i/>
        <color theme="1"/>
      </rPr>
      <t>Afterimages</t>
    </r>
    <r>
      <rPr>
        <rFont val="Microsoft JhengHei"/>
        <color theme="1"/>
      </rPr>
      <t xml:space="preserve"> geradas por Senpo duram mais tempo
Objetos tocando pela </t>
    </r>
    <r>
      <rPr>
        <rFont val="Microsoft JhengHei"/>
        <i/>
        <color theme="1"/>
      </rPr>
      <t>afterimages</t>
    </r>
    <r>
      <rPr>
        <rFont val="Microsoft JhengHei"/>
        <color theme="1"/>
      </rPr>
      <t xml:space="preserve"> se torna congelado</t>
    </r>
  </si>
  <si>
    <t>墮落法師的手套</t>
  </si>
  <si>
    <t>物攻：2
魔攻：10
魔抗：20
自動瞄準</t>
  </si>
  <si>
    <t>堕落法師の手袋</t>
  </si>
  <si>
    <t>物理攻撃力: 2
魔法攻撃力: 10
魔法耐性: 20
投射物が敵を追尾するようになる</t>
  </si>
  <si>
    <t>Fallen Mage's Gloves</t>
  </si>
  <si>
    <t>Magic attack: 10
Projectiles track enemies</t>
  </si>
  <si>
    <t>마법 공격력 : 10
자동 조준</t>
  </si>
  <si>
    <t>Перчатки павшего мага</t>
  </si>
  <si>
    <t>Физический урон: 2
Магический урон: 10
Сопротивление магии: 20
(Автоматическое прицеливание)</t>
  </si>
  <si>
    <t>Handschuhe des gefallenen Magiers</t>
  </si>
  <si>
    <t>Magieangriff: 10
Projektile verfolgen Feinde</t>
  </si>
  <si>
    <t>Găng Tay Của Pháp Sư
Sa Ngã</t>
  </si>
  <si>
    <t>Sát thương ma thuật: 10
Đạn bay theo kẻ địch</t>
  </si>
  <si>
    <t>Luvas do Mago Caído</t>
  </si>
  <si>
    <t>Ataque Mágico: 10
Projéteis perseguem inimigos</t>
  </si>
  <si>
    <t>墮落法師的輕履</t>
  </si>
  <si>
    <t>物攻：2
魔攻：10
魔抗：20
虛無：無視一切阻礙、包括敵人子彈</t>
  </si>
  <si>
    <t>堕落魔術師の軽靴</t>
  </si>
  <si>
    <t xml:space="preserve">物理攻撃力：2
魔法攻撃力：10
魔法耐性：20
移動速度が上がり、閃歩使用時に虚無状態になる
</t>
  </si>
  <si>
    <t>Fallen Mage's Shoes</t>
  </si>
  <si>
    <t>Physical attack: 2
Magic attack: 10
Magic defense: 20
Void: Ignores all terrain and enemy projectiles when using Senpo
*Gachapon Item</t>
  </si>
  <si>
    <t>타락한 마법사의 신발</t>
  </si>
  <si>
    <t>마법 공격력 : 10
마법 방어력 : 20
공허 : 모든 장애물을 무시가능 적의 투사체 포함</t>
  </si>
  <si>
    <t>Обувь павшего мага</t>
  </si>
  <si>
    <t>Физический урон: 2
Магический урон: 10
Сопротивление магии: 20
(Пустота: Игнорирует все препятствия, включая вражеские выстрелы)</t>
  </si>
  <si>
    <t>Schuhe des gefallenen Magiers</t>
  </si>
  <si>
    <t>Magieangriff: 10
Magieabwehr: 20
Ignoriert alle Gelände- und Gegnerprojektile bei Verwendung von Senpo</t>
  </si>
  <si>
    <t>Giày Của Pháp Sư Sa Ngã</t>
  </si>
  <si>
    <t>Sát thương vật lý
Sát thương ma thuật: 10
Kháng ma thuật: 20
Hư vô: Vượt mọi địa hình và đạn của
kẻ địch khi sử dụng Senpo
*Vật phẩm Gacha</t>
  </si>
  <si>
    <t>Botas do Mago Caído</t>
  </si>
  <si>
    <t>Ataque físico: 2
Ataque Mágico: 10
Defesa Mágica: 20
Vazio: ignora todos os terrenos e projéteis de inimigos quando usando Senpo
*Item de Gachapon</t>
  </si>
  <si>
    <t>調皮的杰克</t>
  </si>
  <si>
    <t>魔攻：8
魔防：8
增強殘血傷害
(最大額外附加30%傷害)</t>
  </si>
  <si>
    <t>生意気なジャッキー</t>
  </si>
  <si>
    <t>魔法攻撃力：8
魔法耐性:8
低HPの敵に特攻
最大30％の追加ダメージを付与</t>
  </si>
  <si>
    <t>Saucy Jacky</t>
  </si>
  <si>
    <t>Magic attack: 8
Magic defense: 8
Extra damage to enemies with low hp (up to 30%)
*Gachapon Item</t>
  </si>
  <si>
    <t>마법 공격력 : 8
마법 방어력 : 8
체력이 낮은 적에게 추가 피해</t>
  </si>
  <si>
    <t>Озорной Джекки</t>
  </si>
  <si>
    <t>Магический урон: 8
Сопротивление магии: 8
(Увеличивает урон, наносимый врагам с малым здоровьем.
(Макс. доп. увеличение урона на 30%))</t>
  </si>
  <si>
    <t>Ungezogener Jacky</t>
  </si>
  <si>
    <t>Magieangriff und Magieabwehr: 8
Zusätzlicher Schaden gegen Feinde mit niedrigem HP</t>
  </si>
  <si>
    <t>Jacky Nghịch Ngợm</t>
  </si>
  <si>
    <t>Sát thương ma thuật: 8
Kháng ma thuật: 8
Gây thêm sát thương lên kẻ địch có lượng HP thấp (tối đa 30%)
*Vật phẩm Gacha</t>
  </si>
  <si>
    <t>Jack Atrevido</t>
  </si>
  <si>
    <t>Ataque Mágico: 8
Defesa Mágica: 8
Dano extra para inimigos com PV baixos (até 30%)
*Item de Gachapon</t>
  </si>
  <si>
    <t>夜霧幻影</t>
  </si>
  <si>
    <t>物防:2
魔防:2
每隔一段時間會透明化、透明時進行背刺傷害加倍</t>
  </si>
  <si>
    <t>夜霧の幻影</t>
  </si>
  <si>
    <t>物理防御力: 2
魔法防御力: 2
定期的に透明になり、透明状態の間は背後からの攻撃ダメージが2倍になる</t>
  </si>
  <si>
    <t>Misty Night Phantom</t>
  </si>
  <si>
    <t>Physical defense: 2
Magic defense: 2
Periodically enters an invisible state.
Assassinations while invisible deals double damage</t>
  </si>
  <si>
    <t>밤안개의 환영 (미구현)</t>
  </si>
  <si>
    <t>물리 방어력 : 2
마법 방어력 : 2
공허 : 모든 장애물을 무시가능 적의 투사체 포함</t>
  </si>
  <si>
    <t>Призрак туманной ночи</t>
  </si>
  <si>
    <t>Защита: 2
Сопротивление магии: 2
(Периодически становится невидимым.
Урон от удара в спину удваивается)</t>
  </si>
  <si>
    <t>Nebelgeist der Nacht</t>
  </si>
  <si>
    <t>Physische Verteidigung: 2
Magieabwehr: 2
Ignoriert alle Gelände- und Gegnerprojektile bei Verwendung von Senpo</t>
  </si>
  <si>
    <t>Huyễn Ảnh Sương Đêm</t>
  </si>
  <si>
    <t>Phòng thủ vật lý: 2
Kháng ma thuật: 2
Thỉnh thoảng vào trạng thái tàng hình.
Ám sát khi tàng hình gây gấp đôi sát thương</t>
  </si>
  <si>
    <t>Fantasma da Noite Nebulosa</t>
  </si>
  <si>
    <t>Defesa física: 2
Defesa Mágica: 2
Periodicamente entra em um estado de invisibilidade.
Assassinatos enquanto invisível dá dobro de dano</t>
  </si>
  <si>
    <t>鬼手</t>
  </si>
  <si>
    <t>物攻：10
魔防：10
物攻翻倍，攻速降低，耐久消耗增加</t>
  </si>
  <si>
    <t>鬼の手</t>
  </si>
  <si>
    <t>物理攻撃力：10
魔法防御10
攻撃力100％アップ
攻撃速度が低下し壊れやすくなる…</t>
  </si>
  <si>
    <t>Oni Hand</t>
  </si>
  <si>
    <t>Physical attack: 10
Magic Defense: 10
Physical attack doubled but attack speed is halved and durability consumption is increased</t>
  </si>
  <si>
    <t>도깨비 손</t>
  </si>
  <si>
    <t>물리 공격력: 10
마법 방어력: 10
물리 공격력이 두 배로 증가하고, 공격 속도가 감소하며, 내구도 소모량이 증가했습니다.</t>
  </si>
  <si>
    <t>Рука Они</t>
  </si>
  <si>
    <t>Физический урон: 10
Сопротивление магии: 10
(Физический урон удвоен, но скорость атаки уменьшена вдвое, а расход прочности увеличен)</t>
  </si>
  <si>
    <t>Bàn Tay Quỷ</t>
  </si>
  <si>
    <t>Sát thương vật lí: 10
Kháng ma thuật: 10
Sát thương vật lí gấp đôi nhưng tốc đánh giảm gấp đôi và tiêu hao độ bền tăng</t>
  </si>
  <si>
    <t>Mão Fantasma</t>
  </si>
  <si>
    <t>Ataque físico：10
Defesa física：10
Ataque físico dobra, velocidade de ataque é reduzida, Consumo de durabilidade aumenta</t>
  </si>
  <si>
    <t>謝里斯的詛咒之手</t>
  </si>
  <si>
    <t>魔防：18
自動環繞從者
對目標施加傷害
附上Debuff：嘲諷、激怒
(減少對方防禦、增加對方攻擊)
(Debuff未實裝)</t>
  </si>
  <si>
    <t>ゼリスの呪われた手</t>
  </si>
  <si>
    <t>魔法防御：18
自動ターゲット追従
ターゲットにダメージを与える
デバフを付与：嘲笑、激怒
（相手の防御を低下させ、攻撃を上昇させる）
（デバフは実装されていません）</t>
  </si>
  <si>
    <t>Xerise's Cursed Hand</t>
  </si>
  <si>
    <t>Magic defense: 18
Runs around as a servant
Deals damage to enemies in range
% chance to curse enemies.
When cursed: Taunt, Enrage
Taunt - Reduces the enemy's defense, increases their attack
Enrage - (Debuff not yet implemented)</t>
  </si>
  <si>
    <t>Проклятая рука Ксериса</t>
  </si>
  <si>
    <t>Сопротивление магии: 18
(Автоматически вращается вокруг Слуги. Наносит урон цели Накладывает дебаффы: Провокация, Ярость (Снижает защиту противника, увеличивает его атаку))
(Дебафф пока не реализован)</t>
  </si>
  <si>
    <t>Xerises verfluchte Hand</t>
  </si>
  <si>
    <t>Magischer Widerstand: 18
Läuft als Diener umher
Verursacht Schaden an Feinden im Umkreis
% Chance, Feinde zu verfluchen.
Beim Verfluchen: Provokation, Wut
Provokation - Reduziert die Verteidigung des Feindes und erhöht deren Angriff
Wut - (Debuff noch nicht implementiert)</t>
  </si>
  <si>
    <t>Bàn Tay Bị Nguyền Rủa Của Xerise</t>
  </si>
  <si>
    <t>Kháng ma thuật: 18
Di chuyển xung quanh như một người hầu
Gây sát thương lên kẻ địch trong phạm vi
% cơ hội nguyền rủa kẻ địch.
Khi bị nguyền rủa: Khiêu khích, Cuồng nộ
Khiêu khích - Giảm phòng thủ của kẻ địch,
 tăng tấn công
Cuồng nộ - (Debuff chưa được thêm vào)</t>
  </si>
  <si>
    <t>Mão Amaldiçoada de Xerise</t>
  </si>
  <si>
    <r>
      <rPr>
        <rFont val="Microsoft JhengHei"/>
        <color theme="1"/>
      </rPr>
      <t xml:space="preserve">Defesa Mágica: 18
Corre em volta como um servo
Dá dano nos inimigos no alcance
% chance de alamdiçoar os inimigos.
Quando amaldiçoado: Provocado, </t>
    </r>
    <r>
      <rPr>
        <rFont val="Microsoft JhengHei"/>
        <i/>
        <color theme="1"/>
      </rPr>
      <t>Enrage</t>
    </r>
    <r>
      <rPr>
        <rFont val="Microsoft JhengHei"/>
        <color theme="1"/>
      </rPr>
      <t xml:space="preserve">
Provocado - Reduz a defesa do inimigo, Aumenta o ataque deles
</t>
    </r>
    <r>
      <rPr>
        <rFont val="Microsoft JhengHei"/>
        <i/>
        <color theme="1"/>
      </rPr>
      <t>Enrage</t>
    </r>
    <r>
      <rPr>
        <rFont val="Microsoft JhengHei"/>
        <color theme="1"/>
      </rPr>
      <t xml:space="preserve"> - (Debuff ainda não implementado)</t>
    </r>
  </si>
  <si>
    <t>毒蛇之擁</t>
  </si>
  <si>
    <t>毒蛇の抱擁</t>
  </si>
  <si>
    <t>Venomous Embrace</t>
  </si>
  <si>
    <t>Physical attack: 1
Magic attack: 8
Floating knife will hit nearby enemies</t>
  </si>
  <si>
    <t>독사의 포옹</t>
  </si>
  <si>
    <t>Ядовитые объятия</t>
  </si>
  <si>
    <t>Физический урон: 1
Магический урон: 8
(Автоматически вращающийся слуга)</t>
  </si>
  <si>
    <t>Giftige Umarmung</t>
  </si>
  <si>
    <t>Physischer Angriff: 1
Magieangriff: 8
Das schwebende Messer wird nahe Feinde angreifen</t>
  </si>
  <si>
    <t>Vòng Tay Độc Tử</t>
  </si>
  <si>
    <t>Sát thương vật lý: 1
Sát thương ma thuật: 8
Dao bay sẽ tấn công kẻ địch gần đó</t>
  </si>
  <si>
    <t>Abraço Venenoso</t>
  </si>
  <si>
    <t>Ataque físico: 1
Ataque Mágico: 8
Faca flutuante vai acertar inimigos próximos</t>
  </si>
  <si>
    <t>招財貓</t>
  </si>
  <si>
    <t>魔抗：10
幸運：50
吸取物品</t>
  </si>
  <si>
    <t>招き猫</t>
  </si>
  <si>
    <t>魔法耐性：10
運：50
アイテムを自身に吸い寄せる</t>
  </si>
  <si>
    <t>Maneki Neko</t>
  </si>
  <si>
    <t>Magic defense: 10
Luck: 50
Absorbs dropped items</t>
  </si>
  <si>
    <t>복고양이</t>
  </si>
  <si>
    <t>마법 방어력 : 10
행운 : 50
아이템을 끌어당김</t>
  </si>
  <si>
    <t>Кот удачи</t>
  </si>
  <si>
    <t>Сопротивление магии: 10
Удача: 50
(Притягивает выпавшие предметы)</t>
  </si>
  <si>
    <t>Glückskatze</t>
  </si>
  <si>
    <t>Magieabwehr: 10
Glück: 50
Absorbiert fallengelassene Items</t>
  </si>
  <si>
    <t>Mèo Thần Tài</t>
  </si>
  <si>
    <t>Kháng ma thuật: 10
May mắn: 50
Hấp thụ vật phẩm rơi ra</t>
  </si>
  <si>
    <t>Neko da Sorte</t>
  </si>
  <si>
    <t>Defesa Mágica: 10
Sorte: 50
Pega os itens que cairem</t>
  </si>
  <si>
    <t>投擲攻擊
遇水消失、會被擊殺
幸運：20</t>
  </si>
  <si>
    <t xml:space="preserve">
投擲攻撃
水に当たると消滅し、撃破される
幸運：20</t>
  </si>
  <si>
    <t>Throwable weapon
Disappears upon contact with water
Luck: 20</t>
  </si>
  <si>
    <t>◉▽◉(фиолетовый)</t>
  </si>
  <si>
    <t>Удача: 20
Метательная атака.
Исчезает при контакте с водой и может быть убит.</t>
  </si>
  <si>
    <t>Wurfangriff
Verschwindet im Wasser, kann getötet werden
Glück: 20</t>
  </si>
  <si>
    <t>Vũ khí ném được
Biến mất khi tiếp xúc với nước
Vận may: 20</t>
  </si>
  <si>
    <t>Arma arremessável
Desaparece em contato com a água
Sorte: 20</t>
  </si>
  <si>
    <t>紅色的角</t>
  </si>
  <si>
    <t>物攻：4
物防：2
魔防：25
充能後無限加速閃步</t>
  </si>
  <si>
    <t>赤き角</t>
  </si>
  <si>
    <t xml:space="preserve">
物理攻撃：4
物理防御：2
魔法防御：25
チャージ満タン時閃歩を無制限に使用し加速効果を得る
チャージが尽きると回復モードに移行する</t>
  </si>
  <si>
    <t>Red Horn</t>
  </si>
  <si>
    <t>Attack: 4
Physical Defense: 2
Magic Defense: 25
Has 3 charges. Replenishes slowly when depleted.
When fully charged, Senpo has no cooldown and provides EXTREME speed</t>
  </si>
  <si>
    <t>红色的角</t>
  </si>
  <si>
    <t>物攻：4
物防：2
魔抗：25
充能后无限加速闪步</t>
  </si>
  <si>
    <t>Красный Рог</t>
  </si>
  <si>
    <t>Физический урон: 4
Защита: 2
Сопротивление магии: 25
(Неограниченное ускорение после зарядки)</t>
  </si>
  <si>
    <t>Sừng Đỏ</t>
  </si>
  <si>
    <t>Sát thương: 4
Phòng thủ vật lý: 2
Kháng ma thuật: 25
Nạp 3 lần. Hồi lại từ từ khi dùng hết
Khi nạp đầy, Thiểm Bộ không có hồi chiêu và cho tốc độ di chuyển cực nhanh</t>
  </si>
  <si>
    <t>Chifre Vermelho</t>
  </si>
  <si>
    <t>Ataque físico：4
Defesa física：2
Defesa mágica：25
Têm 3 cargas. Recarregam vagarozamente quando exauridas
Quando completamente carregada, Senpo não tem tempo de recarga e fornece uma velocidade EXTREMA</t>
  </si>
  <si>
    <t>火鳥的羽毛</t>
  </si>
  <si>
    <t>復活並恢復全部體力(消耗品)</t>
  </si>
  <si>
    <t>火の鳥の羽</t>
  </si>
  <si>
    <t>復活し、体力を完全に回復します（消耗品）</t>
  </si>
  <si>
    <t>Feather of Firebird</t>
  </si>
  <si>
    <t>Gets consumed to revive self to full health upon death.</t>
  </si>
  <si>
    <t>죽었을 때 한 번 부활 가능</t>
  </si>
  <si>
    <t>Перо Феникса</t>
  </si>
  <si>
    <t>Восстанавливает и полностью восстанавливает здоровье (расходный материал).</t>
  </si>
  <si>
    <t>Auferstehung, Item geht kaputt</t>
  </si>
  <si>
    <t>Lông Vũ Hỏa Điểu</t>
  </si>
  <si>
    <t>Tiêu thụ để tự hồi sinh và hồi toàn bộ máu khi chết</t>
  </si>
  <si>
    <t>Pena da Ave de Fogo</t>
  </si>
  <si>
    <t>È consumida para se reviver com PV completo quando for derrotado.</t>
  </si>
  <si>
    <t>魔抗：30
無法回復、免死7秒</t>
  </si>
  <si>
    <t>魔法耐性: 30
回復できなくなる
瀕死のダメージを受けると7秒間無敵になる</t>
  </si>
  <si>
    <t>Magic Resistance: 30
Unable to recover HP
Immune to death for 7 seconds when HP reaches 0</t>
  </si>
  <si>
    <t>마법 방어력 : 30
회복 불가, 7초간 사망 면역</t>
  </si>
  <si>
    <t>Сопротивление магии: 30
(Невозможно вылечиться.
Неуязвимость на 7 секунд)</t>
  </si>
  <si>
    <t>Magieabwehr: 30
Kann keine HP wiederherstellen.
Immun gegen den Tod für 7 Sekunden, wenn HP auf 0 sind</t>
  </si>
  <si>
    <t>Kháng ma thuật: 30
Không thể hồi phục HP
Bất tử trong 7 giây khi HP xuống 0</t>
  </si>
  <si>
    <t>Magic Resistance: 30
Não é capaz de recuperar PV
Imune a morte por 7 segundo depois de chegar à 0 de PV</t>
  </si>
  <si>
    <t>不幸的誕生</t>
  </si>
  <si>
    <t>體力上升，基礎30，額外加成10%
獲得自動回復效果，體力恢复效果提升25%</t>
  </si>
  <si>
    <t>不幸の誕生</t>
  </si>
  <si>
    <t xml:space="preserve">        スタミナが増加。基本値は30、追加で10%のボーナス。スタミナ自動回復効果を獲得し、スタミナ回復速度が25%増加</t>
  </si>
  <si>
    <t>Birth of Misfortune</t>
  </si>
  <si>
    <t xml:space="preserve">Max health increased by 30, with an additional 10% HP bonus.
Recovery effects increased by 25%
Passive health regeneration effect </t>
  </si>
  <si>
    <t xml:space="preserve">체력 30 증가, 추가 보너스 10%
자동 회복 효과
체력 회복 효과 25% 증가
</t>
  </si>
  <si>
    <t>Рождение несчастья</t>
  </si>
  <si>
    <t>Выносливость увеличена, базовое значение 30, дополнительный бонус 10%. Автоматическое восстановление выносливости; эффект восстановления выносливости увеличен на 25%.</t>
  </si>
  <si>
    <t>Geburt des Unheils</t>
  </si>
  <si>
    <t>Physische Stärke erhöht, Basis 30, zusätzlicher Bonus 10%.
Erhält automatischen Heilungseffekt, und erhöht den Effekt der physischen Stärke-Wiederherstellung um 25%</t>
  </si>
  <si>
    <t>Khởi Nguồn Của Tai Ương</t>
  </si>
  <si>
    <t>Tăng HP tối đa thêm 30, cộng thêm 10% HP thưởng
Có khả năng tự động phục hồi, 
Tăng tốc độ phục hồi HP thêm 25%.</t>
  </si>
  <si>
    <t>Nascimento da Infortuna</t>
  </si>
  <si>
    <t>O PV máximo aumenta em 30, com ponto de vida bônus de 10%.
Aumenta o efeito de recuperação em 25%
Efeito de regeneração de vida passiva</t>
  </si>
  <si>
    <t>妹妹脫下的內褲</t>
  </si>
  <si>
    <t>低體力回復</t>
  </si>
  <si>
    <t>妹の脱いだパンツ</t>
  </si>
  <si>
    <t>HPが50％以下になると自動回復します</t>
  </si>
  <si>
    <t>Imouto's removed panties</t>
  </si>
  <si>
    <t>Recover HP when HP is below half</t>
  </si>
  <si>
    <t>Las bragas removidas de la hermanita</t>
  </si>
  <si>
    <t>Recupera HP cuando este por debajo de la mitad</t>
  </si>
  <si>
    <t>여동생이 입었던 팬티</t>
  </si>
  <si>
    <t>HP가 50퍼 이하로 떨어지면 자동 회복</t>
  </si>
  <si>
    <t>Снятые трусики Имоуто</t>
  </si>
  <si>
    <t xml:space="preserve">При ОЗ &lt; 50% включается авто-восстановление
</t>
  </si>
  <si>
    <t>Imoutos entfernte Unterwäsche</t>
  </si>
  <si>
    <t>Stellt HP wieder her, wenn sie unter der Hälfte sind</t>
  </si>
  <si>
    <t>Quần lót cởi ra của
em gái</t>
  </si>
  <si>
    <t>Phục hồi HP khi HP còn dưới một nửa</t>
  </si>
  <si>
    <t>calcinha da imouto foi removida</t>
  </si>
  <si>
    <t>Recupera PV quando PV está abaixo da metade</t>
  </si>
  <si>
    <t>少女的笑容</t>
  </si>
  <si>
    <t>性欲上升，全属性上升10%</t>
  </si>
  <si>
    <t>少女の笑顔</t>
  </si>
  <si>
    <t>性欲が増し、全属性が10%増加します</t>
  </si>
  <si>
    <t>Girl's smile</t>
  </si>
  <si>
    <t>All attributes are increased by 10%
Sexual desire is increased</t>
  </si>
  <si>
    <t>Sonrisa de chica</t>
  </si>
  <si>
    <t>성적 욕구가 증가하고 모든 속성 10% 상승</t>
  </si>
  <si>
    <t>Девичья улыбка</t>
  </si>
  <si>
    <t>Желание увеличено, все характеристики повышены</t>
  </si>
  <si>
    <t>Lächeln des Mädchens</t>
  </si>
  <si>
    <t>Alle Attribute werden um 10 % gesteigert und das sexuelle Verlangen wird erhöht.</t>
  </si>
  <si>
    <t>Nụ cười của em gái</t>
  </si>
  <si>
    <t>Tất cả các thuộc tính đều tăng 10%
Ham muốn tình dục tăng lên</t>
  </si>
  <si>
    <t>O sorriso de uma garota</t>
  </si>
  <si>
    <t>Todos os atributos são aumentados por 10%
Desejo sexual é aumentado</t>
  </si>
  <si>
    <t>聖少女的憐憫</t>
  </si>
  <si>
    <t>魔攻：20
物防:2
魔抗：40
賢者、特殊好感</t>
  </si>
  <si>
    <t>聖少女の慈愛</t>
  </si>
  <si>
    <t>魔法攻撃力：20
物理防御力：2
魔法耐性：40
賢者モードになる、頭を撫でるにボーナス付与</t>
  </si>
  <si>
    <t>Saint Maiden's Mercy</t>
  </si>
  <si>
    <t>Magic attack: 20
Physical defense: 2
Magic defense: 40
Enters "Sage Mode"
Favorability increased on headpats</t>
  </si>
  <si>
    <t>성녀의 자비</t>
  </si>
  <si>
    <t xml:space="preserve">마법 공격력 : 20
물리 방어력 : 2
마법 방어력 : 40
현자 모드 진입
머리 쓰다듬기에 보너스 부여
</t>
  </si>
  <si>
    <t>Милость Святой Девы</t>
  </si>
  <si>
    <t>Магический урон: 20
Защита: 2
Сопротивление магии: 40
(Мудрец. Особая привязанность)</t>
  </si>
  <si>
    <t>Barmherzigkeit der Heiligen Jungfrau</t>
  </si>
  <si>
    <t>Magischer Angriff: 20
Physische Verteidigung: 2
Magieresistenz: 40
Wechselt in den ‚Weisenmodus‘
Zuneigung steigt bei Kopfstreicheln</t>
  </si>
  <si>
    <t>Lòng Thương Xót Của
Thánh Nữ</t>
  </si>
  <si>
    <t>Sát thương ma thuật: 20
Phòng thủ vật lý: 2
Kháng ma thuật: 40
Vào "Chế độ Hiền nhân"
Tăng độ thiện cảm khi vỗ đầu</t>
  </si>
  <si>
    <t>Misericórdia da Santa Donzela</t>
  </si>
  <si>
    <t>Ataque Mágico: 20
Defesa física: 2
Defesa Mágica: 40
Entra no "Modo Sábio"
Favorabilidade aumenta com cafuné</t>
  </si>
  <si>
    <t>深邃魔力晶簇</t>
  </si>
  <si>
    <t>魔攻：35
魔抗：20
加快吟唱、提升魔法威力上限</t>
  </si>
  <si>
    <t>深層魔晶クラスター</t>
  </si>
  <si>
    <t>魔法攻撃力：35
魔法耐性：20
詠唱速度が上昇し、最大魔法威力が上昇</t>
  </si>
  <si>
    <t>Abyssal Mana Cluster</t>
  </si>
  <si>
    <t>Magic attack: 35
Magic defense: 20
Boosts casting speed and magic power cap</t>
  </si>
  <si>
    <t>심연의 마력 수정체</t>
  </si>
  <si>
    <t>마법 공격력 : 35
마법 방어력 : 20
시전속도와 마법 관통력 상승</t>
  </si>
  <si>
    <t>Кластер маны бездны</t>
  </si>
  <si>
    <t>Магический урон: 35
Сопротивление магии: 20
(Ускоряет произнесение заклинаний.
Увеличивает максимальный магический урон)</t>
  </si>
  <si>
    <t>Abgründiges Manabündel</t>
  </si>
  <si>
    <t>Magieangriff: 35
Magieabwehr: 20
Erhöht die Zaubergeschwindigkeit und Magiekraft</t>
  </si>
  <si>
    <t>Cụm Mana Vực Thẳm</t>
  </si>
  <si>
    <t>Sát thương ma thuật: 35
Kháng ma thuật: 20
Tăng tốc độ niệm phép và giới hạn sức mạnh phép thuật</t>
  </si>
  <si>
    <t>Aglomerado Abissal de Mana</t>
  </si>
  <si>
    <t>Ataque Mágico: 35
Defesa Mágica: 20
Acelera a velocidade de conjuração e aumenta o limite do poder mágico</t>
  </si>
  <si>
    <t>精神凝聚頭環</t>
  </si>
  <si>
    <t>魔攻：1
魔抗：20
免疫暈眩、增強魔法輸出和魔法範圍</t>
  </si>
  <si>
    <t>精神凝縮の髪飾り</t>
  </si>
  <si>
    <t>魔法攻撃力: 1
魔法耐性: 20
スタン耐性、魔法ダメージ出力と魔法射程が増加</t>
  </si>
  <si>
    <t>Focus Circlet</t>
  </si>
  <si>
    <t>Magic attack: 1
Magic defense: 20
Grants immunity to stun
Enhances magic power and casting range</t>
  </si>
  <si>
    <t>정신 집중 머리띠</t>
  </si>
  <si>
    <t>마법 공격력 : 1
기절 면역, 마법 관통력 상승, 시전 범위 증가</t>
  </si>
  <si>
    <t>Повязка сосредоточения</t>
  </si>
  <si>
    <t>Магический урон: 1
Сопротивление магии: 20
(Иммунитет к оглушению.
Увеличивает наносимый магический урон и дальность действия магии)</t>
  </si>
  <si>
    <t>Fokusreif</t>
  </si>
  <si>
    <t>Magieangriff: 1
Gewährt Immunität gegen Betäubung.
Verstärkt Magiekraft und Zaubern</t>
  </si>
  <si>
    <t>Vòng Định Tâm</t>
  </si>
  <si>
    <t>Sát thương ma thuật: 1
Kháng ma thuật: 20
Miễn nhiễm với choáng
Tăng cường sức mạnh phép thuật và
khả năng niệm phép</t>
  </si>
  <si>
    <t>Tiara do Foco</t>
  </si>
  <si>
    <t>Ataque Mágico: 1
Defesa Mágica: 20
Garante imunidade à atordoar
Melhora poder mágico e distância de conjuração</t>
  </si>
  <si>
    <t>魔力汲取手套</t>
  </si>
  <si>
    <t>物攻：3
魔攻：10
物防：1
魔抗：20
武器附帶魔法傷害</t>
  </si>
  <si>
    <t>魔力吸収の手袋</t>
  </si>
  <si>
    <t>物理攻撃力: 3
魔法攻撃力: 10
物理防御力: 1
魔法耐性: 20
武器が追加の魔法ダメージを与えます</t>
  </si>
  <si>
    <t>Mana Draining Gloves</t>
  </si>
  <si>
    <t>Physical attack: 3
Magic attack: 10
Physical defense: 1
Magic defense: 20
Weapon attack type turns into Magic
Magical weapons deal 30% extra magic damage</t>
  </si>
  <si>
    <t>마력 흡수 장갑</t>
  </si>
  <si>
    <t>마법 공격력 : 10
물리 방어력 : 1
마법 방어력 : 20
무기에 마법 피해가 추가 됨</t>
  </si>
  <si>
    <t>Перчатки напитанные маной</t>
  </si>
  <si>
    <t>Физический урон: 3
Магический урон: 10
Защита: 1
Сопротивление магии: 20
(Оружие наносит доп. магический урон)</t>
  </si>
  <si>
    <t>Manazehrende Handschuhe</t>
  </si>
  <si>
    <t>Magieangriff: 10
Physische Verteidigung: 1
Magieabwehr: 20
Waffen verursachen zusätzlichen magischen Schaden</t>
  </si>
  <si>
    <t>Găng Tay Hấp Thụ Mana</t>
  </si>
  <si>
    <t>Sát thương vật lý: 3
Sát thương ma thuật : 10
Phòng thủ vật lý: 1
Kháng ma thuật: 20
Loại tấn công vũ khí chuyển thành ma thuật
Vũ khí ma thuật gây thêm 30% sát thương
ma thuật</t>
  </si>
  <si>
    <t>Luvas Drenadoras de Mana</t>
  </si>
  <si>
    <t>Ataque físico: 3
Ataque Mágico: 10
Defesa física: 1
Defesa Mágica: 20
Tipo do ataque da arma se torna mágico
Armas mágicas dão 30% extra de dano mágico</t>
  </si>
  <si>
    <t>紅髓玉吊墜</t>
  </si>
  <si>
    <t>魔攻：20
魔防：45
1.降低魔法武器的耐久消耗(可疊加)
2.依照"天上石碎片"的數量，每個碎片提升10魔法攻擊數值(多件裝備無法疊加效果)</t>
  </si>
  <si>
    <t>紅髄玉のペンダント</t>
  </si>
  <si>
    <t xml:space="preserve">魔法攻撃：20
魔法防御：45
1.魔法武器の耐久消耗を減少させる（重複可能）
2.「天上石の欠片」の数に応じて、欠片1つにつき魔法攻撃力が10上昇する（複数装備しても効果は重複しない）
</t>
  </si>
  <si>
    <t>Rubrum Pendant</t>
  </si>
  <si>
    <t>Magic attack: 20
Magic defense: 45
1. Reduces the durability consumption of magic weapons by 24% (stackable)
2. Increases magic attack by 10 based on how much Philosopher's Fragment you have
Effects are unique. Non-stackable.</t>
  </si>
  <si>
    <t>Кулон Рубрум</t>
  </si>
  <si>
    <t>Магический урон: 20
Сопротивление магии: 45
1. Уменьшает расход прочности магического оружия на 24%. (можно наращивать)
2. Увеличивает значение магической атаки в зависимости от количества «Фрагментов Философского камня» (каждый фрагмент увеличивает значение на 10).
Эффекты уникальны. Не накапливаются.</t>
  </si>
  <si>
    <t>Magischer Angriff: 30
Magische Verteidigung: 45
Reduziert den Haltbarkeitsverbrauch von Magiewaffen um 24%
Erhöht den m. Angriff basierend auf der Anzahl der Philosophenfragmente (jedes Fragment gibt 10+ M-Angriff)
Die Fähigkeit dieser Waffe ist "Einzigartig" und kann nicht mit gleichen Effekt gestapelt werden</t>
  </si>
  <si>
    <t>Mặt Dây Chuyền Rubrum</t>
  </si>
  <si>
    <t>Sát thương ma thuật: 30
Phòng thủ ma thuật: 45
1. Giảm 24% độ bền tiêu hao của vũ khí ma thuật (cộng dồn được)
2. Tăng 10 sát thương ma thuật dựa trên số Mảnh Hiền Triết bạn có
Chức năng của vũ khí này là "Độc nhất" và 
không cộng dồn với các hiệu ứng cùng loại</t>
  </si>
  <si>
    <t>Pingente Rubrum</t>
  </si>
  <si>
    <t>Ataque Mágico: 20
Defesa Mágica: 45
1. Reduz o consumo da durabilidade das armas mágicas (acumulável)
2. Aumenta o ataque mágico baseado em quantos fragmentos da Pedra do Filósofo você tiver (Cada fragmento dá +10 de ataque mágico)</t>
  </si>
  <si>
    <t>惡魔眼球</t>
  </si>
  <si>
    <t>魔攻:6
魔防:40
裝備時可以解除部分怪物資訊的馬賽克
可以於部分SLG事件中，觀看動畫的X光透視效果</t>
  </si>
  <si>
    <t>悪魔の眼球</t>
  </si>
  <si>
    <t xml:space="preserve">
魔法攻撃力:6
魔法防御力:40
装備すると、一部のモンスターの情報のモザイクを解除できます。
一部のSLGイベントでは、アニメーションの透視図を見ることができる
</t>
  </si>
  <si>
    <t>Demon Eyeball</t>
  </si>
  <si>
    <t xml:space="preserve">Magic attack: 6
Magic defense: 40
High durability
When equipped, some mosaic/censored monster information is removed.
Allows the cross-section/x-ray function in certain SLG sex events.
</t>
  </si>
  <si>
    <t>Демонический глаз</t>
  </si>
  <si>
    <t>Магический урон: 6
Сопротивление магии: 40
(Когда экипировано, вы сможете разблокировать некоторую информацию о монстрах.
Вы можете наблюдать эффект "рентгена" у анимаций в некоторых событиях SLG)</t>
  </si>
  <si>
    <t>Dämonenauge</t>
  </si>
  <si>
    <t>Magischer Angriff: 6
Magische Verteidigung: 40
Beim Ausrüsten können Teile der Monsterinformationen freigegeben werden
In bestimmten SLG-Ereignissen kann der Röntgen-Durchsicht-Effekt der Animation angesehen werden</t>
  </si>
  <si>
    <t>Ma Nhãn</t>
  </si>
  <si>
    <t>Sát thương ma thuật: 6
Kháng ma thuật: 40
Đeo trang bị này sẽ loại bỏ một số hiệu ứng pixel ở quái.
Nó cũng cho bạn xem hiệu ứng X-ray của animation trong một số sự kiện SLG</t>
  </si>
  <si>
    <t>Olho Demoníaco</t>
  </si>
  <si>
    <t xml:space="preserve">Ataque Mágico: 6
Defesa Mágica: 40
Equipar este item remove parte da pixelização das informações dos monstros.
Também permite visualizar o efeito de raio-X das animações em certos eventos de SLG.
</t>
  </si>
  <si>
    <t>◉▽◉(粉色)</t>
  </si>
  <si>
    <t>投擲攻擊
遇水消失、會被擊殺
幸運：40</t>
  </si>
  <si>
    <t>◉▽◉(ピンク)</t>
  </si>
  <si>
    <t xml:space="preserve">
投擲攻撃
水に当たると消滅し、撃破される
幸運：40</t>
  </si>
  <si>
    <t>◉▽◉ (Pink)</t>
  </si>
  <si>
    <t>Throwable weapon
Disappears upon contact with water
Luck: 40</t>
  </si>
  <si>
    <t>◉▽◉(Розовый)</t>
  </si>
  <si>
    <t>Удача: 40
Метательная атака.
Исчезает при контакте с водой и может быть убит.</t>
  </si>
  <si>
    <t>◉▽◉(pink)</t>
  </si>
  <si>
    <t>Wurfangriff
Verschwindet im Wasser, kann getötet werden
Glück: 40</t>
  </si>
  <si>
    <t>◉▽◉ (Hồng)</t>
  </si>
  <si>
    <t>Vũ khí ném được
Biến mất khi tiếp xúc với nước
Vận may: 45</t>
  </si>
  <si>
    <t>◉▽◉ (Rosa)</t>
  </si>
  <si>
    <t>Arma arremessável
Desaparece em contato com a água
Sorte: 40</t>
  </si>
  <si>
    <t>未滿的黃金聖杯</t>
  </si>
  <si>
    <t>幸運:100
掉落拾取的金錢數量翻倍
(不可以和存錢罐連動)</t>
  </si>
  <si>
    <t>未満の黄金聖杯</t>
  </si>
  <si>
    <t>幸運: 100 
ドロップで拾えるお金の量が2倍になります。
(貯金箱との併用はできません)</t>
  </si>
  <si>
    <t>Incomplete Holy Grail</t>
  </si>
  <si>
    <t>Luck: 100
Doubles the amount of money gained
(Doesn't work with the Piggy Bank)
*Gachapon Item</t>
  </si>
  <si>
    <t>Santo Grial incompleto</t>
  </si>
  <si>
    <t>불완전한 성배</t>
  </si>
  <si>
    <t xml:space="preserve">
행운 : 100
획득하는 돈의 양이 2배로 증가
(돼지 저금통과 같이 사용 불가)
</t>
  </si>
  <si>
    <t>Незавершенный Святой Грааль</t>
  </si>
  <si>
    <t>Удача: 100
(Удваивает количество денег, которые вы получаете из выпадающих предметов.
(Не может быть объединено с свинкой-копилкой))</t>
  </si>
  <si>
    <t>Unvollständiger Heiliger Gral</t>
  </si>
  <si>
    <t>Glück: 100
Verdoppelt die Menge an Geld, das du erhältst
(Funktioniert nicht mit dem Sparschwein.)</t>
  </si>
  <si>
    <t>Chén Thánh Vàng
 Khiếm Khuyết</t>
  </si>
  <si>
    <t>May mắn: 100
Nhân đôi số tiền nhận được
(Không dùng được với Heo Đất)
*Vật phẩm Gacha</t>
  </si>
  <si>
    <t>Sorte: 100
Dobra a quantidade de dinheiro ganho
(Não funciona com o Cofrinho)
*Item de Gachapon</t>
  </si>
  <si>
    <t>王權之令</t>
  </si>
  <si>
    <t>提升從者大小和能力、提升全屬性
憤怒的拳頭-強化傷害和擊退距離
毒刀-強化中毒概率
豬豬存錢罐-更不易碎
貪欲存錢罐-探測範圍變大，光環範圍變大
謝里斯的詛咒之手-強化Debuff效果，並讓手指變為馬賽克狀態(未實裝)
◉▽◉-提升體型與傷害、增加擊退效果(擊退效果不會疊加)
(海鷗目前未適配)</t>
  </si>
  <si>
    <t>王権征令</t>
  </si>
  <si>
    <t xml:space="preserve">        サーヴァントのサイズと能力を増加し、全属性を強化します
アングリーフィスト - ダメージとノックバック距離を増加します
ポイズンナイフ - 毒発生率を増加します
ブタの貯金箱 - 耐久性を向上します
グリーディブタの貯金箱 - 検知範囲とオーラ範囲を増加します
シェリスの呪われた手 - デバフ効果を向上し、指をピクセル化します（未実装）
◉▽◉ - サイズとダメージを増加し、ノックバック効果を追加します（ノックバック効果は重複しません）</t>
  </si>
  <si>
    <t>Royal Decree</t>
  </si>
  <si>
    <t>Increases the size of all Servants as well as their attributes
Slightly increases all stats.
Fist of Fury - Increases damage and knockback distance
Poison Knife - Chance to inflict poison increases
Piggy Bank - Less fragile, more durable
Greedy Piggy Bank - Larger detection range. Mammon Aura range increase.
Xerise's Cursed Hand: Enhances the Cursed effect and gives the middle finger a mosaic effect.
*Gachapon Item</t>
  </si>
  <si>
    <t xml:space="preserve">
서번트의 크기와 능력을 크게 증가 시키고 모든 능력치를 향상
분노의 주먹 - 피해량과 넉백 거리가 증가
독 나이프 - 중독 확률 증가
돼지 저금통 - 잘 부서지지 않고 튼튼해짐
탐욕스러운 돼지 저금통 - 탐지 범위가 넓어지고, 마몬 아우라 범위 증가
</t>
  </si>
  <si>
    <t>Королевский указ</t>
  </si>
  <si>
    <t>Увеличивает размер и способности Слуги, улучшает все характеристики.
Яростный Кулак — увеличивает урон и дальность отбрасывания.
Ядовитый Нож — увеличивает шанс отравления.
Копейка — более прочная.
Жадная Копилка — увеличивает дальность обнаружения и дальность действия ауры.
Проклятая Рука Ксериса — улучшает эффекты дебаффов и делает пальцы пикселизированными (пока не реализовано).
◉▽◉ — увеличивает размер и урон, добавляет эффект отбрасывания (эффект отбрасывания не суммируется).
(Чайка в настоящее время не поддерживается)
*Предмет из Гачи</t>
  </si>
  <si>
    <t>Königliches Dekret</t>
  </si>
  <si>
    <t>Erhöht die Größe aller Diener sowie deren Attribute.
Erhöht leicht alle Werte.
Faust der Wut - Erhöht Schaden und Rückstoßweite.
Giftmesser - Chance, Gift zu verursachen, erhöht.
Sparschwein - Weniger zerbrechlich, haltbarer.
Gieriges Sparschwein - Größerer Erkennungsbereich. Erhöht den Bereich der Mammon-Aura.
Xerises verfluchte Hand: Verstärkt den verfluchten Effekt und verleiht dem Mittelfinger einen Pixelbildeffekt</t>
  </si>
  <si>
    <t>Sắc Lệnh Hoàng Gia</t>
  </si>
  <si>
    <t>Tăng kích thước của tất cả các Servant cũng như
thuộc tính của chúng. Tăng nhẹ tất cả các chỉ số.
Nắm Đấm Cuồng Nộ - Tăng sát thương và tầm đẩy lùi
Dao Độc - Tăng cơ hội gây độc
Heo Đất - Ít dễ vỡ hơn, bền hơn
Heo Đất Tham Lam - Tầm phát hiện rộng hơn. 
Tầm phát hiện Mammon Aura tăng.
Bàn Tay Bị Nguyền Rủa của Xerise: 
Nâng cao hiệu ứng Nguyền Rủa
 và tạo cho ngón giữa một vết che mờ.
*Vật phẩm Gacha</t>
  </si>
  <si>
    <t>Decreto Real</t>
  </si>
  <si>
    <t>Aumenta o tamanho dos servos junto com os atributos deles.
Aumenta todos os status ligeiramente.
Punho da Fúria - Aumenta o dano e a distância que ele empurra
Abraço Venenoso - Chance de infligir veneno aumenta
Cofrinho - Menos frágil, mais durável
Cofrinho Ganancioso - Grande alcance de detecção. alcance da aura de Mammon aumenta.
Mão Amaldiçoada de Xerise: Aumenta o efeito da Maldição e dá o dedo do meio com efeito mosaico.
*Item de Gachapon/derrotando o chefe</t>
  </si>
  <si>
    <t>貪欲存錢罐</t>
  </si>
  <si>
    <t xml:space="preserve">幸運：100
撿錢、瑪門光環、堅不可摧、移動加快
</t>
  </si>
  <si>
    <t>貪欲な貯金箱</t>
  </si>
  <si>
    <t>幸運：100（幸運ステータスには、金策、マモンオーラ、無敵、移動速度上昇などが含まれます）</t>
  </si>
  <si>
    <t>Greedy Piggy Bank</t>
  </si>
  <si>
    <t xml:space="preserve">행운 : 100
돈 자동 습득, 마몬 아우라, 파괴 불가(부서지지 않음), 이동속도 증가
</t>
  </si>
  <si>
    <t>Жадная свинка-копилка</t>
  </si>
  <si>
    <t>Удача: 100
(К характеристикам, повышающим удачу, относятся: нахождение денег, аура Маммона, неуязвимость, повышенная скорость передвижения)</t>
  </si>
  <si>
    <t>Gieriges Sparschwein</t>
  </si>
  <si>
    <t xml:space="preserve">Glück: 100
Nimmt Geld auf, Mammon-Aura, Unzerstörbar, schnellere Bewegung.
</t>
  </si>
  <si>
    <t>Heo Đất Tham Lam</t>
  </si>
  <si>
    <t xml:space="preserve">May mắn: 100
Nhặt vàng, Hào quang Mammon,
Không thể bị phá hủy, tăng tốc độ di chuyển
</t>
  </si>
  <si>
    <t xml:space="preserve"> Cofrinho Ganancioso</t>
  </si>
  <si>
    <t xml:space="preserve">Sorte: 100 Coleta dinheiro, Aura de Mammon, Indestrutível, Aumenta velocidade de movimento </t>
  </si>
  <si>
    <t>愛神蕩漾</t>
  </si>
  <si>
    <t>大幅增加觸摸時提升的好感度
(摸一次增加一顆好感)
※此為作弊神器，請參考TIPS</t>
  </si>
  <si>
    <t>カタリスト・アマトリア</t>
  </si>
  <si>
    <t>触れることで好感度が大幅に増加します(1回触れるごとに好感度が1つ増えます）
※これはチートアイテムですので、TIPSを参照してください</t>
  </si>
  <si>
    <t>Catalyst Amatoria</t>
  </si>
  <si>
    <t>Adds 1 red heart when giving headpats to Imouto when worn
*This item is a cheat item. Please refer to TIPS on how to obtain it.</t>
  </si>
  <si>
    <t>Катализатор Аматория</t>
  </si>
  <si>
    <t>Значительно увеличивает привязанность, получаемую от прикосновений.
(Одно касание увеличивает привязанность на одно очко).
※ Читерский предмет.
(Пожалуйста, ознакомьтесь с Tips)</t>
  </si>
  <si>
    <t>Katalysator der Liebe</t>
  </si>
  <si>
    <t>Cheat Ausrüstung
Erhöht beim Tragen die max Herzanzahl um 1 (rotes Herz), wenn der Imouto (kleinen Schwester) Kopfstreicheln gegeben wird</t>
  </si>
  <si>
    <t>Ái Thần Dâng Trào</t>
  </si>
  <si>
    <t>Thêm 1 tim đỏ khi xoa đầu em gái khi trang bị.
※ Vật phẩm này là vật phẩm gian lận. 
Vui lòng tham khảo TIPS để biết cách nhận được.</t>
  </si>
  <si>
    <t>Catalisador Amatoria</t>
  </si>
  <si>
    <r>
      <rPr>
        <rFont val="Microsoft JhengHei"/>
        <color theme="1"/>
      </rPr>
      <t xml:space="preserve">Adicione 1 coração vermelho quando fizer cafuné na imouto quando vestido
※ Esse item é um item roubado. Por favor, Consulte as </t>
    </r>
    <r>
      <rPr>
        <rFont val="Microsoft JhengHei"/>
        <i/>
        <color theme="1"/>
      </rPr>
      <t>TIPS</t>
    </r>
    <r>
      <rPr>
        <rFont val="Microsoft JhengHei"/>
        <color theme="1"/>
      </rPr>
      <t xml:space="preserve"> em como o obter.</t>
    </r>
  </si>
  <si>
    <t>絕對領域</t>
  </si>
  <si>
    <t>魔防：169
幸運：69
增加攜帶武器/防具數量+99
※此為作弊神器，請參考TIPS</t>
  </si>
  <si>
    <t>絶対領域</t>
  </si>
  <si>
    <t>魔防：169
幸運：69
所持できる武器/防具の数を+99増加
※これはチートアイテムですので、TIPSを参考にしてください</t>
  </si>
  <si>
    <t>Absolute Territory</t>
  </si>
  <si>
    <t>Magic defense: 169
Luck: 69
Weapon/Equipment slots + 99
*This item is a cheat item. Please refer to TIPS on how to obtain it.</t>
  </si>
  <si>
    <t>Абсолютная территория</t>
  </si>
  <si>
    <t>Сопротивление магии: 169
Удача: 69
(Вместимость оружия и экипировки +99)
※ Читерский предмет.
(Пожалуйста, ознакомьтесь с Tips)</t>
  </si>
  <si>
    <t>Absolute Zone</t>
  </si>
  <si>
    <t>Mag. Abwehr: 169
Glück: 69
Erhöht die Anzahl tragbarer Waffen/Rüstungen um +99
※ Dies ist ein Cheat-Artefakt, siehe TIPS</t>
  </si>
  <si>
    <t>Lãnh Địa Tuyệt Đối</t>
  </si>
  <si>
    <t>Kháng ma thuật: 169
May mắn: 69
Kho Vũ khí/Trang bị + 99
※ Vật phẩm này là vật phẩm gian lận. 
Vui lòng tham khảo TIPS để biết cách nhận được.</t>
  </si>
  <si>
    <t>Território Absoluto</t>
  </si>
  <si>
    <r>
      <rPr>
        <rFont val="Microsoft JhengHei"/>
        <color theme="1"/>
      </rPr>
      <t xml:space="preserve">Defesa Mágica: 169
Sorte: 69
Espaços para arma/equipamento + 99
※ Esse item é um item roubado. Por favor, Consulte as </t>
    </r>
    <r>
      <rPr>
        <rFont val="Microsoft JhengHei"/>
        <i/>
        <color theme="1"/>
      </rPr>
      <t>TIPS</t>
    </r>
    <r>
      <rPr>
        <rFont val="Microsoft JhengHei"/>
        <color theme="1"/>
      </rPr>
      <t xml:space="preserve"> em como o obter.</t>
    </r>
  </si>
  <si>
    <t>Mio的急救箱</t>
  </si>
  <si>
    <t>每秒回復血
※此為作弊神器，請參考TIPS</t>
  </si>
  <si>
    <t>ミオの救急箱</t>
  </si>
  <si>
    <t>毎秒HP回復
※これはチートアイテムですので、TIPSを参照してください</t>
  </si>
  <si>
    <t>Mio's First Aid Kit</t>
  </si>
  <si>
    <t>Massively restores health per second 
*This item is a cheat item. Please refer to TIPS on how to obtain it.</t>
  </si>
  <si>
    <t>Аптечка Мио</t>
  </si>
  <si>
    <t xml:space="preserve">Восстанавливает всё здоровье за секунду.
※ Читерский предмет.
(Пожалуйста, ознакомьтесь с Tips)
</t>
  </si>
  <si>
    <t>Bộ Sơ Cứu Của Mio</t>
  </si>
  <si>
    <t>Hồi máu mỗi giây 
※ Vật phẩm này là vật phẩm gian lận. 
Vui lòng tham khảo TIPS để biết cách nhận được.</t>
  </si>
  <si>
    <t>Kit de primeiros socorros da Mio</t>
  </si>
  <si>
    <t>Recupera massivamente os PV por segundo
※ Esse item é um item roubado. Por favor, Consulte as TIPS em como o obter.</t>
  </si>
  <si>
    <t>Ruika的萬寶槌</t>
  </si>
  <si>
    <t>幸運：777
增加掉落率
※此為作弊神器，請參考TIPS</t>
  </si>
  <si>
    <t>ルイカのラッキーハンマー</t>
  </si>
  <si>
    <t xml:space="preserve">
幸運：777
ドロップ率上昇
※これはチートアイテムですので、TIPSを参照してください</t>
  </si>
  <si>
    <t>Ruika's Lucky Hammer</t>
  </si>
  <si>
    <t>Attack: 777
Increases drop rate 
*This item is a cheat item. Please refer to TIPS on how to obtain it.</t>
  </si>
  <si>
    <t>Волшебный молоточек Руики</t>
  </si>
  <si>
    <t>Увеличивает количество денег и шанс выпадения предметов.
※ Читерский предмет.
(Пожалуйста, ознакомьтесь с Tips)</t>
  </si>
  <si>
    <t>Búa May Mắn của Ruika</t>
  </si>
  <si>
    <t>May mắn: 777
Tăng tỉ lệ rơi đồ 
※ Vật phẩm này là vật phẩm gian lận. 
Vui lòng tham khảo TIPS để biết cách nhận được.</t>
  </si>
  <si>
    <t>Martelo da sorte da Ruika</t>
  </si>
  <si>
    <t>Attack: 777
Aumenta a chance de cair itens 
※ Esse item é um item roubado. Por favor, Consulte as TIPS em como o obter.</t>
  </si>
  <si>
    <t>白湮的金手指</t>
  </si>
  <si>
    <t>武器無消耗
※此為作弊神器，請參考TIPS</t>
  </si>
  <si>
    <t>シロインの黄金指</t>
  </si>
  <si>
    <t>武器の耐久消耗なし
※これはチートアイテムですので、TIPSを参照してください</t>
  </si>
  <si>
    <t>Shiroin's Golden Finger</t>
  </si>
  <si>
    <t>Weapons no longer break 
*This item is a cheat item. Please refer to TIPS on how to obtain it.</t>
  </si>
  <si>
    <t>Золотой палец Широина</t>
  </si>
  <si>
    <t>Оружие больше не ломается при атаках.
※ Читерский предмет.
(Пожалуйста, ознакомьтесь с Tips)</t>
  </si>
  <si>
    <t>Kim Thủ Chỉ của Shiroin</t>
  </si>
  <si>
    <t>Vũ khí không thể bị phá hủy 
※ Vật phẩm này là vật phẩm gian lận. 
Vui lòng tham khảo TIPS để biết cách nhận được.</t>
  </si>
  <si>
    <t>Dedo dourado de Shiroin</t>
  </si>
  <si>
    <t>Armas não perdem durabiilidade 
※ Esse item é um item roubado. Por favor, Consulte as TIPS em como o obter.</t>
  </si>
  <si>
    <t>道具名稱</t>
  </si>
  <si>
    <t>效果</t>
  </si>
  <si>
    <t>Efectos</t>
  </si>
  <si>
    <t>Предмет</t>
  </si>
  <si>
    <t>Эффект</t>
  </si>
  <si>
    <t>Itemname</t>
  </si>
  <si>
    <t>Auswirkungen</t>
  </si>
  <si>
    <t>Vật phẩm</t>
  </si>
  <si>
    <t>Tác dụng</t>
  </si>
  <si>
    <t>Nome</t>
  </si>
  <si>
    <t>Efeito</t>
  </si>
  <si>
    <t>Nama Item</t>
  </si>
  <si>
    <t>Efek</t>
  </si>
  <si>
    <t>好喝的牛奶</t>
  </si>
  <si>
    <t>回復體力120，自動回復效果</t>
  </si>
  <si>
    <t>オイシイミルク</t>
  </si>
  <si>
    <t>体力120回復、毎秒リジェネ</t>
  </si>
  <si>
    <t>Delicious Milk</t>
  </si>
  <si>
    <t>Recovers 120 HP
Continuous HP regeneration</t>
  </si>
  <si>
    <t>Recupera 120 HP 
Regenera HP continuamente</t>
  </si>
  <si>
    <t>체력을 120 회복하고 지속적인 회복 효과를 받습니다.</t>
  </si>
  <si>
    <t>Вкусное молоко</t>
  </si>
  <si>
    <t>Восстанавливает 120 ОЗ.
Эффект автоматического восстановления ОЗ.</t>
  </si>
  <si>
    <t>Köstliche Milch</t>
  </si>
  <si>
    <t>Stellt 120 HP wieder her
Kontinuierliche HP-Regeneration</t>
  </si>
  <si>
    <t>Sữa Ngon Cực Kì</t>
  </si>
  <si>
    <t>Hồi phục 120 HP
Hồi phục HP liên tục</t>
  </si>
  <si>
    <t>Leite Delicioso</t>
  </si>
  <si>
    <t>Recupera 120 PV=HP
Continuamente recupera PV</t>
  </si>
  <si>
    <t>Susu Lezat</t>
  </si>
  <si>
    <t>Memulihkan 120 HP
Regenerasi HP berkelanjutan</t>
  </si>
  <si>
    <t>胡蘿蔔牛奶</t>
  </si>
  <si>
    <t>回復體力75，消除異常</t>
  </si>
  <si>
    <t>キャロットミルク</t>
  </si>
  <si>
    <t>体力を75回復し、ランダムで一つ状態異常を治す</t>
  </si>
  <si>
    <t>Carrot Milk</t>
  </si>
  <si>
    <t>Recovers 75 HP
Randomly cures 1 status ailment</t>
  </si>
  <si>
    <t>Recupera 75 HP 
Cura 1 efecto negativo random</t>
  </si>
  <si>
    <t>체력을 75 회복하고 랜덤으로 상태이상 하나를 치유합니다.</t>
  </si>
  <si>
    <t>Морковное молоко</t>
  </si>
  <si>
    <t>Восстанавливает 75 ОЗ.
Снимает дебаффы.</t>
  </si>
  <si>
    <t>Karottenmilch</t>
  </si>
  <si>
    <t>Stellt 75 HP wieder her
Heilt zufällig einen negativen Statuseffekt</t>
  </si>
  <si>
    <t>Sữa Cà rốt</t>
  </si>
  <si>
    <t>Hồi phục 75 HP
Xóa bỏ ngẫu nhiên 1 trạng thái bất lợi</t>
  </si>
  <si>
    <t>Leite de Cenoura</t>
  </si>
  <si>
    <t>Recupera 75 PV
Remove aleatoriamente 1 efeito negativo</t>
  </si>
  <si>
    <t>Susu Wortel</t>
  </si>
  <si>
    <t>Memulihkan 75 HP
Secara acak menyembuhkan 1 kegagalan status</t>
  </si>
  <si>
    <t>草莓味牛奶</t>
  </si>
  <si>
    <t>回復體力75，提高50%攻擊</t>
  </si>
  <si>
    <t>イチゴミルク</t>
  </si>
  <si>
    <t>体力75回復、一定時間攻撃力50％UP</t>
  </si>
  <si>
    <t>Strawberry Milk</t>
  </si>
  <si>
    <t>Recovers 75 HP
Physical attack increased by 50%</t>
  </si>
  <si>
    <t>Recupera 75 HP 
Aumenta el daño en un 50%</t>
  </si>
  <si>
    <t>딸기 우유</t>
  </si>
  <si>
    <t>Клубничное молоко</t>
  </si>
  <si>
    <t>Восстанавливает 75 ОЗ.
Увеличивает атаку на 50%.</t>
  </si>
  <si>
    <t>Erdbeermilch</t>
  </si>
  <si>
    <t>Stellt 75 HP wieder her
Physischer Angriff um 50 % erhöht</t>
  </si>
  <si>
    <t>Sữa Dâu</t>
  </si>
  <si>
    <t>Hồi phục 75 HP
Sát thương vật lý tăng 50%</t>
  </si>
  <si>
    <t>Leite de Morango</t>
  </si>
  <si>
    <t>Recupera 75 PV
Ataque físico aumenta em 50%</t>
  </si>
  <si>
    <t>Susu Stroberi</t>
  </si>
  <si>
    <t>Memulihkan 75 HP
Serangan fisik meningkat sebesar 50%</t>
  </si>
  <si>
    <t>蜜瓜味牛奶</t>
  </si>
  <si>
    <t>回復體力75，提高50%魔力</t>
  </si>
  <si>
    <t>メロンミルク</t>
  </si>
  <si>
    <t>体力75回復、一定時間魔攻力50％UP</t>
  </si>
  <si>
    <t>Melon Milk</t>
  </si>
  <si>
    <t>Recovers 75 HP
Magic attack increased by 50%</t>
  </si>
  <si>
    <t>Leche de Melon</t>
  </si>
  <si>
    <t>Recuperas 75 HP 
Aumenta el daño magico un 50%</t>
  </si>
  <si>
    <t>멜론 우유</t>
  </si>
  <si>
    <t>Дынное молоко</t>
  </si>
  <si>
    <t>Восстанавливает 75 ОЗ.
Увеличивает магический урон на 50%.</t>
  </si>
  <si>
    <t>Melonenmilch</t>
  </si>
  <si>
    <t>Stellt 75 HP wieder her
Magischer Angriff um 50 % erhöht</t>
  </si>
  <si>
    <t>Sữa Dưa Lưới</t>
  </si>
  <si>
    <t>Hồi phục 75 HP
Sát thương ma thuật tăng 50%</t>
  </si>
  <si>
    <t>Leite de Melão</t>
  </si>
  <si>
    <t>Recupera 75 PV
Ataque mágico aumenta em 50%</t>
  </si>
  <si>
    <t>Susu Melon</t>
  </si>
  <si>
    <t>Memulihkan 75 HP
Serangan sihir meningkat sebesar 50%</t>
  </si>
  <si>
    <t>香蕉味牛奶</t>
  </si>
  <si>
    <t>回復體力75，移速增強</t>
  </si>
  <si>
    <t>バナナミルク</t>
  </si>
  <si>
    <t>体力75回復、一定時間移動速度UP</t>
  </si>
  <si>
    <t>Banana Milk</t>
  </si>
  <si>
    <t>Recovers 75 HP
Increases movement speed</t>
  </si>
  <si>
    <t>Recuperas 75 HP 
Aumenta la velocidad de movimiento</t>
  </si>
  <si>
    <t>체력을 75 회복하고 이동속도가 증가합니다.</t>
  </si>
  <si>
    <t>Банановое молоко</t>
  </si>
  <si>
    <t>Восстанавливает 75 ОЗ.
Увеличивает скорость передвижения.</t>
  </si>
  <si>
    <t>Bananenmilch</t>
  </si>
  <si>
    <t>Stellt 75 HP wieder her
Erhöht Bewegungsgeschwindigkeit</t>
  </si>
  <si>
    <t>Sữa Chuối</t>
  </si>
  <si>
    <t>Hồi phục 75 HP
Tăng tốc độ di chuyển</t>
  </si>
  <si>
    <t>Leite de Banana</t>
  </si>
  <si>
    <t>Recupera 75 PV
Aumenta a velocidade de movimento</t>
  </si>
  <si>
    <t>Susu Pisang</t>
  </si>
  <si>
    <t>Memulihkan 75 HP
Meningkatkan kecepatan gerakan</t>
  </si>
  <si>
    <t>巧克力牛奶</t>
  </si>
  <si>
    <t>回復體力78，霸體效果
(未實裝)</t>
  </si>
  <si>
    <t>チョコレートミルク</t>
  </si>
  <si>
    <t>体力78回復、一定時間霜体を得る
(未実装)</t>
  </si>
  <si>
    <t>Chocolate Milk</t>
  </si>
  <si>
    <t>Recovers 78 HP
Grants Super Armor
(not yet implemented)</t>
  </si>
  <si>
    <t>Recuperas 78 HP
Otorga Super Armadura
(Todavia no implementado)</t>
  </si>
  <si>
    <t>초코 우유</t>
  </si>
  <si>
    <t>Шоколадное молоко</t>
  </si>
  <si>
    <t>Восстанавливает 78 ОЗ.
Даёт эффект неуязвимости. (Пока не реализовано)</t>
  </si>
  <si>
    <t>Schokoladenmilch</t>
  </si>
  <si>
    <t>Stellt 78 HP wieder her
Gewährt Superrüstung
(noch nicht implementiert)</t>
  </si>
  <si>
    <t>Sữa Socola</t>
  </si>
  <si>
    <t>Phục hồi 78 HP
Giáp Siêu Cấp của Grant
(chưa được triển khai)</t>
  </si>
  <si>
    <t>Recupera 78 PV
Garante super armadura
(Ainda não foi implementado)</t>
  </si>
  <si>
    <t>Susu Cokelat</t>
  </si>
  <si>
    <t>Memulihkan 78 HP
Memberikan Super Armor
(belum diimplementasikan)</t>
  </si>
  <si>
    <t>杰克爆彈</t>
  </si>
  <si>
    <t>炸彈(無視防禦)</t>
  </si>
  <si>
    <t>爆発する</t>
  </si>
  <si>
    <t>Jack Bomb</t>
  </si>
  <si>
    <t>Explosive Bomb (Ignores defense)</t>
  </si>
  <si>
    <t>Una Bomba (Ignora la defensa)</t>
  </si>
  <si>
    <t>잭 폭탄</t>
  </si>
  <si>
    <t>Бомба Джека</t>
  </si>
  <si>
    <t>Бомба (игнорирует защиту)</t>
  </si>
  <si>
    <t>Jacks Bombe</t>
  </si>
  <si>
    <t>Explosionsbombe (Ignoriert Verteidigung)</t>
  </si>
  <si>
    <t>Bom nổ (Bỏ qua phòng thủ)</t>
  </si>
  <si>
    <t>Bomba Jack</t>
  </si>
  <si>
    <t>Bomba explosiva(ignora defesa)</t>
  </si>
  <si>
    <t>Bom Jack</t>
  </si>
  <si>
    <t>Bom Peledak (Mengabaikan pertahanan)</t>
  </si>
  <si>
    <t>橡膠鴨</t>
  </si>
  <si>
    <t>回家洗澡時可放入</t>
  </si>
  <si>
    <t>ゴム製アヒル</t>
  </si>
  <si>
    <t>家に帰ってお風呂に入るときに入れることができる</t>
  </si>
  <si>
    <t>Rubber Ducky</t>
  </si>
  <si>
    <t>Shows up in the bath tub once you get home</t>
  </si>
  <si>
    <t>橡胶鸭</t>
  </si>
  <si>
    <t>回家洗澡时可放入</t>
  </si>
  <si>
    <t>Aparece en la hora del baño cuando llegas a casa</t>
  </si>
  <si>
    <t>Резиновая уточка</t>
  </si>
  <si>
    <t>Резиновая уточка появится в ванне при возвращении домой.</t>
  </si>
  <si>
    <t>Kann beim Baden ins Wasser gelegt werden</t>
  </si>
  <si>
    <t>Vịt Cao Su</t>
  </si>
  <si>
    <t>Xuất hiện ở trong bồn tắm khi bạn về đến nhà</t>
  </si>
  <si>
    <t>Pato de Borracha</t>
  </si>
  <si>
    <t>Ele pode ser colocado na banheira quando você toma banho</t>
  </si>
  <si>
    <t>Bebek Karet</t>
  </si>
  <si>
    <t>bisa ditaruh di bathtub</t>
  </si>
  <si>
    <t>拍立得1~8</t>
  </si>
  <si>
    <t>查看優質照片</t>
  </si>
  <si>
    <t>エッチな写真を見る事が出来る</t>
  </si>
  <si>
    <t>Polaroid 1~8</t>
  </si>
  <si>
    <t>Lets you view quality illustrations</t>
  </si>
  <si>
    <t>Te permite ver ilustraciones de calidad</t>
  </si>
  <si>
    <t>Полароиды NLCH (1-8)</t>
  </si>
  <si>
    <t>Эротические фотографии высокого качества</t>
  </si>
  <si>
    <t>Polaroid-Fotos 1–8</t>
  </si>
  <si>
    <t>Erlaubt das Anschauen hochwertiger Illustrationen</t>
  </si>
  <si>
    <t>Cho phép bạn xem hình ảnh minh họa chất lượng</t>
  </si>
  <si>
    <t>Deixa você ver ilustrações de qualidade</t>
  </si>
  <si>
    <t>Memungkinkan Anda melihat ilustrasi berkualitas.</t>
  </si>
  <si>
    <t>茶會拍立得收藏集</t>
  </si>
  <si>
    <t>完成後提升幸運值</t>
  </si>
  <si>
    <t>ポラロイドコレクション</t>
  </si>
  <si>
    <t>完成すると、幸運値が上昇する！</t>
  </si>
  <si>
    <t>NLCH Polaroid Album</t>
  </si>
  <si>
    <t>Luck increases after completing it</t>
  </si>
  <si>
    <t>Aumenta la suerte al completarlo</t>
  </si>
  <si>
    <t>Альбом полароидов</t>
  </si>
  <si>
    <t>Удача навсегда повышается.</t>
  </si>
  <si>
    <t>Teeparty-Polaroid-Sammlung</t>
  </si>
  <si>
    <t>Nach Abschluss wird der Glückswert erhöht</t>
  </si>
  <si>
    <t>Album Polaroid Của NLCH</t>
  </si>
  <si>
    <t>Tăng vận may sau khi sưu tập đủ</t>
  </si>
  <si>
    <t>Small Magic Gel</t>
  </si>
  <si>
    <t>Expande os espaços de arma e equipamento
(a quantidade necessária aumenta em cada uso respectivamente)</t>
  </si>
  <si>
    <t>Album Polaroid NLCH</t>
  </si>
  <si>
    <t>Keberuntungan meningkat setelah menyelesaikannya</t>
  </si>
  <si>
    <t>貓的罰單</t>
  </si>
  <si>
    <t>沒收金幣並且累積罪惡值</t>
  </si>
  <si>
    <t>浅羽の請求書</t>
  </si>
  <si>
    <t>お金を没収し、罪悪値を蓄積する...</t>
  </si>
  <si>
    <t>Neko's Fine Slip</t>
  </si>
  <si>
    <t>Confiscates money and increases sin value</t>
  </si>
  <si>
    <t>猫的罚单</t>
  </si>
  <si>
    <t>没收金币并累积罪恶值</t>
  </si>
  <si>
    <t>Te confisca la plata y aumenta el valor del pescado</t>
  </si>
  <si>
    <t>Подсунутый штраф от Нэко</t>
  </si>
  <si>
    <t>Конфискует деньги и повышает ваш грех</t>
  </si>
  <si>
    <t>Catgirl-Ticket</t>
  </si>
  <si>
    <t>Beschlagnahmt Geld und erhöht den Sündenwert</t>
  </si>
  <si>
    <t>Biên Lai Phạt Của Neko</t>
  </si>
  <si>
    <t>Tịch thu tiền và tăng giá trị tội lỗi</t>
  </si>
  <si>
    <t>Multa da Gata</t>
  </si>
  <si>
    <t>Confiscar yens e acumular pontos de pecado.</t>
  </si>
  <si>
    <t>Tiket Kucing</t>
  </si>
  <si>
    <t>Koin emas dan poin dosa yang terkumpul disita.</t>
  </si>
  <si>
    <t>逆流可樂</t>
  </si>
  <si>
    <t>(戰鬥效果未實裝)</t>
  </si>
  <si>
    <t>逆流コーラ</t>
  </si>
  <si>
    <t>(効果は未実装です)</t>
  </si>
  <si>
    <t>NLCH's Cola (L)</t>
  </si>
  <si>
    <t>(Combat effects not yet implemented)</t>
  </si>
  <si>
    <t>NLCH Cola</t>
  </si>
  <si>
    <t>(Efectos de combate sin implementarse)</t>
  </si>
  <si>
    <t>NLCH 콜라</t>
  </si>
  <si>
    <t>Кола NLCH (L)</t>
  </si>
  <si>
    <t>(Боевые эффекты пока не реализованы)</t>
  </si>
  <si>
    <t>(Kampfeffekte noch nicht implementiert)</t>
  </si>
  <si>
    <t>Cola(L) NLCH</t>
  </si>
  <si>
    <t>(Hiệu ứng chiến đấu chưa được triển khai)</t>
  </si>
  <si>
    <t>Cola da NLCH</t>
  </si>
  <si>
    <t>(Efeitos de combate ainda não foram implementados)</t>
  </si>
  <si>
    <t>Cola NLCH</t>
  </si>
  <si>
    <t>(Efek pertempuran belum diimplementasikan)</t>
  </si>
  <si>
    <t>冰霜杰克爆彈</t>
  </si>
  <si>
    <t>冰屬性炸彈</t>
  </si>
  <si>
    <t>アイスジャックボム</t>
  </si>
  <si>
    <t>凍結効果を持った爆発</t>
  </si>
  <si>
    <t>Frost Jack Bomb</t>
  </si>
  <si>
    <t>Ice Bomb
Freezes enemies</t>
  </si>
  <si>
    <t>Una Bomba de Hielo
(Congela a los enemigos/mounstros)</t>
  </si>
  <si>
    <t>빙결 효과를 가지고 있는 얼음 폭탄</t>
  </si>
  <si>
    <t>Ледяная бомба Джека</t>
  </si>
  <si>
    <t>Ледяная бомба</t>
  </si>
  <si>
    <t>Jacks Frostbombe</t>
  </si>
  <si>
    <t>Eisbombe (Friert Gegner ein)</t>
  </si>
  <si>
    <t>Bom Băng
Đóng băng kẻ địch</t>
  </si>
  <si>
    <t>Bomba Jack Gélida</t>
  </si>
  <si>
    <t>Bomba gélida
Congela inimigos</t>
  </si>
  <si>
    <t>Bom Frost Jack</t>
  </si>
  <si>
    <t>Bom Es Membekukan Musuh</t>
  </si>
  <si>
    <t>猛毒杰克爆彈</t>
  </si>
  <si>
    <t>毒屬性炸彈</t>
  </si>
  <si>
    <t>ヴェノムジャックボム</t>
  </si>
  <si>
    <t>中毒効果を持った爆発</t>
  </si>
  <si>
    <t>Venom Jack Bomb</t>
  </si>
  <si>
    <t>Poison Bomb
Poisons enemies</t>
  </si>
  <si>
    <t>Una Bomba de Veneno
(Envenena a los enemigos/mounstros)</t>
  </si>
  <si>
    <t>베놈 잭 폭탄</t>
  </si>
  <si>
    <t>중독 효과를 가지고 있는 독 폭탄</t>
  </si>
  <si>
    <t>Ядовитая бомба Джека</t>
  </si>
  <si>
    <t>Отравленная бомба</t>
  </si>
  <si>
    <t>Jacks Giftbombe</t>
  </si>
  <si>
    <t>Giftbombe (Vergiftet Gegner)</t>
  </si>
  <si>
    <t>Bom độc
Đầu độc mục tiêu</t>
  </si>
  <si>
    <t>Bomba Jack Venenosa</t>
  </si>
  <si>
    <t>Bomba venenosa
Envenena inimigos</t>
  </si>
  <si>
    <t>Bom Racun
Meracuni musuh</t>
  </si>
  <si>
    <t>藍輝石</t>
  </si>
  <si>
    <t>目前沒有兌換方式
(寶石)</t>
  </si>
  <si>
    <t>青輝石</t>
  </si>
  <si>
    <t>Blue Pyroxene</t>
  </si>
  <si>
    <t>This item currently has no way of being exchanged (gem)</t>
  </si>
  <si>
    <t>Piroxeno Azul</t>
  </si>
  <si>
    <t>Este item todavia no se puede conseguir (Gema)</t>
  </si>
  <si>
    <t>Синий сапфир</t>
  </si>
  <si>
    <t>В настоящее время нет возможности обменять (самоцветы).</t>
  </si>
  <si>
    <t>Blauer Pyroxen</t>
  </si>
  <si>
    <t>Dieser Gegenstand kann derzeit nicht eingetauscht werden (Edelstein)</t>
  </si>
  <si>
    <t>Đá Pyroxene Xanh</t>
  </si>
  <si>
    <t>Hiện tại vật phẩm này không có cách nào
để trao đổi (đá quý)</t>
  </si>
  <si>
    <t>Esse item atualmente não tem como ser trocado (gema)</t>
  </si>
  <si>
    <t>Piroksen Biru</t>
  </si>
  <si>
    <t>Item ini saat ini tidak dapat ditukar (permata).</t>
  </si>
  <si>
    <t>銀坷拉</t>
  </si>
  <si>
    <t>誘餌/粉塵爆炸</t>
  </si>
  <si>
    <t>ギンケラ</t>
  </si>
  <si>
    <t>肥料/魔物をおびき寄せる</t>
  </si>
  <si>
    <t>Ginkela</t>
  </si>
  <si>
    <t>Fertilizer/Lures monsters</t>
  </si>
  <si>
    <t>Señuelo/Fertilizante de mounstros</t>
  </si>
  <si>
    <t>Гинкела</t>
  </si>
  <si>
    <t>Приманка для монстров</t>
  </si>
  <si>
    <t>Dünger / Lockt Monster an</t>
  </si>
  <si>
    <t>Bạch quả</t>
  </si>
  <si>
    <t>Mồi nhử/Dụ quái vật</t>
  </si>
  <si>
    <t>Fertilizante/Atrae monstros</t>
  </si>
  <si>
    <t>Pupuk/Pancingan monster</t>
  </si>
  <si>
    <t>拍立得9~15</t>
  </si>
  <si>
    <t>Polaroid 9~15</t>
  </si>
  <si>
    <t>Полароиды NLCH (9-15)</t>
  </si>
  <si>
    <t>Polaroid-Fotos 9–15</t>
  </si>
  <si>
    <t>魔力小凝膠</t>
  </si>
  <si>
    <t>擴充格子</t>
  </si>
  <si>
    <t>魔力の小凝縮ジェル</t>
  </si>
  <si>
    <t>武器枠と装備枠を拡張する</t>
  </si>
  <si>
    <t>Expands weapon and gear slots
(The amount required increases each use respectively)</t>
  </si>
  <si>
    <t>Un Gel magico pequeño</t>
  </si>
  <si>
    <t>Expande el inventario de armas y equipos 
(La cantidad requerida aumenta en cada uso)</t>
  </si>
  <si>
    <t>작은 마나 젤</t>
  </si>
  <si>
    <t>Мана-гель</t>
  </si>
  <si>
    <t>Расходник для магии</t>
  </si>
  <si>
    <t>Kleine Magiegel</t>
  </si>
  <si>
    <t>Erweitert Waffen- und Ausrüstungsplätze
(Erforderliche Menge steigt bei jeder Benutzung)</t>
  </si>
  <si>
    <t>Tinh Thạch Mana Nhỏ</t>
  </si>
  <si>
    <t>Mở rộng ô vũ khí và trang bị
(Lượng cần thiết tăng lên sau mỗi lần sử dụng)</t>
  </si>
  <si>
    <t xml:space="preserve">Álbum de Polaroids da NLCH </t>
  </si>
  <si>
    <t>Sorte aumenta depois de o completar</t>
  </si>
  <si>
    <t>Gel Ajaib Kecil</t>
  </si>
  <si>
    <t>Memperluas slot senjata dan perlengkapan
(Jumlah yang dibutuhkan meningkat setiap kali digunakan)</t>
  </si>
  <si>
    <t>壽司布丁</t>
  </si>
  <si>
    <t>飛向惡魔商店的位置</t>
  </si>
  <si>
    <t>アキの菓子店に向かって飛んでく</t>
  </si>
  <si>
    <t>Sushi Pudding</t>
  </si>
  <si>
    <t>Flies to mysterious shop's location</t>
  </si>
  <si>
    <t>Vuelves a la ubicacion de la tienda misteriosa</t>
  </si>
  <si>
    <t>Суши-пудинг</t>
  </si>
  <si>
    <t>Поиск магазина с Демоницей</t>
  </si>
  <si>
    <t>Fliegt zum Ort des geheimnisvollen Ladens</t>
  </si>
  <si>
    <t>Bay đến địa điểm cửa hàng bí ẩn</t>
  </si>
  <si>
    <t>Pudim de Sushi</t>
  </si>
  <si>
    <t>Voa para o local da loja misteriosa</t>
  </si>
  <si>
    <t>Puding Sushi</t>
  </si>
  <si>
    <t>Terbang menuju lokasi toko misterius</t>
  </si>
  <si>
    <t>電風扇</t>
  </si>
  <si>
    <t>炎熱劇情道具
(戰車商店販售)</t>
  </si>
  <si>
    <t>猫娘同人誌</t>
  </si>
  <si>
    <t>性欲が高まる！(宅配車で購入できる)
「ご主人さまにゃ…なでなでしてもいいですか？」</t>
  </si>
  <si>
    <t>Electric Fan</t>
  </si>
  <si>
    <t>An item required by the Hot Weather event
(Can be bought from the shopping van )</t>
  </si>
  <si>
    <t>Ventilador</t>
  </si>
  <si>
    <t>Un item requerido para el evento de tiempo de calor
(Puede comprarse en la tienda de la van)</t>
  </si>
  <si>
    <t>현재 사용하지 않음</t>
  </si>
  <si>
    <t>Вентилятор</t>
  </si>
  <si>
    <t>Предмет для события "Жара"
(Покупается в Грузовике NLCH)</t>
  </si>
  <si>
    <t>Blauer Strahlender Stein</t>
  </si>
  <si>
    <t>Aktuell ohne Funktion</t>
  </si>
  <si>
    <t>Quạt điện</t>
  </si>
  <si>
    <t>Một vật phẩm được yêu cầu cho sự kiện Trời Nóng
(Có thể được mua từ xe van bán đồ)</t>
  </si>
  <si>
    <t>Ventilador Elétrico</t>
  </si>
  <si>
    <t>Um item necessário para o evento Tempo Quente
(Pode ser comprado na loja van )</t>
  </si>
  <si>
    <t>Kipas Angin Listrik</t>
  </si>
  <si>
    <t>Barang yang dibutuhkan untuk acara Cuaca Panas
(Dapat dibeli dari mobil penjual otomatis)</t>
  </si>
  <si>
    <t>粉色金平糖</t>
  </si>
  <si>
    <t>使妹妹處於發情狀態
哥哥會處於興奮狀態
(哥哥未實裝)</t>
  </si>
  <si>
    <t>ピンクの金平糖</t>
  </si>
  <si>
    <t>妹が発情しちゃう
お兄ちゃんは興奮状態になる
(お兄ちゃんには効果がありません)</t>
  </si>
  <si>
    <t>Pink Konpeito</t>
  </si>
  <si>
    <t>Puts the sister in heat
Onii-chan will be aroused.
(Not yet implemented for Onii-chan)</t>
  </si>
  <si>
    <t>Provoca calentura a la hermana
El hermano se exitara
(Efecto todavia no implementado para el hermano)</t>
  </si>
  <si>
    <t>핑크색 별사탕</t>
  </si>
  <si>
    <t>여동생이 발정 상태에 놓이게 되고 
오빠는 흥분상태가 됩니다.
(오빠한테는 효과가 없어요)</t>
  </si>
  <si>
    <t>Розовое конпэйто</t>
  </si>
  <si>
    <t>Доведение Имоуто до состояния течки вызовет возбуждение у Курохи.
(Событие пока не добавлено)</t>
  </si>
  <si>
    <t>Rosa Konpeitō</t>
  </si>
  <si>
    <t>Versetzt die Schwester in Paarungsbereitschaft
Onii-chan wird erregt.
(Noch nicht für Onii-chan implementiert)</t>
  </si>
  <si>
    <t>Kẹo Konpeito hồng</t>
  </si>
  <si>
    <t>Khiến em gái động dục
Onii-chan muốn được kích thích.
(Chưa được thêm vào cho Onii-chan)</t>
  </si>
  <si>
    <t>Konpeitō Rosa
(Doce)</t>
  </si>
  <si>
    <t>Coloca a imouto no cío
Onii-chan ficará excitado.
(Ainda não foi implementado para o Onii-chan)</t>
  </si>
  <si>
    <t>Konpeito Merah Muda</t>
  </si>
  <si>
    <t>Membuat adik perempuan terangsang
Kakak laki-laki akan terangsang.
(Belum diimplementasikan untuk kakak laki-laki)</t>
  </si>
  <si>
    <t>藍色金平糖</t>
  </si>
  <si>
    <t xml:space="preserve">使妹妹嗜睡(和肉料理可疊加)
哥哥會降低興奮度
餵食兩顆妹妹立即犯睏，當晚睡眠品質會非常好。  </t>
  </si>
  <si>
    <t>ブルーの金平糖</t>
  </si>
  <si>
    <t>妹を眠らせます
お兄ちゃんは興奮を抑えます
(効果はまだ実装されていません)</t>
  </si>
  <si>
    <t>Blue Konpeito</t>
  </si>
  <si>
    <t xml:space="preserve">Puts the sister in a drowsy state (Mix it with meat dishes)
Onii-chan's excitement level goes down
Feeding this to your sister twice will immediately make her go to sleep.
22:00 will forcibly trigger a sleep event, and her quality of sleep will be excellent. </t>
  </si>
  <si>
    <t>Le provoca sueño a la hermana (Mezclalo con un plato de carne)
La exitacion del Hermano bajan
Alimentar a tu hermana con esto 2 veces le dara un sueño instantaneo
A las 22:00 se forzara el sueño y la calidad de la misma sera excelente</t>
  </si>
  <si>
    <t>파란색 별사탕</t>
  </si>
  <si>
    <t>여동생을 졸린 상태로 만들어줍니다.(고기 요리에 섞음)
또한 오빠의 흥분을 억제합니다.(효과는 아직 구현되지 않았습니다.)</t>
  </si>
  <si>
    <t>Синее конпэйто</t>
  </si>
  <si>
    <t>Вызывает сонливость у Имоуто (можно сочетать с мясными блюдами).
Снижает уровень возбуждения у Курохи.
Две штуки, принятые Имоуто, мгновенно вызовут у неё сонливость, и она отлично выспится ночью.</t>
  </si>
  <si>
    <t>Blauer Konpeitō</t>
  </si>
  <si>
    <t>Versetzt die Schwester in einen schläfrigen Zustand (mit Fleischgerichten kombinieren)
Onii-chans Erregungsgrad sinkt.
Wird dies der Schwester zweimal gegeben, schläft sie sofort ein.
Um 22:00 wird ein Schlafevent ausgelöst, mit exzellenter Schlafqualität</t>
  </si>
  <si>
    <t>Kẹo Konpeito Xanh</t>
  </si>
  <si>
    <t>Khiến em gái rơi vào trạng thái buồn ngủ
(Trộn với các món thịt)
Mức độ phấn khích của Onii-chan giảm xuống
Cho em gái ăn thứ này hai lần sẽ khiến
 em ấy ngủ ngay lập tức.
22:00 sẽ kích hoạt sự kiện ngủ, và chất lượng
 giấc ngủ của em ấy sẽ rất tuyệt vời.</t>
  </si>
  <si>
    <t>Konpeitō Azul
(Doce)</t>
  </si>
  <si>
    <t xml:space="preserve">Coloca a imouto em um estado sonolento (Misturando com prato com carne)
O nível da excitação do Onii-chan é reduzido
Dá isso parasua imouto duas vezes irá imediatamente fazer ela dormir.
22:00 vai forçosamente ativar o evento de dormir, e a qualidade do sono dela será excelente. </t>
  </si>
  <si>
    <t>Konpeito Biru</t>
  </si>
  <si>
    <t>Membuat adik perempuan mengantuk (Campur dengan hidangan daging)
Tingkat kegembiraan Onii-chan menurun
Memberikan ini kepada adik perempuanmu dua kali akan langsung membuatnya tertidur.
22:00 akan secara paksa memicu peristiwa tidur, dan kualitas tidurnya akan sangat baik.</t>
  </si>
  <si>
    <t>綠色金平糖</t>
  </si>
  <si>
    <t>效果未實裝</t>
  </si>
  <si>
    <t>グリーンの金平糖</t>
  </si>
  <si>
    <t>Green Konpeito</t>
  </si>
  <si>
    <t>Unimplemented</t>
  </si>
  <si>
    <t>Sin implementar</t>
  </si>
  <si>
    <t>녹색 별사탕</t>
  </si>
  <si>
    <t>Зелёное конпэйто</t>
  </si>
  <si>
    <t>(Данный эффект не был реализован)</t>
  </si>
  <si>
    <t>Grüner Konpeitō</t>
  </si>
  <si>
    <t>Kẹo Konpeito Xanh Lá</t>
  </si>
  <si>
    <t>(Chưa triển khai)</t>
  </si>
  <si>
    <t>Konpeitō Verde</t>
  </si>
  <si>
    <t>Não implementado</t>
  </si>
  <si>
    <t>Konpeito Hijau</t>
  </si>
  <si>
    <t>超敏軟Q水饅頭</t>
  </si>
  <si>
    <t>於AKI商店購買
提升敏感度(效果未實裝)</t>
  </si>
  <si>
    <t>ビンカンぷにゅ饅</t>
  </si>
  <si>
    <t>アキの商店で購入
敏感度をアップ</t>
  </si>
  <si>
    <t>Springy Mizumanju</t>
  </si>
  <si>
    <t>Can be purchased from Aki's Sweet Shop.
When thrown to monsters, they will become enraged.
When fed to imouto, the effects are similar to the pink konpeito.
*Effects not yet implemented</t>
  </si>
  <si>
    <t>Mizumanju elastico</t>
  </si>
  <si>
    <t>Puede ser comprado en la tienda de "Aki's Sweet Shop"
Cuando se lanza a los moustros, comenzaran a a enojarse
Cuando alimentes a Imouto (Hermana), el effecto ser asimilar a la del konpeito rosa
*Los efectos todavia no se implementaron</t>
  </si>
  <si>
    <t>Пружинистый мидзуманъю</t>
  </si>
  <si>
    <t>Приобретается у Аки.
(Повышает чувствительность)</t>
  </si>
  <si>
    <t>Supersensitives weiches Mochi</t>
  </si>
  <si>
    <t>Im AKI-Laden erhältlich
Erhöht die Sensitivität</t>
  </si>
  <si>
    <t>Bánh Mizumanju Đàn Hồi</t>
  </si>
  <si>
    <t>Có thể mua tại Cửa hàng đồ ngọt của Aki.
Khi ném vào quái vật, chúng sẽ nổi giận.
Khi cho imouto ăn, hiệu ứng tương tự như
kẹo konpeito màu hồng.
*Hiệu ứng chưa được triển khai</t>
  </si>
  <si>
    <t>Mizumanju Saltitante</t>
  </si>
  <si>
    <t>Pode ser comprado na loja de doces da Aki.
Quando arremessado para um monstro, eles vão ficar furiosos.
quando dado à imouto,o efeito é similar ao Konpeitō Rosa.
*Efeitos ainda não foram implementados</t>
  </si>
  <si>
    <t>Mizumanju yang lentur</t>
  </si>
  <si>
    <t>Dapat dibeli dari Toko Manisan Aki.
Saat dilempar ke monster, mereka akan menjadi marah.
Saat diberikan kepada imouto, efeknya mirip dengan konpeito merah muda.
*Efek belum diimplementasikan</t>
  </si>
  <si>
    <t>火菱石</t>
  </si>
  <si>
    <t>赤菱石</t>
  </si>
  <si>
    <t xml:space="preserve">
現在のところ、交換方法はありません。
（宝石）
</t>
  </si>
  <si>
    <t>Red Rhomboid Stone</t>
  </si>
  <si>
    <t>Piedra Roja Romboica</t>
  </si>
  <si>
    <t>Todavia no implementado</t>
  </si>
  <si>
    <t>Красный сапфир</t>
  </si>
  <si>
    <t>Feuerdiamant</t>
  </si>
  <si>
    <t>Derzeit keine Einlöseoption
(Juwel)</t>
  </si>
  <si>
    <t>Hỏa Linh Thạch</t>
  </si>
  <si>
    <t>AInda não implementado</t>
  </si>
  <si>
    <t>Batu Belah Ketupat Merah</t>
  </si>
  <si>
    <t>拍立得16~23</t>
  </si>
  <si>
    <t>Polaroid 16~23</t>
  </si>
  <si>
    <t>Полароиды NLCH (16-23)</t>
  </si>
  <si>
    <t>Polaroid-Fotos 16–23</t>
  </si>
  <si>
    <t>Polaroid 16–23</t>
  </si>
  <si>
    <t>恐怖錄影帶</t>
  </si>
  <si>
    <t>使用於深夜電視</t>
  </si>
  <si>
    <t>恐怖のビデオテープ</t>
  </si>
  <si>
    <t>深夜にTVで使用する</t>
  </si>
  <si>
    <t>Horror Video Tape</t>
  </si>
  <si>
    <t>Used for late night television</t>
  </si>
  <si>
    <t>恐怖录像带</t>
  </si>
  <si>
    <t>使用于深夜电视</t>
  </si>
  <si>
    <t>Se usa en la television en la noche</t>
  </si>
  <si>
    <t>Видеокассета с Ужастиком</t>
  </si>
  <si>
    <t>Видеокассета для Ночных событий с Имоуто</t>
  </si>
  <si>
    <t>Horrorvideokassette</t>
  </si>
  <si>
    <t>Wird für das spätabendliche Fernsehen verwendet.</t>
  </si>
  <si>
    <t>Cuộn Băng Video Kinh Dị</t>
  </si>
  <si>
    <t>Dùng để xem TV lúc tối muộn</t>
  </si>
  <si>
    <t>Fita de Vídeo de Terror</t>
  </si>
  <si>
    <t>Usado na televisão tarde da noite.</t>
  </si>
  <si>
    <t>Rekaman Video Horor</t>
  </si>
  <si>
    <t>Digunakan untuk acara televisi larut malam.</t>
  </si>
  <si>
    <t>成人錄影帶</t>
  </si>
  <si>
    <t>アダルトビデオ</t>
  </si>
  <si>
    <t>Adult Video Tape</t>
  </si>
  <si>
    <t>成人录像带</t>
  </si>
  <si>
    <t>Cinta de vídeo para adultos</t>
  </si>
  <si>
    <t>Видеокассета для взрослых</t>
  </si>
  <si>
    <t>Erwachsenenvideokassette</t>
  </si>
  <si>
    <t>Cuộn Băng Video Người Lớn</t>
  </si>
  <si>
    <t>Fita de Vídeo Adulta</t>
  </si>
  <si>
    <t>Rekaman Video Dewasa</t>
  </si>
  <si>
    <t>暗影之魂-DLC</t>
  </si>
  <si>
    <t>讓妹妹玩遊戲更專注，解鎖額外選項</t>
  </si>
  <si>
    <t>Shadow Souls-DLC</t>
  </si>
  <si>
    <t>让妹妹玩游戏更专注，解锁额外选项</t>
  </si>
  <si>
    <t>Тени Душ - DLC</t>
  </si>
  <si>
    <t>ajuda sua irmã a se concentrar mais no jogo e desbloqueia opções adicionais.</t>
  </si>
  <si>
    <t>封存的時計</t>
  </si>
  <si>
    <t>範圍暫停</t>
  </si>
  <si>
    <t>封印された時計</t>
  </si>
  <si>
    <t>円範囲内の時間を数秒間停止する</t>
  </si>
  <si>
    <t>Sealed Timepiece</t>
  </si>
  <si>
    <t>Throw to freeze time on an area</t>
  </si>
  <si>
    <t>Reloj sellado</t>
  </si>
  <si>
    <t>Lanzalo para parar el tiempo en un area</t>
  </si>
  <si>
    <t>봉인된 시계</t>
  </si>
  <si>
    <t>범위 내의 시간을 몇 초간 정지시킬 수 있습니다.</t>
  </si>
  <si>
    <t>Запечатанные часы</t>
  </si>
  <si>
    <t>Останавливает время на 7 секунд
(действует в определённом радиусе)</t>
  </si>
  <si>
    <t>Versiegelte Uhr</t>
  </si>
  <si>
    <t>Wurfobjekt, das Zeit im Gebiet einfriert</t>
  </si>
  <si>
    <t>Đồng Hồ Phong Ấn</t>
  </si>
  <si>
    <t>Ném để đóng băng thời gian trên một khu vực</t>
  </si>
  <si>
    <t>Relógio Selado</t>
  </si>
  <si>
    <t>Arremesse para congelar o tempo na área</t>
  </si>
  <si>
    <t>Jam Tangan Tersegel</t>
  </si>
  <si>
    <t>Lempar untuk membekukan waktu di suatu area</t>
  </si>
  <si>
    <t xml:space="preserve">魔導映寫器
</t>
  </si>
  <si>
    <t>F7可快速截圖</t>
  </si>
  <si>
    <t>魔導映写器</t>
  </si>
  <si>
    <t>F7 ですぐにスクリーンショットを撮ることができます</t>
  </si>
  <si>
    <t>Magic Camera</t>
  </si>
  <si>
    <t>Press F7 to take photos</t>
  </si>
  <si>
    <t>魔导映写器</t>
  </si>
  <si>
    <t>F7可快速截图</t>
  </si>
  <si>
    <t>Camara magica</t>
  </si>
  <si>
    <t>Apreta F7 para sacar fotos</t>
  </si>
  <si>
    <t>Волшебная камера</t>
  </si>
  <si>
    <t>F7 может быстро сделать снимок экрана</t>
  </si>
  <si>
    <t>Máy Ảnh Ma Thuật</t>
  </si>
  <si>
    <t>nhấm F7 để chụp ảnh</t>
  </si>
  <si>
    <t>Câmera mágica</t>
  </si>
  <si>
    <t>pressione o F7 para tirar fotos</t>
  </si>
  <si>
    <t>tekan F7 untuk mengambil foto.</t>
  </si>
  <si>
    <t>封術卷軸</t>
  </si>
  <si>
    <t>封印/召喚 裝備
*具體細節在TIPS中說明
*忍者支線裝備之一(支線未實裝)</t>
  </si>
  <si>
    <t>封術の巻物</t>
  </si>
  <si>
    <t>装備を封印／召喚する
※詳細はTIPSで説明
※忍者サブクエスト用装備の一つ（サブクエストは未実装）</t>
  </si>
  <si>
    <t>Sealing Scroll</t>
  </si>
  <si>
    <t>Sealing/Unsealing Equipment
*Refer to TIPS for detailed explanation
*One of the ninja side quest equipment (not yet implemented)</t>
  </si>
  <si>
    <t xml:space="preserve">封术卷轴
</t>
  </si>
  <si>
    <t>封印/召唤 装备
*具体细节在TIPS中说明
*忍者支线装备之一(支线未实装)</t>
  </si>
  <si>
    <t>Pergamino Sellado</t>
  </si>
  <si>
    <t>Un equipo de sellado/desellado.
*Consulta Tips para un explicacion mejor
*Una de los equipos de la mision secundaria del ninja (todavia no implementado)</t>
  </si>
  <si>
    <t>Запечатывающий свиток</t>
  </si>
  <si>
    <t>Запечатывание/Призыв экипировки
*Более подробная информация в "TIPS"
*Одно из снаряжений побочной линии ниндзя (не реализовано)</t>
  </si>
  <si>
    <t xml:space="preserve">Cuộn Phép Phong Ấn </t>
  </si>
  <si>
    <t>Phong ấn/Bỏ phong ấn trang bị
*Xem TIPS cho giải thích kĩ lưỡng
*Một trong những trang bị của nhiệm vụ ninja bên lề (chưa được triển khai)</t>
  </si>
  <si>
    <t xml:space="preserve">Pergaminho de Selamento </t>
  </si>
  <si>
    <t>"Equipamento de Selamento/Invocação"
*Detalhes explicados nas TIPS
*equipamento da missão secundária ninja (ainda não implementada)</t>
  </si>
  <si>
    <t>塔羅牌-愚者</t>
  </si>
  <si>
    <t xml:space="preserve">傳送至隨機地圖
</t>
  </si>
  <si>
    <t>ザ・フール</t>
  </si>
  <si>
    <t>ランダムなマップへワープする</t>
  </si>
  <si>
    <t>The Fool</t>
  </si>
  <si>
    <t>Teleports you to a random map</t>
  </si>
  <si>
    <t>El tonto</t>
  </si>
  <si>
    <t>Te teletrasporta a cualquier zona del mapa</t>
  </si>
  <si>
    <t>Карта Таро "Дурак"</t>
  </si>
  <si>
    <t>Телепортирует игрока в случайную локацию</t>
  </si>
  <si>
    <t>Gã Khờ</t>
  </si>
  <si>
    <t>Dịch chuyển bạn đến một khu vực bất ki</t>
  </si>
  <si>
    <t>O Louco</t>
  </si>
  <si>
    <t>Teletransporte-se para um mapa aleatório</t>
  </si>
  <si>
    <t>塔羅牌-女祭司</t>
  </si>
  <si>
    <t>召喚教堂</t>
  </si>
  <si>
    <t>ザ・ハイプリエステス</t>
  </si>
  <si>
    <t>教会を召喚することが出来る</t>
  </si>
  <si>
    <t>The High Priestess</t>
  </si>
  <si>
    <t>Summons a gate to "The Fallen Church"</t>
  </si>
  <si>
    <t>Invoca una puerta al "The Fallen Curch"</t>
  </si>
  <si>
    <t>여법황</t>
  </si>
  <si>
    <t>교회로 가는 문을 소환합니다.</t>
  </si>
  <si>
    <t>Карта Таро "Верховная жрица"</t>
  </si>
  <si>
    <t>Призыв Падшей Церкви</t>
  </si>
  <si>
    <t>Die Hohepriesterin</t>
  </si>
  <si>
    <t>Beschwört ein Tor zur „Gefallenen Kathedrale“</t>
  </si>
  <si>
    <t>Nữ Tư Tế Tối Cao</t>
  </si>
  <si>
    <t>Triệu hồi một cánh cổng đến "Nhà Thờ Sa Ngã"</t>
  </si>
  <si>
    <t>A Sacerdotisa</t>
  </si>
  <si>
    <t>Invoca um portão para "A Igreja Caída"</t>
  </si>
  <si>
    <t>Imam Besar Wanita</t>
  </si>
  <si>
    <t>Memanggil gerbang menuju "Gereja yang Runtuh"</t>
  </si>
  <si>
    <t>塔羅牌-皇帝</t>
  </si>
  <si>
    <t>巨龍咆嘯</t>
  </si>
  <si>
    <t>ザ・エンペラー</t>
  </si>
  <si>
    <t>龍の咆哮で敵にめまいを与える</t>
  </si>
  <si>
    <t>The Emperor</t>
  </si>
  <si>
    <t>Uses "Dragon's Roar"
Stuns all enemies in the screen</t>
  </si>
  <si>
    <t>Usa "Dragon's Roar" y paraliza a todos los enemigos dentro de la pantalla</t>
  </si>
  <si>
    <t>용이 포효하며 화면의 모든 적을 기절시킵니다.</t>
  </si>
  <si>
    <t>Карта Таро "Император"</t>
  </si>
  <si>
    <t>Рёв дракона</t>
  </si>
  <si>
    <t>Der Kaiser</t>
  </si>
  <si>
    <t>Verwendet „Drachenschrei“
Betäubt alle Feinde auf dem Bildschirm</t>
  </si>
  <si>
    <t>Hoàng Đế</t>
  </si>
  <si>
    <t>Sử dụng Tiếng Gầm của Rồng để làm
choáng tất cả kẻ địch trên một khu vực</t>
  </si>
  <si>
    <t>O Imperador</t>
  </si>
  <si>
    <t>Usa "Rugido do Dragão"
Atordoa todos os inimigos na tela</t>
  </si>
  <si>
    <t>Kaisar</t>
  </si>
  <si>
    <t>Menggunakan "Raungan Naga"
Melumpuhkan semua musuh di layar</t>
  </si>
  <si>
    <t>塔羅牌-戰車</t>
  </si>
  <si>
    <t>召喚貓娘商店車</t>
  </si>
  <si>
    <t>ザ・チャリオット</t>
  </si>
  <si>
    <t>茶会の宅配車を手配する</t>
  </si>
  <si>
    <t>The Chariot</t>
  </si>
  <si>
    <t>Summons the cat girl shopping van</t>
  </si>
  <si>
    <t>Invoca a la chica gato que vende en la van</t>
  </si>
  <si>
    <t>전차</t>
  </si>
  <si>
    <t>Карта Таро "Колесница"</t>
  </si>
  <si>
    <t>Призвать грузовик NLCH с Кошко-девушками</t>
  </si>
  <si>
    <t>Der Wagen</t>
  </si>
  <si>
    <t>Beschwört den Einkaufswagen der Katzenmädchen</t>
  </si>
  <si>
    <t>Chiến Xa</t>
  </si>
  <si>
    <t>Triệu hồi xe chở hàng của cô gái mèo</t>
  </si>
  <si>
    <t>O Carro(Deveria ser carruagem)</t>
  </si>
  <si>
    <t>Invoca a loja van da garota gato</t>
  </si>
  <si>
    <t>Kereta Perang</t>
  </si>
  <si>
    <t>Memanggil mobil van belanja gadis kucing</t>
  </si>
  <si>
    <t>塔羅牌-力</t>
  </si>
  <si>
    <t>武器巨大化增強</t>
  </si>
  <si>
    <t>ザ・ストレングス</t>
  </si>
  <si>
    <t>武器を巨大化し攻撃力にバフを得る</t>
  </si>
  <si>
    <t>Strength</t>
  </si>
  <si>
    <t>Enlarges weapon and increase damage</t>
  </si>
  <si>
    <t xml:space="preserve">Agranda el arma y aumenta el daño </t>
  </si>
  <si>
    <t>무기를 거대화하며 공격력 버프를 얻음</t>
  </si>
  <si>
    <t>Карта Таро "Сила"</t>
  </si>
  <si>
    <t>Увеличение размеров оружия</t>
  </si>
  <si>
    <t>Stärke</t>
  </si>
  <si>
    <t>Vergrößert die Waffe und erhöht den Schaden</t>
  </si>
  <si>
    <t>Sức Mạnh</t>
  </si>
  <si>
    <t>Phóng to vũ khí và tăng sát thương</t>
  </si>
  <si>
    <t>A Força</t>
  </si>
  <si>
    <t>Aumenta o tamanho da arma e o dano</t>
  </si>
  <si>
    <t>Kekuatan</t>
  </si>
  <si>
    <t>Perbesar senjata dan tingkatkan kerusakan.</t>
  </si>
  <si>
    <t>塔羅牌-命運之輪</t>
  </si>
  <si>
    <t>隨機BUFF效果</t>
  </si>
  <si>
    <t>ホイール・オブ・フォーチュン</t>
  </si>
  <si>
    <t>勝つか負けるか…</t>
  </si>
  <si>
    <t>Wheel of Fortune</t>
  </si>
  <si>
    <t>Gains a random buff effect</t>
  </si>
  <si>
    <t>Te da un efecto aleatorio</t>
  </si>
  <si>
    <t>운명의 수레바퀴</t>
  </si>
  <si>
    <t>무작위 버프를 획득합니다.</t>
  </si>
  <si>
    <t>Карта Таро "Фортуна"</t>
  </si>
  <si>
    <t>Случайные эффекты усиления</t>
  </si>
  <si>
    <t>Das Rad des Schicksals</t>
  </si>
  <si>
    <t>Verleiht einen zufälligen Buff Effekt</t>
  </si>
  <si>
    <t>Bánh Xe Vận Mệnh</t>
  </si>
  <si>
    <t>Nhận được hiệu ứng tăng sức mạnh ngẫu nhiên</t>
  </si>
  <si>
    <t>A Roda da Fortuna</t>
  </si>
  <si>
    <t>Ganha efeitos de buff aleatórios</t>
  </si>
  <si>
    <t>Roda peruntungan</t>
  </si>
  <si>
    <t>Mendapatkan efek buff acak.</t>
  </si>
  <si>
    <t>塔羅牌-正義</t>
  </si>
  <si>
    <t>消除狀態</t>
  </si>
  <si>
    <t>ジャスティス</t>
  </si>
  <si>
    <t>全てのバフ、デバフを取り除く</t>
  </si>
  <si>
    <t>Justice</t>
  </si>
  <si>
    <t>Removes status ailments</t>
  </si>
  <si>
    <t>Elimina estados negativos</t>
  </si>
  <si>
    <t>정의</t>
  </si>
  <si>
    <t>상태이상 제거</t>
  </si>
  <si>
    <t>Карта Таро "Справедливость"</t>
  </si>
  <si>
    <t>При использовании снимает с игрока все статусы</t>
  </si>
  <si>
    <t>Gerechtigkeit</t>
  </si>
  <si>
    <t>Entfernt alle Statuseffekte</t>
  </si>
  <si>
    <t>Công Lý</t>
  </si>
  <si>
    <t>Loại bỏ tất cả trạng thái bất lợi</t>
  </si>
  <si>
    <t>A Justiça</t>
  </si>
  <si>
    <t>Remove efeitos negativos</t>
  </si>
  <si>
    <t>Keadilan</t>
  </si>
  <si>
    <t>Menghilangkan status negatif</t>
  </si>
  <si>
    <t>塔羅牌-死神</t>
  </si>
  <si>
    <t>死之惡魔現身
擊殺所有生物
(對NPC、地圖物件、可破壞物體，無效)
(對稻草人、淺羽商店車兩段血，有效)
NPC目前暫時無互動效果</t>
  </si>
  <si>
    <t>ザ・デス</t>
  </si>
  <si>
    <t>死の悪魔が出現
すべての生物を攻撃
（NPC、マップオブジェクト、破壊可能なオブジェクトには無効）
（わら人形、浅羽商店の車の2段目の血には有効）
NPCには現在相互作用効果はありません</t>
  </si>
  <si>
    <t>Death</t>
  </si>
  <si>
    <t>Summons Death Demon to kill everything in the screen.
(Doesn't affect NPCs, map objects and destructible objects)
(Affects Scarecrow and Asaba's Shopping Van)
*Currently unable to interact with this NPC</t>
  </si>
  <si>
    <t xml:space="preserve">Invoca a "Death Demon" para matar todo lo de la pantalla
(Esto no afecta a los NPC, objetos del mapa y objetos destructibles)
(Afecta a "Scarecrow" y la "Asaba's Shopping Van")
*Actualmente desabilitado para que interactue con esos NPC
</t>
  </si>
  <si>
    <t>Карта Таро "Смерть"</t>
  </si>
  <si>
    <t>Призовёт Демона Смерти.
Уничтожает всех существ.
(Неэффективно против NPC, объектов на карте и разрушаемых объектов)
(Эффективно против Пугала и тележки Асабы с двумя единицами здоровья)
В настоящее время NPC не имеют интерактивных эффектов.</t>
  </si>
  <si>
    <t>Tod</t>
  </si>
  <si>
    <t>Beschwört einen Todesdämon, der alles auf dem Bildschirm tötet.
(Es betrifft keine NPCs, Kartenobjekte oder zerstörbaren Objekte.
Es betrifft Vogelscheuchen und Asabas Einkaufswagen.)
Derzeit kann mit diesem NPC nicht interagiert werden.</t>
  </si>
  <si>
    <t>Tử Thần</t>
  </si>
  <si>
    <t>Triệu hồi Tử Thàn để tiêu diệt mọi thứ trên màn hình.
(Không ảnh hưởng đến NPC, vật thể bản đồ và
vật thể có thể phá hủy)
(Ảnh hưởng đến Scarecrow và
Xe tải mua sắm của Asaba)
*Hiện tại không thể tương tác với NPC này</t>
  </si>
  <si>
    <t>A Morte</t>
  </si>
  <si>
    <t>Invoca o Demônio Morte para matar tudo na tela.
(Não afeta NPCs, objetos de mapa e objetos destrutíveis)
(Afeta o Espantalho e loja van da Asaba)
*Atualmente não é possivel interagir com o NPC</t>
  </si>
  <si>
    <t>Kematian</t>
  </si>
  <si>
    <t>Memanggil Iblis Kematian untuk membunuh semua yang ada di layar.
(Tidak memengaruhi NPC, objek peta, dan objek yang dapat dihancurkan)
(Memengaruhi Orang-orangan Sawah dan Mobil Belanja Asaba)
*Saat ini tidak dapat berinteraksi dengan NPC ini</t>
  </si>
  <si>
    <t>塔羅牌-節制</t>
  </si>
  <si>
    <t>召喚扭蛋機</t>
  </si>
  <si>
    <t>テンパランス</t>
  </si>
  <si>
    <t>ガチャポンを召喚する</t>
  </si>
  <si>
    <t>Temperance</t>
  </si>
  <si>
    <t>Summons a Gacha Machine</t>
  </si>
  <si>
    <t>Invoca una maquina Gacha</t>
  </si>
  <si>
    <t>절제</t>
  </si>
  <si>
    <t>Карта Таро "Умеренность"</t>
  </si>
  <si>
    <t>Автомат призыва Автомата с гачей</t>
  </si>
  <si>
    <t>Mäßigkeit</t>
  </si>
  <si>
    <t>Beschwört einen Gacha-Automaten</t>
  </si>
  <si>
    <t>Hòa Hợp</t>
  </si>
  <si>
    <t>Triệu hồi máy Gacha</t>
  </si>
  <si>
    <t>A Temperança</t>
  </si>
  <si>
    <t>Invoca a máquina Gacha</t>
  </si>
  <si>
    <t>Kesederhanaan</t>
  </si>
  <si>
    <t>Memanggil Mesin Gacha</t>
  </si>
  <si>
    <t>塔羅牌-塔</t>
  </si>
  <si>
    <t>於深淵中使用
召喚封印之柱
不可同時使用多張</t>
  </si>
  <si>
    <t>ザ・タワー</t>
  </si>
  <si>
    <t xml:space="preserve">
深淵で使用する
封印の柱を召喚することが出来る
同時に複数使用不可です
</t>
  </si>
  <si>
    <t>The Tower</t>
  </si>
  <si>
    <t>Can be used in the abyss to summon the Sealed Pillar. Only one can be active at a time.</t>
  </si>
  <si>
    <t>塔罗牌-塔</t>
  </si>
  <si>
    <t>在深渊中使用
召唤封印之柱
不可同时使用多张</t>
  </si>
  <si>
    <t>Se puede usar en el abismo para invocar el Pilar Sellado. Solo se puede activar uno a la vez</t>
  </si>
  <si>
    <t>Карта Таро "Башня"</t>
  </si>
  <si>
    <t>Может быть использована в бездне для вызова Запечатанного столба.
Только один из них может быть активен одновременно.</t>
  </si>
  <si>
    <t>Der Turm</t>
  </si>
  <si>
    <t>Kann im Abyss verwendet werden, um die versiegelte Säule zu beschwören. Es kann jeweils nur eine aktiv sein.</t>
  </si>
  <si>
    <t>Tòa Tháp</t>
  </si>
  <si>
    <t>Chỉ có thể sử dụng trong Vực sâu để tạo ra Trụ Bị Phong Ấn. Chỉ có một được xuất hiện tại một thời điểm</t>
  </si>
  <si>
    <t>Tarô - A Torre</t>
  </si>
  <si>
    <t xml:space="preserve">Use no Abismo para invocar o Pilar Selador.
Vários Pilares não podem ser usados ​​simultaneamente.
</t>
  </si>
  <si>
    <t>Kartu Tarot - Menara</t>
  </si>
  <si>
    <t>Digunakan di Abyss: Memanggil Pilar Segel. Beberapa Pilar tidak dapat digunakan secara bersamaan.</t>
  </si>
  <si>
    <t>塔羅牌-星</t>
  </si>
  <si>
    <t>星之門</t>
  </si>
  <si>
    <t>星の門を召喚する</t>
  </si>
  <si>
    <t>The Star</t>
  </si>
  <si>
    <t>Summons a red door that teleports you back to the campfire in the starting area</t>
  </si>
  <si>
    <t>Invoca una puerta roja que te teletrasporta a la fogata de la zona del inicio</t>
  </si>
  <si>
    <t>별의 문을 소환합니다.</t>
  </si>
  <si>
    <t>Карта Таро "Звезда"</t>
  </si>
  <si>
    <t>Звёздная дверь</t>
  </si>
  <si>
    <t>Der Stern</t>
  </si>
  <si>
    <t>Beschwört eine rote Tür, die zurück zum Lagerfeuer im Startgebiet teleportiert</t>
  </si>
  <si>
    <t>Ngôi Sao</t>
  </si>
  <si>
    <t>Triệu hồi một cánh cửa màu đỏ dịch chuyển bạn
 trở lại đống lửa trại ở khu vực bắt đầu</t>
  </si>
  <si>
    <t>A Estrela</t>
  </si>
  <si>
    <t>Invoca uma porta vermelha que te teleporta de volta para a fogueira na área inicial</t>
  </si>
  <si>
    <t>Bintang</t>
  </si>
  <si>
    <t>Memanggil pintu merah yang memindahkanmu kembali ke api unggun di area awal.</t>
  </si>
  <si>
    <t>塔羅牌-日</t>
  </si>
  <si>
    <t>一定時間內，可復活一次</t>
  </si>
  <si>
    <t>ザ・サン</t>
  </si>
  <si>
    <t>The Sun</t>
  </si>
  <si>
    <t>Allows one-time resurrection when dying over a duration after use</t>
  </si>
  <si>
    <t>Permite revivir durante un período de tiempo después del uso.</t>
  </si>
  <si>
    <t>태양</t>
  </si>
  <si>
    <t>사용 후 일정 기간 내에 한 번 부활 가능</t>
  </si>
  <si>
    <t>Карта Таро "Солнце"</t>
  </si>
  <si>
    <t>Накладывает Благословение Феникса</t>
  </si>
  <si>
    <t>Die Sonne</t>
  </si>
  <si>
    <t>Erlaubt einmalige Wiederbelebung innerhalb eines Zeitfensters nach Gebrauch</t>
  </si>
  <si>
    <t>Mặt Trời</t>
  </si>
  <si>
    <t>Cho phép hồi sinh một lần khi chết trong
một khoảng thời gian sau khi sử dụng</t>
  </si>
  <si>
    <t>O Sol</t>
  </si>
  <si>
    <t>Permite uma única ressureição quando morrer dentro de uma duração depois de o usar</t>
  </si>
  <si>
    <t>Matahari</t>
  </si>
  <si>
    <t>Memungkinkan kebangkitan satu kali saat sekarat dalam jangka waktu tertentu setelah digunakan.</t>
  </si>
  <si>
    <t>塔羅牌-世界</t>
  </si>
  <si>
    <t>重製場地</t>
  </si>
  <si>
    <t>ザ・ワールド</t>
  </si>
  <si>
    <t>ドロップカウントをリセットする(敵、boss、壺や樽)</t>
  </si>
  <si>
    <t>The World</t>
  </si>
  <si>
    <t>Resets everything
(E.g. loot, monsters, weather, shops)</t>
  </si>
  <si>
    <t>Resetea todo
(E.j loot, mounstros, tiempo, tiendas)</t>
  </si>
  <si>
    <t>모든 것을 재설정합니다.
(항아리,몬스터(BOSS포함),날씨,상점)</t>
  </si>
  <si>
    <t>Карта Таро "Мир"</t>
  </si>
  <si>
    <t>При использовании сбрасывает таймер событий, связанных с дропом</t>
  </si>
  <si>
    <t>Die Welt</t>
  </si>
  <si>
    <t>Setzt alles zurück
(z. B. Beute, Monster, Wetter, Läden)</t>
  </si>
  <si>
    <t>Thế Giới</t>
  </si>
  <si>
    <t>Thiết lập lại mọi thứ
(Ví dụ: chiến lợi phẩm, quái vật,
thời tiết, cửa hàng)</t>
  </si>
  <si>
    <t>O Mundo</t>
  </si>
  <si>
    <r>
      <rPr>
        <rFont val="Microsoft JhengHei"/>
        <color theme="1"/>
      </rPr>
      <t xml:space="preserve">Reseta tudo
(P.Ex. </t>
    </r>
    <r>
      <rPr>
        <rFont val="Microsoft JhengHei"/>
        <i/>
        <color theme="1"/>
      </rPr>
      <t>loot</t>
    </r>
    <r>
      <rPr>
        <rFont val="Microsoft JhengHei"/>
        <color theme="1"/>
      </rPr>
      <t>, monstros, clima, lojas)</t>
    </r>
  </si>
  <si>
    <t>Dunia</t>
  </si>
  <si>
    <t>Mengatur ulang semuanya
(Misalnya, jarahan, monster, cuaca, toko)</t>
  </si>
  <si>
    <t>盧恩符文Ansuz</t>
  </si>
  <si>
    <t>留下文字紀錄</t>
  </si>
  <si>
    <t>アンスズ</t>
  </si>
  <si>
    <t>MAPに文字を残せる</t>
  </si>
  <si>
    <t>Ansuz</t>
  </si>
  <si>
    <t>Can leave messages on the floor for other players to read</t>
  </si>
  <si>
    <t>地图留言
（你在这上面所说的每一句话，都会有几率被各大网友看到的哦）</t>
  </si>
  <si>
    <t>Deja mensajes en le piso para otros jugadores para que lo lean</t>
  </si>
  <si>
    <t>안수즈</t>
  </si>
  <si>
    <t>다른 플레이어가 읽을 수 있도록 바닥에 메시지를 남길 수 있습니다.</t>
  </si>
  <si>
    <t>Ансуз</t>
  </si>
  <si>
    <t>Оставить заметку другим игрокам.</t>
  </si>
  <si>
    <t>Ansuz, die Rune der Inspiration</t>
  </si>
  <si>
    <t xml:space="preserve">Erlaubt es, Nachrichten auf dem Boden zu hinterlassen, die andere Spieler lesen können
</t>
  </si>
  <si>
    <t>Phù văn Ansuz</t>
  </si>
  <si>
    <t>Có thể để lại tin nhắn trên sàn
để người chơi khác đọc</t>
  </si>
  <si>
    <t>Ansuz (Runa)</t>
  </si>
  <si>
    <t>Pode deixar uma mensagem no chão para outros jogadores lerem</t>
  </si>
  <si>
    <t>Bisa meninggalkan pesan di lantai agar dibaca pemain lain.</t>
  </si>
  <si>
    <t>盧恩符文Raido</t>
  </si>
  <si>
    <t>投擲後，滑鼠點選R的位置進行交換</t>
  </si>
  <si>
    <t>ライドー</t>
  </si>
  <si>
    <t>投げた後、Rのマークをクリックすると場所が入れ替わる</t>
  </si>
  <si>
    <t>Raido</t>
  </si>
  <si>
    <t>Throwable rune
Can swap positions with the rune by clicking it on the ground</t>
  </si>
  <si>
    <t>Una runa lanzable
puede cambiar las posiciones con la runa clickeandolo en el piso</t>
  </si>
  <si>
    <t>라이도</t>
  </si>
  <si>
    <t>던질 수 있는 룬
던진 후 R의 마크를 클릭하면 위치가 바뀝니다.</t>
  </si>
  <si>
    <t>Райдо</t>
  </si>
  <si>
    <t>После броска нажмите R, чтобы поменять их местами.</t>
  </si>
  <si>
    <t>Raido, die Rune der Reise</t>
  </si>
  <si>
    <t>Wurfbare Rune
Kann mit Klick auf den Boden Position mit der Rune tauschen</t>
  </si>
  <si>
    <t>Phù văn Raido</t>
  </si>
  <si>
    <t>Ném ra một kí hiệu cho phép hoán đổi vị trí</t>
  </si>
  <si>
    <t>Raido (Runa)</t>
  </si>
  <si>
    <t>Runa arremessável
Pode trocar posição com a runa ao clicar no chão de onde ela caiu</t>
  </si>
  <si>
    <t>Rune yang dapat dilempar
Dapat bertukar posisi dengan rune dengan mengkliknya di tanah</t>
  </si>
  <si>
    <t>盧恩符文Kenaz</t>
  </si>
  <si>
    <t>將目標變為炸彈
依照對方體型，影響爆炸範圍</t>
  </si>
  <si>
    <t>ルーン符文Kenaz</t>
  </si>
  <si>
    <t>対象を爆弾に変える
相手のサイズに応じて爆発範囲に影響を与える…</t>
  </si>
  <si>
    <t>Kenaz</t>
  </si>
  <si>
    <t>Throw it to turn the target into a bomb. Explodes after 5s.
Explosion radius is based on the target's size</t>
  </si>
  <si>
    <t>Una runa arrojable
Se puede cambiar el lugar con la runa clickeandolo en el piso</t>
  </si>
  <si>
    <t>Кеназ</t>
  </si>
  <si>
    <t>Превратите цель в бомбу.
Радиус взрыва в зависимости от размера цели.</t>
  </si>
  <si>
    <t>Phù văn Kenaz</t>
  </si>
  <si>
    <t>Ném nó để biến mục tiêu thành bom. Phát nổ sau 5 giây.
Bán kính nổ dựa trên kích thước của mục tiêu.</t>
  </si>
  <si>
    <t>Kenaz (Runa)</t>
  </si>
  <si>
    <t>Arremesse para transformar o alvo em uma bomba. Explode depois de 5s.
O raio da explosão é baseado no tamanho do alvo</t>
  </si>
  <si>
    <t>Lempar untuk mengubah target menjadi bom. Meledak setelah 5 detik.
Radius ledakan didasarkan pada ukuran target.</t>
  </si>
  <si>
    <t>盧恩符文Ehwaz</t>
  </si>
  <si>
    <t>投擲後與目標進行位置交換</t>
  </si>
  <si>
    <t>エワズ</t>
  </si>
  <si>
    <t>投げたエワズが当たったものと入れ替わる(敵.NPC.物)</t>
  </si>
  <si>
    <t>Ehwaz</t>
  </si>
  <si>
    <t>Throwable rune
Swaps positions with target hit</t>
  </si>
  <si>
    <t>Una runa lanzable
Cambia de posicion con el objeto marcado</t>
  </si>
  <si>
    <t>에와즈</t>
  </si>
  <si>
    <t>상대한테 던지면 위치가 뒤바뀝니다.(적,NPC,물건등)</t>
  </si>
  <si>
    <t>Эваз</t>
  </si>
  <si>
    <t>После броска поменяйтесь местами с мишенью.</t>
  </si>
  <si>
    <t>Ehwaz, die Rune des Vertrauens</t>
  </si>
  <si>
    <t>Wurfbare Rune
Tauscht Position mit getroffener Zielperson</t>
  </si>
  <si>
    <t>Phù văn Ehwaz</t>
  </si>
  <si>
    <t>Ném và hoán đổi vị trí với
mục tiêu mà nó chạm phải</t>
  </si>
  <si>
    <t>Ehwaz (Runa)</t>
  </si>
  <si>
    <t>Runa arremessável
Troca posição com o alvo atingido</t>
  </si>
  <si>
    <t>Rune yang dapat dilempar
Bertukar posisi dengan target yang terkena</t>
  </si>
  <si>
    <t>百合同人本</t>
  </si>
  <si>
    <t>提升性慾
(戰車商店販售)</t>
  </si>
  <si>
    <t>百合同人誌</t>
  </si>
  <si>
    <t>性欲が高まる！(宅配車で購入できる)
「お姉ちゃん…私、もうあなた無しじゃ生きられない…」</t>
  </si>
  <si>
    <t>Yuri Doujinshi</t>
  </si>
  <si>
    <t>Increases desire after reading
(Can be bought from the shopping van )</t>
  </si>
  <si>
    <t>Yuri Doujin</t>
  </si>
  <si>
    <t>Aumenta la Lujuria (Deseo) despues de leer
(Puede comprarse en la tienda de la van)</t>
  </si>
  <si>
    <t>Юри Додзинси</t>
  </si>
  <si>
    <t>Повышает желание
(Покупается в Грузовике NLCH)</t>
  </si>
  <si>
    <t>Doujinshi Yuri</t>
  </si>
  <si>
    <t>Tăng ham muốn sau khi đọc
(Có thể mua tại xe van mua sắm)</t>
  </si>
  <si>
    <t>Aumenta o desejo depois de ler
(Pode ser comprado na loja van)</t>
  </si>
  <si>
    <t>Meningkatkan hasrat setelah membaca
(Dapat dibeli dari mobil van)</t>
  </si>
  <si>
    <t>萌萌同人本</t>
  </si>
  <si>
    <t>萌え萌え同人誌</t>
  </si>
  <si>
    <t>性欲が高まる！(宅配車で購入できる)
「萌え萌えキュン～♡」</t>
  </si>
  <si>
    <t>Moe Doujinshi</t>
  </si>
  <si>
    <t>Moe Doujin</t>
  </si>
  <si>
    <t>Моэ Додзинси</t>
  </si>
  <si>
    <t>Doujinshi Moe</t>
  </si>
  <si>
    <t>貓娘同人本</t>
  </si>
  <si>
    <t>Catgirl Doujinshi</t>
  </si>
  <si>
    <t>Додзинси с кошко-девочками</t>
  </si>
  <si>
    <t>Doujinshi Gái Mèo</t>
  </si>
  <si>
    <t>Doujinshi Neko</t>
  </si>
  <si>
    <t>拍立得24~29</t>
  </si>
  <si>
    <t>Polaroid 24~29</t>
  </si>
  <si>
    <t>Полароиды NLCH (24-29)</t>
  </si>
  <si>
    <t>Polaroid-Fotos 24-29</t>
  </si>
  <si>
    <t>Polaroid 24-29</t>
  </si>
  <si>
    <t>茶點心券</t>
  </si>
  <si>
    <t>於扭蛋機取得
可於下次使用時必定獲得金色扭蛋
(當使用扭蛋機爆炸時，額外的數值越多，越容易獲得"茶點心券")</t>
  </si>
  <si>
    <t xml:space="preserve">お菓子引換券
</t>
  </si>
  <si>
    <t xml:space="preserve">
ガチャで獲得
次回使用時には必ず金色のガチャを獲得できます
（ガチャが爆発した時に追加の数値が多いほど、『お菓子引換券』を獲得しやすくなります）
</t>
  </si>
  <si>
    <t>Tea Gift Voucher</t>
  </si>
  <si>
    <t>Drops from the Gachapon Machine
Gives an 11-pull when used, with a guarantee of at least one gold ball as a reward.
(When using the Gachapon Machine, the more you put into it, the more likely you'll get the coupon as a drop)</t>
  </si>
  <si>
    <t>Cupon de Regalo de Te</t>
  </si>
  <si>
    <t>Dado por la maquina Gacha
Te da 11 tiradas cuando se usa, asegurando que uno de estos sea al menos dorada como recompensa
(cuando se pongas mas dinero dentro de esta, tendras mas posibilidades de obtener un cupon como recomensa)</t>
  </si>
  <si>
    <t>Подарочный купон на чай</t>
  </si>
  <si>
    <t>Получается из автомата с гашапонами. Гарантированно вы получите золотой гашапон при следующем использовании. (Чем больше бонусных очков вы получите при взрыве автомата с гашапонами, тем легче получить «билеты на чай и закуски»).</t>
  </si>
  <si>
    <t>Tee Geschenkgutschein</t>
  </si>
  <si>
    <t>Erhältlich aus dem Gachapon Automaten
Gewährt bei Verwendung einen 11er-Zug mit garantiert mindestens einer goldenen Kugel als Belohnung.
(Je mehr du in den Gachapon Automaten investierst, desto höher ist die Chance, dass du diesen Coupon als Drop erhältst)</t>
  </si>
  <si>
    <t>Phiếu Quà Trà</t>
  </si>
  <si>
    <t>Vật phẩm rơi từ Máy Gachapon: Khi sử dụng, bạn sẽ được 11 lần rút, đảm bảo nhận được ít nhất một quả bóng vàng làm phần thưởng. 
(Khi sử dụng Máy Gacha, bạn càng bỏ nhiều tiền vào thì khả năng nhận được phiếu giảm giá càng cao)</t>
  </si>
  <si>
    <t>Cupom de Chá</t>
  </si>
  <si>
    <t>Item dado pela máquina de Gachapon
Tê da 11-puxadas quando usada, com a garantia de que pelo menos uma bola dourada sairá.
(Quando usando uma máquina de Gachapon, quanto mais você coloca nela, Maior a chance que você irá pegar o cupom como recompensa)</t>
  </si>
  <si>
    <t>Voucher Hadiah Teh</t>
  </si>
  <si>
    <t>Hadiah dari Mesin Gachapon
Memberikan 11 kali putaran saat digunakan, dengan jaminan setidaknya satu bola emas sebagai hadiah.
(Saat menggunakan Mesin Gachapon, semakin banyak yang Anda masukkan, semakin besar kemungkinan Anda mendapatkan kupon sebagai hadiah)</t>
  </si>
  <si>
    <t>兔子地圖</t>
  </si>
  <si>
    <t>遊戲地圖(部分地區可能需要連國外網路)</t>
  </si>
  <si>
    <t>バニーの地図</t>
  </si>
  <si>
    <t>ゲームマップ（一部地域では国外インターネット接続が必要な場合があります）</t>
  </si>
  <si>
    <t>Bunny Map</t>
  </si>
  <si>
    <t xml:space="preserve">Opens the interactive map in game (requires internet connection)
</t>
  </si>
  <si>
    <t>Abre un mapa interactivo del juego (requiere conexion a internet)</t>
  </si>
  <si>
    <t>Карта Кроликов</t>
  </si>
  <si>
    <t>Карта игры
(Требует подключение к интернету)</t>
  </si>
  <si>
    <t>Hasenkarte</t>
  </si>
  <si>
    <t>Öffnet die interaktive Karte im Spiel (Online vb nötig)</t>
  </si>
  <si>
    <t>Bản Đồ Thỏ</t>
  </si>
  <si>
    <t>Mở bản đồ tương tác được trong game (cần kết nối mạng)</t>
  </si>
  <si>
    <t>Mapa da Coelha</t>
  </si>
  <si>
    <t xml:space="preserve">Abre um mapa interativo no jogo (Requer conexão com internet)
</t>
  </si>
  <si>
    <t>Peta Kelinci</t>
  </si>
  <si>
    <t>Membuka peta interaktif dalam game (membutuhkan koneksi internet)</t>
  </si>
  <si>
    <t>妹妹的任意券</t>
  </si>
  <si>
    <t>使用於SLG相關的事件</t>
  </si>
  <si>
    <t xml:space="preserve">妹のフリーパス
</t>
  </si>
  <si>
    <t>SLG関連のイベントで使用する事が出来る</t>
  </si>
  <si>
    <t>Sister's Reward Coupon</t>
  </si>
  <si>
    <t>Can be used on events related in SLG</t>
  </si>
  <si>
    <t>Cupon de regalo de Imouto</t>
  </si>
  <si>
    <t>Puede ser usado en eventos relacionados en SLG</t>
  </si>
  <si>
    <t>«Свободный купон»</t>
  </si>
  <si>
    <t>События, связанные с Simulated Life Game.
(Сценами, которые разыгрываются с Имоуто.
Например, купание или непристойные действия)</t>
  </si>
  <si>
    <t>Schwesterleins Belohnungsgutschein</t>
  </si>
  <si>
    <t>Kann für SLG Events verwendet werden</t>
  </si>
  <si>
    <t>Phiếu Thưởng Của Em Gái</t>
  </si>
  <si>
    <t>Có thể được dùng trong các sự kiện liên quan trong SLG</t>
  </si>
  <si>
    <t>Cupom de recompensa da Imouto (Passe Livre)</t>
  </si>
  <si>
    <t>Pode ser usado em eventos relacionado ao SLG</t>
  </si>
  <si>
    <t>Kupon Hadiah Saudari</t>
  </si>
  <si>
    <t>Dapat digunakan pada acara yang terkait dengan SLG.</t>
  </si>
  <si>
    <t>JoyStation V</t>
  </si>
  <si>
    <t>回家後觸發和開啟與妹妹遊戲的功能</t>
  </si>
  <si>
    <t>家に帰ると妹と開封の儀を行い妹と一緒にゲームする事が出来るようになる</t>
  </si>
  <si>
    <t>A scene will trigger when you get home for the first time. Unlocks the option to play games with Imouto</t>
  </si>
  <si>
    <t>回家后触发和开启与妹妹游戏的功能</t>
  </si>
  <si>
    <t>Se activa una escena cuando llegas a casa por primera vez. Este desbloquea jugar con Imouto</t>
  </si>
  <si>
    <t>Вы сможете играть вместе со своей сестрой по возвращению домой.</t>
  </si>
  <si>
    <t>Một cảnh sẽ được kích hoạt khi bạn lần đầu tiên. Mở khóa lựa chọn chơi game với imouto</t>
  </si>
  <si>
    <t>Uma cena ocorrerá em que você vai para casa e jogará com a sua imouto.
Permite você jogar com a sua imouto</t>
  </si>
  <si>
    <t>Sebuah adegan akan muncul saat kau pulang dan bermain dengan adik.</t>
  </si>
  <si>
    <t>拍立得30~35</t>
  </si>
  <si>
    <t>Polaroid 30~35</t>
  </si>
  <si>
    <t>Полароиды NLCH (30-35)</t>
  </si>
  <si>
    <t>Polaroid-Fotos 30–35</t>
  </si>
  <si>
    <t>冒險者心得</t>
  </si>
  <si>
    <t>攻略心得(部分地區可能需要連國外網路)</t>
  </si>
  <si>
    <t>冒険者の心得</t>
  </si>
  <si>
    <t>攻略のコツ（一部地域では国外インターネット接続が必要な場合があります）</t>
  </si>
  <si>
    <t>Adventurer's Handbook</t>
  </si>
  <si>
    <t>Opens the guide in game (requires internet connection)</t>
  </si>
  <si>
    <t>Libro del aventurero</t>
  </si>
  <si>
    <t>Abre la guia del juego (Requiere conexion a internet)</t>
  </si>
  <si>
    <t>Путеводитель Авантюриста</t>
  </si>
  <si>
    <t>Гайды для Начинающих Авантюристов
(Требует подключение к интернету)</t>
  </si>
  <si>
    <t>Abenteurerhandbuch</t>
  </si>
  <si>
    <t>Öffnet den Leitfaden im Spiel (Online vb nötig)</t>
  </si>
  <si>
    <t>Sổ Tay Mạo Hiểm Giả</t>
  </si>
  <si>
    <t>Mở bản hướng dẫn trong game (cần kết nối mạng)</t>
  </si>
  <si>
    <t>Caderno do Aventureiro</t>
  </si>
  <si>
    <t>Abre o guia do jogo (Requer conexão com internet)</t>
  </si>
  <si>
    <t>Buku Panduan Petualang</t>
  </si>
  <si>
    <t>Membuka panduan di dalam game (membutuhkan koneksi internet)</t>
  </si>
  <si>
    <t>天上之石相關</t>
  </si>
  <si>
    <t>Philosopher's Stone related</t>
  </si>
  <si>
    <t>天上之石相关</t>
  </si>
  <si>
    <t>Связанный с Философским камнем</t>
  </si>
  <si>
    <t>天上之石碎片</t>
  </si>
  <si>
    <t>增加哥哥的狀態或者轉化為"紅髓液"</t>
  </si>
  <si>
    <t>天上の石の欠片</t>
  </si>
  <si>
    <t>お兄ちゃんのステータスを上昇させるか、「紅髄液」として使うことが出来る</t>
  </si>
  <si>
    <t>Philosopher's Stone Fragment</t>
  </si>
  <si>
    <t>Can be turned into Philosopher's Stone Fluid or can be used to permanently increase your attack and max HP when used by self</t>
  </si>
  <si>
    <t>Fragmento de Piedra Filosofal</t>
  </si>
  <si>
    <t>Se puede convertir en una Piedra Liquida Filosofica o puede ser usado por ti para aumentar permanentemente el ataque y vida maxima .</t>
  </si>
  <si>
    <t>여동생을 치료 또는 오빠의 능력이 향상됩니다.</t>
  </si>
  <si>
    <t>Фрагмент Философского камня</t>
  </si>
  <si>
    <t xml:space="preserve">Улучшите состояние Курохи или превратите его в «Эликсир Рубрум».
</t>
  </si>
  <si>
    <t>Fragment des Steins der Weisen</t>
  </si>
  <si>
    <t>Heilt die Krankheit der Schwester
Heilt und erhöht dauerhaft eigenen Angriff und max. HP bei Eigengebrauch</t>
  </si>
  <si>
    <t>Mảnh Hiền Triết</t>
  </si>
  <si>
    <t>Có thể biến thành Chất Lỏng Đá Hiền Triết hoặc được dùng để tăng vĩnh viễn sức tấn công và HP tối đa khi sử dụng cho bản thân</t>
  </si>
  <si>
    <t>Fragmento da Pedra do Filósofo</t>
  </si>
  <si>
    <t>Pode se tornar um fluído da Pedra Do Filósofo ou pode ser usado para permanentemente aumentar aumentar seu ataque e máx PV quando usado em si mesmo</t>
  </si>
  <si>
    <t>Fragmen Batu Filsuf</t>
  </si>
  <si>
    <t>Dapat diubah menjadi Cairan Batu Filsuf atau dapat digunakan untuk meningkatkan serangan dan HP maksimal secara permanen jika digunakan sendiri.</t>
  </si>
  <si>
    <t>紅髓液</t>
  </si>
  <si>
    <t>使用於治療妹妹</t>
  </si>
  <si>
    <t>紅髄液</t>
  </si>
  <si>
    <t>使用すると妹を治療することが出来る</t>
  </si>
  <si>
    <t>Elixir Rubrum</t>
  </si>
  <si>
    <t>Used to cure Imouto</t>
  </si>
  <si>
    <t>Liquido de la Piedra Filosofal</t>
  </si>
  <si>
    <t>Usado para curar a Imouto (Hermana)</t>
  </si>
  <si>
    <t>Эликсир Рубрум</t>
  </si>
  <si>
    <t>Лекарство для Имоуто, которое искал Куроха</t>
  </si>
  <si>
    <t>Flüssigkeit des Steins der Weisen</t>
  </si>
  <si>
    <t>Benutze es um deine Schwester zu heilen</t>
  </si>
  <si>
    <t>Chất Lỏng Đá Hiền Triết</t>
  </si>
  <si>
    <t>Được sử dụng để chữa cho imouto</t>
  </si>
  <si>
    <t>Fluído da Pedra do Filósofo</t>
  </si>
  <si>
    <t>Usado para curar a Imouto</t>
  </si>
  <si>
    <t>Cairan Batu Filsuf</t>
  </si>
  <si>
    <t>Digunakan untuk menyembuhkan Imouto</t>
  </si>
  <si>
    <t>吃飽效果(夜襲時間延長)</t>
  </si>
  <si>
    <t>食材的材料舉例:
食材只是權重分配，有一定的機率性、共通性，因此不見得每次都能成功。
比如胡蘿蔔這個食材，它同時持有Carrot,Vegetable,Red三个標籤。
並且同一組食材也有可能產生出不同的料理。
每道料理都可以加辣椒，所以有機率多產生辣的效果。另外每多加一個辣椒都會增加被辣到的機率。</t>
  </si>
  <si>
    <t>満腹効果（夜襲時間を延長する）</t>
  </si>
  <si>
    <t>食材の材料についての例:
食材は単なる重み付けであり、一定の確率性や共通性があるため、毎回成功するとは限りません。
例えば、にんじんという食材は、Carrot、Vegetable、Redの3つのタグを持っています。
同じ食材の組み合わせでも、異なる料理が出来上がる可能性があります。</t>
  </si>
  <si>
    <t>Feeling full (extends time for pranks at night)</t>
  </si>
  <si>
    <t>Ingredients
Note: Ingredients have different traits and weighted distributions, meaning success is never a guarantee. This is why the probability of making a dish with similar ingredients is random.
Using Carrot as an example, it's defined by three traits, namely "Vegetable", "Carrot" and "Red".
As such, if you use it as an ingredient, it can produce different dishes requiring one of its traits.</t>
  </si>
  <si>
    <t xml:space="preserve">Эффект от сытости (продлевает продолжительность ночного набега)
</t>
  </si>
  <si>
    <t>А</t>
  </si>
  <si>
    <t>Примеры ингредиентов: Ингредиенты имеют лишь определенный вес и обладают определенной вероятностью совпадения, поэтому успех не гарантирован каждый раз.
Например, ингредиент «морковь» одновременно имеет метки «морковь», «овощ» и «красный».
Кроме того, один и тот же набор ингредиентов может привести к приготовлению разных блюд.
В каждое блюдо можно добавить перец чили, что увеличивает вероятность получения более острого эффекта.
Кроме того, каждый дополнительный перец чили повышает вероятность остроты.</t>
  </si>
  <si>
    <t>Sättigungseffekt (verlängert die Nachtüberfall Zeit)</t>
  </si>
  <si>
    <t>Beispielhafte Zutatenzuweisung:
Zutaten dienen nur der Gewichtung und sind mit Wahrscheinlichkeiten sowie gemeinsamen Eigenschaften verknüpft – daher gelingt ein Rezept nicht immer.
Zum Beispiel besitzt die Zutat Karotte gleichzeitig die Tags Karotte, Gemüse und Rot.
Außerdem kann dieselbe Kombination von Zutaten unterschiedliche Gerichte ergeben.
Jedes Gericht kann mit Chili ergänzt werden, was mit einer gewissen Wahrscheinlichkeit eine scharfe Variante hervorbringt.
Je mehr Chilis hinzugefügt werden, desto höher ist die Wahrscheinlichkeit, dass das Gericht tatsächlich scharf wird.</t>
  </si>
  <si>
    <t>Cảm thấy no (kéo dài thời gian chọc ghẹo vào ban đêm)</t>
  </si>
  <si>
    <t>Nguyên liệu
Ghi chú: nguyên liệu có nhiều đặc điểm và cân nặng được phân bổ khác nhau, nghĩa là thành công không bao giờ là đảm bảo. Đây là lí do khả năng tạo ra món ăn với cùng nguyên liệu là ngẫu nhiên. Ví dụ, như việc dùng Cà rốt, nó được định nghĩa bằng ba đặc điểm, là "Rau", "Cà rốt" và "Đỏ".
Như vậy, nếu bạn dùng nó như một nguyên liệu, nó có thể tạo ra nhiều món ăn dựa trên một trong những đặc điểm của nó</t>
  </si>
  <si>
    <t>Sentindo satisfeito (Extende o tempo das Incursões noturnas)</t>
  </si>
  <si>
    <t>Ingredientes
Nota: Ingredientes tem diferentes características e distribuições com peso, em outras palavras, sucesso não é garantido. É por isso que a probabilidade de fazer pratos com ingredientes similares é aleatório.
Usando cenouras como exemplo, é definida com três característicass, nomeadas "Vegetal", "Cenoura" e "Vermelha".
Como tal, Se você usar como um ingrediente, ela pode gerar diferentes pratos que precisem de uma dessas características.</t>
  </si>
  <si>
    <t>妹妹辣到哭了(機率觸發)</t>
  </si>
  <si>
    <t>辛すぎて妹が泣いちゃった…(確率でイベント)</t>
  </si>
  <si>
    <t>The dish was too spicy, my sister immediately started crying...
(random chance, with each chili increasing it by 45%)</t>
  </si>
  <si>
    <t>Моя сестра заплакала, потому что еда была очень острой (случайный триггер).</t>
  </si>
  <si>
    <t>Б</t>
  </si>
  <si>
    <t>Die Schwester weint vor Schärfe (wird mit einer gewissen Wahrscheinlichkeit ausgelöst)</t>
  </si>
  <si>
    <t>Món ăn quá cay, em gái bắt đầu khóc ngay lập tức...
(khả năng ngẫu nhiên, với mỗi quả ớt tăng thêm 45%)</t>
  </si>
  <si>
    <t>O prato é muito apimentado, Minha imouto imediatamente começa a chorar...
(Chance aleatória, com cada chili aumenta em 45%)</t>
  </si>
  <si>
    <t>料理名</t>
  </si>
  <si>
    <t>Dish</t>
  </si>
  <si>
    <t>Effect</t>
  </si>
  <si>
    <t>Блюдо</t>
  </si>
  <si>
    <t>Name der Gerichte</t>
  </si>
  <si>
    <t>Wertung</t>
  </si>
  <si>
    <t>Món ăn</t>
  </si>
  <si>
    <t>Prato</t>
  </si>
  <si>
    <t>史萊姆果凍</t>
  </si>
  <si>
    <t>史萊姆黏液</t>
  </si>
  <si>
    <t>スライムゼリー</t>
  </si>
  <si>
    <t>スライムの粘液</t>
  </si>
  <si>
    <t>Slime Jelly</t>
  </si>
  <si>
    <t>Slime Mucus</t>
  </si>
  <si>
    <t>슬라임의 점액</t>
  </si>
  <si>
    <t>Желе из слайма</t>
  </si>
  <si>
    <t>Слайм</t>
  </si>
  <si>
    <t>Schleimgelee</t>
  </si>
  <si>
    <t>Schleimsekret</t>
  </si>
  <si>
    <t>Thạch Slime</t>
  </si>
  <si>
    <t>Chất Nhầy Slime</t>
  </si>
  <si>
    <t>Muco de Slime</t>
  </si>
  <si>
    <t>咖喱飯</t>
  </si>
  <si>
    <t>白米飯</t>
  </si>
  <si>
    <t>咖喱塊</t>
  </si>
  <si>
    <t>カレーライス</t>
  </si>
  <si>
    <t>白ご飯</t>
  </si>
  <si>
    <t>カレールー</t>
  </si>
  <si>
    <t>Curry White Rice</t>
  </si>
  <si>
    <t>White Rice</t>
  </si>
  <si>
    <t>Curry Block</t>
  </si>
  <si>
    <t>카레 블럭</t>
  </si>
  <si>
    <t>Рис с карри</t>
  </si>
  <si>
    <t>Рис</t>
  </si>
  <si>
    <t>Спагетти</t>
  </si>
  <si>
    <t>Curryreis</t>
  </si>
  <si>
    <t>Reis</t>
  </si>
  <si>
    <t>Currywürfel</t>
  </si>
  <si>
    <t>Cơm cà ri</t>
  </si>
  <si>
    <t>Cơm Trắng</t>
  </si>
  <si>
    <t>Khối Cà Ri</t>
  </si>
  <si>
    <t>Curry com Arroz Branco</t>
  </si>
  <si>
    <t>Arroz Branco</t>
  </si>
  <si>
    <t>Cubo de Curry</t>
  </si>
  <si>
    <t>蘋果派</t>
  </si>
  <si>
    <t>小麥粉</t>
  </si>
  <si>
    <t>アップルパイ</t>
  </si>
  <si>
    <t>こむぎこ</t>
  </si>
  <si>
    <t>Apple Pie</t>
  </si>
  <si>
    <t>Wheat Flour</t>
  </si>
  <si>
    <t>Яблочный пирог</t>
  </si>
  <si>
    <t>Мука</t>
  </si>
  <si>
    <t>Apfelkuchen</t>
  </si>
  <si>
    <t>Weizenmehl</t>
  </si>
  <si>
    <t>Bánh Táo</t>
  </si>
  <si>
    <t>Bột Mì</t>
  </si>
  <si>
    <t>Torta de Maçã</t>
  </si>
  <si>
    <t>Farinha de Trigo</t>
  </si>
  <si>
    <t>烤蘋果</t>
  </si>
  <si>
    <t>焼きリンゴ</t>
  </si>
  <si>
    <t>Baked Apple</t>
  </si>
  <si>
    <t>Печеное яблоко</t>
  </si>
  <si>
    <t>Bratapfel</t>
  </si>
  <si>
    <t>Táo Nướng</t>
  </si>
  <si>
    <t>Baked Maçã</t>
  </si>
  <si>
    <t>炒貝類</t>
  </si>
  <si>
    <t>未實裝(之後河邊炸鱼可以炸出貝殼)</t>
  </si>
  <si>
    <t>炒め貝類</t>
  </si>
  <si>
    <t>Sauteed Shellfish</t>
  </si>
  <si>
    <t>Not implemented</t>
  </si>
  <si>
    <t>조개볶음</t>
  </si>
  <si>
    <t>Жареные моллюски</t>
  </si>
  <si>
    <t>Пока не реализовано (позже можно будет взрывать рыбу в реке и получать моллюсков).</t>
  </si>
  <si>
    <t>Gebratene Muscheln</t>
  </si>
  <si>
    <t>Noch nicht implementiert (Später kann man beim Fischen am Fluss Muscheln herausfrittieren)</t>
  </si>
  <si>
    <t xml:space="preserve">
Sò ốc xào</t>
  </si>
  <si>
    <t>Crustáceo Sauté</t>
  </si>
  <si>
    <t>煎魚</t>
  </si>
  <si>
    <t>魚類</t>
  </si>
  <si>
    <t>焼き魚</t>
  </si>
  <si>
    <t>Grilled Fish</t>
  </si>
  <si>
    <t>Fish</t>
  </si>
  <si>
    <t>생선구이</t>
  </si>
  <si>
    <t>Жареная рыба</t>
  </si>
  <si>
    <t>Рыба</t>
  </si>
  <si>
    <t>Gebratener Fisch</t>
  </si>
  <si>
    <t>Fisch</t>
  </si>
  <si>
    <t>Cá Nướng</t>
  </si>
  <si>
    <t>Cá</t>
  </si>
  <si>
    <t>Peixe grelhado</t>
  </si>
  <si>
    <t>Peixe</t>
  </si>
  <si>
    <t>炒蘑菇</t>
  </si>
  <si>
    <t>香菇</t>
  </si>
  <si>
    <t>炒めシイタケ</t>
  </si>
  <si>
    <t>シイタケ</t>
  </si>
  <si>
    <t>Sauteed Mushrooms</t>
  </si>
  <si>
    <t>Mushroom</t>
  </si>
  <si>
    <t>버섯볶음</t>
  </si>
  <si>
    <t>Обжаренные грибы</t>
  </si>
  <si>
    <t>Гриб</t>
  </si>
  <si>
    <t>Gebratene Pilze</t>
  </si>
  <si>
    <t>Pilz</t>
  </si>
  <si>
    <t>Nấm xào thanh đạm</t>
  </si>
  <si>
    <t>Nấm</t>
  </si>
  <si>
    <t>Cogumelos Sauté</t>
  </si>
  <si>
    <t>Cogumelo</t>
  </si>
  <si>
    <t>烤串</t>
  </si>
  <si>
    <t>大塊獸肉</t>
  </si>
  <si>
    <t>焼き串</t>
  </si>
  <si>
    <t>大きい獣肉</t>
  </si>
  <si>
    <t>ジャガイモ</t>
  </si>
  <si>
    <t>Kebab</t>
  </si>
  <si>
    <t>Large Beast Meat</t>
  </si>
  <si>
    <t>케밥</t>
  </si>
  <si>
    <t>큰 짐승고기</t>
  </si>
  <si>
    <t>Шашлыки</t>
  </si>
  <si>
    <t>Мясо крупного зверя</t>
  </si>
  <si>
    <t>Grillspieße</t>
  </si>
  <si>
    <t>Großes Stück Fleisch</t>
  </si>
  <si>
    <t>Thịt xiên nướng</t>
  </si>
  <si>
    <t>Thịt Quái Vật Lớn</t>
  </si>
  <si>
    <t>Carne de Grande Fera</t>
  </si>
  <si>
    <t>飯糰</t>
  </si>
  <si>
    <t>おにぎり</t>
  </si>
  <si>
    <t>Onigiri</t>
  </si>
  <si>
    <t>Онигири</t>
  </si>
  <si>
    <t>Reisbällchen</t>
  </si>
  <si>
    <t>Cơm Nắm</t>
  </si>
  <si>
    <t>肉排咖喱飯</t>
  </si>
  <si>
    <t>カツカレー</t>
  </si>
  <si>
    <t>Katsu Curry White Rice</t>
  </si>
  <si>
    <t>카츠카레</t>
  </si>
  <si>
    <t>Стейк с карри</t>
  </si>
  <si>
    <t>Curryreis mit Fleisch</t>
  </si>
  <si>
    <t>Cơm cà ri sườn</t>
  </si>
  <si>
    <t>Katsu Curry com Arroz Branco</t>
  </si>
  <si>
    <t>肉湯</t>
  </si>
  <si>
    <t>肉のスープ</t>
  </si>
  <si>
    <t>小さい獣肉</t>
  </si>
  <si>
    <t>Meat Broth Soup</t>
  </si>
  <si>
    <t>고기 수프</t>
  </si>
  <si>
    <t>작은 짐승고기</t>
  </si>
  <si>
    <t>Мясной суп</t>
  </si>
  <si>
    <t>Масо малого зверя</t>
  </si>
  <si>
    <t>Fleischsuppe</t>
  </si>
  <si>
    <t xml:space="preserve">Kleines Stück Fleisch
</t>
  </si>
  <si>
    <t>Súp Nước Dùng Thịt</t>
  </si>
  <si>
    <t>Sopa de Caldo de Carne</t>
  </si>
  <si>
    <t>烤肉塊</t>
  </si>
  <si>
    <t>チーズinハンバーグ</t>
  </si>
  <si>
    <t>Grilled Meat</t>
  </si>
  <si>
    <t>Блюдо из жареного мяса</t>
  </si>
  <si>
    <t>Gebratene Fleischstücke</t>
  </si>
  <si>
    <t>Thịt Nướng</t>
  </si>
  <si>
    <t>Carne grelhada</t>
  </si>
  <si>
    <t>牛排肉</t>
  </si>
  <si>
    <t>厚切りお肉のステーキ</t>
  </si>
  <si>
    <t>Steak</t>
  </si>
  <si>
    <t>스테이크</t>
  </si>
  <si>
    <t>Жареные свиные ребрышки</t>
  </si>
  <si>
    <t>Steakfleisch</t>
  </si>
  <si>
    <t>Filé</t>
  </si>
  <si>
    <t>醬牛肉</t>
  </si>
  <si>
    <t>醤油の煮込み肉鍋</t>
  </si>
  <si>
    <t>Braised Beef in Soy Sauce</t>
  </si>
  <si>
    <t>소고기장조림</t>
  </si>
  <si>
    <t>Geschmorter Fleischtopf in Sojasauce</t>
  </si>
  <si>
    <t>Thịt Bò Hầm Trong Nước Tương</t>
  </si>
  <si>
    <t>Bife refogado ao molho de soja</t>
  </si>
  <si>
    <t>牛肉飯糰</t>
  </si>
  <si>
    <t>肉巻きおにぎり</t>
  </si>
  <si>
    <t>Beef Onigiri</t>
  </si>
  <si>
    <t>White White Rice</t>
  </si>
  <si>
    <t>소고기주먹밥</t>
  </si>
  <si>
    <t>Мясной онигири</t>
  </si>
  <si>
    <t>Rindfleisch mit Reisbällchen</t>
  </si>
  <si>
    <t>Cơm nắm thịt cốt lết</t>
  </si>
  <si>
    <t>Onigiri com Bife</t>
  </si>
  <si>
    <t>White Arroz Branco</t>
  </si>
  <si>
    <t>奇怪的史萊姆果凍(藍色)</t>
  </si>
  <si>
    <t>水怪黏液</t>
  </si>
  <si>
    <t>可愛いスライムゼリー（青色）</t>
  </si>
  <si>
    <t>水怪の粘液</t>
  </si>
  <si>
    <t>WaterWeird Jelly (Blue)</t>
  </si>
  <si>
    <t>WaterWeird Mucus</t>
  </si>
  <si>
    <t>수괴의 점액</t>
  </si>
  <si>
    <t>Водяной слайм</t>
  </si>
  <si>
    <t>Seltsames Schleimgelee (Blau)</t>
  </si>
  <si>
    <t>Wassergeistsekret</t>
  </si>
  <si>
    <t>Thạch Thủy Quái (Xanh)</t>
  </si>
  <si>
    <t>Chất Nhầy Thủy Quái</t>
  </si>
  <si>
    <t>Gelatina de WaterWeird(Azul)</t>
  </si>
  <si>
    <t>Muco de WaterWeird</t>
  </si>
  <si>
    <t>奇怪的史萊姆果凍(粉色)</t>
  </si>
  <si>
    <t>可愛いスライムゼリー（赤色）</t>
  </si>
  <si>
    <t>アップル妖精</t>
  </si>
  <si>
    <t>Strange Slime Jelly (Pink)</t>
  </si>
  <si>
    <t>이상한 슬라임 젤리(핑크색)</t>
  </si>
  <si>
    <t>사과 요정</t>
  </si>
  <si>
    <t>Розовое желе из слайма</t>
  </si>
  <si>
    <t>Яблочная фея</t>
  </si>
  <si>
    <t>Seltsames Schleimgelee (Rosa)</t>
  </si>
  <si>
    <t>Thạch Thủy Quái (Hồng)</t>
  </si>
  <si>
    <t>Tiểu Tiên Táo</t>
  </si>
  <si>
    <t>Gelatina de Slime Estranho(Rosa)</t>
  </si>
  <si>
    <t>Fada de maçã</t>
  </si>
  <si>
    <t>奇怪的史萊姆果凍(黑色)</t>
  </si>
  <si>
    <t>垃圾</t>
  </si>
  <si>
    <t>可愛いスライムゼリー（黒色）</t>
  </si>
  <si>
    <t>ゴミ</t>
  </si>
  <si>
    <t>Strange Slime Jelly (Black)</t>
  </si>
  <si>
    <t>Junk</t>
  </si>
  <si>
    <t>Тёмное желе из слайма</t>
  </si>
  <si>
    <t>Мусор</t>
  </si>
  <si>
    <t>Seltsames Schleimgelee (Schwarz)</t>
  </si>
  <si>
    <t>Abfall</t>
  </si>
  <si>
    <t>Thạch Thủy Quái (Đen)</t>
  </si>
  <si>
    <t>Rác</t>
  </si>
  <si>
    <t>Gelatina de Slime Estranho (Preto)</t>
  </si>
  <si>
    <t>Sucata</t>
  </si>
  <si>
    <t>奇怪的史萊姆果凍(彩色)</t>
  </si>
  <si>
    <t>可愛いスライムゼリー（虹色）</t>
  </si>
  <si>
    <t>Strange Slime Jelly (Color)</t>
  </si>
  <si>
    <t>Sister's Ahoge</t>
  </si>
  <si>
    <t>Радужное желе из слайма</t>
  </si>
  <si>
    <t>Seltsames Schleimgelee (Bunt)</t>
  </si>
  <si>
    <t>Haar von deiner Schwester</t>
  </si>
  <si>
    <t>Thạch Thủy Quái (Màu)</t>
  </si>
  <si>
    <t>Ahoge Của Em Gái</t>
  </si>
  <si>
    <t>Gelatina de Slime Estranho (Color)</t>
  </si>
  <si>
    <t>Ahoge da Imouto</t>
  </si>
  <si>
    <t>烤香蕉</t>
  </si>
  <si>
    <t>香蕉</t>
  </si>
  <si>
    <t>チョコバナナ</t>
  </si>
  <si>
    <t>バナナ</t>
  </si>
  <si>
    <t>Choco Bananas</t>
  </si>
  <si>
    <t>Banana</t>
  </si>
  <si>
    <t>Запеченные бананы</t>
  </si>
  <si>
    <t>Банан</t>
  </si>
  <si>
    <t>Gebackene Banane</t>
  </si>
  <si>
    <t>Banane</t>
  </si>
  <si>
    <t>Chuối Sô-cô-la</t>
  </si>
  <si>
    <t>Chuối</t>
  </si>
  <si>
    <t>羅宋湯</t>
  </si>
  <si>
    <t>胡蘿蔔</t>
  </si>
  <si>
    <t>ボルシチ</t>
  </si>
  <si>
    <t>じゃがいも</t>
  </si>
  <si>
    <t>にんじん</t>
  </si>
  <si>
    <t>Borscht</t>
  </si>
  <si>
    <t>Carrot</t>
  </si>
  <si>
    <t>Борщ</t>
  </si>
  <si>
    <t>Мясо малого зверя</t>
  </si>
  <si>
    <t>Морковь</t>
  </si>
  <si>
    <t>Borschtsch</t>
  </si>
  <si>
    <t>Súp Borsht</t>
  </si>
  <si>
    <t>Cà Rốt</t>
  </si>
  <si>
    <t>Cenoura</t>
  </si>
  <si>
    <t>烤章魚腳</t>
  </si>
  <si>
    <t>章魚腳</t>
  </si>
  <si>
    <t>焼きタコ串</t>
  </si>
  <si>
    <t>タコの触手</t>
  </si>
  <si>
    <t>Grilled Octopus Legs</t>
  </si>
  <si>
    <t>Octopus Tentacles</t>
  </si>
  <si>
    <t>문어 다리 구이</t>
  </si>
  <si>
    <t>문어 다리</t>
  </si>
  <si>
    <t>Щупальца осьминога на гриле</t>
  </si>
  <si>
    <t>Щупальца Осьминога</t>
  </si>
  <si>
    <t>Gegrillte Oktopus Tentakel</t>
  </si>
  <si>
    <t>Oktopus Tentakel</t>
  </si>
  <si>
    <t>Râu Bạch Tuộc Nướng</t>
  </si>
  <si>
    <t>Râu Bạch Tuộc</t>
  </si>
  <si>
    <t>Tentáculo de polvo grelhado</t>
  </si>
  <si>
    <t>Tentáculo de polvo</t>
  </si>
  <si>
    <t>蔬菜沙拉</t>
  </si>
  <si>
    <t>蔬菜</t>
  </si>
  <si>
    <t>にんじんチャンプル</t>
  </si>
  <si>
    <t>Mixed Diced Carrots</t>
  </si>
  <si>
    <t>채소 샐러드</t>
  </si>
  <si>
    <t>채소</t>
  </si>
  <si>
    <t>Овощной салат</t>
  </si>
  <si>
    <t>Овощи</t>
  </si>
  <si>
    <t>Gemüsesalat</t>
  </si>
  <si>
    <t>Gemüse</t>
  </si>
  <si>
    <t>Cà Rốt Xắt Nhỏ Trộn</t>
  </si>
  <si>
    <t>Cenouras misturada e moída</t>
  </si>
  <si>
    <t>土豆泥</t>
  </si>
  <si>
    <t>マッシュポテト</t>
  </si>
  <si>
    <t>Mashed Potatoes</t>
  </si>
  <si>
    <t>매시드 포테이토</t>
  </si>
  <si>
    <t>Картофельное пюре</t>
  </si>
  <si>
    <t>Kartoffelpüree</t>
  </si>
  <si>
    <t>Khoai Tây Nghiền</t>
  </si>
  <si>
    <t>Purê de batata</t>
  </si>
  <si>
    <t>蘿蔔菇片湯</t>
  </si>
  <si>
    <t>菇類</t>
  </si>
  <si>
    <t>にんじんときのこのスープ</t>
  </si>
  <si>
    <t>きのこ類</t>
  </si>
  <si>
    <t>Radish and Mushroom Soup</t>
  </si>
  <si>
    <t>당근 버섯 수프</t>
  </si>
  <si>
    <t>Суп из редьки и грибов</t>
  </si>
  <si>
    <t>Suppe mit Rettich und Pilzscheiben</t>
  </si>
  <si>
    <t>Karotte</t>
  </si>
  <si>
    <t>Súp Củ Cải Nấm</t>
  </si>
  <si>
    <t>Sopa de rabanete e Cogumelo</t>
  </si>
  <si>
    <t>意麵</t>
  </si>
  <si>
    <t>意大利面</t>
  </si>
  <si>
    <t>パスタ</t>
  </si>
  <si>
    <t>パスタ用麺</t>
  </si>
  <si>
    <t>Pasta</t>
  </si>
  <si>
    <t>Spaghetti</t>
  </si>
  <si>
    <t>Nudeln</t>
  </si>
  <si>
    <t>Mì Ý</t>
  </si>
  <si>
    <t>Macarrão</t>
  </si>
  <si>
    <t>Espaguete</t>
  </si>
  <si>
    <t>番茄意麵</t>
  </si>
  <si>
    <t>番茄醬</t>
  </si>
  <si>
    <t>スパゲッティ</t>
  </si>
  <si>
    <t>ケッチャプ</t>
  </si>
  <si>
    <t>Tomato Pasta</t>
  </si>
  <si>
    <t>Tomato Sauce</t>
  </si>
  <si>
    <t>Томатная паста</t>
  </si>
  <si>
    <t>Томатный соус</t>
  </si>
  <si>
    <t>Nudeln mit Tomatensauce</t>
  </si>
  <si>
    <t>Tomatensauce</t>
  </si>
  <si>
    <t>Mì Ý sốt cà chua</t>
  </si>
  <si>
    <t>Sốt Cà Chua</t>
  </si>
  <si>
    <t>Macarrão com molho de Tomate</t>
  </si>
  <si>
    <t>Molho de Tomate</t>
  </si>
  <si>
    <t>海鮮意麵</t>
  </si>
  <si>
    <t>甜蝦</t>
  </si>
  <si>
    <t>海鮮パスタ</t>
  </si>
  <si>
    <t>甘エビ</t>
  </si>
  <si>
    <t>Seafood Pasta</t>
  </si>
  <si>
    <t>Sweet Shrimp</t>
  </si>
  <si>
    <t>단새우</t>
  </si>
  <si>
    <t>Паста с морепродуктами</t>
  </si>
  <si>
    <t>Креветки</t>
  </si>
  <si>
    <t>Pasta mit Meeresfrüchten</t>
  </si>
  <si>
    <t>Süße Garnelen</t>
  </si>
  <si>
    <t>Mì Ý hải sản</t>
  </si>
  <si>
    <t>Tôm Ngọt</t>
  </si>
  <si>
    <t>Macarrão com frutos do mar</t>
  </si>
  <si>
    <t>Camarão-doce</t>
  </si>
  <si>
    <t>雞蛋咖哩飯</t>
  </si>
  <si>
    <t>目玉焼きカレー</t>
  </si>
  <si>
    <t>大きい卵</t>
  </si>
  <si>
    <t>Egg Curry Rice</t>
  </si>
  <si>
    <t>Рис с яйцом и карри</t>
  </si>
  <si>
    <t>Eier-Curryreis</t>
  </si>
  <si>
    <t>Sehr große Eier</t>
  </si>
  <si>
    <t>Cơm Cà Ri Trứng</t>
  </si>
  <si>
    <t>Arroz com Ovo e Curry</t>
  </si>
  <si>
    <t>蛋包飯</t>
  </si>
  <si>
    <t>オムライス</t>
  </si>
  <si>
    <t>Omurice</t>
  </si>
  <si>
    <t>Large Egg</t>
  </si>
  <si>
    <t>오므라이스</t>
  </si>
  <si>
    <t>Омлет с рисом</t>
  </si>
  <si>
    <t>Omurice (Reis mit Omelett)</t>
  </si>
  <si>
    <t>Cơm trứng cuộn</t>
  </si>
  <si>
    <t>番茄蛋包飯</t>
  </si>
  <si>
    <t>オムライスver2</t>
  </si>
  <si>
    <t>トマト</t>
  </si>
  <si>
    <t>Tomato Omurice</t>
  </si>
  <si>
    <t>토마토 소스 오므라이스</t>
  </si>
  <si>
    <t>Омлет с помидорами и рисом</t>
  </si>
  <si>
    <t>Tomaten-Omurice</t>
  </si>
  <si>
    <t>Omurice Cà Chua</t>
  </si>
  <si>
    <t>Omurice com tomate</t>
  </si>
  <si>
    <t>海鮮燉飯</t>
  </si>
  <si>
    <t>大龍蝦</t>
  </si>
  <si>
    <t>シーフードリゾット</t>
  </si>
  <si>
    <t>伊勢エビ</t>
  </si>
  <si>
    <t>Seafood Risotto</t>
  </si>
  <si>
    <t>랍스터</t>
  </si>
  <si>
    <t>Ризотто с морепродуктами</t>
  </si>
  <si>
    <t>Лангуст</t>
  </si>
  <si>
    <t>Meeresfrüchte-Risotto</t>
  </si>
  <si>
    <t>Hummer</t>
  </si>
  <si>
    <t>Risotto Hải Sản</t>
  </si>
  <si>
    <t>Risotto com frutos do mar</t>
  </si>
  <si>
    <t>菠蘿飲</t>
  </si>
  <si>
    <t>菠蘿</t>
  </si>
  <si>
    <t>パイナップルジュース</t>
  </si>
  <si>
    <t>パイナップル</t>
  </si>
  <si>
    <t>Pineapple Juice</t>
  </si>
  <si>
    <t>Pineapple</t>
  </si>
  <si>
    <t>파인애플 주스</t>
  </si>
  <si>
    <t>Ананасовый напиток</t>
  </si>
  <si>
    <t>Ананас</t>
  </si>
  <si>
    <t>Ananasgetränk</t>
  </si>
  <si>
    <t>Ananas</t>
  </si>
  <si>
    <t>Nước Ép Dứa</t>
  </si>
  <si>
    <t>Dứa</t>
  </si>
  <si>
    <t>Suco de Abacaxi</t>
  </si>
  <si>
    <t>Abacaxi</t>
  </si>
  <si>
    <t>沖繩雜炒</t>
  </si>
  <si>
    <t>沖縄風炒め</t>
  </si>
  <si>
    <t>野菜</t>
  </si>
  <si>
    <t>Okinawa Stir Fry</t>
  </si>
  <si>
    <t>Vegetables</t>
  </si>
  <si>
    <t>오키나와식 볶음 요리</t>
  </si>
  <si>
    <t>Жаркое по-окинавски со стир-фраем</t>
  </si>
  <si>
    <t>Okinawa-Gemüsepfanne</t>
  </si>
  <si>
    <t>Xào Okinawa</t>
  </si>
  <si>
    <t>Rau</t>
  </si>
  <si>
    <t>Okinawa Frito</t>
  </si>
  <si>
    <t>Vegetais</t>
  </si>
  <si>
    <t>炸雞桶</t>
  </si>
  <si>
    <t>雞腿肉</t>
  </si>
  <si>
    <t>〇ンタッキーフライドチキンバケット</t>
  </si>
  <si>
    <t>鳥足肉</t>
  </si>
  <si>
    <t>Ken Taki's Fried Chicken Bucket</t>
  </si>
  <si>
    <t>Bird Leg Meat</t>
  </si>
  <si>
    <t>〇터키 프라이드 치킨 버켓</t>
  </si>
  <si>
    <t>닭다리</t>
  </si>
  <si>
    <t>Ведёрко с жареной курицей</t>
  </si>
  <si>
    <t>Куриная ножка</t>
  </si>
  <si>
    <t>Eimer frittierter Hähnchenstücke</t>
  </si>
  <si>
    <t>Hähnchenschenkel</t>
  </si>
  <si>
    <t>Xô Gà Chiên Ken Taki</t>
  </si>
  <si>
    <t>Đùi Chim</t>
  </si>
  <si>
    <t>Balde de Galinha Frita do Ken Taki</t>
  </si>
  <si>
    <t>Coxa de Ave</t>
  </si>
  <si>
    <t>炸雞腿</t>
  </si>
  <si>
    <t>フライドチキン(ｘ)</t>
  </si>
  <si>
    <t>Fried Chicken Legs</t>
  </si>
  <si>
    <t>Жареные куриные ножки</t>
  </si>
  <si>
    <t>Frittierte Hähnchenschenkel</t>
  </si>
  <si>
    <t>Chân Gà Rán</t>
  </si>
  <si>
    <t>Coxa de Frango Frito</t>
  </si>
  <si>
    <t>天婦羅飯糰</t>
  </si>
  <si>
    <t>天ぷらのおにぎり</t>
  </si>
  <si>
    <t>Tenmusu</t>
  </si>
  <si>
    <t>덴푸라 주먹밥</t>
  </si>
  <si>
    <t>Онигири с темпурой</t>
  </si>
  <si>
    <t>Hummer mit Reisbällchen</t>
  </si>
  <si>
    <t>焗龍蝦</t>
  </si>
  <si>
    <t>龍蝦</t>
  </si>
  <si>
    <t>エビグラタン</t>
  </si>
  <si>
    <t>Baked Lobster</t>
  </si>
  <si>
    <t>Spiny Lobster</t>
  </si>
  <si>
    <t>랍스터 구이</t>
  </si>
  <si>
    <t>Запеченный омар</t>
  </si>
  <si>
    <t>Überbackener Hummer</t>
  </si>
  <si>
    <t>Tôm Hùm Nấu Chín</t>
  </si>
  <si>
    <t>Tôm Hùm Gai</t>
  </si>
  <si>
    <t>Lagos Assada</t>
  </si>
  <si>
    <t>Lagosta-espinhosa</t>
  </si>
  <si>
    <t>煮螃蟹</t>
  </si>
  <si>
    <t>毛蟹</t>
  </si>
  <si>
    <t>カニのスープ</t>
  </si>
  <si>
    <t>毛ガニ</t>
  </si>
  <si>
    <t>Boiled Crabs</t>
  </si>
  <si>
    <t>Hairy Crab</t>
  </si>
  <si>
    <t>게찜</t>
  </si>
  <si>
    <t>Вареный краб</t>
  </si>
  <si>
    <t>Волосатый Краб</t>
  </si>
  <si>
    <t>Gekochter Krebs</t>
  </si>
  <si>
    <t>haarige Krabbe</t>
  </si>
  <si>
    <t>Cua Luộc</t>
  </si>
  <si>
    <t>Cua Lông</t>
  </si>
  <si>
    <t>Carangueijo Cozido</t>
  </si>
  <si>
    <t>Caranguejo-peludo</t>
  </si>
  <si>
    <t>金槍魚頭</t>
  </si>
  <si>
    <t>金槍魚</t>
  </si>
  <si>
    <t>マグロヘッド(ｘ)</t>
  </si>
  <si>
    <t>マグロ</t>
  </si>
  <si>
    <t>Tuna Head</t>
  </si>
  <si>
    <t>Tuna</t>
  </si>
  <si>
    <t>Голова тунца</t>
  </si>
  <si>
    <t>Тунец</t>
  </si>
  <si>
    <t>Thunfischkopf</t>
  </si>
  <si>
    <t>Thunfisch</t>
  </si>
  <si>
    <t>Đầu Cá Ngừ</t>
  </si>
  <si>
    <t>Cá Ngừ</t>
  </si>
  <si>
    <t>Cabeça de Atum</t>
  </si>
  <si>
    <t>Atum</t>
  </si>
  <si>
    <t>章魚丸子</t>
  </si>
  <si>
    <t>たこ焼き</t>
  </si>
  <si>
    <t>Takoyaki</t>
  </si>
  <si>
    <t>타코야키</t>
  </si>
  <si>
    <t>Такояки из осьминога</t>
  </si>
  <si>
    <t>Takoyaki (Oktopusbällchen)</t>
  </si>
  <si>
    <t>漢堡肉</t>
  </si>
  <si>
    <t>Hamburg Steak</t>
  </si>
  <si>
    <t>햄버그 스테이크</t>
  </si>
  <si>
    <t>Мясо для гамбургера</t>
  </si>
  <si>
    <t>Hamburgerfleisch</t>
  </si>
  <si>
    <t>Bít Tết Hamburg</t>
  </si>
  <si>
    <t>Hámburguer de Carne</t>
  </si>
  <si>
    <t>辣味土豆泥</t>
  </si>
  <si>
    <t>スパイシーマッシュポテト</t>
  </si>
  <si>
    <t>トウガラシ</t>
  </si>
  <si>
    <t>Spicy Mashed Potatoes</t>
  </si>
  <si>
    <t>매콤한 매시드 포테이토</t>
  </si>
  <si>
    <t>고추</t>
  </si>
  <si>
    <t>Острое картофельное пюре</t>
  </si>
  <si>
    <t>Перец Чили</t>
  </si>
  <si>
    <t>Scharfer Kartoffelbrei</t>
  </si>
  <si>
    <t>Chilischote</t>
  </si>
  <si>
    <t>Khoai Tây Nghiền Cay</t>
  </si>
  <si>
    <t>Purê de Batata Apimentado</t>
  </si>
  <si>
    <t>辣椒水</t>
  </si>
  <si>
    <t>激辛スープ</t>
  </si>
  <si>
    <t>Chili Sauce</t>
  </si>
  <si>
    <t>고추기름</t>
  </si>
  <si>
    <t>Суп с перцем чили</t>
  </si>
  <si>
    <t>Chilisauce</t>
  </si>
  <si>
    <t>Sốt Cay</t>
  </si>
  <si>
    <t>Molho de Chili</t>
  </si>
  <si>
    <t>水怪軟糖</t>
  </si>
  <si>
    <t>グミ(ｘ)</t>
  </si>
  <si>
    <t>WaterWeird Gooey Gummy</t>
  </si>
  <si>
    <t>수괴 젤리</t>
  </si>
  <si>
    <t>Сливочная помадка "Водяной монстр"</t>
  </si>
  <si>
    <t>Wassermonster-Gummibonbon</t>
  </si>
  <si>
    <t>Thủy Quái Dính Dính</t>
  </si>
  <si>
    <t>Goma grudenta de WaterWeird</t>
  </si>
  <si>
    <t xml:space="preserve">Muco de WaterWeird </t>
  </si>
  <si>
    <t>水怪刨冰</t>
  </si>
  <si>
    <t>かき氷！</t>
  </si>
  <si>
    <t>WaterWeird Sticky Shaved Ice</t>
  </si>
  <si>
    <t>수괴 빙수</t>
  </si>
  <si>
    <t>"Скользкий стружечный лед"</t>
  </si>
  <si>
    <t>Wassermonster Eis</t>
  </si>
  <si>
    <t>Chè Thủy Quái</t>
  </si>
  <si>
    <t>Raspadinha grudenta de WaterWeird</t>
  </si>
  <si>
    <t>水怪軟糖(紅)</t>
  </si>
  <si>
    <t>(B)
辣椒</t>
  </si>
  <si>
    <t>番茄/辣椒</t>
  </si>
  <si>
    <t>グミ(赤色)</t>
  </si>
  <si>
    <t>(B)
トウガラシ</t>
  </si>
  <si>
    <t>トマト/トウガラシ</t>
  </si>
  <si>
    <t>WaterWeird  Gooey Gummy (Red)</t>
  </si>
  <si>
    <t>B
(With Chili)</t>
  </si>
  <si>
    <t>Tomato or Chili</t>
  </si>
  <si>
    <t>수괴 젤리 (레드)</t>
  </si>
  <si>
    <r>
      <rPr>
        <rFont val="Microsoft JhengHei"/>
        <color theme="1"/>
        <sz val="16.0"/>
      </rPr>
      <t>B
(</t>
    </r>
    <r>
      <rPr>
        <rFont val="Microsoft JhengHei"/>
        <color theme="1"/>
        <sz val="10.0"/>
      </rPr>
      <t>고추</t>
    </r>
    <r>
      <rPr>
        <rFont val="Microsoft JhengHei"/>
        <color theme="1"/>
        <sz val="16.0"/>
      </rPr>
      <t>)</t>
    </r>
  </si>
  <si>
    <t>Красная сливочная помадка "Водяной монстр"</t>
  </si>
  <si>
    <r>
      <rPr>
        <rFont val="Microsoft JhengHei"/>
        <color theme="1"/>
        <sz val="16.0"/>
      </rPr>
      <t xml:space="preserve">Б
</t>
    </r>
    <r>
      <rPr>
        <rFont val="Microsoft JhengHei"/>
        <color theme="1"/>
        <sz val="12.0"/>
      </rPr>
      <t>(С Перцем Чили)</t>
    </r>
  </si>
  <si>
    <t>Помидоры / Перец Чили</t>
  </si>
  <si>
    <t>Wassermonster-Gummibonbon (Rot)</t>
  </si>
  <si>
    <t>Thủy Quái Dính Dính (Đỏ)</t>
  </si>
  <si>
    <t>B
(với Ớt)</t>
  </si>
  <si>
    <t>Cà Chua hoặc Ớt</t>
  </si>
  <si>
    <t>Goma grudenta de WaterWeird (Vermelho)</t>
  </si>
  <si>
    <t>B
(Com Chili)</t>
  </si>
  <si>
    <t>Tomate ou Chili</t>
  </si>
  <si>
    <t>煎薄餅</t>
  </si>
  <si>
    <t>パァンケーキ！</t>
  </si>
  <si>
    <t>Pancakes</t>
  </si>
  <si>
    <t>Блинчики</t>
  </si>
  <si>
    <t>Pfannkuchen(ES HEIßT Pfannkuchen PUNKT!!!)</t>
  </si>
  <si>
    <t>Bánh Kếp</t>
  </si>
  <si>
    <t>Panqueca</t>
  </si>
  <si>
    <t>草莓煎薄餅</t>
  </si>
  <si>
    <t>イチゴのパァンケーキ！</t>
  </si>
  <si>
    <t>イチゴ</t>
  </si>
  <si>
    <t>Strawberry Pancakes</t>
  </si>
  <si>
    <t>Блинчики с клубникой</t>
  </si>
  <si>
    <t>Erdbeerpfannkuchen</t>
  </si>
  <si>
    <t>Erdbeere</t>
  </si>
  <si>
    <t>Bánh Kếp Dâu Tây</t>
  </si>
  <si>
    <t>Panqueca de Morango</t>
  </si>
  <si>
    <t>番茄湯</t>
  </si>
  <si>
    <t>トマトスープ</t>
  </si>
  <si>
    <t>Tomato Soup</t>
  </si>
  <si>
    <t>Томатный суп</t>
  </si>
  <si>
    <t>Tomatensuppe</t>
  </si>
  <si>
    <t>Súp Cà Chua</t>
  </si>
  <si>
    <t>Sopa de Tomate</t>
  </si>
  <si>
    <t>いちご</t>
  </si>
  <si>
    <t>Стеклянная клубника</t>
  </si>
  <si>
    <t>煙燻雞飯糰</t>
  </si>
  <si>
    <t>雞腿肉/白飯</t>
  </si>
  <si>
    <t>白飯</t>
  </si>
  <si>
    <t>Smoked Chicken Rice Balls</t>
  </si>
  <si>
    <t>Bird Leg Meat / White Rice</t>
  </si>
  <si>
    <t>훈제 치킨 주먹밥</t>
  </si>
  <si>
    <t>Онигири с копченой курицей</t>
  </si>
  <si>
    <t>Куриные ножки</t>
  </si>
  <si>
    <t>Куриные ножки / Рис</t>
  </si>
  <si>
    <t>Cơm Gà Nắm Hun Khói</t>
  </si>
  <si>
    <t>Đùi Chim / Cơm Trắng</t>
  </si>
  <si>
    <t>Bolinhos de Arroz com Frango Defumado</t>
  </si>
  <si>
    <t>Coxa de Ave/ Arroz Branco</t>
  </si>
  <si>
    <t>雞肉咖哩飯</t>
  </si>
  <si>
    <t>咖哩塊</t>
  </si>
  <si>
    <t>Chicken Curry Rice</t>
  </si>
  <si>
    <t>Кирри с курицей и рисом</t>
  </si>
  <si>
    <t>Cà Ri Gà</t>
  </si>
  <si>
    <t>Arroz com Frango ao Curry</t>
  </si>
  <si>
    <t>烤胡蘿蔔串</t>
  </si>
  <si>
    <t>Grilled Carrot Skewers</t>
  </si>
  <si>
    <t>Шашлык из запеченной моркови</t>
  </si>
  <si>
    <t>Cà Rốt Xiên Nướng</t>
  </si>
  <si>
    <t>Espetinhos de cenoura grelhados</t>
  </si>
  <si>
    <t>薩卡班甲魚壽司</t>
  </si>
  <si>
    <t>米飯</t>
  </si>
  <si>
    <t>X△X</t>
  </si>
  <si>
    <t>サカバンガメの寿司</t>
  </si>
  <si>
    <t>Sacambapsis Sushi</t>
  </si>
  <si>
    <t>Rice</t>
  </si>
  <si>
    <t>萨卡班甲鱼寿司</t>
  </si>
  <si>
    <t>米饭</t>
  </si>
  <si>
    <t>Сакамбапсис-суши</t>
  </si>
  <si>
    <t>Reiß</t>
  </si>
  <si>
    <t>Sushi Sacambapsis</t>
  </si>
  <si>
    <t xml:space="preserve">Gạo </t>
  </si>
  <si>
    <t>Sushi de tartaruga Sakaban</t>
  </si>
  <si>
    <t>蝦子刺身押壽司</t>
  </si>
  <si>
    <t>蝦</t>
  </si>
  <si>
    <t>エビの刺身寿司</t>
  </si>
  <si>
    <t>エビ</t>
  </si>
  <si>
    <t>Shrimp Sashimi Pressed Sushi</t>
  </si>
  <si>
    <t>Shrimp</t>
  </si>
  <si>
    <t>虾子刺身押寿司</t>
  </si>
  <si>
    <t>虾</t>
  </si>
  <si>
    <t>Сакамбапсис-суши с креветкой</t>
  </si>
  <si>
    <t>Креветка</t>
  </si>
  <si>
    <t>Garnelensashimi gepresstes Sushi</t>
  </si>
  <si>
    <t>Garnelen</t>
  </si>
  <si>
    <t>Sushi Sashimi Tôm Ép</t>
  </si>
  <si>
    <t>Gạo</t>
  </si>
  <si>
    <t>Tôm</t>
  </si>
  <si>
    <t>Sushi de camarão</t>
  </si>
  <si>
    <t>Camarão</t>
  </si>
  <si>
    <t>肉排押壽司</t>
  </si>
  <si>
    <t>肉</t>
  </si>
  <si>
    <t>ステーキの寿司</t>
  </si>
  <si>
    <t>Meat Cutlet Pressed Sushi</t>
  </si>
  <si>
    <t>Meat</t>
  </si>
  <si>
    <t>肉排押寿司</t>
  </si>
  <si>
    <t>Сакамбапсис-суши с мясом</t>
  </si>
  <si>
    <t>Мясо</t>
  </si>
  <si>
    <t>Fleischschnitzel gepresstes Sushi</t>
  </si>
  <si>
    <t>Fleisch</t>
  </si>
  <si>
    <t>Sushi Thịt Cốt Lết Ép</t>
  </si>
  <si>
    <t>Thịt</t>
  </si>
  <si>
    <t>Sushi de costeleta de porco</t>
  </si>
  <si>
    <t>Carne</t>
  </si>
  <si>
    <t>使用『6a1n60ld』密技，可以立即獲得"10萬金幣"、"Ruika的萬寶槌"(增加掉落率)
使用『healmeplz』密技，可以立即獲得"Mio的急救箱"(每秒血量回復)
使用『unshatter』密技，可以立即獲得"白湮的金手指"(武器無消耗)
使用『60dpat』密技，可以立即獲得"愛神蕩漾"道具(摸一次頭可以增加一顆紅心)
使用『muestacz』密技，可以立即獲得"絕對領域"道具(武器/防具持有數量+99)
使用『1f0g0ty0u』，可以重新替妹妹取名，此操作不算使用作弊代碼
使用『aut0update』，手機版本可以重新觸發版本更新，此操作不算使用作弊代碼
請注意：一旦使用作弊代碼，會獲得"雜魚"的稱號，此效果無法移除且永久存在，擁有此稱號將在後續版本更新中，出現其他的影響。
例如開場的妹妹嘲諷語音、來自NPC的嘲諷等等，建議使用不同的存檔。
於外出的RPG模式時，長按頭像，會出現輸入框。</t>
  </si>
  <si>
    <t xml:space="preserve">『6a1n60ld』のチートコードを使用すると『10万ゴールド』および『ルイカのラッキーハンマー』（ドロップ率増加）を即座に入手可能
『healmeplz』のチートコードを使用すると『ミオの救急箱』（毎秒HP回復）を即座に入手可能
『unshatter』のチートコードを使用すると『シロインの黄金指』（武器消耗なし）を即座に入手可能
『60dpat』のチートコードを使用すると『カタリスト・アマトリア』アイテム（頭を1回撫でるとハートが1つ増加）を即座に入手可能
『muestacz』のチートコードを使用すると『絶対領域』アイテム（武器／防具の所持数＋99）を即座に入手可能
『1f0g0ty0u』を使用すると妹の名前を再設定可能（この操作はチートコードの使用には含まれない）
『aut0update』を使用するとモバイル版でバージョン更新を再トリガー可能（この操作はチートコードの使用には含まれない）
ご注意：一度でもチートコードを使用すると、『雑魚』の称号が付与されます。この効果は削除できず永久に残ります。この称号を所持していると、今後のアップデートで追加の影響が発生します。
例：ゲーム開始時の妹による煽りボイスや、NPCからの嘲笑など。別のセーブデータの使用を推奨します。
外出時のRPGモードでは、アイコンを長押しすると入力欄が表示されます。
</t>
  </si>
  <si>
    <t xml:space="preserve">Want to cheat? You can do so by holding the avatar frame during adventure mode and typing it in the input box
『6a1n60ld』 - Immediately gives 100,000 yen and "Ruika's Magic Hammer" (cheat item), which increases drop rate
『healmeplz』 - Gives "Mio's First Aid Kit" (cheat item) that massively restores health per second
『unshatter』 - Gives "Shiroin's Golden Finger" (cheat item) that gives weapons infinite durability
『60dpat』 - Gives you the "Catalyst Amatoria" equipment which makes headpats give 1 red heart immediately when worn
『muestacz』 - Gives you the "Absolute Territory" equipment, which gives +99 weapon/equipment inventory space when worn
『1f0g0ty0u』- sister's name will be forgotten and will let the player rename her. (does not count as cheat code)
『get40rfree』- obtains all daily necessary items and materails
NOTE: Once you cheat in the game (except 1f0g0ty0u), you will have a title called "zako" (meaning noob/trash) which cannot be removed and will exist permanently. Having this title will have subsequent effects related to it in the future such as taunting remarks from imouto, NPCs, etc. 
</t>
  </si>
  <si>
    <t>Si quieres hacer trampas debes escribir lo siguiente en tu teclado:
『6a1n6l0d』
Obtén instantáneamente 100,000 monedas de oro.
『healmepls』
Recuperacion infinita al instante.
『unshatter』
armas con durabilidad infinita
『60dpat』
Recibe el objeto especial "Caricia Divina"
Usarlo para acariciar la cabeza de tu hermana te dará un ❤️ extra por vez
Advertencia importante
Al usar cualquier truco, recibirás el título permanente de "Don Nadie" (雜魚).
Este título no puede eliminarse y se mantendrá para siempre,
Afectará el juego en futuras actualizaciones con consecuencias aún desconocidas.</t>
  </si>
  <si>
    <t>Использование чит-кода '6a1n60ld' мгновенно дает "100 000 золота" и "Волшебный молот Руики" (увеличенная вероятность выпадения).
Использование чит-кода 'healmeplz' мгновенно дает "Аптечку Мио" (восстановление здоровья в секунду).
Использование чит-кода 'unshatter' мгновенно дает "Золотой палец Белого Уничтожения" (оружие бесплатно).
Использование чит-кода '60dpat' мгновенно дает предмет "Любовная рябь" (каждый похлопывание по голове добавляет сердечко).
Использование чит-кода 'muestacz' мгновенно дает предмет "Абсолютная территория" (количество оружия/брони в инвентаре +99).
Использование '1f0g0ty0u' позволяет переименовать сестру; это действие не считается использованием чит-кодов.
Использование 'aut0update' повторно запускает обновления версий на мобильных устройствах; Это действие не считается использованием чит-кодов.
Обратите внимание: использование чит-кодов приведет к присвоению звания «Zako», которое является постоянным и не может быть удалено. Наличие этого звания повлечет за собой другие последствия в будущих обновлениях. Например, саркастическая реплика сестры в начале игры, насмешки NPC и т. д. Рекомендуется использовать другие файлы сохранения.
В режиме RPG вне игры поле ввода отсутствует; пожалуйста, вводите данные вручную, не копируйте и не вставляйте.</t>
  </si>
  <si>
    <t>Cheatcode 『6a1n60ld』 erhältst du 100.000 Gold. 
Cheatcode 『healmeplz』 erhältst du unendliche Heilung.
Cheatcode 『unshatter』 erhältst du unendliche Waffenhaltbarkeit.
Cheatcode 『60dpat』 erhältst du sofort das Item "Lust der Liebesgöttin" (einmal den Kopf streicheln erhöht ein rotes Herz).
Cheatcode 『muestacz』 erhältst du sofort das Item "Absolute Zone" (Anzahl der Waffen/Rüstungen +99).
Befehl『1f0g0ty0u』 kannst du deiner kleinen Schwester einen neuen Namen geben – dies zählt nicht als Cheat.
Befehl 『aut0update』 kann die Handyversion das Update erneut auslösen – dies zählt nicht als Cheat.
Bitte beachten: Sobald ein Cheatcode verwendet wurde, erhältst du den Titel "Schwächling".
Dieser Effekt kann nicht entfernt werden und bleibt dauerhaft bestehen.
Mit diesem Titel wirst du in zukünftigen Updates mit zusätzlichen Effekten konfrontiert –
zum Beispiel Spottstimmen der kleinen Schwester am Anfang, Hohn von NPCs usw.
Es wird empfohlen, dafür einen separaten Spielstand zu verwenden.
Im RPG-Außenmodus ist kein Eingabefeld nötig – bitte "manuell eingeben",
kopieren und einfügen ist nicht erlaubt.</t>
  </si>
  <si>
    <t>Bạn muốn ăn gian? Hãy nhập những dòng sau lên bàn phím:
{6a1n60ld} - ngay lập tức cho 100.000 yên và "Búa May Mắn Của Ruika" (vật phẩm gian luận), tăng tỉ lệ rơi đồ
{healmeplz} - cho vật phẩm "Bộ Sơ Cứu Của Mio" (vật phẩm gian luận) giúp hồi 100% máu mỗi giây
{unshatter} - cho vật phẩm "Kim Thủ Chỉ Của Shiroin" (vật phẩm gian luận) giúp vũ khí có vô tận độ bền
{60dpat} - cho bạn trang bị “Ái Thần Dâng Trào", làm cho xoa đầu tăng 1 tim đỏ ngay lập tức khi đang đeo
{muestacz} - cho bạn trang bị “Lãnh Địa Tuyệt Đối”, làm tăng 99 vũ khí/trang bị không gian trong túi khi đeo
{1f0g0ty0u} - tên của em gái sẽ biến mất và cho người chơi đặt lại tên em gái
{get40rfree} - nhận được tất cả các vật phẩm và nguyên liệu cần thiết
Lưu ý: Một khi bạn ăn gian trong trò chơi (trừ 1f0g0ty0u), bạn sẽ bị gọi là "ZAKO" (nghĩ là yếu kém/gà), không thể loại bỏ nó và sẽ tồn tại vĩnh viễn. Dòng chữ này tạo ra các hiệu ứng đi kèm liên quan đến nó trong tương lai, như hiệu ứng chọc ghẹo từ em gái, NPC, vv... 
Khi ở chế độ RPG bên ngoài, nhấn và giữ hình đại diện bên cạnh thanh máu và hộp nhập văn bản sẽ xuất hiện</t>
  </si>
  <si>
    <t xml:space="preserve">Quer usar um macete? Você pode usar apenas digitando as seguinte palavras no teclado:
『6a1n60ld』 - Imediatamente te dá 100.000 yen e "Martelo da sorte da Ruika" (item roubado), Que aumenta a taxa de itens que caem
『healmeplz』 - Te dá o "Kit de primeiro socorros da Mio" (item roubado) que restaura massivamente seus PVs por segundo
『unshatter』 - Te dá o "Dedo de Ouro da Shiroin" (item roubado) recebe durabilidade infinita
『60dpat』 - Te dá o equipamento "Amatoria Catalisador" que faz com que cada cafuné dê 1 coração vermelho quando vestido
『muestacz』 - Te dá o equipamento "Território Absoluto" , que dá +99 espaços de armas/quipamentos quando vestido
『1f0g0ty0u』- O nome da imouto será esquecido e você poderá renomear ela. (Não conta como um macete)
『aut0update』- Força o jogo a atual (APENAS CELULAR, Não conta como um macete)
NOTA: Uma vez que você use um macete no jogo (exceto 1f0g0ty0u), você terá o título "zako" (significa noob/lixo) que não pode ser removido e existirá permanentemente. Ter esse título terá efeitos subsequentes relacionadoa a ele no futuro como comentários zombeteiros da imouto, NPCs, etc. 
Durante Modo Aventura/RPG, não existe caixa de entrada. Apenas digite o código no seu teclado e se lembre de não copiar e colar.
</t>
  </si>
  <si>
    <t xml:space="preserve">Butuh Cheat ? Ketik ini pada keyboardmu:
『6a1n60ld』 - Langsung memberikan 100.000 yen dan "Palu Ajaib Ruika" (item curang), yang meningkatkan tingkat jatuhnya item
『healmeplz』 - Memberikan "Kotak Pertolongan Pertama Mio" (item curang) yang memulihkan kesehatan secara besar-besaran per detik
『unshatter』 - Memberikan "Jari Emas Shiroin" (item curang) yang memberikan daya tahan senjata tak terbatas
『60dpat』 - Memberikan perlengkapan "Catalyst Amatoria" yang membuat elusan kepala memberikan 1 hati merah secara langsung saat dikenakan
『muestacz』 - Memberikan perlengkapan "Absolute Territory", yang memberikan +99 ruang inventaris senjata/perlengkapan saat dikenakan
『1f0g0ty0u』 - Nama adik akan dilupakan dan pemain dapat mengganti namanya. (Tidak dihitung sebagai kode cheat)
『aut0update』- memaksa game untuk memperbarui (KHUSUS MOBILE, tidak dihitung sebagai kode cheat)
CATATAN: Setelah Anda menggunakan cheat dalam game (kecuali 1f0g0ty0u), Anda akan memiliki gelar "zako" (artinya noob/sampah) yang tidak dapat dihapus dan akan ada secara permanen. Memiliki gelar ini akan memiliki efek selanjutnya yang terkait dengannya di masa mendatang seperti ejekan dari imouto, NPC, dll.
Selama Mode RPG/Petualangan, tidak ada kotak input. Cukup ketik kode di keyboard Anda dan ingat untuk tidak menyalin dan menempel.
</t>
  </si>
  <si>
    <t>存檔想跨越不同版本，將www-&gt;save的檔案搬運至新版本同樣位置即可</t>
  </si>
  <si>
    <t>異なるバージョン間でゲームを保存するには、ファイルを www-&gt;save から新しいバージョンの同じ場所に移動するだけです。</t>
  </si>
  <si>
    <t>If you want to transfer saves from an older version to a newer version, just copy the save folder from www/save to the same location of the new version</t>
  </si>
  <si>
    <t>存档想跨越不同版本，将www-&gt;save的档案搬运至新版本同样位置即可
注意：版本之间可能会出现存档不兼容情况，继承上一版本的存档后读档报错的情况很有可能是版本不兼容导致的</t>
  </si>
  <si>
    <t>Чтобы перенести сохранение игры на разные версии, просто переместите файл сохранения из папки www\save в то же место в новой версии.</t>
  </si>
  <si>
    <t>Wenn du Speicherstände von einer älteren Version auf eine neuere übertragen möchtest, kopiere einfach den Ordner www/save in denselben Pfad der neuen Version.</t>
  </si>
  <si>
    <t>Nếu bạn muốn chuyển dữ liệu từ phiên bản cũ sang phiên bản mới, hãy copy folder ở www/save đến cùng thư mục ở phiên bản mới</t>
  </si>
  <si>
    <t>Se você quiser transferir seus saves de versões antigas para versões novas, apenas copie o save da pasta www/save para o mesmo lugar na nova versão.</t>
  </si>
  <si>
    <t>Jika Anda ingin memindahkan data simpanan dari versi lama ke versi yang lebih baru, cukup salin folder simpanan dari www/save ke lokasi yang sama di versi baru.</t>
  </si>
  <si>
    <t>ALT可加速動畫與音樂變奏的演繹</t>
  </si>
  <si>
    <t>ALTキーを押しながら操作すると、アニメーションのレンダリング速度が向上し、さらにBGMの再生も高速化されます</t>
  </si>
  <si>
    <t>Holding ALT speeds up animation rendering and even bgm</t>
  </si>
  <si>
    <t>ALT может ускорить выполнение анимации и музыкальных вариаций.</t>
  </si>
  <si>
    <t>ALT drücken um die Animation zu beschleunigen.</t>
  </si>
  <si>
    <t>Giữ phím ALT để tăng tốc độ hiển thị animation và cả nhạc nền</t>
  </si>
  <si>
    <t>Ficar pressionando o ALT acelera a renderização das animações e até a música de fundo</t>
  </si>
  <si>
    <t>Menekan tombol ALT mempercepat rendering animasi dan bahkan musik latar.</t>
  </si>
  <si>
    <t>CTRL可加速對話</t>
  </si>
  <si>
    <t>CTRL キーを押すと会話が速くなります</t>
  </si>
  <si>
    <t>Holding CTRL speeds up dialog</t>
  </si>
  <si>
    <t>Нажатие клавиши CTRL может ускорить диалоги.</t>
  </si>
  <si>
    <t>STRG drücken um den Text zu beschleunigen.</t>
  </si>
  <si>
    <t>Giữ phím CTRL để tăng tốc độ nói chuyện</t>
  </si>
  <si>
    <t>Ficar pressionando o CTRL acelera o diálogo</t>
  </si>
  <si>
    <t>Menekan CTRL mempercepat dialog.</t>
  </si>
  <si>
    <t>Z鍵可以推進對話</t>
  </si>
  <si>
    <t>Z キーを押すと、会話が進みます</t>
  </si>
  <si>
    <t>Pressing the Z key also lets you move to the next dialog</t>
  </si>
  <si>
    <t>Клавиша Z переключает диалог.</t>
  </si>
  <si>
    <t>Z drücken um zum Dialogabschnitt hinzuspringen.</t>
  </si>
  <si>
    <t>Có thể nhấn nút Z để chuyển tới lời thoại tiếp theo</t>
  </si>
  <si>
    <t>Pressione a tecla Z também deixa você passar para o próximo diálogo</t>
  </si>
  <si>
    <t>Menekan tombol Z juga memungkinkan Anda untuk berpindah ke dialog berikutnya.</t>
  </si>
  <si>
    <t>在取得相機後，F7可快速截圖</t>
  </si>
  <si>
    <t>カメラを入手したら、F7 ですぐにスクリーンショットを撮ることができます</t>
  </si>
  <si>
    <t>Once you get the camera, press F7 to take photos.</t>
  </si>
  <si>
    <t>После подключения камеры F7 может быстро сделать снимок экрана.</t>
  </si>
  <si>
    <t>Sobald du die Kamera hast kannst du mit "F7" Fotos machen</t>
  </si>
  <si>
    <t>Khi bạn đã có vật phẩm camera, nhấm F7 để chụp ảnh</t>
  </si>
  <si>
    <t>Uma vez que você pegue a câmera, pressione o F7 para tirar fotos.</t>
  </si>
  <si>
    <t>Setelah Anda mendapatkan kamera, tekan F7 untuk mengambil foto.</t>
  </si>
  <si>
    <t>F12可顯示控制台</t>
  </si>
  <si>
    <t>F12 キーを押してコンソールを表示します</t>
  </si>
  <si>
    <t>Pressing F12 brings out the command console</t>
  </si>
  <si>
    <t>Нажмите F12, чтобы отобразить консоль.</t>
  </si>
  <si>
    <t>Mit "F12" öffnest du die Konsolenbefehle</t>
  </si>
  <si>
    <t>Nhấn nút F12 để hiển thị bảng lệnh điều khiển</t>
  </si>
  <si>
    <t>Pressione o F12 para mostrar o console de comandos</t>
  </si>
  <si>
    <t>Menekan F12 akan memunculkan konsol perintah.</t>
  </si>
  <si>
    <t>紅色的進度條是好感度，累積滿後會將一顆❤️，愛心最高7顆。
％是氣氛值，也就是性慾值，當超過100％時，會將一顆❤️ 轉化為💜，"不會"額外多給一個❤️， 在未來版本實裝H事件後，💜是會作為消耗品使用的。
藍色進度條是特定場景下妹妹的警戒值，例如：
1.在夜襲場景中，藍條越低，反而表示妹妹睡得越沉，不容易醒來。
2.在使用藍色糖果後，一起玩遊戲的情境中，藍條被清空代表妹妹無法集中精神，導致她的遊戲落敗。</t>
  </si>
  <si>
    <t>"赤い進捗バーは愛情レベルを表します。満タンになるとハート（❤️）が与えられ、最大7個まで与えられます。
パーセンテージは雰囲気値、つまりリビドーを表します。100%を超えるとハートが💜に変換されます。「いいえ」を選択するとハートが1つ追加されます。Hイベント実装後の将来のバージョンでは、💜は消耗品として使用される予定です。
青い進捗バーは、特定のシナリオにおけるシスターの覚醒レベルを表します。例：
1. 夜間レイドシナリオでは、青いバーが低いほど、シスターはより深く眠っており、目覚める可能性が低いことを示します
2. 青いキャンディーを使用した後、一緒にゲームをプレイし、青いバーが完全に空になると、シスターは集中できておらず、ゲームに負けていることを示します"</t>
  </si>
  <si>
    <t>The gauge above her head indicates her favorability. filling this to max gives you 1 red heart ❤️
The % above her head indicates imouto's desire or horniness. Filling this up to 100% gives you a purple heart 💜. 
You can't have a purple heart 💜 if you don't have a red heart ❤️
There are times the gauge above her head will be colored blue. This indicates imouto's awareness of your actions, such as when peeping at her in the washroom or touching her at night. 
In the case of Night Raids, the lower the value of the blue bar, the less likely is imouto to wake up.
After feeding her the blue konpeito, the blue bar will disappear when you play video games with her, indicating she has lost her concentration in playing the game which results to her loss.</t>
  </si>
  <si>
    <t xml:space="preserve">
Красная полоса прогресса отображает уровень привязанности. Сердце (❤️) начисляется, когда полоса полностью заполнена, максимум 7 сердечек.
Процентное значение отражает уровень атмосферы, также известный как либидо. Когда оно превышает 100%, сердце превращается в 💜.
«Нет» дает дополнительное сердце. В будущих версиях, после внедрения H-событий, 💜 будут использоваться в качестве расходных предметов. Синяя полоса прогресса отображает уровень бодрствования сестры в определенных ситуациях.
Например:
1. В сценарии ночного рейда более низкая синяя полоса указывает на то, что сестра спит крепче и с меньшей вероятностью проснется.
2. После использования синей конфеты в совместной игре полностью пустая синяя полоса указывает на то, что сестра не может сосредоточиться, что приведет к ее проигрышу.</t>
  </si>
  <si>
    <t>Der rote Balken zeigt die Zuneigung an. Wenn er vollständig gefüllt ist, erhältst du ein rotes Herz ❤️. Insgesamt kannst du maximal 7 Herzen sammeln.
Der Prozentwert repräsentiert die Erregung der Schwester. Erreicht dieser Wert 100%, wird ein rotes Herz ❤️ in ein lila Herz 💜 umgewandelt. Dabei erhältst du kein zusätzliches rotes Herz.
Der blaue Balken zeigt in bestimmten Situationen die Aufmerksamkeit der Schwester an:
Bei nächtlichen Annäherungsversuchen: Je niedriger der blaue Balken ist, desto fester schläft die Schwester und wird entsprechend seltener aufwachen.
Nachdem sie blaue Konpeitō gegessen hat: Während ihr gemeinsam spielt, verschwindet der blaue Balken komplett. Dies bedeutet, dass sie ihre Konzentration verliert und deshalb das Spiel verliert."</t>
  </si>
  <si>
    <t>Thanh bên trên imouto hiển thị sự yêu thích. Khi đầy sẽ cho bạn 1 tim đỏ ❤️
% bên trên imouto hiển thị ham muốn hoặc sự kích thích. Khi đến 100% sẽ cho bạn 1 tim tím 💜. Bạn không thể có tim tím 💜 nếu bạn không có tim đỏ ❤️
Có những lúc mà thanh bên trên imouto là màu xanh. Điều này thể hiện em ấy biết những hành động của bạn, như nhìn trộm khi đang tắm hoặc chạm vào em ấy khi đang ngủ
Trong chọc ghẹo ban đêm, thanh màu xanh càng thấp, imouto càng ít khả năng thức dậy hơn.
Sau khi cho Imouto ăn kẹo konpeito xanh, thanh màu xanh sẽ biến mất khi bạn chơi video games với Imouto, thể hiện Imouto đã mất tập trung vào việc chơi, khiến em ấy thua</t>
  </si>
  <si>
    <t>A barra sobre a cabeça da imouto indica a sua favorabilidade. preenchendo ela até o máximo te dá 1 coração vermelho ❤️
A % sobre a cabeça da imouto indica o desejo/excitação da imouto. preenchendo até 100% dá para você um coração roxo 💜. 
você não pode ter corações roxos 💜 se não tiver corações vermelhos ❤️
Haverá tempos em que a barra sobre sua cabeça fica colorida azul. Isso indica a noção da imouto sobre suas ações, como em quanto está espiando ela no banheiro ou tocando nela de noite. 
No caso das incursões noturnas, quanto mais baixo o valor da barra azul, menor a chance da imouto acordar.
Depois dela comer o Konpeito Azul, a barra zul irá desaparecer e quando você jogar vídeo games com ela, isso indicará que ela perdeu a concentração jogando o jogo resultando nela perder a partida.</t>
  </si>
  <si>
    <t>Indikator di atas kepala menunjukkan tingkat kesukaan. Mengisi indikator ini hingga maksimal akan memberi Anda 1 hati merah ❤️
Persentase di atas kepalanya menunjukkan keinginan atau gairah seksual adik. Mengisi indikator ini hingga 100% akan memberi Anda hati ungu 💜.
Anda tidak bisa mendapatkan hati ungu 💜 jika Anda tidak memiliki hati merah ❤️
Terkadang indikator di atas kepalanya akan berwarna biru. Ini menunjukkan kewaspadaan adik terhadap tindakanmu, seperti saat mengintipnya di kamar mandi atau menyentuhnya di malam hari.
Dalam kasus Night Raids, semakin rendah nilai bar biru, semakin kecil kemungkinan adik akan bangun.
Setelah memberinya konpeito biru, bar biru akan menghilang saat Anda bermain video game dengannya, menunjukkan bahwa dia telah kehilangan konsentrasi dalam bermain game yang mengakibatkan kekalahannya.</t>
  </si>
  <si>
    <t>好感度7顆的數值是：100-200-300-400-500-600-700
0.6版本只要4星就可以完整體驗完遊戲，不用到達7顆</t>
  </si>
  <si>
    <t>必要な好感度の量は100から開始され、ハート1つごとに必要量が増加します
100→200→300→400→500→600→700
バージョン0.6では4つのハートで全てのコンテンツを体験できるため、7つのハートまで上げる必要はありません</t>
  </si>
  <si>
    <t>The amount of favorability needed to level up starts from 100, with the amount needed increasing per heart
100-&gt;200-&gt;300-&gt;400-&gt;500-&gt;600-&gt;700
Version 0.6 only requires 4 hearts to experience everything, so there's no need to reach 7 hearts</t>
  </si>
  <si>
    <t>Количество благоприятности, необходимое для повышения уровня, начинается со 100, при этом количество, необходимое для каждого сердца, увеличивается: 100-200-300-400-500-600-700. В версии 0.6 полноценный игровой процесс достигается всего лишь с 4-мя сердцами, так что нет необходимости доставать до 7 сердец.</t>
  </si>
  <si>
    <t>Die Menge an Zuneigung, die für einen Stufenaufstieg benötigt wird, beginnt bei 100 und steigt mit jedem Herz an:
100 → 200 → 300 → 400 → 500 → 600 → 700</t>
  </si>
  <si>
    <t>Lượng yêu thích cần thiết để tăng bắt đầu từ 100, với lượng cần thiết tăng lên với mỗi một trái tim
100&gt;200&gt;300&gt;400&gt;500&gt;600&gt;700
Từ phiên bản 0.6 trở đi, bạn chỉ cần 4 trái tim tim để có trải nghiệm với mọi thứ, nên không cần thiết phải đạt đến 7 trái tim</t>
  </si>
  <si>
    <t>A quantidade de favorabilidade necessária para aumentar o nível começa com 100, com a quantidade necessária aumenta por coração
100-&gt;200-&gt;300-&gt;400-&gt;500-&gt;600-&gt;700
Versão 0.6 requer apenas 4 corações para experienciar tudo, logo não existe a necessidade de chegar à 7 corações</t>
  </si>
  <si>
    <t>Jumlah poin kesukaan yang dibutuhkan untuk naik level dimulai dari 100, dengan jumlah yang dibutuhkan meningkat per hati
100-&gt;200-&gt;300-&gt;400-&gt;500-&gt;600-&gt;700
Versi 0.6 hanya membutuhkan 4 hati untuk mengalami semuanya, jadi tidak perlu mencapai 7 hati</t>
  </si>
  <si>
    <t>目前版本想要快速滿紅心和紫心的作法就是和妹妹玩遊戲以及夜襲</t>
  </si>
  <si>
    <t>現在のバージョンでは、赤と紫のハートをすぐに埋める方法は、ゲームをプレイして夜襲をすることです</t>
  </si>
  <si>
    <t>In the current version, the fastest way to get red hearts is by playing video games with the sister and for purple hearts, doing night raids</t>
  </si>
  <si>
    <t>В настоящее время самый быстрый способ получить максимальное количество красных и фиолетовых сердечек — это играть в игры с сестрой и совершать ночные рейды.</t>
  </si>
  <si>
    <t>In der aktuellen Version erhält man rote Herzen am schnellsten, indem man Videospiele mit der Schwester spielt, und lila Herzen durch nächtliche Überfälle</t>
  </si>
  <si>
    <t>Ở phiên bản hiện tại, cách nhanh nhất để có tim đỏ là chơi video games với Imouto, còn với tim tím, hãy chọc ghẹo ban đêm</t>
  </si>
  <si>
    <t>Na versão atual, a forma mais rápida de conseguri corações vermelhos é jogando video games com a imouto e para coraçoes roxos, fazer as incursões noturnas.</t>
  </si>
  <si>
    <t>Dalam versi saat ini, cara tercepat untuk mendapatkan hati merah adalah dengan bermain video game bersama adik, dan hati ungu dengan melakukan serangan malam.</t>
  </si>
  <si>
    <t>想和妹妹共浴嗎? 請先到達2愛心</t>
  </si>
  <si>
    <t>妹とお風呂に入りたいなら♡を2まで増やしましょう</t>
  </si>
  <si>
    <t>You need 2 purple hearts in order to bathe with your sister</t>
  </si>
  <si>
    <t>Хотите искупаться вместе с сестрой? Пожалуйста, сначала наберите 2 сердечка.</t>
  </si>
  <si>
    <t>Um mit der Schwester zu baden, benötigt man 2 lila Herzen.</t>
  </si>
  <si>
    <t>Bạn cần 2 tim tím để tắm với Imouto</t>
  </si>
  <si>
    <t>Você precisa de dois corações roxos para se banhar com sua imouto.</t>
  </si>
  <si>
    <t>Kamu membutuhkan 2 hati ungu agar bisa mandi bersama adikmu.</t>
  </si>
  <si>
    <t>假如很不幸地遇到遇到卡點，可以發呆到下午5點自動回家</t>
  </si>
  <si>
    <t>外でハマったりどうしようもなくなった場合は17時までボーと過ごしましょう…</t>
  </si>
  <si>
    <t>If you happen to get stuck at something, you can only wait until 5PM to automatically get home</t>
  </si>
  <si>
    <t>Если вы случайно на чем-то застряли, вам остается только дождаться 17:00, чтобы автоматически вернуться домой.</t>
  </si>
  <si>
    <t>Falls du irgendwo feststeckst, kannst du einfach bis 17:00 Uhr warten – dann wirst du automatisch nach Hause gebracht</t>
  </si>
  <si>
    <t>Nếu bạn bị mắc kẹt ở đâu đó, bạn chỉ cần chờ đến 5 giờ chiều để tự về nhà</t>
  </si>
  <si>
    <t>Se você ficar preso em algo, você pode esperar até 5PM para automaticamente voltar para casa.</t>
  </si>
  <si>
    <t>Jika Anda kebetulan terjebak dalam suatu hal, Anda hanya dapat menunggu hingga pukul 5 sore untuk otomatis pulang.</t>
  </si>
  <si>
    <t>當哥哥性慾值高於一定數值才會觸發夜襲</t>
  </si>
  <si>
    <t>夜襲は兄の性欲が一定値を超えた場合にのみ発動します</t>
  </si>
  <si>
    <t>To do night raids, Onii-chan must have a certain amount of excitement and he'll wake up at night for night raids.</t>
  </si>
  <si>
    <t>Ночной рейд будет запущен только тогда, когда сексуальное влечение Курохи превысит определённое значение.</t>
  </si>
  <si>
    <t xml:space="preserve">Um Nachtüberfälle durchzuführen, muss Onii-chan einen bestimmten Erregungswert erreicht haben. Dann wacht er nachts dafür auf </t>
  </si>
  <si>
    <t>Để có thể vào phòng imouto ban đêm, onii-chan cần có đủ sự kích thích để thức dậy vào giữa đêm.</t>
  </si>
  <si>
    <t>Para fazer incursões noturnas, Onii-chan deve ter uma certa quantidade de excitação e ele irá acordar à noite para as incursões noturnas.</t>
  </si>
  <si>
    <t>Untuk melakukan penyerbuan malam, Onii-chan harus memiliki tingkat antusiasme tertentu dan dia akan bangun di malam hari untuk melakukan penyerbuan malam.</t>
  </si>
  <si>
    <t>若打爆了扭蛋機別擔心，使用塔羅牌能隨時再召喚</t>
  </si>
  <si>
    <t>ガシャポンマシンを壊してしまっても心配ありません、タロットカードを使えばいつでも再召喚できます</t>
  </si>
  <si>
    <t>Don't worry. If you accidentally destroy the gacha Machine, you can summon it again using "Temperance" tarot card</t>
  </si>
  <si>
    <t>Не волнуйся. Если вы случайно уничтожите гача-автомат, вы можете призвать его снова, используя карту Таро "Умеренность".</t>
  </si>
  <si>
    <t>Keine Sorge: Wenn du den Spieleautomaten versehentlich zerstörst, kannst du sie mit der Tarotkarte "Mäßigkeit" erneut beschwören</t>
  </si>
  <si>
    <t>Nếu bạn phá vỡ máy Gacha, bạn có thể triệu hồi nó một lần nữa bằng thẻ “Temperance”. Đừng lo lắng</t>
  </si>
  <si>
    <t>Não se preocupe. Se você acidentalmetne destruir a máquina Gacha, você pode invocar isso de novo usando a carta de tarô "A Temperança".</t>
  </si>
  <si>
    <t>Jangan khawatir. Jika kamu secara tidak sengaja menghancurkan Mesin Gacha, kamu dapat memanggilnya lagi menggunakan kartu tarot "Temperance".</t>
  </si>
  <si>
    <t>從後方接近扭蛋機，扭蛋機會跳起</t>
  </si>
  <si>
    <t>ガシャポンマシンの後ろから近づくと飛び跳ねます</t>
  </si>
  <si>
    <t>When you approach the gacha machine from behind, it will get startled and jump up</t>
  </si>
  <si>
    <t>Когда вы подойдете к гача-автомату сзади, он вздрогнет и подпрыгнет.</t>
  </si>
  <si>
    <t>Wenn du dich den Spieleautomaten von hinten näherst, wird sie erschreckt und springt hoch</t>
  </si>
  <si>
    <t>Nếu bạn tiếp cận máy gacha từ đằng sau, nó có thể sẽ hoảng sợ và nhảy lên</t>
  </si>
  <si>
    <t>Se você se apróximar de uma máquina gacha por trás, ela vai ficar surpresa e pular.</t>
  </si>
  <si>
    <t>Saat Anda mendekati mesin gacha dari belakang, mesin itu akan terkejut dan melompat.</t>
  </si>
  <si>
    <t>扭蛋獎品可以使用遠距離武器攻擊，快速開啟</t>
  </si>
  <si>
    <t>ガチャの景品は遠距離武器で獲得でき、簡単に回収することが出来ます</t>
  </si>
  <si>
    <t>Gachapon balls that drop on the floor can be attacked by ranged weapons to open them easily</t>
  </si>
  <si>
    <t>Шарики Гачапона, которые падают на землю, можно атаковать дальнобойным оружием, чтобы их было легко открыть.</t>
  </si>
  <si>
    <t>Falls du Probleme hast eine Kugel vom Spieleautomaten aufzusammeln - schieße darauf um sie zu öffnen</t>
  </si>
  <si>
    <t>Những quả gachapon trên mặt đất có thể được mở dễ dàng bằng cách tấn công bằng vũ khí tầm xa</t>
  </si>
  <si>
    <t>Bolas de Gachapon que cairem no chão podem ser atacadas por armas a distância para abrir facilmente.</t>
  </si>
  <si>
    <t>Bola Gachapon yang jatuh ke lantai dapat diserang dengan senjata jarak jauh untuk membukanya dengan mudah.</t>
  </si>
  <si>
    <t>扭蛋機的金蛋只有2%概率出現</t>
  </si>
  <si>
    <t>ガシャポンの金玉の確率は2％で出現します</t>
  </si>
  <si>
    <t>The golden balls have roughly 2% chance to come out from the gacha machine</t>
  </si>
  <si>
    <t>В гача-автомате золотой шарик появляется лишь с 2% вероятностью.</t>
  </si>
  <si>
    <t>Goldene Kugeln haben eine ungefähre 2 % Chance, aus dem Spieleautomaten zu erscheinen</t>
  </si>
  <si>
    <t>Quả gacha vàng có khoảng 2% để được rơi ra từ máy gacha</t>
  </si>
  <si>
    <t>A bola dourada tem de grosso modo 2% de chance de sair na máquina gacha.</t>
  </si>
  <si>
    <t>Bola emas memiliki peluang sekitar 2% untuk keluar dari mesin gacha.</t>
  </si>
  <si>
    <t>扭蛋機的愛好與妹妹差不多</t>
  </si>
  <si>
    <t>ガシャポンの好物は妹と似ています</t>
  </si>
  <si>
    <t>The expression of the gacha machine looks similar to the sister</t>
  </si>
  <si>
    <t>Выражение лица гача-автомата похоже на лицо Имоуто.</t>
  </si>
  <si>
    <t>Der Gesichtsausdruck des Spieleautomaten erinnert stark an den deiner Schwester</t>
  </si>
  <si>
    <t>Biểu cảm của máy gacha nhìn giống với Imouto</t>
  </si>
  <si>
    <t>A expressão da máquina gacha parece com a dá imouto.</t>
  </si>
  <si>
    <t>Ekspresi mesin gacha terlihat mirip dengan adiknya.</t>
  </si>
  <si>
    <t>在投錢進入扭蛋機前，最好先保證機器完好無損，因為機器血量會影響扭蛋數量</t>
  </si>
  <si>
    <t>ガシャポンの体力がある程度あることを確認してからお金を入れるようにするといいです。※少ない状態で10000円入れても出し切る前に爆発してお釣りも帰ってきません…</t>
  </si>
  <si>
    <t>Before you put money in the gacha machine, you need to make sure it's in excellent condition. If the gacha machine is damaged, the amount of rewards it will dispose is reduced.</t>
  </si>
  <si>
    <t>Перед тем как вставлять деньги в гача-автомат, лучше убедиться, что автомат исправен, так как его текущее состояние влияет на количество шариков, которые вы сможете получить.</t>
  </si>
  <si>
    <t>Bevor du Geld in den Spieleautomaten einwirfst, musst du sicherstellen, dass er sich in einwandfreiem Zustand befindet. Ist der Automat beschädigt, verringert sich die Menge der ausgegebenen Belohnungen.</t>
  </si>
  <si>
    <t>Trước khi cho tiền vào máy gacha, hãy đảm bảo nó ở tình trạng tốt nhất. Nếu máy trong trạng thái hư hại, lượng phần thưởng cho ra sẽ bị giảm đi</t>
  </si>
  <si>
    <t>Antes de você colocar dinheiro na máquina gacha, você precisa ter certeza de que ela está em condição excelente. Se a Máquina gacha estiver machucada, a recompensa final é reduzida.</t>
  </si>
  <si>
    <t>Sebelum memasukkan uang ke mesin gacha, Anda perlu memastikan mesin tersebut dalam kondisi prima. Jika mesin gacha rusak, jumlah hadiah yang akan diberikan akan berkurang.</t>
  </si>
  <si>
    <t>召喚門若位置不好，可以破壞並重新召喚</t>
  </si>
  <si>
    <t>星の門は現在、召喚する位置を任意で決めることが出来ます。※破壊して再召喚も可能</t>
  </si>
  <si>
    <t>If the Star Gate (Red Door) is summoned in a bad position, you can destroy it and summon it again</t>
  </si>
  <si>
    <t>Если Звёздная дверь (Красная дверь) вызваны в неудачном положении, вы можете уничтожить её и призвать снова.</t>
  </si>
  <si>
    <t>Wenn das Sternentor (rote Tür) an einer ungünstigen Position beschworen wurde, kannst du es zerstören und erneut beschwören</t>
  </si>
  <si>
    <t>Nếu Cửa Thiên Tinh (Hồng Môn) được triệu hồi ở vị trí xấu, bạn có thể phá nó đi và triệu hồi lại</t>
  </si>
  <si>
    <t>Se o Portão Estelar (Porta Vermelha) é invoca em uma posição ruim, você pode destruí-la e invocar novamente.</t>
  </si>
  <si>
    <t>Jika Gerbang Bintang (Pintu Merah) dipanggil di posisi yang buruk, Anda dapat menghancurkannya dan memanggilnya lagi.</t>
  </si>
  <si>
    <t>在洗面所的偷窺，會因為開門的多寡而影響被妹妹發現的機率</t>
  </si>
  <si>
    <t>洗面所での覗きはドアを開け具合で見つかる確率が変わります</t>
  </si>
  <si>
    <t>When you peep in the washroom as soon as the sister goes in,  she will spot you depending on how much you opened the door</t>
  </si>
  <si>
    <t>Когда вы подглядываете в ванной, как только туда заходит Имоуто, шанс что Вас обнаружат зависит от того, насколько сильно вы открыли дверь.</t>
  </si>
  <si>
    <t>Wenn du ins Badezimmer spähst, sobald die Schwester hineingeht, wird sie dich je nach dem Grad der geöffneten Tür bemerken</t>
  </si>
  <si>
    <t>Nếu bạn nhìn trộm Imouto trong phòng giặt đồ, Imouto sẽ nhìn thấy bạn dựa trên việc cửa đã mở rộng bao nhiêu</t>
  </si>
  <si>
    <t>Quando você espia no banheiro, logo que a sua imouto entra, ela vai te notar dependendo do quanto a porta estiver aberta.</t>
  </si>
  <si>
    <t>Saat kamu mengintip ke kamar mandi ketika adik masuk, dia akan melihatmu tergantung seberapa lebar kamu membuka pintu.</t>
  </si>
  <si>
    <t>機甲消失後，該地圖名稱會改變</t>
  </si>
  <si>
    <t>メカが消えるとマップ名が変わります</t>
  </si>
  <si>
    <t>Once the mecha disappears, the map's name will change</t>
  </si>
  <si>
    <t>Название карты изменится после исчезновения Меха (робота).</t>
  </si>
  <si>
    <t>Sobald das Mecha verschwindet, ändert sich der Name der Karte</t>
  </si>
  <si>
    <t>Một khi mecha đã biến mất, tên của khu vực sẽ thay đổi</t>
  </si>
  <si>
    <t>Uma vez que o mecha desapareça, o nome do mapa irá mudar.</t>
  </si>
  <si>
    <t>Setelah mecha menghilang, nama peta akan berubah.</t>
  </si>
  <si>
    <t>礦車行進中，可使用遠距離武器攻擊方向舵</t>
  </si>
  <si>
    <t>トロッコに乗車中でも遠距離攻撃でレバーを作動させることが出来ます</t>
  </si>
  <si>
    <t>You can shoot switches in the mine using long-ranged weapons while you're riding the minecart</t>
  </si>
  <si>
    <t>Вы можете стрелять по переключателям в шахте из дальнобойного оружия, пока едете на вагонетке.</t>
  </si>
  <si>
    <t>Du kannst im Bergwerk Schalter mit Fernkampfwaffen betätigen, während du mit der Lore fährst</t>
  </si>
  <si>
    <t>Bạn có thể bắn các cần gạt trong hầm mỏ bằng vũ khí tầm xa khi đang đi trên xe đẩy</t>
  </si>
  <si>
    <t>Você pode atirar nos interruptores da mina com armas de ataque a distância enquanto estiver andando no carrinho de mina.</t>
  </si>
  <si>
    <t>Anda dapat menembak saklar di tambang menggunakan senjata jarak jauh saat Anda menaiki kereta tambang.</t>
  </si>
  <si>
    <t>電擊類武器碰到水...你懂的~ 包含下雨天</t>
  </si>
  <si>
    <t>電撃系の装備で水に触れると…(雨の時も同様です)</t>
  </si>
  <si>
    <t>Electric attribute weapons conduct electricity when it comes to contact with water... such as when it's raining...</t>
  </si>
  <si>
    <t>Оружие с электрическими свойствами проводит электрический ток при контакте с водой... например, во время дождя...</t>
  </si>
  <si>
    <t>Waffen mit dem Element „Elektrizität“ leiten Strom, wenn sie mit Wasser in Berührung kommen... zum Beispiel bei Regen</t>
  </si>
  <si>
    <t>Những vũ khí có đặc tính điện sẽ tạo ra điện khi tiếp xúc với nước… chẳng hạn khi đang mưa…</t>
  </si>
  <si>
    <t>Armas com atributo elétrico conduz eletricidade quando ele entra em contato com água... como quando está chovendo...</t>
  </si>
  <si>
    <t>Senjata dengan atribut listrik menghantarkan listrik saat bersentuhan dengan air... misalnya saat hujan...</t>
  </si>
  <si>
    <t>炸彈除了無視防禦炸岩石、炸水面，還可以炸自己</t>
  </si>
  <si>
    <t>爆弾は防御力を無視してダメージを与えます。(岩、水、お兄ちゃん)</t>
  </si>
  <si>
    <t>Aside from ignoring enemy defenses, blowing up rocks, or catching fishes, the bomb can also hurt the player</t>
  </si>
  <si>
    <t>Помимо игнорирования вражеской защиты, взрыва камней или ловли рыбы, бомба также может причинить вред игроку.</t>
  </si>
  <si>
    <t>Abgesehen davon, dass sie gegnerische Verteidigung ignorieren, Felsen sprengen oder Fische fangen können, können Bomben auch dem Spieler selbst Schaden zufügen.</t>
  </si>
  <si>
    <t>Bên cạnh việc bỏ qua phòng thủ của kẻ thù, phá đá, bắt cá, bom cũng có thể làm người chơi bị thương</t>
  </si>
  <si>
    <t>Além de ignorar a defesa dos inimigos, explodir pedras, ou pegar peixes, a bomba também pode machucar o jogador.</t>
  </si>
  <si>
    <t>Selain mengabaikan pertahanan musuh, meledakkan bebatuan, atau menangkap ikan, bom tersebut juga dapat melukaimu.</t>
  </si>
  <si>
    <t>聽說...騎士大人很香，或許可以期待未來</t>
  </si>
  <si>
    <t>黒騎士はいい匂いがするらしいので、今後に期待してもいいかもしれません。</t>
  </si>
  <si>
    <t>I heard that the knight is popular. We'll have to see what happens next.</t>
  </si>
  <si>
    <t>听说...骑士大人很香，或许可以期待未来
（据现有的情报来推断...骑士可能是位妹纸哟）</t>
  </si>
  <si>
    <t>Я слышал... от Рыцаря очень приятно пахнет, может быть, нам стоит с оптимизмом смотреть в будущее.</t>
  </si>
  <si>
    <t>Ich habe gehört, dass der Ritter beliebt ist. Mal sehen, was als Nächstes passiert</t>
  </si>
  <si>
    <t>Tôi nghe thấy rằng người hiệp sĩ rất nổi tiếng. Hãy chờ xem điều gì sẽ xảy ra tiếp theo</t>
  </si>
  <si>
    <t>Eu ouvi que o cavaleiro é popular. Nós vamos ver o que acontece depois.</t>
  </si>
  <si>
    <t>Aku dengar ksatria itu populer. Kita lihat saja apa yang akan terjadi selanjutnya.</t>
  </si>
  <si>
    <t>妹妹的罩杯是多大呢? 聽說是G~H</t>
  </si>
  <si>
    <t>妹のおっぱいのサイズはG〜H…らしい</t>
  </si>
  <si>
    <t>The sister's breast size is said to be G~H</t>
  </si>
  <si>
    <t>妹妹的罩杯是多大呢? 听说是G~H
（山就在那啊.JPG）</t>
  </si>
  <si>
    <t>Говорят, что размер груди Имоуто где-то G-H.</t>
  </si>
  <si>
    <t>Es heißt, dass die Schwester eine BH-Größe von G bis H hat</t>
  </si>
  <si>
    <t>Vòng ngực của Imouto được cho là khoảng G~H</t>
  </si>
  <si>
    <t>O tamanho dos seios da imouto são dito serem entre G~H</t>
  </si>
  <si>
    <t>Konon katanya ukuran payudara adik adalah G~H.</t>
  </si>
  <si>
    <t>當成為賢者的哥哥在胡思亂想時...</t>
  </si>
  <si>
    <t>賢者タイムになったお兄ちゃんがぼんやり考えている時…</t>
  </si>
  <si>
    <t>When Onii-chan is in his "Sage Mode", he is lost deep in thought.</t>
  </si>
  <si>
    <t>КогдаКуроха находится в "Режиме мудреца", он глубоко погружен в свои мысли.</t>
  </si>
  <si>
    <t>Wenn Onii-chan im „Weisenmodus" ist, ist er tief in Gedanken versunken</t>
  </si>
  <si>
    <t>Khi onii-chan ở trong “Trạng thái Tĩnh tâm”, anh ấy sẽ chìm trong suy nghĩ sâu lắng</t>
  </si>
  <si>
    <t>Quando Onii-chan está no seu "Modo Sábio", ele está perdido em pensamentos profundos.</t>
  </si>
  <si>
    <t>Saat Onii-chan berada dalam "Mode Bijak", dia tenggelam dalam pikirannya.</t>
  </si>
  <si>
    <t>當裝備"少女的笑容"時，會無視賢者狀態副作用</t>
  </si>
  <si>
    <t>「少女の笑顔」を装備している場合、賢者状態の副作用は無視されます。</t>
  </si>
  <si>
    <t>При экипировке «Улыбка девочки» побочные эффекты состояния Мудреца будут игнорироваться.</t>
  </si>
  <si>
    <t>Wenn „Mädchens Lächeln" ausgerüstet ist, werden die Nebenwirkungen des Weisenmodus ignoriert</t>
  </si>
  <si>
    <t>Khi vật phẩm “Nụ Cười Của Một Cô Gái” được trang bị, tác dụng phụ của trạng thái Tĩnh tâm sẽ đươc bỏ qua</t>
  </si>
  <si>
    <t>Enquanto o "Sorriso da Menina" estiver equipado, o efeito colateral do estado sábio será ignorado.</t>
  </si>
  <si>
    <t>Saat dilengkapi dengan "Senyum Gadis", efek samping dari keadaan Bijak akan diabaikan.</t>
  </si>
  <si>
    <t>在廁所的不可名狀生物，在各語系版本中有不同的稱呼</t>
  </si>
  <si>
    <t>トイレにいる名前を出すのも恐ろしい生き物は、言語バージョンによって名前が異なります。</t>
  </si>
  <si>
    <t>The creature in the toilet had different names across different versions</t>
  </si>
  <si>
    <t>在厕所的不可名状生物，在各语言版本中有不同的称呼</t>
  </si>
  <si>
    <t>Существо в туалете называлось по разному в разных версиях игры.</t>
  </si>
  <si>
    <t>Die Kreatur in der Toilette hatte in verschiedenen Versionen unterschiedliche Namen</t>
  </si>
  <si>
    <t>Sinh vật trong nhà vệ sinh có nhiều tên gọi khác nhau qua nhiều phiên bản</t>
  </si>
  <si>
    <t>A criatura no banheiro tem diferentes nomes ao longo de diferentes versões.</t>
  </si>
  <si>
    <t>Makhluk di dalam toilet itu memiliki nama yang berbeda di berbagai versi.</t>
  </si>
  <si>
    <t>在廁所的不可名狀生物，其實是哥哥從深淵帶回來的</t>
  </si>
  <si>
    <t>トイレにいたあのなんとも言えない生き物は、実は私のお兄ちゃんが外から連れてきたものらしい…</t>
  </si>
  <si>
    <t>The creature in the toilet was actually brought back by Onii-chan from the Abyss</t>
  </si>
  <si>
    <t>Существо в туалете на самом деле следовало за Курохой из самой Бездны.</t>
  </si>
  <si>
    <t>Die Kreatur in der Toilette wurde tatsächlich von Onii-chan aus dem Abgrund zurückgebracht</t>
  </si>
  <si>
    <t>Sinh vật trong nhà vệ sinh thật ra đã được onii-chan mang về từ Vực sâu</t>
  </si>
  <si>
    <t>A criatua no banheiro na verdade retornou com Onii-chan do Abismo.</t>
  </si>
  <si>
    <t>Makhluk di dalam toilet itu sebenarnya dibawa kembali oleh Onii-chan dari Abyss.</t>
  </si>
  <si>
    <t>在雨天修理飲料販賣機的人是誰呢?目前仍是個謎</t>
  </si>
  <si>
    <t>雨の日に自動販売機を修理した人は誰なんだろう・・・？</t>
  </si>
  <si>
    <t>Who is the one repairing the vending machine during rainy days? It's still a mystery</t>
  </si>
  <si>
    <t>Кто ремонтирует торговый автомат под дождем? Это остается загадкой.</t>
  </si>
  <si>
    <t>Wer den Getränkeautomaten an Regentagen repariert, ist immer noch ein Rätsel</t>
  </si>
  <si>
    <t>Ai là người đã sửa máy bán hàng trong những ngày mưa? Đó vẫn là một bí ẩn</t>
  </si>
  <si>
    <t>Quem está consertando a máquina de vendas durante os dias chuvoso? AInda é um mistério.</t>
  </si>
  <si>
    <t>Siapa yang memperbaiki mesin penjual otomatis saat hari hujan? Itu masih menjadi misteri.</t>
  </si>
  <si>
    <t>早上可透過窗外狀況，得知外出時的天氣</t>
  </si>
  <si>
    <t>朝起きたと時、窓を見る事によって天気をある程度判別できます</t>
  </si>
  <si>
    <t>When you wake up in the morning, you can see the current weather before going out by looking at the window.</t>
  </si>
  <si>
    <t>Утром вы можете посмотреть в окно, чтобы узнать, какая погода будет, когда вы выйдете на улицу.</t>
  </si>
  <si>
    <t>Wenn du morgens aufwachst, kannst du das aktuelle Wetter sehen, indem du aus dem Fenster schaust</t>
  </si>
  <si>
    <t>Khi bạn thức dậy vào buổi sáng, bạn có thể thấy được thời tiết hiện tại trước khi ra ngoài khi nhìn ra cửa sổ</t>
  </si>
  <si>
    <t>Quando você acordar de manhã, você pode ver o tempo atual antes de sair ao olhar pela janela.</t>
  </si>
  <si>
    <t>Saat bangun tidur di pagi hari, Anda dapat melihat cuaca terkini sebelum keluar rumah dengan melihat ke jendela.</t>
  </si>
  <si>
    <t>越可愛的生物，通常攻擊力也越高</t>
  </si>
  <si>
    <t>可愛ければ可愛いほど、生物の攻撃力も高くなります</t>
  </si>
  <si>
    <t>Typically, the cuter it is, the higher is its attack power</t>
  </si>
  <si>
    <t>越可爱的生物，通常攻击力也越高
（各水果妖精：泥头车警告.jpg）</t>
  </si>
  <si>
    <t>Как правило, чем он милее, тем выше его сила атаки.</t>
  </si>
  <si>
    <t>Je niedlicher es ist, desto höher ist seine Angriffskraft</t>
  </si>
  <si>
    <t>Bình thường, nó càng dễ thương, sức tấn công của nó càng cao</t>
  </si>
  <si>
    <t>Tipicamente, quanto mais fofa, maior o poder de ataque</t>
  </si>
  <si>
    <t>Biasanya, semakin imut penampilannya, semakin tinggi kekuatan serangannya.</t>
  </si>
  <si>
    <t>廁所沉思中的&lt;42&gt;
出自道格拉斯·亞當斯所作的小說《銀河系漫遊指南》中「生命、宇宙以及任何事物的終極答案」的答案</t>
  </si>
  <si>
    <t>&lt;42&gt;、トイレでの考えは、ダグラス・アダムスの小説『銀河ヒッチハイク・ガイド』に出てくる「人生、宇宙、そして万物に対する究極の答え」という問いに対する答えです。</t>
  </si>
  <si>
    <t xml:space="preserve">Meditating in the toilet &lt;42&gt;
This answer is based from "The Ultimate Question about Life, the Universe, and Everything" from the novel "The Hitchhiker's Guide to the Galaxy" by Douglas Adams </t>
  </si>
  <si>
    <t>&lt;42&gt;, мысль в туалете, — это ответ на вопрос «Каков окончательный ответ на вопрос о жизни, вселенной и всём остальном?» из романа Дугласа Адамса «Автостопом по Галактике».</t>
  </si>
  <si>
    <t>Meditieren in der Toilette &lt;42&gt;
Diese Antwort basiert auf "Die ultimative Frage nach dem Leben, dem Universum und dem ganzen Rest" aus dem Roman "Per Anhalter durch die Galaxis" von Douglas Adams</t>
  </si>
  <si>
    <t>Thiền định trong nhà vệ sinh
Câu trả lời được dựa trên “Câu Hỏi Tối Thượng về Cuộc sống, Vũ trụ, và Mọi thứ” từ tiểu thuyết “Bí kíp quá giang vào Ngân Hà” của Douglas Adams</t>
  </si>
  <si>
    <t xml:space="preserve">Meditando no banheiro &lt;42&gt;
Essa resposta foi baseada na "A última questão sobre a vida, o universo, e tudo" da obra "O guia dos muchileiros da galáxia" by Douglas Adams </t>
  </si>
  <si>
    <t>Bermeditasi di toilet &lt;42&gt;
Jawaban ini berdasarkan "Pertanyaan Utama tentang Kehidupan, Alam Semesta, dan Segalanya" dari novel "The Hitchhiker's Guide to the Galaxy" karya Douglas Adams</t>
  </si>
  <si>
    <t>一個水怪黏液大約等於兩個史萊姆黏液</t>
  </si>
  <si>
    <t>奇妙な粘液はスライム粘液2つ分に相当します</t>
  </si>
  <si>
    <t>One WaterWeird Mucus is equivalent to two Slime Mucus</t>
  </si>
  <si>
    <t>Одна Водянистая слизь эквивалентна двум слизи.</t>
  </si>
  <si>
    <t>Ein Wasser-Monster-Schleim ist ungefähr so stark wie zwei normale Schleime</t>
  </si>
  <si>
    <t>Hai Chất Nhầy Thủy Linh bằng với một Chất Nhầy Slime</t>
  </si>
  <si>
    <t>Um Muco de WaterWeird e equivalente a dois Mucos de Slime.</t>
  </si>
  <si>
    <t>Satu WaterWeird Mucus setara dengan dua Slime Mucus.</t>
  </si>
  <si>
    <t>遺跡BOSS每七天會重生，而且每次重生會更强，也可以使用"世界"塔羅牌</t>
  </si>
  <si>
    <t>遺跡のBOSSは撃破後の7日事に生まれ変わり度に強くなっていきます。タロットカード「ザ・ワールド」も再使用できます。</t>
  </si>
  <si>
    <t>The boss in the Abyss respawns every 7 days, in which it gets stronger every time. You can also forcibly respawn it using "The World" tarot card</t>
  </si>
  <si>
    <t>Босс Руин возрождается каждые семь дней, становясь с каждым возрождением сильнее. Также можно использовать карту Таро «Мир».</t>
  </si>
  <si>
    <t>Der Boss im Abgrund respawnt alle 7 Tage und wird jedes Mal stärker. Du kannst ihn auch gewaltsam respawnen, indem du die "Die Welt" Tarotkarte benutzt</t>
  </si>
  <si>
    <t>Quái boss trong Vực sâu hồi sinh sau mỗi 7 ngày, mỗi lần mạnh hơn. Bạn cũng có thể hồi sinh ngay lập tức bằng lá bài tarot “Thế Giới”</t>
  </si>
  <si>
    <t>O chefe do Abismo renasce a cada 7 dias, en qye ele fica mais forte a cada renascimento.. Você pode forçosamente o renascer usando a carta de tarô"O Mundo".</t>
  </si>
  <si>
    <t>Bos di Abyss muncul kembali setiap 7 hari, dan kekuatannya akan meningkat setiap kali. Anda juga dapat memunculkannya kembali secara paksa menggunakan kartu tarot "The World".</t>
  </si>
  <si>
    <t>遺跡BOSS很難打? 
可以試著站在懸崖邊的當個卑鄙的外鄉人</t>
  </si>
  <si>
    <t>遺跡BOSSは倒すのが難しいですか？
崖の端に立って対策を練るといいでしょう…
「計画通り」</t>
  </si>
  <si>
    <t>Is the boss too hard to fight? Try standing near the edge of the cliff below for a big brain moment.</t>
  </si>
  <si>
    <t>深渊BOSS很难打? 可以试着站在悬崖边的当个卑鄙的外乡人
（老哥：計画通り 狂乱的红兽：***）</t>
  </si>
  <si>
    <t>Босса в Руинах слишком сложно победить? Можно попробовать встать на краю обрыва и поразмыслить.</t>
  </si>
  <si>
    <t xml:space="preserve">Ist der Boss zu schwer? Versuch, nahe am Rand der Klippe unten zu stehen </t>
  </si>
  <si>
    <t>Có phải con quái boss quá khó để đánh bại? Hãy thử đứng cạnh vực để cho khoảnh khắc nổ não</t>
  </si>
  <si>
    <t>O chefe é muito forte para lutar? Tente ficar perto da beirada do penhasco de baixo para um momento crânio.</t>
  </si>
  <si>
    <t>Apakah bosnya terlalu sulit untuk dilawan? Cobalah berdiri di dekat tepi tebing di bawah untuk momen berpikir cerdas.</t>
  </si>
  <si>
    <t>增加攻速的效果(例如:貓爪手套)，也會使魔法效果增強</t>
  </si>
  <si>
    <t>ねこパンチの攻撃速度アップは魔法攻撃にも乗る</t>
  </si>
  <si>
    <t>Effects that increases attack speed such as Neko Punch also enhances magic effects</t>
  </si>
  <si>
    <t>增加攻速的效果(例如:猫爪手套)，也会使魔法效
（耐久度告急.jpg）</t>
  </si>
  <si>
    <t>Эффекты, увеличивающие скорость атаки (например, перчатки «Одолжённые лапки Неко»), также усиливают магические эффекты.</t>
  </si>
  <si>
    <t>Hiệu ứng tăng tốc độ tấn công như Vuốt Mèo cũng tăng các hiệu ứng pháp thuật</t>
  </si>
  <si>
    <r>
      <rPr>
        <rFont val="Microsoft JhengHei"/>
        <color theme="1"/>
      </rPr>
      <t xml:space="preserve">Efeitos que afetam velocidade de ataque como </t>
    </r>
    <r>
      <rPr>
        <rFont val="Microsoft JhengHei"/>
        <i/>
        <color theme="1"/>
      </rPr>
      <t>Soco de Neko</t>
    </r>
    <r>
      <rPr>
        <rFont val="Microsoft JhengHei"/>
        <color theme="1"/>
      </rPr>
      <t xml:space="preserve"> também fortalesse os efeitos das magias.</t>
    </r>
  </si>
  <si>
    <t>Efek yang meningkatkan kecepatan serangan seperti Neko Punch juga meningkatkan efek sihir.</t>
  </si>
  <si>
    <t>加強命中的效果(例如:墮落法師的手套)，以後也會使魔法獲得效果，多穿幾件還會增加更多</t>
  </si>
  <si>
    <t>攻撃時にダメージが増加する装備品（例：堕落法師の手袋）を着用している場合、将来的に魔法攻撃にもこの効果が反映されるようになります。また、同じ種類の装備を複数装備することも可能で、その場合効果は累積します</t>
  </si>
  <si>
    <t>When wearing gears that increases damage on hit (such as Fallen Mage's Gloves), this will also be able to affect magic in the future. You can also wear multiple gears of the same type and the effect will stack</t>
  </si>
  <si>
    <t>Повышение точности попадания (например, с помощью перчаток Падшего Мага) также наделяет заклинания дополнительными эффектами; ношение нескольких таких перчаток еще больше усилит этот эффект.</t>
  </si>
  <si>
    <t>Khi đang trang bị những đồ tăng sát thương trên đòn đánh (như Găng Tay Phù Thủy Sa Ngã), điều này cũng sẽ ảnh hưởng đến pháp thuật. Bạn cũng có thể trang bị cùng lúc nhiều vật phẩm cùng loại, hiệu ứng sẽ tiếp tục chồng lên nhau</t>
  </si>
  <si>
    <t>Quando vestindo diversos equipamentos para aumentar o dano no acerto(como as Luvas do Mago Caído), isso também será capaz de afetar a magia no futuro. Você pode também usar multiplos equipamentos do mesmo tipo que seus efeitos se somam.</t>
  </si>
  <si>
    <t>Saat mengenakan perlengkapan yang meningkatkan damage per serangan (seperti Sarung Tangan Fallen Mage), ini juga akan memengaruhi sihir di masa mendatang. Anda juga dapat mengenakan beberapa perlengkapan dengan tipe yang sama dan efeknya akan bertumpuk.</t>
  </si>
  <si>
    <t>遺跡BOSS房間，底下懸崖有個秘密地點，想辦法過去吧!
提示:移動型道具 / 加速型道具+技能</t>
  </si>
  <si>
    <t>遺跡のBOSS部屋、下の崖に秘密の場所があるので、そこに行く方法を見つけてください!</t>
  </si>
  <si>
    <t>In the boss room of the Abyss, there is a secret area below. Try to find a way to get there!
Tip: You can get to it by using certain items and skills.</t>
  </si>
  <si>
    <t>В комнате босса в Руинах есть секретное место на скале внизу. Найдите способ туда добраться! Подсказка: предметы на скорость передвижения / предметы на ускорение + навыки.</t>
  </si>
  <si>
    <t>Trong phòng boss ở Vực sâu, có một khu vực bí mật bên dưới. Hãy thử tìm cách đến đó!
Mẹo: Hãy dùng các kĩ năng và vật phẩm nhất định.</t>
  </si>
  <si>
    <t>Na sala do chefe no Abismo, existe uma área secreta abaixo. Tente achar uma forma de chegar lá!
Dica: Você pode chegar lá usando um item ou técnica/habilidade.</t>
  </si>
  <si>
    <t>Di ruang bos Abyss, terdapat area rahasia di bawahnya. Cobalah temukan cara untuk sampai ke sana!
Tip: Anda dapat mencapainya dengan menggunakan item dan keterampilan tertentu.</t>
  </si>
  <si>
    <t>利用道具，不只能和怪物，也能使NPC交換位置</t>
  </si>
  <si>
    <t>アイテムを使うとモンスターやNPCと場所を入れ替わることが出来る！</t>
  </si>
  <si>
    <t>Using items, not only you can swap positions with monsters, you can also swap positions with NPCs</t>
  </si>
  <si>
    <t>Используя предметы, вы можете меняться местами не только с монстрами, но и с NPC.</t>
  </si>
  <si>
    <t>Bằng cách dùng các vật phẩm, bạn không chỉ có thể đổi chỗ với quái, mà còn có thể đổi chỗ với các NPC nữa</t>
  </si>
  <si>
    <t>Usando itens, não só você pode trocar de lugar com um monstro, você também pode trocar de lugar com NPCs</t>
  </si>
  <si>
    <t>Dengan menggunakan item, kamu tidak hanya bisa bertukar posisi dengan monster, tetapi juga bisa bertukar posisi dengan NPC.</t>
  </si>
  <si>
    <t>怪物也有嗅覺，而有些怪物也會懼怕臭味而逃離</t>
  </si>
  <si>
    <t>モンスターにも嗅覚があり、臭い匂いからは逃げたくもなる…</t>
  </si>
  <si>
    <t>Monsters can smell too.. and some of them will run away if they smell something bad</t>
  </si>
  <si>
    <t xml:space="preserve">怪物也有嗅觉，而有些怪物也会惧怕臭味而逃离
（可见老哥是多么的臭） </t>
  </si>
  <si>
    <t>Монстры также обладают обонянием, и некоторые из них убегают от неприятного запаха.</t>
  </si>
  <si>
    <t>Các con quái cũng có thể ngửi nữa… vài con sẽ chạy đi nếu chũng ngửi thấy gì đó tệ.</t>
  </si>
  <si>
    <t>Monstros conseguem sentir cheiro também.. e alguns deles vão fugir se eles sentirem algum cheiro ruim</t>
  </si>
  <si>
    <t>Monster juga bisa mencium bau... dan beberapa di antaranya akan lari jika mencium bau yang tidak sedap.</t>
  </si>
  <si>
    <t>當妹妹玩遊戲時，可以對妹妹惡作劇。
若要觸發特殊的開腿選項，需要先完成DLC的任務</t>
  </si>
  <si>
    <t>ゲームをしている妹に「いたずら」をすることが出来る！
エッチな態勢にするには前提条件をクリアする必要がある</t>
  </si>
  <si>
    <t>You can play pranks on your sister while she's playing games.
To be able to spread her legs, you need to get the DLC.</t>
  </si>
  <si>
    <t>Вы можете разыгрывать свою младшую сестру, пока она играет в игры.
Чтобы активировать специальную опцию раздвигания ног, сначала нужно выполнить миссию DLC.</t>
  </si>
  <si>
    <t>Bạn có thể chọc ghẹo Imouto khi đang chơi game
Để mở chân Imouto, bạn cần có DLC</t>
  </si>
  <si>
    <t>Você pode fazer pegadinhas com a sua imouto enquanto el estiver jogando jogos.
Para ser capaz de abrir as pernas dela, você precisa conseguir a DLC.
OBS: DLC do shadows souls dentro do jogo</t>
  </si>
  <si>
    <t>Kamu bisa mengerjai adikmu saat dia sedang bermain game.
Untuk bisa merenggangkan kakinya, kamu perlu mendapatkan DLC.</t>
  </si>
  <si>
    <t>妹妹治癒後，除了早上起得來，睡眠時間也會變晚</t>
  </si>
  <si>
    <t>妹は病気が治ってからは朝起きることが出来て、夜遅くまで起きることが出来るようになった！</t>
  </si>
  <si>
    <t>After giving your sister the cure, not only she can wake up in the mornings, she can also stay up late at night.</t>
  </si>
  <si>
    <t>После выздоровления моя сестра смогла просыпаться по утрам, и время отхода ко сну тоже стало позже.</t>
  </si>
  <si>
    <t>Sau khi đưa thuốc chữa cho Imouto, em ấy không chỉ có thể dậy vào buổi sáng, mà còn có thể ngủ muộn vào ban đêm.</t>
  </si>
  <si>
    <t>Depois de dar a cura para sua imouto, não apenas ela pode acordar de manhã, como ela pode ficar acordada até tarde da noite.</t>
  </si>
  <si>
    <t>Setelah memberikan obat penawar kepada adikmu, dia tidak hanya bisa bangun di pagi hari, tetapi juga bisa begadang hingga larut malam.</t>
  </si>
  <si>
    <t>幸運值可以用來影響扭蛋、物品掉落(實裝)
和妹妹相關的機率事件也會受到幸運值的影響(未實裝)</t>
  </si>
  <si>
    <t>お兄ちゃんの運が高いとガシャポンやアイテムドロップにも影響を与えるよ！
妹関連のイベントも運によって左右される（未実装）</t>
  </si>
  <si>
    <t>Luck can affect the rate of obtaining prizes from the Gacha (Implemented)
Luck can also affect events that involve chance with your sister (Unimplemented)</t>
  </si>
  <si>
    <t>Показатели удачи могут влиять на результаты розыгрышей в гача-системе и выпадение предметов (реализовано). Показатели удачи также влияют на события, связанные с сестрой, которые происходят по случайному принципу (пока не реализовано).</t>
  </si>
  <si>
    <t>Vận may cũng có thể ảnh hưởng đến giải thưởng từ máy gacha (đã được thực hiện)
Vận may có thể ảnh hưởng đến những sự kiện cần may mắn với Imouto (chưa được thực hiện)</t>
  </si>
  <si>
    <t>Sorte pode afetar a taxa de obtenção de prêmios do Gacha (Implementado)
Sorte também pode afetar os eventos envolvendo chance com a sua imouto(não implementado)</t>
  </si>
  <si>
    <t>Keberuntungan dapat memengaruhi tingkat perolehan hadiah dari Gacha (Telah Diimplementasikan)
Keberuntungan juga dapat memengaruhi peristiwa yang melibatkan peluang dengan saudara perempuan Anda (Belum diimplementasikan)</t>
  </si>
  <si>
    <t>商店老闆娘叫做aki，另外妹妹的聲優也是aki</t>
  </si>
  <si>
    <t>アキの菓子店の店主はアキちゃんだけど、妹の声優もアキちゃんである！
かわいい！えっち！</t>
  </si>
  <si>
    <t>The mysterious shop owner is called Aki and the little sister's voice actor is also named Aki</t>
  </si>
  <si>
    <t>Владелицу магазина зовут Аки, и актрису, озвучивающую младшую сестру, тоже зовут Аки.</t>
  </si>
  <si>
    <t>Chủ cửa hàng bí ẩn có tên là Aki và người lồng tiếng cho Imouto cũng tên là Aki</t>
  </si>
  <si>
    <t>A misteriosa dona da loja se chama Aki e a atriz que dá a voz à imouto também se chama Aki.</t>
  </si>
  <si>
    <t>Pemilik toko misterius bernama Aki dan pengisi suara adik juga bernama Aki.</t>
  </si>
  <si>
    <t>Ehwaz符文會在扔出去后和觸碰到的敵人交換位置</t>
  </si>
  <si>
    <t>エワズは投げた後に敵に当たると場所が入れ替わるよ！</t>
  </si>
  <si>
    <t>The Ehwaz rune will swap places with the enemy it touches after being thrown.</t>
  </si>
  <si>
    <t>Руна Эхваз после броска поменяется местами с любым врагом, которого коснется.</t>
  </si>
  <si>
    <t>Ehwaz sẽ đổi chỗ với kẻ thù nó chạm vào sau khi bị ném</t>
  </si>
  <si>
    <t>A Runa Ehwaz irá trocar você de lugar com o inimigo se tocada depois que for arremessada</t>
  </si>
  <si>
    <t>Rune Ehwaz akan bertukar tempat dengan musuh yang disentuhnya setelah dilempar.</t>
  </si>
  <si>
    <t>Raido符文是投擲出去會落地形成一个標記，鼠標點擊这个標記會把你直接瞬移到這個位置上</t>
  </si>
  <si>
    <t>ライドーは投げた場所にルーンを刻み、その場所をクリックすることで瞬間移動することが出来る！
「卑劣斬り！」</t>
  </si>
  <si>
    <t>When the Raido rune is thrown, it will create a mark on the spot. Clicking on this mark with the mouse will teleport you directly to this location.</t>
  </si>
  <si>
    <t>Raido符文是投掷出去会落地形成一个标记，鼠标点击这个标记会把你直接瞬移到这个位置上
（老哥：飞雷神！）</t>
  </si>
  <si>
    <t>Руны Райдо бросаются в воздух и оставляют метку при приземлении. Нажатие на эту метку мгновенно телепортирует вас в указанное место.</t>
  </si>
  <si>
    <t>Khi Raido bị ném, nó sẽ tạo ra một dấu vết trên mặt đất. Nhấp chuột vào vị trí này sẽ dịch chuyển bạn đến vị trí đó ngay lập tức</t>
  </si>
  <si>
    <t>Quando a Runa Raido é arrenessada, ela vai criar uma marca no local. Clicando na marca com o mouse irá te teleportar diretamente para essa localização.</t>
  </si>
  <si>
    <t>Saat Rune Raido dilemparkan, akan tercipta tanda di tempat tersebut. Mengklik tanda ini dengan mouse akan memindahkan Anda langsung ke lokasi tersebut.</t>
  </si>
  <si>
    <t>Jera符文，丟出去可以變換接觸到的敵人或掉落物，也就是複製的作用(未實裝)</t>
  </si>
  <si>
    <t>jeraルーンを投げる際、接触した敵やドロップアイテムに変化をもたらすことができる（未実装）</t>
  </si>
  <si>
    <t>When throwing the Jera Rune, it can transform enemies or dropped objects it comes into contact with (not yet implemented)</t>
  </si>
  <si>
    <t>Руна Джера, будучи брошенной, может трансформировать любого врага или предмет, которого коснется, по сути, создавая его копию (пока не реализовано).</t>
  </si>
  <si>
    <t>Khi Jera, nó sẽ chuyển đổi kẻ thù hoặc vật phẩm bị rơi nó chạm vào (chưa được thực hiện)</t>
  </si>
  <si>
    <t>Quando arremessar a Runa Jera, ela pode transformar os enemigos e os objetos caido que entrar em contato com (ainda não implementado)</t>
  </si>
  <si>
    <t>Saat melempar Jera Rune, ia dapat mengubah musuh atau benda jatuh yang bersentuhan dengannya (belum diimplementasikan).</t>
  </si>
  <si>
    <t>Perth符文，丢出去會造成範圍影響，範圍内的敵人或掉落物會被随機替换(未實裝)</t>
  </si>
  <si>
    <t>Perthルーンは、投げると範囲効果を生み出し、そのエリア内の敵やドロップされたアイテムをランダムに置き換えます (未実装)</t>
  </si>
  <si>
    <t>When Perth Rune is thrown, it will cause various effects, and enemies or dropped items within range will be randomly replaced (not yet implemented)</t>
  </si>
  <si>
    <t>Руна Перта при броске создает эффект поражения по области, случайным образом заменяя врагов или выпавшие предметы в этой области (пока не реализовано).</t>
  </si>
  <si>
    <t>Khi Perth bị ném, nó sẽ tạo ra nhiều hiệu ứng, và kẻ thù hoặc vật phẩm bị rơi trong tầm sẽ được thế chỗ một cách ngẫu nhiên (chưa được thực hiện)</t>
  </si>
  <si>
    <t>Quando a Runa Perth for arremessada, ela irá causar vários efeitos, e inimigos ou itens caídos na área serão aleatoriamente substituidos (ainda não implementado)</t>
  </si>
  <si>
    <t>Saat Perth Rune dilempar, akan menimbulkan berbagai efek, dan musuh atau item yang jatuh dalam jangkauan akan diganti secara acak (belum diimplementasikan).</t>
  </si>
  <si>
    <t>甜筒大劍的效果是餵食怪物，每次攻擊有一定機率累積數值，當到達一定數量時怪物會吃太飽而死亡。(BOSS未測試)</t>
  </si>
  <si>
    <t>"シュガーコーン大剣の効果は、モンスターに食べさせることです。攻撃するたびに一定の確率で数値が蓄積され、一定の数に達するとモンスターは食べ過ぎて死亡します。（BOSSは未検証）"</t>
  </si>
  <si>
    <t>The purpose of the Cone Greatsword weapon is to feed monsters. It accumulates a stack value and when a certain number is reached, the monster will be too full and die. (Not tested on boss)</t>
  </si>
  <si>
    <t>Меч «Мороженое в рожке» кормит монстров; каждая атака имеет шанс накопить определённое количество еды. Когда достигается определённое количество, монстр переедает и умирает. (Не тестировалось на боссах)</t>
  </si>
  <si>
    <t>Mục đích của vũ khí Đại Gương Câu Thông là để cho quái ăn. Nó sẽ tích lũy một giá trị, và khi đạt đến một giá trị nhất định, con quái sẽ chết vì no (chưa được thử trên quái boss)</t>
  </si>
  <si>
    <t>O proposito da arma Espadão de Cone é de alimentar monstros. ela acumula em um valor contado e quando esse valor chega a um certo número, o monstro irá ficar muito cheio e morrer.( não testado nos chefes)</t>
  </si>
  <si>
    <t>Tujuan dari senjata Cone Greatsword adalah untuk memberi makan monster. Senjata ini mengumpulkan nilai tumpukan dan ketika jumlah tertentu tercapai, monster akan terlalu kenyang dan mati. (Belum diuji pada bos)</t>
  </si>
  <si>
    <t>如果扭蛋掉到騎士的腳邊，他會幫你撿起</t>
  </si>
  <si>
    <t>ガシャの景品が騎士の足元に落ちた場合は、彼(？)が拾ってくれます</t>
  </si>
  <si>
    <t>If the gachapon balls drop near the Weird Knight's feet, he will pick it up for you.</t>
  </si>
  <si>
    <t>Если гашапон упадет к ногам рыцаря, он поднимет его для вас.</t>
  </si>
  <si>
    <t>Nếu một quả gachapon rơi gần chân Hiệp Sĩ Kì Lạ, anh ta sẽ nhặt lên cho bạn</t>
  </si>
  <si>
    <t>Se as bolas de gachapon cairem perto do pé do estranho cavaleiro, ele irá pegá-las para você.</t>
  </si>
  <si>
    <t>Jika bola gachapon jatuh di dekat kaki Weird Knight, dia akan mengambilnya untukmu.</t>
  </si>
  <si>
    <t>全武器默認的耐久度上限是114514，來源自&lt;仲夏夜之淫夢&gt;</t>
  </si>
  <si>
    <t>すべての武器のデフォルトの最大耐久力は 114514 です。これは「真夏の夜の淫夢」に由来しています
「たまげたなぁ…」</t>
  </si>
  <si>
    <t>The default durability of each weapon is 114514. This comes from the meme "A Midsummer Night's Dream"</t>
  </si>
  <si>
    <t>全武器默认的耐久度上限是114514，来源自&lt;仲夏夜之淫梦&gt;
（这么臭的武器还有必要使用吗...怕不是拿出来就能臭死这个世界上所有的生命体了罢...（恼））</t>
  </si>
  <si>
    <t>Стандартная максимальная прочность всех видов оружия составляет 114514, что взято из пьесы «Сон в летнюю ночь».</t>
  </si>
  <si>
    <t>Độ bền mặc định của mỗi vũ khí là 114514. Việc này đến từ meme “A Midsummer Night’s Dream”.</t>
  </si>
  <si>
    <t>O valor padrão de durabilidade de cada arma é de 114514. Isso vem de um meme "A Midsummer Night's Dream"</t>
  </si>
  <si>
    <t>Daya tahan standar setiap senjata adalah 114514. Ini berasal dari meme "A Midsummer Night's Dream".</t>
  </si>
  <si>
    <t>貓娘商店車會有以下的商品：
1.固定物品 2.貓娘們收集到的食材 3.隨機的常規道具，品質隨機分佈。</t>
  </si>
  <si>
    <t>浅羽のショップカートには以下の商品が入ります。
1. 固定アイテム 2. 浅羽が集めた材料 3. ランダムな通常アイテム（品質はランダムです）</t>
  </si>
  <si>
    <t>The Cat Girl's Shopping Van will be composed of the following:
1. A fixed item 2. Random ingredients 3. Random items of random quality</t>
  </si>
  <si>
    <t>В корзине магазина кошкодевочек будут следующие товары:
1. Фиксированные товары
2. Ингредиенты, собранные кошкодевочками
3. Случайные обычные товары со случайным распределением качества.</t>
  </si>
  <si>
    <t>Xe Van Bán Đồ của Cô Gái Mèo bao gồm:
1. Một vật phẩm không thay đổi 2. Nguyên liệu ngẫu nhiên 3. Vật phẩm ngẫu nhiên với chất lượng ngẫu nhiên</t>
  </si>
  <si>
    <t>A loja van da garota gato será composta do seguinte:
1. Um item fixo 2. Ingredientes aleatórios 3. Itens aleatórios de qualidade aleatória</t>
  </si>
  <si>
    <t>Mobil Belanja Gadis Kucing akan terdiri dari hal-hal berikut:
1. Satu barang tetap 2. Bahan-bahan acak 3. Barang-barang acak dengan kualitas acak</t>
  </si>
  <si>
    <t>貓娘淺羽相當於6個貓爪的攻速、投擲隨機武器，極為強大。
且仇恨會維持一整天、復活無法消除仇恨、跨圖追殺
(部分效果尚未實裝)</t>
  </si>
  <si>
    <t>浅羽は、6つの猫の爪に相当する攻撃速度を持ち、ランダムな武器を投げることができ、非常に強力です。また、敵対心は1日中持続し、復活しても敵対心は消えず、マップを越えて追跡します。（一部の効果はまだ実装されていません）</t>
  </si>
  <si>
    <t>The cat girl Asaba has an attack speed similar to having 6 Neko Punches. She throws you random weapons and is extremely powerful.
When provoked, she will chase you for the entire day, even if you revive from Feather of Firebird. She will also chase you even if you go to different maps. (Some of these are not yet implemented)</t>
  </si>
  <si>
    <t>猫娘浅羽相当于6个猫爪的攻速、投掷随机武器，极为强大。 
且仇恨会维持一整天、复活无法消除仇恨、跨图追杀 (部分效果尚未实装)</t>
  </si>
  <si>
    <t>Девушка-кошка Асаба обладает скоростью атаки, равной шести кошачьим лапам, и может метать случайное оружие, что делает её невероятно сильной.
Кроме того, её агрессия сохраняется в течение целого дня, воскрешение не снимает агрессию, и она может преследовать врагов по всей карте.
(Некоторые эффекты пока не реализованы.)</t>
  </si>
  <si>
    <t>Cô gái mèo Asaba có tốc độ tấn công nhanh bằng 6 Vuốt Mèo. Cô ấy ném cho bạn vũ khí bất kì vào cực kì mạnh
Khi bị chọc giận, cô ấy sẽ đuổi bạn cả ngày, kể cả khi bạn hồi sinh bằng Hỏa Điểu Vũ. Cô ấy cũng sẽ đuổi theo bạn nếu bạn đi sang bản đồ khác (một số bản đồ chưa có)</t>
  </si>
  <si>
    <t>A garota gato Asaba tem uma velocidade de ataque similar a ter 6 Soco de Nekoes. Ela arremessa na sua direção armas aleatórias e é extremamente poderosa.
Quando provocada, ela irá te perseguir o dia todo, mesmo que você reviver da Pena do Passaro de Fogo. Ela também irá te perseguir se você for para mapas diferentes(alguns desses ainda não foram implementados)</t>
  </si>
  <si>
    <t>Gadis Kucing Asaba memiliki kecepatan serangan yang mirip dengan 6 Neko Punch. Dia melemparkan senjata secara acak dan sangat kuat.
Saat diprovokasi, dia akan mengejar Anda sepanjang hari, bahkan jika Anda bangkit kembali dari Bulu Burung Api. Dia juga akan mengejar Anda bahkan jika Anda pergi ke peta yang berbeda. (Beberapa di antaranya belum diimplementasikan)</t>
  </si>
  <si>
    <t>可以對貓娘商店車使用時間暫停器，是個優秀的攻擊方式
(P.S.對AKI商店無效)</t>
  </si>
  <si>
    <t>走行中の茶会の宅配車に時間停止器を使用することができます。（P.S. AKI商店には無効です）</t>
  </si>
  <si>
    <t>You can use Sealed Timepiece against the Cat Girl's Shopping Van which is an excellent attack method. (PS: You can't use it on Aki's store)</t>
  </si>
  <si>
    <t>Устройство остановки времени можно использовать на тележке магазина кошкодевочек, что делает его отличным методом атаки.
(P.S. Неэффективно против магазина AKI)</t>
  </si>
  <si>
    <t>Bạn có thể sử dụng vật phẩm Đồng Hồ Niêm Phong chống lại Xe Van Bán Đồ của Cô Gái Mèo, một cách tấn công tuyệt vời (bạn không thể sử dụng nó với cửa hàng của Aki)</t>
  </si>
  <si>
    <r>
      <rPr>
        <rFont val="Microsoft JhengHei"/>
        <color theme="1"/>
      </rPr>
      <t xml:space="preserve">Você pode usar </t>
    </r>
    <r>
      <rPr>
        <rFont val="Microsoft JhengHei"/>
        <i/>
        <color theme="1"/>
      </rPr>
      <t>Relógio Selado</t>
    </r>
    <r>
      <rPr>
        <rFont val="Microsoft JhengHei"/>
        <color theme="1"/>
      </rPr>
      <t xml:space="preserve"> contra a garota gato da loja van que é um excelente método de ataque. (OBS: você não pode uisar isso na loja da Aki)</t>
    </r>
  </si>
  <si>
    <t>Anda dapat menggunakan Sealed Timepiece melawan Mobil Belanja Gadis Kucing, yang merupakan metode serangan yang sangat bagus. (PS: Anda tidak dapat menggunakannya di toko Aki)</t>
  </si>
  <si>
    <t>不論是行駛中的商店車或者貓娘淺羽的傷害，都可以對怪物造成傷害
既使是深淵BOSS也無法抵擋住貓娘淺羽，雖然你也會獻上自己的生命</t>
  </si>
  <si>
    <t>宅配車アタックや浅羽の攻撃はモンスターにも当たります
BOSSでさえ浅羽には敵いませんがお兄ちゃんも同じ運命をたどります…</t>
  </si>
  <si>
    <t>Both the Shopping Van and Asaba's attacks can deal damage to other entities. Even the abyss boss is no match for Asaba... but that only means you are also risking yourself.</t>
  </si>
  <si>
    <t>不论是行驶中的商店车或者猫娘浅羽的伤害，都可以对怪物造成伤害 
既使是深渊BOSS也无法抵挡住猫娘浅羽，虽然你也会献上自己的生命
（杀敌一千自损一万（））</t>
  </si>
  <si>
    <t>Будь то движущаяся тележка из магазина или урон от кошкодевочки Асабы, оба фактора могут нанести урон монстрам.
Даже босс Бездны не сможет противостоять кошкодевочке Асабе, хотя вам и придётся пожертвовать собственной жизнью.</t>
  </si>
  <si>
    <t>Cả Xe Van Bán Đồ và đòn tấn công của Asaba đều có thể ảnh hưởng lên các thực thể khác. Kể cả quái boss của Vực sâu cũng không là đối thủ của Asaba... nhưng điều đó cũng có nghĩa là bạn tự đặt mình vào nguy hiểm</t>
  </si>
  <si>
    <t>Ambos a loja van e o ataque da Asaba pode dar dano em outras entidades. Mesmo que o chefe do Abismo não esteja a altura da Asaba... isso só significa que você esta se arriscando mais.</t>
  </si>
  <si>
    <t>Serangan dari Shopping Van dan Asaba sama-sama dapat memberikan kerusakan pada entitas lain. Bahkan bos jurang pun bukan tandingan Asaba... tetapi itu hanya berarti Anda juga mempertaruhkan diri sendiri.</t>
  </si>
  <si>
    <t>機率100%不代表必定觸發，因為還有敵人的抗性。有些裝備還會依據溢出的機率來增強效果。</t>
  </si>
  <si>
    <t>100％の効果でもモンスターのも抵抗力があるため必ず発動するとは限りません。
一部の装備によってはオーバーフローしその分効果が発動しやすくなるものもあります</t>
  </si>
  <si>
    <t xml:space="preserve"> "100% chance" doesn't necessarily mean it's guaranteed since there are other factors such as enemy resistances. Some equipments may also be enhanced depending on the excess value.</t>
  </si>
  <si>
    <t>100%-ная вероятность не гарантирует срабатывания эффекта, поскольку сопротивление противника также играет роль. Некоторое снаряжение даже усиливает свои эффекты в зависимости от превышения этой вероятности.</t>
  </si>
  <si>
    <t>"Xác suất 100%” không nhất thiết là sẽ chắc chắn xảy ra vì còn có nhiều yếu tố khác như kháng sát thương của kẻ địch. Một số trang bị có thể được nâng cấp dựa vào giá trị thừa ra.</t>
  </si>
  <si>
    <t xml:space="preserve"> "Chance de100%" não necessariamente significa que é garantido uma vez que existem outros fatores como as resistênciaa do inimigo. Alguns equipamentos também podem ficar aprimodos dependendo do valor em excesso.</t>
  </si>
  <si>
    <t>"Peluang 100%" tidak selalu berarti terjamin karena ada faktor lain seperti resistensi musuh. Beberapa peralatan juga dapat ditingkatkan tergantung pada nilai kelebihannya.</t>
  </si>
  <si>
    <t>不同天氣時，妹妹會塗不同顏色的指甲油。</t>
  </si>
  <si>
    <t>天気によって、妹は違う色のネイルをしてるよ</t>
  </si>
  <si>
    <t>The sister will have different colors of nail polish depending on the weather.</t>
  </si>
  <si>
    <t>Моя сестра красит ногти в разные цвета в зависимости от погоды.</t>
  </si>
  <si>
    <t>Imouto sẽ có màu móng khác nhau tùy vào thời tiết</t>
  </si>
  <si>
    <t>A imouto terá cores diferentes de esmalte dependendo do clima.</t>
  </si>
  <si>
    <t>Adik akan memiliki warna cat kuku yang berbeda tergantung pada cuaca.</t>
  </si>
  <si>
    <t>星之門地圖，丟棄在星之門中的物品不會遺失，可以當作臨時倉庫。
但數量過多可能會卡住，不建議丟太多。
上限數量約200~600左右(未完全實裝)</t>
  </si>
  <si>
    <t>星の門の内部では、捨てたアイテムは失われず、一時的な倉庫として使える。
ただし、数が多すぎると詰まる可能性があるため、あまり捨てすぎないことをお勧めします。
上限数は約200〜600程度です（未完全実装）</t>
  </si>
  <si>
    <t>When inside the Star Gate, dropped items will not disappear so you can use it as a temporary storage area. However, due its limited space, throwing too much items might cause problems.
The maximum capacity should be around 200~600 items. 
(Not yet fully implemented)</t>
  </si>
  <si>
    <t>На карте «Звёздные врата» предметы, брошенные в Звёздные врата, не теряются и могут использоваться в качестве временного хранилища.
Однако, бросание слишком большого количества предметов может вызвать задержки в игре, поэтому не рекомендуется бросать их слишком много.
Максимальное количество бросаемых предметов составляет приблизительно 200-600 (не полностью реализовано).</t>
  </si>
  <si>
    <t>Khi ở bên trong Cửa Thiên Tinh, các vật phẩm bị rơi sẽ không biến mất nên bạn có thể sử dụng nó như một chỗ chứa tạm thời. Tuy nhiên, do không gian giới hạn, quá nhiều vật phẩm có thể gây ra vài vấn đề
Khả năng chứa tối đa nên khoảng 200~600 vật phẩm
(chưa được triển khai hoàn toàn)</t>
  </si>
  <si>
    <t>Quando dentro do Portão Estelar, itens caídos não desaparecerão, logo você pode usar como uma área para guardar itens temporariamente. Entretanto, devido a limite de espaço, se jogar muitos itens poderá causar problemas.
A capacidade máxima deve ser algo entre 200~600 itens. 
(Não completamente implementado)</t>
  </si>
  <si>
    <t>Saat berada di dalam Gerbang Bintang, barang yang dijatuhkan tidak akan hilang sehingga Anda dapat menggunakannya sebagai area penyimpanan sementara. Namun, karena ruangnya terbatas, melempar terlalu banyak barang dapat menyebabkan masalah.
Kapasitas maksimumnya sekitar 200~600 barang.
(Belum sepenuhnya diimplementasikan)</t>
  </si>
  <si>
    <t>心情數值(0~100)是隱藏的，可以從妹妹平時的態度感受出來</t>
  </si>
  <si>
    <t>気分値（0～100）が隠されており、妹の普段の態度や表情から判断できる！</t>
  </si>
  <si>
    <t>There is a hidden mood value in the game from 0-100. You can tell the sister's mood based off her facial expressions.</t>
  </si>
  <si>
    <t>Показатель настроения (от 0 до 100) скрыт, но его можно определить по обычному поведению младшей сестры.</t>
  </si>
  <si>
    <t>Có một giá trị cảm xúc ẩn ở trong game, từ 0-100. Bạn có thể nhìn ra cảm xúc của Imouto dựa vào biểu cảm khuôn mặt</t>
  </si>
  <si>
    <t>Existem um valor de humor secreto no jogo que vai de 0-100. Você pode dizer o humor da imouto baseado na expressão facial dela.</t>
  </si>
  <si>
    <t>Terdapat nilai suasana hati tersembunyi dalam game dari 0-100. Anda dapat mengetahui suasana hati sang saudari berdasarkan ekspresi wajahnya.</t>
  </si>
  <si>
    <t>0.75版本後，使用新存檔的玩家，能從一塊墓碑上聽到很細微的，發出奇怪的咕嚕聲</t>
  </si>
  <si>
    <t>0.75バージョン以降、新しいセーブデータを使用するプレイヤーは、一つの墓碑から微かな奇妙なゴロゴロ音を聞くことができる…</t>
  </si>
  <si>
    <t>After version 0.75, players who start on a new save file will be able to hear a subtle, gurgling noise from tombstones</t>
  </si>
  <si>
    <t>После версии 0.75 игроки, использующие новые файлы сохранений, могут услышать очень слабый, странный булькающий звук, доносящийся из надгробного камня.</t>
  </si>
  <si>
    <t>Từ sau phiên bản 0.75, người chơi sẽ nghe thấy một tiếng ríu rít nhỏ từ các bia mộ</t>
  </si>
  <si>
    <t>Até a versão 0.75, os jogadores que começassem um novo save eram capazes de ouvir um barulho de murmúrio sutil vindo das lápides.</t>
  </si>
  <si>
    <t>Setelah versi 0.75, pemain yang memulai file penyimpanan baru akan dapat mendengar suara gemericik samar dari batu nisan.</t>
  </si>
  <si>
    <t>妹妹免疫毒素，因此有毒的食物不會使她中毒，但哥哥無法免疫。</t>
  </si>
  <si>
    <t>妹は毒素に免疫があるため、有毒な食べ物で中毒になることはありませんが、お兄ちゃんはクソ雑魚なので免疫がありません…</t>
  </si>
  <si>
    <t>Imouto is actually immune to poison, so feeding her poisonous food doesn't affect her. Unfortunately, this is not the same case for onii-chan</t>
  </si>
  <si>
    <t>Младшая сестра невосприимчива к токсинам, поэтому ядовитая пища её не отравит, а вот старший брат — нет.</t>
  </si>
  <si>
    <t>Imouto thực ra miễn nhiễm với chất độc, nên ăn đồ nhiễm độc sẽ không ảnh hưởng đến em ấy. Tuy nhiên, điều này lại không đúng với onii-chan</t>
  </si>
  <si>
    <t>Imouto é na verdade imune à veneno, logo servir comida envenenada não afeta ela. Infelizmente isso não é o mesmo para o onii-chan</t>
  </si>
  <si>
    <t>Imouto sebenarnya kebal terhadap racun, jadi memberinya makanan beracun tidak akan mempengaruhinya. Sayangnya, hal ini tidak berlaku untuk onii-chan.</t>
  </si>
  <si>
    <t>shift鍵可以切換走路/奔跑姿態</t>
  </si>
  <si>
    <t>Shift キーを押すと、歩行と走行を切り替えることができます</t>
  </si>
  <si>
    <t>Pressing the Shift key toggles between walking and running.</t>
  </si>
  <si>
    <t>Клавиша Shift позволяет переключаться между положениями ходьбы и бега.</t>
  </si>
  <si>
    <t>Nhấn nút Shift chuyển đổi giữa chạy và đi bộ</t>
  </si>
  <si>
    <t>Pressionar a tecla Shift alterna entre andar e correr.</t>
  </si>
  <si>
    <t>Menekan tombol Shift akan beralih antara berjalan dan berlari.</t>
  </si>
  <si>
    <t>部分武器會因為習得忍者相關技能後而產生變化，例如匕首
近距離無敵人時，會自動切換為遠距離的投擲，並且"標記"該敵人。
"旋風斬"被替換為"強襲"，對擁有"標記"的敵人能夠瞬間移動到其身後並強化背刺傷害傷害。
"閃步太刀"技能被強制切換為短時間的隱身，隱身期間的第一次攻擊會追加背刺判定
****匕首類型武器暫時未實裝</t>
  </si>
  <si>
    <t>一部の武器は、忍者関連のスキルを習得することで変化します。例えば、短剣は次のようになります。
近距離に敵がいない場合、自動的に遠距離の投擲に切り替わり、その敵に「マーク」を付けます。
「旋風斬」は「強襲」に置き換えられ、マークの付いた敵に対して瞬時に背後に移動し、背後からのダメージが強化されます。
「閃歩太刀」スキルは短時間の隠身に強制的に切り替わり、隠身中の最初の攻撃には背刺判定が追加されます。
****ダガータイプの武器は現在未実装です</t>
  </si>
  <si>
    <t>Some weapons will change once you learn ninja-related skills, such as daggers.
When there are no enemies in melee range, it will immediately switch to a ranged weapon where it will be thrown as a range weapon, leaving a mark on enemies when hit. 
Senpuu Giri is now replaced with "Power Assault", which lets you instantly teleport behind an enemy target with a mark from throwing daggers while increasing backstab damage.
Senpo Tachi is now forced to put you into stealth for a very short duration. The first hit during stealth will deal bonus backstab damage.
*Dagger weapons are not yet implemented</t>
  </si>
  <si>
    <t>Некоторые виды оружия изменятся после изучения навыков, связанных с ниндзя, например, кинжалы.
Когда поблизости нет врагов, автоматически произойдет метательная атака на дальнем расстоянии, и враг будет «помечен».
Навык «Вихревой удар» заменен на «Штурм», который позволяет мгновенно телепортироваться за спину помеченного врага и увеличить урон от удара в спину.
Навык «Мгновенный шаг катаны» принудительно переключается на короткий период скрытности; первая атака в режиме скрытности будет иметь дополнительный эффект удара в спину.
****Оружие типа кинжалов пока не реализовано.</t>
  </si>
  <si>
    <t>Một số vũ khí sẽ thay đổi khi bạn học được các kỹ năng liên quan đến ninja, như dao găm.
Khi không có kẻ thù nào trong tầm vũ khí cầm tay, nó sẽ tự chuyển sang vũ khí tầm xa khi nó có thể được ném, để lại dấu vết trên kẻ thù khi trúng
Senpuu Giri giờ đã bị thay thế bằng “Đâm Lén”, thứ cho phép bạn dịch chuyển ngay đằng sau kẻ thù đã bị đánh dấu từ con dao găm đã ném, cùng với đó là tăng sát thương đâm lén
Senpo Tachi giờ bắt buộc đưa bạn vào trạng thái lén lút trong một khoảng thời gian ngắn. Cú đâm đầu tiên trong trạng thái lén lút sẽ gây thêm sát thương đâm sau lưng
*Các vũ khí dao găm chưa được triển khai</t>
  </si>
  <si>
    <t>Algumas armas irão mudar uma vez que você aprenda técnica ninjas, como adagas.
Quando não tiver inimigos na distância corpo a corpo, ela irá imediatamente mudar para uma arma de ataque a distância quando ela será arremessada como uma arma de ataque a distância, deixando uma marca no inimigo quando atingir.
Senpuu Giri está agora substituindo "Power Assault", que deixa você teleportar instantaneamente para trás de um inimigo alvo com a marca da adaga jogada enquanto aumenta o dano de Apunhalada pelas costas.
Senpo Tachi é forçado a te colocar em um modo sorrateiro por uma duração bem curta. O primeiro acerto durante o modo sorrateiro dará o bônus de dano da Apunhalada pelas costas.
*A arma adaga ainda não foi implementada</t>
  </si>
  <si>
    <t>Beberapa senjata akan berubah setelah Anda mempelajari keterampilan yang berhubungan dengan ninja, seperti belati.
Saat tidak ada musuh dalam jangkauan jarak dekat, senjata akan langsung beralih ke senjata jarak jauh yang akan dilempar sebagai senjata jarak jauh, meninggalkan tanda pada musuh saat mengenainya.
Senpuu Giri sekarang digantikan dengan "Power Assault", yang memungkinkan Anda untuk langsung berteleportasi ke belakang target musuh dengan tanda dari lemparan belati sambil meningkatkan kerusakan tusukan dari belakang.
Senpo Tachi sekarang memaksa Anda untuk masuk ke mode siluman untuk durasi yang sangat singkat. Pukulan pertama selama mode siluman akan memberikan bonus kerusakan tusukan dari belakang.
*Senjata belati belum diimplementasikan</t>
  </si>
  <si>
    <t>「做壞事」會累積罪惡值，例如：對妹妹性騷擾、背刺敵人、破壞公物、使用炸彈到河裡
(罪惡值目前未實裝)</t>
  </si>
  <si>
    <t>悪事を行うことで罪悪値が蓄積されます。例えば：妹へのセクハラ、敵の背刺、公物の破壊、爆弾を川に投げ入れるなどです</t>
  </si>
  <si>
    <t>Doing bad things will accumulate "evilness". These include sexually harassing imouto, attacking enemies in the back, vandalizing public property, using bombs to fish in the river, etc. (Repercussions for being evil isn't implemented yet)</t>
  </si>
  <si>
    <t>За совершение плохих поступков начисляются очки греха, например: сексуальное домогательство к сестре, предательство врага, вандализм в отношении общественного имущества и бросание бомбы в реку.
(Система начисления очков греха пока не реализована)</t>
  </si>
  <si>
    <t>Làm các việc xấu sẽ tích lũy “Tội lỗi”. Việc này bao gồm có hành động khiếm nhã với Imouto, phá hủy tài sản công cộng, dùng bom để bắt cá trên sông, vv... (hậu quả của việc trở nên xấu xa chưa được thực hiện)</t>
  </si>
  <si>
    <t>Fazer coisas ruins irá acumular "maldade". Isso inclui assediar sexualmente a imouto, atacar inimigos pelas costas, vandalizar propriedade pública, usar bombar para pescar peixes no rio, etc.(Repercução por ser mau ainda não foi implementada)</t>
  </si>
  <si>
    <t>Melakukan hal-hal buruk akan mengakumulasi "kejahatan". Ini termasuk pelecehan seksual terhadap adik, menyerang musuh dari belakang, merusak properti publik, menggunakan bom untuk memancing di sungai, dll. (Konsekuensi atas perbuatan jahat belum diimplementasikan)</t>
  </si>
  <si>
    <t>背後刺殺的各階段等級需求(次數)：
2級-&gt;5
3級-&gt;27
4級-&gt;60
5級-&gt;120
6級-&gt;256
7級-&gt;530
8級-&gt;960
9級-&gt;1587 
10級-&gt;2452 
11級-&gt;3600
背後刺殺的各階段傷害倍率(%)：
等級=1 →200
等級=2 → 241
等級=2 → 241
等級=3 → 342
等級=4 → 495
等級=5→ 696
等級=6 → 940
等級=7 → 1228
等級=8 → 1557
等級=9 → 1926
等級=10 → 2333
等級=11 → 2778</t>
  </si>
  <si>
    <t>背後刺しの各階段熟練度要求：
5, 27, 60, 120, 256, 530, 960, 1587, 2452, 3600</t>
  </si>
  <si>
    <t>Backstabbing proficiency requirements for each stage:
Level 2 &gt; 5
Level 3 &gt; 27
Level 4 &gt; 60
Level 5 &gt; 120
Level 6 &gt; 256
Level 7 &gt; 530
Level 8 &gt; 960
Level 9 &gt; 1587
Level 10 &gt; 2452
Level 11 &gt; 3600
Damage multiplier (%) based on level:
Level 1 -&gt; 200%
Level 2 -&gt; 241%
Level 3 -&gt; 342%
Level 4 -&gt; 495%
Level 5 -&gt; 696%
Level 6 -&gt; 940%
Level 7 -&gt; 1228%
Level 8 -&gt; 1557%
Level 9 -&gt; 1926%
Level 10 -&gt; 2333%
Level 11 -&gt; 2778%</t>
  </si>
  <si>
    <t>Требования к умению нанесения удара в спину на каждом этапе:
Уровень 2 → 5
Уровень 3 → 27
Уровень 4 → 60
Уровень 5 → 120
Уровень 6 → 256
Уровень 7 → 530
Уровень 8 → 960
Уровень 9 → 1587
Уровень 10 → 2452
Уровень 11 → 3600
Коэффициент урона (%) зависит от уровня:
Уровень 1 → 200%
Уровень 2 → 241%
Уровень 3 → 342%
Уровень 4 → 495%
Уровень 5 → 696%
Уровень 6 → 940%
Уровень 7 → 1228%
Уровень 8 → 1557%
Уровень 9 → 1926%
Уровень 10 → 2333%
Уровень 11 → 2778%</t>
  </si>
  <si>
    <t>Yêu cầu cấp độ (số lần thử) vủa mỗi cấp độ của Đâm Lén:
Cấp 2 -&gt; 5 
Cấp 3 -&gt; 27
Cấp 4 -&gt; 60
Cấp 5 -&gt; 120
Cấp 6 -&gt; 256 
Cấp 7 -&gt; 530
Cấp 8 -&gt; 960 
Cấp 9 -&gt; 1587 
Cấp 10 -&gt; 2452
Cấp 11 -&gt; 3600
Hệ số sát thương (%) cho mỗi cấp của Đâm Lén:
Cấp 1 → 200
Cấp 2 → 241
Cấp 3 → 342
Cấp 4 → 495
Cấp 5 → 696
Cấp 6 → 940
Cấp 7 → 1228 
Cấp 8 → 1557
Cấp 9 → 1926
Cấp 10 → 2333
Cấp 11 → 2778</t>
  </si>
  <si>
    <t>O treinamento necessário (número de tentativas) para cada nível de Apunhalar pelas costas:
Nível 2 -&gt; 5
Nível 3 -&gt; 27
Nível 4 -&gt; 60
Nível 5 -&gt; 120
Nível 6 -&gt; 256
Nível 7 -&gt; 530
Nível 8 -&gt; 960
Nível 9 -&gt; 1587
Nível 10 -&gt; 2452
Nível 11 -&gt; 3600
Multiplicadores de dano (%) para cada nível de Apunhalar pelas costas:
Nível=1 → 200
Nível=2 → 241
Nível=3 → 342
Nível=4 → 495
Nível=5 → 696
Nível=6 → 940
Nível=7 → 1228
Nível=8 → 1557
Nível=9 → 1926
Nível=10 → 2333
Nível=11 → 2778</t>
  </si>
  <si>
    <t>Persyaratan kemampuan berkhianat untuk setiap tahap:
5%/27%/60%/120%/256%/530%/960%/1587%/2452%/3600%</t>
  </si>
  <si>
    <t>背後刺殺，也可以對場景物件(例如樹木、罐子)生效，可以輕鬆的提升熟練度。
(有些物件的方位要注意，例如：花朵、蘑菇)</t>
  </si>
  <si>
    <t xml:space="preserve">背後からの暗殺は、オブジェクト（例えば、木や壺）にも効果があります。これにより、簡単に熟練度を上げることができます
（ただし、一部のオブジェクトの向きには注意が必要です。例えば：花やキノコ）
</t>
  </si>
  <si>
    <t>Backstab also works on inanimate objects such as vases, trees, etc. so they can be used to help improve the skill's efficiency. (Pay attention to some objects as to where they are facing such as mushrooms and flowers)</t>
  </si>
  <si>
    <t>Удары в спину также можно наносить по объектам окружающей среды (например, деревьям и банкам), что значительно повышает уровень мастерства.
(Обратите внимание на расположение некоторых объектов, таких как цветы и грибы.)</t>
  </si>
  <si>
    <t>Đâm lén cũng hoạt động với các vật vô tri như bình, cây, vv,... nên cũng có thể dùng chúng để tăng độ thông thạo kĩ năng. (Chú ý đến hướng các vật như nấm và hoa đang quay vào)</t>
  </si>
  <si>
    <t>Apunhalar pelas costas tmabém funciona em objetos inanimados como vasos, árvores, etc. Então, ele pode ser usado para ajudar a melhorar a eficiênciadessa técnica.(Preste atenção a alguns objetos como para onde eles estão virados como cogumelos e flores.)</t>
  </si>
  <si>
    <t>Serangan dari belakang juga berfungsi pada benda mati seperti vas, pohon, dll., sehingga dapat digunakan untuk membantu meningkatkan efisiensi keterampilan ini. (Perhatikan arah hadap beberapa objek, seperti jamur dan bunga)</t>
  </si>
  <si>
    <t>技能"氣息消除"
在敵人背後潛行和在洗面所跳舞都可以累積熟練度，熟練度看不到，請直接查看技能等級</t>
  </si>
  <si>
    <t>スキル『気配遮断』
敵の背後で潜行したり、洗面所で踊ったりすることで熟練度を蓄積できます。熟練度は表示されないため、スキルレベルを確認してください。</t>
  </si>
  <si>
    <t>Regarding the skill "Breath Concealment"
This skill's proficiency can be increased by sneaking behind the enemy or by dancing in the washroom. The proficiency can't be seen directly, except in the skills tab during adventure mode.</t>
  </si>
  <si>
    <t>Навык «Устранение ауры» можно освоить, подкрадываясь к врагам сзади или танцуя в туалете. Уровень освоения не отображается; пожалуйста, проверьте уровень навыка напрямую.</t>
  </si>
  <si>
    <t>Fähigkeit ,,Atemverbergen":
Die Fertigkeit dieser Fähigkeit kann verbessert werden, indem man sich hinter Feinde schleicht oder im Waschraum tanzt. Der Fertigkeitsgrad ist nicht direkt sichtbar, außer im Fähigkeitenmenü während des Abenteuermodus.</t>
  </si>
  <si>
    <t>Liên quan đến kĩ năng “Ẩn Hơi Thở”
Độ thông thạo kĩ năng có thể được nâng lên bằng cách đi lén lút đằng sau kẻ thù hoặc nhảy trong phòng giặt đồ. Độ thông thạo không thể được thấy trực tiếp, trừ thẻ kĩ năng trong chế độ phiêu lưu</t>
  </si>
  <si>
    <t>Em relação a técnica "Ocultar a Respiração"
A proficiência nessa técnica pode aumentar ao se mover sorrateiramente para atrás de inimigos ou por dançar na antesala da banheira. A proficiência não pode ser vista diretamente, exceto na aba de técnicas durante o modo aventura.</t>
  </si>
  <si>
    <t>Mengenai kemampuan "Penyembunyian Napas"
Kemahiran kemampuan ini dapat ditingkatkan dengan menyelinap di belakang musuh atau dengan menari di kamar mandi. Kemahiran tidak dapat dilihat secara langsung, kecuali di tab kemampuan selama mode petualangan.</t>
  </si>
  <si>
    <t>精英野怪：當一種怪物被擊殺的數量達到某個程度後，就可能誕生被強化的野怪，擁有更強大的屬性。
目前只有初步實裝，後續會再加強各方面的特效以及寶物掉落。</t>
  </si>
  <si>
    <t>エリート810(野獣)：ある種のモンスターが一定数撃破されると、強化された先輩(野獣)が出現する可能性があり、より強力な属性を持っています。現在は初期実装のみで、今後はエフェクトやレアのドロップを強化する予定です。
「この辺にィ、強化された野獣が出るらしいっすよ？」
「じゃけん倒しに行きましょうね～」</t>
  </si>
  <si>
    <t xml:space="preserve">When monsters have been killed by a certain amount, an elite version whose stats are more powerful than that of the original monster, will spawn around the abyss.
Currently, it's on its early stages, so future drops such as better loot, etc. are not yet implemented. </t>
  </si>
  <si>
    <t>Элитные монстры: После уничтожения определённого количества монстров могут появиться улучшенные монстры с более сильными характеристиками.
В настоящее время это только начальная версия; в дальнейшем будут внесены улучшения в различные эффекты и выпадение предметов.</t>
  </si>
  <si>
    <t>Elite-Gegner Mechanik:
Wenn eine bestimmte Anzahl von Monstern getötet wurde, erscheint eine stärkere Elite-Version dieser Monster in der Nähe des Abgrunds. Diese besitzen verbesserte Werte gegenüber den normalen Monstern.
Das System befindet sich noch in der frühen Entwicklungsphase, daher sind zukünftige Belohnungen wie bessere Beute noch nicht implementiert.</t>
  </si>
  <si>
    <t>Khi số quái đã bị giết đạt đến một con số nhất định, một phiên bản cao hơn của chúng sẽ xuất hiện trong Vực sâu, với chỉ số cao hơn con nguyên bản
Hiện tại, nó ở giai đoạn ban đầu, nên việc các vật phẩm rơi ra như vật phẩm tốt hơn, vv... chưa được triển khai</t>
  </si>
  <si>
    <t xml:space="preserve">Quando o mesmo tipo de monstros forem mortos em uma certa quantidade, uma versão de elite com estatus mais poderoso que a versão original surgirão em volta do Abismo.
Atualmente, está em estágio inicial, logo no futuro melhores itens e outros serão implementados mas ainda não. </t>
  </si>
  <si>
    <t>Ketika monster telah dibunuh dalam jumlah tertentu, versi elit yang memiliki statistik lebih kuat daripada monster aslinya akan muncul di sekitar jurang.
Saat ini, fitur ini masih dalam tahap awal, sehingga item yang akan didapatkan di masa mendatang seperti loot yang lebih baik, dll., belum diimplementasikan.</t>
  </si>
  <si>
    <t>同上，飲料販賣機也有可能出現菁英飲料販賣機</t>
  </si>
  <si>
    <t>上記と同様に、自販機も強化された飲料自販機として登場する場合があります…</t>
  </si>
  <si>
    <t>For the same reasons above, the vending machine may also have an elite variant!</t>
  </si>
  <si>
    <t>Аналогичным образом могут появиться и элитные автоматы по продаже напитков.</t>
  </si>
  <si>
    <t>Ebenso könnte es in der Zukunft nicht nur einen Getränkeautomaten, sondern auch einen Elite-Getränkeautomaten geben</t>
  </si>
  <si>
    <t>Với cùng lí do như trên, máy bán đồ cũng sẽ có phiên bản cao cấp hơn!</t>
  </si>
  <si>
    <t>Pelas razões mencionada acima, A máquina de venda possivelmente também terá uma versão de elite!</t>
  </si>
  <si>
    <t>Karena alasan yang sama seperti di atas, mesin penjual otomatis mungkin juga memiliki varian elit!</t>
  </si>
  <si>
    <t>史萊姆貓咪其實不是喜歡哥哥，而是喜歡他身上沾到的妹妹香味。</t>
  </si>
  <si>
    <t>猫スライムはお兄ちゃんのことは好きではないけど、妹の匂いが付いたお兄ちゃんは大好きである！</t>
  </si>
  <si>
    <t>In reality, the slime cat doesn't like the brother. It only likes him because of the lingering scent of his sister.</t>
  </si>
  <si>
    <t>Слизневый кот на самом деле не любит своего брата; ему просто нравится запах сестры, который к нему прилип.</t>
  </si>
  <si>
    <t>Schleimkatzen-Verhalten:
Eigentlich mag die Schleimkatze den Bruder nicht. Sie toleriert ihn nur wegen des vertrauten Geruchs seiner Schwester</t>
  </si>
  <si>
    <t>Thật ra, con mèo slime không thích onii-chan. Nó chỉ thích mùi hương còn lại của imouto</t>
  </si>
  <si>
    <t>Na realidade, O slime gato não gosta do onii-chan. Ele apenas suporta ele por conta do leve aroma de sua imouto.</t>
  </si>
  <si>
    <t>Sebenarnya, kucing slime itu tidak menyukai Onii-chan. Ia hanya menyukainya karena aroma adiknya yang masih melekat.</t>
  </si>
  <si>
    <t>打開的"星之門"可以吸收物體和子彈，阻擋的傷害有上限(被淺羽攻擊大約2秒就爆了)</t>
  </si>
  <si>
    <t>開いた「星の門」は物体や弾丸を吸収できるが、防げるダメージには限界がある（アサバの攻撃を受けると約2秒後に爆発する）。</t>
  </si>
  <si>
    <t>When the Star Gate is left open, it can absorb objects and projectiles that pass through it (this has a limit as it explodes after 2 seconds after being attacked by Asaba)
In addition to this, the door can also damage monsters passing through it</t>
  </si>
  <si>
    <t>Открытые «Звёздные врата» могут поглощать предметы и пули, но существует предел урона, который они могут заблокировать (они взрываются примерно через 2 секунды, если их атакует Асаба).</t>
  </si>
  <si>
    <t>Sternentor-Mechanik:
Wenn das Sternentor offen bleibt, kann es Objekte und Geschosse absorbieren, die durchfliegen (dies hat jedoch Grenzen - nach 2 Sekunden oder wenn es von Asaba angegriffen wird, explodiert es).
Zusätzlich fügt das Tor durchquerenden Monstern Schaden zu</t>
  </si>
  <si>
    <t>Khi Cửa Thiên Tinh được để mở, nó sẽ hấp thụ tất cả vật thể và đạn bay qua nó (nó có giới hạn khi nó phát nổ 2 giây sau khi bị Asaba tấn công)
Thêm vào đó, Cửa Thiên Tinh cũng sẽ gây sát thương lên quái đi qua nó</t>
  </si>
  <si>
    <t>Quando o portão estelar é deixado aberto, ele pode absorver objetos e projéteis que passa por ele( Isso tem um limite uma vez que ele explode depois de 2 segundos após ser atacado pela Asaba)
Em adição à isso, a porta também pode dar dano a mostros passando por ela</t>
  </si>
  <si>
    <t>Ketika Gerbang Bintang dibiarkan terbuka, ia dapat menyerap benda dan proyektil yang melewatinya (ini memiliki batas karena akan meledak setelah 2 detik setelah diserang oleh Asaba).
Selain itu, pintu tersebut juga dapat melukai monster yang melewatinya.</t>
  </si>
  <si>
    <t>親密接觸(洗澡後、各服裝、各心情、各甜品狀態，皆有可能有不同演出)
身體部位有以下內容：呆毛、頭部、胸部、私處、耳朵、鎖骨、乳頭、肚皮
拖拽時特殊項目：呆毛、胸部、乳頭</t>
  </si>
  <si>
    <t xml:space="preserve">
スキンシップ：
妹の服装や気分、デザートを食べた後、シャワーを浴びた後などによって、異なるアニメーションが発生します。
以下の部位に触れることができます：
アホ毛、頭、おっぱい！、股間、耳、鎖骨、乳首、お腹
ドラッグ時の特別な反応：
アホ毛、おっぱい！、乳首
</t>
  </si>
  <si>
    <t>Skinship:
Different animations will occur depending on imouto's outfit, mood, after eating desserts, after taking a shower, etc.
The following body parts can be touched:
Ahoge, head, chest, crotch, ears, collarbone, nipples, belly
Special interactions when dragging:
Ahoge, chest, nipples</t>
  </si>
  <si>
    <t>Интимный контакт (различные действия могут происходить после купания, в разной одежде, настроении и во время поедания десертов). К частям тела относятся: ахоге (вихрь), голова, грудь, гениталии, уши, ключица, соски и живот. Специальные предметы для перетаскивания: ахоге, грудь и соски.</t>
  </si>
  <si>
    <t>Zärtlichkeiten:
Je nach Outfit, Stimmung, nach dem Essen von Süßigkeiten oder nach dem Duschen der kleinen Schwester werden unterschiedliche Animationen ausgelöst.
Folgende Körperteile können berührt werden:
Ahoge (Strahnenhaar), Kopf, Brust, Intimbereich, Ohren, Schlüsselbein, Brustwarzen, Bauch
Durch Ziehen an diesen Stellen erhältst du besondere Gegenstände:
Ahoge (Komisches Haar), Brust, Brustwarzen</t>
  </si>
  <si>
    <t>Skinship:
Các animation khác nhau sẽ xảy ra dựa trên trang phục của imouto, cảm xúc, sau khi ăn tráng miệng, sau khi tắm, vv...
Những bộ phận sau đây có thể được chạm:
Ahoge, đầu, ngực, xương chậu, tai, xương đòn, núm vú, bụng
Những tương tác đặc biệt khi di và kéo:
Ahoge, ngực, núm vú</t>
  </si>
  <si>
    <t>Acariciar:
Diferente animações ocorrerão dependendo da roupa da imouto, do humor, depois de comer uma sobremesa, tomar banho, etc.
As seguintes partes do corpo podem ser tocadas:
Ahoge, cabeça, seios, virília, orelhas, clavícula, mamilos, barriga
Interrações especiais quando arrastado:
Ahoge, seios, mamilos</t>
  </si>
  <si>
    <t>Sentuhan Fisik:
Animasi berbeda akan muncul tergantung pada pakaian, suasana hati, setelah makan makanan penutup, setelah mandi, dll.
Bagian tubuh berikut dapat disentuh:
Ahoge, kepala, dada, selangkangan, telinga, tulang selangka, puting, perut
Interaksi khusus saat menyeret:
Ahoge, dada, puting</t>
  </si>
  <si>
    <t>空手且背刺的情況下，可以使用隱藏的千年殺技能，可以擊飛目標敵人
※傷害的數值受到背刺技能影響、不受劍術修行技能影響
※無法對免疫擊飛的怪物使用、只能對敵人單位使用
※未來可能會實裝對不同敵人有不同色情動作的延伸</t>
  </si>
  <si>
    <t>「装備している武器がなく、『背後攻撃』スキルを習得している場合、敵の背後から攻撃する際に隠し技『千年の死』を使用することができるようになります。
*ダメージ量は剣の熟練度ではなく、背後攻撃の熟練度に依存します
*ノックバック効果を無効化するモンスターには使用できません。敵キャラクターにのみ使用可能です
*今後、特定の敵に対して使用した場合に異なる卑猥なアクションが発生する可能性があります」</t>
  </si>
  <si>
    <t>When you have no equipped weapons and have learnt the backstab skill, you can use the hidden technique "One Thousand Years of Death" when attacking enemies from behind. 
*The damage is based on your backstab proficiency, not sword proficiency
*Cannot be used on monsters that are immune to knockback effects. Can only be used on enemies.
*In the future, different lewd actions may happen when used on certain enemies</t>
  </si>
  <si>
    <t>При безоружном ударе в спину можно использовать скрытый навык «Тысяча лет смерти», который подбрасывает противника в воздух.
※Урон зависит от навыка удара в спину, но не от навыков фехтования.
※Не может быть использован против монстров, невосприимчивых к отбрасыванию; может быть использован только против вражеских юнитов.
※В будущем могут быть добавлены варианты с различными эротическими действиями против разных врагов.</t>
  </si>
  <si>
    <t>Khi bạn đang không trang bị vũ khí nào và đã học được kĩ năng đâm sau lưng, bạn có thể sử dụng kĩ năng ẩn “Ngàn Năm của Thần Chết” khi tấn công kẻ địch từ đằng sau
*Sát thương sẽ dựa trên độ thông thạo đâm lén, không phải độ thông thạo vũ khí
*Không thể áp dụng lên quái miễn nhiễm với hiệu ứng đẩy lùi. Chỉ có thể được dùng lên kẻ thù
*Trong tương lai, nhiều hành động không đứng đắn sẽ xảy ra khi được sử dụng trên một số kẻ thù nhất định</t>
  </si>
  <si>
    <r>
      <rPr>
        <rFont val="Microsoft JhengHei"/>
        <color theme="1"/>
      </rPr>
      <t xml:space="preserve">Quando você não tem armas equipadas e aprendeu a técnica apunhalada pelas costas, você pode usar uma técnica secreta "Mil anos de dor" quando atacando um inimigo por trás.
*O dano é baseado na proficiência da apunhalada pelas costas, não na proficiência com espadas.
*Não pode ser usado em monstros que são imunes à efeitos de </t>
    </r>
    <r>
      <rPr>
        <rFont val="Microsoft JhengHei"/>
        <i/>
        <color theme="1"/>
      </rPr>
      <t>knockback</t>
    </r>
    <r>
      <rPr>
        <rFont val="Microsoft JhengHei"/>
        <color theme="1"/>
      </rPr>
      <t>. Só pode ser usado em inimigos.
*No futuro, diferentes ações pervertidas poderão ocorrer quando usados em certos inimigos.</t>
    </r>
  </si>
  <si>
    <t>Saat kamu tidak memiliki senjata yang terpasang dan telah mempelajari keterampilan tusukan dari belakang, kamu dapat menggunakan teknik tersembunyi "Seribu Tahun Kematian" saat menyerang musuh dari belakang.
*Kerusakan didasarkan pada kemahiran tusukan dari belakangmu, bukan kemahiran pedangmu.
*Tidak dapat digunakan pada monster yang kebal terhadap efek dorongan mundur. Hanya dapat digunakan pada musuh.
*Di masa mendatang, tindakan cabul yang berbeda mungkin terjadi saat digunakan pada musuh tertentu.</t>
  </si>
  <si>
    <t>牛奶是最好的解辣飲品，能大幅縮短解除辣哭了的持續時間</t>
  </si>
  <si>
    <t>牛乳は最良の辛さをやわらげ泣いている時間を大幅に短縮することができる！</t>
  </si>
  <si>
    <t>Milk is the best drink to relieve spiciness as it will significantly reduce its duration</t>
  </si>
  <si>
    <t>La leche es el mejor antídoto contra el picante.
 Reduce drásticamente la duración del estado "llorar por lo picante".</t>
  </si>
  <si>
    <t>Молоко — лучший напиток для снятия жжения, и оно может значительно сократить продолжительность ощущения покалывания.</t>
  </si>
  <si>
    <t>Milch ist das beste Getränk, um Schärfe zu lindern, und kann die Dauer des "Weinen von Schärfe"-Zustands erheblich verkürzen.</t>
  </si>
  <si>
    <t>Sữa là đồ uống tốt nhất để chữa cay vì nó làm giảm đáng kể thời gian cay</t>
  </si>
  <si>
    <t>Leite é a melhor bebida para aliviar o apimentado sendo assim, sua duração será reduzida significantemente.</t>
  </si>
  <si>
    <t>Susu adalah minuman terbaik untuk meredakan rasa pedas karena akan secara signifikan mengurangi durasinya.</t>
  </si>
  <si>
    <t>客廳的電視，目前無實際用途，未來預計會依照不同的天數，每天做出不同的畫面(例如：新聞、動畫、食譜、黑暗料理、彩蛋等)</t>
  </si>
  <si>
    <t>リビングのテレビは現在実際の用途がなく、将来的には異なる日数に応じて、毎日異なる画面を表示する予定です（例：ニュース、アニメ、レシピ、ダーク料理、隠し要素など）</t>
  </si>
  <si>
    <t>The TV in the living room has no use as of the moment. In the future, it's expected to display various content depending what day it is. (e.g. news, animation, recipe, dark food, easter eggs, etc.)</t>
  </si>
  <si>
    <t>La televisión de la sala no tiene utilidad por ahora,
 pero en el futuro mostrará distintos contenidos según el día:
Noticias, anime, recetas, cocina oscura… incluso easter eggs.</t>
  </si>
  <si>
    <t>Телевизор в гостиной в настоящее время не используется, но планируется ежедневно показывать на нем разный контент (например, новости, мультфильмы, рецепты, необычные блюда, пасхальные яйца и т. д.) в зависимости от количества дней.</t>
  </si>
  <si>
    <t>Der Fernseher im Wohnzimmer hat aktuell keine tatsächliche Funktion. Zukünftig soll er je nach Tag verschiedene Inhalte anzeigen, darunter Nachrichten, Animationen, Rezepte, "dunkle Küche (humorvolle Anspielung auf schlechte Kochkünste) und Easter Eggs.</t>
  </si>
  <si>
    <t>TV trong phòng khách hiện tại không có tác dụng gì. Trong tương lai, nó sẽ chiếu vô số nội dung tùy vào ngày đó là ngày gì (vd tin tức, animation, công thức, đồ ăn hắc ám, easter egg, vv)</t>
  </si>
  <si>
    <t>A TV na sala de estar não tem utilidade no momento. No futuro, é esperando que vários conteúdo sejam exibidos dependendo qual dia é. (p. ex. jornal, animações, receitas, comidas sombrias, animation, recipe, dark food, surpresa escondida, etc.)</t>
  </si>
  <si>
    <t>Televisi di ruang tamu saat ini tidak digunakan. Di masa mendatang, televisi tersebut diharapkan dapat menampilkan berbagai konten tergantung harinya. (misalnya berita, animasi, resep, makanan bertema gelap, easter egg, dll.)</t>
  </si>
  <si>
    <t>ASABA通常會出現在路邊的草莓叢中</t>
  </si>
  <si>
    <t>ASABAは通常、道端のイチゴの茂みの中に出現します</t>
  </si>
  <si>
    <t>ASABA is mostly seen nearby strawberry bushes in the sideroad</t>
  </si>
  <si>
    <t>ASABA suele aparecer entre los arbustos de fresas al borde del camino.</t>
  </si>
  <si>
    <t>Растение ASABA обычно встречается на земляничных кустах вдоль дорог.</t>
  </si>
  <si>
    <t>ASABA erscheint typischerweise in Erdbeerbüschen am Straßenrand.</t>
  </si>
  <si>
    <t>ASABA sẽ được thấy nhiều nhất gần bụi dâu tây ở ven đường</t>
  </si>
  <si>
    <t>ASABA é em sua maioria vista perto dos morangueiros na rua secundária.</t>
  </si>
  <si>
    <t>ASABA biasanya terlihat di dekat semak stroberi di pinggir jalan.</t>
  </si>
  <si>
    <t>"草莓"食材，目前無實際用途，等待未來更新</t>
  </si>
  <si>
    <t>「イチゴ」食材は現在実際の用途がなく、今後のアップデートを待っています</t>
  </si>
  <si>
    <t>Presently, Strawberry has no practical use. Please wait for future updates.</t>
  </si>
  <si>
    <t xml:space="preserve">El ingrediente “Fresa” no tiene uso actualmente.
</t>
  </si>
  <si>
    <t>В настоящее время ингредиент «клубника» не имеет практического применения; подробности будут предоставлены в будущих обновлениях.</t>
  </si>
  <si>
    <t>Erdbeeren als Zutat haben derzeit keinen praktischen Nutzen, warten auf zukünftige Updates.</t>
  </si>
  <si>
    <t>Hiện tại, Dâu Tây không có mục đích sử dụng thực sự. Hãy chờ đến các cập nhật trong tương lai</t>
  </si>
  <si>
    <t>Atualmente, Morangos não tem uso prático. Por favor esperar por atualizações futuras.</t>
  </si>
  <si>
    <t>Saat ini, Strawberry belum memiliki kegunaan praktis. Mohon tunggu pembaruan selanjutnya.</t>
  </si>
  <si>
    <t>關於稻草人，目前版本開發出來的擊殺方式有：死神塔羅牌與復活術、破顏拳套+貓爪手套、毒刀不斷的累積傷害</t>
  </si>
  <si>
    <t>現在のバージョンでは、カカシを撃破する方法として開発されたのは、死神タロットカードと破顔グローブ＋ネコグローブの組み合わせ、それと毒による重複ダメージくらいです</t>
  </si>
  <si>
    <t>In this current version, the only way to kill the Scarecrow is by using the Death tarot card, using Face Breaker paired with Neko Punch and stacking poison with Venomous Embrace</t>
  </si>
  <si>
    <t>Actualmente, solo hay dos formas de derrotar al espantapájaros: 
Usar la Carta del Tarot: Muerte
 Combinar Guantes Rompecaras + Guantes de Garras de Gato</t>
  </si>
  <si>
    <t>Что касается Пугала, то в настоящее время разработаны следующие методы борьбы с ним: использование карт Таро Смерти и заклинания Воскрешения, использование Перчаток, ломающих лица, и Перчаток с кошачьими когтями, а также непрерывное нанесение урона с помощью Отравленного ножа.</t>
  </si>
  <si>
    <t>Derzeit kann man Vogelscheuchen im Spiel nur mit der Sense der Todes-Tarotkarte oder durch die Anwendung von Gesichtsprenger Fäustlingen in Kombination mit Katzenkrallen Handschuhen besiegen.</t>
  </si>
  <si>
    <t xml:space="preserve">Trong phiên bản hiện tại, cách duy nhất để phá hủy Bù Nhìn là dùng bài tarot “Thần Chết”, trang bị “Hủy Dung” với “Nắm Đấm Neko" hoặc tích độc với Vòng Tay Độc Tử </t>
  </si>
  <si>
    <t>Na versão atual, A única forma de matar um espantalho é usar a carta de tarô Morte, usando Quebra-Faces junto com Soco de Neko e acumular veneno com Abraço Venenoso.</t>
  </si>
  <si>
    <t>Dalam versi saat ini, satu-satunya cara untuk membunuh Scarecrow adalah dengan menggunakan kartu tarot Death, menggunakan Face Breaker yang dipasangkan dengan Neko Punch dan menumpuk racun dengan Venomous Embrace.</t>
  </si>
  <si>
    <t>在"冒險者小道:紀念碑"地圖中，石碑可以查看到戰敗的次數了</t>
  </si>
  <si>
    <t>冒険者の道：記念碑」では、石柱に触れることで、死亡した回数を確認することができます</t>
  </si>
  <si>
    <t>In "Adventurer's Path: Monument", you can interact with the stone pillar to see how many times you've died in your playthrough.</t>
  </si>
  <si>
    <t>На карте "Тропа искателя приключений: Монумент" каменный монумент отображает количество ваших поражений.</t>
  </si>
  <si>
    <t>In "Adventurer's Path: Monument" kannst du mit der Steinsäule interagieren, um zu sehen, wie oft du in deinem Spieldurchlauf gestorben bist.</t>
  </si>
  <si>
    <t>Ở “Con Đường Nhà Thám Hiểm: Đài Tưởng Niệm”, bạn có thể tương tác với cột đá để xem bạn đã chết bao nhiêu lần trong trò chơi</t>
  </si>
  <si>
    <r>
      <rPr>
        <rFont val="Microsoft JhengHei"/>
        <color theme="1"/>
      </rPr>
      <t>No "</t>
    </r>
    <r>
      <rPr>
        <rFont val="Microsoft JhengHei"/>
        <i/>
        <color theme="1"/>
      </rPr>
      <t>Adventurer's Path: Monument</t>
    </r>
    <r>
      <rPr>
        <rFont val="Microsoft JhengHei"/>
        <color theme="1"/>
      </rPr>
      <t>", Você pdoe interagir com o pilar de pedra para ver quantas vezes você morreu nesse save.</t>
    </r>
  </si>
  <si>
    <t>Di "Jalur Petualang: Monumen", Anda dapat berinteraksi dengan pilar batu untuk melihat berapa kali Anda telah mati dalam permainan Anda.</t>
  </si>
  <si>
    <t>取名補充：
取妹妹相關的名子時，遊戲標題和遊戲LOGO中的"彼女"將會變更為"妹"</t>
  </si>
  <si>
    <t>命名に関する追加情報：妹にちなんだ名前を選択した場合、ゲームタイトルおよびロゴの「彼女」が「妹」に変更されます</t>
  </si>
  <si>
    <t>Fun fact when naming imouto:
If you choose a name related to her being a sister, the game's logo will change accordingly from "A Simple Life With My Unobtrusive Girl" to "A Simple Life With My Unobtrusive Sister"</t>
  </si>
  <si>
    <t>Дополнительная информация по выбору имени: При выборе имени, связанного с вашей младшей сестрой, "彼女" (Kanojo) в названии и логотипе игры будет заменено на "妹" (Imouto).</t>
  </si>
  <si>
    <t>Fun Fact beim Benennen der Imouto:
Wenn du einen Namen wählst, der sich auf ihre Rolle als Schwester bezieht, ändert sich das Spiel-Logo entsprechend von "A Simple Life With My Unobtrusive Girl" zu "A Simple Life With My Unobtrusive Sister".</t>
  </si>
  <si>
    <t xml:space="preserve">Fun fact khi đặt lại tên Imouto:
Nếu bạn chọn một tên có liên quan đến việc có em ấy là em gái, tên của trò chơi sẽ chuyển từ “A Simple Life With My Unobtrusive Girl” thành “A Simple Life With My Unobtrusive Sister” </t>
  </si>
  <si>
    <t xml:space="preserve">Fato interessante quando nomeando a imouto:
Se você escolher um nome relacionado a ser sua imouto, o logo do jogo irá mudar junto de "A Simple Life With My Unobtrusive Girl" para "A Simple Life With My Unobtrusive Sister" </t>
  </si>
  <si>
    <t>Fakta menarik saat memberi nama adik perempuan:
Jika Anda memilih nama yang berhubungan dengan statusnya sebagai saudara perempuan, logo game akan berubah sesuai dari "Kehidupan Sederhana Bersama Gadisku yang Tak Mencolok" menjadi "Kehidupan Sederhana Bersama Adikku yang Tak Mencolok".</t>
  </si>
  <si>
    <t>安卓版在RPG模式下，透過點擊頭像框，可以顯示FPS；PC版本是F2按鍵。</t>
  </si>
  <si>
    <t>Android版ではRPGモードでアバター枠をクリックするとFPSが表示され、PC版ではF2キーを押すと表示されます。</t>
  </si>
  <si>
    <t>In the Android version of the game, during the RPG mode, you can press the avatar frame to display the FPS. In PC, the hotkey for this is F2.</t>
  </si>
  <si>
    <t>В версии для Android частота кадров отображается при нажатии на рамку аватара в режиме RPG; в версии для ПК — при нажатии клавиши F2.</t>
  </si>
  <si>
    <t>In der Android Version kann im RPG-Modus durch Antippen des Avatar Rahmens die FPS angezeigt werden; in der PC Version über die F2 Taste.</t>
  </si>
  <si>
    <t>Trong phiên bản Android của trò chơi, trong chế độ RPG, bạn có thể nhấn giữ ảnh đại diện để hiển thị FPS. Trên PC, phím tắt là F2</t>
  </si>
  <si>
    <t>Na versão de androide do jogo, durante o modo RPG, você pode pressionar a imagem do seu avatar pra mostrar osFPS. No PC, a tecla para isso é o F2.</t>
  </si>
  <si>
    <t>Pada versi Android game ini, selama mode RPG, Anda dapat menekan bingkai avatar untuk menampilkan FPS. Di PC, tombol pintas untuk ini adalah F2.</t>
  </si>
  <si>
    <t>安卓版在RPG模式下，透過長按頭像框，可以顯示作弊碼的輸入框</t>
  </si>
  <si>
    <t>Android版ゲームでは、RPGモード中にアバター枠を長押しすると、チートコード入力ボックスが表示されます</t>
  </si>
  <si>
    <t>In the Android version of the game, during the RPG mode, you can long press the avatar frame to display the cheat code input box</t>
  </si>
  <si>
    <t>В версии для Android в режиме RPG при длительном нажатии на рамку аватара появится поле для ввода чит-кода.</t>
  </si>
  <si>
    <t>In der Android Version kann im RPG Modus durch langes Drücken auf den Avatar Rahmen das Eingabefeld für Cheat-Codes eingeblendet werden.</t>
  </si>
  <si>
    <t>Trong phiên bản Android của trò chơi, trong chế độ RPG, bạn có thể nhấn giữ ảnh đại diện để hiển thị nơi nhập mã gian lận</t>
  </si>
  <si>
    <t>Na versão de androide do jogo, durante o modo RPG, você pode pressionar a imagem avatar por um tempo para mostrar a caixa de entrada dos macetes.</t>
  </si>
  <si>
    <t>Pada versi Android game ini, selama mode RPG, Anda dapat menekan lama bingkai avatar untuk menampilkan kotak input kode curang.</t>
  </si>
  <si>
    <t>關於賄絡系統
當你的紅心、紫心數量不足以達到事件要求時，可以賄絡妹妹，使用約定草莓牛奶、金幣、什麼都行券，來無視條件
妹妹發情等特殊狀態會做獨立判定</t>
  </si>
  <si>
    <t>賄絡システムについて
あなたの赤いハートや紫のハートの数がイベントの要求を満たしていない場合、賄絡妹（妹）を使用して、約定のイチゴミルク、ゴールド、何でもOK券を使うことで条件を無視できます。
妹が発情などの特殊な状態にある場合、独立した判定が行われます。</t>
  </si>
  <si>
    <t>Regarding the bribery system:
When your red and purple hearts aren't sufficient to trigger the event requirements, you can bribe Imouto with Strawberry Milk, gold coins or the Free Pass Ticket to completely bypass the conditions.
Special status such as "sister in heat" is still needed as prerequisite as they are checked independently.</t>
  </si>
  <si>
    <t>Sobre el sistema de sobornos:
Cuando no tengas suficientes corazones rojos o morados para activar un evento, puedes sobornar a tu hermana para saltarte los requisitos.
Los sobornos aceptados son:
Leche de fresa con promesa, Monedas de oro, Vale para todo 
 Estados especiales como excitación u otras condiciones emocionales serán evaluadas por separado, y no pueden ser forzadas con sobornos.</t>
  </si>
  <si>
    <t>Что касается системы подкупа: если у вас недостаточно красных и фиолетовых сердечек для выполнения условий события, вы можете подкупить девушку, используя такие предметы, как клубничное молоко, монеты или любые купоны, чтобы игнорировать условия. Особые состояния, такие как течка у девушки, будут оцениваться отдельно.</t>
  </si>
  <si>
    <t>Wenn deine Anzahl an roten oder violetten Herzen nicht ausreicht, um die Anforderungen eines Ereignisses zu erfüllen, kannst du das Mädchen bestechen. Du kannst dabei Versprochene Erdbeermilch, Goldmünzen oder "Freie Fahrt Ticket" verwenden, um die Bedingungen zu ignorieren.
Besondere Zustände wie Brünstigkeit des Mädchens werden separat beurteilt.</t>
  </si>
  <si>
    <t>Liên quan đến hệ thống hối lộ
Khi tim đỏ và tím của bạn không đủ để kích hoạt điều kiện, bạn có thể hối lộ em ấy bằng Sữa Dâu Tây, xu vàng hoặc Vé Cho Phép Miễn Phí để hoàn toàn bỏ qua điều kiện
Những trạng thái đặc biệt như “em gái đang rạo rực” vẫn cần là điều kiện đầu tiên vì nó được kiểm tra độc lập</t>
  </si>
  <si>
    <t>A respeito do sistema de suborno:
Quando você não tiver corações vemelhos ou roxos o suficiente para atigir o requerimento para ativar um evento, você pode subornar a Imouto com Leite de Morango, moedas de ouro ou o "Passe Livre" para compeltamente bipassar as condições.
Status especiais como "Imouto no cío" ainda precisan dos prerequisitos como eles checados de forma independete.</t>
  </si>
  <si>
    <t>Mengenai sistem penyuapan:
Jika hati merah dan ungu Anda tidak cukup untuk memicu persyaratan event, Anda dapat menyuap Imouto dengan Susu Stroberi, koin emas, atau Tiket Bebas untuk sepenuhnya melewati persyaratan.
Status khusus seperti "saudari yang sedang birahi" masih diperlukan sebagai prasyarat karena diperiksa secara terpisah.</t>
  </si>
  <si>
    <t>傳說，在某個地區的下方藏著天上之石碎片，而導致胡蘿蔔巨大化；而在這裡就有個想要保護胡蘿蔔的BOSS</t>
  </si>
  <si>
    <t>伝説によれば、ある地域の下に天上の石の欠片が隠されており、それがにんじんの巨大化を引き起こしています。そして、ここにはそのにんじんを守りたいBOSSが居るらしい…？</t>
  </si>
  <si>
    <t>Legend says that there are Philosopher's Stone fragments buried underneath a certain area, which causes carrots to grow abnormally huge... and that there is boss protecting said carrots.</t>
  </si>
  <si>
    <t>Согласно легенде, под определённой местностью спрятан фрагмент небесного камня, из-за которого морковь выросла до таких огромных размеров; и здесь живёт босс, который хочет защитить эту морковь.</t>
  </si>
  <si>
    <t>Der Legende nach ist unter einem bestimmten Gebiet ein Himmelssteinfragment versteckt, das die Karotten riesig werden lässt. Hier gibt es ein Wesen, das es bewacht.</t>
  </si>
  <si>
    <t>Truyền thuyết kể rằng có những mảnh của Hòn Đá Giả Kim được chôn dưới một khu vực nào đó, khiến cà rốt mọc to bất thường… và có một con boss canh giữ những củ cà rốt đó.</t>
  </si>
  <si>
    <t>Lendas dizem que existem fragmentos da Pedra do Filósofo enterrada abaixo de certas áreas, que faem cenouras crescerem estranhamente enormes... e que existe um chefe protegendo esses cenouras.</t>
  </si>
  <si>
    <t>Legenda mengatakan bahwa ada pecahan Batu Filsuf yang terkubur di bawah area tertentu, yang menyebabkan wortel tumbuh sangat besar secara tidak normal... dan ada bos yang melindungi wortel tersebut.</t>
  </si>
  <si>
    <t>盧恩符文Kenaz，只要是能攻擊的對象，都可以發生效果(地圖物件、怪物、BOSS、兔子洞...等)</t>
  </si>
  <si>
    <t>ルーン符文Kenaz - 攻撃できる対象には、マップのオブジェクト、モンスター、BOSS、ウサギの洞窟など、すべてに効果が発生します</t>
  </si>
  <si>
    <t>Kenaz Rune: Any object that can be attacked will be affected (destructibles, monsters, bosses, rabbit holes, etc.)</t>
  </si>
  <si>
    <t>Руна Кеназ может воздействовать на любую цель, которую можно атаковать (объекты на карте, монстры, боссы, кроличьи норы и т. д.).</t>
  </si>
  <si>
    <t>Runensymbol Kenaz – Solange das Ziel angreifbar ist, kann der Effekt eintreten (Kartenobjekte, Monster, BOSS, Kaninchenbau usw.).</t>
  </si>
  <si>
    <t>Kenaz: Bất kỳ vật thể nào có thể bị tấn công đều sẽ chịu ảnh hưởng (vật có thể phá hủy, quái vật, boss, hang thỏ, v.v.).</t>
  </si>
  <si>
    <t>Runa Kenaz: Qualquer objeto que possa ser atacado será afetado( destrutíveis, monstros, chefes, buracos de coelhas, etc.)</t>
  </si>
  <si>
    <t>Rune Kenaz: Objek apa pun yang dapat diserang akan terpengaruh (benda yang dapat dihancurkan, monster, bos, lubang kelinci, dll.)</t>
  </si>
  <si>
    <t>不論是哥哥或妹妹，當食材全吃光後...將會觸發在倉庫中發現泡麵的隱藏劇情</t>
  </si>
  <si>
    <t>お兄ちゃんや妹達が食材を全て食べ尽くした後…倉庫でインスタントラーメンを発見する隠しストーリーが発生する…
「ひもじいよ…お兄ちゃん」</t>
  </si>
  <si>
    <t>When all the food ingredients have been used up, a hidden event will play where the player and imouto will be eating instant noodles instead.</t>
  </si>
  <si>
    <t>Будь то старший брат или младшая сестра, после того, как все ингредиенты будут съедены... запустится скрытое событие, в ходе которого на складе обнаружат лапшу быстрого приготовления.</t>
  </si>
  <si>
    <t>Khi tất cả nguyên liệu nấu ăn đã được sử dụng hết, một sự kiện ẩn sẽ xảy ra, trong đó người chơi và em gái sẽ ăn mì gói thay thế.</t>
  </si>
  <si>
    <t>Quando todos os ingrediente forem usados, um evento secreto ocorrerá onde o onii-chan e a imouto irão comer macarrão instantâneio no lugar.</t>
  </si>
  <si>
    <t>Ketika semua bahan makanan telah habis, sebuah kejadian tersembunyi akan terjadi di mana pemain dan adik perempuan akan makan mi instan sebagai gantinya.</t>
  </si>
  <si>
    <t>礦車移動期間，可以提前跳車(部分效果演繹也會因此發生變化)</t>
  </si>
  <si>
    <t>鉱車移動中に、早めに飛び降りることができます（一部の効果の演出も変化する）</t>
  </si>
  <si>
    <t>While the minecart is moving, you can immediately jump out in advance. (Some effects or events may change as a result)</t>
  </si>
  <si>
    <t>Вы можете спрыгнуть с вагонетки до того, как она начнет двигаться (это изменит некоторые визуальные эффекты).</t>
  </si>
  <si>
    <t>Während der Bewegung mit der Lore kann man vorzeitig abspringen (einige Effekte können sich dadurch ebenfalls verändern).</t>
  </si>
  <si>
    <t>Trong khi xe mỏ đang di chuyển, bạn có thể nhảy ra ngay lập tức. (Một số hiệu ứng hoặc sự kiện có thể thay đổi do điều này).</t>
  </si>
  <si>
    <t>Enquanto o carrinho de mina estiver se movendo, você pode imediatamente pular antecipadamente. (Alguns efeitos e eventos pode mudar dependendo do resultado)</t>
  </si>
  <si>
    <t>Saat kereta tambang sedang bergerak, Anda dapat langsung melompat keluar lebih dulu. (Beberapa efek atau kejadian mungkin berubah sebagai akibatnya)</t>
  </si>
  <si>
    <t>關於水面的氣泡，氣泡位置於水域場景隨機產生，使用炸彈時，會比平常更容易出現食材。
另外，有可能炸出生物（未實裝）</t>
  </si>
  <si>
    <t xml:space="preserve">
水面の泡について：泡は水域のシーンにランダムな場所に生成され、爆弾を使用すると通常より食材が出現しやすくなります。
また、『何か』が出現する可能性もあります（未実装）
</t>
  </si>
  <si>
    <t>If there's water bubbles on the water surface, using bombs on it will yield more fish than usual. These bubble areas appear randomly on any bodies of water.
Also, there's a chance that creatures will appear (not yet implemented)</t>
  </si>
  <si>
    <t>Что касается пузырьков на поверхности воды, их местоположение генерируется случайным образом в водной акватории. Использование бомб упростит появление продуктов питания.
Кроме того, появилась возможность призывать существ (пока не реализовано).</t>
  </si>
  <si>
    <t>Wenn sich Blasen auf der Wasseroberfläche zeigen, kannst du mit Bomben mehr Fische als gewöhnlich fangen. Diese Blasenstellen erscheinen zufällig in allen Gewässern.
Außerdem besteht die Möglichkeit, dass Kreaturen auftauchen (noch nicht implementiert).</t>
  </si>
  <si>
    <t>Nếu có bong bóng nổi trên mặt nước, sử dụng bom ở đó sẽ cho nhiều cá hơn bình thường. Các vùng bong bóng này xuất hiện ngẫu nhiên trên bất kỳ chỗ nước nào.
Ngoài ra, có khả năng các sinh vật sẽ xuất hiện (chưa được triển khai).</t>
  </si>
  <si>
    <t>Se existem bolhas na superfície da água, usar bombas nelas vai resultar mais peixes que o usual. Essas áreas de bolhas aparecerão aleatóriamente em qualquer corpo de água.
Além disso, existe uma chance que criaturas irão aparecer (ainda não implementado)</t>
  </si>
  <si>
    <t>Jika terdapat gelembung air di permukaan air, menggunakan bom di area tersebut akan menghasilkan lebih banyak ikan dari biasanya. Area gelembung ini muncul secara acak di semua perairan.
Selain itu, ada kemungkinan makhluk lain akan muncul (belum diimplementasikan).</t>
  </si>
  <si>
    <t>箱庭的白兔-在兔子洞全部破壞後，會被迫彈到地面</t>
  </si>
  <si>
    <t>また、生物が出現する可能性があるかもしれません（未実装）</t>
  </si>
  <si>
    <t>In the White Rabbit Beyond Wonderland Garden boss fight, after all the rabbit holes are destroyed, the boss will be forced to bounce out to the ground.</t>
  </si>
  <si>
    <t>Белый кролик из маленького сада — после того, как кроличья нора будет полностью разрушена, он будет вынужден отскочить на землю.</t>
  </si>
  <si>
    <t>Weiße Kaninchen des Miniaturgartens – Nach vollständiger Zerstörung des Kaninchenbaus wird es gezwungen, auf den Boden zu springen.</t>
  </si>
  <si>
    <t>Trong trận đấu trùm Thỏ Trắng Ngoài Xứ Sở Thần Tiên (khu vườn), sau khi tất cả hang thỏ bị phá hủy, boss sẽ buộc phải nhảy ra ngoài mặt đất.</t>
  </si>
  <si>
    <t>Na batalha da chefe Coelha Branca Além do País das Maravilhas, depois que todos os buracos de coelhas forem destruidos, a chefe vai ser forçada a quicar no chão.</t>
  </si>
  <si>
    <t>Dalam pertarungan bos White Rabbit Beyond Wonderland Garden, setelah semua lubang kelinci dihancurkan, bos akan terpaksa terpental ke tanah.</t>
  </si>
  <si>
    <t>箱庭的白兔-會強制玩家無法逃離(星之門也會被吞噬)，但是塔羅牌不受影響。</t>
  </si>
  <si>
    <t>箱庭の白うさぎ - お兄ちゃんは強制的に逃げられなくなる（星の門も飲み込れる…）、ただしタロットカードには影響ないみたいだ</t>
  </si>
  <si>
    <t>In the White Rabbit Beyond Wonderland boss fight, the player is locked onto the boss battle and will be unable to escape, such as using the Star Gate. Using Tarot cards are still allowed however</t>
  </si>
  <si>
    <t>Белый Кролик в Маленьком Саду не позволит игроку сбежать (Звездные Врата также будут поглощены), но это не повлияет на карты Таро.</t>
  </si>
  <si>
    <t>Weiße Kaninchen des Miniaturgartens – Der Spieler kann nicht entkommen (auch das Sternentor wird verschluckt), aber die Tarotkarten bleiben unberührt.</t>
  </si>
  <si>
    <t>Trong trận đấu boss Thỏ Trắng Ngoài Xứ Sở Thần Tiên, người chơi sẽ bị kẹt trong trận chiến và không thể thoát ra, ví dụ bằng cách dùng Cổng Sao. Tuy nhiên, vẫn được phép sử dụng Thẻ Tarot.</t>
  </si>
  <si>
    <t>Na batalha da chefe Coelha Branca Além do País das Maravilhas, O Onii-chan está preso na batalha com a chefe e não será capaz de escapar, mesmo que use o portão estelar. Usar cartas de tarô ainda é permitido.</t>
  </si>
  <si>
    <t>Dalam pertarungan bos White Rabbit Beyond Wonderland, pemain akan terkunci pada pertarungan bos dan tidak dapat melarikan diri, misalnya dengan menggunakan Star Gate. Namun, penggunaan kartu Tarot masih diperbolehkan.</t>
  </si>
  <si>
    <t>箱庭的白兔-如果玩家戰鬥落敗，身上的胡蘿蔔會被沒收</t>
  </si>
  <si>
    <t>箱庭の白うさぎ - お兄ちゃんが戦闘に敗北すると、持っているにんじんが没収される…</t>
  </si>
  <si>
    <t>When you lose the boss battle against White Rabbit Beyond Wonderland, all carrots in possession will be confiscated</t>
  </si>
  <si>
    <t>Белый кролик в миниатюрном саду — Если игрок проиграет битву, морковь, которая была у него при себе, будет конфискована.</t>
  </si>
  <si>
    <t xml:space="preserve">Weiße Kaninchen des Miniaturgartens – Wenn der Spieler im Kampf verliert, werden die getragenen Karotten enteignet. </t>
  </si>
  <si>
    <t>Khi bạn thua trong trận đấu với Thỏ Trắng Ngoài Xứ Sở Thần Tiên, tất cả cà rốt đang có sẽ bị tịch thu.</t>
  </si>
  <si>
    <t>Se você perder na batalha da chefe Coelha Branca Além do País das Maravilhas, todas as suas cenouras serão confiscadas</t>
  </si>
  <si>
    <t>Saat kamu kalah dalam pertarungan bos melawan Kelinci Putih di Luar Negeri Ajaib, semua wortel yang kamu miliki akan disita.</t>
  </si>
  <si>
    <t>胡蘿蔔大劍-放在篝火上烤可以召喚女僕兔為你打開傳送去其他篝火存取點的兔子洞(未實裝)</t>
  </si>
  <si>
    <t>にんじんの大剣を篝火の上で焼くと、メイドバニーが召喚され、他の篝火へのワープポイントへ移動するウサギの洞窟を開いてくれる</t>
  </si>
  <si>
    <t>Carrot Sword - Roasting this carrot on a campfire summons a Maid Rabbit that will let you teleport to other campfires you've already interacted with.</t>
  </si>
  <si>
    <t>Морковный двуручный меч — если его поджарить на костре, появится кролик-горничная, которая откроет кроличью нору, телепортирующую вас к другим точкам сохранения у костра (пока не реализовано).</t>
  </si>
  <si>
    <t>Riesenkarotten-Schwert – Wenn man es am Lagerfeuer röstet, kann man die Hasenmädchen Magd beschwören, die für dich den Kaninchenbau öffnet, um zu anderen Lagerfeuer Speicherpunkten zu reisen.</t>
  </si>
  <si>
    <t>Kiếm Cà Rốt – Nướng củ cà rốt này trên đống lửa trại sẽ triệu hồi Thỏ Hầu Gái, cho phép bạn dịch chuyển đến những đống lửa trại mà bạn đã tương tác trước đó.</t>
  </si>
  <si>
    <t>Espada de Cenoura - Assando essa cenoura na fogueira invoca um Coelhinha Empregada que de deixa teleportar para outras fogueiras que você ja interagiu com.</t>
  </si>
  <si>
    <t>Pedang Wortel - Memanggang wortel ini di atas api unggun akan memanggil Kelinci Pelayan yang memungkinkan Anda berteleportasi ke api unggun lain yang telah Anda interaksi sebelumnya.</t>
  </si>
  <si>
    <t>ASABA的草莓/胡蘿蔔，目前對於妹妹與哥哥的飲食方面無特殊影響效果</t>
  </si>
  <si>
    <t>ASABAのいちご/にんじんは、現在のところ妹とお兄ちゃんの食事に対して特別な効果はありません</t>
  </si>
  <si>
    <t>ASABA'S strawberries and carrots currently have no bonus effects on imouto and the player when consuming them</t>
  </si>
  <si>
    <t>Клубника и морковь, выращенные компанией ASABA, пока не оказали никакого особого влияния на рацион младшей сестры и старшего брата.</t>
  </si>
  <si>
    <t>ASABA-Erdbeere/Karotte – Derzeit haben sie keine speziellen Effekte auf die Ernährung von Schwesterlein und Brüderchen.</t>
  </si>
  <si>
    <t>Dâu tây và cà rốt của ASABA hiện tại không có hiệu ứng bổ sung nào cho em gái hoặc người chơi khi ăn.</t>
  </si>
  <si>
    <t>Morangos e cenouras da ASABA atualmente não tem efeitos bônus com a imouto e o onii-chan quando são consumidos</t>
  </si>
  <si>
    <t>Stroberi dan wortel ASABA saat ini tidak memiliki efek bonus apa pun pada imouto dan pemain saat mengonsumsinya.</t>
  </si>
  <si>
    <t>"ASABA的草莓"比普通草莓更好吃，如果拿這個食材喂ASABA，會激怒牠，並觸發BOSS戰鬥</t>
  </si>
  <si>
    <t>ASABAのいちごは普通のいちごよりも美味しく、この食材をASABAに与えると怒り、その結果BOSS戦闘が発生する…</t>
  </si>
  <si>
    <t>ASABA's strawberries are far more delicious than normal strawberries. However, if you feed this to ASABA, a boss battle will trigger.</t>
  </si>
  <si>
    <t>«Клубника Асабы» вкуснее обычной клубники. Если вы накормите Асабу этим ингредиентом, она придёт в ярость и начнётся битва с боссом.</t>
  </si>
  <si>
    <t>Die ASABA Erdbeere schmeckt besser als normale Erdbeeren. Wenn man diese Erdbeere ASABA füttert, wird es wütend und löst einen Bosskampf aus.</t>
  </si>
  <si>
    <t>Dâu tây của ASABA ngon hơn hẳn dâu thường. Tuy nhiên, nếu bạn cho ASABA ăn, một trận đấu boss sẽ được kích hoạt.</t>
  </si>
  <si>
    <t>Morangos da ASABA são muito mais deliciosos que morangos normais. Entretanto, se você der isso para ASABA comer, uma luta de chefe começará.</t>
  </si>
  <si>
    <t>Stroberi ASABA jauh lebih lezat daripada stroberi biasa. Namun, jika Anda memberikan stroberi ini kepada ASABA, pertarungan bos akan terpicu.</t>
  </si>
  <si>
    <t>關於"狂暴ASABA"
左右橫跳狀態會閃避所有的攻擊
旋轉狀態會反彈絕大部分飛行彈幕
會找機會衝刺釋放瞬獄殺秒殺玩家
被ASABA啃咬時，ASABA會趁機吃掉你的食材儲備並恢復體力，如果吃到有毒食材，則會中毒</t>
  </si>
  <si>
    <t>「狂暴ASABA」について
左右に跳ねる状態ではすべての攻撃を回避します。
回転状態ではほとんどの弾幕を反射します。
チャンスを見て突進し、瞬獄殺でプレイヤーを即死させます。
ASABAに噛まれた場合、ASABAはあなたの食材の備蓄を食べて体力を回復しますが、有毒な食材を食べると中毒になります</t>
  </si>
  <si>
    <t xml:space="preserve">Regarding the moves of boss "Raging ASABA":
- Moving and dancing sideways will guarantee evasion on all attacks
- Spinning deflects most projectiles
- Will have an instant "teleportation" move that will almost instantly kill you (a reference to Street Fighter's Shun Goku Satsu)
- When bitten by ASABA, it will consume any food you have with you and restore its health. If it happens to consume bad food, it will become poisoned.
</t>
  </si>
  <si>
    <t>Что касается «Неистового АСАБЫ»: во время прыжков влево и вправо он будет уклоняться от всех атак. Во время вращения он будет отражать большинство снарядов. Он будет искать возможность для рывка и обрушения сокрушительной атаки, мгновенно убивающей игрока. При укусе АСАБА он будет расходовать ваши запасы еды для восстановления здоровья; если он съест ядовитую пищу, он отравится.</t>
  </si>
  <si>
    <t>Rasender ASABA
Im Zustand des seitlichen Springens weicht es allen Angriffen aus.
Im Rotationszustand prallt die Mehrheit der fliegenden Projektile ab.
Sucht Gelegenheiten für einen Sprint, um den Instantkill Angriff auf den Feind auszuführen.
Wenn ASABA beim Beißen trifft, nutzt es die Gelegenheit, deine Vorräte an Zutaten zu fressen und seine Lebenspunkte wiederherzustellen. Wird eine giftige Zutat gefressen, erleidet es Vergiftung.</t>
  </si>
  <si>
    <t>Về các chiêu thức của boss “ASABA Cuồng Nộ”:
- Di chuyển và lắc lư sang ngang sẽ đảm bảo né tránh toàn bộ đòn tấn công
- Xoay đỡ đòn sẽ đỡ được hầu hết các đòn đánh tầm xa
- Có một chiêu “dịch chuyển tức thời” gần như giết bạn ngay lập tức (ám chỉ chiêu Shun Goku Satsu trong Street Fighter)
- Khi cắn bạn, ASABA sẽ ăn toàn bộ thức ăn bạn mang theo và hồi máu. Nếu nó ăn phải thức ăn hỏng, nó sẽ bị trúng độc.</t>
  </si>
  <si>
    <t xml:space="preserve">A respeito dos movimentos da chefe "ASABA Furiosa":
- Mover e dançar para os lados irá garantir evasão de todos os ataques
- Girar deflete a maior parte dos projéteis
- Ocorrerá um movimento instantâneo de "teleporte" que irá quase instantaneamente te matar (Uma referência ao Shun Goku Satsu do Street Fighter's )
- Quando mordido pela ASABA, irá consumir qualquer comida que você tiver com você e restaurará os PVs dela. Se isso ocorrer e ela consumir comida estragada, ela ficará envenenada.
</t>
  </si>
  <si>
    <t xml:space="preserve">Mengenai gerakan bos "Raging ASABA":
- Bergerak dan menari ke samping akan menjamin penghindaran semua serangan
- Berputar akan menangkis sebagian besar proyektil
- Akan memiliki gerakan "teleportasi" instan yang hampir seketika akan membunuh Anda (referensi ke Shun Goku Satsu dari Street Fighter)
- Saat digigit oleh ASABA, ia akan memakan makanan apa pun yang Anda bawa dan memulihkan kesehatannya. Jika kebetulan memakan makanan yang buruk, ia akan keracunan.
</t>
  </si>
  <si>
    <t>關於"鐵砧"的說明
1.閃步會被替換，使用閃步會視為拿出鐵砧開始打鐵，同時主武器會自動卸除改為"鍛造錘"
2."鍛造錘"無限耐久，但轉移地圖、收起鐵砧時都會回收該武器
3.對鐵砧進行攻擊會視為打鐵，每次敲打會提升武器的溫度，武器溫度越高，每次敲擊獲得耐久度獎勵的機率和數值都會提升
4.當鐵砧附近有敵人時，會獲得額外獎勵
5.武器過熱時會冒煙，此時打鐵無任何收益，只能等待自然冷卻
6.鍛造的耐久不會超過武器原本的初始耐久上限
7.只有在陸地上才能使用鍛造
8.鍛造中，主角死亡時會回收；轉移地圖需再次回到地圖；復活時不會立即回收
9.目前無多個鐵覘的設計
10.武器敲高溫後，此時收回並且馬上再次鍛造，可以無視紅色溫度的冷卻時間
11.鍛造錘可以配合貓爪、武器放大等等的武器加成，來提升鍛造效果
12.角色攻擊力越高，鍛造的效果越高
13.無武器的空手狀態，無法召喚出鐵覘
14.未來，可以進行打磨來提升武器效果、或者放上其他非武器的東西，敬請期待</t>
  </si>
  <si>
    <t xml:space="preserve">「金床」に関する説明  
1. 瞬歩が置き換えられ、瞬歩を使用すると金床を取り出して打鉄を開始したことになります。同時に武器は自動的に解除され、「鍛造ハンマー」に変更されます。  
2. 「鍛造ハンマー」は無限耐久ですが、地図を移動したり金床をしまったりするとその武器は回収されます。  
3. 金床に攻撃すると打鉄と見なされ、毎回叩くことで武器の温度が上昇します。武器の温度が高いほど、耐久度獲得の確率と数値が上がります。  
4. 金床の近くに敵がいると、追加の報酬を得られます。  
5. 武器が過熱すると煙が出ます。この時は打鉄に何の利益もなく、自然に冷却されるのを待つしかありません。  
6. 鍛造による耐久度は武器の元々の初期耐久上限を超えることはありません。  
7. 鍛造は陸上でのみ使用できます。  
8. 鍛造中に主人公が死亡すると回収されます；地図を移動する場合は再度その地図に戻る必要があります；復活時にはすぐに回収されません。  
9. 現在、複数の金床の設計はありません。  
10. 武器の温度が高いときに収回し、すぐに再度鍛造すると、赤い温度の冷却時間を無視できます。  
11. 鍛造ハンマーは猫爪や武器拡張などの武器強化と組み合わせて、鍛造効果を向上させることができます。  
12. お兄ちゃんの攻撃力が高いほど、鍛造の効果も高まります。  
13. 武器を持たない素手の状態では、鉄の砧を召喚することはできません。  
14. 将来的には、武器の効果を向上させるために磨きや、他の非武器アイテムを置くことができるようになる予定です。ご期待ください。 </t>
  </si>
  <si>
    <t>Regarding the "Anvil"
1. This will replace "Senpuu"(Dash). Using Senpuu will instead pull out an anvil so you can start forging. Your main weapon will automatically be unequipped and replaced with "Forging Hammer".
2. "Forging Hammer" has infinite durability and will be unequipped if you pick up the anvil or change maps.
3. Attacking the anvil with the hammer counts as "forging". Each strike you do increases the weapon's temperature, with higher temperatures leading to higher chance and higher value in restoring the weapon's durability
4. When there are enemies near the anvil, you will get additional rewards.
5. When the weapon starts to overheat, you need to wait for it to cooldown because striking it won't yield anything.
6. The repaired durability of the equipment can't exceed its original maximum cap
7. Forging can only be used on the ground
8. During forging, the anvil gets automatically picked up if the player dies. When you change maps, you always have to go back to the map where you placed the anvil to see it again. Reviving doesn't automatically pick up the anvil.
9. Currently, there are no designs for multiple types of anvils.
10. When a weapon reaches its max temperature and overheats, you can simple put it away and place it again to bypass the cooldown time
11. The Forging Hammer weapon itself also benefits from bonuses such as Neko Punch or  "Weapon Enlargement" from tarot cards to improve forging effectiveness.
12. The higher your attack power, the greater the effects of forging is.
13. If you are unarmed (barehanded with no weapon equipped), the anvil can't be summoned
14. In the future, there will be features such as polishing to further enhance the weapons' effects or even put non-weapon items on the anvil. Stay tuned!</t>
  </si>
  <si>
    <t>Описание «Наковальни»:
1. «Мерцание» будет заменено. Использование «Мерцания» будет считаться извлечением наковальни и началом ковки, а основное оружие будет автоматически снято и заменено на «Кузнечный молот».
2. «Кузнечный молот» имеет бесконечную прочность, но он будет переработан при переходе на другую карту или при уборке наковальни.
3. Атака на наковальню считается ковкой. Каждый удар повышает температуру оружия. Чем выше температура оружия, тем больше вероятность и значение бонуса к прочности, получаемого за удар.
4. При наличии врагов рядом с наковальней будет начисляться дополнительный бонус.
5. При перегреве оружие будет дымить. Ковка в это время не принесет никакой пользы; вы можете только подождать, пока оно остынет естественным образом.
6. Прочность, полученная от ковки, не превысит первоначальную прочность оружия. Ограничение:
7. Ковка может использоваться только на суше.
8. Во время ковки оружие будет найдено после смерти главного героя; если игрок переместится на другую карту, он должен будет вернуться на эту карту; оружие не будет найдено сразу после воскрешения.
9. В настоящее время нет возможности создать несколько Железных Големов.
10. После того, как оружие нагреется до высоких температур, его извлечение и немедленная перековка игнорируют время восстановления красной температуры.
11. Кузнечный молот можно использовать в сочетании с бонусами оружия, такими как «Кошачий коготь» и «Усиление оружия», для повышения эффекта ковки.
12. Чем выше сила атаки персонажа, тем лучше эффект ковки.
13. Железного Голема нельзя призвать, если персонаж безоружен.
14. В будущем появится возможность доработки для улучшения эффектов оружия или добавления других предметов, не являющихся оружием. Следите за обновлениями!</t>
  </si>
  <si>
    <t>Về “Cái Đe”
1. Tính năng này sẽ thay thế “Thiểm Bộ” (Lướt). Khi dùng Thiểm Bộ, bạn sẽ rút ra một cái đe để bắt đầu rèn. Vũ khí chính của bạn sẽ tự động được cất đi và thay bằng “Búa Rèn”.
2. "Búa Rèn” có độ bền vô hạn và sẽ được cất đi nếu bạn nhặt lại đe hoặc đổi khu vực
3. Đánh vào đe bằng búa được tính là “rèn”. Mỗi cú đánh sẽ tăng nhiệt độ của vũ khí, nhiệt độ càng cao thì xác suất và giá trị hồi phục độ bền của vũ khí càng lớn.
4. Khi có kẻ địch gần cái đe, bạn sẽ nhận được phần thưởng bổ sung.
5. Khi vũ khí bắt đầu quá nhiệt, bạn phải chờ nó nguội đi, vì đánh tiếp sẽ không có tác dụng.
6. Độ bền được phục hồi của trang bị không thể vượt quá giới hạn gốc ban đầu.
7. Rèn chỉ có thể được thực hiện khi đứng trên mặt đất.
8. Khi đang rèn, nếu người chơi chết, cái đe sẽ tự động được nhặt lại. Khi đổi khu vực, bạn phải quay lại bản đồ đã đặt cái đe thì mới thấy lại nó. Hồi sinh không tự động nhặt lại đe
9. Hiện tại, chưa có thiết kế cho nhiều loại đe khác nhau.
10. Khi vũ khí đạt mức nhiệt tối đa và quá nhiệt, bạn có thể đơn giản cất nó đi và đặt lại để bỏ qua thời gian hồi chiêu.
11. Chính vũ khí Búa Rèn cũng được hưởng lợi từ các hiệu ứng bổ sung như “Cú Đấm Neko” hoặc “Phóng To Vũ Khí” từ thẻ Tarot để tăng hiệu quả rèn.
12. Sức tấn công của bạn càng cao thì hiệu quả rèn càng lớn.
13. Nếu bạn tay không (không trang bị vũ khí), thì không thể triệu hồi cái đe.
14. Trong tương lai, sẽ có thêm các tính năng như đánh bóng để tăng cường hiệu ứng vũ khí, hoặc thậm chí đặt các vật phẩm không phải vũ khí lên đe. Hãy chờ đón!</t>
  </si>
  <si>
    <t>A respeito da "Bigorna"
1. Isso irá substituir "Senpuu"(Dash). Usar Senpuu irá no lugar puxar uma bigorna para que você possa começa a forjar. Sua arma principal será automaticametne desequipada e substituida por "Martelo de Forja".
2. "Martelo de Forja" tem durabilidade infinita e será desequipada se você guaradr a Bigorna ou mudar de mapa.
3. Atacar a bigorna com o martelo conta como "forjar". Cada acerto você aumenta a temperatura da arma, com temperaturas maiores levam a uma maior chance e maior valor de restauração da durabilidade da arma.
4. Quando existirem inimigos perto da bigorna, você receberá recompensas adicionais.
5. Quando a arma começar a superaquecer, você precisa esperar ela esfriar porque atingi-la não fará diferença.
6. A durabilidade reparada de um equipamento não pode exceder seu valor limite original.
7. Forjar so pode ser feito no chão.
8. Durante forja, a bigorna é guadada automaticamente quando o onii-chan for derrotado. Quando você mudar de mapa, você sempre terá que voltar para o mapa que você colocou a bigorna para vê-la de novo. Reviver não automaticamente pega a bigorna.
9. Atualmente, não existem modelos para os multiplos tipos de bigorna.
10. Quando a arma chegar à temperatura máxima e superaquecer, você pode simplesmente guardar para bipassar o tempo de espera.
11. A arma Martelo de Forja em si também se beneficia dos bônus como Soco de Neko ou "Aumento de Arma" da carta de tarô para melhorar a efetividade da sua forja.
12. Quanto maior o seu ataque, maior o efeito quando forjar é.
13. Se você estiver desarmado(Mãos nuas sem armas equipadas), a Bigorna não pode ser invocada.
14. No futuro, existirão certos recursos como polir para melhorar ainda mais os efeitos da arma ou até colocar itens que não são armas na bigorna. Fique sintonizado!</t>
  </si>
  <si>
    <t>Mengenai "Landasan Tempa (Anvil)"
1. Ini akan menggantikan "Senpuu" (Lari Cepat). Menggunakan Senpuu akan mengeluarkan landasan tempa sehingga Anda dapat mulai menempa. Senjata utama Anda akan secara otomatis dilepas dan diganti dengan "Palu Tempa".
2. "Palu Tempa" memiliki daya tahan tak terbatas dan akan dilepas jika Anda mengambil landasan tempa atau berganti peta.
3. Menyerang landasan tempa dengan palu dihitung sebagai "menempa". Setiap pukulan yang Anda lakukan meningkatkan suhu senjata, dengan suhu yang lebih tinggi menghasilkan peluang dan nilai yang lebih tinggi dalam memulihkan daya tahan senjata.
4. Ketika ada musuh di dekat landasan tempa, Anda akan mendapatkan hadiah tambahan.
5. Ketika senjata mulai terlalu panas, Anda perlu menunggu hingga dingin karena memukulnya tidak akan menghasilkan apa pun.
6. Daya tahan peralatan yang diperbaiki tidak dapat melebihi batas maksimum aslinya.
7. Penempaan hanya dapat digunakan di tanah.
8. Selama penempaan, landasan tempa akan secara otomatis diambil jika pemain mati. Saat Anda berganti peta, Anda selalu harus kembali ke peta tempat Anda meletakkan landasan untuk melihatnya lagi. Menghidupkan kembali tidak secara otomatis mengambil landasan.
9. Saat ini, belum ada desain untuk beberapa jenis landasan.
10. Ketika senjata mencapai suhu maksimum dan terlalu panas, Anda cukup menyimpannya dan meletakkannya kembali untuk melewati waktu pendinginan.
11. Senjata Palu Tempa itu sendiri juga mendapat manfaat dari bonus seperti Pukulan Neko atau "Pembesaran Senjata" dari kartu tarot untuk meningkatkan efektivitas penempaan.
12. Semakin tinggi kekuatan serangan Anda, semakin besar efek penempaan.
13. Jika Anda tidak bersenjata (tanpa senjata yang terpasang), landasan tidak dapat dipanggil.
14. Di masa mendatang, akan ada fitur seperti pemolesan untuk lebih meningkatkan efek senjata atau bahkan meletakkan barang-barang non-senjata di landasan. Nantikan!</t>
  </si>
  <si>
    <t>怪鳥的羽毛、法杖的懸空等等，都屬於漂浮狀態，可以抵達特殊地區
羽毛不能接觸水面或冰面</t>
  </si>
  <si>
    <t>怪鳥の羽根や杖による浮遊などは、すべて『浮遊』状態として扱われ、通常では到達できない場所にも移動できるようになります。
ただし、羽根を使って水や氷に触れることはできません</t>
  </si>
  <si>
    <t>Weird Feather, levitation from staff, etc. all count as "Floating" state which allows you to reach otherwise inaccessible areas.
The feather can't be used to touch water or ice.</t>
  </si>
  <si>
    <t>Странные перья птицы, способность посоха левитировать и другие особенности способствуют её способности парить и достигать особых мест. Однако перья не могут соприкасаться с водой или льдом.</t>
  </si>
  <si>
    <t>Lông Vũ Kỳ Lạ, hiệu ứng bay lơ lửng từ gậy phép, v.v. đều được tính là trạng thái “Nổi”, cho phép bạn đến được những khu vực bình thường không thể tiếp cận
Lông vũ không thể dùng để chạm vào nước hoặc băng.</t>
  </si>
  <si>
    <t>Pena Estranha, levitando com cajado, etc. Tudo conta como estado de "flutuar" que permite que você chegue em áreas que de outra forma são inecessíveis.
A Pena não pode ser usado ao encostar na água ou gelo.</t>
  </si>
  <si>
    <t>Bulu Aneh, levitasi dari tongkat, dll., semuanya dihitung sebagai keadaan "Mengapung" yang memungkinkan Anda mencapai area yang sebelumnya tidak dapat diakses.
Bulu tersebut tidak dapat digunakan untuk menyentuh air atau es.</t>
  </si>
  <si>
    <t>兔子洞只能使用爆炸屬性的傷害進行攻擊，其他攻擊或者從者攻擊，皆無效果。</t>
  </si>
  <si>
    <t>ウサギの穴には爆発属性のダメージしか通用せず、その他の攻撃や従者の攻撃は一切効果がないみたいだ…</t>
  </si>
  <si>
    <t>The Rabbit Holes can only be damaged with explosives. Other attacks or servant attacks won't affect it</t>
  </si>
  <si>
    <t>Атака «Кроличьей норы» возможна только с помощью взрывного урона; другие атаки или атаки Слуг не оказывают никакого эффекта.</t>
  </si>
  <si>
    <t>Das Kaninchenloch kann nur mit Explosionsschaden angegriffen werden, alle anderen Angriffe oder Dienerangriffe zeigen keinerlei Wirkung.</t>
  </si>
  <si>
    <t>Hố Thỏ chỉ có thể bị phá hủy bằng chất nổ. Các đòn tấn công khác hoặc đòn tấn công từ lính triệu hồi sẽ không có tác dụng.</t>
  </si>
  <si>
    <t>Os buracos das coelhas só podem ser destruidas por explosivos. Outros ataques ou ataques de servos não irão os afetar.</t>
  </si>
  <si>
    <t>Lubang Kelinci hanya dapat dirusak dengan bahan peledak. Serangan lain atau serangan pelayan tidak akan mempengaruhinya.</t>
  </si>
  <si>
    <t>可以同時進行多重BOSS戰鬥，例如河之主與狂暴ASABA，或者淺羽與紅獸等等。
超過更多的BOSS部分尚未優化，不建議嘗試</t>
  </si>
  <si>
    <t xml:space="preserve">
複数のBOSS戦を同時に行うことが可能で、たとえば河の主と狂暴なASABA、あるいは浅羽と紅獣などが挙げられる。
ただし、さらに多くのBOSSを相手にする部分はまだ最適化されておらず、挑戦は推奨されない
</t>
  </si>
  <si>
    <t>Fighting multiples bosses at once is actually possible. You can fight Raging ASABA and The River Lord at the same time along with White Rabbit Beyond Wonderland however this is not recommended and unoptimized</t>
  </si>
  <si>
    <t>Можно сражаться с несколькими боссами одновременно, например, с Повелителем Реки и обезумевшей Асабой, или с Асабой и Красным Зверем и т.д.
Больше сражений с боссами пока не оптимизировано и не рекомендуется проходить.</t>
  </si>
  <si>
    <t>Es können gleichzeitig mehrere Bosskämpfe stattfinden, zum Beispiel der Herr des Flusses mit dem Rasenden ASABA oder Asaba mit der Roten Bestie usw.</t>
  </si>
  <si>
    <t>Hoàn toàn có thể chiến đấu với nhiều trùm cùng lúc. Bạn có thể chiến đấu với ASABA Cuồng Nộ và Chúa Tể Dòng Sông cùng lúc, đồng thời với Thỏ Trắng Bên Kia Xứ Sở Thần Tiên. Tuy nhiên, điều này không được khuyến khích và không được tối ưu.</t>
  </si>
  <si>
    <t>Lutar contra multiplos chefes ao mesmo tempo é realmente possível. Vcoê pode lutar contra ASABA Furiosa e o Lord do Rio ao mesmo tempo junto com A Coelha Branca de Além do País das Maravilhas, mas isso não é recomendado nem otimizado.</t>
  </si>
  <si>
    <t>Melawan beberapa bos sekaligus sebenarnya dimungkinkan. Anda dapat melawan Raging ASABA dan The River Lord secara bersamaan dengan White Rabbit Beyond Wonderland, namun ini tidak disarankan dan tidak dioptimalkan.</t>
  </si>
  <si>
    <t>初號核心可以使用二號機至七號機進行消耗，每一種皆可提升初號核心一個等級，最高可以升級至LV7
(於技能欄位進行強化)
二號機：偵查附近的敵人和遺物數量 (可於商店車購買)
三號機：-
四號機：-
五號機：-
六號機：-
七號機：-</t>
  </si>
  <si>
    <t xml:space="preserve">
初号コアは2号機から7号機を消費して強化できる。
それぞれを使用すると初号コアのレベルが1段階上がり、最大でLV7まで強化可能。
（スキル欄で強化を行う）
2号機：周囲の敵や遺物の数を偵察（商店車で購入可能）
3号機：―
4号機：―
5号機：―
6号機：―
7号機：―
</t>
  </si>
  <si>
    <t>Unit 1 Nexus can consume other parts of the Unit series to upgrade itself by 1 level up to a maximum of Level 7
When fed by:
Unit 2: Allows detection of nearby enemies and relics (can be purchased from the shopping van)
Unit 3: -
Unit 4: -
Unit 5: -
Unit 6: -
Unit 7:-
To upgrade, wear Unit 1 Nexus and the other Unit part, then press the skills tab (book icon) and press Unit 1 Nexus' icon in there to fuse.</t>
  </si>
  <si>
    <t>Модуль 1 "Нексус" можно использовать с помощью модулей со 2 по 7.
Каждый модуль может улучшить "Нексус" на один уровень, до максимального уровня 7.
(Улучшение можно произвести в слоте навыков)
Модуль 2: Разведка ближайших врагов и количества реликвий (можно приобрести в магазине)
Модуль 3: -
Модуль 4: -
Модуль 5: -
Модуль 6: -
Модуль 7: -</t>
  </si>
  <si>
    <t>Der Erste-Kern kann durch Verbrauch der Einheiten Zwei bis Sieben aufgewertet werden. Jede Einheit erhöht den Ersten-Kern um eine Stufe, maximal bis LV7.
Zweite Einheit: Spürt nahe Feinde und Relikte auf (im Shopwagen erhältlich)
Dritte Einheit: -
Vierte Einheit: -
Fünfte Einheit: -
Sechste Einheit: -
Siebte Einheit: -</t>
  </si>
  <si>
    <t>Unit 1 Nexus Có thể hấp thụ các phần khác trong chuỗi Unit để nâng cấp bản thân thêm 1 cấp, tối đa đến Cấp 7.
Khi hấp thụ:
Unit 2: Cho phép phát hiện kẻ địch và di vật gần đó (có thể mua từ xe bán hàng).
Unit 3: -
Unit 4: -
Unit 5: -
Unit 6: -
Unit 7: -</t>
  </si>
  <si>
    <r>
      <rPr>
        <rFont val="Microsoft JhengHei"/>
        <color theme="1"/>
      </rPr>
      <t xml:space="preserve">Unidade 1: Nexus pode consumir outras partes da serie Unidade para </t>
    </r>
    <r>
      <rPr>
        <rFont val="Microsoft JhengHei"/>
        <color theme="1"/>
        <u/>
      </rPr>
      <t>se melhorar</t>
    </r>
    <r>
      <rPr>
        <rFont val="Microsoft JhengHei"/>
        <color theme="1"/>
      </rPr>
      <t xml:space="preserve"> em 1 nível até o máximo do nível 7.
Unidade 2: Permite detectar inimigos e reliquias próximos (pode ser comprado na loja van)
Unidade 3: -
Unidade 4: -
Unidade 5: -
Unidade 6: -
Unidade 7:-
</t>
    </r>
    <r>
      <rPr>
        <rFont val="Microsoft JhengHei"/>
        <color theme="1"/>
        <u/>
      </rPr>
      <t>Para melhorar</t>
    </r>
    <r>
      <rPr>
        <rFont val="Microsoft JhengHei"/>
        <color theme="1"/>
      </rPr>
      <t xml:space="preserve">, equipe a Unidade 1 Nexus e a outra parte de Unidade, então abra a Aba de </t>
    </r>
    <r>
      <rPr>
        <rFont val="Microsoft JhengHei"/>
        <i/>
        <color theme="1"/>
      </rPr>
      <t>skills</t>
    </r>
    <r>
      <rPr>
        <rFont val="Microsoft JhengHei"/>
        <color theme="1"/>
      </rPr>
      <t>( ícone de livro) e pressione o ícone Unidade 1 Nexus nele para os fundir.</t>
    </r>
  </si>
  <si>
    <t>Unit 1 Nexus dapat mengonsumsi bagian lain dari seri Unit untuk meningkatkan levelnya sebanyak 1 level hingga maksimal Level 7.
Saat diberi makan oleh:
Unit 2: Memungkinkan deteksi musuh dan relik di dekatnya (dapat dibeli dari van belanja)
Unit 3: -
Unit 4: -
Unit 5: -
Unit 6: -
Unit 7: -
Untuk meningkatkan level, kenakan Unit 1 Nexus dan bagian Unit lainnya, lalu tekan tab keterampilan (ikon buku) dan tekan ikon Unit 1 Nexus di sana untuk menggabungkan.</t>
  </si>
  <si>
    <t>關於水面炸魚的詳細說明(所有的項目，下雨皆會重置)：
炸彈丟進水中，炸出任何物體的只有5%，下雨天氣會提升30~50%隨機值
1.
河域掉落物数量有限制，河域越大數量越多，最高上限為50
2.
當扭蛋機或敵人掉進河裡時，在墜落點形成小範圍"誘餌"效果，會觸發提升50%掉落率(壞掉的扭蛋機不會增加機率)；並且增加該河域的掉落物數量；並且增加邪惡值。
3.
哥哥的幸運值會加成機率，最高額外加成75%
4.
河裡的魚影，直接碰觸魚影或攻擊魚影都會產生魚類掉落物，不會有魚以外的掉落
5.
氣泡，提示你這裡有東西，炸彈或水法杖的攻擊都可以觸發它並生成掉落物，會以更高的概率生成水中的敵人或裝備，小概率才是魚類掉落
6.
直接攻擊河面，有誘餌加成時才有較高機率出現掉落，物品池較為均衡
7.
往河裡丟活物都會成為養分來增加新的掉落，包含放生的薩卡班甲魚
8.
電視預報的加成僅僅改變掉落池，不一定會影響掉落率和次數
9.
以上誘餌加成皆可疊加，誘餌重疊範圍也可疊加，若將觸發率提升至100%以上，會額外出現新的​​掉落判定，例如河之主或特殊物品
10.
水域太小時，不會出現某些種類(例如BOSS)；陸地站立點太小，則BOSS會立即逃跑
----------------------
簡單來說：
下雨天+幸運值+多個扭蛋機落水疊加範圍+大型河水+橋面附近陸地足夠地區，是最佳的特殊釣魚理想條件</t>
  </si>
  <si>
    <t xml:space="preserve">
水面爆破漁の詳細説明（以下の項目はすべて、雨天時にリセットされる）：
爆弾を水中に投げ入れた場合、何かを得られる確率はわずか5%。
ただし雨天時には+30～50%のランダム補正が加わる。
1.河川エリアのドロップ数には制限がある。エリアが大きいほど数が増えるが、上限は50。
2.ガチャ機や敵が川に落ちた場合、落下地点に小範囲の「誘餌」効果が発生。
　ドロップ率が+50%される（壊れたガチャ機は無効）。
　同時にその河域のドロップ数が増加し、さらに邪悪値も上昇する。
3.兄の幸運値が確率に加算され、最大+75%の追加補正がかかる。
4.川の中に見える魚影に直接触れるか攻撃すると、魚系のドロップのみが発生する（魚以外は出ない）。
5.水面の気泡は「ここに何かがある」サイン。爆弾や水属性の攻撃で起爆でき、ドロップが生成される。
　高確率で水中の敵や装備が出現し、魚が出る確率は低い。
6.水面を直接攻撃した場合、誘餌効果があると高確率でドロップが発生する。アイテムプールは比較的バランス型。
7.生物を川に投げ入れると養分となり、新たなドロップが追加される。サカバン甲魚を放流した場合も含む。
8.テレビ予報の補正はドロッププールを変化させるだけで、必ずしもドロップ率や回数に影響するとは限らない。
9.上記の誘餌効果はすべて重複可能。誘餌範囲の重なりも有効。
　発動率が100%以上に達すると、河の主や特殊アイテムなど、新たなドロップ判定が追加される。
10.水域が小さすぎる場合、特定の種類（例：BOSS）は出現しない。
　陸地の足場が小さすぎる場合、BOSSは即座に逃走する。
※雨天 + 幸運値 + 複数のガチャ機落水による範囲重複 + 大規模な河川 + 橋付近に十分な陸地がある場所
＝ 特殊釣りの理想条件
</t>
  </si>
  <si>
    <t>Detailed instructions for fishing:
NOTE: Everything resets when it rains
When a bomb is thrown in the water, the chance of a fish or item coming out is 5%. Rain significantly boosts the chance of this by 30%-50%
1. The number of fish or items that a surface of water is limited. The larger the body of water is, the more it can give up to a maximum of 50 drops.
2. When a Gachapon machine is directly spawned in the body of water or an enemy falls into the water, it will act as some sort of "fertilizer". This increases the drop rate on that body of water by 50% (broken Gachapon machine doesn't count). The amount of items/fish dropped is also increased along with your sin value.
3. Onii-chan's luck stat affects fishing, up to a maximum of 75% bonus chance.
4. If there are shadows of a fish in the body of water, directly attacking them or swimming to them will yield a fish drop. One time only per fish shadow.
5. Bubbles on the surface of water indicates the presence of an item. Throwing bombs to it or using the water staff can trigger them to get some drops. They have a higher chance of either spawning an enemy or drop an equipment. Fishes have a lower chance of dropping items.
6. Throwing a fertilizer on the surface of water will significantly boost the chances of an item/fish being obtained.
7. Living creatures that fall into the body of water will become "fertilizers", adding new drops, etc. including the Sacambaspis' that escapes to the water when thrown.
8. The TV show occassionally forecasts something related to fishing. This only changes the drop pool and not necessarily changes the drop rate or amount of drops.
9. Fertilizers thrown stack with each other as long as they're in range, cumulatively boosting the chances up to 100%, resulting into dropping special items or reeling in The River Lord boss.
10. If the body of water is very small, certain creatures won't spawn at all (such as bosses). If the land where the Sacambaspis' spawns is very small, it will immediately escape.
TLDR
Rainy weather, luck, gachapon machines in the water all make the ideal conditions for fishing. Both applicable on the large river in Forest of Ruins - 1 and the river in Forest of Ruins just above the starting area</t>
  </si>
  <si>
    <t>Подробное описание рыбалки в воде (все предметы сбрасываются в дождь):
Когда в воду бросают бомбу, выпадает только 5% предметов. Дождливая погода увеличивает эту вероятность на 30-50%.
1. Существует ограничение на количество предметов, которые могут выпасть в реке. Чем больше река, тем больше предметов может выпасть, максимум 50.
2. Когда автомат гашапонов или враг падает в реку, в точке удара создается небольшой эффект «приманки», вызывающий увеличение вероятности выпадения на 50% (сломанные автоматы гашапонов не увеличивают вероятность выпадения); это также увеличивает количество предметов, которые могут выпасть в этой области реки; и увеличивает значение зла.
3. Показатель удачи старшего брата увеличивает вероятность выпадения, до максимальных дополнительных 75%.
4. Тени рыбы в реке: прямое касание или атака тени рыбы приведет к выпадению рыбы; кроме рыбы, ничего выпадать не будет. 5. Пузыри: Они указывают на наличие чего-либо. Атака на них бомбами или водными посохами активирует их и генерирует выпадающие предметы. Вероятность появления врагов или снаряжения в воде выше, вероятность выпадения рыбы ниже.
6. Прямая атака поверхности реки имеет более высокую вероятность генерации выпадающих предметов только при наличии приманки. Набор предметов относительно сбалансирован.
7. Бросание живых существ в реку превратит их в питательные вещества, увеличивая количество новых выпадающих предметов, включая выпущенных черепах Сакабан.
8. Прогнозы погоды... Простое изменение набора выпадающих предметов не обязательно повлияет на вероятность выпадения или количество попыток.
9. Все вышеперечисленные бонусы от приманки суммируются, и диапазон перекрытия приманок также суммируется. Если вероятность срабатывания увеличивается до более чем 100%, появятся новые условия выпадения, такие как Речной Лорд или особые предметы.
10. Если водная акватория слишком мала, некоторые типы монстров (например, боссы) не появятся; Если площадь суши слишком мала, босс немедленно убежит.
------------------ Вкратце: Дождливые дни + высокая удача + множество автоматов гашапона с падением воды + большая река + достаточно большая площадь суши возле моста – идеальные условия для специальной рыбалки.</t>
  </si>
  <si>
    <t xml:space="preserve">Detaillierte Erklärung zum Fische-Sprengen auf der Wasseroberfläche (alle Punkte werden bei Regen zurückgesetzt):
Eine Bombe ins Wasser zu werfen, hat nur eine 5 % Chance, irgendetwas hervorzubringen. Bei Regenwetter steigt dieser Wert um 30–50 % (zufälliger Wert).
1. Die Anzahl der Drops in einem Flussgebiet ist begrenzt. Je größer das Flussgebiet, desto mehr Drops; das Maximum liegt bei 50.
2. Wenn ein Gacha-Automat oder ein Gegner in den Fluss fällt, entsteht an der Einschlagstelle ein kleiner „Köder“-Effekt, der die Droprate um 50 % erhöht (kaputte Gacha-Automaten erhöhen die Chance nicht); außerdem steigt die Drop-Anzahl in diesem Flussgebiet; zusätzlich steigt der Bösewert.
3. Der Glückswert des Bruders erhöht die Chancen, maximal um zusätzliche 75 %.
4. Fischschatten im Fluss: Direkter Kontakt oder ein Angriff auf den Schatten erzeugt Fisch-Drops – es erscheinen ausschließlich Fische und keine anderen Drops.
5. Blasen zeigen dir an, dass hier etwas ist. Angriffe mit Bomben oder dem Wasserstab können sie auslösen und Drops generieren. Dabei erscheinen mit höherer Wahrscheinlichkeit Gegner im Wasser oder Ausrüstung; Fische haben hier nur eine geringe Dropchance.
6. Direkte Angriffe auf die Wasseroberfläche: Nur mit Köder-Bonus besteht eine höhere Chance auf Drops; der Item-Pool ist hier ausgewogener.
7. Lebewesen, die in den Fluss geworfen werden, dienen als Nährstoff und erhöhen die Zahl neuer Drops – dazu gehört auch das Freilassen von Saccabania-Schildkröten.
8. Der Bonus aus der TV-Vorhersage verändert lediglich den Drop-Pool; er beeinflusst nicht unbedingt Droprate oder Häufigkeit.
9. Alle Köder-Boni können sich stapeln; auch die Köder-Effekte selbst können sich überlagern. Wenn die Auslöse-Rate über 100 % steigt, erscheinen zusätzliche Drop-Prüfungen, etwa für den Herrn des Flusses oder besondere Items.
10. Ist das Gewässer zu klein, erscheinen bestimmte Arten (z. B. Bosse) nicht; ist die Landfläche zum Stehen zu klein, flieht ein Boss sofort.
</t>
  </si>
  <si>
    <t>Hướng dẫn chi tiết về câu cá:
Lưu ý: Mọi thứ sẽ được đặt lại khi trời mưa.
Khi ném bom xuống nước, tỉ lệ ra cá hoặc vật phẩm là 5%. Mưa sẽ tăng mạnh tỉ lệ này thêm 30%–50%.
1. Số lượng cá hoặc vật phẩm một khối nước có thể cho là có giới hạn. Khối nước càng lớn, nó càng có thể cho nhiều, tối đa 50 lần.
2. Nếu máy gachapon được triệu hồi trực tiếp trong khối nước hay khi một kẻ địch rơi vào trong nước, nó sẽ hoạt động như một lại "phân bón".  Nó tăng tỉ lệ rơi của nguồn nước đó lên 50% (máy hỏng không tính). Số lượng vật phẩm/cá rơi ra tăng và giá trị tội lỗi của bạn cũng tăng. 
3. Chỉ số may mắn (luck) của Onii-chan ảnh hưởng đến câu cá, tối đa +75% xác suất
4. Nếu có bóng cá trong nước, tấn công trực tiếp hoặc bơi đến sẽ cho rơi cá. Mỗi bóng chỉ rơi một cá một lần.
5. Bong bóng trên mặt nước cho thấy có vật phẩm. Ném bom hoặc dùng Trượng Nước vào đó sẽ khiến chúng rơi ra. Tỉ lệ cao hơn để sinh ra kẻ địch hoặc rơi ra trang bị. Cá có tỉ lệ rơi vật phẩm thấp hơn.
6. Ném phân bón lên mặt nước sẽ tăng mạnh khả năng rơi cá hoặc vật phẩm.
7. Sinh vật rơi xuống nước sẽ biến thành “phân bón”, thêm vật phẩm rơi, bao gồm cả Sacambaspis khi nó trốn thoát xuống nước.
8. Chương trình TV đôi khi dự báo liên quan đến câu cá. Điều này chỉ thay đổi loại vật phẩm có thể rơi, không thay đổi tỉ lệ hoặc số lượng rơi.
9. Phân bón ném chồng lên nhau được, miễn là trong phạm vi, có thể tăng dần đến 100%, dẫn đến rơi vật phẩm đặc biệt hoặc thậm chí câu được boss Chúa Tể Dòng Sông.
10. Nếu vũng nước quá nhỏ, một số sinh vật sẽ không xuất hiện (ví dụ: boss). Nếu khu đất nơi Sacambaspis sinh ra quá nhỏ, nó sẽ lập tức bỏ trốn.
-------
Rút ngắn
Trời mưa, may mắn, máy gachapon trong dòng nước đều tạo điều kiện lí tưởng cho việc câu cá. Đều có thể áp dụng cho con sông lớn trong Khu Rừng Của Tàn Tích - 1 và dòng sông ở Khu Rừng Của Tàn Tích ngay trên khu vực bắt đầu</t>
  </si>
  <si>
    <r>
      <rPr>
        <rFont val="Microsoft JhengHei"/>
        <color theme="1"/>
      </rPr>
      <t xml:space="preserve">Instruções detalhada para pescar:
NOTA: tudo reseta quando chove
Qunaod uma bomba é jogada na água, A chance de um peixe ou item sairem é de 5%. Chover aumenta significantemente essas chances para 30%-50%
1. O número de peixes e itens na superfície da água é limitado. Quanto maior for o corpo de águas, mais ele pode dar até um limite de 50.
2. Quando uma máquina Gachapon é diretamente invocada em um corpo de água ou um inimigo cair na água, ele funcionará como um tipo de "fertilizante". Isso aumenta a taxa de aparecimento no corpo de água em 50% (Máquina de Gachapon quebrada não conta). A quantidade de itens/peixes "pescados" também aumenta o valor do seu "pecado".
3. A sorte do Onii-chan's afetará a pescaria, até o bônus máximo 75% de chance.
4. Se existem sombras de peixes no corpo de água, atacar elas diretamente ou nadar até elas irá resultar em um ingrediente peixe. Uma vez por sombra de peixe.
5. Bolhas na superfície da água indicam a presença de itens. Arremesaar bombas nela ou usar um cajado de água fará os itens sairem da água. Eles tem um chance maior de ou surgir um inimigo ou cair um equipamento. Chance de sair um peixe é menor.
6. Arremessar um fertilizante na superfície da água irã significantemente aumentar as chances de obter um item/peixe.
7. Criaturas vivas que cairem nos corpos de água se tornarão "fertilizante", adicionando mais itens, etc. Incluindo os Sacambaspis que escapam para água quando são arremessados.
8. O show na TV ocasionalmente preverão algo relacionado com pescaria. Isso só muda o grupo de possíveis itens e não necessariamente a taxa que você consegue pegar nem a quantidade.
9. Fertilizantes arremessados acumulam com outros desde que estejam na distância, cumulativamente aumentando as chances ou até "puxar" o chefe Lord do Rio.
10. Se o corpo de água for pequeno, certas criaturas não surgirão(como o chefe). Se a terra onde os Sacambaspis surgirem, eles vão fugir imediatamente.
</t>
    </r>
    <r>
      <rPr>
        <rFont val="Microsoft JhengHei"/>
        <i/>
        <color theme="1"/>
      </rPr>
      <t xml:space="preserve">TLDR - </t>
    </r>
    <r>
      <rPr>
        <rFont val="Microsoft JhengHei"/>
        <color theme="1"/>
      </rPr>
      <t xml:space="preserve">Muito long, não li
Tempo chuvoso, sorte máquina gachapon na água; todos eles fazem a condição ideal para pescar. Ambas as aplicáveis no grande rio na </t>
    </r>
    <r>
      <rPr>
        <rFont val="Microsoft JhengHei"/>
        <i/>
        <color theme="1"/>
      </rPr>
      <t>Forest of Ruins - 1</t>
    </r>
    <r>
      <rPr>
        <rFont val="Microsoft JhengHei"/>
        <color theme="1"/>
      </rPr>
      <t xml:space="preserve"> e no rio da </t>
    </r>
    <r>
      <rPr>
        <rFont val="Microsoft JhengHei"/>
        <i/>
        <color theme="1"/>
      </rPr>
      <t>Forest of Ruins</t>
    </r>
    <r>
      <rPr>
        <rFont val="Microsoft JhengHei"/>
        <color theme="1"/>
      </rPr>
      <t xml:space="preserve"> logo acima da área inicial.</t>
    </r>
  </si>
  <si>
    <t>Instruksi detail untuk memancing:
CATATAN: Semuanya akan diatur ulang saat hujan
Saat bom dilemparkan ke air, peluang mendapatkan ikan atau item adalah 5%. Hujan secara signifikan meningkatkan peluang ini hingga 30%-50%.
1. Jumlah ikan atau item yang dapat diperoleh dari suatu permukaan air terbatas. Semakin besar badan air, semakin banyak yang dapat diberikan, hingga maksimal 50 item.
2. Saat mesin Gachapon muncul langsung di badan air atau musuh jatuh ke air, itu akan bertindak sebagai semacam "pupuk". Ini meningkatkan tingkat perolehan item di badan air tersebut sebesar 50% (mesin Gachapon yang rusak tidak dihitung). Jumlah item/ikan yang didapatkan juga meningkat seiring dengan nilai dosa Anda.
3. Statistik keberuntungan Onii-chan memengaruhi memancing, hingga maksimal 75% peluang bonus.
4. Jika ada bayangan ikan di badan air, menyerangnya secara langsung atau berenang ke arahnya akan menghasilkan ikan. Hanya satu kali per bayangan ikan.
5. Gelembung di permukaan air menunjukkan adanya suatu item. Melempar bom ke gelembung tersebut atau menggunakan tongkat air dapat memicu munculnya item. Mereka memiliki peluang lebih tinggi untuk memunculkan musuh atau menjatuhkan peralatan. Ikan memiliki peluang lebih rendah untuk menjatuhkan item.
6. Melempar pupuk ke permukaan air akan secara signifikan meningkatkan peluang mendapatkan item/ikan.
7. Makhluk hidup yang jatuh ke dalam air akan menjadi "pupuk", menambahkan item baru, dll., termasuk Sacambaspis yang lolos ke air saat dilempar.
8. Acara TV terkadang meramalkan sesuatu yang berkaitan dengan memancing. Ini hanya mengubah kumpulan item yang jatuh dan tidak selalu mengubah tingkat jatuhnya item atau jumlah item yang jatuh.
9. Pupuk yang dilempar akan saling menumpuk selama berada dalam jangkauan, secara kumulatif meningkatkan peluang hingga 100%, menghasilkan item khusus atau menangkap bos The River Lord.
10. Jika badan air sangat kecil, makhluk tertentu tidak akan muncul sama sekali (seperti bos). Jika daratan tempat Sacambaspis muncul sangat kecil, ia akan segera melarikan diri.
TLDR
Cuaca hujan, keberuntungan, mesin gachapon di dalam air semuanya menciptakan kondisi ideal untuk memancing. Baik berlaku di sungai besar di Hutan Reruntuhan - 1 dan sungai di Hutan Reruntuhan tepat di atas area awal.</t>
  </si>
  <si>
    <t>薩卡班甲魚王血量低於90%時，有機率睡眠回復血量，受到攻擊會醒來
被擊敗時，如果半徑8格範圍內有水域，它就會脫戰跳進水里逃跑，這個過程它的皇冠（王權徵令）有概率掉落，如果是在"睡眠情況下"且"受控制狀態"(麻痺、凍結、暈眩)的同時被擊敗，王權徵令的掉落率會增加
如果它附近沒有水域，它就會因為力竭且無法逃跑而原地退化成普通的薩卡班甲魚同時變成從者掉落物(◉▽◉(粉色))，這個過程仍有概率掉落王權徵令。</t>
  </si>
  <si>
    <t xml:space="preserve">
サカバンバスピス王
HPが90％未満になると、一定確率で眠りにつき体力を回復する。攻撃を受けると目を覚ます。
撃破された際、半径8マス以内に水域がある場合、戦闘を離脱して水中へ逃走する。
　この過程で王冠（王権の令）が一定確率でドロップする。
　もし麻痺・凍結・気絶などの状態異常下で撃破されて逃げ込んだ場合、王権の令のドロップ率が上昇する。
周囲に水域が存在しない場合、力尽きて逃走できず、その場で通常のサカバン甲魚へと退化する。
　同時に従者ドロップ（◉▽◉（ピンク））へ変化し、この過程でも王権の令がドロップする可能性がある。
</t>
  </si>
  <si>
    <t>When The River King's health drops below 90%, there's a chance where it will sleep to restore its health. Attacking it will wake it up.
Upon defeat, if there's a body of water in an 8-block radius, it will stop fighting and jump right back to the water. When this happens, it has a chance of dropping its crown (Royal Decree). If it was defeated under movement impairing debuffs (Paralyzed, Frozen or Stunned), it will still jump to the water but the chance of dropping the crown is significantly boosted.
If there's no water nearby, it will wither into a normal-sized Sacambaspis due to exhaustion, unable to escape, and will become a servant drop (◉▽◉(Pink)). Despite this, it still has a chance to drop Royal Decree.</t>
  </si>
  <si>
    <t>Когда здоровье Короля-Черепахи Сакабана падает ниже 90%, у него есть шанс заснуть и восстановить здоровье. Он проснётся при атаке.
После поражения, если в радиусе 8 клеток есть вода, он отступит и прыгнет в воду, чтобы спастись. В этот момент есть шанс выпадения его короны (Королевского указа). Если он побеждён в состоянии «сна» и «под контролем» (парализован, заморожен, оглушён), вероятность выпадения Королевского указа увеличивается.
Если поблизости нет воды, он из-за истощения и неспособности сбежать превратится в обычную Черепаху Сакабана, став предметом, выпадающим из Слуги (◉▽◉(розовый)). В этот момент всё ещё есть шанс выпадения Королевского указа.</t>
  </si>
  <si>
    <t xml:space="preserve">Wenn der Saccabania-Schildkrötenkönig besiegt wird und sich im Umkreis von 8 Feldern Wasser befindet, springt er aus dem Kampf ins Wasser, um zu fliehen. Dabei besteht eine Chance, dass seine Krone (Herrschaftsdekret) fällt. Wird er im Kontrollzustand besiegt und springt ins Wasser, erhöht sich die Drop-Chance des Herrschaftsdekrets.
Befindet sich in seiner Nähe kein Wasser, erschöpft er sich und kann nicht fliehen, wodurch er an Ort und Stelle zu einer gewöhnlichen Saccabania-Schildkröte degeneriert und gleichzeitig als Diener-Drop erscheint (◉▽◉(pink)). Auch in diesem Fall besteht weiterhin eine Chance, dass das Herrschaftsdekret fällt.
</t>
  </si>
  <si>
    <t>Khi máu của Chúa Tể Dòng Sông giảm xuống dưới 90%, sẽ có khả năng nó ngủ nhằm phục hồi. Tấn công nó sẽ đánh thức nó dậy.
Khi bị đánh bại, nếu có một khu vực nước trong phạm vi bán kính 8 khối, nó sẽ dừng chiến đấu và nhảy ngay trở lại nước. Khi điều này xảy ra, nó có khả năng rơi vương miện (Sắc Lệnh Hoàng Gia). Nếu nó bị đánh bại trong tình trạng bị giảm khả năng di chuyển (Bị tê liệt, đóng băng hoặc choáng), nó vẫn có thể nhảy vào nước, nhưng khả năng rơi vương miện sẽ tăng đáng kể.
Nếu không có nước gần đó, nó sẽ héo đi thành một Sacambaspis có kích thước bình thường do kiệt sức, không thể thoát ra và sẽ trở thành một vật phẩm theo chân (◉▽◉(Hồng)). Mặc dù vậy, nó vẫn có một cơ hội để rơi Royal Decree.</t>
  </si>
  <si>
    <r>
      <rPr>
        <rFont val="Microsoft JhengHei"/>
        <color theme="1"/>
      </rPr>
      <t>Quando os PVs do Rei do Rio cair para menos de 90%, existe uma chance que ele irá dormir para recuperar vida. Atacar ele irá acordá-lo.
Quando derrotado, se existir um corpo de água em um raio de 8 blocos, ele irá parar a luta e pular de volta na água. Quando isso acontecer, existe uma chance de cair uma coroa (</t>
    </r>
    <r>
      <rPr>
        <rFont val="Microsoft JhengHei"/>
        <i/>
        <color theme="1"/>
      </rPr>
      <t>Decreto Real</t>
    </r>
    <r>
      <rPr>
        <rFont val="Microsoft JhengHei"/>
        <color theme="1"/>
      </rPr>
      <t xml:space="preserve">). Se ele for derrotado enquanto afetador por debuffs que impedem movimento(Paralisado, Congelado, Atordoado), ele ainda irá pular na água mas as chances de cair a coroa aumentam significativamente.
Se não tiver água próxima, ele irá definhar até o tamanho normal de um Sacambaspis devido a exaustão, impossível de escapar, e irá se tornar uma recompensa de servo (◉▽◉(Rosa)). Apesar isso, ele aidna tem chance de derrubar o </t>
    </r>
    <r>
      <rPr>
        <rFont val="Microsoft JhengHei"/>
        <i/>
        <color theme="1"/>
      </rPr>
      <t>Decreto Real</t>
    </r>
    <r>
      <rPr>
        <rFont val="Microsoft JhengHei"/>
        <color theme="1"/>
      </rPr>
      <t>.</t>
    </r>
  </si>
  <si>
    <t>Saat kesehatan Raja Sungai turun di bawah 90%, ada kemungkinan ia akan tidur untuk memulihkan kesehatannya. Menyerangnya akan membangunkannya.
Setelah dikalahkan, jika ada badan air dalam radius 8 blok, ia akan berhenti bertarung dan langsung melompat kembali ke air. Saat ini terjadi, ada kemungkinan ia menjatuhkan mahkotanya (Dekrit Kerajaan). Jika dikalahkan karena debuff yang menghambat pergerakan (Lumpuh, Beku, atau Terp stunned), ia tetap akan melompat ke air tetapi peluang menjatuhkan mahkota meningkat secara signifikan.
Jika tidak ada air di dekatnya, ia akan berubah menjadi Sacambaspis berukuran normal karena kelelahan, tidak dapat melarikan diri, dan akan menjadi drop servant (◉▽◉(Pink)). Meskipun demikian, ia masih memiliki peluang untuk menjatuhkan Dekrit Kerajaan.</t>
  </si>
  <si>
    <t>毒霧遇上火屬性攻擊時，可以產生粉塵爆炸</t>
  </si>
  <si>
    <t>毒霧が火属性攻撃を受けると、粉塵爆発が発生する</t>
  </si>
  <si>
    <t>When poison comes in contact with fire attribute, it will trigger explosions. Poison fogs included.</t>
  </si>
  <si>
    <t>При столкновении ядовитого тумана с атакой огненной стихии может произойти взрыв пыли.</t>
  </si>
  <si>
    <t>Wenn Gift mit dem Feuerattribut in Berührung kommt, wird eine Explosion ausgelöst.
Gifthauche sind davon ebenfalls betroffen.</t>
  </si>
  <si>
    <t>Khi chất độc tiếp xúc với thuộc tính lửa, nó sẽ kích hoạt các vụ nổ. Bao gồm cả sương mù độc.</t>
  </si>
  <si>
    <t>Quando veneno entra em contato com o atributo fogo, ele gera uma explosão. Nevoa venenosa inclusa.</t>
  </si>
  <si>
    <t>Saat racun bersentuhan dengan elemen api, akan memicu ledakan. Termasuk kabut racun.</t>
  </si>
  <si>
    <t>一些貪吃屬性的怪物，容易受到美食武器的誘惑，例如：ASABA、獸人等等。更容易被強制擊殺。</t>
  </si>
  <si>
    <t xml:space="preserve">
食いしん坊属性を持つ一部のモンスターは、「美食系の武器」に誘惑されやすく、たとえばASABAやオークなどがそれに該当します。
これらのモンスターは、より簡単に強制撃破されます
</t>
  </si>
  <si>
    <t>Gluttonous monsters such as Orcs, ASABA, etc. are more likely to be tempted by "Food" type of weapons. They are likely to be killed easily upon bloating from overeating.</t>
  </si>
  <si>
    <t>Некоторые прожорливые монстры легко поддаются искушению оружием, связанным с едой, например, Асаба и орки. Их чаще всего убивают силой.</t>
  </si>
  <si>
    <t>Gefräßige Monster wie Orks, ASABA usw. lassen sich leichter von Waffen des Typs "Nahrung" verführen.
Nach einer Überfressung neigen sie dazu, leicht zu platzen und zu sterben.</t>
  </si>
  <si>
    <t>Những quái vật tham ăn như Orcs, ASABA, vv... dễ bị thu hút bởi những vũ khí thuộc loại "Đồ ăn". Chúng cũng dễ bị đánh bại dễ dàng vì đầy bụng khi ăn quá nhiều</t>
  </si>
  <si>
    <t>Monstros gulosos como Orcs, ASABA, etc. são mais prováveis de ficar tentada por tipos de arma de "comida". Eles tem mais chance de morrerem facilmente por enchaço por comer de maisThey are likely to be killed easily upon bloating from overeating.</t>
  </si>
  <si>
    <t>Monster-monster rakus seperti Orc, ASABA, dan lain-lain lebih cenderung tergoda oleh senjata tipe "Makanan". Mereka cenderung mudah dibunuh karena kembung akibat makan berlebihan.</t>
  </si>
  <si>
    <t>下雨的天氣提供30~50%釣魚機率的加成，但僅限畫面有雨水顯示的時候(例如室內/地城等就無加成)；陰天提供15~25%的加成，但是可以全地圖生效。</t>
  </si>
  <si>
    <t xml:space="preserve">
雨天のときは、釣りの成功率に30〜50％のボーナスが付きます。ただし、画面上で雨が表示されている場合に限られます（室内やダンジョンなどでは効果がありません）。
曇りのときは15〜25％のボーナスが得られますが、こちらはマップ全域で有効です
</t>
  </si>
  <si>
    <t>Rainy weather provides a 30% to 50% bonus chance in fishing but only when you actually see rain on the screen. (For example, indoors have no rain visible so there's no boost).
Cloudy weather gives 15% to 25% bonus and should affect the entire world, including indoors.</t>
  </si>
  <si>
    <t>Дождливая погода дает бонус к шансам на рыбалку в размере 30-50%, но только когда дождь виден на экране (бонус не действует в помещениях/подземельях); облачная погода дает бонус в размере 15-25%, но он действует на всей карте.</t>
  </si>
  <si>
    <t>Regnerisches Wetter bietet einen Bonus von 30% bis 50% auf die Fangchance beim Angeln, aber nur, wenn der Regen tatsächlich auf dem Bildschirm sichtbar ist. (z.B. gibt es Innen keinen sichtbaren Regen, und daher auch keinen Bonus.)
Bewölktes Wetter gewährt einen Bonus von 15% bis 25% und wirkt auf die gesamte Welt, einschließlich Innenräumen.</t>
  </si>
  <si>
    <t>Trời mưa thực ra mang 30% đến 50% khả năng thưởng thêm khi câu cá nhưng chỉ khi bạn nhìn thấy mưa trên màn hình. (Ví dụ, không ở ngoài trời sẽ không thấy mưa nên sẽ không có).
Trời âm u sẽ cho 15% đến 25% thưởng và sẽ ảnh hưởng đến cả thế giới, kể cả trong nhà</t>
  </si>
  <si>
    <t>Tempo chuvoso fornece um bônus na chance de 30% to 50% para pescaria mas apenas quando você realmente vê a chuva na tela. (Por exemplo, locais fechados não tem chuva visível logo não tem o bônus).
Tempo nublado dá de 15% à 25% de bônus e possivemente afeta o mundo inteiro, incluindo em locais fechados.</t>
  </si>
  <si>
    <t>Cuaca hujan memberikan bonus peluang memancing sebesar 30% hingga 50%, tetapi hanya jika Anda benar-benar melihat hujan di layar. (Misalnya, di dalam ruangan tidak terlihat hujan sehingga tidak ada peningkatan peluang).
Cuaca berawan memberikan bonus 15% hingga 25% dan akan memengaruhi seluruh dunia, termasuk di dalam ruangan.</t>
  </si>
  <si>
    <t>地圖上每株草莓樹有10%機率刷新出ASABA
哥哥持有的草莓越多，刷新ASABA的概率越高，每一顆草莓可以增加0.5%，最多能生效100顆草莓(增加50%機率)。</t>
  </si>
  <si>
    <t>マップ上の各イチゴには、ASABAが出現する確率が10%設定されています。インベントリ内のイチゴの数が多いほど、ASABAが出現する可能性が高くなります。イチゴ1個につき確率が0.5%上昇し、最大100個のイチゴで最大50%まで上昇します</t>
  </si>
  <si>
    <t>Each strawberry in the map has a 10% chance to spawn ASABA. The more strawberry you have in your inventory, the more likely it is to spawn ASABA. Each strawberry increases the probability by 0.5% up to a maximum of 50% with 100 strawberries</t>
  </si>
  <si>
    <t>Каждое клубничное дерево на карте имеет 10%-ный шанс появления ASABA. Чем больше клубники у старшего брата, тем выше вероятность появления ASABA. Каждая клубника увеличивает вероятность на 0,5%, и можно использовать максимум 100 клубник (увеличивая вероятность на 50%).</t>
  </si>
  <si>
    <t>Mỗi cây dâu tây trên bản đồ có 10% khả năng xuất hiện ASABA. Onii-chan càng có nhiều dâu tây, khả năng xuất hiện ASABA càng cao. Mỗi quả dâu tây tăng khả năng xuất hiện ASABA thêm 0,5%, và có thể sử dụng tối đa 100 quả dâu tây (tăng khả năng xuất hiện ASABA thêm 50%).</t>
  </si>
  <si>
    <t>Cada morango no mapa aumenta a chance em 10% da ASABA surgir. Quanto mais morangos no seu inventário, maior a chance da ASABA surgir. Cada morango aumenta a probabilidade em 0,5% até o máximo de 50% quando tiver 100 morango.</t>
  </si>
  <si>
    <t>Setiap stroberi di peta memiliki peluang 10% untuk memunculkan ASABA. Semakin banyak stroberi yang Anda miliki di inventaris, semakin besar kemungkinan munculnya ASABA. Setiap stroberi meningkatkan probabilitas sebesar 0,5% hingga maksimum 50% dengan 100 stroberi.</t>
  </si>
  <si>
    <t xml:space="preserve">平時可以前往客廳觀看電視
18:00~19:00 可以看兔兔新聞
19:00~20:00 可以看天氣預報
20:00~21:00 可以看美食節目(特定日期裡會被切換為魔法少女動畫)
21:00~22:00 無可收視節目
22:00~23:00 無可收視節目（但允許使用錄影帶）
未來預計會依照不同的天數，每天做出不同的畫面(例如：新聞、食譜、黑暗料理、彩蛋等)
</t>
  </si>
  <si>
    <t xml:space="preserve">
普段はリビングでテレビを見ることができます。
18:00～19:00 - ラビットニュースを視聴できます。
19:00～20:00 - 天気予報を視聴できます。
20:00～21:00 - グルメ番組を視聴できます（特定の日には魔法少女アニメに切り替わります）。
21:00～22:00 - 放送番組はありません。
22:00～23:00 - 放送番組はありません（ただしビデオテープの使用は許可されています）。
今後は、異なる日数に応じて、毎日異なる内容の画面が表示される予定です（例：ニュース、レシピ、ダーク料理、隠し卵など）
</t>
  </si>
  <si>
    <t>You can choose to watch TV in the living room as you please upon getting home.
TV shows currently airing:
18:00-19:00: Abyss News (Rabbit News) Channel
19:00-20:00 Weather Forecast Channel
20:00-21:00: Food Channel (changes to the Magical Girl Anime in certain days)
21:00-22:00: No Channels Available Yet
22:00-:23:00: No Channels Available Yet (Video tapes can be used here)
In the future, different visuals are planned to be displayed on each day (e.g. news, recipes, bizarre dishes, easter eggs, etc.)</t>
  </si>
  <si>
    <t>平时可以前往客厅观看电视
18:00~19:00 可以看兔兔新闻
19:00~20:00 可以看天气预报
20:00~21:00 可以看美食节目（特定日期里会被切换为魔法少女动画）
21:00~22:00 无可收视节目
22:00~23:00 无可收视节目（但允许使用录像带）
未来预计会根据不同的天数，每天展示不同的画面（例如：新闻、食谱、黑暗料理、彩蛋等）</t>
  </si>
  <si>
    <t>В обычное время вы можете смотреть телевизор в гостиной.
18:00-19:00: Смотрите «Кроличьи новости»
19:00-20:00: Смотрите прогноз погоды
20:00-21:00: Смотрите кулинарные программы (в определенные дни они будут переключаться на аниме про девочек-волшебниц)
21:00-22:00: Программы недоступны
22:00-23:00: Программы недоступны (но видеокассеты разрешены).
В будущем планируется, что каждый день будут демонстрироваться разные визуальные материалы (например, новости, рецепты, необычные блюда, пасхальные яйца и т. д.).</t>
  </si>
  <si>
    <t>Du kannst nach Hause kommen und nach Belieben im Wohnzimmer fernsehen.
Derzeit laufende Fernsehsendungen:
18:00-19:00: Abyss News (Hasen News) Kanal
19:00-20:00: Wettervorhersage Kanal
20:00-21:00: Kochkanal (an bestimmten Tagen wechselt es zum Magisches Mädchen Anime)
21:00-22:00: Noch keine Kanäle verfügbar
22:00-23:00: Noch keine Kanäle verfügbar (Hier können Videokassetten genutzt werden)
In Zukunft sind unterschiedliche visuelle Inhalte geplant, die an jedem Tag angezeigt werden sollen (z. B. Nachrichten, Rezepte, bizarre Gerichte, Easter Eggs usw.)</t>
  </si>
  <si>
    <t>Bạn có thể chọn xem TV trong phòng khách tùy thích khi về nhà.
Các chương trình truyền hình đang phát sóng:
18:00-19:00: Kênh Bản tin Vực Sâu (Tin tức Thỏ)
19:00-20:00: Kênh Dự báo Thời tiết
20:00-21:00: Kênh Ẩm thực (có thể thay đổi chương trình Anime Ma Pháp Thiếu Nữ vào một số ngày nhất định)
21:00-22:00: Chưa có kênh nào
22:00-23:00: Chưa có kênh nào (Có thể sử dụng băng video tại đây)
Trong tương lai, dự kiến các hình ảnh khác nhau sẽ được chiếu vào mỗi ngày (ví dụ: tin tức, công thức nấu ăn, món ăn kỳ lạ, Easter Eggs, v.v.)</t>
  </si>
  <si>
    <r>
      <rPr>
        <rFont val="Microsoft JhengHei"/>
        <color theme="1"/>
      </rPr>
      <t xml:space="preserve">Você pode escolher ir à sala de estar para assistir TV à vontade quando chegar em casa.
Horário e shows que passam na TV:
18:00~19:00 Programa de notícias do Abismo (Jornal da Coelhinha)
19:00~20:00 Programa de previsão do tempo.
20:00~21:00 Programa de culinária (será substituídos pelo anime Ruby, A Garota da Luz Estelar! periodicamente)
21:00~22:00 Sem programas de TV ainda.
22:00~23:00 Sem programas de TV ainda(Fitas de vídeo podem ser usadas nesse momento.).
No futuro, está previsto que diferentes visuais sejam monstrados a cada dia, (p. ex. notícias, receitas, pratos inusitados, </t>
    </r>
    <r>
      <rPr>
        <rFont val="Microsoft JhengHei"/>
        <i/>
        <color theme="1"/>
      </rPr>
      <t>"Ovos de Páscoa"</t>
    </r>
    <r>
      <rPr>
        <rFont val="Microsoft JhengHei"/>
        <color theme="1"/>
      </rPr>
      <t xml:space="preserve">(surpresas escondidas), etc.).
</t>
    </r>
  </si>
  <si>
    <t>Anda dapat memilih untuk menonton TV di ruang tamu sesuai keinginan Anda setelah sampai di rumah.
Acara TV yang sedang tayang:
18:00-19:00: Saluran Berita Abyss (Berita Kelinci)
19:00-20:00 Saluran Ramalan Cuaca
20:00-21:00: Saluran Makanan (berubah menjadi Anime Gadis Ajaib di hari-hari tertentu)
21:00-22:00: Belum ada saluran yang tersedia
22:00-23:00: Belum ada saluran yang tersedia (Kaset video dapat digunakan di sini)
Di masa mendatang, visual yang berbeda direncanakan untuk ditampilkan setiap hari (misalnya berita, resep, hidangan aneh, easter egg, dll.)</t>
  </si>
  <si>
    <t>❤️紅色愛心：妹妹的好感度
💜紫色愛心：妹妹的性慾值(未來是會被消耗的)
💛黃色愛心：給予妹妹金錢的數值，每日重製。目前無實際用途，現階段一顆黃心等於一顆紅心(如果已經有紅心或者紫心，就會以金色的鍍邊形式呈現)
🤍白色愛心：灌滿在妹妹體內的數值，目前無作用
🖤黑色愛心：代表壞心情。如果你惹妹妹生氣或沒有遵守對她的承諾，就會出現這種情況。 目前未實裝</t>
  </si>
  <si>
    <t xml:space="preserve">❤️は愛情を表します
💜は欲望／淫らな感情を表します
🤍は中出し行為によって彼女の体内に残した精液の量を示します。ただし、1回の中出しで必ずしも1つの白いハートが満たされるわけではありません。現時点では特に効果はありません。
💛は妹への賄賂のレベルを表し、当然ながら賄賂を贈った際に獲得できます。このハートは毎日リセットされ、他の色のハートと重なることがあり、その場合下の参考画像のように黄色の輪郭が表示されます。現在のバージョンでは💛を❤️の代用として使用できます
🖤は不機嫌な状態を表します。これは妹を怒らせたり、彼女に対する約束を守れなかった場合に発生します。（リリース日は未定）
</t>
  </si>
  <si>
    <t xml:space="preserve">❤️ represents affection
💜 represents desire / lewdness
🤍 represents the amount of cum you left inside her, accumulated by doing nakadashi (creampie). Note that one nakadashi doesn't necessarily mean full 1 white heart. Currently has no effect.
💛 represents your bribery level for imouto, obviously obtained when bribing. This heart resets everyday and can overlap with another colored heart in which they'll have a yellow outline like in the image reference below. 💛 can be used as a substitute for ❤️  in the current version
🖤 represents bad mood. This happens if you upset imouto or fail to keep your promises to her. (Unknown release date) 
</t>
  </si>
  <si>
    <t>❤️ 红色爱心：妹妹的好感度
💜 紫色爱心：妹妹的性欲值（未来会作为消耗品）
💛 黄色爱心：给予妹妹金钱的数值，每日重制。 目前无实际用途，现阶段一颗黄心等于一颗红心（如果已经有红心或者紫心，就会以金色的镀边形式呈现）
🤍 白色爱心：灌满在妹妹体内的数值，目前无作用
🖤 黑色爱心：代表坏心情。 如果你惹妹妹生气或没有遵守对她的承诺，就会出现这种情况。 目前未实装</t>
  </si>
  <si>
    <t xml:space="preserve">❤️ Representa cariño
💜 Representa deseo / lascivo
🤍 Representa la cantidad de Semen que dejas dentro de ella, luego de hacer nakadashi (correrse dentro). Nota, 1 nakadashi no significa necesariamente 1 corazón completo. Actualmente no tiene ningun efecto ( por implementar. ).
💛 Representa el nivel de sobornos de tu hermanita. Este corazón se reinicia todos los días y puede superponerse con otro corazón de color que tendrá un contorno amarillo como en la imagen de referencia a continuación. 💛 Puede usarse como sustituto para los ❤️  en la versión actual.
🖤 Representa mal humor. Esto ocurre cuando no mantienes tus promesas con la hermanita.
(Fecha de lanzamiento no determinada) </t>
  </si>
  <si>
    <t>❤️Красное сердце: Уровень привязанности сестры
💜Фиолетовое сердце: Сексуальное влечение сестры (будет использовано в будущем)
💛Желтое сердце: Количество денег, которые дают сестре, обнуляется ежедневно. В настоящее время не имеет практического применения; одно желтое сердце эквивалентно одному красному сердцу (если уже есть красные или фиолетовые сердца, они будут отображаться с золотой рамкой).
🤍Белое сердце: Количество денег, хранящихся в теле сестры; в настоящее время не имеет эффекта.
🖤Черное сердце: Означает плохое настроение. Это произойдет, если вы разозлите сестру или не сдержите свои обещания. В настоящее время не реализовано.</t>
  </si>
  <si>
    <t>❤️ Steht für Zuneigung
💜 Steht für Verlangen / Lüsternheit
🤍 Steht für die Menge an Sperma, die du in ihr hinterlassen hast, angesammelt durch Nakadashi (Sperma im Inneren). Beachte, dass ein Nakadashi nicht unbedingt ein volles weißes Herz bedeutet. Derzeit hat es noch keine auswirkung.
💛 Steht für dein Bestechungslevel bei deienr Schwester, erlangst du offensichtlich durch Bestechung. Dieses Herz wird jeden Tag zurückgesetzt und kann sich mit einem anderen farbigen Herz überlappen, dann hat es einen gelben Umriss wie in der unten gezeigten Bildreferenz. 💛 kann in der aktuellen Version als Ersatz für ❤️ verwendet werden.
🖤 Steht für schlechte Laune. Das passiert, wenn du deine Schwester verärgerst oder deine Versprechen ihr gegenüber nicht hältst. (Veröffentlichungsdatum unbekannt)</t>
  </si>
  <si>
    <t>❤️ tượng trưng cho ảnh hưởng
💜 tượng trưng cho ham muốn
🤍 tượng trưng cho lượng tinh dịch bạn để lại bên trong em ấy, tích tụ bằng cách nakadashi (xuất trong). Lưu ý rằng một nakadashi không nhất thiết là đầy 1 trái tim trắng. Hiện tại không có hiệu ứng. 
💛 tượng trưng cho mức độ hối lộ imouto, nhận được khi hối lộ em ấy. Trái tim này được làm mới hàng ngày và có thể chồng lên một trái tim màu khác, khi đó chúng sẽ có viền vàng như trong hình ảnh tham khảo bên dưới. 💛 có thể được sử dụng như thay thế cho ❤️ trong phiên bản hiện tại 
🖤 tượng trưng cho tâm trạng không tốt. Điều này xảy ra nếu bạn làm imouto buồn hoặc không giữ lời hứa với em ấy. (Chưa rõ ngày triển khai)</t>
  </si>
  <si>
    <t xml:space="preserve">❤️ Representa afeição
💜 Representa desejo / safadesa
🤍 Representa a quantidade de porra que você deixou dentro dela, acumulada ao fazer nakadashi (creampie). Observe que um nakadashi não necessariamnete significa 1 coração branco completo🤍. Atualmente não tem efeito e vai reduzindo com o tempo.
💛 Representa o quanto você subornou a imouto, obviamente obtido quando a suborna. Esse coração reseta todo dia e pode sobrepor outros corações coloridos em que surgirá uma linha amarela em volta. 💛 podem ser usado como substitutos para os ❤️ na versão atual
🖤 Representa mau humor. Ele surge quando você irrita a imouto ou falha em manter as promessas com ela. (Ainda não tem data de lançamento) </t>
  </si>
  <si>
    <t xml:space="preserve">❤️ melambangkan kasih sayang
💜 melambangkan hasrat/nafsu
🤍 melambangkan jumlah sperma yang Anda tinggalkan di dalam dirinya, yang terkumpul saat melakukan nakadashi (creampie). Perhatikan bahwa satu kali nakadashi tidak selalu berarti 1 hati putih penuh. Saat ini tidak berpengaruh.
💛 melambangkan tingkat suap Anda untuk imouto, yang jelas diperoleh saat menyuap. Hati ini diatur ulang setiap hari dan dapat tumpang tindih dengan hati berwarna lain yang akan memiliki garis luar kuning seperti pada gambar referensi di bawah ini. 💛 dapat digunakan sebagai pengganti ❤️ di versi saat ini
🖤 melambangkan suasana hati yang buruk. Ini terjadi jika Anda membuat imouto kesal atau gagal menepati janji Anda kepadanya. (Tanggal rilis tidak diketahui)
</t>
  </si>
  <si>
    <t>罰單不可丟棄，會持續累積，會累積罪惡值
罰金只會在當下扣除，若是金幣不足不會變成負數
持有多張罰單不會累積罰金
罰金是正常物價的一半(商店車售價的1/4)
例如：物品價格為500，商店車賣1000，罰金就是250</t>
  </si>
  <si>
    <t xml:space="preserve">
罰金は捨てられず、累積していきます。罪のポイントが蓄積されます
罰金はその場でのみ差し引かれます。コインが不足している場合はマイナスにはなりません
複数の罰金を同時に保有していても、罰金は累積しません
罰金は通常の価格の半額です（ショップカートの価格の 1/4）
例えば、アイテムの価格が 500 で、ショップカートで 1000 で売られている場合、罰金は 250 になります
</t>
  </si>
  <si>
    <t>Tickets can be stacked and cannot be discarded, further increasing your sin value.
Fines are only deducted on the moment of purchase, your money will not become negative if you don't have enough.
Possessing multiple tickets won't accumulate fines
Fines are half the normal price (1/4 of the price of the item)
For example:
Item Price - 500
Shopping Van's Price - 1000
Fine - 250 (1/4 of 1000)</t>
  </si>
  <si>
    <t>罚单不可丢弃，会持续累积，并累积罪恶值
罚金只会在当下扣除，若是金币不足不会变成负数
持有多张罚单不会累积罚金
罚金是正常物价的一半(商店车售价的1/4)
例如：物品价格为500，商店车卖1000，罚金就是250</t>
  </si>
  <si>
    <t>*Tickets can be stacked and cannot be discarded, further increasing your sin value.
Fines are only deducted on the moment of purchase, your money will not become negative if you don't have enough.
Possessing multiple tickets won't accumulate fines
Fines are half the normal price (1/4 of the price of the item)
For example:
Item Price - 500
Shopping Van's Price - 1000
Fine - 250 (1/4 of 1000)</t>
  </si>
  <si>
    <t>*Tickets können gestapelt werden und nicht weggeworfen werden, was deinen Sündenwert weiter erhöht.
Strafen werden nur beim Kauf abgezogen; dein Geld wird nicht negativ, wenn du nicht genug hast.
Mehrere Tickets zu besitzen, summiert die Strafen nicht.
Strafen betragen die Hälfte des normalen Preises (1/4 des Preises des Gegenstands).
Zum Beispiel:
Preis des Gegenstands – 500
Preis des Einkaufswagens – 1000
Strafe – 250 (1/4 von 1000)</t>
  </si>
  <si>
    <t>*Vé có thể được xếp chồng lên nhau và không thể bị vứt bỏ, điều này sẽ làm tăng thêm giá trị tội lỗi của bạn.
Tiền phạt chỉ được trừ vào thời điểm mua hàng, tiền của bạn sẽ không đi xuống âm nếu bạn không đủ.
Sở hữu nhiều vé sẽ không tích lũy tiền phạt.
Tiền phạt bằng một nửa giá thông thường (1/4 giá của mặt hàng).
Ví dụ:
Giá hàng - 500
Giá của xe van bán hàng - 1000
Tiền phạt - 250 (1/4 của 1000)</t>
  </si>
  <si>
    <t>As multas não podem ser descartados e se acumulam, aumentando seu saldo negativo.
As multas são deduzidas apenas no momento da compra; elas não se tornarão negativas se você não tenha dinheiro suficiente.
Acumular várias multas não acumula seu valor.
As multas correspondem à metade do preço normal de um item (1/4 do preço do carrinho de compras).
Por exemplo: se um item custa 500 e o carrinho de compras vende por 1000, a multa será de 250.</t>
  </si>
  <si>
    <t>Tiket tidak dapat dibuang dan akan terakumulasi, meningkatkan nilai dosa.
Denda hanya dipotong pada saat pembelian, denda tidak akan menjadi negatif jika Kamu tidak memiliki cukup emas.
Memegang beberapa tiket tidak akan mengakumulasi denda.
Denda adalah setengah dari harga normal (1/4 dari harga di keranjang toko).
Misalnya: jika suatu barang berharga 500 dan di keranjang toko dijual seharga 1000, maka dendanya adalah 250.</t>
  </si>
  <si>
    <t>目前玩家還沒有手段可以觀測"深淵氣息濃度"
在迷宮裡不斷殺死怪物就會累積深淵氣息，每天固定下降一定比例，或是出現封印之柱時，會清空深淵氣息
小技巧：利用怪物討厭臭味的特性，可以更有效的進行戰鬥</t>
  </si>
  <si>
    <t xml:space="preserve">
現在、お兄ちゃんは『深淵の気配の濃度』を観測する手段をまだ持っていません。
ダンジョン内でモンスターを倒し続けると深淵の気配が蓄積され、毎日一定割合で減少します。また、『封印の柱』が出現した場合、深淵の気配はリセットされます。
小ネタ：モンスターは臭いを嫌う性質があるため、それを利用するとより効率的に戦闘を進められます</t>
  </si>
  <si>
    <t>Currently, there's no way to see the "Abyssal Aura". Killing monsters in the Abyssal Aura is the way to accumulate it and it decreases by a fixed percentage each time a new day starts or it resets back to 0 when you clear a Sealed Pillar
Tip: Use the monster's hate of bad odor to fight effectively. (Rotten Fishbone)</t>
  </si>
  <si>
    <t>目前玩家还没有手段可以观测"深渊气息浓度"
在迷宫里不断杀死怪物就会累积深渊气息，每天固定下降一定比例，或是出现封印之柱时，会清空深渊气息
小技巧：利用怪物讨厌臭味的特性，可以更有效的进行战斗</t>
  </si>
  <si>
    <t>Currently, there's no way to see the "Abyssal Aura". Killing monsters in the Abyssal Aura is the way to accumulate it and it decreases by a fixed percentage each time a new day starts or it resets back to 0 when you clear a Sealed Pillar</t>
  </si>
  <si>
    <t>Derzeit gibt es keine Möglichkeit, die "abyssale Aura" zu sehen. Das Töten von Monstern in der abyssalen Aura ist der Weg, um sie zu sammeln, und sie verringert sich um einen festen Prozentsatz, wenn ein neuer Tag beginnt, oder wird auf 0 zurückgesetzt, wenn du eine versiegelte Säule besiegst.</t>
  </si>
  <si>
    <t>Hiện tại, không có cách nào để nhìn thấy "Hào quang Vực thẳm". Tiêu diệt quái vật trong Hào quang Vực thẳm là cách để tích lũy nó và nó sẽ giảm đi một tỷ lệ phần trăm không đổi mỗi khi bắt đầu một ngày mới hoặc sẽ đặt lại về 0 khi bạn đánh bại một Trụ Bị Phong Ấn.
Tip: lợi dụng việc quái vật ghét mùi hôi để chiến đấu hiệu quả (Xương Cá Thối)</t>
  </si>
  <si>
    <t>Atualmente, os jogadores não têm como monitorar a "Concentração de Aura Abissal". 
Matar monstros na masmorra acumula Aura Abissal, que diminui em uma porcentagem fixa a cada dia, ou é zerada quando um Pilar Selado aparece.</t>
  </si>
  <si>
    <t>Saat ini, pemain tidak memiliki cara untuk mengamati konsentrasi "Abyssal Aura". Membunuh monster di dalam dungeon akan mengumpulkan Abyssal Aura, yang akan berkurang dengan persentase tetap setiap hari, atau akan hilang ketika Sealing Pillar muncul.</t>
  </si>
  <si>
    <t>遊戲中的一分鐘，大約是現實生活的2秒鐘，因此與整點能力相關能力皆為2秒左右(例如：儀式的御柱)
小技巧：可以透過時間暫停道具提升維持時間</t>
  </si>
  <si>
    <t>ゲーム内の1分は現実時間の約2秒に相当する
そのため毎正時に関連する能力の持続時間も約2秒程度となる（例：儀式の御柱）
小技：時間停止アイテムを使用することで持続時間を延ばすことができる</t>
  </si>
  <si>
    <t>One minute in the game is roughly equivalent to two seconds in real life so abilities that are time-related are all around two seconds long (like the Sealed Pillar). Tip: You can use time-stop items to extend the duration</t>
  </si>
  <si>
    <t>游戏中的一分钟，大约是现实生活的2秒钟，因此与整点能力相关能力皆为2秒左右(例如：仪式的御柱)
小技巧：可以透过时间暂停道具提升维持时间</t>
  </si>
  <si>
    <t>Un minuto en el juego equivale aproximadamente a dos segundos en la vida real; por lo tanto, las habilidades relacionadas con la hora duran aproximadamente dos segundos (por ejemplo, el pilar ritual).
Consejo: La duración se puede aumentar usando objetos que detienen el tiempo.</t>
  </si>
  <si>
    <t>게임 내 1분은 현실 시간으로 약 2초에 해당합니다. 따라서 시간과 관련된 능력(예: 의식 기둥)은 모두 약 2초 동안 지속됩니다.
팁: 시간 정지 아이템을 사용하면 지속 시간을 늘릴 수 있습니다.</t>
  </si>
  <si>
    <t>Одна минута в игре равна примерно двум секундам в реальной жизни.
Таким образом, все способности, связанные с часом, длятся около двух секунд (например, ритуальный столб).
Совет: Вы можете использовать предметы, останавливающие время, чтобы увеличить его продолжительность.</t>
  </si>
  <si>
    <t>Eine Minute im Spiel entspricht ungefähr zwei Sekunden im echten Leben, daher dauern alle zeitbezogenen Fähigkeiten etwa zwei Sekunden an wie die Versiegelte Säule. Tipp: Du kannst Zeitstopp Gegenstände verwenden, um die Dauer zu verlängern</t>
  </si>
  <si>
    <t>Một phút trong trò chơi bằng khoảng hai giây ngoài đời thật; vì thế, các kĩ năng liên quan đến thời gian đều dài khoảng 2 giây</t>
  </si>
  <si>
    <t xml:space="preserve">Um minuto no jogo equivale aproximadamente a dois segundos na vida real, então habilidades relacionadas ao tempo duram cerca de dois segundos (como o Pilar Selado). Dica: você pode usar itens de parada no tempo para estender a duração.
</t>
  </si>
  <si>
    <t>satu menit di game sama dengan dua detik didunia nyata jadi kemampuan yang berhubungan dengan waktu semuanya selama dua detik lamanya (seperti pilar tersegel). Tips: kau bisa memperpanjang durasinya menggunakan item penghenti waktu</t>
  </si>
  <si>
    <t>淫奔的惡魔具有操作時間的能力，能將時間立即重置到整點
如果目前時間是整點，它的能力會強到可以秒殺玩家
第二階段會有光砲攻擊(未實裝)</t>
  </si>
  <si>
    <t xml:space="preserve">
淫乱の悪魔は時間を操作する能力を持ち、時間を即座に時報の時刻にリセットできます。
現在の時刻が時報の時刻と一致している場合、その能力は非常に強力で、お兄ちゃんを一瞬で倒すことが可能です
第2段階では、光の砲撃攻撃があります (未実装)
</t>
  </si>
  <si>
    <t>The "Lewd Demon" monster is capable of manipulating time, instantly resetting it to an exact hour (like 1:00, 2:00, etc.). If the current time is exactly on the hour, its power is strong eonugh to instnatly kill the player.
In the second phase, there will be things such as a laser attack (not yet implemented)</t>
  </si>
  <si>
    <t>淫奔的恶魔具有操作时间的能力，能将时间立即重置到整点
如果目前时间是整点，它的能力会强到可以秒杀玩家
第二阶段会有光炮攻击(未实装)</t>
  </si>
  <si>
    <t>El demonio lascivo posee la habilidad de manipular el tiempo, restableciéndolo instantáneamente a la hora actual.
Si la hora actual es la hora, su poder es tan grande que puede matar al jugador al instante.
La segunda fase incluye un ataque de luz (aún no implementado).</t>
  </si>
  <si>
    <t>음탕한 악마는 시간을 조작하는 능력을 가지고 있으며, 순식간에 시간을 정각으로 되돌릴 수 있습니다.
현재 시간이 정각일 경우, 그 힘은 너무나 강력하여 플레이어를 즉사시킬 수 있습니다.
두 번째 단계에는 빛 속성 공격이 포함됩니다(아직 구현되지 않음).</t>
  </si>
  <si>
    <t>"Похотливый демон" способен манипулировать временем, мгновенно переводя его на точный час (например, на 1:00, 2:00 и т.д.).
Если текущее время точно соответствует часу, его силы будет достаточно, чтобы мгновенно убить игрока.
На Второй фазе будут такие вещи, как лазерная атака (пока не реализовано).</t>
  </si>
  <si>
    <t>Der laufende Dämon hat die Fähigkeit, die Zeit zu manipulieren und sofort auf die volle Stunde zurückzusetzen
Wenn es gerade die volle Stunde ist, ist seine Fähigkeit so stark, dass sie den Spieler sofort töten kann
In der zweiten Phase gibt es Lichtkanonenangriffe (noch nicht implementiert)</t>
  </si>
  <si>
    <t>Con quỷ dục vọng có khả năng điều khiển thời gian, lập tức chỉnh lại thời gian về giờ.
_________, sức mạnh của nó đủ để hạ người chơi ngay lập tức
Giai đoạn thứ hai bai gồm một đòn tấn công bằng pháo ánh sáng (chưa được triển khai)</t>
  </si>
  <si>
    <t>O demônio lascivo possui a habilidade de manipular o tempo, reiniciando-o instantaneamente para a hora exata.
Se a hora atual for a hora exata, seu poder é tão grande que pode matar o jogador instantaneamente.
A segunda fase inclui um ataque laser (ainda não implementado).</t>
  </si>
  <si>
    <t>monster "Iblis mesum" bisa memanipulasi waktu, langsung merubah waktu langsung (sperti 1:00, 2:00, dll.). jika waktu saatini tepat satu jam, kekuatannya cukup untuk langsung membunuh pemain. 
di wujud ke dua, akan ada sesuatu seperti serangan leser (masih belum dikembangkan)</t>
  </si>
  <si>
    <t>新規則(心動值)：
❤️ = 1分
💜 = 1分
妹妹拿粉紅糖的狀態 = 2分
高心情值狀態 = 隨機的0~2分
低心情值狀態 = 隨機的扣除0~2分
性經驗等級：
同一個事件需要反覆觸發多次以上</t>
  </si>
  <si>
    <t>新ルール（ときめき値）：
❤️＝1点
💜＝1点
妹がピンクの金平糖を持っている状態＝2点
高機嫌状態＝ランダムで0～2点
低機嫌状態＝ランダムで0～2点減少
性経験レベル：
同じイベントを複数回以上繰り返し発生させる必要がある</t>
  </si>
  <si>
    <t>New rules regarding affection gain:
❤️ = 1 point
💜 = 1 point
Imouto after eating pink konpeito = 2 points
High mood value = Random 0~2 points
Low mood value = Random deduction of 0~2 points
Sexual Experience Level: The same event needs to be triggered repeatedly multiple times.</t>
  </si>
  <si>
    <t>新规则(心动值)：
❤️ = 1分
💜 = 1分
妹妹拿粉红糖的状态 = 2分
高心情值状态 = 随机的0~2分
低心情值状态 = 随机的扣除0~2分
性经验等级：
同一个事件需要反覆触发多次以上</t>
  </si>
  <si>
    <t>Nuevas reglas (Valor de latido):
❤️ = 1 punto
💜 = 1 punto
Hermana con caramelo rosa = 2 puntos
Estado de ánimo alto = Aleatorio: 0-2 puntos
Estado de ánimo bajo = Deducción aleatoria: 0-2 puntos
Nivel de experiencia sexual: El mismo evento debe activarse varias veces.</t>
  </si>
  <si>
    <t>새로운 규칙 (심장 박동 값):
❤️ = 1점
💜 = 1점
분홍색 사탕을 들고 있는 여동생 = 2점
기분 좋음 상태 = 임의 0~2점
기분 나쁨 상태 = 임의 차감 0~2점
성적 경험 레벨: 동일한 이벤트가 여러 번 발생해야 합니다.</t>
  </si>
  <si>
    <t>Новые правила (сердечная ценность):
❤️= 1 балл.
💜= 1 балл.
Статус Имоуто с розовой конфетой = 2 балла.
Хорошего настроения = случайное значение 0 до 2 баллов
Плохого настроения = случайное вычитание от 0 до 2 баллов.
Уровень сексуального опыта:
Одно и то же событие должно запускаться многократно, более одного раза.</t>
  </si>
  <si>
    <t>Neue Regeln (Zuneigungswert):
❤️ = 1 Punkt
💜 = 1 Punkt
Wenn die Schwester rosa Bonbons nimmt = 2 Punkte
Hohe Stimmung = zufällig 0–2 Punkte
Niedrige Stimmung = zufällig 0–2 Punkte Abzug
Sexuelle Erfahrungsstufe:
Dasselbe Ereignis muss mehrmals hintereinander ausgelöst werden</t>
  </si>
  <si>
    <t>Quy luật mới (Giá trị trái tim):
❤️ = 1 điểm
💜 = 1 điểm
Em gái với kẹo hồng = 2 điểm
Giá trị tâm trạng cao = ngẫu nhiều 0 ~ 2 điểm
Giá trị tâm trạng thấp = ngẫu nhiên giảm 0 ~ 2 điểm
Mức độ trải nghiệm tình dục: Một sự kiện cần xảy ra nhiều lần</t>
  </si>
  <si>
    <t>Novas Regras (Relacionado ao ganho de afeição):
❤️ = 1 ponto
💜 = 1 ponto
Imouto depois de comer um Kopeito Rosa = 2 pontos
Estado de humor alto = pontuação aleatória de 0 a 2 pontos
Estado de humor baixo = dedução aleatória de 0 a 2 pontos
Nível de Experiência Sexual: O mesmo evento precisa ser desencadeado várias vezes.</t>
  </si>
  <si>
    <t>賄絡技巧：
妹妹喜歡的牛奶只有【好喝的牛奶】和【草莓牛奶】
解鎖零花錢事件後，妹妹對於金錢才會感到心動
拜託妹妹則是依據妹妹心情和哥哥的幸運值</t>
  </si>
  <si>
    <t xml:space="preserve">
賄賂のコツ：
妹が好きなミルクは【オイシイミルク】と【イチゴミルク】だけです。
お小遣いイベントを解除すると、妹はお金に対して初めて興味を持ちます。
お願いする場合は、妹の気分とお兄ちゃんの幸運値によって決まります
</t>
  </si>
  <si>
    <t>Bribery tips: The only milk that Imouto likes is "Delicious Milk" and "Strawberry Milk". She'll only be interested in money after you unlock the "allowance event". The success in asking her for a favor depends on her mood and your luck</t>
  </si>
  <si>
    <t>贿络技巧：
妹妹喜欢的牛奶只有【好喝的牛奶】和【草莓牛奶】
解锁零花钱事件后，妹妹对于金钱才会感到心动
拜托妹妹则是依据妹妹心情和哥哥的幸运值</t>
  </si>
  <si>
    <t>Consejos para sobornar: A la hermana menor solo le gustan "Leche Deliciosa" y "Leche de Fresa". Solo le interesará el dinero después de desbloquear el evento de la mesada. Pedirle favores a la hermana menor depende de su humor y de la suerte del hermano mayor.</t>
  </si>
  <si>
    <t>뇌물 주는 팁: 여동생은 "맛있는 우유"와 "딸기 우유"만 좋아합니다. 용돈 이벤트가 발생한 후에야 돈에 관심을 보일 거예요. 여동생에게 부탁을 하는 건 여동생의 기분과 오빠의 운에 달려있습니다.</t>
  </si>
  <si>
    <t>Советы по подкупу:
Единственное молоко, которое нравится Имоуто, - это "Вкусное молоко" и "Клубничное молоко".
Деньги заинтересуют её только после того, как вы откроете "акцию на пособие". Успех вашей просьбы об одолжении зависит от её настроения и вашей удачи.</t>
  </si>
  <si>
    <t>Bestechungstechniken:
Die Milch, die deine Schwester mag, sind nur "Leckere Milch" und "Erdbeermilch"
Nach Freischaltung des Taschengeld-Ereignisses wird deine Schwester gegenüber Geld zuneigender
"Deine Schwester um etwas bitten" hängt von der Stimmung deiner Schwester und dem Glückswert von dir ab.</t>
  </si>
  <si>
    <t>Kĩ thuật hối lộ: 
Em gái chỉ thích "Sữa Dâu" và "Sữa Ngon Cực Kì". Sau khi mở khóa sự kiện tiền tiêu vặt, em gái sẽ trở nên hứng thú với tiền. Hỏi em ấy mượn tiền sẽ dựa vào tâm trạng và may mắn của onii-chan</t>
  </si>
  <si>
    <t>Dicas para subornar: A imouto só gosta de "Leite Delicioso" e "Leite de Morango". Ela só se interessará por dinheiro depois que o evento "Dinheiro da Imouto" for desbloqueado. Pedir favores à imouto depende do humor dela e da sorte do onii-chan.</t>
  </si>
  <si>
    <t>關於封術卷軸的一些小知識：
1.被封印的物品會從背包裡消失，可用來暫時儲存物品
2.解封後可立即復原裝備狀態，可用來瞬間換裝改變戰鬥風格
3.未來實施詛咒裝備時，原本不可脫下的詛咒裝備，可以靠封印的手段強行剝下
4.一個捲軸在封印時，會對應你身上所有正在裝備的物品，直到卷軸召喚完才可以再次封印
5.身上有裝備時再召喚卷軸，會將身上的裝備擠回背包裡</t>
  </si>
  <si>
    <t>封術の巻物に関するちょっとした豆知識：
1.封印されたアイテムはバッグから消えるため、一時的にアイテムを保管する用途として使える
2.解封すると装備状態が即座に復元されるため、瞬時に装備を切り替えて戦闘スタイルを変えることができる
3.呪い装備が実装された場合、本来外せない呪い装備でも、封印することで強制的に外すことが可能
4．1つのスクロールで封印する際、現在装備しているすべての装備がそのスクロールに対応する。スクロールの召喚が完了するまで、再び封印することはできない
5．装備を身につけた状態でスクロールを召喚すると、現在装備している装備はバッグへ押し戻される</t>
  </si>
  <si>
    <t>Some basic information about Sealing Scrolls:
1. Items that are sealed will disappear from your inventory, meaning the scroll can be used as a temporary storage.
2. Unsealing immediately restores the equipment back to its original state, allowing instant gear swapping and changing combat styles.
3. In the future, there will be "cursed" equipments. Some of these cursed equipments can't be discarded/removed but a sealing scroll bypasses this.
4. When a scroll seals equipment, it will affect all currently equipped gear/weapon. You cannot seal another set of equipment unless you take out the previous one.
5. If you unseal the scroll while you're currently wearing equipment, all equipped gear/weapon will be sent to your inventory.</t>
  </si>
  <si>
    <t>关于封术卷轴的一些小知识：
1.被封印的物品会从背包里消失，可用来暂时储存物品
2.解封后可立即复原装备状态，可用来瞬间换装改变战斗风格
3.未来实施诅咒装备时，原本不可脱下的诅咒装备，可以靠封印的手段强行剥下
4.一个卷轴在封印时，会对应你身上所有正在装备的物品，直到卷轴召唤完才可以再次封印
5.身上有装备时再召唤卷轴，会将身上的装备挤回背包里</t>
  </si>
  <si>
    <t>Сведения о запечатывающих свитках:
1. Запечатанные предметы исчезают из инвентаря и хранятся в самом свитке.
2. После снятия печати предметы возвращаются к изначальному расположению, что позволяет мгновенно сменить экипировку и изменить стиль боя.
3. В будущем, при наложении проклятия на экипировку, проклятые предметы, которые нельзя снять, можно будет убрать с себя с помощью запечатывающих средств.
4. Один свиток при запечатывании будет соответствовать всем предметам, которые вы носите, и повторное запечатывание возможно только после снятия нынешней печати.
5. Если при вызове свитка у вас есть экипировка, она будет вытеснена обратно в инвентарь.</t>
  </si>
  <si>
    <t>Một số thông tin cơ bản về Cuộn Phép Phong Ấn:
1. Các vật phẩm bị phong ấn sẽ biến mất khỏi túi đồ của bạn, nghĩa là cuộn giấy có thể được sử dụng như một nơi lưu trữ tạm thời.
2. Mở phong ấn sẽ ngay lập tức khôi phục trang bị về trạng thái ban đầu, cho phép thay đổi trang bị và cách tấn công tức thì.
3. Trong tương lai, sẽ có những trang bị "nguyền rủa". Một số trang bị này không thể bị xóa bỏ/gỡ bỏ nhưng Cuộn Phong Ấn sẽ không bị ảnh hưởng bởi điều này.
4. Khi một cuộn giấy phong ấn trang bị, nó sẽ ảnh hưởng đến tất cả trang bị/vũ khí đang được trang bị. Bạn không thể phong ấn một bộ trang bị khác trừ khi bạn triệu hồi bộ trước đó ra.
5. Nếu bạn mở phong ấn cuộn giấy trong khi đang mặc trang bị, tất cả trang bị/vũ khí đang được trang bị sẽ chuyển vào kho đồ của bạn.</t>
  </si>
  <si>
    <t>Algumas informações básicas sobre pergaminhos de selamento:
1. Itens selados desaparecerão do seu inventário; eles podem ser usados ​​para armazenamento temporário.
2. Desfazer o selo restaura imediatamente o estado do seu equipamento, permitindo trocas instantâneas de equipamentos e alterações no seu estilo de combate.
3. No futuro, quando equipamentos amaldiçoados forem ativados, itens que antes eram impossíveis de remover poderão ser removidos à força através do selamento.
4. Quando um pergaminho sela um item, ele afetará todos os itens equipados até que o pergaminho se esgote, antes que possa ser selado novamente.
5. Invocar um pergaminho enquanto estiver equipado fará com que os itens equipados retornem ao seu inventário.</t>
  </si>
  <si>
    <t>墜落-
具有衝擊效果，未來可能有相關技能或裝備可以進行搭配。</t>
  </si>
  <si>
    <t>落下 
衝撃効果を持つ。将来的には関連するスキルや装備との組み合わせが可能になる予定である</t>
  </si>
  <si>
    <t>Falling - This has an impact effect. In the future, items or equipments may be implemented to sync with it</t>
  </si>
  <si>
    <t>坠落-
具有冲击效果，未来可能有相关技能或装备可以进行搭配。</t>
  </si>
  <si>
    <t>Падение - приводит к удару. В будущем могут быть добавлены предметы или экипировка для синхронизации с ним.</t>
  </si>
  <si>
    <t>Rơi - Nó cơ hiệu ứng tiếp đất. Tromg tương lai sẽ triển khai những vật phẩm hoặc trang bị để đồng bộ với nó</t>
  </si>
  <si>
    <t>Queda - Tem um efeito de impacto; habilidades ou equipamentos relacionados podem estar disponíveis para serem combinados com ela no futuro.</t>
  </si>
  <si>
    <t>成就系統：
與「見聞」類似，不過見聞是騎士的專屬任務
成就則是全局覆蓋、跨存檔、完成時有特殊動態效果、與部分平台成就聯動(例如Steam)、點擊彈窗可以進入成就介面。
(大部分功能目前尚未完成)</t>
  </si>
  <si>
    <t>実績システム：
「見聞」に似ているが、見聞は騎士専用の任務。
一方、実績は全体に適用され、セーブデータをまたいで共有される。達成時には特別な動的エフェクトが表示され、一部のプラットフォームの実績（例：Steam）とも連動する。ポップアップをクリックすると実績画面に入ることができる。
（ほとんどの機能は現在まだ未完成）</t>
  </si>
  <si>
    <t>Achievement System:
This is somewhat similar to the "Insights" for the Weird Knight. Achievements are however global, is shared across save files and features special animations when obtained. They can also be linked to other platform achievements (such as Steam). Clicking the pop up will take you to the achievement page. (Most features are still not yet implemented)</t>
  </si>
  <si>
    <t>成就系统：
与「见闻」类似，不过见闻是骑士的专属任务
成就则是全局覆盖、跨存档、完成时有特殊动态效果、与部分平台成就联动(例如Steam)、点击弹窗可以进入成就页面。
(大部分功能目前尚未完成)</t>
  </si>
  <si>
    <t>Система достижений:
В чем-то похожа на "идеи" для Загадочного рыцаря.
Однако достижения являются глобальными, распределяются по файлам сохранения и при получении отображаются в специальной анимации. Их также можно привязать к достижениям на других платформах (например, Steam). Нажав на всплывающее окно, вы попадете на страницу достижений.
(Большинство функций всё ещё не реализованы)</t>
  </si>
  <si>
    <t>Hệ thống Thành tựu:
Cái này hơi giống với "Kiến thức" cho Hiệp Sĩ Kì Lạ. Nhưng thành tựu là toàn cục, được lưu trữ trên các file lưu và có các animation đặc biệt khi mở khóa. Nó cũng có thể được liên kết với các thành tựu của nền tảng (như Steam). Nhấn vào ô pop up sẽ đưa đến trang thành tựu. (Hầu hết các tính năng chưa được triển khai)</t>
  </si>
  <si>
    <t>Sistema de Conquistas: Semelhante às "Missões Heroicas", mas exclusivas para cavaleiros. As conquistas são aplicáveis ​​globalmente, podem ser salvas em diferentes pontos do jogo, possuem efeitos dinâmicos especiais ao serem concluídas e estão vinculadas a conquistas em algumas plataformas (como o Steam).
(A maioria dos recursos ainda estão em desenvolvimento.)</t>
  </si>
  <si>
    <t>成就一覽
分別對應:
官方名稱/官方描述/彈窗顯示/獲取方式
1.
妹妹在哪裡？
一定要找到心愛的少女
妹妹在哪裡…？
給女主角改名時，不是妹妹
2.
是我的妹妹啊！
心愛的少女就在眼前
是妹妹啊！
給女主角改名時，是妹妹
3.
遊戲機Get!
可以跟妹妹一起玩遊戲了！
雖然是遊戲，但可不是鬧著玩的
獲得遊戲機後跟給妹妹
4.
妹妹的靠枕
可以把妹妹抱在腿上了！
有妹妹不就好了嗎？
一起玩遊戲場景把妹妹抱在腿上時解鎖
5.
我的妹妹就是這麼可愛！
和妹妹的親密度達到頂點！
我的妹妹就是這麼可愛！
與妹妹的親密度達到最高
6.
人被殺就會死？
在深淵裡體力歸零…
人被殺就會死？
於深淵中體力歸零並且死亡
7.
囤積癖
向星之門放入了大量物品
得了一種不囤東西就會死的病
在星之門放入了超過?樣物品
8.
轉生異世界？
被商店車無情碾過…
異世界轉生魔法！？
使用塔羅牌召喚商店車時，被商店車撞到並且死亡
9.
鎮魂曲
被死神宣告了死亡
你已經死了
使用塔羅牌召喚商死神，並且死亡
10.
擊墜王
已經不知道墜落多少次了…
難道你不想和天空做朋友嗎?
獲取方式：滿足「摔落死亡8次」(可以使用復活羽毛)
11.
閃耀的死兆星星
被ASABA以特殊技擊敗
看啊,你的死兆星在天上閃耀！
餵食ASABA-"ASABA的草莓"，並且被必殺技能擊敗死亡
12.
從者和御主
同時使役五隻從者
試問。你就是我們的御主嗎？
於裝備欄中同時穿上五個從者屬性的裝備(相同的裝備可以計算)
13.
為王的誕生、慶賀吧！
第一次和BOSS發生戰鬥
為王的誕生、慶賀吧！
第一次和BOSS屬性的怪物(紅色名子的怪物)進入戰鬥
14.
無限劍塚
用壞了超過100把武器
－－武器的儲備還夠嗎？
使用耐久值達到損壞的武器超過100把
15.
你也可以變成光！
aki的詛咒發作了
你也可以變成光！
於神秘商店店長對話，並"不給予"鮭魚。獲得AKI的詛咒，並且在與妹妹共浴時觸發。
16.
沒被穿過的胖次是沒有價值的！
收到了妹妹送的胖次~！
沒被穿過的胖次是沒有價值的！
請參考SLG事件- 胖次！
17.
無可救藥的妹控
在妹妹的房間用妹妹的電腦玩對妹妹色色的遊戲
玩妹妹遊戲？
"暫時"是SLG事件- 遊戲中的干擾-湊近觀察時解鎖；未來會隨著新內容修改獲取方式
18.
被榨乾了…
已經、一滴都不剩了…
已經、一滴都不剩了…
請參考SLG事件- 請妹妹幫忙洗-&gt;"洗浴中被榨乾"的相關劇情</t>
  </si>
  <si>
    <t>Achievement list
1. Where is Imouto?
Desc: Must find the beloved girl-
Tooltip: Where is my dear Imouto...?
Req: Rename the heroine to something other than "Imouto" or "Sister"
2. It's my dear Imouto!
Desc: The beloved girl is right in front of me
Tooltip: It's my dear Imouto!
Req: Rename the heroine to "Imouto" or "Sister"
3. Got a Game Console!
Desc: Now you can play games with Imouto
Tooltip: This may be a game, but it's not something you play
Req: Obtain the JoyStation V game console and give it to Imouto
4. Imouto Body Pillow
Desc: Can now have Imouto sit on your lap while gaming!
Tooltip: Isn't having Imouto enough?
Req: Unlocked by having Imouto sit on your lap during the "Play something together" scene
5. My Little Sister Is Just That Cute!
Desc: Imouto's affection has reached its peak!
Tooltip: My Little Sister Is Just That Cute!
Req: Reach the highest intimacy level with Imouto
6. People Die If They Are Killed?
Desc: Your HP drops to zero in the Abyss...
Tooltip: People Die If They Are Killed?
Req: Your HP reaches to 0 while in the abyss...
7. Hoarding Habit
Desc: Placed a large number of items into the Star Door
Tooltip: I got a disease where I'll die if I don't hoard
Req: Put more than ? items inside the Star Door
8. Transported to Isekai?
Desc: Mercilessly Ran Over by a Shop Truck
Tooltip: Isekai Reincarnation Magic!?
Req: When summoning the Chariot Van, get hit by it and die in the process.
9. Requiem
Desc: Declared dead by Death
Tooltip: You Are Already Dead
Req: Use the tarot card "Death" and die in the process
10. Air King
Desc: You have already fallen so many times...
Tooltip: Don't you want to be friends with the sky?
Req: Die from falling 8 times (Feather of Firebird counts)
11. The Death Omen Star
Desc: Defeated by ASABA with a special move
Tooltip: You Can See It... The Death Omen Star!!
Req: Feed ASABA with ASABA's Strawberry and die from its special move
12. Servants and Master
Desc: Command five servants at the same time
Tooltip: I ask of you. Are you our Master?
Req: Equip five Servant equipment in your gear slots at the same time (Same name of equipment counts)
13. Rejoice at the birth of the king!
Desc: Battle a boss for the first time
Tooltip: Rejoice at the birth of the king!
Req: Battle with a boss for the first time (Monster's with a red name and health bar)
14. Unlimited Blade Waste
Desc: Broke over 100 weapons
Tooltip: Do you have enough weapons in stock?
Req: Break over 100 weapons
15. You too can become light!
Desc: Aki's curse flared up
Tooltip: You too can become light!
Req: Talk to Aki, the mysterious shop owner, and choose to not give her any salmon so she will curse you. Take a bath with imouto afterwards while the curse is in effect.
16. Unworn Panties Have No Value!
Desc: Received panties from Imouto~!
Tooltip: Unworn Panties Have No Value!
Req: Refer to SLG event "Panties!" at SLG-C-14
17. Hopeless Siscon
Desc: In Imouto' room, use Imouto's computer and play erotic games about Imouto
Tooltip: Play games with Imouto?
Req: Unlocked via SLG-D-6“Look closers and observe” (may change in future updates)
18. Milked Dry...
Desc: There's... not a single drop left...
Tooltip: There's... not a single drop left..."
Req: Refer to SLG-C-33 with Imouto sucking you dry
19. Don't you ever stop!
Desc: Keep running at super high speed
Tooltip: Don't you ever stop!
Req: TBA
20. The Sword Saint of Sticks
Desc: TBA
Tooltip: TBA
Req: TBA</t>
  </si>
  <si>
    <t>成就一览
分别对应:
官方名称/官方描述/弹窗显示/获取方式
1.
妹妹在哪里？
一定要找到心爱的少女
妹妹在哪里…？
给女主角改名时，不是妹妹
2.
是我的妹妹啊！
心爱的少女就在眼前
是妹妹啊！
给女主角改名时，是妹妹
3.
游戏机Get!
可以跟妹妹一起玩游戏了！
虽然是游戏，但可不是闹着玩的
获得游戏机后送给妹妹
4.
妹妹的靠枕
可以把妹妹抱在腿上了！
有妹妹不就好了吗？
一起玩游戏场景把妹妹抱在腿上时解锁
5.
我的妹妹就是这么可爱！
和妹妹的亲密度达到顶点！
我的妹妹就是这么可爱！
与妹妹的亲密度达到最高
6.
人被杀就会死？
在深渊里体力归零…
人被杀就会死？
于深渊中体力归零并且死亡
7.
囤积癖
向星之门放入了大量物品
得了一种不囤东西就会死的病
在星之门放入了超过?样物品
8.
转生异世界？
被商店车无情碾过…
异世界转生魔法！ ？
使用塔罗牌召唤商店车时，被商店车撞到并且死亡
9.
镇魂曲
被死神宣告了死亡
你已经死了
使用塔罗牌召唤商死神，并且死亡
10.
击坠王
已经不知道坠落多少次了…
难道你不想和天空做朋友吗?
获取方式：满足「摔落死亡8次」(可以使用复活羽毛)
11.
闪耀的死兆星星
被ASABA以特殊技击败
看啊,你的死兆星在天上闪耀！
喂食ASABA-"ASABA的草莓"，并且被必杀技能击败死亡
12.
从者和御主
同时使役五只从者
试问。你就是我们的御主吗？
于装备栏中同时穿上五个从者属性的装备(相同的装备可以计算)
13.
为王的诞生、庆贺吧！
第一次和BOSS发生战斗
为王的诞生、庆贺吧！
第一次和BOSS属性的怪物(红色名字的怪物)进入战斗
14.
无限剑冢
用坏了超过100把武器
－－武器的储备还够吗？
使用耐久值达到损坏的武器超过100把
15.
你也可以变成光！
aki的诅咒发作了
你也可以变成光！
于神秘商店店长对话，并"不给予"鲑鱼。获得AKI的诅咒，并且在与妹妹共浴时触发。
16.
没被穿过的胖次是没有价值的！
收到了妹妹送的胖次~！
没被穿过的胖次是没有价值的！
请参考SLG事件- 胖次！
17.
无可救药的妹控
在妹妹的房间用妹妹的电脑玩对妹妹色色的游戏
玩妹妹游戏？
"暂时"是SLG事件- 游戏中的干扰-凑近观察时解锁；未来会随着新内容修改获取方式
18.
被榨干了…
已经、一滴都不剩了…
已经、一滴都不剩了…
请参考SLG事件- 请妹妹帮忙洗-&gt;"洗浴中被榨干"的相关剧情</t>
  </si>
  <si>
    <t>Достижения:
1. Воздушный король - "Разве ты не хочешь подружиться с небом?"
Как получить: Умереть, упав 8 раз (перо Феникса тоже учитывается)
2. Будет добавлено позднее...</t>
  </si>
  <si>
    <r>
      <rPr>
        <rFont val="Arial"/>
        <color theme="1"/>
      </rPr>
      <t xml:space="preserve">Tổng quan về Thành tích
Lần lượt tương ứng với:
Tên/Mô tả/Thông báo hiện lên/Cách mở khóa
1. Em gái đang ở đâu? 
Bạn phải tìm ra em gái yêu quý
</t>
    </r>
    <r>
      <rPr>
        <rFont val="Arial"/>
        <b/>
        <i/>
        <color theme="1"/>
      </rPr>
      <t>Em gái của mình đâu rồi...?</t>
    </r>
    <r>
      <rPr>
        <rFont val="Arial"/>
        <color theme="1"/>
      </rPr>
      <t xml:space="preserve">
Khi đổi tên nhân vật nữ chính, đó không phải là em gái tôi
2. Đó là em gái của tôi!
Em gái tôi yêu quý đang ở ngay trước mắt
</t>
    </r>
    <r>
      <rPr>
        <rFont val="Arial"/>
        <b/>
        <i/>
        <color theme="1"/>
      </rPr>
      <t>Đó là em gái của tôi!</t>
    </r>
    <r>
      <rPr>
        <rFont val="Arial"/>
        <color theme="1"/>
      </rPr>
      <t xml:space="preserve">
Khi đổi tên nhân vật nữ chính, đó là em gái tôi
3. Đã có máy chơi game!
Giờ bạn có thể chơi game cùng với em gái rồi!
</t>
    </r>
    <r>
      <rPr>
        <rFont val="Arial"/>
        <b/>
        <i/>
        <color theme="1"/>
      </rPr>
      <t>Đây có thể là một trò chơi. Nhưng không thể chơi theo cách đó</t>
    </r>
    <r>
      <rPr>
        <rFont val="Arial"/>
        <color theme="1"/>
      </rPr>
      <t xml:space="preserve">
Đưa máy chơi game cho em gái sau khi nhận được
4. Gối ôm em gái
Giờ có thể để em gái ngồi lên đùi khi chơi game!
</t>
    </r>
    <r>
      <rPr>
        <rFont val="Arial"/>
        <b/>
        <i/>
        <color theme="1"/>
      </rPr>
      <t>Có em gái rồi thì còn cần thêm gì nữa?</t>
    </r>
    <r>
      <rPr>
        <rFont val="Arial"/>
        <color theme="1"/>
      </rPr>
      <t xml:space="preserve">
Mở khóa khi bế em gái lên đùi trong một cảnh game
5. Em gái tôi đáng yêu đến thế đấy!
Tình cảm của em gái đã đạt đến đỉnh điểm!
</t>
    </r>
    <r>
      <rPr>
        <rFont val="Arial"/>
        <b/>
        <i/>
        <color theme="1"/>
      </rPr>
      <t>Em gái của tôi cực kỳ đáng yêu!</t>
    </r>
    <r>
      <rPr>
        <rFont val="Arial"/>
        <color theme="1"/>
      </rPr>
      <t xml:space="preserve">
Đạt đến mức độ thân mật cao nhất với em gái của bạn
6. Con người sẽ chết khi bị giết?
HP của bạn giảm về 0 trong Vực Sâu
</t>
    </r>
    <r>
      <rPr>
        <rFont val="Arial"/>
        <b/>
        <i/>
        <color theme="1"/>
      </rPr>
      <t>Con người sẽ chết khi bị giết?</t>
    </r>
    <r>
      <rPr>
        <rFont val="Arial"/>
        <color theme="1"/>
      </rPr>
      <t xml:space="preserve">
Trong Vực Sâu, máu giảm xuống bằng 0 và chết
7. Thói Quen Tích Trữ
Đã bỏ một lượng lớn vật phẩm vào Cửa Thiên Tinh
</t>
    </r>
    <r>
      <rPr>
        <rFont val="Arial"/>
        <b/>
        <i/>
        <color theme="1"/>
      </rPr>
      <t>Tôi mắc một căn bệnh không tích đồ là sẽ chết</t>
    </r>
    <r>
      <rPr>
        <rFont val="Arial"/>
        <color theme="1"/>
      </rPr>
      <t xml:space="preserve">
Đã bỏ hơn ? vật phẩm vào Cửa Thiên Tinh
8. Chuyển sinh sang thế giới khác?
Bị xe van cửa hàng cán không thương tiếc...
</t>
    </r>
    <r>
      <rPr>
        <rFont val="Arial"/>
        <b/>
        <i/>
        <color theme="1"/>
      </rPr>
      <t>Chuyển sinh sang thế giới khác!?</t>
    </r>
    <r>
      <rPr>
        <rFont val="Arial"/>
        <color theme="1"/>
      </rPr>
      <t xml:space="preserve">
Dùng lá bài Tarot Chiến Xa để triệu hồi xe van bán đồ và bị đâm.
9. Khúc Cầu Hồn
Bị Thần Chết tuyên bố đã tử vong
</t>
    </r>
    <r>
      <rPr>
        <rFont val="Arial"/>
        <b/>
        <i/>
        <color theme="1"/>
      </rPr>
      <t>Ngươi đã chết rồi</t>
    </r>
    <r>
      <rPr>
        <rFont val="Arial"/>
        <color theme="1"/>
      </rPr>
      <t xml:space="preserve">
Dùng bài Tarot Thần Chết để triệu hồi Quỷ Tử Thần và chết.
10. Vua Bầu Trời
Ngươi không muốn làm bạn với bầu trời sao!
</t>
    </r>
    <r>
      <rPr>
        <rFont val="Arial"/>
        <b/>
        <i/>
        <color theme="1"/>
      </rPr>
      <t>Ngươi không muốn trở thành bạn với bầu trời sao!</t>
    </r>
    <r>
      <rPr>
        <rFont val="Arial"/>
        <color theme="1"/>
      </rPr>
      <t xml:space="preserve">
Đáp ứng yêu cầu "ngã và chết 8 lần" (có thể dùng lông vũ hồi sinh)
11. Ngôi Sao Tử Vong
Bị ASABA hạ gục bằng tuyệt kỹ
</t>
    </r>
    <r>
      <rPr>
        <rFont val="Arial"/>
        <b/>
        <i/>
        <color theme="1"/>
      </rPr>
      <t>Ngươi thấy rồi chứ… Ngôi sao báo tử đó!</t>
    </r>
    <r>
      <rPr>
        <rFont val="Arial"/>
        <color theme="1"/>
      </rPr>
      <t xml:space="preserve">
Cho ASABA ăn "Dâu tây của ASABA" và bị đánh bại bởi chiêu thức tối thượng
12. Servants và Master
Điều khiển cùng lúc năm Servant
</t>
    </r>
    <r>
      <rPr>
        <rFont val="Arial"/>
        <b/>
        <i/>
        <color theme="1"/>
      </rPr>
      <t>Ta hỏi ngươi—Ngươi có phải là Master của chúng ta không?</t>
    </r>
    <r>
      <rPr>
        <rFont val="Arial"/>
        <color theme="1"/>
      </rPr>
      <t xml:space="preserve">
Trang bị đồng thời năm vật phẩm thuộc tính Servants vào ô trang bị của bạn (các vật phẩm giống nhau được tính)
13. Hãy hoan nghênh sự ra đời của vị vua!
Đánh boss lần đầu tiên
</t>
    </r>
    <r>
      <rPr>
        <rFont val="Arial"/>
        <b/>
        <i/>
        <color theme="1"/>
      </rPr>
      <t xml:space="preserve">Hãy hoan nghênh sự ra đời của vị vua!
</t>
    </r>
    <r>
      <rPr>
        <rFont val="Arial"/>
        <color theme="1"/>
      </rPr>
      <t xml:space="preserve">Trận chiến đầu tiên chống lại một quái vật thuộc tính BOSS (một quái vật có tên màu đỏ)
14. Lăng mộ kiếm vô tận
Phá hỏng hơn 100 vũ khí
</t>
    </r>
    <r>
      <rPr>
        <rFont val="Arial"/>
        <b/>
        <i/>
        <color theme="1"/>
      </rPr>
      <t xml:space="preserve">Ngươi có đủ vũ khí dự trữ để dùng không?
</t>
    </r>
    <r>
      <rPr>
        <rFont val="Arial"/>
        <color theme="1"/>
      </rPr>
      <t xml:space="preserve">15. Bạn cũng có thể trở thành ánh sáng!
Lời nguyền của Aki bùng phát
</t>
    </r>
    <r>
      <rPr>
        <rFont val="Arial"/>
        <b/>
        <i/>
        <color theme="1"/>
      </rPr>
      <t xml:space="preserve">Bạn cũng có thể trở thành ánh sáng!
</t>
    </r>
    <r>
      <rPr>
        <rFont val="Arial"/>
        <color theme="1"/>
      </rPr>
      <t xml:space="preserve">Nói chuyện với con bé bán hàng ở Cửa Hàng Bí Ẩn và từ chối đưa cho em ấy cá hồi. Nhận được Lời Nguyền của Aki, điều này sẽ được kích hoạt khi bạn tắm cùng em gái
16. Quần lót chưa mặc thì vô giá trị!
Nhận được quần lót từ em gái~!
</t>
    </r>
    <r>
      <rPr>
        <rFont val="Arial"/>
        <b/>
        <i/>
        <color theme="1"/>
      </rPr>
      <t xml:space="preserve">Quần lót chưa mặc thì vô giá trị!
</t>
    </r>
    <r>
      <rPr>
        <rFont val="Arial"/>
        <color theme="1"/>
      </rPr>
      <t xml:space="preserve">Vui lòng tham khảo sự kiện SLG - Quần Lót!
17. Siscon Vô Phương Cứu Chữa
Trong phòng em gái, dùng máy của em gái để làm những chuyện dâm đãng với em gái
</t>
    </r>
    <r>
      <rPr>
        <rFont val="Arial"/>
        <b/>
        <i/>
        <color theme="1"/>
      </rPr>
      <t xml:space="preserve">Chơi game với em gái?
</t>
    </r>
    <r>
      <rPr>
        <rFont val="Arial"/>
        <color theme="1"/>
      </rPr>
      <t xml:space="preserve">"Tạm thời" là một sự kiện SLG - Can thiệp vào game - được mở khóa khi bạn đến gần để quan sát, phương pháp để nhận sẽ được thay đổi trong nội dung tương lai
18. Vắt cực khô...
Không... thật sự không còn một giọt nào sót lại nữa...
</t>
    </r>
    <r>
      <rPr>
        <rFont val="Arial"/>
        <b/>
        <i/>
        <color theme="1"/>
      </rPr>
      <t>Không... thật sự không còn một giọt nào sót lại nữa...</t>
    </r>
    <r>
      <rPr>
        <rFont val="Arial"/>
        <color theme="1"/>
      </rPr>
      <t xml:space="preserve">
Vui lòng tham khảo sự kiện SLG - Nhờ em gái giúp tắm -&gt; Cốt truyện liên quan đến "Kiệt sức trong bồn tắm"
19. Cho em 50K dược không~?
Đã cho em gái hơn 50.000 tiền tiêu vặt trong một lần!
</t>
    </r>
    <r>
      <rPr>
        <rFont val="Arial"/>
        <b/>
        <i/>
        <color theme="1"/>
      </rPr>
      <t xml:space="preserve">Cho em 50K nha~?
</t>
    </r>
    <r>
      <rPr>
        <rFont val="Arial"/>
        <color theme="1"/>
      </rPr>
      <t xml:space="preserve">Cho em gái 50.000 yên trong 1 lần
20. Gacha là một nền văn minh tồi tệ!
Tiêu quá nhiều tiền vào gacha rồi bị em gái mắng...
</t>
    </r>
    <r>
      <rPr>
        <rFont val="Arial"/>
        <b/>
        <i/>
        <color theme="1"/>
      </rPr>
      <t xml:space="preserve">Gacha là một nền văn minh tồi tệ!
</t>
    </r>
    <r>
      <rPr>
        <rFont val="Arial"/>
        <color theme="1"/>
      </rPr>
      <t>Chi hơn 50.000 yên vào máy Gacha và có hơn 10.000 yên trong người khi về nhà, có tỷ lệ 50% kích hoạt sự kiện</t>
    </r>
  </si>
  <si>
    <t>1. Ace Strike King "Você não quer ser amigo do céu?"
Método de Aquisição: Cumpra o requisito de "morrer de quedas 8 vezes" (pode usar uma pena de ressurreição)
2. A ser atualizado</t>
  </si>
  <si>
    <t>新增妹妹吃料理的動畫：
完成和妹妹的約定-做一頓肉料理時，100%觸發妹妹「狼吞虎嚥」動畫
正常完成一頓肉料理時，30%機率觸發妹妹「狼吞虎嚥」動畫
此動畫優先級別最高(例如被辣到或其他動畫)</t>
  </si>
  <si>
    <t>Regarding the new animation of imouto eating food:
When completing the promise with imouto (cooking a meat dish), the "nomming" animation will trigger with a 100% chance
When cooking a meat dish, there is a 30% chance to trigger the same animation
This animation has the highest priority (it overrides others, such as spicy reactions or similar animations)</t>
  </si>
  <si>
    <t>新增妹妹吃料理的动画：
完成和妹妹的约定-做一顿肉料理时，100%触发妹妹「狼吞虎咽」动画
正常完成一顿肉料理时，30%机率触发妹妹「狼吞虎咽」动画
此动画优先级别最高(例如被辣到或其他动画)</t>
  </si>
  <si>
    <t>Насчёт новой анимации с кушающей Имоуто:
При выполнении обещания (приготовить мясное блюдо) анимация "Вкуснотища" сработает со 100% вероятностью.
При приготовлении мясного блюда вероятность запуска такой же анимации составляет 30%.
Эта анимация имеет наивысший приоритет (она превосходит другие, такие как реакция на острую пищу или аналогичные анимации).</t>
  </si>
  <si>
    <t>Về animation imouto ăn:
Khi hoàn thành lời hứa với em gái – nấu một món thịt, 100% kích hoạt animation “ăn ngấu nghiến” của em gái
Khi hoàn thành bình thường một món thịt, có 30% tỉ lệ kích hoạt animation “ăn ngấu nghiến” của em gái
Animation này có độ ưu tiên cao nhất (ví dụ: cao hơn phản ứng bị cay hoặc các animation khác)</t>
  </si>
  <si>
    <t>Adicionada animação da imouto comendo: Quando você cumpre Promessa:Prato com Carne - a animação "Devorando a Comida" será acionada. Quando você prepara um prato de carne normalmente, há 30% de chance da animação "Devorando a Comida" ocorrer.
Esta animação tem a prioridade mais alta (por exemplo, ser picante ou outras animações).</t>
  </si>
  <si>
    <t>狀態圖示</t>
  </si>
  <si>
    <t>名稱</t>
  </si>
  <si>
    <t>敘述</t>
  </si>
  <si>
    <t>舉例</t>
  </si>
  <si>
    <t>Status</t>
  </si>
  <si>
    <t>Description</t>
  </si>
  <si>
    <t>Narrative</t>
  </si>
  <si>
    <t>Sources</t>
  </si>
  <si>
    <t>Состояние</t>
  </si>
  <si>
    <t>Название</t>
  </si>
  <si>
    <t>Пример</t>
  </si>
  <si>
    <t>Trạng thái</t>
  </si>
  <si>
    <t>Miêu tả</t>
  </si>
  <si>
    <t>Thuyết minh</t>
  </si>
  <si>
    <t>Condição</t>
  </si>
  <si>
    <t>Descrição</t>
  </si>
  <si>
    <t>Narrativa</t>
  </si>
  <si>
    <t>興奮</t>
  </si>
  <si>
    <t>感覺有些躁動</t>
  </si>
  <si>
    <t>哥哥有些性慾</t>
  </si>
  <si>
    <t>興奮する…</t>
  </si>
  <si>
    <t>お兄ちゃんの性欲がある</t>
  </si>
  <si>
    <t>Excited</t>
  </si>
  <si>
    <t>Feeling restless...</t>
  </si>
  <si>
    <t>Onii-chan has some sexual desire</t>
  </si>
  <si>
    <t>흥분한</t>
  </si>
  <si>
    <t>나는 약간 불안한 기분이 든다.</t>
  </si>
  <si>
    <t>오빠의 성욕이 좀 있어요.</t>
  </si>
  <si>
    <t>Взволнованный</t>
  </si>
  <si>
    <t>Неспокойно на душе...</t>
  </si>
  <si>
    <t>У моего брата есть сексуальное влечение.</t>
  </si>
  <si>
    <t>Hứng thú</t>
  </si>
  <si>
    <t>Cảm thấy bồn chồn...</t>
  </si>
  <si>
    <t>Onii-chan có một số ham muốn tình dục</t>
  </si>
  <si>
    <t>Excitado</t>
  </si>
  <si>
    <t>Sentindo-se inquieto...</t>
  </si>
  <si>
    <t>Onii-chan tem algum desejo sexual</t>
  </si>
  <si>
    <t>全身都在渴望著某種刺激</t>
  </si>
  <si>
    <t>哥哥有許多性慾</t>
  </si>
  <si>
    <t>お兄ちゃんの性欲が高い</t>
  </si>
  <si>
    <t>The body craves for a thrill...</t>
  </si>
  <si>
    <t>Onii-chan has moderate sexual desire</t>
  </si>
  <si>
    <t xml:space="preserve">내 몸이 어떤 자극을 갈망하고 있다.
</t>
  </si>
  <si>
    <t>오빠의 성욕이 매우 강하다.</t>
  </si>
  <si>
    <t>Телу хочется острых ощущений...</t>
  </si>
  <si>
    <t>У моего брата сильное сексуальное влечение.</t>
  </si>
  <si>
    <t>Cơ thể khao khát cảm giác mạnh...</t>
  </si>
  <si>
    <t>Onii-chan có ham muốn tình dục trung bình</t>
  </si>
  <si>
    <t>O corpo anseia por emoção...</t>
  </si>
  <si>
    <t>Onii-chan tem um desejo sexual moderado</t>
  </si>
  <si>
    <t>要控制不住自己了</t>
  </si>
  <si>
    <t>哥哥更多性慾</t>
  </si>
  <si>
    <t>お兄ちゃんの性欲がとても高い</t>
  </si>
  <si>
    <t>I can't hold it in anymore</t>
  </si>
  <si>
    <t>Onii-chan has high sexual desire</t>
  </si>
  <si>
    <t>더 이상 나 자신을 통제할 수 없다.</t>
  </si>
  <si>
    <t>오빠의 성욕이 더 강하다</t>
  </si>
  <si>
    <t>Теряю контроль...!</t>
  </si>
  <si>
    <t>У моего брата очень сильное сексуальное влечение.</t>
  </si>
  <si>
    <t>Mất kiểm soát...</t>
  </si>
  <si>
    <t>Onii-chan có ham muốn tình dục cao</t>
  </si>
  <si>
    <t>Perdendo controle...</t>
  </si>
  <si>
    <t>Onii-chan tem um desejo sexual grande</t>
  </si>
  <si>
    <t>獸人</t>
  </si>
  <si>
    <t>唔噢噢噢噢.......!</t>
  </si>
  <si>
    <t>扭曲為了滿腦子都是欲望的Beast！</t>
  </si>
  <si>
    <t>哥哥性慾極高</t>
  </si>
  <si>
    <t>ビーストモード</t>
  </si>
  <si>
    <t>性欲限界！お兄ちゃんはビーストモードに突入！</t>
  </si>
  <si>
    <t>お兄ちゃんの性欲が凄く高い</t>
  </si>
  <si>
    <t>Orc</t>
  </si>
  <si>
    <t>Uoooooohhhhh!!!</t>
  </si>
  <si>
    <t>Warped into a desire-crazed Beast!</t>
  </si>
  <si>
    <t>Onii-chan has very high sexual desire</t>
  </si>
  <si>
    <t>짐승</t>
  </si>
  <si>
    <t>으윽...</t>
  </si>
  <si>
    <t>성욕 한계! 오빠는 짐승 모드에 들어갑니다.</t>
  </si>
  <si>
    <t>오빠의 성욕이 엄청나게 강하다.</t>
  </si>
  <si>
    <t>Орк</t>
  </si>
  <si>
    <t>Угхх...</t>
  </si>
  <si>
    <t>Поглощён своей похотью — стал Зверем!</t>
  </si>
  <si>
    <t>Он жаждит эротики</t>
  </si>
  <si>
    <t>Uwo....</t>
  </si>
  <si>
    <t>Biến thành một con quái vật điên cuồng bởi ham muốn!</t>
  </si>
  <si>
    <t>Onii-chan có ham muốn tình dục rất cao</t>
  </si>
  <si>
    <t>Envolto em um insano desejo bestial!</t>
  </si>
  <si>
    <t>Onii-chan tem um desejo sexula pica das galáxias</t>
  </si>
  <si>
    <t>賢者</t>
  </si>
  <si>
    <t>现在我感覺自己無所不能。</t>
  </si>
  <si>
    <t>進入了賢者模式，全屬性上升</t>
  </si>
  <si>
    <t>哥哥毫無性慾</t>
  </si>
  <si>
    <t>賢者モード</t>
  </si>
  <si>
    <t>今なら何でもできる気がする！</t>
  </si>
  <si>
    <t>性欲を開放したお兄ちゃん</t>
  </si>
  <si>
    <t>Sage Mode</t>
  </si>
  <si>
    <t>I feel like I can do anything right now.</t>
  </si>
  <si>
    <t>Enters Sage Mode, all attributes increased</t>
  </si>
  <si>
    <t>Onii-chan has no sexual desire</t>
  </si>
  <si>
    <t>현자 모드</t>
  </si>
  <si>
    <t>지금은 뭐든지 할 수 있을 것 같은 기분이야.</t>
  </si>
  <si>
    <t>현자 모드에 진입하면 모든 능력치가 증가합니다.</t>
  </si>
  <si>
    <t>오빠의 성욕이 전혀 없다.</t>
  </si>
  <si>
    <t>Мудрец</t>
  </si>
  <si>
    <t>Мне кажется, сейчас я могу всё!</t>
  </si>
  <si>
    <t>Режим Мудреца активирован. Все характеристики повышены!</t>
  </si>
  <si>
    <t>У моего брата отсутствует половое влечение.</t>
  </si>
  <si>
    <t>Trạng Thái Tĩnh Tâm</t>
  </si>
  <si>
    <t>Cảm giác như tôi có thể làm bất cứ điều gì</t>
  </si>
  <si>
    <t>Chế độ Hiền giả kích hoạt, tất cả chỉ số tăng lên</t>
  </si>
  <si>
    <t>Onii-chan không có ham muốn tình dục</t>
  </si>
  <si>
    <t>Modo Sábio</t>
  </si>
  <si>
    <t>Sinto que posso fazer qualquer coisa agora.</t>
  </si>
  <si>
    <t>Entra no Modo Sábio,  Aumenta Todos os Atributos</t>
  </si>
  <si>
    <t>Onii-chan não tem desejo sexual</t>
  </si>
  <si>
    <t>專注</t>
  </si>
  <si>
    <t>集中精力為下一擊做准被，移動速度下降</t>
  </si>
  <si>
    <t>近戰武器滑鼠右鍵</t>
  </si>
  <si>
    <t>次の攻撃に備えて集中してるので、移動速度が低下します。</t>
  </si>
  <si>
    <t>近接武器を右クリック長押し</t>
  </si>
  <si>
    <t>Focus</t>
  </si>
  <si>
    <t>You're focused on the next strike, so your movement speed is decreased</t>
  </si>
  <si>
    <t>Right click on melee weapons</t>
  </si>
  <si>
    <t>집중하다</t>
  </si>
  <si>
    <t>다음 공격을 준비하는데 집중하면 이동 속도가 느려집니다.</t>
  </si>
  <si>
    <t>근접 무기 마우스 오른쪽 버튼</t>
  </si>
  <si>
    <t>В фокусе</t>
  </si>
  <si>
    <t>Сосредоточение перед следующим ударом, скорость движения снижена</t>
  </si>
  <si>
    <t>Правая кнопка мыши в бою</t>
  </si>
  <si>
    <t>Tập Trung</t>
  </si>
  <si>
    <t>Tập trung cho cú đánh tiếp theo, tốc độ di chuyển giảm</t>
  </si>
  <si>
    <t>Nhấn chuột phải với vũ khí cầm tay</t>
  </si>
  <si>
    <t>Concentra-se para o próximo golpe, velocidade de movimento reduzida</t>
  </si>
  <si>
    <t>Clicar com botão direito com arma corpo a corpo</t>
  </si>
  <si>
    <t>閃步</t>
  </si>
  <si>
    <t>真紅的三倍速</t>
  </si>
  <si>
    <t>閃步過程中或過圖時永久BUG</t>
  </si>
  <si>
    <t>閃歩</t>
  </si>
  <si>
    <t>深紅の三倍速！</t>
  </si>
  <si>
    <t>閃歩によるバグ、爆速のお兄ちゃんになれる</t>
  </si>
  <si>
    <t>Senpo</t>
  </si>
  <si>
    <t>Triple speed of True Red</t>
  </si>
  <si>
    <t>Appears when using Senpo. Can easily be seen when transitioning to a new map due to a BUG</t>
  </si>
  <si>
    <t>플래시 스텝 금지됨</t>
  </si>
  <si>
    <t>크림슨 트리플 스피드</t>
  </si>
  <si>
    <t>플래시 스텝 또는 맵 전환 중에 발생하는 고질적인 버그</t>
  </si>
  <si>
    <t>На всех парах!</t>
  </si>
  <si>
    <t>Алая тройная скорость</t>
  </si>
  <si>
    <t>Постоянная ошибка во время перехода между Сенпо или сменой локации.</t>
  </si>
  <si>
    <t>Tốc độ gấp ba lần True Red!</t>
  </si>
  <si>
    <t>Xuất hiện khi sử dụng Senpo
Có thể dễ dàng thấy khi di chuyển sang khu vực khác do một lỗi</t>
  </si>
  <si>
    <t>Velocidade tripla do Verdadeiro Vermelho</t>
  </si>
  <si>
    <r>
      <rPr>
        <rFont val="Microsoft JhengHei"/>
        <color theme="1"/>
      </rPr>
      <t xml:space="preserve">Aparece quando usa Senpo. Pode ser facilmente visto quando transivionando para o novo mapa por conta de um </t>
    </r>
    <r>
      <rPr>
        <rFont val="Microsoft JhengHei"/>
        <i/>
        <color theme="1"/>
      </rPr>
      <t>BUG</t>
    </r>
  </si>
  <si>
    <t>閃步禁止</t>
  </si>
  <si>
    <t>禁止發動閃步</t>
  </si>
  <si>
    <t>閃步cd期間</t>
  </si>
  <si>
    <t>閃歩禁止</t>
  </si>
  <si>
    <t>閃歩は禁止されています</t>
  </si>
  <si>
    <t>閃歩のCD中…</t>
  </si>
  <si>
    <t>Senpo Cooldown</t>
  </si>
  <si>
    <t>Senpo on cooldown</t>
  </si>
  <si>
    <t>Senpo Tachi's cooldown</t>
  </si>
  <si>
    <t>플래시 스텝을 사용하지 마세요</t>
  </si>
  <si>
    <t>플래시 스텝 쿨다운</t>
  </si>
  <si>
    <t>Перезарядка Сенпо</t>
  </si>
  <si>
    <t>Сенпо на перезарядке!</t>
  </si>
  <si>
    <t>Hồi Chiêu Senpo</t>
  </si>
  <si>
    <t>Thiểm Bộ đang hồi</t>
  </si>
  <si>
    <t>Hồi chiêu Senpo Tachi</t>
  </si>
  <si>
    <t>Senpo em recarga!</t>
  </si>
  <si>
    <t xml:space="preserve">Senpo Tachi em recarga! </t>
  </si>
  <si>
    <t>眩暈</t>
  </si>
  <si>
    <t>轉的頭暈了。</t>
  </si>
  <si>
    <t>近戰武器滑鼠右鍵結束後</t>
  </si>
  <si>
    <t>眩暈(めまい)</t>
  </si>
  <si>
    <t>眩暈で動けない…</t>
  </si>
  <si>
    <t>魔法の杖装備時に右クリック長押し</t>
  </si>
  <si>
    <t>Stun</t>
  </si>
  <si>
    <t>Feeling dizzy...</t>
  </si>
  <si>
    <t>After spinning from right-click on melee weapons</t>
  </si>
  <si>
    <t>현기증</t>
  </si>
  <si>
    <t>빙빙 돌아서 어지러워요.</t>
  </si>
  <si>
    <t>근접 무기를 마우스 오른쪽 버튼으로 클릭한 후 회전합니다.</t>
  </si>
  <si>
    <t>Головокружение</t>
  </si>
  <si>
    <t>Голова кружится, всё плывёт!</t>
  </si>
  <si>
    <t>Невозможно действовать!</t>
  </si>
  <si>
    <t>Левая кнопка мыши в бою</t>
  </si>
  <si>
    <t>Choáng</t>
  </si>
  <si>
    <t>Cảm thấy chóng mặt...</t>
  </si>
  <si>
    <t>Sau khi xoay tròn từ việc nhấn chuột phải với vũ khi cầm tay</t>
  </si>
  <si>
    <t>Atordoado</t>
  </si>
  <si>
    <t>Sentindo tontura...</t>
  </si>
  <si>
    <t>Depois de rodar ao manter o botão direito pressionado quando usando armas corpo a corpo</t>
  </si>
  <si>
    <t>施法</t>
  </si>
  <si>
    <t>魔法吟唱中</t>
  </si>
  <si>
    <t>法杖武器滑鼠右鍵</t>
  </si>
  <si>
    <t>Chanting</t>
  </si>
  <si>
    <t>Chanting a spell</t>
  </si>
  <si>
    <t>Right click on staff weapons</t>
  </si>
  <si>
    <t>마법 시전</t>
  </si>
  <si>
    <t>마법 주문을 외우다.</t>
  </si>
  <si>
    <t>지팡이 무기를 마우스 오른쪽 버튼으로 클릭하세요.</t>
  </si>
  <si>
    <t>Магия</t>
  </si>
  <si>
    <t>Читает заклинание!</t>
  </si>
  <si>
    <t>Правая кнопка мыши по посоху</t>
  </si>
  <si>
    <t>Niệm chú</t>
  </si>
  <si>
    <t>Đang niệm chú!</t>
  </si>
  <si>
    <t>Nhấn chuột phải với các vũ khí trượng</t>
  </si>
  <si>
    <t>Conjurando</t>
  </si>
  <si>
    <t>Conjurando um feitiço!</t>
  </si>
  <si>
    <t>Apertar o botão direito usando uma arma cajado</t>
  </si>
  <si>
    <t>中毒</t>
  </si>
  <si>
    <t>體內感染了毒素</t>
  </si>
  <si>
    <t>隨時間經過受到更多傷害</t>
  </si>
  <si>
    <t>被喪屍攻擊</t>
  </si>
  <si>
    <t>毒に犯されている</t>
  </si>
  <si>
    <t>時間経過でダメージを受ける！(重複する)</t>
  </si>
  <si>
    <t>ゾンビの攻撃を受けるか、くさい魚の骨を装備してると毒に犯される</t>
  </si>
  <si>
    <t>Poison</t>
  </si>
  <si>
    <t>Poison has infected your body</t>
  </si>
  <si>
    <t>Takes damage per second that increases over time</t>
  </si>
  <si>
    <t>Inflicted by Zombies</t>
  </si>
  <si>
    <t>중독</t>
  </si>
  <si>
    <t>독에 감염되었습니다.</t>
  </si>
  <si>
    <t>시간이 지날수록 데미지를 입습니다.</t>
  </si>
  <si>
    <t>좀비의 공격을 받거나 물고기의 뼈를 장비하고 있으면 독에 감염된다.</t>
  </si>
  <si>
    <t>Отравление</t>
  </si>
  <si>
    <t>Яд поразил твоё тело</t>
  </si>
  <si>
    <t>Урон нарастает со временем!</t>
  </si>
  <si>
    <t>Укушен Зомби</t>
  </si>
  <si>
    <t>Độc</t>
  </si>
  <si>
    <t>Độc đã xâm nhập vào cơ thể bạn</t>
  </si>
  <si>
    <t>Nhận sát thương mỗi giây và tăng dần theo thời gian</t>
  </si>
  <si>
    <t>Gây ra bởi Zombies</t>
  </si>
  <si>
    <t>Veneno</t>
  </si>
  <si>
    <t>Veneno infectou seu corpo</t>
  </si>
  <si>
    <t>Recebe mais dano ao longo do tempo!</t>
  </si>
  <si>
    <t>Infligido pelo Zumbie</t>
  </si>
  <si>
    <t>出血</t>
  </si>
  <si>
    <t>血流不止。</t>
  </si>
  <si>
    <t>根據體力上限受到傷害</t>
  </si>
  <si>
    <t>被小紅獸攻擊</t>
  </si>
  <si>
    <t>出血している…</t>
  </si>
  <si>
    <t>赤き幼獣から被弾する</t>
  </si>
  <si>
    <t>The bleeding won't stop</t>
  </si>
  <si>
    <t>Takes damage per second based on your max HP</t>
  </si>
  <si>
    <t>Inflicted by Red Cub</t>
  </si>
  <si>
    <t>출혈</t>
  </si>
  <si>
    <t>최대 체력에 비례하여 데미지를 입습니다.</t>
  </si>
  <si>
    <t>Кровотечение</t>
  </si>
  <si>
    <t>Кровотечение не останавливается</t>
  </si>
  <si>
    <t>Получает урон, зависящий от макс. ОЗ!</t>
  </si>
  <si>
    <t>Подвергся нападению маленького Красного зверя</t>
  </si>
  <si>
    <t>Chảy Máu</t>
  </si>
  <si>
    <t>Máu chảy mãi không ngừng</t>
  </si>
  <si>
    <t>Nhận sát thương mỗi giây dựa trên HP tối đa</t>
  </si>
  <si>
    <t>Gây ra bởi Gấu Đỏ</t>
  </si>
  <si>
    <t>Sangrando</t>
  </si>
  <si>
    <t>O sangramento não vai parar</t>
  </si>
  <si>
    <t>Recebe dano com base no PV máximo!</t>
  </si>
  <si>
    <t>Infligido pelo Filhote Vermelho</t>
  </si>
  <si>
    <t>打雷</t>
  </si>
  <si>
    <t>看啊，這傢伙被雷劈了！</t>
  </si>
  <si>
    <t>全身麻痺無法動彈！</t>
  </si>
  <si>
    <t>會漏電的的不良品、嗶哩嗶哩史萊姆</t>
  </si>
  <si>
    <t>感電</t>
  </si>
  <si>
    <t>麻痺している間は動けない…</t>
  </si>
  <si>
    <t>漏電した不良品、ビリビリスライム</t>
  </si>
  <si>
    <t>Paralysis</t>
  </si>
  <si>
    <t>Look, he got struck by lightning!</t>
  </si>
  <si>
    <t>You're paralyzed and can't move!</t>
  </si>
  <si>
    <t>Inflicted by
Leaky Electric Sword, Crackling Slime</t>
  </si>
  <si>
    <t>Молния</t>
  </si>
  <si>
    <t>Смотри, его ударила молния!</t>
  </si>
  <si>
    <t>Полностью парализован — совсем не может двигаться!</t>
  </si>
  <si>
    <t>Неисправные изделия, пропускающие электричество.
Мазь Bilibili</t>
  </si>
  <si>
    <t>Tê Liệt</t>
  </si>
  <si>
    <t>Nhìn kìa, hắn bị sét đánh rồi!</t>
  </si>
  <si>
    <t>Bị tê liệt hoàn toàn và không thể di chuyển!</t>
  </si>
  <si>
    <t>Gây ra bởi Kiếm Rò Rỉ Điện, Slime Lách Tách</t>
  </si>
  <si>
    <t>Paralisia</t>
  </si>
  <si>
    <t>Olha, ele foi atingido por um raio!</t>
  </si>
  <si>
    <t>Totalmente paralisado — não consegue se mover!</t>
  </si>
  <si>
    <t>Infligido por
Espada Elétrica com Vazamento, Slime Crepitante</t>
  </si>
  <si>
    <t>炎上</t>
  </si>
  <si>
    <t>好燙好燙好燙——！</t>
  </si>
  <si>
    <t>對自身範圍内所有單位持續的灼燒</t>
  </si>
  <si>
    <t>被火焰屬性攻擊</t>
  </si>
  <si>
    <t>範囲内のものに対して継続的に燃焼ダメージを与える</t>
  </si>
  <si>
    <t>火属性の攻撃を受けるか与える</t>
  </si>
  <si>
    <t>Burning</t>
  </si>
  <si>
    <t>Hot! Hot! Hot!</t>
  </si>
  <si>
    <t>Everyone around is continously burned</t>
  </si>
  <si>
    <t>Hit by a Fire attribute</t>
  </si>
  <si>
    <t>Жарко, жарко, жарко...!</t>
  </si>
  <si>
    <t>Накладывает непрерывное горение на всех в радиусе!</t>
  </si>
  <si>
    <t>Поджог</t>
  </si>
  <si>
    <t>Cháy</t>
  </si>
  <si>
    <t>Nóng! Nóng! Nóng!</t>
  </si>
  <si>
    <t>Gây hiệu ứng cháy liên tục cho tất cả mục tiêu trong phạm vi</t>
  </si>
  <si>
    <t>Bị đánh trúng bởi một đặc tính Lửa</t>
  </si>
  <si>
    <t>Queimando</t>
  </si>
  <si>
    <t>uente, quente, quente, quente—!</t>
  </si>
  <si>
    <t>Aplica queimadura contínua a todas as unidades no alcance!</t>
  </si>
  <si>
    <t>Atingido por algo com atributo de fogo</t>
  </si>
  <si>
    <t>冰結</t>
  </si>
  <si>
    <t>變成冰棍吧！</t>
  </si>
  <si>
    <t>被凍住了！</t>
  </si>
  <si>
    <t>凍結</t>
  </si>
  <si>
    <t>ここは寒いなぁ…</t>
  </si>
  <si>
    <t>急凍スライムか氷属性によるダメージ</t>
  </si>
  <si>
    <t>Frozen</t>
  </si>
  <si>
    <t>I became a popsicle!</t>
  </si>
  <si>
    <t>Frozen!</t>
  </si>
  <si>
    <t>Лёд</t>
  </si>
  <si>
    <t>Превращайся в ледышку!</t>
  </si>
  <si>
    <t>Полностью заморожен!</t>
  </si>
  <si>
    <t>Ледяная слизь</t>
  </si>
  <si>
    <t>Đông đá</t>
  </si>
  <si>
    <t>Biến thành que kem!</t>
  </si>
  <si>
    <t>Bị đông cứng hoàn toàn!</t>
  </si>
  <si>
    <t>Congelado</t>
  </si>
  <si>
    <t>Transforme-se em um picolé!</t>
  </si>
  <si>
    <t>Congelado por completo!</t>
  </si>
  <si>
    <t>惡魔詛咒</t>
  </si>
  <si>
    <t>呋呋，這就是反抗我的下場噢~♡</t>
  </si>
  <si>
    <t>被奇怪的小鬼店長詛咒了</t>
  </si>
  <si>
    <t>神秘商店不給魚</t>
  </si>
  <si>
    <t>エッチな呪い</t>
  </si>
  <si>
    <t>アキ店長によるご褒美</t>
  </si>
  <si>
    <t>Demon's Curse</t>
  </si>
  <si>
    <t xml:space="preserve">Fufu, this is what you get for defying me~♡ </t>
  </si>
  <si>
    <t>Cursed
(Refer to R39 in RPG - Combat)</t>
  </si>
  <si>
    <t>Obtained by not giving salmon to Aki</t>
  </si>
  <si>
    <t>Проклятие Демоницы</t>
  </si>
  <si>
    <t>Фу-фу, вот тебе за неповиновение мне~♥</t>
  </si>
  <si>
    <t>Проклят той маленькой демоницей...</t>
  </si>
  <si>
    <t>Тайный покупатель не продаёт рыбу</t>
  </si>
  <si>
    <t>Lời Nguyền Của Quỷ</t>
  </si>
  <si>
    <t>Fufu, đây là cá giá phải trả khi chống lại em đấy~ ♡</t>
  </si>
  <si>
    <t>Bị nguyền
(Nói đến R39 trong RPG - Combat)</t>
  </si>
  <si>
    <t>Nhận được khi không đưa Aki cá hồi</t>
  </si>
  <si>
    <t>Maldição do Demônio</t>
  </si>
  <si>
    <t>Fufu, é isso que você ganha por me desafiar~♥</t>
  </si>
  <si>
    <t>Amaldiçoado (Refere-se à R39 no RPG - Combate)</t>
  </si>
  <si>
    <t>Obtido quando não der Salmão para Aki</t>
  </si>
  <si>
    <t>禁止攻擊</t>
  </si>
  <si>
    <t>這裡可是我的領域噢，可不能做壞事呢♡！</t>
  </si>
  <si>
    <t>攻擊行為禁止</t>
  </si>
  <si>
    <t>神秘商店附近</t>
  </si>
  <si>
    <t>争いはダメ❤</t>
  </si>
  <si>
    <t>No attacking!</t>
  </si>
  <si>
    <t>This is my domain, so no mischief allowed~♡</t>
  </si>
  <si>
    <t>Attacks are prohibited</t>
  </si>
  <si>
    <t>Be near Aki's shop</t>
  </si>
  <si>
    <t>Безопасная зона</t>
  </si>
  <si>
    <t>Ты на моей территории, так что тут шалить нельзя~♥</t>
  </si>
  <si>
    <t>Атаки запрещены! Ближайшие монстры охвачены страхом!</t>
  </si>
  <si>
    <t>Рядом с Тайным магазином</t>
  </si>
  <si>
    <t>Không Đánh Nhau!</t>
  </si>
  <si>
    <t>Đây là lãnh địa của ta, không được nghịch ngợm nha~ ♡</t>
  </si>
  <si>
    <t>Cấm tấn công! Các quái vậy xung quanh đều sợ hãi!</t>
  </si>
  <si>
    <t>Ở gần cửa hàng của Aki</t>
  </si>
  <si>
    <t>Não atacar!</t>
  </si>
  <si>
    <t>Este é o meu domínio,então sem travessuras~♥</t>
  </si>
  <si>
    <t>Ataque proibido! Monstros próximos estão tomados pelo medo!</t>
  </si>
  <si>
    <t>Estar perto da loja da Aki</t>
  </si>
  <si>
    <t>不要受傷</t>
  </si>
  <si>
    <t>和妹妹重要的約定，必須要遵守呢</t>
  </si>
  <si>
    <t>不要重傷回家</t>
  </si>
  <si>
    <t>對妹妹惡作劇時生氣</t>
  </si>
  <si>
    <t>怪我しないで</t>
  </si>
  <si>
    <t>妹との約束は、必ず守らなければなりません</t>
  </si>
  <si>
    <t>30日死なずに生き残るべし</t>
  </si>
  <si>
    <t>Don't get hurt.</t>
  </si>
  <si>
    <t>I promised my dear sister, so I have to keep it.</t>
  </si>
  <si>
    <t>Don't get hurt</t>
  </si>
  <si>
    <t>Make the sister upset by playing a prank on her</t>
  </si>
  <si>
    <t>Не пострадай</t>
  </si>
  <si>
    <t>Я дал обещание своей сестре. И я обязан его сдержать!</t>
  </si>
  <si>
    <t>Не возвращайтесь домой тяжело раненным...</t>
  </si>
  <si>
    <t>Она злится, когда я разыгрываю её</t>
  </si>
  <si>
    <t>Đừng bị thương</t>
  </si>
  <si>
    <t>Tôi đã hứa với em ấy, nên phải giữ lời.</t>
  </si>
  <si>
    <t>Đừng trở về nhà với thương tích đầy mình</t>
  </si>
  <si>
    <t>Khiến em gái tức giận vì một trò chọc ghẹo</t>
  </si>
  <si>
    <t>Não Se Machuque.</t>
  </si>
  <si>
    <t>Prometi para a minha irmãzinha querida, então preciso cumprir.</t>
  </si>
  <si>
    <t>Não Se Machuque</t>
  </si>
  <si>
    <t>Faz a Imouto ficar irritada por fazer pegadinhas com ela</t>
  </si>
  <si>
    <t>肉料理</t>
  </si>
  <si>
    <t>做肉料理</t>
  </si>
  <si>
    <t>肉料理が食べたいな</t>
  </si>
  <si>
    <t>Meat Dishes</t>
  </si>
  <si>
    <t>Мясные блюда</t>
  </si>
  <si>
    <t>Món Ăn Thịt</t>
  </si>
  <si>
    <t>Nấu món thit</t>
  </si>
  <si>
    <t>Khiến em gái tức giận vì một trò chọc ghẹo em ấy</t>
  </si>
  <si>
    <t>Pratos com carne</t>
  </si>
  <si>
    <t>Cozinhar um prato com carne</t>
  </si>
  <si>
    <t>到底忘記了什麼</t>
  </si>
  <si>
    <t>.....</t>
  </si>
  <si>
    <t>感覺忘記了什麼重要的事情，總有一天會想起来吧？</t>
  </si>
  <si>
    <t>何か大切なものを忘れてしまったような気がする。</t>
  </si>
  <si>
    <t>Did I forget something?</t>
  </si>
  <si>
    <t>I feel like I have forgotten something important. Maybe one day I will remember it, right?</t>
  </si>
  <si>
    <t>Что именно ты забыл?</t>
  </si>
  <si>
    <t>...</t>
  </si>
  <si>
    <t>...Ты забыл что-то важное? Может, вспомнится позже.</t>
  </si>
  <si>
    <t>Вступление
("Начало игры")</t>
  </si>
  <si>
    <t>Tôi có quên gì không?</t>
  </si>
  <si>
    <t>...Quên mất điều gì đó quan trọng? Có lẽ sẽ nhớ lại sau.</t>
  </si>
  <si>
    <t>Será que eu esqueci alguma coisa?</t>
  </si>
  <si>
    <t>Eu sinto que esqueci alguma coisa importante. Talvez um dia eu me lembrarei, né?</t>
  </si>
  <si>
    <t>渾身惡臭</t>
  </si>
  <si>
    <t>渾身惡臭。</t>
  </si>
  <si>
    <t>身上不斷散發着惡臭</t>
  </si>
  <si>
    <t>お兄ちゃんが臭い</t>
  </si>
  <si>
    <t>お兄ちゃんが臭すぎる</t>
  </si>
  <si>
    <t>Reek</t>
  </si>
  <si>
    <t>A pungent stench</t>
  </si>
  <si>
    <t>You constantly emit a foul odor...</t>
  </si>
  <si>
    <t>От всего тела исходил отвратительный запах.</t>
  </si>
  <si>
    <t>От него ужасно пахло.</t>
  </si>
  <si>
    <t>Исходит стойкий запах...</t>
  </si>
  <si>
    <t>Вонючие рыбьи кости</t>
  </si>
  <si>
    <t>Hôi</t>
  </si>
  <si>
    <t>Mùi hôi thối nồng nặc</t>
  </si>
  <si>
    <t>Tỏa ra mùi hôi liên tục...</t>
  </si>
  <si>
    <t>Fedendo</t>
  </si>
  <si>
    <t>Uma catinga pungente</t>
  </si>
  <si>
    <t>Você constantemente emite um odor fétido...</t>
  </si>
  <si>
    <t>美味い</t>
  </si>
  <si>
    <t>吃到了美味的東西，肚子裡暖暖的~</t>
  </si>
  <si>
    <t>每秒體力少量回復</t>
  </si>
  <si>
    <t>美味料理</t>
  </si>
  <si>
    <t>Delicious</t>
  </si>
  <si>
    <t>After a good meal, I feel warm and cozy</t>
  </si>
  <si>
    <t>Recovers a small amount of health every second</t>
  </si>
  <si>
    <t>Eat good food</t>
  </si>
  <si>
    <t>Вкусно</t>
  </si>
  <si>
    <t>Съел что-то вкусное — тепло и уютно внутри~</t>
  </si>
  <si>
    <t>Выносливость восстанавливается на небольшое количество в секунду.</t>
  </si>
  <si>
    <t>Изысканная кухня</t>
  </si>
  <si>
    <t>Ngon tuyệt</t>
  </si>
  <si>
    <t>Ăn món gì đó ngon, cảm thấy ấm áp bên trong~</t>
  </si>
  <si>
    <t>Hồi một lượng máu nhỏ mỗi giây</t>
  </si>
  <si>
    <t>Đồ ăn ngon</t>
  </si>
  <si>
    <t>Delicioso</t>
  </si>
  <si>
    <t>Depois de uma boa refeição Eu me sinto aquecido e confortável</t>
  </si>
  <si>
    <t>Recupera uma pequena quantidade de PV por segundo</t>
  </si>
  <si>
    <t>Comer boa comida</t>
  </si>
  <si>
    <t>力量提升</t>
  </si>
  <si>
    <t>力量……涌上来了！</t>
  </si>
  <si>
    <t>攻擊力+50%</t>
  </si>
  <si>
    <t>食物</t>
  </si>
  <si>
    <t>筋力アップ！</t>
  </si>
  <si>
    <t>力が湧いてくる！</t>
  </si>
  <si>
    <t>Attack Boost</t>
  </si>
  <si>
    <t>I can feel... power surging within me!!</t>
  </si>
  <si>
    <t>Physical Attack + 50%</t>
  </si>
  <si>
    <t>Food</t>
  </si>
  <si>
    <t>Увеличение силы</t>
  </si>
  <si>
    <t>Сила... переполняет меня!</t>
  </si>
  <si>
    <t>Сила атаки +50%</t>
  </si>
  <si>
    <t>Еда</t>
  </si>
  <si>
    <t>Tăng tấn công</t>
  </si>
  <si>
    <t>Sức mạnh... đang tràn ngập trong tôi!</t>
  </si>
  <si>
    <t>Tấn công vật lý + 50%</t>
  </si>
  <si>
    <t>Đồ ăn</t>
  </si>
  <si>
    <t>Aumento de Ataque</t>
  </si>
  <si>
    <t>Eu posso sentir... um surto de poder em mim!!</t>
  </si>
  <si>
    <t>Ataque físico + 50%</t>
  </si>
  <si>
    <t>Comida</t>
  </si>
  <si>
    <t>魔力提升</t>
  </si>
  <si>
    <t>我逐漸理解一切。</t>
  </si>
  <si>
    <t>魔功力+50%</t>
  </si>
  <si>
    <t>魔力アップ！</t>
  </si>
  <si>
    <t>ああ、なるほどね。完全に理解した</t>
  </si>
  <si>
    <t>Magic Boost</t>
  </si>
  <si>
    <t>I'm starting to understand everything</t>
  </si>
  <si>
    <t>Magic attack + 50%</t>
  </si>
  <si>
    <t>Усиление магии</t>
  </si>
  <si>
    <t>Начинаю понимать всё</t>
  </si>
  <si>
    <t>Сила магии +50%</t>
  </si>
  <si>
    <t>Tăng ma thuật</t>
  </si>
  <si>
    <t>Tôi bắt đầu hiểu ra mọi thứ rồi</t>
  </si>
  <si>
    <t>Tấn công ma thuật + 50%</t>
  </si>
  <si>
    <t>Aumento de Magia</t>
  </si>
  <si>
    <t>Estou começando a entender tudo</t>
  </si>
  <si>
    <t>Ataque Mágico + 50%</t>
  </si>
  <si>
    <t>速度提升</t>
  </si>
  <si>
    <t>跟得上嗎……我的SPEED！</t>
  </si>
  <si>
    <t>移動速度上升</t>
  </si>
  <si>
    <t>Speed Increase</t>
  </si>
  <si>
    <t>Can you keep up... with my speed?</t>
  </si>
  <si>
    <t>Movement speed increases</t>
  </si>
  <si>
    <t>Увеличение скорости</t>
  </si>
  <si>
    <t>Сможешь угнаться за мной?!</t>
  </si>
  <si>
    <t>Увеличенная скорость передвижения</t>
  </si>
  <si>
    <t>Tăng tốc độ</t>
  </si>
  <si>
    <t>Người có theo kịp... tốc độ của ta không?</t>
  </si>
  <si>
    <t>Tăng tốc độ di chuyển</t>
  </si>
  <si>
    <t>Aumento de velocidade</t>
  </si>
  <si>
    <t>Você consegue acompanhar... a minha velocidade?</t>
  </si>
  <si>
    <t>Aumenta a velocidade de movimento</t>
  </si>
  <si>
    <t>巨神兵</t>
  </si>
  <si>
    <t>神兵天將</t>
  </si>
  <si>
    <t>狀態持續期間武器巨大化，提升攻擊範圍和傷害</t>
  </si>
  <si>
    <t>塔羅牌</t>
  </si>
  <si>
    <t>デカさこそぱわー！</t>
  </si>
  <si>
    <t>少しの間武器がデカくなり攻撃範囲とダメージが上がる</t>
  </si>
  <si>
    <t>Divine Weapon Descends</t>
  </si>
  <si>
    <t>This is the divine weapon</t>
  </si>
  <si>
    <t>Enlarges the weapon, increasing its size and damage while the buff is active</t>
  </si>
  <si>
    <t>Tarot Card - Strength</t>
  </si>
  <si>
    <t>Бог Оружия</t>
  </si>
  <si>
    <t>Сошествие Божественного Оружия</t>
  </si>
  <si>
    <t>Оружие увеличено, урон повышен!</t>
  </si>
  <si>
    <t>Карта Таро</t>
  </si>
  <si>
    <t>Vũ Khí Thần Thánh Giáng Lâm</t>
  </si>
  <si>
    <t>Đây là vũ khí thần thánh</t>
  </si>
  <si>
    <t>Vũ khí khổng lồ, tăng sát thương</t>
  </si>
  <si>
    <t>Thẻ bài Tarot - Sức Mạnh</t>
  </si>
  <si>
    <t>Descendentes das armas divinas</t>
  </si>
  <si>
    <t>Isso é uma arma divina</t>
  </si>
  <si>
    <t>Cresce a arma, seu tamanho e dano aumentam enquanto o buff estiver ativo</t>
  </si>
  <si>
    <t>Carta de Tarô - A Força</t>
  </si>
  <si>
    <t>命運之輪-正</t>
  </si>
  <si>
    <t>命運的流動……</t>
  </si>
  <si>
    <t>得到命運的加護，更容易遇到開心的事情了！</t>
  </si>
  <si>
    <t>Wheel of Fortune - Win!</t>
  </si>
  <si>
    <t>Wheel of Fortune - Fortune</t>
  </si>
  <si>
    <t>The flow of destiny...</t>
  </si>
  <si>
    <t>Tarot Card - Wheel of Fortune</t>
  </si>
  <si>
    <t>Колесо фортуны - По часовой</t>
  </si>
  <si>
    <t>Поток Судьбы...</t>
  </si>
  <si>
    <t>Благословение судьбы — больше хороших событий!</t>
  </si>
  <si>
    <t>Vòng Quay Định Mệnh - May Mắn</t>
  </si>
  <si>
    <t>Xoay Chuyển Số Phận...</t>
  </si>
  <si>
    <t>Được số phận ban phước, những điều tốt đẹp dễ xảy ra hơn!</t>
  </si>
  <si>
    <t>Thẻ bài Tarot - Vòng Quay Định Mệnh</t>
  </si>
  <si>
    <t>A Roda da Fortuna - Fortuna</t>
  </si>
  <si>
    <t>O fluxo do destino...</t>
  </si>
  <si>
    <t>Com a benção do destino é fácil de você encontrar coisas felizes!</t>
  </si>
  <si>
    <t>Carta de Tarô - A Roda da Fortuna</t>
  </si>
  <si>
    <t>命運之輪-逆</t>
  </si>
  <si>
    <t>命運流動……</t>
  </si>
  <si>
    <t>得到命運的加護，更容易遇到難過的事情了！</t>
  </si>
  <si>
    <t>Wheel of Fortune - Lose...</t>
  </si>
  <si>
    <t>Wheel of Fortune - Misfortune</t>
  </si>
  <si>
    <t>Destiny flows...</t>
  </si>
  <si>
    <t>Колесо фортуны - Обратный ход</t>
  </si>
  <si>
    <t>Благословение судьбы — больше плохих событий!</t>
  </si>
  <si>
    <t>Vòng Quay Định Mệnh - Vận Rủi</t>
  </si>
  <si>
    <t>Được số phận ban phước, dễ gặp những điều buồn bã hơn!</t>
  </si>
  <si>
    <t>A Roda da Fortuna - Misfortuna</t>
  </si>
  <si>
    <t>O destino flui...</t>
  </si>
  <si>
    <t>Com a benção do destino é fácil se deparar com coisas difíceis!</t>
  </si>
  <si>
    <t>生命力</t>
  </si>
  <si>
    <t>但是真的很難吃……</t>
  </si>
  <si>
    <t>體内充满了生命力，體力增加了</t>
  </si>
  <si>
    <t>体力</t>
  </si>
  <si>
    <t>こんなものを妹に飲ませてもいいのか…？</t>
  </si>
  <si>
    <t>力が溢れ体力の上限値が上がる！</t>
  </si>
  <si>
    <t>Vitality</t>
  </si>
  <si>
    <t>But it really tastes awful...</t>
  </si>
  <si>
    <t>My body is full of vitality and my stamina has increased</t>
  </si>
  <si>
    <t>Жизненная сила</t>
  </si>
  <si>
    <t>Но на вкус просто ужасно...</t>
  </si>
  <si>
    <t>Переполняет жизненная сила — макс. ОЗ увеличены!</t>
  </si>
  <si>
    <t>Фрагменты Философского камня</t>
  </si>
  <si>
    <t>Đầy sức sống</t>
  </si>
  <si>
    <t>Nhưng mà vị tệ thật...</t>
  </si>
  <si>
    <t>Tràn đầy sinh lực, tăng HP tối đa!</t>
  </si>
  <si>
    <t>Vitalidade</t>
  </si>
  <si>
    <t>Mas isso realmente tem um gosto ruim...</t>
  </si>
  <si>
    <t>Meu corpo está cheio de vitalidade e a minha energia tem aumentado</t>
  </si>
  <si>
    <t>力不從心</t>
  </si>
  <si>
    <t>拿、拿不動了……</t>
  </si>
  <si>
    <t>力量和體力不足，無法發揮武器性能！</t>
  </si>
  <si>
    <t>銀輝劍為達成條件</t>
  </si>
  <si>
    <t>非力なお兄ちゃん</t>
  </si>
  <si>
    <t>重くて振ることが出来ない…</t>
  </si>
  <si>
    <t>銀輝の大剣は条件を満たすことで真価を発揮できる</t>
  </si>
  <si>
    <t>Out of energy</t>
  </si>
  <si>
    <t>I-I can't lift it...</t>
  </si>
  <si>
    <t>Not enough strength to use the weapon fully!</t>
  </si>
  <si>
    <t>Silver Greatsword
Heavy Mallet</t>
  </si>
  <si>
    <t>Чувство бессилия</t>
  </si>
  <si>
    <t>Я... я не могу его поднять...</t>
  </si>
  <si>
    <t>Недостаточно силы, чтобы полноценно использовать оружие!</t>
  </si>
  <si>
    <t>Для выполнения условий необходим Серебряный Меч.</t>
  </si>
  <si>
    <t>Kiệt sức</t>
  </si>
  <si>
    <t>Tôi...Tôi không nhấc nổi...</t>
  </si>
  <si>
    <t>Không đủ sức mạnh để dùng vũ khí!</t>
  </si>
  <si>
    <t>Đại Kiếm Bạc
Trọng Búa</t>
  </si>
  <si>
    <t>Sem Energia</t>
  </si>
  <si>
    <t>E-eu nã consigo levantar...</t>
  </si>
  <si>
    <t>Não tenho força o suficiente para usar a arma completamente!</t>
  </si>
  <si>
    <t>Espadão de Prata
Malho Pesado</t>
  </si>
  <si>
    <t>豐收的祝福</t>
  </si>
  <si>
    <t>與汝享賜福</t>
  </si>
  <si>
    <t>獲得了聖杯的祝福，獲取金錢翻倍</t>
  </si>
  <si>
    <t>聖杯の祝福</t>
  </si>
  <si>
    <t>聖杯の祝福によってお金を二倍獲得できる！</t>
  </si>
  <si>
    <t>Bountiful Blessings</t>
  </si>
  <si>
    <t>Share these blessing with thee</t>
  </si>
  <si>
    <t>Received the Holy Grail's blessing, doubling money earned</t>
  </si>
  <si>
    <t>Благословение Святого Грааля</t>
  </si>
  <si>
    <t>Поделись этим благословением!</t>
  </si>
  <si>
    <t>Удваивает получаемые деньги</t>
  </si>
  <si>
    <t xml:space="preserve">Phước lành </t>
  </si>
  <si>
    <t>Chia sẻ phước lành</t>
  </si>
  <si>
    <t>Nhận được phước lành của Chén Thánh, nhân đôi số tiền nhận được</t>
  </si>
  <si>
    <t>Chén Thánh Chưa Hoàn Thiện</t>
  </si>
  <si>
    <t>Benção Abundante</t>
  </si>
  <si>
    <t>Divida essa benção com ele</t>
  </si>
  <si>
    <t>Receber a benção do Holy Grail, dobrando o dinheiro ganho</t>
  </si>
  <si>
    <t>Holy Grail incompleto</t>
  </si>
  <si>
    <t>冰地板</t>
  </si>
  <si>
    <t>例如:舊版本的寒冰杖</t>
  </si>
  <si>
    <t>Ice floor</t>
  </si>
  <si>
    <t>Old version of Ice Staff</t>
  </si>
  <si>
    <t>Ледяной пол</t>
  </si>
  <si>
    <t>Например, старая версия Ледяного посоха</t>
  </si>
  <si>
    <t>Sàn băng</t>
  </si>
  <si>
    <t>Phiên bản cũ của Trượng Băng</t>
  </si>
  <si>
    <t>Chão de Gelo</t>
  </si>
  <si>
    <t>Versão antiga do cajado de gelo</t>
  </si>
  <si>
    <t>上古榮光</t>
  </si>
  <si>
    <t>你散發著榮光</t>
  </si>
  <si>
    <t>全屬性上升，暫時無敵</t>
  </si>
  <si>
    <t>コ〇ミコマンド発動！</t>
  </si>
  <si>
    <t>You radiate glory</t>
  </si>
  <si>
    <t>All attributes increased
Temporary invincibility</t>
  </si>
  <si>
    <t>Ты источаешь славу!</t>
  </si>
  <si>
    <t>Все характеристики повышены. Временная неуязвимость!</t>
  </si>
  <si>
    <t>Hào Quang Cổ Xưa</t>
  </si>
  <si>
    <t>Tỏa sáng rực rỡ</t>
  </si>
  <si>
    <t>Tăng tất cả đặc tính
Bất tử tạm thời</t>
  </si>
  <si>
    <t>Você iradia glória</t>
  </si>
  <si>
    <t>Todos os seus atributos aumentam.
Invencibilidade temporária</t>
  </si>
  <si>
    <t>不死的稻草人之心</t>
  </si>
  <si>
    <t>無法回復體力</t>
  </si>
  <si>
    <t>稻草人之心</t>
  </si>
  <si>
    <t>不死のカカシの心</t>
  </si>
  <si>
    <t>The immortal scarecrow's heart, yet decay is fate</t>
  </si>
  <si>
    <t>No HP recovery</t>
  </si>
  <si>
    <t>Сердце Пугала бессмертно, но тление — его удел</t>
  </si>
  <si>
    <t>Здоровье не восстанавливается!</t>
  </si>
  <si>
    <t>Trái tim của bù nhìn bất tử, nhưng cuối cùng cũng phải mục rã</t>
  </si>
  <si>
    <t>Không hồi HP</t>
  </si>
  <si>
    <t>O coração do espantalho imortal, mas a decadência é o destino</t>
  </si>
  <si>
    <t>Não recupera PV</t>
  </si>
  <si>
    <t>游泳中</t>
  </si>
  <si>
    <t>浮在水面上，移速下降，無法攻擊</t>
  </si>
  <si>
    <t>游泳</t>
  </si>
  <si>
    <t>Swimming</t>
  </si>
  <si>
    <t>Floating. 
Slower movement. 
Can't attack</t>
  </si>
  <si>
    <t>Swim in the water</t>
  </si>
  <si>
    <t>Плавание</t>
  </si>
  <si>
    <t>Плывёт по воде. Скорость снижена, атаковать нельзя!</t>
  </si>
  <si>
    <t>Bơi</t>
  </si>
  <si>
    <t>Nổi trên mặt nước. Di chuyển chậm, không thể tấn công</t>
  </si>
  <si>
    <t>Bơi trong nước</t>
  </si>
  <si>
    <t>Nadando</t>
  </si>
  <si>
    <t>Flutuar. 
Movimento mais lento. 
Não pode atacar</t>
  </si>
  <si>
    <t>Nadar na água</t>
  </si>
  <si>
    <t>騎士精神</t>
  </si>
  <si>
    <t>我等乃是守護者</t>
  </si>
  <si>
    <t>攻擊力提升30</t>
  </si>
  <si>
    <t>Chivalry</t>
  </si>
  <si>
    <t>We are the guardians!</t>
  </si>
  <si>
    <t>Attack power 42</t>
  </si>
  <si>
    <t>Рыцарь</t>
  </si>
  <si>
    <t>Мы — хранители!</t>
  </si>
  <si>
    <t>Сила атаки +30</t>
  </si>
  <si>
    <t>Hiệp sĩ</t>
  </si>
  <si>
    <t>Chúng tôi là những người bảo vệ!</t>
  </si>
  <si>
    <t>Sức tấn công 30</t>
  </si>
  <si>
    <t>Cavalheirismo</t>
  </si>
  <si>
    <t>Nós somos os guardiões!</t>
  </si>
  <si>
    <t>Poder de Ataque 42</t>
  </si>
  <si>
    <t>妹妹的胖次</t>
  </si>
  <si>
    <t>就感覺妹妹在身邊一樣……</t>
  </si>
  <si>
    <t>體力自動恢復中</t>
  </si>
  <si>
    <t>妹のぱんつ！</t>
  </si>
  <si>
    <t>妹が近くにいる気がする</t>
  </si>
  <si>
    <t>妹が下着をくれる</t>
  </si>
  <si>
    <t>Imouto's Thiccness</t>
  </si>
  <si>
    <t>It feels like my sister is right beside me...</t>
  </si>
  <si>
    <t>HP continuously regenerates when below half HP</t>
  </si>
  <si>
    <t>Imouto gives you her underwear</t>
  </si>
  <si>
    <t>Трусики Имоуто</t>
  </si>
  <si>
    <t>Как будто сестра рядом со мной...</t>
  </si>
  <si>
    <t>Регенерация здоровья!</t>
  </si>
  <si>
    <t>Нижнее белье Имоуто</t>
  </si>
  <si>
    <t>Độ Dày Của Imouto</t>
  </si>
  <si>
    <t>Cảm giác như em ấy đang ở ngay bên cạnh tôi...</t>
  </si>
  <si>
    <t>HP hồi liên tục khi ở dưới nửa HP tối đa</t>
  </si>
  <si>
    <t>Imouto đưa cho đồ lót em ấy</t>
  </si>
  <si>
    <r>
      <rPr>
        <rFont val="Microsoft JhengHei"/>
        <i/>
        <color theme="1"/>
      </rPr>
      <t>Thiccness</t>
    </r>
    <r>
      <rPr>
        <rFont val="Microsoft JhengHei"/>
        <color theme="1"/>
      </rPr>
      <t xml:space="preserve"> da Imouto</t>
    </r>
  </si>
  <si>
    <t>É como se minha irmã estivesse bem ao meu lado...</t>
  </si>
  <si>
    <t>Os PV continuamente se regeneram, quando o PV estiver abaixo da metade.</t>
  </si>
  <si>
    <t>Imouto te dá a roupa íntima dela</t>
  </si>
  <si>
    <t>咕嚕咕嚕</t>
  </si>
  <si>
    <t>吃壞了肚子......</t>
  </si>
  <si>
    <t>腹痛不止！</t>
  </si>
  <si>
    <t>毒料理</t>
  </si>
  <si>
    <t>ぎゅるるる…</t>
  </si>
  <si>
    <t>お腹を壊してしまった…</t>
  </si>
  <si>
    <t>腹痛が止まらない！</t>
  </si>
  <si>
    <t>変な料理</t>
  </si>
  <si>
    <t>Gurgle gurgle</t>
  </si>
  <si>
    <t>Ate something bad...</t>
  </si>
  <si>
    <t>Stomachache won't stop</t>
  </si>
  <si>
    <t>Food poisoning</t>
  </si>
  <si>
    <t>Буль-буль</t>
  </si>
  <si>
    <t>Съел что-то не то...</t>
  </si>
  <si>
    <t>Живот не отпускает!</t>
  </si>
  <si>
    <t>Ядовитая кухня</t>
  </si>
  <si>
    <t>Ặc Ặc</t>
  </si>
  <si>
    <t>Ăn phải thứ gì đó không tốt...</t>
  </si>
  <si>
    <t>Đau bụng mãi không dứt!</t>
  </si>
  <si>
    <t>Ngộ độc thực phẩm</t>
  </si>
  <si>
    <t>Comeu algo estragado......</t>
  </si>
  <si>
    <t>Minha dor de estômago não para</t>
  </si>
  <si>
    <t>Intoxicação alimentar</t>
  </si>
  <si>
    <t>咕嚕咕嚕咕嚕</t>
  </si>
  <si>
    <t>菊花殘、滿地傷...</t>
  </si>
  <si>
    <t>因屁股疼痛無法奔跑和衝刺！</t>
  </si>
  <si>
    <t>毒辣料理</t>
  </si>
  <si>
    <t>ぎゅるるるるるｒ</t>
  </si>
  <si>
    <t>もうだめだ、おしまいだ</t>
  </si>
  <si>
    <t>お尻の痛みで走ったり、ダッシュしたりできない！</t>
  </si>
  <si>
    <t>変な激辛料理</t>
  </si>
  <si>
    <t>Gurgle gurgle gurgle</t>
  </si>
  <si>
    <t>My ass is on fire...</t>
  </si>
  <si>
    <t>Can't run or dash due to butt pain!</t>
  </si>
  <si>
    <t>Chili and Food Poisoning</t>
  </si>
  <si>
    <t>Буль-буль-буль</t>
  </si>
  <si>
    <t>У меня задница горит...</t>
  </si>
  <si>
    <t>Нельзя бежать или ускориться рывком из-за боли в попе!</t>
  </si>
  <si>
    <t>Острая еда</t>
  </si>
  <si>
    <t>Ặc Ặc Ặc</t>
  </si>
  <si>
    <t>Mông tôi như đang cháy...</t>
  </si>
  <si>
    <t>Không thể chạy hay lao nhanh vì đau mông!</t>
  </si>
  <si>
    <t>Ớt và Ngộ độc thực phẩm</t>
  </si>
  <si>
    <t>Minhas nádegas estão pegando fogo......</t>
  </si>
  <si>
    <r>
      <rPr>
        <rFont val="Microsoft JhengHei"/>
        <color theme="1"/>
      </rPr>
      <t xml:space="preserve">Não possi correr nem usar </t>
    </r>
    <r>
      <rPr>
        <rFont val="Microsoft JhengHei"/>
        <i/>
        <color theme="1"/>
      </rPr>
      <t>dash</t>
    </r>
    <r>
      <rPr>
        <rFont val="Microsoft JhengHei"/>
        <color theme="1"/>
      </rPr>
      <t xml:space="preserve"> por conta da dor nas nadegas!</t>
    </r>
  </si>
  <si>
    <t>Intoxicação alimentar com Chil</t>
  </si>
  <si>
    <t>早點回家吧</t>
  </si>
  <si>
    <t>熱死了.....</t>
  </si>
  <si>
    <t>因為炎熱渾身無力...</t>
  </si>
  <si>
    <t>炎熱天氣</t>
  </si>
  <si>
    <t>早く帰ろう…</t>
  </si>
  <si>
    <t>暑くてたまらない…</t>
  </si>
  <si>
    <t>暑さで全身がだるい…</t>
  </si>
  <si>
    <t>猛暑</t>
  </si>
  <si>
    <t>Going home early</t>
  </si>
  <si>
    <t>It's so hot...</t>
  </si>
  <si>
    <t>Feeling weak from the heat...</t>
  </si>
  <si>
    <t>Идите домой пораньше</t>
  </si>
  <si>
    <t>Так жарко...</t>
  </si>
  <si>
    <t>Слабеет от жары...</t>
  </si>
  <si>
    <t>Жаркая погода</t>
  </si>
  <si>
    <t>Nóng quá...</t>
  </si>
  <si>
    <t>Cảm thấy yếu vì nóng...</t>
  </si>
  <si>
    <t>Está tão quente...</t>
  </si>
  <si>
    <t>Sentindo-se fraco pelo calor...</t>
  </si>
  <si>
    <t>雜魚哥哥</t>
  </si>
  <si>
    <t>這麼簡單的遊戲也不會玩，真是雜魚呢~</t>
  </si>
  <si>
    <t>因作弊而獲得了雜魚認證！</t>
  </si>
  <si>
    <t>使用作弊碼</t>
  </si>
  <si>
    <t>お兄ちゃんはざぁこ♡</t>
  </si>
  <si>
    <t>こんな簡単なゲームもできないなんて、ほんとにざぁこだね〜♡</t>
  </si>
  <si>
    <t>チートでざぁこ認証を獲得しました♡</t>
  </si>
  <si>
    <t>チートコードを使っちゃったね♡</t>
  </si>
  <si>
    <t>ZAKO Onii-chan</t>
  </si>
  <si>
    <t>You can't even play such a simple game? 
What a ZAKO~
(Note: Zako = Noob)</t>
  </si>
  <si>
    <t>Certified as a ZAKO for cheating!</t>
  </si>
  <si>
    <t>ZAKO</t>
  </si>
  <si>
    <t>Даже такую простую игру не осилил? Что за ZAKO~</t>
  </si>
  <si>
    <t>Вам присвоено звание ZAKO за читерство!</t>
  </si>
  <si>
    <t>Используйте чит-коды</t>
  </si>
  <si>
    <t>Onii-chan ZAKO</t>
  </si>
  <si>
    <t>Trò chơi đơn giản thế này mà cũng không chơi được?
Đúng là ZAKO~</t>
  </si>
  <si>
    <t>Bị chứng nhận là ZAKO vì gian lận!</t>
  </si>
  <si>
    <t>Você não consegue jogar um joguinho tão simples? Que FRACOTE~(ZAKO)
(Nota: Zako = Noob)</t>
  </si>
  <si>
    <t>Certificado como um FRACOTE(ZAKO) por trapacear!</t>
  </si>
  <si>
    <t>世界的勇者</t>
  </si>
  <si>
    <t>如此可得世界榮耀，遠離黑暗蒙昧</t>
  </si>
  <si>
    <t>世界の勇者</t>
  </si>
  <si>
    <t>そうすることで、あなたは世界の栄光を得て、すべての暗闇は逃げ去るでしょう</t>
  </si>
  <si>
    <t>レッドジャスパーのペンダント</t>
  </si>
  <si>
    <t>Thus shall you gain the world's glory, and all darkness shall flee</t>
  </si>
  <si>
    <t>Герои этого мира</t>
  </si>
  <si>
    <t>Так обретёшь ты славу мира, и вся тьма отступит!</t>
  </si>
  <si>
    <t>Mặt Dây Chuyển Rubrum</t>
  </si>
  <si>
    <t>Vậy là người sẽ đạt được vinh quang của thế giới và mọi bóng tối sẽ tan biến</t>
  </si>
  <si>
    <t>貪財!貪財!</t>
  </si>
  <si>
    <t>無盡的貪慾最終也盯上你– –</t>
  </si>
  <si>
    <t>受傷時強制掉落金幣</t>
  </si>
  <si>
    <t>強欲！強欲！</t>
  </si>
  <si>
    <t>終わりのない貪欲は最終的にお兄ちゃんにも襲いかかる―――</t>
  </si>
  <si>
    <t>負傷時に強制的にコインを落とす</t>
  </si>
  <si>
    <t>Greedy! Greedy!</t>
  </si>
  <si>
    <t>Endless greed will eventually set its sight onto you</t>
  </si>
  <si>
    <t>Money will drop upon taking damage</t>
  </si>
  <si>
    <t>Жадный! Жадный!</t>
  </si>
  <si>
    <t>Бесконечная жадность настигла тебя...</t>
  </si>
  <si>
    <t>При получении урона теряются имеющиеся деньги!</t>
  </si>
  <si>
    <t>Tham lam! Tham lam!</t>
  </si>
  <si>
    <t>Lòng tham lam vô tận đã tìm đến ta</t>
  </si>
  <si>
    <t>Tiền sẽ rơi ra khi nhận sát thương</t>
  </si>
  <si>
    <t>Ganância! Ganância!</t>
  </si>
  <si>
    <t>A ganância sem fim encontrou você—</t>
  </si>
  <si>
    <t>Derruba o dinheiro guardado ao receber dano!</t>
  </si>
  <si>
    <t>你看不見我</t>
  </si>
  <si>
    <t>LOOK INTI MY EVIL EYEZ SEE SOMETHIN'INSIDE！</t>
  </si>
  <si>
    <t>每六秒短暫進入透明狀態！</t>
  </si>
  <si>
    <t>お前には俺が見えない。</t>
  </si>
  <si>
    <t>俺の邪眼を見ろ！君には何が見える？</t>
  </si>
  <si>
    <t>6秒ごとに一時的に透明状態に入る！</t>
  </si>
  <si>
    <t>You can't see me</t>
  </si>
  <si>
    <t xml:space="preserve">LOOK INTO MY EVIL EYEZ SEE SOMETHIN'INSIDE！
(Song by VOODOO KINGDOM from JJBA Part 1)
</t>
  </si>
  <si>
    <t>Briefly turn invisible every few seconds</t>
  </si>
  <si>
    <t>Ты меня не видишь</t>
  </si>
  <si>
    <t>ВЗГЛЯНИ В МОИ ЯРОСТНЫЕ ГЛАЗА И УВИДИШЬ ЧТО ВНУТРИ!</t>
  </si>
  <si>
    <t>Кратковременно становится невидимым каждые 6 секунд.</t>
  </si>
  <si>
    <t>Bạn không thấy tôi...</t>
  </si>
  <si>
    <t>NHÌN VÀO ĐÔI MẮT QUỶ NÀY ĐI LÀ SẼ THẤY GÌ BÊN TRONG !
(Bài hát của VOODOO KINGDOM từ JJBA Phần 1)</t>
  </si>
  <si>
    <t>Biến mất chốc lát mỗi vài giây</t>
  </si>
  <si>
    <t>Você não consegue me ver</t>
  </si>
  <si>
    <t xml:space="preserve">OLHE NOS MEUS OLHOS MALIGNOS E VEJA O QUE HÁ DENTRO！
(música de VOODOO KINGDOM do JJBA Parte 1)
</t>
  </si>
  <si>
    <t>Brevemente torna-se invisível a cada alguns segundos</t>
  </si>
  <si>
    <t>總覺得有東西跟著我</t>
  </si>
  <si>
    <t>沙沙...沙沙...</t>
  </si>
  <si>
    <t>你正被一群小生物密切關注著</t>
  </si>
  <si>
    <t>被Z糾纏住</t>
  </si>
  <si>
    <t>何かがお兄ちゃんに着いてくる…</t>
  </si>
  <si>
    <t>ササ…ササ…</t>
  </si>
  <si>
    <t>小さな生き物たちにじっと見つめられている…</t>
  </si>
  <si>
    <t>■■■■に捕捉される…</t>
  </si>
  <si>
    <t>Feels like something is following me...</t>
  </si>
  <si>
    <t>*rustle... rustle...*</t>
  </si>
  <si>
    <t>You are being closely watched by a group of small creatures...</t>
  </si>
  <si>
    <t>Appears when you are stalked by C</t>
  </si>
  <si>
    <t>总觉得有东西跟着我</t>
  </si>
  <si>
    <t>你正被一群小生物密切关注着</t>
  </si>
  <si>
    <t>被Z纠缠住</t>
  </si>
  <si>
    <t>Мне постоянно кажется, что за мной кто-то следит</t>
  </si>
  <si>
    <t>*Шорох*... *шорох*...</t>
  </si>
  <si>
    <t>За вами внимательно наблюдает группа маленьких существ...</t>
  </si>
  <si>
    <t>*raschel… raschel…*</t>
  </si>
  <si>
    <t>Du wirst von einer Gruppe kleiner Kreaturen genau beobachtet…</t>
  </si>
  <si>
    <t>Erscheint, wenn du von C verfolgt wirst.</t>
  </si>
  <si>
    <t>Cảm giác như có thứ gì đó đang bám theo mình...</t>
  </si>
  <si>
    <t>*sột soạt... sột soạt...*</t>
  </si>
  <si>
    <t>Bạn đang bị một nhóm sinh vật nhỏ theo dõi...</t>
  </si>
  <si>
    <t>Xuất hiện khi bạn bị G bám theo</t>
  </si>
  <si>
    <t>Tenho sempre a sensação de que algo está me seguindo.</t>
  </si>
  <si>
    <t>frrr-frrr...frrr-frrr...</t>
  </si>
  <si>
    <t xml:space="preserve">Você está sendo observado atentamente por um grupo de pequenas criaturas.
</t>
  </si>
  <si>
    <t>Ocorre quando está sendo assombrado por B</t>
  </si>
  <si>
    <t>本教程為：
官方尚未完成手機版本雲端存檔系統前，而想將手機版存檔搬運的教學
※英文版教學影片由Gabriel B提供※</t>
  </si>
  <si>
    <t>This tutorial is for those who want to transfer their mobile save data before the official mobile cloud save system is complete.
※English tutorial video provided by Gabriel B※</t>
  </si>
  <si>
    <t xml:space="preserve">Hướng dẫn này dành cho:
Cách chuyển file lưu trên điện thoại trước khi hệ thống lưu trữ đám mây chính thức hoàn thành.
※Video hướng dẫn tiếng Anh được cung cấp bởi Gabriel B※
</t>
  </si>
  <si>
    <r>
      <rPr>
        <rFont val="Arial"/>
        <color theme="1"/>
      </rPr>
      <t xml:space="preserve">Esse tutorial é para aqueles que querem transferir as informações dos seus </t>
    </r>
    <r>
      <rPr>
        <rFont val="Arial"/>
        <i/>
        <color theme="1"/>
      </rPr>
      <t xml:space="preserve">saves </t>
    </r>
    <r>
      <rPr>
        <rFont val="Arial"/>
        <color theme="1"/>
      </rPr>
      <t xml:space="preserve">do celular antes que o sistema oficial de </t>
    </r>
    <r>
      <rPr>
        <rFont val="Arial"/>
        <i/>
        <color theme="1"/>
      </rPr>
      <t xml:space="preserve">save </t>
    </r>
    <r>
      <rPr>
        <rFont val="Arial"/>
        <color theme="1"/>
      </rPr>
      <t>do celular</t>
    </r>
    <r>
      <rPr>
        <rFont val="Arial"/>
        <i/>
        <color theme="1"/>
      </rPr>
      <t xml:space="preserve"> </t>
    </r>
    <r>
      <rPr>
        <rFont val="Arial"/>
        <color theme="1"/>
      </rPr>
      <t>nas nuvens esteja completo.
※Tutorial em inglês providenciado por Gabriel B※</t>
    </r>
  </si>
  <si>
    <t>Tutorial ini ditujukan bagi mereka yang ingin mentransfer data simpanan game seluler mereka sebelum sistem penyimpanan cloud resmi untuk game seluler selesai.
※Video tutorial berbahasa Inggris disediakan oleh Gabriel B※</t>
  </si>
  <si>
    <t>1 - 在google play上搜尋 檔案管理員 安裝。</t>
  </si>
  <si>
    <t>1 - Search for "File Manager" on Google Play and install it.</t>
  </si>
  <si>
    <t>1 - Suche die App Manager + auf Google Play und installiere diese</t>
  </si>
  <si>
    <t>1 - Tìm ứng dụng Quản lý tệp (File Manager) trên Google Play và cài đặt</t>
  </si>
  <si>
    <t>1 - Pesquise pelo "File Manager"(Gerenciador de Arquivos) no google play e instale ele.</t>
  </si>
  <si>
    <t>1 - Cari "File Manager" di Google Play dan instal.</t>
  </si>
  <si>
    <t>2 - 開啟 檔案管理員 應用程式，並且找到〔舊遊戲版本中〕的Documents/sister_save，將裡面的文件全部複製出來並保存。</t>
  </si>
  <si>
    <t>2 - Open the File Explorer application and locate Documents/sister_save (in older game versions), copy all the files inside and save it.</t>
  </si>
  <si>
    <t>2 - Starte die App und suche das Save in Documents/sister_save und kopiere Sie in einen sicheren Ort</t>
  </si>
  <si>
    <t>2 - Mở ứng dụng Quản lý tệp và tìm đến thư mục Documents/sister_save (trong phiên bản game cũ), sao chép tất cả các tệp bên trong và lưu lại.</t>
  </si>
  <si>
    <t>2 - Abra a aplicação Gerenciador de Arquivos e localize Documents/sister_save (na versão mais antigas do jogo), copie todos os aquivos dentro dele e salve eles em outra pasta.</t>
  </si>
  <si>
    <t>2 - Buka aplikasi File Explorer dan cari Documents/sister_save (pada versi game yang lebih lama), salin semua file di dalamnya dan simpan.</t>
  </si>
  <si>
    <t>3 - 必須安裝〔新版本遊戲〕，並且在遊戲內創建一個隨意的存檔。
(請注意，這個存檔在搬運後會被覆蓋並且消失)</t>
  </si>
  <si>
    <t>"3 - You must install the latest version of the game and create an arbitrary save file within the game.
(Please note that this save file will be overwritten and deleted after the transfer.)"</t>
  </si>
  <si>
    <t>3 - Jetzt kannst du die neue Version installieren und einmal ein Save machen</t>
  </si>
  <si>
    <t>3 - Bạn phải cài đặt phiên bản mới của game và tạo một file lưu mới trong game.
(Lưu ý rằng file lưu này sẽ bị ghi đè và mất sau khi chuyển.)</t>
  </si>
  <si>
    <r>
      <rPr>
        <rFont val="Microsoft JhengHei"/>
        <color theme="1"/>
      </rPr>
      <t xml:space="preserve">3 - Você precisa instalar a última versão do jogo e criar um arquivo de </t>
    </r>
    <r>
      <rPr>
        <rFont val="Microsoft JhengHei"/>
        <i/>
        <color theme="1"/>
      </rPr>
      <t xml:space="preserve">save </t>
    </r>
    <r>
      <rPr>
        <rFont val="Microsoft JhengHei"/>
        <color theme="1"/>
      </rPr>
      <t xml:space="preserve">arbitrário no jogo.
(Por favor, note que esse arquivo </t>
    </r>
    <r>
      <rPr>
        <rFont val="Microsoft JhengHei"/>
        <i/>
        <color theme="1"/>
      </rPr>
      <t xml:space="preserve">save </t>
    </r>
    <r>
      <rPr>
        <rFont val="Microsoft JhengHei"/>
        <color theme="1"/>
      </rPr>
      <t>será subrescrito e deletado depois da transferência)</t>
    </r>
  </si>
  <si>
    <t>"3 - Anda harus menginstal versi terbaru game dan membuat file penyimpanan (save file) baru di dalam game.
(Harap dicatat bahwa file penyimpanan ini akan ditimpa dan dihapus setelah transfer.)"</t>
  </si>
  <si>
    <t>4 - 再次開啟 檔案管理員 應用程式，在〔新遊戲版本中〕並且找到Documents/sister_save，並將步驟2的存檔"覆蓋"於資料夾內。</t>
  </si>
  <si>
    <t xml:space="preserve">4 - Reopen the File Explorer application, find Documents/sister_save in the [New Game Version] folder, and "overwrite" the save file from step 2 in the folder.
</t>
  </si>
  <si>
    <t>4 - überschreibe dann das Save bei "Documents/sister_save" und genieße das Game</t>
  </si>
  <si>
    <t>4 - Mở lại ứng dụng Quản lý tệp, tìm đến thư mục Documents/sister_save trong [phiên bản game mới] (new game version), và "ghi đè" file lưu từ bước 2 vào thư mục đó.</t>
  </si>
  <si>
    <r>
      <rPr>
        <rFont val="Microsoft JhengHei"/>
        <color theme="1"/>
      </rPr>
      <t xml:space="preserve">4 - Abra novamente a aplicação Gerenciador de Arquivos e encontre Documents/sister_save na pasta [Versão nova do jogo], e "sobrescreva" o arquivo </t>
    </r>
    <r>
      <rPr>
        <rFont val="Microsoft JhengHei"/>
        <i/>
        <color theme="1"/>
      </rPr>
      <t xml:space="preserve">save </t>
    </r>
    <r>
      <rPr>
        <rFont val="Microsoft JhengHei"/>
        <color theme="1"/>
      </rPr>
      <t>do passo 2 da outra pasta nessa pasta</t>
    </r>
  </si>
  <si>
    <t xml:space="preserve">4 - Buka kembali aplikasi File Explorer, temukan Documents/sister_save di folder [New Game Version], dan "timpa" file penyimpanan dari langkah 2 di folder tersebut.
</t>
  </si>
  <si>
    <t>參考英文版影片：youtube</t>
  </si>
  <si>
    <t>参考英文動画：YouTube</t>
  </si>
  <si>
    <t>Reference video: youtube</t>
  </si>
  <si>
    <t>参考英文影片：youtube</t>
  </si>
  <si>
    <t>Erklärungsvideo: Youtube</t>
  </si>
  <si>
    <t>Video youtube tham khảo</t>
  </si>
  <si>
    <t>Vídeo de referência: youtube</t>
  </si>
  <si>
    <t>Video referensi: YouTube</t>
  </si>
  <si>
    <t>歡迎投稿與本遊戲相關的影音連結
目前"暫時"只接受youtube與billbill的投稿
若你只有影片檔案，也可以交由我替你上傳至youtube
(會附上作者資訊，但是不負任何後續的責任，或影音收益權益等問題)
有任何需求請連繫攻略作者：RORO(聯繫詳情請見公告頁面)
由於AI翻譯問題，網址無法嵌入，影音網址請直接點選繁體中文的鏈接
投稿規則：
1.若您只有單一影片，則投放標題。
2.若您有多個影片，則以公布頻道為主，避免清單過長。
3.禁止影片/資訊/留言等，有任何盜版相關資訊。
4.關於二創、背景附帶歌曲、AI創作等相關內容，請注意版權與平台相關規範。
5.請遵守平台規定，不可有任何黃標、裸露等內容。
6.製作時盡量附帶字幕。
7.影片中，請勿包含廣告、業配、宣傳等，非本遊戲的相關內容。</t>
  </si>
  <si>
    <r>
      <rPr>
        <rFont val="Microsoft JhengHei"/>
        <b/>
        <color rgb="FF1155CC"/>
        <sz val="12.0"/>
        <u/>
      </rPr>
      <t xml:space="preserve">官方discord群組：
</t>
    </r>
    <r>
      <rPr>
        <rFont val="Microsoft JhengHei"/>
        <b/>
        <color rgb="FF1155CC"/>
        <sz val="12.0"/>
        <u/>
      </rPr>
      <t>https://discord.gg/2Bt7RWknyH</t>
    </r>
  </si>
  <si>
    <t>Discord:RORO#3330</t>
  </si>
  <si>
    <t>官方youtube</t>
  </si>
  <si>
    <t>逆流茶會</t>
  </si>
  <si>
    <t>官方billbill</t>
  </si>
  <si>
    <t>片桐秋 youtube 頻道
(妹妹的配音聲優)</t>
  </si>
  <si>
    <t>片桐秋-AKI</t>
  </si>
  <si>
    <t>片桐秋 billbill 頻道
(妹妹的配音聲優)</t>
  </si>
  <si>
    <t>RORO youtube
(攻略作者頻道 籌備中 歡迎訂閱)</t>
  </si>
  <si>
    <t>RORO</t>
  </si>
  <si>
    <t>玩家投稿(籌備中，歡迎投稿)</t>
  </si>
  <si>
    <t>投稿者</t>
  </si>
  <si>
    <t>※本篇教程由官方提供※
使用獨立顯卡啟動遊戲可以獲得更高的幀數和更流暢的遊戲體驗。
要設置遊戲使用獨立顯卡啟動，請按以下步驟操作：</t>
  </si>
  <si>
    <t>※本教程由玩家提供※
用於電腦沒有內建「NVIDIA程式」的解決方法
為了在 Windows 10/11 上獲得更好的 NVIDIA 顯示卡性能，推薦參考此設定。</t>
  </si>
  <si>
    <t>※このチュートリアルは公式によって提供されています※
専用のグラフィックカードでゲームを起動すれば、フレームレートが上がって、もっと滑らかなゲーム体験ができます。
ゲームをグラフィックカードで起動するための設定方法は次の通りです：</t>
  </si>
  <si>
    <t>※This tutorial is provided by the official※
Running the game with a dedicated graphics card will give you higher frame rates and a smoother gaming experience. 
To set your game to run using your dedicated graphics card, follow these steps:</t>
  </si>
  <si>
    <t>"※This tutorial was provided by a player※
Solution for computers that do not have ""NVIDIA programs"" built-in
For better NVIDIA graphics card performance on Windows 10/11, it is recommended to refer to this setting."</t>
  </si>
  <si>
    <t>※本篇教程由官方提供※
使用独立显卡启动游戏可以获得更高的帧数和更流畅的游戏体验。
要设置游戏使用独立显卡启动，按以下步骤操作：</t>
  </si>
  <si>
    <t>※Dieses Tutorial wird offiziell bereitgestellt※
Das Ausführen des Spiels mit einer dedizierten Grafikkarte sorgt für höhere Bildraten und ein flüssigeres Spielerlebnis.
Um das Spiel mit deiner dedizierten Grafikkarte auszuführen, folge diesen Schritten:</t>
  </si>
  <si>
    <t xml:space="preserve">※Dieses Tutorial wird inoffiziell bereitgestellt※
Um eine bessere Leistung bei NVIDIA Grafikarten bei Win 10/11 zu bekommen wird dieser Guide hier empfohlen. </t>
  </si>
  <si>
    <t>※Hướng dẫn này được cung cấp bởi nhà phát triển chính thức.※
 Chạy trò chơi bằng card đồ họa chuyên dụng sẽ mang lại tốc độ khung hình cao hơn và trải nghiệm chơi game mượt mà hơn. 
Để thiết lập trò chơi chạy bằng card đồ họa chuyên dụng, hãy làm theo các bước sau:</t>
  </si>
  <si>
    <t>※Hướng dẫn này do người chơi cung cấp※ 
Giải pháp dành cho máy tính không có "chương trình NVIDIA" tích hợp 
Để có hiệu suất card đồ họa NVIDIA tốt hơn trên Windows 10/11, bạn nên tham khảo cài đặt này.</t>
  </si>
  <si>
    <t>※Esse tutorial é fornecido de forma oficial※
Rodar o jogo com uma placa gráfica integrada vai resultar em um maior taxa de quadros e tornará a experiência jogando mais suave. 
Para fazer o seu jogo rodar usando a placa gráfica dedicada, siga esse passos:</t>
  </si>
  <si>
    <t>※Esse tutorial é fornecido por um jogador※
Solução para computadores que não tem "programas da NVIDIA" instalados 
Para  uma melhor desempenho da placa gráfica da NVIDIA no Windows 10/11, é recomendado se referir as configurações abaixo:</t>
  </si>
  <si>
    <t>※Tutorial ini disediakan oleh pihak resmi※
Menjalankan game dengan kartu grafis khusus akan memberikan Anda frame rate yang lebih tinggi dan pengalaman bermain game yang lebih lancar.
Untuk mengatur game Anda agar berjalan menggunakan kartu grafis khusus, ikuti langkah-langkah berikut:</t>
  </si>
  <si>
    <t>"※Tutorial ini disediakan oleh pemain※
Solusi untuk komputer yang tidak memiliki program NVIDIA bawaan
Untuk performa kartu grafis NVIDIA yang lebih baik di Windows 10/11, disarankan untuk merujuk pada pengaturan ini."</t>
  </si>
  <si>
    <t>1-右鍵點擊桌面，選擇「NVIDIA 控制面板」（如果你使用的是 AMD 顯卡，選擇 「AMD Radeon 設置」）。</t>
  </si>
  <si>
    <t>1 - 在google上搜尋 NVIDIA APP安裝，並啟動 NVIDIA 應用程式。</t>
  </si>
  <si>
    <t>1-デスクトップを右クリックして、「NVIDIAコントロールパネル」（またはAMDの場合は「AMD Radeon設定」）を選択します。</t>
  </si>
  <si>
    <t>1 - Right-click on your desktop and select "NVIDIA Control Panel" (or "AMD Radeon Settings" if you're using an AMD card).</t>
  </si>
  <si>
    <t>1 - Search for "NVIDIA APP install" on Google and launch the NVIDIA application.</t>
  </si>
  <si>
    <t>1-右键点击桌面，选择“NVIDIA控制面板”（如果你使用的是AMD显卡，选择“AMD Radeon设置”）。</t>
  </si>
  <si>
    <t>1 - Klicke mit der rechten Maustaste auf deinen Desktop und wähle „NVIDIA Systemsteuerung“ (oder „AMD Radeon Einstellungen“, wenn du eine AMD-Grafikkarte verwendest).</t>
  </si>
  <si>
    <t>1 - Suche nach „NVIDIA APP" auf Google und starte die Anwendung.</t>
  </si>
  <si>
    <t>1 - Nhấp chuột phải vào màn hình nền và chọn "NVIDIA Control Panel" (hoặc "AMD Radeon Settings" nếu bạn đang sử dụng card AMD).</t>
  </si>
  <si>
    <t>1 - Tìm kiếm NVIDIA APP trên Google và khởi chạy ứng dụng NVIDIA.</t>
  </si>
  <si>
    <t>1 - Clique com o botão direito na tela inicial e selecione "NVIDIA Control Panel(Painel de controle)" (ou "AMD Radeon Settings" se você estiver usando uma placa AMD).</t>
  </si>
  <si>
    <t>1 - Pesquise por "NVIDIA APP install" no google e inicialize o aplicativo da NVIDIA</t>
  </si>
  <si>
    <t>1 - Klik kanan pada desktop Anda dan pilih "Panel Kontrol NVIDIA" (atau "Pengaturan AMD Radeon" jika Anda menggunakan kartu AMD).</t>
  </si>
  <si>
    <t>1 - Cari "instal aplikasi NVIDIA" di Google dan luncurkan aplikasi NVIDIA.</t>
  </si>
  <si>
    <t>2-在 NVIDIA 控制面板 中，點擊左側的 「管理 3D 設置」（對於 AMD，找到類似的選項，如 「圖形」 或 「性能」）。</t>
  </si>
  <si>
    <t>2 - 在更新至最新版本後重新啟動 NVIDIA 應用程式。</t>
  </si>
  <si>
    <t>2-NVIDIAコントロールパネルで、左側のメニューから「3D設定の管理」をクリックします（AMDの場合は「グラフィックス」や「パフォーマンス」に似た設定を探します）。</t>
  </si>
  <si>
    <t>2 - In the NVIDIA Control Panel, go to "Manage 3D Settings" (for AMD, look for similar settings under "Graphics" or "Performance").</t>
  </si>
  <si>
    <t>2 - Restart the NVIDIA application after updating to the latest version.</t>
  </si>
  <si>
    <t>2-在NVIDIA控制面板中，点击左侧的“管理3D设置”（对于AMD，找到类似的选项，如“图形”或“性能”）。</t>
  </si>
  <si>
    <t>2 - Gehe in der NVIDIA Systemsteuerung zu „3D-Einstellungen verwalten" (bei AMD suche nach ähnlichen Einstellungen unter „Grafik“ oder „Leistung").</t>
  </si>
  <si>
    <t>2 - Starte die NVIDIA-Anwendung neu, nachdem du sie auf die neueste Version aktualisiert hast.</t>
  </si>
  <si>
    <t>2 - Trong Bảng điều khiển NVIDIA, hãy vào "Quản lý cài đặt 3D" (đối với AMD, hãy tìm các cài đặt tương tự trong mục "Đồ họa" hoặc "Hiệu suất").</t>
  </si>
  <si>
    <t>2 - Khởi động lại ứng dụng NVIDIA sau khi cập nhật lên phiên bản mới nhất.</t>
  </si>
  <si>
    <t>2 - No NVIDIA Control Panel, Vá para "Manage 3D Settings" (Para AMD, procure por configurações similares com "Graphics" or "Performance").</t>
  </si>
  <si>
    <t>2 - Reinicialize a aplicação da NVIDIA depois de atualizar para a última versão</t>
  </si>
  <si>
    <t>2 - Di Panel Kontrol NVIDIA, buka "Kelola Pengaturan 3D" (untuk AMD, cari pengaturan serupa di bawah "Grafis" atau "Performa").</t>
  </si>
  <si>
    <t>2 - Mulai ulang aplikasi NVIDIA setelah memperbarui ke versi terbaru.</t>
  </si>
  <si>
    <t>3-切換到 「程序設置」 選項卡。</t>
  </si>
  <si>
    <t>3 - 在NVIDIA應用程式中，進入圖形設置區域。</t>
  </si>
  <si>
    <t>3-「プログラム設定」タブに移動します。</t>
  </si>
  <si>
    <t>3 - Click on the "Program Settings" tab.</t>
  </si>
  <si>
    <t>3 - In the NVIDIA application, go to the graphics settings area.</t>
  </si>
  <si>
    <t>3-切换到“程序设置”选项卡。</t>
  </si>
  <si>
    <t>3 - Klicke auf den Reiter „Programmeinstellungen“.</t>
  </si>
  <si>
    <t>3 - Gehe in der NVIDIA-App zum Bereich „Grafikeinstellungen".</t>
  </si>
  <si>
    <t>3 - Nhấp vào tab "Cài đặt chương trình".</t>
  </si>
  <si>
    <t>3 - Trong ứng dụng NVIDIA, hãy vào Cài đặt đồ họa.</t>
  </si>
  <si>
    <t>3 - clique na aba "Program Settings"(configuração do programa).</t>
  </si>
  <si>
    <t>3 - Na aplicação da NVIDIA, vá para a área de configuração gráfica</t>
  </si>
  <si>
    <t>3 - Klik pada tab "Pengaturan Program".</t>
  </si>
  <si>
    <t>3 - Di aplikasi NVIDIA, masuk ke area pengaturan grafis.</t>
  </si>
  <si>
    <t>4-添加你的遊戲到列表中，或者點擊 「瀏覽」，找到遊戲的可執行文件。</t>
  </si>
  <si>
    <t>4 - 在「程式設定」中點擊三個點，選擇「新增程式」，然後尋找遊戲的執行檔。</t>
  </si>
  <si>
    <t>4-ゲームをリストから追加するか、「参照」をクリックしてゲームの実行ファイルを指定します。</t>
  </si>
  <si>
    <t>4-Add your game from the list of installed programs, or click "Browse" to locate the game's executable file.</t>
  </si>
  <si>
    <t>4 - In "Program Settings", click the three dots, select "Add Program", and then find the game's executable file.</t>
  </si>
  <si>
    <t>4-添加你的游戏到列表中，或者点击“浏览”，找到游戏的可执行文件。</t>
  </si>
  <si>
    <t>4 - Füge dein Spiel aus der Liste der installierten Programme hinzu oder klicke auf „Durchsuchen“, um die ausführbare Datei des Spiels zu finden.</t>
  </si>
  <si>
    <t>4- Unter „Programmeinstellungen“ klicke auf die drei Punkte, wähle „Programm hinzufügen“, und suche die ausführbare Datei (EXE) des Spiels.</t>
  </si>
  <si>
    <t>4 - Thêm trò chơi của bạn từ danh sách các chương trình đã cài đặt hoặc nhấp vào "Duyệt" để tìm tệp chạy của trò chơi.</t>
  </si>
  <si>
    <t>4 - Trong "Cài đặt chương trình", nhấp vào ba dấu chấm, chọn "Thêm chương trình", sau đó tìm tệp chạy của trò chơi.</t>
  </si>
  <si>
    <t>4-Adicione o jogo da lsita de programas instaados, ou clicar em "Browse" para localizar o aquivo do executável do jogo.</t>
  </si>
  <si>
    <t>4- Na "COnfiguração de Programa", clique nos três pontos e selecione "Adicionar Programa", e procure a pasta do executável do jogo</t>
  </si>
  <si>
    <t>4. Tambahkan game Anda dari daftar program yang terinstal, atau klik "Telusuri" untuk menemukan file eksekusi game tersebut.</t>
  </si>
  <si>
    <t>4 - Di "Pengaturan Program", klik tiga titik, pilih "Tambah Program", lalu cari file eksekusi gim tersebut.</t>
  </si>
  <si>
    <t>5-在 「選擇首選的圖形處理器」 下，選擇 「高性能 NVIDIA 處理器」（對於 AMD，選擇 「高性能」）。</t>
  </si>
  <si>
    <t>5 - 將「低延遲模式」設為「超高」，電源管理模式設為「最佳電源」。</t>
  </si>
  <si>
    <t>5-「優先するグラフィックスプロセッサ」で「高パフォーマンスNVIDIAプロセッサ」を選択します（AMDの場合は「高パフォーマンス」を選びます）。</t>
  </si>
  <si>
    <t>5 - Under "Select the preferred graphics processor", choose "High-performance NVIDIA processor" (for AMD, choose "High-performance" as well).</t>
  </si>
  <si>
    <t>5 - Set "Low Latency Mode" to "Ultra High" and "Power Management Mode" to "Optimal Power".</t>
  </si>
  <si>
    <t>5-在“选择首选的图形处理器”下，选择“高性能NVIDIA处理器”（对于AMD，选择“高性能”）。</t>
  </si>
  <si>
    <t>5 - Unter „Bevorzugten Grafikprozessor auswählen“ wähle „Hochleistungs-NVIDIA-Prozessor“ (bei AMD ebenfalls „Hochleistung“ wählen).</t>
  </si>
  <si>
    <t>5 - Gehe auf „Latenzmodus" und stelle es auf „Ultra" ein - den Energieverwaltungsmodus auf „Max Leistung".</t>
  </si>
  <si>
    <t>5 - Trong mục "Chọn bộ xử lý đồ họa ưa thích", hãy chọn "Bộ xử lý NVIDIA hiệu suất cao" (đối với AMD, hãy chọn "Hiệu suất cao").</t>
  </si>
  <si>
    <t>5 - Đặt "Chế độ độ trễ thấp" thành "Siêu cao" và chế độ quản lý nguồn thành "Công suất tối ưu".</t>
  </si>
  <si>
    <t>5 - abaixo "Select the preferred graphics processor", Escolha "High-performance NVIDIA processor" (Para AMD, escolha "High-performance" igualmente).</t>
  </si>
  <si>
    <t>5 - configure "Baixo Modo de Latência" para "Ultra Alto" e "Modo de Gerenciamento de Energia" para "Energia Ótima"</t>
  </si>
  <si>
    <t>5 - Di bawah "Pilih prosesor grafis pilihan", pilih "Prosesor NVIDIA berkinerja tinggi" (untuk AMD, pilih juga "Berkinerja tinggi").</t>
  </si>
  <si>
    <t>5 - Atur "Mode Latensi Rendah" ke "Ultra Tinggi" dan "Mode Manajemen Daya" ke "Daya Optimal".</t>
  </si>
  <si>
    <t>6-點擊 「應用」 保存更改。</t>
  </si>
  <si>
    <t>6- 將「垂直同步」設為「快速」。</t>
  </si>
  <si>
    <t>6-「適用」をクリックして設定を保存します。</t>
  </si>
  <si>
    <t>6 - Click "Apply" to save the changes.</t>
  </si>
  <si>
    <t>6- Set "Vertical Sync" to "Fast".</t>
  </si>
  <si>
    <t>6-点击“应用”保存更改。</t>
  </si>
  <si>
    <t>6 - Klicke auf „Übernehmen“, um die Änderungen zu speichern.</t>
  </si>
  <si>
    <t>6 - Wenn du Probleme mit einer dieser Optionen hast, lass sie weg</t>
  </si>
  <si>
    <t>6 - Nhấp vào "Áp dụng" để lưu các thay đổi.</t>
  </si>
  <si>
    <t>6- Đặt "Vertical Sync" (VSync) thành "Nhanh".</t>
  </si>
  <si>
    <t>6 - Clique em "Apply/Aplicar" para salvar as mudanças.</t>
  </si>
  <si>
    <t>6 - configure "Sync Vertical" para "Rápido"..</t>
  </si>
  <si>
    <t>6 - Klik "Terapkan" untuk menyimpan perubahan.</t>
  </si>
  <si>
    <t>6. Atur "Sinkronisasi Vertikal" ke "Cepat".</t>
  </si>
  <si>
    <t>7-現在，遊戲將使用獨立顯卡啟動。</t>
  </si>
  <si>
    <t>7 - 如果你的電腦無法負荷這些選項，請依照最佳的選項即可。</t>
  </si>
  <si>
    <t>7-これで、ゲームは専用のグラフィックカードで起動されます。</t>
  </si>
  <si>
    <t>7 - Now your game should run using the dedicated graphics card!</t>
  </si>
  <si>
    <t>7 - If your computer cannot handle these options, please choose the best option.</t>
  </si>
  <si>
    <t>7-现在，游戏将使用独立显卡启动。</t>
  </si>
  <si>
    <t>7 - Jetzt sollte dein Spiel mit der dedizierten Grafikkarte ausgeführt werden!</t>
  </si>
  <si>
    <t>7 - Wenn dein Computer diese Optionen nicht bewältigen kann, wähle stattdessen die für dein System am besten geeigneten Einstellungen.</t>
  </si>
  <si>
    <t>7 - Bây giờ trò chơi của bạn có thể chạy bằng card đồ họa chuyên dụng!</t>
  </si>
  <si>
    <t>7 - Nếu máy tính của bạn không xử lý được các tùy chọn này, vui lòng chọn lựa chọn tốt nhất.</t>
  </si>
  <si>
    <t>7 - Agora é esperado que você consiga usar a placa dedicada!</t>
  </si>
  <si>
    <t>7 - Se o seu computador não puder suportar essas opções, por favor escolha as melhores opções</t>
  </si>
  <si>
    <t>7 - Sekarang game Anda seharusnya dapat berjalan menggunakan kartu grafis khusus!</t>
  </si>
  <si>
    <t>7 - Jika komputer Anda tidak dapat menangani opsi-opsi ini, silakan pilih opsi terbaik.</t>
  </si>
  <si>
    <t>8 - 更新顯示卡驅動程式，或如果你有一般問題，請查詢是否最新的驅動程式更新造成了問題。</t>
  </si>
  <si>
    <t>8- 現在，將遊戲啟動，你能體驗到良好的穩定性能。</t>
  </si>
  <si>
    <t>8 - グラフィックカードドライバを更新するか、一般的に問題が発生している場合は、最新のドライバアップデートが問題を引き起こしていないか確認してください。</t>
  </si>
  <si>
    <t>8 - Update your graphics driver, or if you are having general issues, check whether the latest driver update has caused problems.</t>
  </si>
  <si>
    <t>8- Now, launch the game and you will experience its excellent stability.</t>
  </si>
  <si>
    <t>8 - 更新你的显卡驱动程序；如果遇到通用问题，请检查最新驱动更新是否引起了问题。</t>
  </si>
  <si>
    <t>8 - Aktualisiere deinen Grafiktreiber oder überprüfe bei allgemeinen Problemen, ob das neueste Treiber-Update Schwierigkeiten verursacht hat</t>
  </si>
  <si>
    <t>8 - Starte das Spiel, und du solltest eine gute und stabile Leistung erleben.</t>
  </si>
  <si>
    <t>8 - Cập nhật trình điều khiển đồ họa hoặc nếu bạn gặp sự cố chung, hãy kiểm tra xem bản cập nhật trình điều khiển mới nhất có gây ra sự cố không.</t>
  </si>
  <si>
    <t>8- Bây giờ, hãy khởi chạy trò chơi và bạn sẽ thấy hiệu suất tốt và ổn định.</t>
  </si>
  <si>
    <t>8 - Agora, execute o jogo e você irá esperienciar uma estabilidade excelente.</t>
  </si>
  <si>
    <t>8 - Perbarui driver grafis Anda, atau jika Anda mengalami masalah umum, periksa apakah pembaruan driver terbaru telah menyebabkan masalah.</t>
  </si>
  <si>
    <t>8. Sekarang, luncurkan gimnya dan Anda akan merasakan stabilitasnya yang luar biasa.</t>
  </si>
  <si>
    <t>參考影片：youtube</t>
  </si>
  <si>
    <t>参考動画：YouTube</t>
  </si>
  <si>
    <t>参考影片：youtube</t>
  </si>
  <si>
    <t>Vídeo de Referência: youtube</t>
  </si>
</sst>
</file>

<file path=xl/styles.xml><?xml version="1.0" encoding="utf-8"?>
<styleSheet xmlns="http://schemas.openxmlformats.org/spreadsheetml/2006/main" xmlns:x14ac="http://schemas.microsoft.com/office/spreadsheetml/2009/9/ac" xmlns:mc="http://schemas.openxmlformats.org/markup-compatibility/2006">
  <fonts count="87">
    <font>
      <sz val="10.0"/>
      <color rgb="FF000000"/>
      <name val="Arial"/>
      <scheme val="minor"/>
    </font>
    <font>
      <b/>
      <sz val="12.0"/>
      <color theme="1"/>
      <name val="Microsoft JhengHei"/>
    </font>
    <font>
      <b/>
      <sz val="10.0"/>
      <color theme="1"/>
      <name val="Microsoft JhengHei"/>
    </font>
    <font>
      <sz val="12.0"/>
      <color theme="1"/>
      <name val="Microsoft JhengHei"/>
    </font>
    <font>
      <sz val="12.0"/>
      <color theme="1"/>
      <name val="Arial"/>
    </font>
    <font>
      <color theme="1"/>
      <name val="Arial"/>
      <scheme val="minor"/>
    </font>
    <font>
      <sz val="11.0"/>
      <color theme="1"/>
      <name val="Microsoft JhengHei"/>
    </font>
    <font>
      <color theme="1"/>
      <name val="Microsoft JhengHei"/>
    </font>
    <font>
      <b/>
      <sz val="13.0"/>
      <color rgb="FFFF0000"/>
      <name val="Microsoft JhengHei"/>
    </font>
    <font>
      <b/>
      <sz val="10.0"/>
      <color rgb="FFFF0000"/>
      <name val="Microsoft JhengHei"/>
    </font>
    <font>
      <b/>
      <sz val="13.0"/>
      <color rgb="FF000000"/>
      <name val="Microsoft JhengHei"/>
    </font>
    <font>
      <sz val="10.0"/>
      <color theme="1"/>
      <name val="Microsoft JhengHei"/>
    </font>
    <font>
      <b/>
      <sz val="10.0"/>
      <color rgb="FFFF0000"/>
      <name val="Arial"/>
      <scheme val="minor"/>
    </font>
    <font>
      <b/>
      <sz val="12.0"/>
      <color rgb="FF000000"/>
      <name val="Microsoft JhengHei"/>
    </font>
    <font>
      <b/>
      <sz val="12.0"/>
      <color rgb="FF0000FF"/>
      <name val="Microsoft JhengHei"/>
    </font>
    <font>
      <b/>
      <sz val="11.0"/>
      <color rgb="FF0000FF"/>
      <name val="Microsoft JhengHei"/>
    </font>
    <font>
      <b/>
      <u/>
      <sz val="12.0"/>
      <color rgb="FF0000FF"/>
      <name val="Microsoft JhengHei"/>
    </font>
    <font>
      <sz val="11.0"/>
      <color rgb="FF0000FF"/>
      <name val="Microsoft JhengHei"/>
    </font>
    <font>
      <b/>
      <sz val="11.0"/>
      <color rgb="FF0000FF"/>
    </font>
    <font>
      <b/>
      <u/>
      <sz val="11.0"/>
      <color rgb="FF0000FF"/>
      <name val="Microsoft JhengHei"/>
    </font>
    <font>
      <b/>
      <sz val="13.0"/>
      <color theme="1"/>
      <name val="Microsoft JhengHei"/>
    </font>
    <font>
      <b/>
      <sz val="11.0"/>
      <color theme="1"/>
      <name val="Arial"/>
    </font>
    <font>
      <b/>
      <sz val="10.0"/>
      <color theme="1"/>
      <name val="Arial"/>
      <scheme val="minor"/>
    </font>
    <font>
      <b/>
      <u/>
      <sz val="12.0"/>
      <color rgb="FF0000FF"/>
      <name val="Microsoft JhengHei"/>
    </font>
    <font>
      <u/>
      <sz val="12.0"/>
      <color rgb="FF0000FF"/>
      <name val="Microsoft JhengHei"/>
    </font>
    <font>
      <u/>
      <sz val="12.0"/>
      <color rgb="FF0000FF"/>
    </font>
    <font>
      <u/>
      <sz val="11.0"/>
      <color rgb="FF0000FF"/>
    </font>
    <font>
      <u/>
      <sz val="11.0"/>
      <color rgb="FF0000FF"/>
      <name val="Microsoft JhengHei"/>
    </font>
    <font>
      <b/>
      <u/>
      <sz val="12.0"/>
      <color rgb="FF0000FF"/>
      <name val="Microsoft JhengHei"/>
    </font>
    <font>
      <sz val="10.0"/>
      <color rgb="FF0000FF"/>
      <name val="Microsoft JhengHei"/>
    </font>
    <font>
      <b/>
      <sz val="10.0"/>
      <color rgb="FF0000FF"/>
      <name val="Microsoft JhengHei"/>
    </font>
    <font>
      <u/>
      <sz val="11.0"/>
      <color rgb="FF0000FF"/>
      <name val="Arial"/>
    </font>
    <font>
      <u/>
      <sz val="12.0"/>
      <color rgb="FF0000FF"/>
      <name val="Microsoft JhengHei"/>
    </font>
    <font>
      <u/>
      <sz val="12.0"/>
      <color rgb="FF0000FF"/>
      <name val="Arial"/>
    </font>
    <font>
      <b/>
      <u/>
      <sz val="12.0"/>
      <color rgb="FF0000FF"/>
      <name val="Microsoft JhengHei"/>
    </font>
    <font>
      <sz val="12.0"/>
      <color rgb="FF0000FF"/>
      <name val="Microsoft JhengHei"/>
    </font>
    <font>
      <b/>
      <u/>
      <sz val="11.0"/>
      <color rgb="FF0000FF"/>
      <name val="Microsoft JhengHei"/>
    </font>
    <font>
      <b/>
      <sz val="11.0"/>
      <color theme="1"/>
      <name val="Microsoft JhengHei"/>
    </font>
    <font>
      <u/>
      <sz val="12.0"/>
      <color rgb="FF0000FF"/>
      <name val="Arial"/>
    </font>
    <font>
      <b/>
      <sz val="12.0"/>
      <color rgb="FFCC0000"/>
      <name val="Microsoft JhengHei"/>
    </font>
    <font>
      <sz val="12.0"/>
      <color theme="1"/>
      <name val="Arial"/>
      <scheme val="minor"/>
    </font>
    <font>
      <u/>
      <sz val="11.0"/>
      <color rgb="FF0000FF"/>
    </font>
    <font>
      <b/>
      <sz val="12.0"/>
      <color rgb="FFFF0000"/>
      <name val="Microsoft JhengHei"/>
    </font>
    <font>
      <b/>
      <sz val="14.0"/>
      <color theme="1"/>
      <name val="Microsoft JhengHei"/>
    </font>
    <font>
      <b/>
      <sz val="12.0"/>
      <color theme="1"/>
      <name val="Arial"/>
      <scheme val="minor"/>
    </font>
    <font>
      <color theme="1"/>
      <name val="Arial"/>
    </font>
    <font>
      <u/>
      <sz val="12.0"/>
      <color rgb="FF0000FF"/>
      <name val="Microsoft JhengHei"/>
    </font>
    <font>
      <sz val="12.0"/>
      <color rgb="FF000000"/>
      <name val="Microsoft JhengHei"/>
    </font>
    <font>
      <u/>
      <color rgb="FF0000FF"/>
      <name val="Arial"/>
    </font>
    <font>
      <b/>
      <color theme="1"/>
      <name val="Arial"/>
      <scheme val="minor"/>
    </font>
    <font>
      <b/>
      <color theme="1"/>
      <name val="Microsoft JhengHei"/>
    </font>
    <font>
      <color rgb="FF000000"/>
      <name val="&quot;Microsoft JhengHei&quot;"/>
    </font>
    <font>
      <b/>
      <color theme="1"/>
      <name val="Arial"/>
    </font>
    <font>
      <sz val="9.0"/>
      <color theme="1"/>
      <name val="Google Sans Mono"/>
    </font>
    <font>
      <sz val="11.0"/>
      <color theme="1"/>
      <name val="Arial"/>
      <scheme val="minor"/>
    </font>
    <font>
      <sz val="10.0"/>
      <color theme="1"/>
      <name val="Arial"/>
      <scheme val="minor"/>
    </font>
    <font>
      <sz val="21.0"/>
      <color rgb="FF1F1F1F"/>
      <name val="Inherit"/>
    </font>
    <font>
      <sz val="10.0"/>
      <color theme="1"/>
      <name val="Arial"/>
    </font>
    <font>
      <i/>
      <color theme="1"/>
      <name val="Microsoft JhengHei"/>
    </font>
    <font>
      <color rgb="FF000000"/>
      <name val="Microsoft JhengHei"/>
    </font>
    <font>
      <b/>
      <u/>
      <sz val="14.0"/>
      <color rgb="FF0000FF"/>
      <name val="Microsoft JhengHei"/>
    </font>
    <font/>
    <font>
      <b/>
      <sz val="8.0"/>
      <color theme="1"/>
      <name val="Microsoft JhengHei"/>
    </font>
    <font>
      <sz val="10.0"/>
      <color rgb="FF000000"/>
      <name val="Microsoft JhengHei"/>
    </font>
    <font>
      <sz val="8.0"/>
      <color theme="1"/>
      <name val="Microsoft JhengHei"/>
    </font>
    <font>
      <sz val="14.0"/>
      <color theme="1"/>
      <name val="Microsoft JhengHei"/>
    </font>
    <font>
      <b/>
      <sz val="14.0"/>
      <color theme="1"/>
      <name val="Arial"/>
      <scheme val="minor"/>
    </font>
    <font>
      <sz val="11.0"/>
      <color theme="1"/>
      <name val="Arial"/>
    </font>
    <font>
      <strike/>
      <color theme="1"/>
      <name val="Microsoft JhengHei"/>
    </font>
    <font>
      <b/>
      <sz val="14.0"/>
      <color theme="1"/>
      <name val="Arial"/>
    </font>
    <font>
      <sz val="9.0"/>
      <color theme="1"/>
      <name val="Microsoft JhengHei"/>
    </font>
    <font>
      <b/>
      <sz val="16.0"/>
      <color theme="1"/>
      <name val="Microsoft JhengHei"/>
    </font>
    <font>
      <sz val="16.0"/>
      <color theme="1"/>
      <name val="Microsoft JhengHei"/>
    </font>
    <font>
      <u/>
      <color rgb="FF0000FF"/>
      <name val="Microsoft JhengHei"/>
    </font>
    <font>
      <u/>
      <color rgb="FF0000FF"/>
      <name val="Microsoft JhengHei"/>
    </font>
    <font>
      <u/>
      <color rgb="FF1155CC"/>
      <name val="Arial"/>
    </font>
    <font>
      <u/>
      <color rgb="FF0000FF"/>
      <name val="Microsoft JhengHei"/>
    </font>
    <font>
      <u/>
      <color rgb="FF0000FF"/>
      <name val="Arial"/>
    </font>
    <font>
      <b/>
      <u/>
      <sz val="12.0"/>
      <color rgb="FF1155CC"/>
      <name val="Microsoft JhengHei"/>
    </font>
    <font>
      <u/>
      <sz val="10.0"/>
      <color rgb="FF0000FF"/>
      <name val="Microsoft JhengHei"/>
    </font>
    <font>
      <u/>
      <sz val="10.0"/>
      <color rgb="FF0000FF"/>
      <name val="Microsoft JhengHei"/>
    </font>
    <font>
      <u/>
      <sz val="10.0"/>
      <color rgb="FF0000FF"/>
      <name val="Microsoft JhengHei"/>
    </font>
    <font>
      <u/>
      <sz val="10.0"/>
      <color rgb="FF0000FF"/>
      <name val="Microsoft JhengHei"/>
    </font>
    <font>
      <u/>
      <sz val="10.0"/>
      <color rgb="FF0000FF"/>
      <name val="Microsoft JhengHei"/>
    </font>
    <font>
      <u/>
      <color rgb="FF1155CC"/>
      <name val="Arial"/>
    </font>
    <font>
      <u/>
      <sz val="10.0"/>
      <color rgb="FF0000FF"/>
      <name val="Microsoft JhengHei"/>
    </font>
    <font>
      <b/>
      <u/>
      <color rgb="FF0000FF"/>
      <name val="Microsoft JhengHei"/>
    </font>
  </fonts>
  <fills count="23">
    <fill>
      <patternFill patternType="none"/>
    </fill>
    <fill>
      <patternFill patternType="lightGray"/>
    </fill>
    <fill>
      <patternFill patternType="solid">
        <fgColor rgb="FFFFF2CC"/>
        <bgColor rgb="FFFFF2CC"/>
      </patternFill>
    </fill>
    <fill>
      <patternFill patternType="solid">
        <fgColor rgb="FFE6B8AF"/>
        <bgColor rgb="FFE6B8AF"/>
      </patternFill>
    </fill>
    <fill>
      <patternFill patternType="solid">
        <fgColor rgb="FFD9EAD3"/>
        <bgColor rgb="FFD9EAD3"/>
      </patternFill>
    </fill>
    <fill>
      <patternFill patternType="solid">
        <fgColor rgb="FFFFE599"/>
        <bgColor rgb="FFFFE599"/>
      </patternFill>
    </fill>
    <fill>
      <patternFill patternType="solid">
        <fgColor rgb="FFF6B26B"/>
        <bgColor rgb="FFF6B26B"/>
      </patternFill>
    </fill>
    <fill>
      <patternFill patternType="solid">
        <fgColor rgb="FFB6D7A8"/>
        <bgColor rgb="FFB6D7A8"/>
      </patternFill>
    </fill>
    <fill>
      <patternFill patternType="solid">
        <fgColor rgb="FFEAD1DC"/>
        <bgColor rgb="FFEAD1DC"/>
      </patternFill>
    </fill>
    <fill>
      <patternFill patternType="solid">
        <fgColor rgb="FFF4CCCC"/>
        <bgColor rgb="FFF4CCCC"/>
      </patternFill>
    </fill>
    <fill>
      <patternFill patternType="solid">
        <fgColor rgb="FFCFE2F3"/>
        <bgColor rgb="FFCFE2F3"/>
      </patternFill>
    </fill>
    <fill>
      <patternFill patternType="solid">
        <fgColor rgb="FFFFFFFF"/>
        <bgColor rgb="FFFFFFFF"/>
      </patternFill>
    </fill>
    <fill>
      <patternFill patternType="solid">
        <fgColor rgb="FFF8F9FA"/>
        <bgColor rgb="FFF8F9FA"/>
      </patternFill>
    </fill>
    <fill>
      <patternFill patternType="solid">
        <fgColor rgb="FFB4A7D6"/>
        <bgColor rgb="FFB4A7D6"/>
      </patternFill>
    </fill>
    <fill>
      <patternFill patternType="solid">
        <fgColor rgb="FFD5A6BD"/>
        <bgColor rgb="FFD5A6BD"/>
      </patternFill>
    </fill>
    <fill>
      <patternFill patternType="solid">
        <fgColor rgb="FFA4C2F4"/>
        <bgColor rgb="FFA4C2F4"/>
      </patternFill>
    </fill>
    <fill>
      <patternFill patternType="solid">
        <fgColor rgb="FFEA9999"/>
        <bgColor rgb="FFEA9999"/>
      </patternFill>
    </fill>
    <fill>
      <patternFill patternType="solid">
        <fgColor rgb="FFFCE5CD"/>
        <bgColor rgb="FFFCE5CD"/>
      </patternFill>
    </fill>
    <fill>
      <patternFill patternType="solid">
        <fgColor rgb="FFD0E0E3"/>
        <bgColor rgb="FFD0E0E3"/>
      </patternFill>
    </fill>
    <fill>
      <patternFill patternType="solid">
        <fgColor rgb="FFFCD9CD"/>
        <bgColor rgb="FFFCD9CD"/>
      </patternFill>
    </fill>
    <fill>
      <patternFill patternType="solid">
        <fgColor rgb="FFC9DAF8"/>
        <bgColor rgb="FFC9DAF8"/>
      </patternFill>
    </fill>
    <fill>
      <patternFill patternType="solid">
        <fgColor rgb="FF9FC5E8"/>
        <bgColor rgb="FF9FC5E8"/>
      </patternFill>
    </fill>
    <fill>
      <patternFill patternType="solid">
        <fgColor rgb="FFA2C4C9"/>
        <bgColor rgb="FFA2C4C9"/>
      </patternFill>
    </fill>
  </fills>
  <borders count="14">
    <border/>
    <border>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bottom style="thin">
        <color rgb="FF000000"/>
      </bottom>
    </border>
    <border>
      <right style="thin">
        <color rgb="FF000000"/>
      </right>
      <bottom style="thin">
        <color rgb="FF000000"/>
      </bottom>
    </border>
    <border>
      <left style="thin">
        <color rgb="FF000000"/>
      </lef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614">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1"/>
    </xf>
    <xf borderId="0" fillId="2" fontId="1" numFmtId="0" xfId="0" applyAlignment="1" applyFont="1">
      <alignment horizontal="left" shrinkToFit="0" vertical="center" wrapText="1"/>
    </xf>
    <xf borderId="0" fillId="2" fontId="2" numFmtId="0" xfId="0" applyAlignment="1" applyFont="1">
      <alignment horizontal="left" readingOrder="0" shrinkToFit="0" vertical="center" wrapText="1"/>
    </xf>
    <xf borderId="0" fillId="2" fontId="3" numFmtId="0" xfId="0" applyAlignment="1" applyFont="1">
      <alignment horizontal="left" readingOrder="0" shrinkToFit="0" vertical="center" wrapText="1"/>
    </xf>
    <xf borderId="0" fillId="2" fontId="4" numFmtId="0" xfId="0" applyAlignment="1" applyFont="1">
      <alignment horizontal="left" readingOrder="0" shrinkToFit="0" vertical="center" wrapText="1"/>
    </xf>
    <xf borderId="0" fillId="2" fontId="5" numFmtId="0" xfId="0" applyAlignment="1" applyFont="1">
      <alignment readingOrder="0" shrinkToFit="0" vertical="center" wrapText="1"/>
    </xf>
    <xf borderId="0" fillId="2" fontId="6" numFmtId="0" xfId="0" applyAlignment="1" applyFont="1">
      <alignment horizontal="left" readingOrder="0" shrinkToFit="0" vertical="center" wrapText="1"/>
    </xf>
    <xf borderId="0" fillId="0" fontId="7" numFmtId="0" xfId="0" applyAlignment="1" applyFont="1">
      <alignment horizontal="center" shrinkToFit="0" vertical="center" wrapText="1"/>
    </xf>
    <xf borderId="0" fillId="2" fontId="8" numFmtId="0" xfId="0" applyAlignment="1" applyFont="1">
      <alignment horizontal="left" readingOrder="0" shrinkToFit="0" vertical="center" wrapText="1"/>
    </xf>
    <xf borderId="0" fillId="2" fontId="2" numFmtId="0" xfId="0" applyAlignment="1" applyFont="1">
      <alignment horizontal="left" readingOrder="0" shrinkToFit="0" vertical="center" wrapText="1"/>
    </xf>
    <xf borderId="0" fillId="2" fontId="9" numFmtId="0" xfId="0" applyAlignment="1" applyFont="1">
      <alignment horizontal="left" readingOrder="0" shrinkToFit="0" vertical="center" wrapText="1"/>
    </xf>
    <xf borderId="0" fillId="2" fontId="10" numFmtId="0" xfId="0" applyAlignment="1" applyFont="1">
      <alignment horizontal="left" readingOrder="0" shrinkToFit="0" vertical="center" wrapText="1"/>
    </xf>
    <xf borderId="0" fillId="2" fontId="11" numFmtId="0" xfId="0" applyAlignment="1" applyFont="1">
      <alignment horizontal="left" readingOrder="0" shrinkToFit="0" vertical="center" wrapText="1"/>
    </xf>
    <xf borderId="0" fillId="2" fontId="9" numFmtId="0" xfId="0" applyAlignment="1" applyFont="1">
      <alignment horizontal="left" readingOrder="0" shrinkToFit="0" vertical="center" wrapText="1"/>
    </xf>
    <xf borderId="0" fillId="2" fontId="12" numFmtId="0" xfId="0" applyAlignment="1" applyFont="1">
      <alignment horizontal="left" readingOrder="0" shrinkToFit="0" vertical="center" wrapText="1"/>
    </xf>
    <xf borderId="0" fillId="0" fontId="1" numFmtId="0" xfId="0" applyAlignment="1" applyFont="1">
      <alignment horizontal="left" shrinkToFit="0" vertical="center" wrapText="1"/>
    </xf>
    <xf borderId="0" fillId="3" fontId="13" numFmtId="0" xfId="0" applyAlignment="1" applyFill="1" applyFont="1">
      <alignment horizontal="left" readingOrder="0" shrinkToFit="0" vertical="center" wrapText="1"/>
    </xf>
    <xf borderId="0" fillId="3" fontId="14" numFmtId="0" xfId="0" applyAlignment="1" applyFont="1">
      <alignment horizontal="left" readingOrder="0" shrinkToFit="0" vertical="center" wrapText="1"/>
    </xf>
    <xf borderId="0" fillId="3" fontId="15" numFmtId="0" xfId="0" applyAlignment="1" applyFont="1">
      <alignment horizontal="left" readingOrder="0" shrinkToFit="0" vertical="center" wrapText="1"/>
    </xf>
    <xf borderId="0" fillId="3" fontId="16" numFmtId="0" xfId="0" applyAlignment="1" applyFont="1">
      <alignment horizontal="left" readingOrder="0" shrinkToFit="0" vertical="center" wrapText="1"/>
    </xf>
    <xf borderId="0" fillId="3" fontId="17" numFmtId="0" xfId="0" applyAlignment="1" applyFont="1">
      <alignment horizontal="left" readingOrder="0" shrinkToFit="0" vertical="center" wrapText="1"/>
    </xf>
    <xf borderId="0" fillId="3" fontId="18" numFmtId="0" xfId="0" applyAlignment="1" applyFont="1">
      <alignment horizontal="left" readingOrder="0" shrinkToFit="0" vertical="center" wrapText="1"/>
    </xf>
    <xf borderId="0" fillId="3" fontId="19" numFmtId="0" xfId="0" applyAlignment="1" applyFont="1">
      <alignment horizontal="left" readingOrder="0" shrinkToFit="0" vertical="center" wrapText="1"/>
    </xf>
    <xf borderId="0" fillId="2" fontId="20" numFmtId="0" xfId="0" applyAlignment="1" applyFont="1">
      <alignment horizontal="left" readingOrder="0" shrinkToFit="0" vertical="center" wrapText="1"/>
    </xf>
    <xf borderId="0" fillId="2" fontId="21" numFmtId="0" xfId="0" applyAlignment="1" applyFont="1">
      <alignment horizontal="center" readingOrder="0" shrinkToFit="0" vertical="center" wrapText="1"/>
    </xf>
    <xf borderId="0" fillId="2" fontId="22" numFmtId="0" xfId="0" applyAlignment="1" applyFont="1">
      <alignment horizontal="left" readingOrder="0" shrinkToFit="0" vertical="center" wrapText="1"/>
    </xf>
    <xf borderId="0" fillId="4" fontId="23" numFmtId="0" xfId="0" applyAlignment="1" applyFill="1" applyFont="1">
      <alignment horizontal="left" readingOrder="0" shrinkToFit="0" vertical="center" wrapText="1"/>
    </xf>
    <xf borderId="0" fillId="4" fontId="24" numFmtId="0" xfId="0" applyAlignment="1" applyFont="1">
      <alignment horizontal="left" readingOrder="0" shrinkToFit="0" vertical="center" wrapText="1"/>
    </xf>
    <xf borderId="0" fillId="4" fontId="25" numFmtId="0" xfId="0" applyAlignment="1" applyFont="1">
      <alignment horizontal="left" readingOrder="0" shrinkToFit="0" vertical="center" wrapText="1"/>
    </xf>
    <xf borderId="0" fillId="4" fontId="26" numFmtId="0" xfId="0" applyAlignment="1" applyFont="1">
      <alignment readingOrder="0" shrinkToFit="0" vertical="center" wrapText="1"/>
    </xf>
    <xf borderId="0" fillId="4" fontId="27" numFmtId="0" xfId="0" applyAlignment="1" applyFont="1">
      <alignment horizontal="left" readingOrder="0" shrinkToFit="0" vertical="center" wrapText="1"/>
    </xf>
    <xf borderId="0" fillId="2" fontId="1" numFmtId="0" xfId="0" applyAlignment="1" applyFont="1">
      <alignment horizontal="center" readingOrder="0" shrinkToFit="0" vertical="center" wrapText="1"/>
    </xf>
    <xf borderId="0" fillId="2" fontId="11" numFmtId="0" xfId="0" applyAlignment="1" applyFont="1">
      <alignment horizontal="left" readingOrder="0" shrinkToFit="0" vertical="center" wrapText="1"/>
    </xf>
    <xf borderId="0" fillId="2" fontId="5" numFmtId="0" xfId="0" applyAlignment="1" applyFont="1">
      <alignment vertical="center"/>
    </xf>
    <xf borderId="0" fillId="5" fontId="28" numFmtId="0" xfId="0" applyAlignment="1" applyFill="1" applyFont="1">
      <alignment horizontal="left" readingOrder="0" shrinkToFit="0" vertical="center" wrapText="1"/>
    </xf>
    <xf borderId="0" fillId="5" fontId="14" numFmtId="0" xfId="0" applyAlignment="1" applyFont="1">
      <alignment horizontal="left" readingOrder="0" shrinkToFit="0" vertical="center" wrapText="1"/>
    </xf>
    <xf borderId="0" fillId="5" fontId="29" numFmtId="0" xfId="0" applyAlignment="1" applyFont="1">
      <alignment horizontal="left" readingOrder="0" shrinkToFit="0" vertical="center" wrapText="1"/>
    </xf>
    <xf borderId="0" fillId="5" fontId="30" numFmtId="0" xfId="0" applyAlignment="1" applyFont="1">
      <alignment horizontal="left" readingOrder="0" shrinkToFit="0" vertical="center" wrapText="1"/>
    </xf>
    <xf borderId="0" fillId="5" fontId="31" numFmtId="0" xfId="0" applyAlignment="1" applyFont="1">
      <alignment horizontal="center" readingOrder="0" shrinkToFit="0" vertical="center" wrapText="1"/>
    </xf>
    <xf borderId="0" fillId="5" fontId="17" numFmtId="0" xfId="0" applyAlignment="1" applyFont="1">
      <alignment horizontal="left" readingOrder="0" shrinkToFit="0" vertical="center" wrapText="1"/>
    </xf>
    <xf borderId="0" fillId="5" fontId="32" numFmtId="0" xfId="0" applyAlignment="1" applyFont="1">
      <alignment horizontal="left" readingOrder="0" shrinkToFit="0" vertical="center" wrapText="1"/>
    </xf>
    <xf borderId="0" fillId="5" fontId="33" numFmtId="0" xfId="0" applyAlignment="1" applyFont="1">
      <alignment horizontal="center" readingOrder="0" shrinkToFit="0" vertical="center" wrapText="1"/>
    </xf>
    <xf borderId="0" fillId="6" fontId="34" numFmtId="0" xfId="0" applyAlignment="1" applyFill="1" applyFont="1">
      <alignment horizontal="left" readingOrder="0" shrinkToFit="0" vertical="center" wrapText="1"/>
    </xf>
    <xf borderId="0" fillId="5" fontId="35" numFmtId="0" xfId="0" applyAlignment="1" applyFont="1">
      <alignment horizontal="left" readingOrder="0" shrinkToFit="0" vertical="center" wrapText="1"/>
    </xf>
    <xf borderId="0" fillId="5" fontId="1" numFmtId="0" xfId="0" applyAlignment="1" applyFont="1">
      <alignment horizontal="left" shrinkToFit="0" vertical="center" wrapText="1"/>
    </xf>
    <xf borderId="0" fillId="5" fontId="6" numFmtId="0" xfId="0" applyAlignment="1" applyFont="1">
      <alignment horizontal="left" readingOrder="0" shrinkToFit="0" vertical="center" wrapText="1"/>
    </xf>
    <xf borderId="0" fillId="5" fontId="36" numFmtId="0" xfId="0" applyAlignment="1" applyFont="1">
      <alignment horizontal="left" readingOrder="0" shrinkToFit="0" vertical="center" wrapText="1"/>
    </xf>
    <xf borderId="0" fillId="5" fontId="37" numFmtId="0" xfId="0" applyAlignment="1" applyFont="1">
      <alignment horizontal="left" readingOrder="0" shrinkToFit="0" vertical="center" wrapText="1"/>
    </xf>
    <xf borderId="0" fillId="5" fontId="38" numFmtId="0" xfId="0" applyAlignment="1" applyFont="1">
      <alignment horizontal="left" readingOrder="0" shrinkToFit="0" vertical="center" wrapText="1"/>
    </xf>
    <xf borderId="0" fillId="2" fontId="1" numFmtId="0" xfId="0" applyAlignment="1" applyFont="1">
      <alignment horizontal="left" readingOrder="0" shrinkToFit="0" vertical="center" wrapText="1"/>
    </xf>
    <xf borderId="0" fillId="2" fontId="39" numFmtId="0" xfId="0" applyAlignment="1" applyFont="1">
      <alignment horizontal="left" readingOrder="0" shrinkToFit="0" vertical="center" wrapText="1"/>
    </xf>
    <xf borderId="0" fillId="2" fontId="5" numFmtId="0" xfId="0" applyAlignment="1" applyFont="1">
      <alignment horizontal="center" readingOrder="0" shrinkToFit="0" vertical="center" wrapText="1"/>
    </xf>
    <xf borderId="0" fillId="2" fontId="37" numFmtId="0" xfId="0" applyAlignment="1" applyFont="1">
      <alignment horizontal="left" readingOrder="0" shrinkToFit="0" vertical="center" wrapText="1"/>
    </xf>
    <xf borderId="0" fillId="2" fontId="40" numFmtId="0" xfId="0" applyAlignment="1" applyFont="1">
      <alignment readingOrder="0" shrinkToFit="0" vertical="center" wrapText="1"/>
    </xf>
    <xf borderId="0" fillId="2" fontId="14" numFmtId="0" xfId="0" applyAlignment="1" applyFont="1">
      <alignment horizontal="center" readingOrder="0" shrinkToFit="0" vertical="center" wrapText="1"/>
    </xf>
    <xf borderId="0" fillId="2" fontId="1" numFmtId="0" xfId="0" applyAlignment="1" applyFont="1">
      <alignment horizontal="center" shrinkToFit="0" vertical="center" wrapText="1"/>
    </xf>
    <xf borderId="0" fillId="2" fontId="14" numFmtId="0" xfId="0" applyAlignment="1" applyFont="1">
      <alignment horizontal="left" readingOrder="0" shrinkToFit="0" vertical="center" wrapText="1"/>
    </xf>
    <xf borderId="0" fillId="2" fontId="30" numFmtId="0" xfId="0" applyAlignment="1" applyFont="1">
      <alignment horizontal="center" readingOrder="0" shrinkToFit="0" vertical="center" wrapText="1"/>
    </xf>
    <xf borderId="0" fillId="2" fontId="41" numFmtId="0" xfId="0" applyAlignment="1" applyFont="1">
      <alignment horizontal="center" readingOrder="0" shrinkToFit="0" vertical="center" wrapText="1"/>
    </xf>
    <xf borderId="0" fillId="2" fontId="7" numFmtId="0" xfId="0" applyAlignment="1" applyFont="1">
      <alignment vertical="center"/>
    </xf>
    <xf borderId="0" fillId="2" fontId="1" numFmtId="0" xfId="0" applyAlignment="1" applyFont="1">
      <alignment horizontal="left" readingOrder="0" shrinkToFit="0" vertical="center" wrapText="1"/>
    </xf>
    <xf borderId="0" fillId="2" fontId="42" numFmtId="0" xfId="0" applyAlignment="1" applyFont="1">
      <alignment horizontal="left" readingOrder="0" shrinkToFit="0" vertical="center" wrapText="1"/>
    </xf>
    <xf borderId="0" fillId="2" fontId="5" numFmtId="0" xfId="0" applyAlignment="1" applyFont="1">
      <alignment vertical="center"/>
    </xf>
    <xf borderId="0" fillId="7" fontId="1" numFmtId="0" xfId="0" applyAlignment="1" applyFill="1" applyFont="1">
      <alignment horizontal="center" readingOrder="0" shrinkToFit="0" vertical="center" wrapText="1"/>
    </xf>
    <xf borderId="0" fillId="7" fontId="43" numFmtId="0" xfId="0" applyAlignment="1" applyFont="1">
      <alignment horizontal="center" readingOrder="0" shrinkToFit="0" vertical="center" wrapText="1"/>
    </xf>
    <xf borderId="0" fillId="7" fontId="44" numFmtId="0" xfId="0" applyAlignment="1" applyFont="1">
      <alignment horizontal="center" shrinkToFit="0" vertical="center" wrapText="1"/>
    </xf>
    <xf borderId="0" fillId="7" fontId="1" numFmtId="0" xfId="0" applyAlignment="1" applyFont="1">
      <alignment horizontal="left" readingOrder="0" shrinkToFit="0" vertical="center" wrapText="1"/>
    </xf>
    <xf borderId="0" fillId="7" fontId="44" numFmtId="0" xfId="0" applyAlignment="1" applyFont="1">
      <alignment horizontal="center" readingOrder="0" shrinkToFit="0" vertical="center" wrapText="1"/>
    </xf>
    <xf borderId="0" fillId="2" fontId="3" numFmtId="0" xfId="0" applyAlignment="1" applyFont="1">
      <alignment horizontal="left" readingOrder="0" shrinkToFit="0" vertical="center" wrapText="1"/>
    </xf>
    <xf borderId="0" fillId="0" fontId="7" numFmtId="0" xfId="0" applyAlignment="1" applyFont="1">
      <alignment horizontal="left" shrinkToFit="0" vertical="center" wrapText="1"/>
    </xf>
    <xf borderId="0" fillId="2" fontId="11" numFmtId="0" xfId="0" applyAlignment="1" applyFont="1">
      <alignment horizontal="left" readingOrder="0" shrinkToFit="0" vertical="center" wrapText="1"/>
    </xf>
    <xf borderId="0" fillId="2" fontId="40" numFmtId="0" xfId="0" applyAlignment="1" applyFont="1">
      <alignment horizontal="left" readingOrder="0" shrinkToFit="0" vertical="center" wrapText="1"/>
    </xf>
    <xf borderId="0" fillId="2" fontId="45" numFmtId="0" xfId="0" applyAlignment="1" applyFont="1">
      <alignment horizontal="left" shrinkToFit="0" vertical="center" wrapText="1"/>
    </xf>
    <xf borderId="0" fillId="2" fontId="46" numFmtId="0" xfId="0" applyAlignment="1" applyFont="1">
      <alignment horizontal="left" readingOrder="0" shrinkToFit="0" vertical="center" wrapText="1"/>
    </xf>
    <xf borderId="0" fillId="2" fontId="17" numFmtId="0" xfId="0" applyAlignment="1" applyFont="1">
      <alignment horizontal="left" readingOrder="0" shrinkToFit="0" vertical="center" wrapText="1"/>
    </xf>
    <xf borderId="0" fillId="2" fontId="47" numFmtId="0" xfId="0" applyAlignment="1" applyFont="1">
      <alignment horizontal="left" readingOrder="0" shrinkToFit="0" vertical="center" wrapText="1"/>
    </xf>
    <xf borderId="0" fillId="2" fontId="48" numFmtId="0" xfId="0" applyAlignment="1" applyFont="1">
      <alignment horizontal="left" readingOrder="0" shrinkToFit="0" vertical="center" wrapText="1"/>
    </xf>
    <xf borderId="0" fillId="2" fontId="3" numFmtId="0" xfId="0" applyAlignment="1" applyFont="1">
      <alignment horizontal="left" shrinkToFit="0" vertical="center" wrapText="1"/>
    </xf>
    <xf borderId="0" fillId="2" fontId="7" numFmtId="0" xfId="0" applyAlignment="1" applyFont="1">
      <alignment horizontal="left" readingOrder="0" shrinkToFit="0" vertical="center" wrapText="1"/>
    </xf>
    <xf borderId="0" fillId="2" fontId="1" numFmtId="0" xfId="0" applyAlignment="1" applyFont="1">
      <alignment horizontal="left" shrinkToFit="0" vertical="center" wrapText="1"/>
    </xf>
    <xf borderId="0" fillId="2" fontId="47" numFmtId="0" xfId="0" applyAlignment="1" applyFont="1">
      <alignment horizontal="left" readingOrder="0" shrinkToFit="0" vertical="center" wrapText="1"/>
    </xf>
    <xf borderId="0" fillId="2" fontId="7" numFmtId="0" xfId="0" applyAlignment="1" applyFont="1">
      <alignment horizontal="left" shrinkToFit="0" vertical="center" wrapText="1"/>
    </xf>
    <xf borderId="0" fillId="2" fontId="7" numFmtId="0" xfId="0" applyAlignment="1" applyFont="1">
      <alignment vertical="center"/>
    </xf>
    <xf borderId="0" fillId="2" fontId="40" numFmtId="0" xfId="0" applyAlignment="1" applyFont="1">
      <alignment horizontal="left" shrinkToFit="0" vertical="center" wrapText="1"/>
    </xf>
    <xf borderId="0" fillId="8" fontId="43" numFmtId="0" xfId="0" applyAlignment="1" applyFill="1" applyFont="1">
      <alignment horizontal="center" shrinkToFit="0" vertical="center" wrapText="1"/>
    </xf>
    <xf borderId="0" fillId="9" fontId="43" numFmtId="0" xfId="0" applyAlignment="1" applyFill="1" applyFont="1">
      <alignment horizontal="center" shrinkToFit="0" vertical="center" wrapText="1"/>
    </xf>
    <xf borderId="0" fillId="10" fontId="43" numFmtId="0" xfId="0" applyAlignment="1" applyFill="1" applyFont="1">
      <alignment horizontal="center" shrinkToFit="0" vertical="center" wrapText="1"/>
    </xf>
    <xf borderId="0" fillId="2" fontId="43" numFmtId="0" xfId="0" applyAlignment="1" applyFont="1">
      <alignment horizontal="center" shrinkToFit="0" vertical="center" wrapText="1"/>
    </xf>
    <xf borderId="0" fillId="9" fontId="43" numFmtId="0" xfId="0" applyAlignment="1" applyFont="1">
      <alignment horizontal="center" readingOrder="0" shrinkToFit="0" vertical="center" wrapText="1"/>
    </xf>
    <xf borderId="0" fillId="10" fontId="43" numFmtId="0" xfId="0" applyAlignment="1" applyFont="1">
      <alignment horizontal="center" readingOrder="0" shrinkToFit="0" vertical="center" wrapText="1"/>
    </xf>
    <xf borderId="0" fillId="2" fontId="43" numFmtId="0" xfId="0" applyAlignment="1" applyFont="1">
      <alignment horizontal="center" readingOrder="0" shrinkToFit="0" vertical="center" wrapText="1"/>
    </xf>
    <xf borderId="0" fillId="8" fontId="43" numFmtId="0" xfId="0" applyAlignment="1" applyFont="1">
      <alignment horizontal="center" shrinkToFit="0" vertical="center" wrapText="1"/>
    </xf>
    <xf borderId="0" fillId="9" fontId="43" numFmtId="0" xfId="0" applyAlignment="1" applyFont="1">
      <alignment horizontal="center" shrinkToFit="0" vertical="center" wrapText="1"/>
    </xf>
    <xf borderId="0" fillId="10" fontId="43" numFmtId="0" xfId="0" applyAlignment="1" applyFont="1">
      <alignment horizontal="center" shrinkToFit="0" vertical="center" wrapText="1"/>
    </xf>
    <xf borderId="0" fillId="2" fontId="43" numFmtId="0" xfId="0" applyAlignment="1" applyFont="1">
      <alignment horizontal="center" shrinkToFit="0" vertical="center" wrapText="1"/>
    </xf>
    <xf borderId="0" fillId="9" fontId="43" numFmtId="0" xfId="0" applyAlignment="1" applyFont="1">
      <alignment horizontal="left" readingOrder="0" shrinkToFit="0" vertical="center" wrapText="1"/>
    </xf>
    <xf borderId="0" fillId="8" fontId="40" numFmtId="0" xfId="0" applyAlignment="1" applyFont="1">
      <alignment horizontal="center" shrinkToFit="0" vertical="center" wrapText="1"/>
    </xf>
    <xf borderId="0" fillId="9" fontId="49" numFmtId="0" xfId="0" applyAlignment="1" applyFont="1">
      <alignment horizontal="center" shrinkToFit="0" vertical="center" wrapText="1"/>
    </xf>
    <xf borderId="0" fillId="10" fontId="49" numFmtId="0" xfId="0" applyAlignment="1" applyFont="1">
      <alignment horizontal="center" readingOrder="0" shrinkToFit="0" vertical="center" wrapText="1"/>
    </xf>
    <xf borderId="0" fillId="2" fontId="49" numFmtId="0" xfId="0" applyAlignment="1" applyFont="1">
      <alignment horizontal="center" shrinkToFit="0" vertical="center" wrapText="1"/>
    </xf>
    <xf borderId="0" fillId="8" fontId="43" numFmtId="0" xfId="0" applyAlignment="1" applyFont="1">
      <alignment horizontal="center" readingOrder="0" shrinkToFit="0" vertical="center" wrapText="1"/>
    </xf>
    <xf borderId="0" fillId="11" fontId="7" numFmtId="0" xfId="0" applyAlignment="1" applyFill="1" applyFont="1">
      <alignment horizontal="center" shrinkToFit="0" vertical="center" wrapText="1"/>
    </xf>
    <xf borderId="0" fillId="11" fontId="7" numFmtId="0" xfId="0" applyAlignment="1" applyFont="1">
      <alignment horizontal="left" shrinkToFit="0" vertical="center" wrapText="1"/>
    </xf>
    <xf borderId="0" fillId="11" fontId="7" numFmtId="0" xfId="0" applyAlignment="1" applyFont="1">
      <alignment horizontal="center" shrinkToFit="0" vertical="center" wrapText="1"/>
    </xf>
    <xf borderId="0" fillId="11" fontId="7" numFmtId="0" xfId="0" applyAlignment="1" applyFont="1">
      <alignment horizontal="left" shrinkToFit="0" vertical="center" wrapText="1"/>
    </xf>
    <xf borderId="0" fillId="11" fontId="45" numFmtId="0" xfId="0" applyAlignment="1" applyFont="1">
      <alignment horizontal="center" vertical="center"/>
    </xf>
    <xf borderId="0" fillId="11" fontId="45" numFmtId="0" xfId="0" applyAlignment="1" applyFont="1">
      <alignment vertical="center"/>
    </xf>
    <xf borderId="0" fillId="11" fontId="5" numFmtId="0" xfId="0" applyAlignment="1" applyFont="1">
      <alignment horizontal="left" shrinkToFit="0" vertical="center" wrapText="1"/>
    </xf>
    <xf borderId="0" fillId="11" fontId="5" numFmtId="0" xfId="0" applyAlignment="1" applyFont="1">
      <alignment horizontal="center" shrinkToFit="0" vertical="center" wrapText="1"/>
    </xf>
    <xf borderId="0" fillId="11" fontId="7" numFmtId="0" xfId="0" applyAlignment="1" applyFont="1">
      <alignment shrinkToFit="0" vertical="center" wrapText="1"/>
    </xf>
    <xf borderId="0" fillId="6" fontId="1" numFmtId="0" xfId="0" applyAlignment="1" applyFont="1">
      <alignment horizontal="center" readingOrder="0" shrinkToFit="0" vertical="center" wrapText="1"/>
    </xf>
    <xf borderId="0" fillId="6" fontId="1" numFmtId="0" xfId="0" applyAlignment="1" applyFont="1">
      <alignment horizontal="center" shrinkToFit="0" vertical="center" wrapText="1"/>
    </xf>
    <xf borderId="0" fillId="6" fontId="5" numFmtId="0" xfId="0" applyAlignment="1" applyFont="1">
      <alignment horizontal="center" shrinkToFit="0" vertical="center" wrapText="1"/>
    </xf>
    <xf borderId="0" fillId="6" fontId="44" numFmtId="0" xfId="0" applyAlignment="1" applyFont="1">
      <alignment horizontal="center" shrinkToFit="0" vertical="center" wrapText="1"/>
    </xf>
    <xf borderId="0" fillId="8" fontId="50" numFmtId="0" xfId="0" applyAlignment="1" applyFont="1">
      <alignment horizontal="center" shrinkToFit="0" vertical="center" wrapText="1"/>
    </xf>
    <xf borderId="0" fillId="9" fontId="7" numFmtId="0" xfId="0" applyAlignment="1" applyFont="1">
      <alignment horizontal="left" shrinkToFit="0" vertical="center" wrapText="1"/>
    </xf>
    <xf borderId="0" fillId="10" fontId="7" numFmtId="0" xfId="0" applyAlignment="1" applyFont="1">
      <alignment horizontal="left" shrinkToFit="0" vertical="center" wrapText="1"/>
    </xf>
    <xf borderId="0" fillId="2" fontId="7" numFmtId="0" xfId="0" applyAlignment="1" applyFont="1">
      <alignment horizontal="left" shrinkToFit="0" vertical="center" wrapText="1"/>
    </xf>
    <xf borderId="0" fillId="10" fontId="7" numFmtId="0" xfId="0" applyAlignment="1" applyFont="1">
      <alignment horizontal="left" readingOrder="0" shrinkToFit="0" vertical="center" wrapText="1"/>
    </xf>
    <xf borderId="0" fillId="9" fontId="7" numFmtId="0" xfId="0" applyAlignment="1" applyFont="1">
      <alignment horizontal="left" readingOrder="0" shrinkToFit="0" vertical="center" wrapText="1"/>
    </xf>
    <xf borderId="0" fillId="10" fontId="7" numFmtId="0" xfId="0" applyAlignment="1" applyFont="1">
      <alignment horizontal="left" shrinkToFit="0" vertical="center" wrapText="1"/>
    </xf>
    <xf borderId="0" fillId="9" fontId="3" numFmtId="0" xfId="0" applyAlignment="1" applyFont="1">
      <alignment shrinkToFit="0" vertical="center" wrapText="1"/>
    </xf>
    <xf borderId="0" fillId="10" fontId="3" numFmtId="0" xfId="0" applyAlignment="1" applyFont="1">
      <alignment shrinkToFit="0" vertical="center" wrapText="1"/>
    </xf>
    <xf borderId="0" fillId="2" fontId="3" numFmtId="0" xfId="0" applyAlignment="1" applyFont="1">
      <alignment shrinkToFit="0" vertical="center" wrapText="1"/>
    </xf>
    <xf borderId="0" fillId="8" fontId="49" numFmtId="0" xfId="0" applyAlignment="1" applyFont="1">
      <alignment horizontal="center" shrinkToFit="0" vertical="center" wrapText="1"/>
    </xf>
    <xf borderId="0" fillId="9" fontId="5" numFmtId="0" xfId="0" applyAlignment="1" applyFont="1">
      <alignment horizontal="center" shrinkToFit="0" vertical="center" wrapText="1"/>
    </xf>
    <xf borderId="0" fillId="10" fontId="45" numFmtId="0" xfId="0" applyAlignment="1" applyFont="1">
      <alignment horizontal="left" shrinkToFit="0" vertical="center" wrapText="1"/>
    </xf>
    <xf borderId="0" fillId="9" fontId="7" numFmtId="0" xfId="0" applyAlignment="1" applyFont="1">
      <alignment shrinkToFit="0" vertical="center" wrapText="1"/>
    </xf>
    <xf borderId="0" fillId="10" fontId="7" numFmtId="0" xfId="0" applyAlignment="1" applyFont="1">
      <alignment shrinkToFit="0" vertical="center" wrapText="1"/>
    </xf>
    <xf borderId="0" fillId="2" fontId="7" numFmtId="0" xfId="0" applyAlignment="1" applyFont="1">
      <alignment shrinkToFit="0" vertical="center" wrapText="1"/>
    </xf>
    <xf quotePrefix="1" borderId="0" fillId="2" fontId="7" numFmtId="0" xfId="0" applyAlignment="1" applyFont="1">
      <alignment horizontal="left" readingOrder="0" shrinkToFit="0" vertical="center" wrapText="1"/>
    </xf>
    <xf borderId="0" fillId="9" fontId="7" numFmtId="0" xfId="0" applyAlignment="1" applyFont="1">
      <alignment horizontal="left" shrinkToFit="0" vertical="center" wrapText="1"/>
    </xf>
    <xf borderId="0" fillId="9" fontId="45" numFmtId="0" xfId="0" applyAlignment="1" applyFont="1">
      <alignment horizontal="center" shrinkToFit="0" vertical="center" wrapText="1"/>
    </xf>
    <xf borderId="0" fillId="10" fontId="45" numFmtId="0" xfId="0" applyAlignment="1" applyFont="1">
      <alignment readingOrder="0" shrinkToFit="0" vertical="center" wrapText="1"/>
    </xf>
    <xf borderId="0" fillId="2" fontId="45" numFmtId="0" xfId="0" applyAlignment="1" applyFont="1">
      <alignment shrinkToFit="0" vertical="center" wrapText="1"/>
    </xf>
    <xf borderId="0" fillId="9" fontId="51" numFmtId="0" xfId="0" applyAlignment="1" applyFont="1">
      <alignment horizontal="left" readingOrder="0" shrinkToFit="0" vertical="center" wrapText="1"/>
    </xf>
    <xf borderId="0" fillId="10" fontId="51" numFmtId="0" xfId="0" applyAlignment="1" applyFont="1">
      <alignment horizontal="left" readingOrder="0" shrinkToFit="0" vertical="center" wrapText="1"/>
    </xf>
    <xf borderId="0" fillId="2" fontId="51" numFmtId="0" xfId="0" applyAlignment="1" applyFont="1">
      <alignment horizontal="left" readingOrder="0" shrinkToFit="0" vertical="center" wrapText="1"/>
    </xf>
    <xf borderId="0" fillId="10" fontId="45" numFmtId="0" xfId="0" applyAlignment="1" applyFont="1">
      <alignment shrinkToFit="0" vertical="center" wrapText="1"/>
    </xf>
    <xf borderId="0" fillId="2" fontId="7" numFmtId="0" xfId="0" applyAlignment="1" applyFont="1">
      <alignment readingOrder="0" shrinkToFit="0" vertical="center" wrapText="1"/>
    </xf>
    <xf borderId="0" fillId="10" fontId="7" numFmtId="0" xfId="0" applyAlignment="1" applyFont="1">
      <alignment readingOrder="0" shrinkToFit="0" vertical="center" wrapText="1"/>
    </xf>
    <xf borderId="0" fillId="2" fontId="3" numFmtId="0" xfId="0" applyAlignment="1" applyFont="1">
      <alignment shrinkToFit="0" vertical="center" wrapText="1"/>
    </xf>
    <xf borderId="0" fillId="9" fontId="45" numFmtId="0" xfId="0" applyAlignment="1" applyFont="1">
      <alignment horizontal="left" shrinkToFit="0" vertical="center" wrapText="1"/>
    </xf>
    <xf borderId="0" fillId="10" fontId="45" numFmtId="0" xfId="0" applyAlignment="1" applyFont="1">
      <alignment horizontal="left" readingOrder="0" shrinkToFit="0" vertical="center" wrapText="1"/>
    </xf>
    <xf borderId="0" fillId="10" fontId="5" numFmtId="0" xfId="0" applyAlignment="1" applyFont="1">
      <alignment horizontal="left" shrinkToFit="0" vertical="center" wrapText="1"/>
    </xf>
    <xf borderId="0" fillId="2" fontId="5" numFmtId="0" xfId="0" applyAlignment="1" applyFont="1">
      <alignment horizontal="left" readingOrder="0" shrinkToFit="0" vertical="center" wrapText="1"/>
    </xf>
    <xf borderId="0" fillId="9" fontId="5" numFmtId="0" xfId="0" applyAlignment="1" applyFont="1">
      <alignment horizontal="center" readingOrder="0" shrinkToFit="0" vertical="center" wrapText="1"/>
    </xf>
    <xf borderId="0" fillId="2" fontId="5" numFmtId="0" xfId="0" applyAlignment="1" applyFont="1">
      <alignment horizontal="left" shrinkToFit="0" vertical="center" wrapText="1"/>
    </xf>
    <xf borderId="0" fillId="10" fontId="5" numFmtId="0" xfId="0" applyAlignment="1" applyFont="1">
      <alignment horizontal="left" readingOrder="0" shrinkToFit="0" vertical="center" wrapText="1"/>
    </xf>
    <xf borderId="0" fillId="9" fontId="11" numFmtId="0" xfId="0" applyAlignment="1" applyFont="1">
      <alignment horizontal="left" readingOrder="0" shrinkToFit="0" vertical="center" wrapText="1"/>
    </xf>
    <xf borderId="0" fillId="8" fontId="50" numFmtId="0" xfId="0" applyAlignment="1" applyFont="1">
      <alignment horizontal="left" shrinkToFit="0" vertical="center" wrapText="1"/>
    </xf>
    <xf borderId="0" fillId="8" fontId="45" numFmtId="0" xfId="0" applyAlignment="1" applyFont="1">
      <alignment horizontal="left" shrinkToFit="0" vertical="center" wrapText="1"/>
    </xf>
    <xf borderId="0" fillId="8" fontId="50" numFmtId="0" xfId="0" applyAlignment="1" applyFont="1">
      <alignment horizontal="center" readingOrder="0" shrinkToFit="0" vertical="center" wrapText="1"/>
    </xf>
    <xf borderId="0" fillId="9" fontId="7" numFmtId="0" xfId="0" applyAlignment="1" applyFont="1">
      <alignment shrinkToFit="0" vertical="center" wrapText="1"/>
    </xf>
    <xf borderId="0" fillId="10" fontId="7" numFmtId="0" xfId="0" applyAlignment="1" applyFont="1">
      <alignment shrinkToFit="0" vertical="center" wrapText="1"/>
    </xf>
    <xf borderId="0" fillId="2" fontId="7" numFmtId="0" xfId="0" applyAlignment="1" applyFont="1">
      <alignment shrinkToFit="0" vertical="center" wrapText="1"/>
    </xf>
    <xf borderId="0" fillId="8" fontId="52" numFmtId="0" xfId="0" applyAlignment="1" applyFont="1">
      <alignment horizontal="left" shrinkToFit="0" vertical="center" wrapText="1"/>
    </xf>
    <xf borderId="0" fillId="2" fontId="45" numFmtId="0" xfId="0" applyAlignment="1" applyFont="1">
      <alignment horizontal="left" readingOrder="0" shrinkToFit="0" vertical="center" wrapText="1"/>
    </xf>
    <xf borderId="0" fillId="9" fontId="45" numFmtId="0" xfId="0" applyAlignment="1" applyFont="1">
      <alignment horizontal="left" readingOrder="0" shrinkToFit="0" vertical="center" wrapText="1"/>
    </xf>
    <xf borderId="0" fillId="2" fontId="53" numFmtId="0" xfId="0" applyAlignment="1" applyFont="1">
      <alignment horizontal="left" readingOrder="0" shrinkToFit="0" vertical="center" wrapText="1"/>
    </xf>
    <xf borderId="0" fillId="9" fontId="3" numFmtId="0" xfId="0" applyAlignment="1" applyFont="1">
      <alignment shrinkToFit="0" vertical="center" wrapText="1"/>
    </xf>
    <xf borderId="0" fillId="10" fontId="3" numFmtId="0" xfId="0" applyAlignment="1" applyFont="1">
      <alignment shrinkToFit="0" vertical="center" wrapText="1"/>
    </xf>
    <xf borderId="0" fillId="8" fontId="49" numFmtId="0" xfId="0" applyAlignment="1" applyFont="1">
      <alignment horizontal="center" readingOrder="0" shrinkToFit="0" vertical="center" wrapText="1"/>
    </xf>
    <xf borderId="0" fillId="9" fontId="7" numFmtId="0" xfId="0" applyAlignment="1" applyFont="1">
      <alignment horizontal="center" shrinkToFit="0" vertical="center" wrapText="1"/>
    </xf>
    <xf borderId="0" fillId="10" fontId="7" numFmtId="0" xfId="0" applyAlignment="1" applyFont="1">
      <alignment horizontal="center" shrinkToFit="0" vertical="center" wrapText="1"/>
    </xf>
    <xf borderId="0" fillId="2" fontId="7" numFmtId="0" xfId="0" applyAlignment="1" applyFont="1">
      <alignment horizontal="center" shrinkToFit="0" vertical="center" wrapText="1"/>
    </xf>
    <xf borderId="0" fillId="9" fontId="53" numFmtId="0" xfId="0" applyAlignment="1" applyFont="1">
      <alignment readingOrder="0" shrinkToFit="0" vertical="center" wrapText="1"/>
    </xf>
    <xf borderId="0" fillId="9" fontId="54" numFmtId="0" xfId="0" applyAlignment="1" applyFont="1">
      <alignment horizontal="center" shrinkToFit="0" vertical="center" wrapText="1"/>
    </xf>
    <xf borderId="0" fillId="10" fontId="54" numFmtId="0" xfId="0" applyAlignment="1" applyFont="1">
      <alignment horizontal="center" shrinkToFit="0" vertical="center" wrapText="1"/>
    </xf>
    <xf borderId="0" fillId="2" fontId="54" numFmtId="0" xfId="0" applyAlignment="1" applyFont="1">
      <alignment horizontal="center" readingOrder="0" shrinkToFit="0" vertical="center" wrapText="1"/>
    </xf>
    <xf borderId="0" fillId="9" fontId="7" numFmtId="0" xfId="0" applyAlignment="1" applyFont="1">
      <alignment readingOrder="0" shrinkToFit="0" vertical="center" wrapText="1"/>
    </xf>
    <xf borderId="0" fillId="10" fontId="7" numFmtId="0" xfId="0" applyAlignment="1" applyFont="1">
      <alignment horizontal="center" readingOrder="0" shrinkToFit="0" vertical="center" wrapText="1"/>
    </xf>
    <xf borderId="0" fillId="10" fontId="11" numFmtId="0" xfId="0" applyAlignment="1" applyFont="1">
      <alignment readingOrder="0" shrinkToFit="0" vertical="center" wrapText="1"/>
    </xf>
    <xf borderId="0" fillId="2" fontId="11" numFmtId="0" xfId="0" applyAlignment="1" applyFont="1">
      <alignment readingOrder="0" shrinkToFit="0" vertical="center" wrapText="1"/>
    </xf>
    <xf borderId="0" fillId="10" fontId="5" numFmtId="0" xfId="0" applyAlignment="1" applyFont="1">
      <alignment horizontal="center" readingOrder="0" shrinkToFit="0" vertical="center" wrapText="1"/>
    </xf>
    <xf borderId="0" fillId="9" fontId="7" numFmtId="0" xfId="0" applyAlignment="1" applyFont="1">
      <alignment horizontal="center" readingOrder="0" shrinkToFit="0" vertical="center" wrapText="1"/>
    </xf>
    <xf borderId="0" fillId="2" fontId="7" numFmtId="0" xfId="0" applyAlignment="1" applyFont="1">
      <alignment horizontal="center" readingOrder="0" shrinkToFit="0" vertical="center" wrapText="1"/>
    </xf>
    <xf borderId="0" fillId="2" fontId="11" numFmtId="0" xfId="0" applyAlignment="1" applyFont="1">
      <alignment shrinkToFit="0" vertical="center" wrapText="1"/>
    </xf>
    <xf borderId="0" fillId="10" fontId="5" numFmtId="0" xfId="0" applyAlignment="1" applyFont="1">
      <alignment readingOrder="0" shrinkToFit="0" vertical="center" wrapText="1"/>
    </xf>
    <xf borderId="0" fillId="0" fontId="7" numFmtId="0" xfId="0" applyAlignment="1" applyFont="1">
      <alignment horizontal="center" shrinkToFit="0" vertical="center" wrapText="1"/>
    </xf>
    <xf borderId="0" fillId="0" fontId="7" numFmtId="0" xfId="0" applyAlignment="1" applyFont="1">
      <alignment horizontal="left" shrinkToFit="0" vertical="center" wrapText="1"/>
    </xf>
    <xf borderId="0" fillId="0" fontId="45" numFmtId="0" xfId="0" applyAlignment="1" applyFont="1">
      <alignment horizontal="center" vertical="center"/>
    </xf>
    <xf borderId="0" fillId="0" fontId="45" numFmtId="0" xfId="0" applyAlignment="1" applyFont="1">
      <alignment vertical="center"/>
    </xf>
    <xf borderId="0" fillId="0" fontId="5" numFmtId="0" xfId="0" applyAlignment="1" applyFont="1">
      <alignment horizontal="center" shrinkToFit="0" vertical="center" wrapText="1"/>
    </xf>
    <xf borderId="0" fillId="0" fontId="5" numFmtId="0" xfId="0" applyAlignment="1" applyFont="1">
      <alignment horizontal="left" shrinkToFit="0" vertical="center" wrapText="1"/>
    </xf>
    <xf borderId="0" fillId="0" fontId="7" numFmtId="0" xfId="0" applyAlignment="1" applyFont="1">
      <alignment shrinkToFit="0" vertical="center" wrapText="1"/>
    </xf>
    <xf borderId="0" fillId="6" fontId="1" numFmtId="0" xfId="0" applyAlignment="1" applyFont="1">
      <alignment horizontal="left" readingOrder="0" shrinkToFit="0" vertical="center" wrapText="1"/>
    </xf>
    <xf borderId="0" fillId="6" fontId="44" numFmtId="0" xfId="0" applyAlignment="1" applyFont="1">
      <alignment horizontal="center" readingOrder="0" shrinkToFit="0" vertical="center" wrapText="1"/>
    </xf>
    <xf borderId="0" fillId="2" fontId="54" numFmtId="0" xfId="0" applyAlignment="1" applyFont="1">
      <alignment horizontal="center" shrinkToFit="0" vertical="center" wrapText="1"/>
    </xf>
    <xf borderId="0" fillId="9" fontId="3" numFmtId="0" xfId="0" applyAlignment="1" applyFont="1">
      <alignment readingOrder="0" shrinkToFit="0" vertical="center" wrapText="1"/>
    </xf>
    <xf borderId="0" fillId="10" fontId="3" numFmtId="0" xfId="0" applyAlignment="1" applyFont="1">
      <alignment readingOrder="0" shrinkToFit="0" vertical="center" wrapText="1"/>
    </xf>
    <xf borderId="0" fillId="2" fontId="3" numFmtId="0" xfId="0" applyAlignment="1" applyFont="1">
      <alignment readingOrder="0" shrinkToFit="0" vertical="center" wrapText="1"/>
    </xf>
    <xf borderId="0" fillId="10" fontId="54" numFmtId="0" xfId="0" applyAlignment="1" applyFont="1">
      <alignment horizontal="center" readingOrder="0" shrinkToFit="0" vertical="center" wrapText="1"/>
    </xf>
    <xf borderId="0" fillId="9" fontId="54" numFmtId="0" xfId="0" applyAlignment="1" applyFont="1">
      <alignment horizontal="center" readingOrder="0" shrinkToFit="0" vertical="center" wrapText="1"/>
    </xf>
    <xf borderId="0" fillId="0" fontId="45" numFmtId="0" xfId="0" applyAlignment="1" applyFont="1">
      <alignment vertical="center"/>
    </xf>
    <xf borderId="0" fillId="8" fontId="50" numFmtId="0" xfId="0" applyAlignment="1" applyFont="1">
      <alignment horizontal="center" shrinkToFit="0" vertical="center" wrapText="1"/>
    </xf>
    <xf borderId="0" fillId="8" fontId="49" numFmtId="0" xfId="0" applyAlignment="1" applyFont="1">
      <alignment horizontal="center" shrinkToFit="0" vertical="center" wrapText="1"/>
    </xf>
    <xf borderId="0" fillId="9" fontId="5" numFmtId="0" xfId="0" applyAlignment="1" applyFont="1">
      <alignment horizontal="center" shrinkToFit="0" vertical="center" wrapText="1"/>
    </xf>
    <xf borderId="0" fillId="2" fontId="5" numFmtId="0" xfId="0" applyAlignment="1" applyFont="1">
      <alignment horizontal="left" shrinkToFit="0" vertical="center" wrapText="1"/>
    </xf>
    <xf borderId="0" fillId="0" fontId="45" numFmtId="0" xfId="0" applyAlignment="1" applyFont="1">
      <alignment horizontal="center" vertical="center"/>
    </xf>
    <xf borderId="0" fillId="0" fontId="5" numFmtId="0" xfId="0" applyAlignment="1" applyFont="1">
      <alignment horizontal="left" shrinkToFit="0" vertical="center" wrapText="1"/>
    </xf>
    <xf borderId="0" fillId="0" fontId="5" numFmtId="0" xfId="0" applyAlignment="1" applyFont="1">
      <alignment horizontal="center" shrinkToFit="0" vertical="center" wrapText="1"/>
    </xf>
    <xf borderId="0" fillId="6" fontId="1" numFmtId="0" xfId="0" applyAlignment="1" applyFont="1">
      <alignment horizontal="center" shrinkToFit="0" vertical="center" wrapText="1"/>
    </xf>
    <xf borderId="0" fillId="6" fontId="44" numFmtId="0" xfId="0" applyAlignment="1" applyFont="1">
      <alignment horizontal="center" shrinkToFit="0" vertical="center" wrapText="1"/>
    </xf>
    <xf borderId="0" fillId="10" fontId="5" numFmtId="0" xfId="0" applyAlignment="1" applyFont="1">
      <alignment horizontal="left" shrinkToFit="0" vertical="center" wrapText="1"/>
    </xf>
    <xf borderId="0" fillId="6" fontId="7" numFmtId="0" xfId="0" applyAlignment="1" applyFont="1">
      <alignment shrinkToFit="0" vertical="center" wrapText="1"/>
    </xf>
    <xf borderId="0" fillId="8" fontId="3" numFmtId="0" xfId="0" applyAlignment="1" applyFont="1">
      <alignment horizontal="center" shrinkToFit="0" vertical="center" wrapText="1"/>
    </xf>
    <xf borderId="0" fillId="10" fontId="7" numFmtId="0" xfId="0" applyAlignment="1" applyFont="1">
      <alignment horizontal="center" shrinkToFit="0" vertical="center" wrapText="1"/>
    </xf>
    <xf borderId="0" fillId="9" fontId="7" numFmtId="0" xfId="0" applyAlignment="1" applyFont="1">
      <alignment horizontal="center" shrinkToFit="0" vertical="center" wrapText="1"/>
    </xf>
    <xf borderId="0" fillId="2" fontId="7" numFmtId="0" xfId="0" applyAlignment="1" applyFont="1">
      <alignment horizontal="center" shrinkToFit="0" vertical="center" wrapText="1"/>
    </xf>
    <xf borderId="0" fillId="9" fontId="54" numFmtId="0" xfId="0" applyAlignment="1" applyFont="1">
      <alignment horizontal="center" shrinkToFit="0" vertical="center" wrapText="1"/>
    </xf>
    <xf borderId="0" fillId="2" fontId="54" numFmtId="0" xfId="0" applyAlignment="1" applyFont="1">
      <alignment horizontal="center" shrinkToFit="0" vertical="center" wrapText="1"/>
    </xf>
    <xf borderId="0" fillId="10" fontId="3" numFmtId="0" xfId="0" applyAlignment="1" applyFont="1">
      <alignment horizontal="center" shrinkToFit="0" vertical="center" wrapText="1"/>
    </xf>
    <xf borderId="0" fillId="2" fontId="11" numFmtId="0" xfId="0" applyAlignment="1" applyFont="1">
      <alignment horizontal="center" readingOrder="0" shrinkToFit="0" vertical="center" wrapText="1"/>
    </xf>
    <xf borderId="0" fillId="2" fontId="55" numFmtId="0" xfId="0" applyAlignment="1" applyFont="1">
      <alignment horizontal="center" readingOrder="0" shrinkToFit="0" vertical="center" wrapText="1"/>
    </xf>
    <xf borderId="0" fillId="9" fontId="45" numFmtId="0" xfId="0" applyAlignment="1" applyFont="1">
      <alignment shrinkToFit="0" vertical="center" wrapText="1"/>
    </xf>
    <xf borderId="0" fillId="10" fontId="3" numFmtId="0" xfId="0" applyAlignment="1" applyFont="1">
      <alignment horizontal="center" shrinkToFit="0" vertical="center" wrapText="1"/>
    </xf>
    <xf borderId="0" fillId="2" fontId="3" numFmtId="0" xfId="0" applyAlignment="1" applyFont="1">
      <alignment horizontal="center" shrinkToFit="0" vertical="center" wrapText="1"/>
    </xf>
    <xf borderId="0" fillId="9" fontId="45" numFmtId="0" xfId="0" applyAlignment="1" applyFont="1">
      <alignment horizontal="center" shrinkToFit="0" vertical="center" wrapText="1"/>
    </xf>
    <xf borderId="0" fillId="10" fontId="45" numFmtId="0" xfId="0" applyAlignment="1" applyFont="1">
      <alignment shrinkToFit="0" vertical="center" wrapText="1"/>
    </xf>
    <xf borderId="0" fillId="2" fontId="45" numFmtId="0" xfId="0" applyAlignment="1" applyFont="1">
      <alignment horizontal="center" shrinkToFit="0" vertical="center" wrapText="1"/>
    </xf>
    <xf borderId="0" fillId="2" fontId="45" numFmtId="0" xfId="0" applyAlignment="1" applyFont="1">
      <alignment vertical="center"/>
    </xf>
    <xf borderId="0" fillId="2" fontId="45" numFmtId="0" xfId="0" applyAlignment="1" applyFont="1">
      <alignment horizontal="center" readingOrder="0" shrinkToFit="0" vertical="center" wrapText="1"/>
    </xf>
    <xf borderId="0" fillId="9" fontId="45" numFmtId="0" xfId="0" applyAlignment="1" applyFont="1">
      <alignment horizontal="center" readingOrder="0" vertical="center"/>
    </xf>
    <xf borderId="0" fillId="10" fontId="45" numFmtId="0" xfId="0" applyAlignment="1" applyFont="1">
      <alignment horizontal="center" readingOrder="0" shrinkToFit="0" vertical="center" wrapText="1"/>
    </xf>
    <xf borderId="0" fillId="12" fontId="56" numFmtId="0" xfId="0" applyAlignment="1" applyFill="1" applyFont="1">
      <alignment horizontal="left" readingOrder="0" shrinkToFit="0" wrapText="1"/>
    </xf>
    <xf borderId="0" fillId="0" fontId="7" numFmtId="0" xfId="0" applyAlignment="1" applyFont="1">
      <alignment horizontal="left" readingOrder="0" shrinkToFit="0" vertical="center" wrapText="1"/>
    </xf>
    <xf borderId="0" fillId="13" fontId="5" numFmtId="0" xfId="0" applyAlignment="1" applyFill="1" applyFont="1">
      <alignment horizontal="left" shrinkToFit="0" vertical="center" wrapText="1"/>
    </xf>
    <xf borderId="0" fillId="14" fontId="5" numFmtId="0" xfId="0" applyAlignment="1" applyFill="1" applyFont="1">
      <alignment horizontal="center" shrinkToFit="0" vertical="center" wrapText="1"/>
    </xf>
    <xf borderId="0" fillId="15" fontId="5" numFmtId="0" xfId="0" applyAlignment="1" applyFill="1" applyFont="1">
      <alignment horizontal="left" shrinkToFit="0" vertical="center" wrapText="1"/>
    </xf>
    <xf borderId="0" fillId="13" fontId="7" numFmtId="0" xfId="0" applyAlignment="1" applyFont="1">
      <alignment horizontal="left" shrinkToFit="0" vertical="center" wrapText="1"/>
    </xf>
    <xf borderId="0" fillId="14" fontId="7" numFmtId="0" xfId="0" applyAlignment="1" applyFont="1">
      <alignment horizontal="left" shrinkToFit="0" vertical="center" wrapText="1"/>
    </xf>
    <xf borderId="0" fillId="15" fontId="7" numFmtId="0" xfId="0" applyAlignment="1" applyFont="1">
      <alignment horizontal="left" shrinkToFit="0" vertical="center" wrapText="1"/>
    </xf>
    <xf borderId="0" fillId="8" fontId="7" numFmtId="0" xfId="0" applyAlignment="1" applyFont="1">
      <alignment horizontal="left" shrinkToFit="0" vertical="center" wrapText="1"/>
    </xf>
    <xf borderId="0" fillId="8" fontId="45" numFmtId="0" xfId="0" applyAlignment="1" applyFont="1">
      <alignment horizontal="center" vertical="center"/>
    </xf>
    <xf borderId="0" fillId="0" fontId="11" numFmtId="0" xfId="0" applyAlignment="1" applyFont="1">
      <alignment horizontal="left" shrinkToFit="0" vertical="center" wrapText="1"/>
    </xf>
    <xf borderId="0" fillId="10" fontId="1" numFmtId="0" xfId="0" applyAlignment="1" applyFont="1">
      <alignment horizontal="center" readingOrder="0" shrinkToFit="0" vertical="center" wrapText="1"/>
    </xf>
    <xf borderId="0" fillId="9" fontId="44" numFmtId="0" xfId="0" applyAlignment="1" applyFont="1">
      <alignment horizontal="center" readingOrder="0" shrinkToFit="0" vertical="center" wrapText="1"/>
    </xf>
    <xf borderId="0" fillId="10" fontId="44" numFmtId="0" xfId="0" applyAlignment="1" applyFont="1">
      <alignment horizontal="center" shrinkToFit="0" vertical="center" wrapText="1"/>
    </xf>
    <xf borderId="0" fillId="2" fontId="44" numFmtId="0" xfId="0" applyAlignment="1" applyFont="1">
      <alignment horizontal="center" shrinkToFit="0" vertical="center" wrapText="1"/>
    </xf>
    <xf borderId="0" fillId="6" fontId="1" numFmtId="0" xfId="0" applyAlignment="1" applyFont="1">
      <alignment horizontal="center" shrinkToFit="0" wrapText="1"/>
    </xf>
    <xf borderId="0" fillId="6" fontId="45" numFmtId="0" xfId="0" applyFont="1"/>
    <xf borderId="0" fillId="6" fontId="1" numFmtId="0" xfId="0" applyAlignment="1" applyFont="1">
      <alignment horizontal="center" readingOrder="0" shrinkToFit="0" wrapText="1"/>
    </xf>
    <xf borderId="0" fillId="6" fontId="45" numFmtId="0" xfId="0" applyFont="1"/>
    <xf borderId="0" fillId="6" fontId="1" numFmtId="0" xfId="0" applyAlignment="1" applyFont="1">
      <alignment horizontal="center" readingOrder="0"/>
    </xf>
    <xf borderId="0" fillId="6" fontId="4" numFmtId="0" xfId="0" applyAlignment="1" applyFont="1">
      <alignment horizontal="center" readingOrder="0"/>
    </xf>
    <xf borderId="0" fillId="8" fontId="50" numFmtId="0" xfId="0" applyAlignment="1" applyFont="1">
      <alignment horizontal="left" readingOrder="0" shrinkToFit="0" vertical="center" wrapText="1"/>
    </xf>
    <xf borderId="0" fillId="9" fontId="3" numFmtId="0" xfId="0" applyAlignment="1" applyFont="1">
      <alignment horizontal="left" readingOrder="0" shrinkToFit="0" vertical="center" wrapText="1"/>
    </xf>
    <xf borderId="0" fillId="10" fontId="3" numFmtId="0" xfId="0" applyAlignment="1" applyFont="1">
      <alignment horizontal="left" readingOrder="0" shrinkToFit="0" vertical="center" wrapText="1"/>
    </xf>
    <xf borderId="0" fillId="10" fontId="11" numFmtId="0" xfId="0" applyAlignment="1" applyFont="1">
      <alignment horizontal="left" readingOrder="0" shrinkToFit="0" vertical="center" wrapText="1"/>
    </xf>
    <xf borderId="0" fillId="9" fontId="5" numFmtId="0" xfId="0" applyAlignment="1" applyFont="1">
      <alignment horizontal="left" shrinkToFit="0" vertical="center" wrapText="1"/>
    </xf>
    <xf borderId="0" fillId="9" fontId="5" numFmtId="0" xfId="0" applyAlignment="1" applyFont="1">
      <alignment horizontal="left" readingOrder="0" shrinkToFit="0" vertical="center" wrapText="1"/>
    </xf>
    <xf borderId="0" fillId="16" fontId="7" numFmtId="0" xfId="0" applyAlignment="1" applyFill="1" applyFont="1">
      <alignment horizontal="left" readingOrder="0" shrinkToFit="0" vertical="center" wrapText="1"/>
    </xf>
    <xf borderId="0" fillId="10" fontId="11" numFmtId="0" xfId="0" applyAlignment="1" applyFont="1">
      <alignment horizontal="left" shrinkToFit="0" vertical="center" wrapText="1"/>
    </xf>
    <xf borderId="0" fillId="6" fontId="57" numFmtId="0" xfId="0" applyAlignment="1" applyFont="1">
      <alignment horizontal="center" readingOrder="0"/>
    </xf>
    <xf borderId="0" fillId="9" fontId="3" numFmtId="0" xfId="0" applyAlignment="1" applyFont="1">
      <alignment horizontal="left" shrinkToFit="0" vertical="center" wrapText="1"/>
    </xf>
    <xf borderId="0" fillId="9" fontId="54" numFmtId="0" xfId="0" applyAlignment="1" applyFont="1">
      <alignment horizontal="left" readingOrder="0" shrinkToFit="0" vertical="center" wrapText="1"/>
    </xf>
    <xf borderId="0" fillId="10" fontId="54" numFmtId="0" xfId="0" applyAlignment="1" applyFont="1">
      <alignment horizontal="left" readingOrder="0" shrinkToFit="0" vertical="center" wrapText="1"/>
    </xf>
    <xf borderId="0" fillId="2" fontId="54" numFmtId="0" xfId="0" applyAlignment="1" applyFont="1">
      <alignment horizontal="left" readingOrder="0" shrinkToFit="0" vertical="center" wrapText="1"/>
    </xf>
    <xf borderId="0" fillId="8" fontId="2" numFmtId="0" xfId="0" applyAlignment="1" applyFont="1">
      <alignment horizontal="left" readingOrder="0" shrinkToFit="0" vertical="center" wrapText="1"/>
    </xf>
    <xf borderId="0" fillId="9" fontId="5" numFmtId="0" xfId="0" applyAlignment="1" applyFont="1">
      <alignment horizontal="left" shrinkToFit="0" vertical="center" wrapText="1"/>
    </xf>
    <xf borderId="0" fillId="9" fontId="58" numFmtId="0" xfId="0" applyAlignment="1" applyFont="1">
      <alignment horizontal="left" shrinkToFit="0" vertical="center" wrapText="1"/>
    </xf>
    <xf borderId="0" fillId="10" fontId="3" numFmtId="0" xfId="0" applyAlignment="1" applyFont="1">
      <alignment horizontal="left" shrinkToFit="0" vertical="center" wrapText="1"/>
    </xf>
    <xf borderId="0" fillId="0" fontId="45" numFmtId="0" xfId="0" applyFont="1"/>
    <xf borderId="0" fillId="0" fontId="45" numFmtId="0" xfId="0" applyFont="1"/>
    <xf borderId="0" fillId="0" fontId="4" numFmtId="0" xfId="0" applyFont="1"/>
    <xf borderId="0" fillId="9" fontId="59" numFmtId="0" xfId="0" applyAlignment="1" applyFont="1">
      <alignment horizontal="left" shrinkToFit="0" vertical="center" wrapText="1"/>
    </xf>
    <xf borderId="0" fillId="10" fontId="59" numFmtId="0" xfId="0" applyAlignment="1" applyFont="1">
      <alignment horizontal="left" shrinkToFit="0" vertical="center" wrapText="1"/>
    </xf>
    <xf borderId="0" fillId="2" fontId="59" numFmtId="0" xfId="0" applyAlignment="1" applyFont="1">
      <alignment horizontal="left" shrinkToFit="0" vertical="center" wrapText="1"/>
    </xf>
    <xf borderId="0" fillId="9" fontId="54" numFmtId="0" xfId="0" applyAlignment="1" applyFont="1">
      <alignment horizontal="left" shrinkToFit="0" vertical="center" wrapText="1"/>
    </xf>
    <xf borderId="0" fillId="10" fontId="54" numFmtId="0" xfId="0" applyAlignment="1" applyFont="1">
      <alignment horizontal="left" shrinkToFit="0" vertical="center" wrapText="1"/>
    </xf>
    <xf borderId="0" fillId="2" fontId="54" numFmtId="0" xfId="0" applyAlignment="1" applyFont="1">
      <alignment horizontal="left" shrinkToFit="0" vertical="center" wrapText="1"/>
    </xf>
    <xf borderId="0" fillId="8" fontId="50" numFmtId="0" xfId="0" applyAlignment="1" applyFont="1">
      <alignment shrinkToFit="0" vertical="center" wrapText="1"/>
    </xf>
    <xf borderId="0" fillId="9" fontId="45" numFmtId="0" xfId="0" applyAlignment="1" applyFont="1">
      <alignment readingOrder="0" vertical="center"/>
    </xf>
    <xf borderId="0" fillId="10" fontId="45" numFmtId="0" xfId="0" applyAlignment="1" applyFont="1">
      <alignment readingOrder="0" vertical="center"/>
    </xf>
    <xf borderId="0" fillId="2" fontId="45" numFmtId="0" xfId="0" applyAlignment="1" applyFont="1">
      <alignment readingOrder="0" vertical="center"/>
    </xf>
    <xf borderId="0" fillId="9" fontId="45" numFmtId="0" xfId="0" applyAlignment="1" applyFont="1">
      <alignment vertical="center"/>
    </xf>
    <xf borderId="0" fillId="10" fontId="45" numFmtId="0" xfId="0" applyAlignment="1" applyFont="1">
      <alignment vertical="center"/>
    </xf>
    <xf borderId="0" fillId="2" fontId="45" numFmtId="0" xfId="0" applyAlignment="1" applyFont="1">
      <alignment vertical="center"/>
    </xf>
    <xf borderId="0" fillId="9" fontId="45" numFmtId="0" xfId="0" applyAlignment="1" applyFont="1">
      <alignment vertical="center"/>
    </xf>
    <xf borderId="0" fillId="10" fontId="45" numFmtId="0" xfId="0" applyAlignment="1" applyFont="1">
      <alignment vertical="center"/>
    </xf>
    <xf borderId="0" fillId="9" fontId="3" numFmtId="0" xfId="0" applyAlignment="1" applyFont="1">
      <alignment vertical="center"/>
    </xf>
    <xf borderId="0" fillId="2" fontId="3" numFmtId="0" xfId="0" applyAlignment="1" applyFont="1">
      <alignment vertical="center"/>
    </xf>
    <xf borderId="0" fillId="2" fontId="45" numFmtId="0" xfId="0" applyAlignment="1" applyFont="1">
      <alignment readingOrder="0" shrinkToFit="0" vertical="center" wrapText="1"/>
    </xf>
    <xf borderId="0" fillId="8" fontId="50" numFmtId="0" xfId="0" applyAlignment="1" applyFont="1">
      <alignment readingOrder="0" shrinkToFit="0" vertical="center" wrapText="1"/>
    </xf>
    <xf borderId="0" fillId="2" fontId="3" numFmtId="0" xfId="0" applyAlignment="1" applyFont="1">
      <alignment readingOrder="0" vertical="center"/>
    </xf>
    <xf borderId="0" fillId="6" fontId="1" numFmtId="0" xfId="0" applyAlignment="1" applyFont="1">
      <alignment horizontal="center" shrinkToFit="0" wrapText="1"/>
    </xf>
    <xf borderId="0" fillId="11" fontId="45" numFmtId="0" xfId="0" applyFont="1"/>
    <xf borderId="0" fillId="11" fontId="45" numFmtId="0" xfId="0" applyFont="1"/>
    <xf borderId="0" fillId="11" fontId="4" numFmtId="0" xfId="0" applyFont="1"/>
    <xf borderId="0" fillId="9" fontId="6" numFmtId="0" xfId="0" applyAlignment="1" applyFont="1">
      <alignment horizontal="left" readingOrder="0" shrinkToFit="0" vertical="center" wrapText="1"/>
    </xf>
    <xf borderId="0" fillId="8" fontId="50" numFmtId="0" xfId="0" applyAlignment="1" applyFont="1">
      <alignment horizontal="left" shrinkToFit="0" vertical="center" wrapText="1"/>
    </xf>
    <xf borderId="0" fillId="10" fontId="6" numFmtId="0" xfId="0" applyAlignment="1" applyFont="1">
      <alignment readingOrder="0" shrinkToFit="0" vertical="center" wrapText="1"/>
    </xf>
    <xf borderId="0" fillId="2" fontId="11" numFmtId="0" xfId="0" applyAlignment="1" applyFont="1">
      <alignment horizontal="left" shrinkToFit="0" vertical="center" wrapText="1"/>
    </xf>
    <xf borderId="0" fillId="9" fontId="5" numFmtId="0" xfId="0" applyAlignment="1" applyFont="1">
      <alignment horizontal="left" vertical="center"/>
    </xf>
    <xf borderId="0" fillId="10" fontId="5" numFmtId="0" xfId="0" applyAlignment="1" applyFont="1">
      <alignment horizontal="left" vertical="center"/>
    </xf>
    <xf borderId="0" fillId="9" fontId="7" numFmtId="0" xfId="0" applyAlignment="1" applyFont="1">
      <alignment horizontal="left" readingOrder="0" vertical="center"/>
    </xf>
    <xf borderId="0" fillId="9" fontId="7" numFmtId="0" xfId="0" applyAlignment="1" applyFont="1">
      <alignment horizontal="left" vertical="center"/>
    </xf>
    <xf borderId="0" fillId="10" fontId="7" numFmtId="0" xfId="0" applyAlignment="1" applyFont="1">
      <alignment horizontal="left" vertical="center"/>
    </xf>
    <xf borderId="0" fillId="9" fontId="50" numFmtId="0" xfId="0" applyAlignment="1" applyFont="1">
      <alignment horizontal="left" shrinkToFit="0" vertical="center" wrapText="1"/>
    </xf>
    <xf borderId="0" fillId="10" fontId="1" numFmtId="0" xfId="0" applyAlignment="1" applyFont="1">
      <alignment horizontal="left" shrinkToFit="0" vertical="center" wrapText="1"/>
    </xf>
    <xf borderId="0" fillId="0" fontId="5" numFmtId="0" xfId="0" applyAlignment="1" applyFont="1">
      <alignment horizontal="left" vertical="center"/>
    </xf>
    <xf borderId="0" fillId="0" fontId="50" numFmtId="0" xfId="0" applyAlignment="1" applyFont="1">
      <alignment horizontal="left" shrinkToFit="0" vertical="center" wrapText="1"/>
    </xf>
    <xf borderId="0" fillId="0" fontId="3" numFmtId="0" xfId="0" applyAlignment="1" applyFont="1">
      <alignment horizontal="left" shrinkToFit="0" vertical="center" wrapText="1"/>
    </xf>
    <xf borderId="0" fillId="5" fontId="60" numFmtId="0" xfId="0" applyAlignment="1" applyFont="1">
      <alignment horizontal="center" readingOrder="0" shrinkToFit="0" vertical="center" wrapText="1"/>
    </xf>
    <xf borderId="1" fillId="0" fontId="61" numFmtId="0" xfId="0" applyBorder="1" applyFont="1"/>
    <xf borderId="2" fillId="2" fontId="37" numFmtId="0" xfId="0" applyAlignment="1" applyBorder="1" applyFont="1">
      <alignment horizontal="center" shrinkToFit="0" vertical="center" wrapText="1"/>
    </xf>
    <xf borderId="3" fillId="0" fontId="61" numFmtId="0" xfId="0" applyBorder="1" applyFont="1"/>
    <xf borderId="4" fillId="0" fontId="61" numFmtId="0" xfId="0" applyBorder="1" applyFont="1"/>
    <xf borderId="5" fillId="0" fontId="61" numFmtId="0" xfId="0" applyBorder="1" applyFont="1"/>
    <xf borderId="6" fillId="0" fontId="61" numFmtId="0" xfId="0" applyBorder="1" applyFont="1"/>
    <xf borderId="7" fillId="0" fontId="61" numFmtId="0" xfId="0" applyBorder="1" applyFont="1"/>
    <xf borderId="2" fillId="17" fontId="1" numFmtId="0" xfId="0" applyAlignment="1" applyBorder="1" applyFill="1" applyFont="1">
      <alignment horizontal="center" readingOrder="0" shrinkToFit="0" vertical="center" wrapText="1"/>
    </xf>
    <xf borderId="2" fillId="17" fontId="37" numFmtId="0" xfId="0" applyAlignment="1" applyBorder="1" applyFont="1">
      <alignment horizontal="center" shrinkToFit="0" vertical="center" wrapText="1"/>
    </xf>
    <xf borderId="0" fillId="17" fontId="1" numFmtId="0" xfId="0" applyAlignment="1" applyFont="1">
      <alignment horizontal="center" readingOrder="0" shrinkToFit="0" vertical="center" wrapText="1"/>
    </xf>
    <xf borderId="8" fillId="5" fontId="50" numFmtId="0" xfId="0" applyAlignment="1" applyBorder="1" applyFont="1">
      <alignment horizontal="center" readingOrder="0" vertical="center"/>
    </xf>
    <xf borderId="9" fillId="0" fontId="61" numFmtId="0" xfId="0" applyBorder="1" applyFont="1"/>
    <xf borderId="10" fillId="0" fontId="61" numFmtId="0" xfId="0" applyBorder="1" applyFont="1"/>
    <xf borderId="8" fillId="5" fontId="62" numFmtId="0" xfId="0" applyAlignment="1" applyBorder="1" applyFont="1">
      <alignment horizontal="center" readingOrder="0" shrinkToFit="0" vertical="center" wrapText="1"/>
    </xf>
    <xf borderId="8" fillId="5" fontId="50" numFmtId="0" xfId="0" applyAlignment="1" applyBorder="1" applyFont="1">
      <alignment horizontal="center" shrinkToFit="0" vertical="center" wrapText="1"/>
    </xf>
    <xf borderId="0" fillId="5" fontId="62" numFmtId="0" xfId="0" applyAlignment="1" applyFont="1">
      <alignment horizontal="center" readingOrder="0" shrinkToFit="0" vertical="center" wrapText="1"/>
    </xf>
    <xf borderId="11" fillId="17" fontId="7" numFmtId="0" xfId="0" applyAlignment="1" applyBorder="1" applyFont="1">
      <alignment horizontal="center" readingOrder="0" shrinkToFit="0" vertical="center" wrapText="1"/>
    </xf>
    <xf borderId="11" fillId="2" fontId="7" numFmtId="0" xfId="0" applyAlignment="1" applyBorder="1" applyFont="1">
      <alignment horizontal="center" readingOrder="0" shrinkToFit="0" vertical="center" wrapText="1"/>
    </xf>
    <xf borderId="11" fillId="4" fontId="11" numFmtId="0" xfId="0" applyAlignment="1" applyBorder="1" applyFont="1">
      <alignment horizontal="center" readingOrder="0" shrinkToFit="0" vertical="center" wrapText="1"/>
    </xf>
    <xf borderId="11" fillId="18" fontId="11" numFmtId="0" xfId="0" applyAlignment="1" applyBorder="1" applyFill="1" applyFont="1">
      <alignment horizontal="center" readingOrder="0" shrinkToFit="0" vertical="center" wrapText="1"/>
    </xf>
    <xf borderId="12" fillId="4" fontId="7" numFmtId="0" xfId="0" applyAlignment="1" applyBorder="1" applyFont="1">
      <alignment horizontal="center" shrinkToFit="0" vertical="center" wrapText="1"/>
    </xf>
    <xf borderId="6" fillId="4" fontId="7" numFmtId="0" xfId="0" applyAlignment="1" applyBorder="1" applyFont="1">
      <alignment horizontal="center" shrinkToFit="0" vertical="center" wrapText="1"/>
    </xf>
    <xf borderId="6" fillId="4" fontId="59" numFmtId="0" xfId="0" applyAlignment="1" applyBorder="1" applyFont="1">
      <alignment horizontal="center" shrinkToFit="0" vertical="center" wrapText="1"/>
    </xf>
    <xf borderId="0" fillId="18" fontId="11" numFmtId="0" xfId="0" applyAlignment="1" applyFont="1">
      <alignment horizontal="center" readingOrder="0" shrinkToFit="0" vertical="center" wrapText="1"/>
    </xf>
    <xf borderId="0" fillId="0" fontId="7" numFmtId="0" xfId="0" applyFont="1"/>
    <xf borderId="11" fillId="17" fontId="7" numFmtId="0" xfId="0" applyAlignment="1" applyBorder="1" applyFont="1">
      <alignment horizontal="center" readingOrder="0" vertical="center"/>
    </xf>
    <xf borderId="11" fillId="2" fontId="7" numFmtId="0" xfId="0" applyAlignment="1" applyBorder="1" applyFont="1">
      <alignment horizontal="center" readingOrder="0" vertical="center"/>
    </xf>
    <xf borderId="11" fillId="4" fontId="11" numFmtId="0" xfId="0" applyAlignment="1" applyBorder="1" applyFont="1">
      <alignment horizontal="center" readingOrder="0" vertical="center"/>
    </xf>
    <xf borderId="11" fillId="18" fontId="11" numFmtId="0" xfId="0" applyAlignment="1" applyBorder="1" applyFont="1">
      <alignment horizontal="center" readingOrder="0" vertical="center"/>
    </xf>
    <xf borderId="6" fillId="4" fontId="7" numFmtId="0" xfId="0" applyAlignment="1" applyBorder="1" applyFont="1">
      <alignment horizontal="center" vertical="center"/>
    </xf>
    <xf borderId="12" fillId="4" fontId="59" numFmtId="0" xfId="0" applyAlignment="1" applyBorder="1" applyFont="1">
      <alignment horizontal="center" shrinkToFit="0" vertical="center" wrapText="1"/>
    </xf>
    <xf borderId="8" fillId="17" fontId="7" numFmtId="0" xfId="0" applyAlignment="1" applyBorder="1" applyFont="1">
      <alignment horizontal="center" readingOrder="0" shrinkToFit="0" vertical="center" wrapText="1"/>
    </xf>
    <xf borderId="13" fillId="17" fontId="59" numFmtId="0" xfId="0" applyAlignment="1" applyBorder="1" applyFont="1">
      <alignment horizontal="center" readingOrder="0" shrinkToFit="0" vertical="center" wrapText="1"/>
    </xf>
    <xf borderId="13" fillId="2" fontId="7" numFmtId="0" xfId="0" applyAlignment="1" applyBorder="1" applyFont="1">
      <alignment horizontal="center" readingOrder="0" shrinkToFit="0" vertical="center" wrapText="1"/>
    </xf>
    <xf borderId="13" fillId="4" fontId="11" numFmtId="0" xfId="0" applyAlignment="1" applyBorder="1" applyFont="1">
      <alignment horizontal="center" readingOrder="0" shrinkToFit="0" vertical="center" wrapText="1"/>
    </xf>
    <xf borderId="13" fillId="18" fontId="11" numFmtId="0" xfId="0" applyAlignment="1" applyBorder="1" applyFont="1">
      <alignment horizontal="center" readingOrder="0" shrinkToFit="0" vertical="center" wrapText="1"/>
    </xf>
    <xf borderId="11" fillId="18" fontId="63" numFmtId="0" xfId="0" applyAlignment="1" applyBorder="1" applyFont="1">
      <alignment horizontal="center" readingOrder="0" shrinkToFit="0" vertical="center" wrapText="1"/>
    </xf>
    <xf borderId="0" fillId="18" fontId="63" numFmtId="0" xfId="0" applyAlignment="1" applyFont="1">
      <alignment horizontal="center" readingOrder="0" shrinkToFit="0" vertical="center" wrapText="1"/>
    </xf>
    <xf borderId="12" fillId="0" fontId="61" numFmtId="0" xfId="0" applyBorder="1" applyFont="1"/>
    <xf borderId="0" fillId="18" fontId="11" numFmtId="0" xfId="0" applyAlignment="1" applyFont="1">
      <alignment horizontal="center" readingOrder="0" shrinkToFit="0" vertical="center" wrapText="1"/>
    </xf>
    <xf borderId="6" fillId="4" fontId="7" numFmtId="0" xfId="0" applyAlignment="1" applyBorder="1" applyFont="1">
      <alignment vertical="center"/>
    </xf>
    <xf borderId="12" fillId="4" fontId="7" numFmtId="0" xfId="0" applyAlignment="1" applyBorder="1" applyFont="1">
      <alignment horizontal="center" readingOrder="0" shrinkToFit="0" vertical="center" wrapText="1"/>
    </xf>
    <xf borderId="8" fillId="5" fontId="50" numFmtId="0" xfId="0" applyAlignment="1" applyBorder="1" applyFont="1">
      <alignment horizontal="center" readingOrder="0" vertical="center"/>
    </xf>
    <xf borderId="7" fillId="5" fontId="50" numFmtId="0" xfId="0" applyAlignment="1" applyBorder="1" applyFont="1">
      <alignment horizontal="center" vertical="center"/>
    </xf>
    <xf borderId="0" fillId="5" fontId="50" numFmtId="0" xfId="0" applyAlignment="1" applyFont="1">
      <alignment horizontal="center" readingOrder="0" vertical="center"/>
    </xf>
    <xf borderId="11" fillId="2" fontId="59" numFmtId="0" xfId="0" applyAlignment="1" applyBorder="1" applyFont="1">
      <alignment horizontal="center" readingOrder="0"/>
    </xf>
    <xf borderId="11" fillId="2" fontId="7" numFmtId="0" xfId="0" applyAlignment="1" applyBorder="1" applyFont="1">
      <alignment horizontal="center" shrinkToFit="0" vertical="center" wrapText="1"/>
    </xf>
    <xf borderId="11" fillId="4" fontId="64" numFmtId="0" xfId="0" applyAlignment="1" applyBorder="1" applyFont="1">
      <alignment horizontal="center" readingOrder="0" shrinkToFit="0" vertical="center" wrapText="1"/>
    </xf>
    <xf borderId="11" fillId="4" fontId="63" numFmtId="0" xfId="0" applyAlignment="1" applyBorder="1" applyFont="1">
      <alignment horizontal="center" readingOrder="0"/>
    </xf>
    <xf borderId="11" fillId="18" fontId="7" numFmtId="0" xfId="0" applyAlignment="1" applyBorder="1" applyFont="1">
      <alignment horizontal="center" readingOrder="0" shrinkToFit="0" vertical="center" wrapText="1"/>
    </xf>
    <xf borderId="11" fillId="18" fontId="63" numFmtId="0" xfId="0" applyAlignment="1" applyBorder="1" applyFont="1">
      <alignment horizontal="center" readingOrder="0"/>
    </xf>
    <xf borderId="12" fillId="4" fontId="7" numFmtId="0" xfId="0" applyAlignment="1" applyBorder="1" applyFont="1">
      <alignment vertical="center"/>
    </xf>
    <xf borderId="6" fillId="4" fontId="59" numFmtId="0" xfId="0" applyAlignment="1" applyBorder="1" applyFont="1">
      <alignment horizontal="center" vertical="center"/>
    </xf>
    <xf borderId="0" fillId="18" fontId="7" numFmtId="0" xfId="0" applyAlignment="1" applyFont="1">
      <alignment horizontal="center" readingOrder="0" shrinkToFit="0" vertical="center" wrapText="1"/>
    </xf>
    <xf borderId="11" fillId="4" fontId="7" numFmtId="0" xfId="0" applyAlignment="1" applyBorder="1" applyFont="1">
      <alignment horizontal="center" readingOrder="0" shrinkToFit="0" vertical="center" wrapText="1"/>
    </xf>
    <xf borderId="11" fillId="4" fontId="59" numFmtId="0" xfId="0" applyAlignment="1" applyBorder="1" applyFont="1">
      <alignment horizontal="center" readingOrder="0"/>
    </xf>
    <xf borderId="11" fillId="18" fontId="59" numFmtId="0" xfId="0" applyAlignment="1" applyBorder="1" applyFont="1">
      <alignment horizontal="center" readingOrder="0"/>
    </xf>
    <xf borderId="13" fillId="17" fontId="7" numFmtId="0" xfId="0" applyAlignment="1" applyBorder="1" applyFont="1">
      <alignment horizontal="center" readingOrder="0" shrinkToFit="0" vertical="center" wrapText="1"/>
    </xf>
    <xf borderId="0" fillId="0" fontId="7" numFmtId="0" xfId="0" applyAlignment="1" applyFont="1">
      <alignment horizontal="center" readingOrder="0" shrinkToFit="0" vertical="center" wrapText="1"/>
    </xf>
    <xf borderId="0" fillId="0" fontId="7" numFmtId="0" xfId="0" applyAlignment="1" applyFont="1">
      <alignment vertical="center"/>
    </xf>
    <xf borderId="0" fillId="0" fontId="7" numFmtId="0" xfId="0" applyAlignment="1" applyFont="1">
      <alignment horizontal="center" vertical="center"/>
    </xf>
    <xf borderId="0" fillId="0" fontId="7" numFmtId="0" xfId="0" applyAlignment="1" applyFont="1">
      <alignment vertical="center"/>
    </xf>
    <xf borderId="12" fillId="0" fontId="7" numFmtId="0" xfId="0" applyAlignment="1" applyBorder="1" applyFont="1">
      <alignment horizontal="center" shrinkToFit="0" vertical="center" wrapText="1"/>
    </xf>
    <xf borderId="11" fillId="0" fontId="7" numFmtId="0" xfId="0" applyAlignment="1" applyBorder="1" applyFont="1">
      <alignment horizontal="center" shrinkToFit="0" vertical="center" wrapText="1"/>
    </xf>
    <xf borderId="0" fillId="5" fontId="11" numFmtId="0" xfId="0" applyAlignment="1" applyFont="1">
      <alignment horizontal="center" readingOrder="0" shrinkToFit="0" vertical="center" wrapText="1"/>
    </xf>
    <xf borderId="0" fillId="5" fontId="11" numFmtId="0" xfId="0" applyAlignment="1" applyFont="1">
      <alignment horizontal="center" shrinkToFit="0" vertical="center" wrapText="1"/>
    </xf>
    <xf borderId="0" fillId="5" fontId="7" numFmtId="0" xfId="0" applyAlignment="1" applyFont="1">
      <alignment horizontal="center" shrinkToFit="0" vertical="center" wrapText="1"/>
    </xf>
    <xf borderId="0" fillId="5" fontId="55" numFmtId="0" xfId="0" applyAlignment="1" applyFont="1">
      <alignment horizontal="center" readingOrder="0" shrinkToFit="0" vertical="center" wrapText="1"/>
    </xf>
    <xf borderId="0" fillId="4" fontId="43" numFmtId="0" xfId="0" applyAlignment="1" applyFont="1">
      <alignment horizontal="center" shrinkToFit="0" vertical="center" wrapText="1"/>
    </xf>
    <xf borderId="0" fillId="4" fontId="43" numFmtId="0" xfId="0" applyAlignment="1" applyFont="1">
      <alignment horizontal="center" shrinkToFit="0" vertical="center" wrapText="1"/>
    </xf>
    <xf borderId="0" fillId="4" fontId="43" numFmtId="0" xfId="0" applyAlignment="1" applyFont="1">
      <alignment horizontal="center" readingOrder="0" shrinkToFit="0" vertical="center" wrapText="1"/>
    </xf>
    <xf borderId="0" fillId="9" fontId="65" numFmtId="0" xfId="0" applyAlignment="1" applyFont="1">
      <alignment horizontal="center" shrinkToFit="0" vertical="center" wrapText="1"/>
    </xf>
    <xf borderId="0" fillId="2" fontId="65" numFmtId="0" xfId="0" applyAlignment="1" applyFont="1">
      <alignment horizontal="center" shrinkToFit="0" vertical="center" wrapText="1"/>
    </xf>
    <xf borderId="0" fillId="9" fontId="66" numFmtId="0" xfId="0" applyAlignment="1" applyFont="1">
      <alignment horizontal="center" shrinkToFit="0" vertical="center" wrapText="1"/>
    </xf>
    <xf borderId="0" fillId="2" fontId="66" numFmtId="0" xfId="0" applyAlignment="1" applyFont="1">
      <alignment horizontal="center" readingOrder="0" shrinkToFit="0" vertical="center" wrapText="1"/>
    </xf>
    <xf borderId="0" fillId="2" fontId="66" numFmtId="0" xfId="0" applyAlignment="1" applyFont="1">
      <alignment horizontal="center" shrinkToFit="0" vertical="center" wrapText="1"/>
    </xf>
    <xf borderId="0" fillId="4" fontId="66" numFmtId="0" xfId="0" applyAlignment="1" applyFont="1">
      <alignment horizontal="center" shrinkToFit="0" vertical="center" wrapText="1"/>
    </xf>
    <xf borderId="0" fillId="9" fontId="20" numFmtId="0" xfId="0" applyAlignment="1" applyFont="1">
      <alignment horizontal="center" shrinkToFit="0" vertical="center" wrapText="1"/>
    </xf>
    <xf borderId="0" fillId="2" fontId="20" numFmtId="0" xfId="0" applyAlignment="1" applyFont="1">
      <alignment horizontal="center" readingOrder="0" shrinkToFit="0" vertical="center" wrapText="1"/>
    </xf>
    <xf borderId="0" fillId="4" fontId="20" numFmtId="0" xfId="0" applyAlignment="1" applyFont="1">
      <alignment horizontal="center" shrinkToFit="0" vertical="center" wrapText="1"/>
    </xf>
    <xf borderId="0" fillId="6" fontId="7" numFmtId="0" xfId="0" applyAlignment="1" applyFont="1">
      <alignment horizontal="center" shrinkToFit="0" vertical="center" wrapText="1"/>
    </xf>
    <xf borderId="0" fillId="6" fontId="7" numFmtId="0" xfId="0" applyAlignment="1" applyFont="1">
      <alignment horizontal="center" shrinkToFit="0" vertical="center" wrapText="1"/>
    </xf>
    <xf borderId="0" fillId="6" fontId="7" numFmtId="0" xfId="0" applyAlignment="1" applyFont="1">
      <alignment horizontal="center" readingOrder="0" shrinkToFit="0" vertical="center" wrapText="1"/>
    </xf>
    <xf borderId="0" fillId="6" fontId="5" numFmtId="0" xfId="0" applyAlignment="1" applyFont="1">
      <alignment horizontal="center" shrinkToFit="0" vertical="center" wrapText="1"/>
    </xf>
    <xf borderId="0" fillId="4" fontId="7" numFmtId="0" xfId="0" applyAlignment="1" applyFont="1">
      <alignment horizontal="center" shrinkToFit="0" vertical="center" wrapText="1"/>
    </xf>
    <xf borderId="0" fillId="4" fontId="7" numFmtId="0" xfId="0" applyAlignment="1" applyFont="1">
      <alignment horizontal="center" shrinkToFit="0" vertical="center" wrapText="1"/>
    </xf>
    <xf borderId="0" fillId="2" fontId="5" numFmtId="0" xfId="0" applyAlignment="1" applyFont="1">
      <alignment horizontal="center" shrinkToFit="0" vertical="center" wrapText="1"/>
    </xf>
    <xf borderId="0" fillId="4" fontId="5" numFmtId="0" xfId="0" applyAlignment="1" applyFont="1">
      <alignment horizontal="center" shrinkToFit="0" vertical="center" wrapText="1"/>
    </xf>
    <xf borderId="0" fillId="9" fontId="11" numFmtId="0" xfId="0" applyAlignment="1" applyFont="1">
      <alignment horizontal="center" shrinkToFit="0" vertical="center" wrapText="1"/>
    </xf>
    <xf borderId="0" fillId="4" fontId="11" numFmtId="0" xfId="0" applyAlignment="1" applyFont="1">
      <alignment horizontal="center" shrinkToFit="0" vertical="center" wrapText="1"/>
    </xf>
    <xf borderId="0" fillId="9" fontId="50" numFmtId="0" xfId="0" applyAlignment="1" applyFont="1">
      <alignment horizontal="center" readingOrder="0" shrinkToFit="0" vertical="center" wrapText="1"/>
    </xf>
    <xf borderId="0" fillId="4" fontId="7" numFmtId="0" xfId="0" applyAlignment="1" applyFont="1">
      <alignment horizontal="center" readingOrder="0" shrinkToFit="0" vertical="center" wrapText="1"/>
    </xf>
    <xf borderId="0" fillId="4" fontId="11" numFmtId="0" xfId="0" applyAlignment="1" applyFont="1">
      <alignment horizontal="center" readingOrder="0" shrinkToFit="0" vertical="center" wrapText="1"/>
    </xf>
    <xf borderId="0" fillId="6" fontId="7" numFmtId="0" xfId="0" applyAlignment="1" applyFont="1">
      <alignment horizontal="center" readingOrder="0" shrinkToFit="0" wrapText="1"/>
    </xf>
    <xf borderId="0" fillId="9" fontId="50" numFmtId="0" xfId="0" applyAlignment="1" applyFont="1">
      <alignment horizontal="center" shrinkToFit="0" vertical="center" wrapText="1"/>
    </xf>
    <xf borderId="0" fillId="9" fontId="52" numFmtId="0" xfId="0" applyAlignment="1" applyFont="1">
      <alignment horizontal="center" shrinkToFit="0" vertical="center" wrapText="1"/>
    </xf>
    <xf borderId="0" fillId="6" fontId="7" numFmtId="0" xfId="0" applyAlignment="1" applyFont="1">
      <alignment horizontal="center" shrinkToFit="0" wrapText="1"/>
    </xf>
    <xf borderId="0" fillId="4" fontId="5" numFmtId="0" xfId="0" applyAlignment="1" applyFont="1">
      <alignment horizontal="center" readingOrder="0" shrinkToFit="0" vertical="center" wrapText="1"/>
    </xf>
    <xf borderId="0" fillId="4" fontId="45" numFmtId="0" xfId="0" applyAlignment="1" applyFont="1">
      <alignment vertical="center"/>
    </xf>
    <xf borderId="0" fillId="19" fontId="43" numFmtId="0" xfId="0" applyAlignment="1" applyFill="1" applyFont="1">
      <alignment horizontal="center" readingOrder="0" shrinkToFit="0" vertical="center" wrapText="1"/>
    </xf>
    <xf borderId="0" fillId="19" fontId="1" numFmtId="0" xfId="0" applyAlignment="1" applyFont="1">
      <alignment horizontal="center" shrinkToFit="0" vertical="center" wrapText="1"/>
    </xf>
    <xf borderId="0" fillId="19" fontId="43" numFmtId="0" xfId="0" applyAlignment="1" applyFont="1">
      <alignment horizontal="center" shrinkToFit="0" vertical="center" wrapText="1"/>
    </xf>
    <xf borderId="0" fillId="19" fontId="1" numFmtId="0" xfId="0" applyAlignment="1" applyFont="1">
      <alignment horizontal="center" readingOrder="0" shrinkToFit="0" vertical="center" wrapText="1"/>
    </xf>
    <xf borderId="0" fillId="9" fontId="66" numFmtId="0" xfId="0" applyAlignment="1" applyFont="1">
      <alignment horizontal="center" vertical="center"/>
    </xf>
    <xf borderId="0" fillId="2" fontId="66" numFmtId="0" xfId="0" applyAlignment="1" applyFont="1">
      <alignment horizontal="center" vertical="center"/>
    </xf>
    <xf borderId="0" fillId="19" fontId="7" numFmtId="0" xfId="0" applyAlignment="1" applyFont="1">
      <alignment horizontal="center" readingOrder="0" shrinkToFit="0" vertical="center" wrapText="1"/>
    </xf>
    <xf borderId="0" fillId="19" fontId="11" numFmtId="0" xfId="0" applyAlignment="1" applyFont="1">
      <alignment horizontal="center" readingOrder="0" shrinkToFit="0" vertical="center" wrapText="1"/>
    </xf>
    <xf borderId="0" fillId="9" fontId="5" numFmtId="0" xfId="0" applyAlignment="1" applyFont="1">
      <alignment horizontal="center" readingOrder="0" vertical="center"/>
    </xf>
    <xf borderId="0" fillId="2" fontId="5" numFmtId="0" xfId="0" applyAlignment="1" applyFont="1">
      <alignment horizontal="center" vertical="center"/>
    </xf>
    <xf borderId="0" fillId="19" fontId="7" numFmtId="0" xfId="0" applyAlignment="1" applyFont="1">
      <alignment horizontal="center" shrinkToFit="0" vertical="center" wrapText="1"/>
    </xf>
    <xf borderId="0" fillId="19" fontId="7" numFmtId="0" xfId="0" applyAlignment="1" applyFont="1">
      <alignment horizontal="center" shrinkToFit="0" vertical="center" wrapText="1"/>
    </xf>
    <xf borderId="0" fillId="9" fontId="5" numFmtId="0" xfId="0" applyAlignment="1" applyFont="1">
      <alignment horizontal="center" vertical="center"/>
    </xf>
    <xf borderId="0" fillId="2" fontId="5" numFmtId="0" xfId="0" applyAlignment="1" applyFont="1">
      <alignment horizontal="center" readingOrder="0" vertical="center"/>
    </xf>
    <xf borderId="0" fillId="9" fontId="57" numFmtId="0" xfId="0" applyAlignment="1" applyFont="1">
      <alignment horizontal="center" readingOrder="0" shrinkToFit="0" vertical="center" wrapText="1"/>
    </xf>
    <xf borderId="0" fillId="2" fontId="57" numFmtId="0" xfId="0" applyAlignment="1" applyFont="1">
      <alignment horizontal="center" readingOrder="0" shrinkToFit="0" vertical="center" wrapText="1"/>
    </xf>
    <xf borderId="0" fillId="2" fontId="67" numFmtId="0" xfId="0" applyAlignment="1" applyFont="1">
      <alignment horizontal="center" readingOrder="0" shrinkToFit="0" vertical="center" wrapText="1"/>
    </xf>
    <xf borderId="0" fillId="9" fontId="58" numFmtId="0" xfId="0" applyAlignment="1" applyFont="1">
      <alignment horizontal="center" shrinkToFit="0" vertical="center" wrapText="1"/>
    </xf>
    <xf borderId="0" fillId="19" fontId="7" numFmtId="0" xfId="0" applyAlignment="1" applyFont="1">
      <alignment shrinkToFit="0" vertical="center" wrapText="1"/>
    </xf>
    <xf borderId="0" fillId="9" fontId="7" numFmtId="0" xfId="0" applyAlignment="1" applyFont="1">
      <alignment vertical="center"/>
    </xf>
    <xf borderId="0" fillId="19" fontId="66" numFmtId="0" xfId="0" applyAlignment="1" applyFont="1">
      <alignment horizontal="center" vertical="center"/>
    </xf>
    <xf borderId="0" fillId="16" fontId="11" numFmtId="0" xfId="0" applyAlignment="1" applyFont="1">
      <alignment horizontal="center" readingOrder="0" shrinkToFit="0" vertical="center" wrapText="1"/>
    </xf>
    <xf borderId="0" fillId="19" fontId="5" numFmtId="0" xfId="0" applyAlignment="1" applyFont="1">
      <alignment horizontal="center" readingOrder="0" vertical="center"/>
    </xf>
    <xf borderId="0" fillId="19" fontId="5" numFmtId="0" xfId="0" applyAlignment="1" applyFont="1">
      <alignment horizontal="center" vertical="center"/>
    </xf>
    <xf borderId="0" fillId="19" fontId="11" numFmtId="0" xfId="0" applyAlignment="1" applyFont="1">
      <alignment horizontal="center" shrinkToFit="0" vertical="center" wrapText="1"/>
    </xf>
    <xf borderId="0" fillId="2" fontId="11" numFmtId="0" xfId="0" applyAlignment="1" applyFont="1">
      <alignment horizontal="center" shrinkToFit="0" vertical="center" wrapText="1"/>
    </xf>
    <xf borderId="0" fillId="2" fontId="5" numFmtId="0" xfId="0" applyAlignment="1" applyFont="1">
      <alignment horizontal="center" vertical="center"/>
    </xf>
    <xf borderId="0" fillId="19" fontId="5" numFmtId="0" xfId="0" applyAlignment="1" applyFont="1">
      <alignment horizontal="center" readingOrder="0" shrinkToFit="0" vertical="center" wrapText="1"/>
    </xf>
    <xf borderId="0" fillId="19" fontId="5" numFmtId="0" xfId="0" applyAlignment="1" applyFont="1">
      <alignment horizontal="center" vertical="center"/>
    </xf>
    <xf borderId="0" fillId="19" fontId="54" numFmtId="0" xfId="0" applyAlignment="1" applyFont="1">
      <alignment horizontal="center" readingOrder="0" shrinkToFit="0" vertical="center" wrapText="1"/>
    </xf>
    <xf borderId="0" fillId="16" fontId="7" numFmtId="0" xfId="0" applyAlignment="1" applyFont="1">
      <alignment horizontal="center" readingOrder="0" shrinkToFit="0" vertical="center" wrapText="1"/>
    </xf>
    <xf borderId="0" fillId="19" fontId="58" numFmtId="0" xfId="0" applyAlignment="1" applyFont="1">
      <alignment horizontal="center" shrinkToFit="0" vertical="center" wrapText="1"/>
    </xf>
    <xf borderId="0" fillId="2" fontId="68" numFmtId="0" xfId="0" applyAlignment="1" applyFont="1">
      <alignment horizontal="center" shrinkToFit="0" vertical="center" wrapText="1"/>
    </xf>
    <xf borderId="0" fillId="19" fontId="5" numFmtId="0" xfId="0" applyAlignment="1" applyFont="1">
      <alignment vertical="center"/>
    </xf>
    <xf borderId="0" fillId="0" fontId="5" numFmtId="0" xfId="0" applyAlignment="1" applyFont="1">
      <alignment vertical="center"/>
    </xf>
    <xf borderId="0" fillId="19" fontId="5" numFmtId="0" xfId="0" applyAlignment="1" applyFont="1">
      <alignment horizontal="center" shrinkToFit="0" vertical="center" wrapText="1"/>
    </xf>
    <xf borderId="0" fillId="19" fontId="43" numFmtId="0" xfId="0" applyAlignment="1" applyFont="1">
      <alignment horizontal="center" shrinkToFit="0" vertical="center" wrapText="1"/>
    </xf>
    <xf borderId="0" fillId="19" fontId="69" numFmtId="0" xfId="0" applyAlignment="1" applyFont="1">
      <alignment horizontal="center" shrinkToFit="0" vertical="center" wrapText="1"/>
    </xf>
    <xf borderId="0" fillId="2" fontId="69" numFmtId="0" xfId="0" applyAlignment="1" applyFont="1">
      <alignment horizontal="center" shrinkToFit="0" vertical="center" wrapText="1"/>
    </xf>
    <xf borderId="0" fillId="0" fontId="43" numFmtId="0" xfId="0" applyAlignment="1" applyFont="1">
      <alignment horizontal="center" shrinkToFit="0" vertical="center" wrapText="1"/>
    </xf>
    <xf borderId="0" fillId="19" fontId="45" numFmtId="0" xfId="0" applyAlignment="1" applyFont="1">
      <alignment horizontal="center" shrinkToFit="0" vertical="center" wrapText="1"/>
    </xf>
    <xf borderId="0" fillId="2" fontId="45" numFmtId="0" xfId="0" applyAlignment="1" applyFont="1">
      <alignment horizontal="center" shrinkToFit="0" vertical="center" wrapText="1"/>
    </xf>
    <xf borderId="0" fillId="19" fontId="45" numFmtId="0" xfId="0" applyAlignment="1" applyFont="1">
      <alignment horizontal="center" readingOrder="0" shrinkToFit="0" vertical="center" wrapText="1"/>
    </xf>
    <xf borderId="0" fillId="19" fontId="67" numFmtId="0" xfId="0" applyAlignment="1" applyFont="1">
      <alignment horizontal="center" readingOrder="0" shrinkToFit="0" vertical="center" wrapText="1"/>
    </xf>
    <xf borderId="0" fillId="2" fontId="67" numFmtId="0" xfId="0" applyAlignment="1" applyFont="1">
      <alignment horizontal="center" shrinkToFit="0" vertical="center" wrapText="1"/>
    </xf>
    <xf borderId="0" fillId="19" fontId="70" numFmtId="0" xfId="0" applyAlignment="1" applyFont="1">
      <alignment horizontal="center" readingOrder="0" shrinkToFit="0" vertical="center" wrapText="1"/>
    </xf>
    <xf borderId="0" fillId="19" fontId="58" numFmtId="0" xfId="0" applyAlignment="1" applyFont="1">
      <alignment horizontal="center" readingOrder="0" shrinkToFit="0" vertical="center" wrapText="1"/>
    </xf>
    <xf borderId="0" fillId="0" fontId="7" numFmtId="0" xfId="0" applyAlignment="1" applyFont="1">
      <alignment shrinkToFit="0" vertical="center" wrapText="1"/>
    </xf>
    <xf borderId="0" fillId="19" fontId="5" numFmtId="0" xfId="0" applyFont="1"/>
    <xf borderId="0" fillId="8" fontId="3" numFmtId="0" xfId="0" applyAlignment="1" applyFont="1">
      <alignment horizontal="center" shrinkToFit="0" vertical="center" wrapText="1"/>
    </xf>
    <xf borderId="0" fillId="2" fontId="70" numFmtId="0" xfId="0" applyAlignment="1" applyFont="1">
      <alignment readingOrder="0" shrinkToFit="0" vertical="center" wrapText="1"/>
    </xf>
    <xf borderId="0" fillId="2" fontId="70" numFmtId="0" xfId="0" applyAlignment="1" applyFont="1">
      <alignment horizontal="left" shrinkToFit="0" vertical="center" wrapText="1"/>
    </xf>
    <xf borderId="0" fillId="2" fontId="70" numFmtId="0" xfId="0" applyAlignment="1" applyFont="1">
      <alignment horizontal="left" readingOrder="0" shrinkToFit="0" vertical="center" wrapText="1"/>
    </xf>
    <xf borderId="0" fillId="2" fontId="70" numFmtId="0" xfId="0" applyAlignment="1" applyFont="1">
      <alignment shrinkToFit="0" vertical="center" wrapText="1"/>
    </xf>
    <xf borderId="0" fillId="2" fontId="70" numFmtId="0" xfId="0" applyAlignment="1" applyFont="1">
      <alignment horizontal="center" shrinkToFit="0" vertical="center" wrapText="1"/>
    </xf>
    <xf borderId="0" fillId="10" fontId="3" numFmtId="0" xfId="0" applyAlignment="1" applyFont="1">
      <alignment horizontal="center" readingOrder="0" shrinkToFit="0" vertical="center" wrapText="1"/>
    </xf>
    <xf borderId="0" fillId="20" fontId="57" numFmtId="0" xfId="0" applyAlignment="1" applyFill="1" applyFont="1">
      <alignment horizontal="center" shrinkToFit="0" vertical="center" wrapText="1"/>
    </xf>
    <xf borderId="0" fillId="8" fontId="67" numFmtId="0" xfId="0" applyAlignment="1" applyFont="1">
      <alignment horizontal="center" shrinkToFit="0" vertical="center" wrapText="1"/>
    </xf>
    <xf borderId="0" fillId="2" fontId="45" numFmtId="0" xfId="0" applyAlignment="1" applyFont="1">
      <alignment shrinkToFit="0" vertical="center" wrapText="1"/>
    </xf>
    <xf borderId="0" fillId="20" fontId="45" numFmtId="0" xfId="0" applyAlignment="1" applyFont="1">
      <alignment horizontal="center" shrinkToFit="0" vertical="center" wrapText="1"/>
    </xf>
    <xf borderId="0" fillId="8" fontId="45" numFmtId="0" xfId="0" applyAlignment="1" applyFont="1">
      <alignment horizontal="center" shrinkToFit="0" vertical="center" wrapText="1"/>
    </xf>
    <xf borderId="0" fillId="9" fontId="71" numFmtId="0" xfId="0" applyAlignment="1" applyFont="1">
      <alignment horizontal="center" shrinkToFit="0" vertical="center" wrapText="1"/>
    </xf>
    <xf borderId="0" fillId="8" fontId="71" numFmtId="0" xfId="0" applyAlignment="1" applyFont="1">
      <alignment horizontal="center" shrinkToFit="0" vertical="center" wrapText="1"/>
    </xf>
    <xf borderId="0" fillId="8" fontId="72" numFmtId="0" xfId="0" applyAlignment="1" applyFont="1">
      <alignment horizontal="center" shrinkToFit="0" vertical="center" wrapText="1"/>
    </xf>
    <xf borderId="0" fillId="8" fontId="72" numFmtId="0" xfId="0" applyAlignment="1" applyFont="1">
      <alignment horizontal="center" readingOrder="0" shrinkToFit="0" vertical="center" wrapText="1"/>
    </xf>
    <xf borderId="0" fillId="9" fontId="71" numFmtId="0" xfId="0" applyAlignment="1" applyFont="1">
      <alignment horizontal="center" readingOrder="0" shrinkToFit="0" vertical="center" wrapText="1"/>
    </xf>
    <xf borderId="0" fillId="9" fontId="69" numFmtId="0" xfId="0" applyAlignment="1" applyFont="1">
      <alignment horizontal="center" shrinkToFit="0" vertical="center" wrapText="1"/>
    </xf>
    <xf borderId="0" fillId="8" fontId="69" numFmtId="0" xfId="0" applyAlignment="1" applyFont="1">
      <alignment horizontal="center" shrinkToFit="0" vertical="center" wrapText="1"/>
    </xf>
    <xf borderId="0" fillId="8" fontId="7" numFmtId="0" xfId="0" applyAlignment="1" applyFont="1">
      <alignment shrinkToFit="0" vertical="center" wrapText="1"/>
    </xf>
    <xf borderId="0" fillId="2" fontId="3" numFmtId="0" xfId="0" applyAlignment="1" applyFont="1">
      <alignment horizontal="center" shrinkToFit="0" vertical="center" wrapText="1"/>
    </xf>
    <xf borderId="0" fillId="9" fontId="3" numFmtId="0" xfId="0" applyAlignment="1" applyFont="1">
      <alignment horizontal="center" shrinkToFit="0" vertical="center" wrapText="1"/>
    </xf>
    <xf borderId="0" fillId="2" fontId="45" numFmtId="0" xfId="0" applyAlignment="1" applyFont="1">
      <alignment horizontal="center" vertical="center"/>
    </xf>
    <xf borderId="0" fillId="9" fontId="3" numFmtId="0" xfId="0" applyAlignment="1" applyFont="1">
      <alignment horizontal="center" readingOrder="0" shrinkToFit="0" vertical="center" wrapText="1"/>
    </xf>
    <xf borderId="0" fillId="8" fontId="45" numFmtId="0" xfId="0" applyAlignment="1" applyFont="1">
      <alignment shrinkToFit="0" vertical="center" wrapText="1"/>
    </xf>
    <xf borderId="0" fillId="8" fontId="7" numFmtId="0" xfId="0" applyAlignment="1" applyFont="1">
      <alignment vertical="center"/>
    </xf>
    <xf borderId="0" fillId="9" fontId="45" numFmtId="0" xfId="0" applyAlignment="1" applyFont="1">
      <alignment horizontal="center" readingOrder="0" shrinkToFit="0" vertical="center" wrapText="1"/>
    </xf>
    <xf borderId="0" fillId="8" fontId="4" numFmtId="0" xfId="0" applyAlignment="1" applyFont="1">
      <alignment horizontal="center" shrinkToFit="0" vertical="center" wrapText="1"/>
    </xf>
    <xf borderId="0" fillId="2" fontId="70" numFmtId="0" xfId="0" applyAlignment="1" applyFont="1">
      <alignment horizontal="center" readingOrder="0" shrinkToFit="0" vertical="center" wrapText="1"/>
    </xf>
    <xf borderId="0" fillId="8" fontId="3" numFmtId="0" xfId="0" applyAlignment="1" applyFont="1">
      <alignment shrinkToFit="0" vertical="center" wrapText="1"/>
    </xf>
    <xf borderId="0" fillId="8" fontId="3" numFmtId="0" xfId="0" applyAlignment="1" applyFont="1">
      <alignment horizontal="center" readingOrder="0" shrinkToFit="0" vertical="center" wrapText="1"/>
    </xf>
    <xf borderId="0" fillId="8" fontId="7" numFmtId="0" xfId="0" applyAlignment="1" applyFont="1">
      <alignment horizontal="center" readingOrder="0" shrinkToFit="0" vertical="center" wrapText="1"/>
    </xf>
    <xf borderId="0" fillId="8" fontId="4" numFmtId="0" xfId="0" applyAlignment="1" applyFont="1">
      <alignment horizontal="center" shrinkToFit="0" vertical="center" wrapText="1"/>
    </xf>
    <xf borderId="0" fillId="8" fontId="7" numFmtId="0" xfId="0" applyAlignment="1" applyFont="1">
      <alignment horizontal="center" shrinkToFit="0" vertical="center" wrapText="1"/>
    </xf>
    <xf borderId="0" fillId="2" fontId="3" numFmtId="0" xfId="0" applyAlignment="1" applyFont="1">
      <alignment horizontal="center" readingOrder="0" shrinkToFit="0" vertical="center" wrapText="1"/>
    </xf>
    <xf borderId="0" fillId="2" fontId="7" numFmtId="0" xfId="0" applyAlignment="1" applyFont="1">
      <alignment readingOrder="0" vertical="center"/>
    </xf>
    <xf borderId="0" fillId="9" fontId="3" numFmtId="0" xfId="0" applyAlignment="1" applyFont="1">
      <alignment shrinkToFit="0" wrapText="1"/>
    </xf>
    <xf borderId="0" fillId="2" fontId="3" numFmtId="0" xfId="0" applyAlignment="1" applyFont="1">
      <alignment horizontal="center" shrinkToFit="0" wrapText="1"/>
    </xf>
    <xf borderId="0" fillId="2" fontId="4" numFmtId="0" xfId="0" applyAlignment="1" applyFont="1">
      <alignment horizontal="center"/>
    </xf>
    <xf borderId="0" fillId="2" fontId="4" numFmtId="0" xfId="0" applyFont="1"/>
    <xf borderId="0" fillId="9" fontId="3" numFmtId="0" xfId="0" applyAlignment="1" applyFont="1">
      <alignment horizontal="center" shrinkToFit="0" wrapText="1"/>
    </xf>
    <xf borderId="0" fillId="8" fontId="3" numFmtId="0" xfId="0" applyAlignment="1" applyFont="1">
      <alignment horizontal="center" shrinkToFit="0" wrapText="1"/>
    </xf>
    <xf borderId="0" fillId="9" fontId="3" numFmtId="0" xfId="0" applyAlignment="1" applyFont="1">
      <alignment horizontal="left" shrinkToFit="0" wrapText="1"/>
    </xf>
    <xf borderId="0" fillId="2" fontId="4" numFmtId="0" xfId="0" applyAlignment="1" applyFont="1">
      <alignment horizontal="center" shrinkToFit="0" wrapText="1"/>
    </xf>
    <xf borderId="0" fillId="2" fontId="4" numFmtId="0" xfId="0" applyAlignment="1" applyFont="1">
      <alignment horizontal="center" shrinkToFit="0" vertical="center" wrapText="1"/>
    </xf>
    <xf borderId="0" fillId="9" fontId="7" numFmtId="0" xfId="0" applyAlignment="1" applyFont="1">
      <alignment horizontal="center" shrinkToFit="0" wrapText="1"/>
    </xf>
    <xf borderId="0" fillId="2" fontId="7" numFmtId="0" xfId="0" applyAlignment="1" applyFont="1">
      <alignment horizontal="center" shrinkToFit="0" wrapText="1"/>
    </xf>
    <xf borderId="0" fillId="2" fontId="45" numFmtId="0" xfId="0" applyAlignment="1" applyFont="1">
      <alignment horizontal="center" shrinkToFit="0" wrapText="1"/>
    </xf>
    <xf borderId="0" fillId="9" fontId="45" numFmtId="0" xfId="0" applyAlignment="1" applyFont="1">
      <alignment horizontal="center" shrinkToFit="0" wrapText="1"/>
    </xf>
    <xf borderId="0" fillId="2" fontId="45" numFmtId="0" xfId="0" applyAlignment="1" applyFont="1">
      <alignment horizontal="center"/>
    </xf>
    <xf borderId="0" fillId="2" fontId="45" numFmtId="0" xfId="0" applyFont="1"/>
    <xf borderId="0" fillId="4" fontId="7" numFmtId="0" xfId="0" applyAlignment="1" applyFont="1">
      <alignment horizontal="left" readingOrder="0" shrinkToFit="0" vertical="center" wrapText="1"/>
    </xf>
    <xf borderId="0" fillId="4" fontId="7" numFmtId="0" xfId="0" applyAlignment="1" applyFont="1">
      <alignment horizontal="left" shrinkToFit="0" vertical="center" wrapText="1"/>
    </xf>
    <xf borderId="0" fillId="4" fontId="11" numFmtId="0" xfId="0" applyAlignment="1" applyFont="1">
      <alignment horizontal="left" readingOrder="0" shrinkToFit="0" vertical="center" wrapText="1"/>
    </xf>
    <xf borderId="0" fillId="4" fontId="7" numFmtId="0" xfId="0" applyAlignment="1" applyFont="1">
      <alignment horizontal="left" shrinkToFit="0" vertical="center" wrapText="1"/>
    </xf>
    <xf borderId="0" fillId="2" fontId="59" numFmtId="0" xfId="0" applyAlignment="1" applyFont="1">
      <alignment horizontal="left" readingOrder="0" shrinkToFit="0" vertical="center" wrapText="1"/>
    </xf>
    <xf borderId="0" fillId="4" fontId="64" numFmtId="0" xfId="0" applyAlignment="1" applyFont="1">
      <alignment horizontal="left" readingOrder="0" shrinkToFit="0" vertical="center" wrapText="1"/>
    </xf>
    <xf borderId="0" fillId="2" fontId="45" numFmtId="0" xfId="0" applyAlignment="1" applyFont="1">
      <alignment horizontal="left" shrinkToFit="0" vertical="center" wrapText="1"/>
    </xf>
    <xf borderId="0" fillId="4" fontId="5" numFmtId="0" xfId="0" applyAlignment="1" applyFont="1">
      <alignment horizontal="left" shrinkToFit="0" vertical="center" wrapText="1"/>
    </xf>
    <xf borderId="0" fillId="9" fontId="1" numFmtId="0" xfId="0" applyAlignment="1" applyFont="1">
      <alignment horizontal="center" readingOrder="0" shrinkToFit="0" vertical="center" wrapText="1"/>
    </xf>
    <xf borderId="0" fillId="4" fontId="1" numFmtId="0" xfId="0" applyAlignment="1" applyFont="1">
      <alignment horizontal="center" readingOrder="0" shrinkToFit="0" vertical="center" wrapText="1"/>
    </xf>
    <xf borderId="0" fillId="9" fontId="1" numFmtId="0" xfId="0" applyAlignment="1" applyFont="1">
      <alignment horizontal="center" shrinkToFit="0" vertical="center" wrapText="1"/>
    </xf>
    <xf borderId="0" fillId="4" fontId="1" numFmtId="0" xfId="0" applyAlignment="1" applyFont="1">
      <alignment horizontal="center" shrinkToFit="0" vertical="center" wrapText="1"/>
    </xf>
    <xf borderId="0" fillId="10" fontId="1" numFmtId="0" xfId="0" applyAlignment="1" applyFont="1">
      <alignment horizontal="center" shrinkToFit="0" vertical="center" wrapText="1"/>
    </xf>
    <xf borderId="0" fillId="9" fontId="21" numFmtId="0" xfId="0" applyAlignment="1" applyFont="1">
      <alignment horizontal="center" shrinkToFit="0" vertical="center" wrapText="1"/>
    </xf>
    <xf borderId="0" fillId="2" fontId="21" numFmtId="0" xfId="0" applyAlignment="1" applyFont="1">
      <alignment horizontal="center" shrinkToFit="0" vertical="center" wrapText="1"/>
    </xf>
    <xf borderId="0" fillId="4" fontId="21" numFmtId="0" xfId="0" applyAlignment="1" applyFont="1">
      <alignment horizontal="center" shrinkToFit="0" vertical="center" wrapText="1"/>
    </xf>
    <xf borderId="0" fillId="10" fontId="21" numFmtId="0" xfId="0" applyAlignment="1" applyFont="1">
      <alignment horizontal="center" shrinkToFit="0" vertical="center" wrapText="1"/>
    </xf>
    <xf borderId="0" fillId="9" fontId="1" numFmtId="0" xfId="0" applyAlignment="1" applyFont="1">
      <alignment horizontal="center" shrinkToFit="0" vertical="center" wrapText="1"/>
    </xf>
    <xf borderId="0" fillId="2" fontId="1" numFmtId="0" xfId="0" applyAlignment="1" applyFont="1">
      <alignment horizontal="center" shrinkToFit="0" vertical="center" wrapText="1"/>
    </xf>
    <xf borderId="0" fillId="4" fontId="1" numFmtId="0" xfId="0" applyAlignment="1" applyFont="1">
      <alignment horizontal="center" shrinkToFit="0" vertical="center" wrapText="1"/>
    </xf>
    <xf borderId="0" fillId="10" fontId="1" numFmtId="0" xfId="0" applyAlignment="1" applyFont="1">
      <alignment horizontal="center" shrinkToFit="0" vertical="center" wrapText="1"/>
    </xf>
    <xf borderId="0" fillId="0" fontId="1" numFmtId="0" xfId="0" applyAlignment="1" applyFont="1">
      <alignment horizontal="center" readingOrder="0" shrinkToFit="0" vertical="center" wrapText="1"/>
    </xf>
    <xf borderId="0" fillId="9" fontId="11" numFmtId="0" xfId="0" applyAlignment="1" applyFont="1">
      <alignment horizontal="center" readingOrder="0" shrinkToFit="0" vertical="center" wrapText="1"/>
    </xf>
    <xf borderId="0" fillId="10" fontId="11" numFmtId="0" xfId="0" applyAlignment="1" applyFont="1">
      <alignment horizontal="center" readingOrder="0" shrinkToFit="0" vertical="center" wrapText="1"/>
    </xf>
    <xf borderId="0" fillId="10" fontId="11" numFmtId="0" xfId="0" applyAlignment="1" applyFont="1">
      <alignment horizontal="center" shrinkToFit="0" vertical="center" wrapText="1"/>
    </xf>
    <xf borderId="0" fillId="9" fontId="53" numFmtId="0" xfId="0" applyAlignment="1" applyFont="1">
      <alignment horizontal="center" readingOrder="0" shrinkToFit="0" vertical="center" wrapText="1"/>
    </xf>
    <xf borderId="0" fillId="4" fontId="45" numFmtId="0" xfId="0" applyAlignment="1" applyFont="1">
      <alignment horizontal="center" shrinkToFit="0" vertical="center" wrapText="1"/>
    </xf>
    <xf borderId="0" fillId="10" fontId="45" numFmtId="0" xfId="0" applyAlignment="1" applyFont="1">
      <alignment horizontal="center" shrinkToFit="0" vertical="center" wrapText="1"/>
    </xf>
    <xf borderId="0" fillId="0" fontId="11" numFmtId="0" xfId="0" applyAlignment="1" applyFont="1">
      <alignment horizontal="center" readingOrder="0" shrinkToFit="0" vertical="center" wrapText="1"/>
    </xf>
    <xf borderId="0" fillId="4" fontId="45" numFmtId="0" xfId="0" applyAlignment="1" applyFont="1">
      <alignment horizontal="center" readingOrder="0" shrinkToFit="0" vertical="center" wrapText="1"/>
    </xf>
    <xf borderId="0" fillId="10" fontId="58" numFmtId="0" xfId="0" applyAlignment="1" applyFont="1">
      <alignment horizontal="center" shrinkToFit="0" vertical="center" wrapText="1"/>
    </xf>
    <xf borderId="0" fillId="10" fontId="45" numFmtId="0" xfId="0" applyAlignment="1" applyFont="1">
      <alignment horizontal="center" vertical="center"/>
    </xf>
    <xf borderId="0" fillId="10" fontId="7" numFmtId="0" xfId="0" applyAlignment="1" applyFont="1">
      <alignment horizontal="center" vertical="center"/>
    </xf>
    <xf borderId="0" fillId="4" fontId="45" numFmtId="0" xfId="0" applyAlignment="1" applyFont="1">
      <alignment horizontal="center" vertical="center"/>
    </xf>
    <xf borderId="0" fillId="4" fontId="7" numFmtId="0" xfId="0" applyAlignment="1" applyFont="1">
      <alignment horizontal="center" vertical="center"/>
    </xf>
    <xf borderId="0" fillId="10" fontId="45" numFmtId="0" xfId="0" applyAlignment="1" applyFont="1">
      <alignment horizontal="center" vertical="center"/>
    </xf>
    <xf borderId="0" fillId="10" fontId="7" numFmtId="0" xfId="0" applyAlignment="1" applyFont="1">
      <alignment horizontal="center" vertical="center"/>
    </xf>
    <xf borderId="0" fillId="0" fontId="11" numFmtId="0" xfId="0" applyAlignment="1" applyFont="1">
      <alignment horizontal="center" shrinkToFit="0" vertical="center" wrapText="1"/>
    </xf>
    <xf borderId="0" fillId="10" fontId="45" numFmtId="0" xfId="0" applyAlignment="1" applyFont="1">
      <alignment horizontal="center" shrinkToFit="0" vertical="center" wrapText="1"/>
    </xf>
    <xf borderId="0" fillId="2" fontId="67" numFmtId="0" xfId="0" applyAlignment="1" applyFont="1">
      <alignment horizontal="center" shrinkToFit="0" vertical="center" wrapText="1"/>
    </xf>
    <xf borderId="0" fillId="4" fontId="67" numFmtId="0" xfId="0" applyAlignment="1" applyFont="1">
      <alignment horizontal="center" shrinkToFit="0" vertical="center" wrapText="1"/>
    </xf>
    <xf borderId="0" fillId="10" fontId="67" numFmtId="0" xfId="0" applyAlignment="1" applyFont="1">
      <alignment horizontal="center" readingOrder="0" shrinkToFit="0" vertical="center" wrapText="1"/>
    </xf>
    <xf borderId="0" fillId="9" fontId="7" numFmtId="0" xfId="0" applyAlignment="1" applyFont="1">
      <alignment horizontal="center" vertical="center"/>
    </xf>
    <xf borderId="0" fillId="2" fontId="7" numFmtId="0" xfId="0" applyAlignment="1" applyFont="1">
      <alignment horizontal="center" vertical="center"/>
    </xf>
    <xf borderId="0" fillId="4" fontId="7" numFmtId="0" xfId="0" applyAlignment="1" applyFont="1">
      <alignment horizontal="center" vertical="center"/>
    </xf>
    <xf borderId="0" fillId="9" fontId="11" numFmtId="0" xfId="0" applyAlignment="1" applyFont="1">
      <alignment horizontal="center" vertical="center"/>
    </xf>
    <xf borderId="0" fillId="2" fontId="11" numFmtId="0" xfId="0" applyAlignment="1" applyFont="1">
      <alignment horizontal="center" vertical="center"/>
    </xf>
    <xf borderId="0" fillId="4" fontId="11" numFmtId="0" xfId="0" applyAlignment="1" applyFont="1">
      <alignment horizontal="center" vertical="center"/>
    </xf>
    <xf borderId="0" fillId="10" fontId="11" numFmtId="0" xfId="0" applyAlignment="1" applyFont="1">
      <alignment horizontal="center" vertical="center"/>
    </xf>
    <xf borderId="0" fillId="17" fontId="2" numFmtId="0" xfId="0" applyAlignment="1" applyFont="1">
      <alignment horizontal="center" readingOrder="0" shrinkToFit="0" vertical="center" wrapText="1"/>
    </xf>
    <xf borderId="0" fillId="2" fontId="2" numFmtId="0" xfId="0" applyAlignment="1" applyFont="1">
      <alignment horizontal="center" readingOrder="0" shrinkToFit="0" vertical="center" wrapText="1"/>
    </xf>
    <xf borderId="0" fillId="2" fontId="2" numFmtId="0" xfId="0" applyAlignment="1" applyFont="1">
      <alignment horizontal="center" shrinkToFit="0" vertical="center" wrapText="1"/>
    </xf>
    <xf borderId="0" fillId="2" fontId="52" numFmtId="0" xfId="0" applyAlignment="1" applyFont="1">
      <alignment horizontal="center" readingOrder="0" shrinkToFit="0" vertical="center" wrapText="1"/>
    </xf>
    <xf borderId="0" fillId="17" fontId="45" numFmtId="0" xfId="0" applyAlignment="1" applyFont="1">
      <alignment horizontal="center" shrinkToFit="0" wrapText="1"/>
    </xf>
    <xf borderId="0" fillId="17" fontId="37" numFmtId="0" xfId="0" applyAlignment="1" applyFont="1">
      <alignment horizontal="center" shrinkToFit="0" vertical="center" wrapText="1"/>
    </xf>
    <xf borderId="0" fillId="0" fontId="37" numFmtId="0" xfId="0" applyAlignment="1" applyFont="1">
      <alignment horizontal="center" shrinkToFit="0" vertical="center" wrapText="1"/>
    </xf>
    <xf borderId="0" fillId="17" fontId="11" numFmtId="0" xfId="0" applyAlignment="1" applyFont="1">
      <alignment horizontal="left" readingOrder="0" shrinkToFit="0" vertical="center" wrapText="1"/>
    </xf>
    <xf borderId="0" fillId="17" fontId="7" numFmtId="0" xfId="0" applyAlignment="1" applyFont="1">
      <alignment horizontal="center" shrinkToFit="0" wrapText="1"/>
    </xf>
    <xf borderId="0" fillId="2" fontId="45" numFmtId="0" xfId="0" applyAlignment="1" applyFont="1">
      <alignment horizontal="left" shrinkToFit="0" wrapText="1"/>
    </xf>
    <xf borderId="0" fillId="17" fontId="11" numFmtId="0" xfId="0" applyAlignment="1" applyFont="1">
      <alignment horizontal="left" shrinkToFit="0" vertical="center" wrapText="1"/>
    </xf>
    <xf borderId="0" fillId="17" fontId="7" numFmtId="0" xfId="0" applyAlignment="1" applyFont="1">
      <alignment horizontal="center" readingOrder="0" shrinkToFit="0" wrapText="1"/>
    </xf>
    <xf borderId="0" fillId="17" fontId="73" numFmtId="0" xfId="0" applyAlignment="1" applyFont="1">
      <alignment readingOrder="0" shrinkToFit="0" wrapText="1"/>
    </xf>
    <xf borderId="0" fillId="2" fontId="74" numFmtId="0" xfId="0" applyAlignment="1" applyFont="1">
      <alignment readingOrder="0" shrinkToFit="0" wrapText="1"/>
    </xf>
    <xf borderId="0" fillId="2" fontId="75" numFmtId="0" xfId="0" applyAlignment="1" applyFont="1">
      <alignment shrinkToFit="0" vertical="center" wrapText="1"/>
    </xf>
    <xf borderId="0" fillId="17" fontId="76" numFmtId="0" xfId="0" applyAlignment="1" applyFont="1">
      <alignment horizontal="left" readingOrder="0" shrinkToFit="0" wrapText="1"/>
    </xf>
    <xf borderId="0" fillId="2" fontId="77" numFmtId="0" xfId="0" applyAlignment="1" applyFont="1">
      <alignment horizontal="left" readingOrder="0" shrinkToFit="0" wrapText="1"/>
    </xf>
    <xf borderId="0" fillId="0" fontId="11" numFmtId="0" xfId="0" applyAlignment="1" applyFont="1">
      <alignment horizontal="left" readingOrder="0" shrinkToFit="0" vertical="center" wrapText="1"/>
    </xf>
    <xf borderId="0" fillId="9" fontId="50" numFmtId="0" xfId="0" applyAlignment="1" applyFont="1">
      <alignment horizontal="left" readingOrder="0" shrinkToFit="0" vertical="center" wrapText="1"/>
    </xf>
    <xf borderId="0" fillId="2" fontId="50" numFmtId="0" xfId="0" applyAlignment="1" applyFont="1">
      <alignment horizontal="left" shrinkToFit="0" vertical="center" wrapText="1"/>
    </xf>
    <xf borderId="0" fillId="4" fontId="50" numFmtId="0" xfId="0" applyAlignment="1" applyFont="1">
      <alignment horizontal="left" shrinkToFit="0" vertical="center" wrapText="1"/>
    </xf>
    <xf borderId="0" fillId="0" fontId="45" numFmtId="0" xfId="0" applyAlignment="1" applyFont="1">
      <alignment horizontal="left" vertical="center"/>
    </xf>
    <xf borderId="0" fillId="9" fontId="78" numFmtId="0" xfId="0" applyAlignment="1" applyFont="1">
      <alignment horizontal="left" shrinkToFit="0" vertical="center" wrapText="1"/>
    </xf>
    <xf borderId="0" fillId="4" fontId="1" numFmtId="0" xfId="0" applyAlignment="1" applyFont="1">
      <alignment horizontal="left" shrinkToFit="0" vertical="center" wrapText="1"/>
    </xf>
    <xf borderId="0" fillId="9" fontId="1" numFmtId="0" xfId="0" applyAlignment="1" applyFont="1">
      <alignment horizontal="left" shrinkToFit="0" vertical="center" wrapText="1"/>
    </xf>
    <xf borderId="0" fillId="5" fontId="45" numFmtId="0" xfId="0" applyAlignment="1" applyFont="1">
      <alignment horizontal="left" vertical="center"/>
    </xf>
    <xf borderId="0" fillId="9" fontId="1" numFmtId="0" xfId="0" applyAlignment="1" applyFont="1">
      <alignment horizontal="left" vertical="center"/>
    </xf>
    <xf borderId="0" fillId="21" fontId="1" numFmtId="0" xfId="0" applyAlignment="1" applyFill="1" applyFont="1">
      <alignment horizontal="center" shrinkToFit="0" vertical="center" wrapText="1"/>
    </xf>
    <xf borderId="0" fillId="9" fontId="45" numFmtId="0" xfId="0" applyAlignment="1" applyFont="1">
      <alignment horizontal="left" vertical="center"/>
    </xf>
    <xf borderId="0" fillId="2" fontId="45" numFmtId="0" xfId="0" applyAlignment="1" applyFont="1">
      <alignment horizontal="left" vertical="center"/>
    </xf>
    <xf borderId="0" fillId="4" fontId="45" numFmtId="0" xfId="0" applyAlignment="1" applyFont="1">
      <alignment horizontal="left" vertical="center"/>
    </xf>
    <xf borderId="0" fillId="21" fontId="45" numFmtId="0" xfId="0" applyAlignment="1" applyFont="1">
      <alignment horizontal="center" vertical="center"/>
    </xf>
    <xf borderId="0" fillId="4" fontId="50" numFmtId="0" xfId="0" applyAlignment="1" applyFont="1">
      <alignment horizontal="center" readingOrder="0" shrinkToFit="0" vertical="center" wrapText="1"/>
    </xf>
    <xf borderId="0" fillId="4" fontId="2" numFmtId="0" xfId="0" applyAlignment="1" applyFont="1">
      <alignment horizontal="center" readingOrder="0" shrinkToFit="0" vertical="center" wrapText="1"/>
    </xf>
    <xf borderId="0" fillId="18" fontId="2" numFmtId="0" xfId="0" applyAlignment="1" applyFont="1">
      <alignment horizontal="center" readingOrder="0" shrinkToFit="0" vertical="center" wrapText="1"/>
    </xf>
    <xf borderId="0" fillId="18" fontId="2" numFmtId="0" xfId="0" applyAlignment="1" applyFont="1">
      <alignment horizontal="center" shrinkToFit="0" vertical="center" wrapText="1"/>
    </xf>
    <xf borderId="0" fillId="20" fontId="2" numFmtId="0" xfId="0" applyAlignment="1" applyFont="1">
      <alignment horizontal="center" readingOrder="0" shrinkToFit="0" vertical="center" wrapText="1"/>
    </xf>
    <xf borderId="0" fillId="8" fontId="52" numFmtId="0" xfId="0" applyAlignment="1" applyFont="1">
      <alignment horizontal="center" shrinkToFit="0" vertical="center" wrapText="1"/>
    </xf>
    <xf borderId="0" fillId="7" fontId="50" numFmtId="0" xfId="0" applyAlignment="1" applyFont="1">
      <alignment horizontal="center" shrinkToFit="0" vertical="bottom" wrapText="1"/>
    </xf>
    <xf borderId="0" fillId="22" fontId="50" numFmtId="0" xfId="0" applyAlignment="1" applyFill="1" applyFont="1">
      <alignment horizontal="center" shrinkToFit="0" vertical="bottom" wrapText="1"/>
    </xf>
    <xf borderId="0" fillId="22" fontId="50" numFmtId="0" xfId="0" applyAlignment="1" applyFont="1">
      <alignment horizontal="center" readingOrder="0" shrinkToFit="0" vertical="bottom" wrapText="1"/>
    </xf>
    <xf borderId="0" fillId="4" fontId="7" numFmtId="0" xfId="0" applyAlignment="1" applyFont="1">
      <alignment readingOrder="0" shrinkToFit="0" vertical="center" wrapText="1"/>
    </xf>
    <xf borderId="0" fillId="18" fontId="11" numFmtId="0" xfId="0" applyAlignment="1" applyFont="1">
      <alignment horizontal="left" readingOrder="0" shrinkToFit="0" vertical="center" wrapText="1"/>
    </xf>
    <xf borderId="0" fillId="18" fontId="11" numFmtId="0" xfId="0" applyAlignment="1" applyFont="1">
      <alignment horizontal="left" shrinkToFit="0" vertical="center" wrapText="1"/>
    </xf>
    <xf borderId="0" fillId="20" fontId="11" numFmtId="0" xfId="0" applyAlignment="1" applyFont="1">
      <alignment horizontal="left" readingOrder="0" shrinkToFit="0" vertical="center" wrapText="1"/>
    </xf>
    <xf borderId="0" fillId="7" fontId="7" numFmtId="0" xfId="0" applyAlignment="1" applyFont="1">
      <alignment shrinkToFit="0" vertical="bottom" wrapText="1"/>
    </xf>
    <xf borderId="0" fillId="22" fontId="50" numFmtId="0" xfId="0" applyAlignment="1" applyFont="1">
      <alignment horizontal="left" shrinkToFit="0" vertical="bottom" wrapText="1"/>
    </xf>
    <xf borderId="0" fillId="17" fontId="79" numFmtId="0" xfId="0" applyAlignment="1" applyFont="1">
      <alignment horizontal="left" readingOrder="0" shrinkToFit="0" vertical="center" wrapText="1"/>
    </xf>
    <xf borderId="0" fillId="2" fontId="80" numFmtId="0" xfId="0" applyAlignment="1" applyFont="1">
      <alignment horizontal="left" readingOrder="0" shrinkToFit="0" vertical="center" wrapText="1"/>
    </xf>
    <xf borderId="0" fillId="4" fontId="11" numFmtId="0" xfId="0" applyAlignment="1" applyFont="1">
      <alignment horizontal="left" shrinkToFit="0" vertical="center" wrapText="1"/>
    </xf>
    <xf borderId="0" fillId="4" fontId="81" numFmtId="0" xfId="0" applyAlignment="1" applyFont="1">
      <alignment horizontal="left" readingOrder="0" shrinkToFit="0" vertical="center" wrapText="1"/>
    </xf>
    <xf borderId="0" fillId="18" fontId="82" numFmtId="0" xfId="0" applyAlignment="1" applyFont="1">
      <alignment horizontal="left" readingOrder="0" shrinkToFit="0" vertical="center" wrapText="1"/>
    </xf>
    <xf borderId="0" fillId="20" fontId="11" numFmtId="0" xfId="0" applyAlignment="1" applyFont="1">
      <alignment horizontal="left" shrinkToFit="0" vertical="center" wrapText="1"/>
    </xf>
    <xf borderId="0" fillId="20" fontId="83" numFmtId="0" xfId="0" applyAlignment="1" applyFont="1">
      <alignment horizontal="left" readingOrder="0" shrinkToFit="0" vertical="center" wrapText="1"/>
    </xf>
    <xf borderId="0" fillId="8" fontId="45" numFmtId="0" xfId="0" applyAlignment="1" applyFont="1">
      <alignment vertical="center"/>
    </xf>
    <xf borderId="0" fillId="8" fontId="84" numFmtId="0" xfId="0" applyAlignment="1" applyFont="1">
      <alignment shrinkToFit="0" vertical="center" wrapText="1"/>
    </xf>
    <xf borderId="0" fillId="7" fontId="45" numFmtId="0" xfId="0" applyAlignment="1" applyFont="1">
      <alignment vertical="bottom"/>
    </xf>
    <xf borderId="0" fillId="7" fontId="85" numFmtId="0" xfId="0" applyAlignment="1" applyFont="1">
      <alignment horizontal="left" readingOrder="0" shrinkToFit="0" vertical="center" wrapText="1"/>
    </xf>
    <xf borderId="0" fillId="22" fontId="86" numFmtId="0" xfId="0" applyAlignment="1" applyFont="1">
      <alignment horizontal="left" readingOrder="0" shrinkToFit="0" vertical="bottom" wrapText="1"/>
    </xf>
    <xf borderId="0" fillId="0" fontId="63"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38</xdr:col>
      <xdr:colOff>2524125</xdr:colOff>
      <xdr:row>31</xdr:row>
      <xdr:rowOff>552450</xdr:rowOff>
    </xdr:from>
    <xdr:ext cx="1009650" cy="190500"/>
    <xdr:grpSp>
      <xdr:nvGrpSpPr>
        <xdr:cNvPr id="2" name="Shape 2" title="Desenho"/>
        <xdr:cNvGrpSpPr/>
      </xdr:nvGrpSpPr>
      <xdr:grpSpPr>
        <a:xfrm>
          <a:off x="152400" y="152400"/>
          <a:ext cx="1038225" cy="180975"/>
          <a:chOff x="152400" y="152400"/>
          <a:chExt cx="1038225" cy="180975"/>
        </a:xfrm>
      </xdr:grpSpPr>
      <xdr:pic>
        <xdr:nvPicPr>
          <xdr:cNvPr id="3" name="Shape 3" title="image5.png"/>
          <xdr:cNvPicPr preferRelativeResize="0"/>
        </xdr:nvPicPr>
        <xdr:blipFill>
          <a:blip r:embed="rId1">
            <a:alphaModFix/>
          </a:blip>
          <a:stretch>
            <a:fillRect/>
          </a:stretch>
        </xdr:blipFill>
        <xdr:spPr>
          <a:xfrm>
            <a:off x="152400" y="152400"/>
            <a:ext cx="1038225" cy="180975"/>
          </a:xfrm>
          <a:prstGeom prst="rect">
            <a:avLst/>
          </a:prstGeom>
          <a:noFill/>
          <a:ln>
            <a:noFill/>
          </a:ln>
        </xdr:spPr>
      </xdr:pic>
    </xdr:grp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store.steampowered.com/app/3238940/_/" TargetMode="External"/><Relationship Id="rId42" Type="http://schemas.openxmlformats.org/officeDocument/2006/relationships/hyperlink" Target="https://store.steampowered.com/app/3238940/_/" TargetMode="External"/><Relationship Id="rId41" Type="http://schemas.openxmlformats.org/officeDocument/2006/relationships/hyperlink" Target="https://store.steampowered.com/app/3238940/_/" TargetMode="External"/><Relationship Id="rId44" Type="http://schemas.openxmlformats.org/officeDocument/2006/relationships/hyperlink" Target="https://store.steampowered.com/app/3238940/_/" TargetMode="External"/><Relationship Id="rId43" Type="http://schemas.openxmlformats.org/officeDocument/2006/relationships/hyperlink" Target="https://store.steampowered.com/app/3238940/_/" TargetMode="External"/><Relationship Id="rId46" Type="http://schemas.openxmlformats.org/officeDocument/2006/relationships/hyperlink" Target="https://nlch.itch.io/sister/devlog/879085/demo-v065a-release" TargetMode="External"/><Relationship Id="rId45" Type="http://schemas.openxmlformats.org/officeDocument/2006/relationships/hyperlink" Target="https://nlch.itch.io/sister/devlog/879085/demo-v065a-release" TargetMode="External"/><Relationship Id="rId48" Type="http://schemas.openxmlformats.org/officeDocument/2006/relationships/hyperlink" Target="https://nlch.itch.io/sister/devlog/879085/demo-v065a-release" TargetMode="External"/><Relationship Id="rId47" Type="http://schemas.openxmlformats.org/officeDocument/2006/relationships/hyperlink" Target="https://nlch.itch.io/sister/devlog/879085/demo-v065a-release" TargetMode="External"/><Relationship Id="rId49" Type="http://schemas.openxmlformats.org/officeDocument/2006/relationships/hyperlink" Target="https://nlch.itch.io/sister/devlog/879085/demo-v065a-release" TargetMode="External"/><Relationship Id="rId103" Type="http://schemas.openxmlformats.org/officeDocument/2006/relationships/drawing" Target="../drawings/drawing1.xml"/><Relationship Id="rId102" Type="http://schemas.openxmlformats.org/officeDocument/2006/relationships/hyperlink" Target="https://www.bilibili.com/opus/985591575966908440?spm_id_from=333.999.0.0" TargetMode="External"/><Relationship Id="rId101" Type="http://schemas.openxmlformats.org/officeDocument/2006/relationships/hyperlink" Target="https://www.bilibili.com/opus/985591575966908440?spm_id_from=333.999.0.0" TargetMode="External"/><Relationship Id="rId100" Type="http://schemas.openxmlformats.org/officeDocument/2006/relationships/hyperlink" Target="https://home.gamer.com.tw/artwork.php?sn=6032493" TargetMode="External"/><Relationship Id="rId31" Type="http://schemas.openxmlformats.org/officeDocument/2006/relationships/hyperlink" Target="https://discord.gg/2Bt7RWknyH" TargetMode="External"/><Relationship Id="rId30" Type="http://schemas.openxmlformats.org/officeDocument/2006/relationships/hyperlink" Target="https://discord.gg/2Bt7RWknyH" TargetMode="External"/><Relationship Id="rId33" Type="http://schemas.openxmlformats.org/officeDocument/2006/relationships/hyperlink" Target="https://discord.gg/2Bt7RWknyH" TargetMode="External"/><Relationship Id="rId32" Type="http://schemas.openxmlformats.org/officeDocument/2006/relationships/hyperlink" Target="https://discord.gg/2Bt7RWknyH" TargetMode="External"/><Relationship Id="rId35" Type="http://schemas.openxmlformats.org/officeDocument/2006/relationships/hyperlink" Target="https://store.steampowered.com/app/3238940/_/" TargetMode="External"/><Relationship Id="rId34" Type="http://schemas.openxmlformats.org/officeDocument/2006/relationships/hyperlink" Target="https://store.steampowered.com/app/3238940/_/" TargetMode="External"/><Relationship Id="rId37" Type="http://schemas.openxmlformats.org/officeDocument/2006/relationships/hyperlink" Target="https://store.steampowered.com/app/3238940/_/" TargetMode="External"/><Relationship Id="rId36" Type="http://schemas.openxmlformats.org/officeDocument/2006/relationships/hyperlink" Target="https://store.steampowered.com/app/3238940/_/" TargetMode="External"/><Relationship Id="rId39" Type="http://schemas.openxmlformats.org/officeDocument/2006/relationships/hyperlink" Target="https://store.steampowered.com/app/3238940/_/" TargetMode="External"/><Relationship Id="rId38" Type="http://schemas.openxmlformats.org/officeDocument/2006/relationships/hyperlink" Target="https://store.steampowered.com/app/3238940/_/" TargetMode="External"/><Relationship Id="rId20" Type="http://schemas.openxmlformats.org/officeDocument/2006/relationships/hyperlink" Target="https://maidbunnycorp.github.io/UsadventureMap/" TargetMode="External"/><Relationship Id="rId22" Type="http://schemas.openxmlformats.org/officeDocument/2006/relationships/hyperlink" Target="https://maidbunnycorp.github.io/UsadventureMap/" TargetMode="External"/><Relationship Id="rId21" Type="http://schemas.openxmlformats.org/officeDocument/2006/relationships/hyperlink" Target="https://maidbunnycorp.github.io/UsadventureMap/" TargetMode="External"/><Relationship Id="rId24" Type="http://schemas.openxmlformats.org/officeDocument/2006/relationships/hyperlink" Target="https://discord.gg/2Bt7RWknyH" TargetMode="External"/><Relationship Id="rId23" Type="http://schemas.openxmlformats.org/officeDocument/2006/relationships/hyperlink" Target="https://discord.gg/2Bt7RWknyH" TargetMode="External"/><Relationship Id="rId26" Type="http://schemas.openxmlformats.org/officeDocument/2006/relationships/hyperlink" Target="https://discord.gg/2Bt7RWknyH" TargetMode="External"/><Relationship Id="rId25" Type="http://schemas.openxmlformats.org/officeDocument/2006/relationships/hyperlink" Target="https://discord.gg/2Bt7RWknyH" TargetMode="External"/><Relationship Id="rId28" Type="http://schemas.openxmlformats.org/officeDocument/2006/relationships/hyperlink" Target="https://discord.gg/2Bt7RWknyH" TargetMode="External"/><Relationship Id="rId27" Type="http://schemas.openxmlformats.org/officeDocument/2006/relationships/hyperlink" Target="https://discord.gg/2Bt7RWknyH" TargetMode="External"/><Relationship Id="rId29" Type="http://schemas.openxmlformats.org/officeDocument/2006/relationships/hyperlink" Target="https://discord.gg/2Bt7RWknyH" TargetMode="External"/><Relationship Id="rId95" Type="http://schemas.openxmlformats.org/officeDocument/2006/relationships/hyperlink" Target="https://home.gamer.com.tw/artwork.php?sn=6032493" TargetMode="External"/><Relationship Id="rId94" Type="http://schemas.openxmlformats.org/officeDocument/2006/relationships/hyperlink" Target="https://store.steampowered.com/app/3238940/_/" TargetMode="External"/><Relationship Id="rId97" Type="http://schemas.openxmlformats.org/officeDocument/2006/relationships/hyperlink" Target="https://home.gamer.com.tw/artwork.php?sn=6032493" TargetMode="External"/><Relationship Id="rId96" Type="http://schemas.openxmlformats.org/officeDocument/2006/relationships/hyperlink" Target="https://home.gamer.com.tw/artwork.php?sn=6032493" TargetMode="External"/><Relationship Id="rId11" Type="http://schemas.openxmlformats.org/officeDocument/2006/relationships/hyperlink" Target="https://docs.google.com/spreadsheets/d/e/2PACX-1vSc9bl2zSdkbhz_EeRndV7lSRBVSBtMRUk_rY0O1FQWWw4W0XVm9_ja__2ClO2BMfCJrN-YnlMAd-OL/pubhtml" TargetMode="External"/><Relationship Id="rId99" Type="http://schemas.openxmlformats.org/officeDocument/2006/relationships/hyperlink" Target="https://home.gamer.com.tw/artwork.php?sn=6032493" TargetMode="External"/><Relationship Id="rId10" Type="http://schemas.openxmlformats.org/officeDocument/2006/relationships/hyperlink" Target="https://docs.google.com/spreadsheets/d/e/2PACX-1vSc9bl2zSdkbhz_EeRndV7lSRBVSBtMRUk_rY0O1FQWWw4W0XVm9_ja__2ClO2BMfCJrN-YnlMAd-OL/pubhtml" TargetMode="External"/><Relationship Id="rId98" Type="http://schemas.openxmlformats.org/officeDocument/2006/relationships/hyperlink" Target="https://home.gamer.com.tw/artwork.php?sn=6032493" TargetMode="External"/><Relationship Id="rId13" Type="http://schemas.openxmlformats.org/officeDocument/2006/relationships/hyperlink" Target="https://maidbunnycorp.github.io/UsadventureMap/" TargetMode="External"/><Relationship Id="rId12" Type="http://schemas.openxmlformats.org/officeDocument/2006/relationships/hyperlink" Target="https://maidbunnycorp.github.io/UsadventureMap/" TargetMode="External"/><Relationship Id="rId91" Type="http://schemas.openxmlformats.org/officeDocument/2006/relationships/hyperlink" Target="https://store.steampowered.com/app/3238940/_/" TargetMode="External"/><Relationship Id="rId90" Type="http://schemas.openxmlformats.org/officeDocument/2006/relationships/hyperlink" Target="https://store.steampowered.com/app/3238940/_/" TargetMode="External"/><Relationship Id="rId93" Type="http://schemas.openxmlformats.org/officeDocument/2006/relationships/hyperlink" Target="https://store.steampowered.com/app/3238940/_/" TargetMode="External"/><Relationship Id="rId92" Type="http://schemas.openxmlformats.org/officeDocument/2006/relationships/hyperlink" Target="https://store.steampowered.com/app/3238940/_/" TargetMode="External"/><Relationship Id="rId15" Type="http://schemas.openxmlformats.org/officeDocument/2006/relationships/hyperlink" Target="https://maidbunnycorp.github.io/UsadventureMap/" TargetMode="External"/><Relationship Id="rId14" Type="http://schemas.openxmlformats.org/officeDocument/2006/relationships/hyperlink" Target="https://maidbunnycorp.github.io/UsadventureMap/" TargetMode="External"/><Relationship Id="rId17" Type="http://schemas.openxmlformats.org/officeDocument/2006/relationships/hyperlink" Target="https://maidbunnycorp.github.io/UsadventureMap/" TargetMode="External"/><Relationship Id="rId16" Type="http://schemas.openxmlformats.org/officeDocument/2006/relationships/hyperlink" Target="https://maidbunnycorp.github.io/UsadventureMap/" TargetMode="External"/><Relationship Id="rId19" Type="http://schemas.openxmlformats.org/officeDocument/2006/relationships/hyperlink" Target="https://maidbunnycorp.github.io/UsadventureMap/" TargetMode="External"/><Relationship Id="rId18" Type="http://schemas.openxmlformats.org/officeDocument/2006/relationships/hyperlink" Target="https://maidbunnycorp.github.io/UsadventureMap/" TargetMode="External"/><Relationship Id="rId84" Type="http://schemas.openxmlformats.org/officeDocument/2006/relationships/hyperlink" Target="https://ci-en.dlsite.com/creator/24375/plan" TargetMode="External"/><Relationship Id="rId83" Type="http://schemas.openxmlformats.org/officeDocument/2006/relationships/hyperlink" Target="https://ci-en.dlsite.com/creator/24375/plan" TargetMode="External"/><Relationship Id="rId86" Type="http://schemas.openxmlformats.org/officeDocument/2006/relationships/hyperlink" Target="https://perohub.com/posts/6773ed3e7e0707642a5c7882" TargetMode="External"/><Relationship Id="rId85" Type="http://schemas.openxmlformats.org/officeDocument/2006/relationships/hyperlink" Target="https://store.steampowered.com/app/3238940/_/" TargetMode="External"/><Relationship Id="rId88" Type="http://schemas.openxmlformats.org/officeDocument/2006/relationships/hyperlink" Target="https://perohub.com/posts/6773ed3e7e0707642a5c7882" TargetMode="External"/><Relationship Id="rId87" Type="http://schemas.openxmlformats.org/officeDocument/2006/relationships/hyperlink" Target="https://store.steampowered.com/app/3238940/_/" TargetMode="External"/><Relationship Id="rId89" Type="http://schemas.openxmlformats.org/officeDocument/2006/relationships/hyperlink" Target="https://store.steampowered.com/app/3238940/_/" TargetMode="External"/><Relationship Id="rId80" Type="http://schemas.openxmlformats.org/officeDocument/2006/relationships/hyperlink" Target="https://ci-en.dlsite.com/creator/24375/plan" TargetMode="External"/><Relationship Id="rId82" Type="http://schemas.openxmlformats.org/officeDocument/2006/relationships/hyperlink" Target="https://ci-en.dlsite.com/creator/24375/plan" TargetMode="External"/><Relationship Id="rId81" Type="http://schemas.openxmlformats.org/officeDocument/2006/relationships/hyperlink" Target="https://ci-en.dlsite.com/creator/24375/plan" TargetMode="External"/><Relationship Id="rId1" Type="http://schemas.openxmlformats.org/officeDocument/2006/relationships/hyperlink" Target="https://docs.google.com/spreadsheets/d/e/2PACX-1vSc9bl2zSdkbhz_EeRndV7lSRBVSBtMRUk_rY0O1FQWWw4W0XVm9_ja__2ClO2BMfCJrN-YnlMAd-OL/pubhtml" TargetMode="External"/><Relationship Id="rId2" Type="http://schemas.openxmlformats.org/officeDocument/2006/relationships/hyperlink" Target="https://docs.google.com/spreadsheets/d/e/2PACX-1vSc9bl2zSdkbhz_EeRndV7lSRBVSBtMRUk_rY0O1FQWWw4W0XVm9_ja__2ClO2BMfCJrN-YnlMAd-OL/pubhtml" TargetMode="External"/><Relationship Id="rId3" Type="http://schemas.openxmlformats.org/officeDocument/2006/relationships/hyperlink" Target="https://docs.google.com/spreadsheets/d/e/2PACX-1vSc9bl2zSdkbhz_EeRndV7lSRBVSBtMRUk_rY0O1FQWWw4W0XVm9_ja__2ClO2BMfCJrN-YnlMAd-OL/pubhtml" TargetMode="External"/><Relationship Id="rId4" Type="http://schemas.openxmlformats.org/officeDocument/2006/relationships/hyperlink" Target="https://docs.google.com/spreadsheets/d/e/2PACX-1vSc9bl2zSdkbhz_EeRndV7lSRBVSBtMRUk_rY0O1FQWWw4W0XVm9_ja__2ClO2BMfCJrN-YnlMAd-OL/pubhtml" TargetMode="External"/><Relationship Id="rId9" Type="http://schemas.openxmlformats.org/officeDocument/2006/relationships/hyperlink" Target="https://docs.google.com/spreadsheets/d/e/2PACX-1vSc9bl2zSdkbhz_EeRndV7lSRBVSBtMRUk_rY0O1FQWWw4W0XVm9_ja__2ClO2BMfCJrN-YnlMAd-OL/pubhtml" TargetMode="External"/><Relationship Id="rId5" Type="http://schemas.openxmlformats.org/officeDocument/2006/relationships/hyperlink" Target="https://docs.google.com/spreadsheets/d/e/2PACX-1vSc9bl2zSdkbhz_EeRndV7lSRBVSBtMRUk_rY0O1FQWWw4W0XVm9_ja__2ClO2BMfCJrN-YnlMAd-OL/pubhtml" TargetMode="External"/><Relationship Id="rId6" Type="http://schemas.openxmlformats.org/officeDocument/2006/relationships/hyperlink" Target="https://docs.google.com/spreadsheets/d/e/2PACX-1vSc9bl2zSdkbhz_EeRndV7lSRBVSBtMRUk_rY0O1FQWWw4W0XVm9_ja__2ClO2BMfCJrN-YnlMAd-OL/pubhtml" TargetMode="External"/><Relationship Id="rId7" Type="http://schemas.openxmlformats.org/officeDocument/2006/relationships/hyperlink" Target="https://docs.google.com/spreadsheets/d/e/2PACX-1vSc9bl2zSdkbhz_EeRndV7lSRBVSBtMRUk_rY0O1FQWWw4W0XVm9_ja__2ClO2BMfCJrN-YnlMAd-OL/pubhtml" TargetMode="External"/><Relationship Id="rId8" Type="http://schemas.openxmlformats.org/officeDocument/2006/relationships/hyperlink" Target="https://docs.google.com/spreadsheets/d/e/2PACX-1vSc9bl2zSdkbhz_EeRndV7lSRBVSBtMRUk_rY0O1FQWWw4W0XVm9_ja__2ClO2BMfCJrN-YnlMAd-OL/pubhtml" TargetMode="External"/><Relationship Id="rId73" Type="http://schemas.openxmlformats.org/officeDocument/2006/relationships/hyperlink" Target="https://nlch.fanbox.cc/posts/9317203" TargetMode="External"/><Relationship Id="rId72" Type="http://schemas.openxmlformats.org/officeDocument/2006/relationships/hyperlink" Target="https://nlch.fanbox.cc/posts/9317203" TargetMode="External"/><Relationship Id="rId75" Type="http://schemas.openxmlformats.org/officeDocument/2006/relationships/hyperlink" Target="https://ci-en.dlsite.com/creator/24375/plan" TargetMode="External"/><Relationship Id="rId74" Type="http://schemas.openxmlformats.org/officeDocument/2006/relationships/hyperlink" Target="https://nlch.fanbox.cc/posts/9317203" TargetMode="External"/><Relationship Id="rId77" Type="http://schemas.openxmlformats.org/officeDocument/2006/relationships/hyperlink" Target="https://ci-en.dlsite.com/creator/24375/plan" TargetMode="External"/><Relationship Id="rId76" Type="http://schemas.openxmlformats.org/officeDocument/2006/relationships/hyperlink" Target="https://ci-en.dlsite.com/creator/24375/plan" TargetMode="External"/><Relationship Id="rId79" Type="http://schemas.openxmlformats.org/officeDocument/2006/relationships/hyperlink" Target="https://ci-en.dlsite.com/creator/24375/plan" TargetMode="External"/><Relationship Id="rId78" Type="http://schemas.openxmlformats.org/officeDocument/2006/relationships/hyperlink" Target="https://ci-en.dlsite.com/creator/24375/plan" TargetMode="External"/><Relationship Id="rId71" Type="http://schemas.openxmlformats.org/officeDocument/2006/relationships/hyperlink" Target="https://nlch.fanbox.cc/posts/9317203" TargetMode="External"/><Relationship Id="rId70" Type="http://schemas.openxmlformats.org/officeDocument/2006/relationships/hyperlink" Target="https://nlch.fanbox.cc/posts/9317203" TargetMode="External"/><Relationship Id="rId62" Type="http://schemas.openxmlformats.org/officeDocument/2006/relationships/hyperlink" Target="https://perohub.com/posts/6773ed3e7e0707642a5c7882" TargetMode="External"/><Relationship Id="rId61" Type="http://schemas.openxmlformats.org/officeDocument/2006/relationships/hyperlink" Target="https://perohub.com/posts/6773ed3e7e0707642a5c7882" TargetMode="External"/><Relationship Id="rId64" Type="http://schemas.openxmlformats.org/officeDocument/2006/relationships/hyperlink" Target="https://perohub.com/posts/6773ed3e7e0707642a5c7882" TargetMode="External"/><Relationship Id="rId63" Type="http://schemas.openxmlformats.org/officeDocument/2006/relationships/hyperlink" Target="https://perohub.com/posts/6773ed3e7e0707642a5c7882" TargetMode="External"/><Relationship Id="rId66" Type="http://schemas.openxmlformats.org/officeDocument/2006/relationships/hyperlink" Target="https://ci-en.dlsite.com/creator/24375/plan" TargetMode="External"/><Relationship Id="rId65" Type="http://schemas.openxmlformats.org/officeDocument/2006/relationships/hyperlink" Target="https://nlch.fanbox.cc/posts/9317203" TargetMode="External"/><Relationship Id="rId68" Type="http://schemas.openxmlformats.org/officeDocument/2006/relationships/hyperlink" Target="https://ci-en.dlsite.com/creator/24375/plan" TargetMode="External"/><Relationship Id="rId67" Type="http://schemas.openxmlformats.org/officeDocument/2006/relationships/hyperlink" Target="https://ci-en.dlsite.com/creator/24375/plan" TargetMode="External"/><Relationship Id="rId60" Type="http://schemas.openxmlformats.org/officeDocument/2006/relationships/hyperlink" Target="https://perohub.com/posts/6773ed3e7e0707642a5c7882" TargetMode="External"/><Relationship Id="rId69" Type="http://schemas.openxmlformats.org/officeDocument/2006/relationships/hyperlink" Target="https://nlch.fanbox.cc/posts/9317203" TargetMode="External"/><Relationship Id="rId51" Type="http://schemas.openxmlformats.org/officeDocument/2006/relationships/hyperlink" Target="https://nlch.itch.io/sister/devlog/879085/demo-v065a-release" TargetMode="External"/><Relationship Id="rId50" Type="http://schemas.openxmlformats.org/officeDocument/2006/relationships/hyperlink" Target="https://nlch.itch.io/sister/devlog/879085/demo-v065a-release" TargetMode="External"/><Relationship Id="rId53" Type="http://schemas.openxmlformats.org/officeDocument/2006/relationships/hyperlink" Target="https://nlch.itch.io/sister/" TargetMode="External"/><Relationship Id="rId52" Type="http://schemas.openxmlformats.org/officeDocument/2006/relationships/hyperlink" Target="https://nlch.itch.io/sister/devlog/879085/demo-v065a-release" TargetMode="External"/><Relationship Id="rId55" Type="http://schemas.openxmlformats.org/officeDocument/2006/relationships/hyperlink" Target="https://nlch.itch.io/sister/devlog/879085/demo-v065a-release" TargetMode="External"/><Relationship Id="rId54" Type="http://schemas.openxmlformats.org/officeDocument/2006/relationships/hyperlink" Target="https://nlch.itch.io/sister/devlog/879085/demo-v065a-release" TargetMode="External"/><Relationship Id="rId57" Type="http://schemas.openxmlformats.org/officeDocument/2006/relationships/hyperlink" Target="https://perohub.com/posts/6773ed3e7e0707642a5c7882" TargetMode="External"/><Relationship Id="rId56" Type="http://schemas.openxmlformats.org/officeDocument/2006/relationships/hyperlink" Target="https://perohub.com/posts/6773ed3e7e0707642a5c7882" TargetMode="External"/><Relationship Id="rId59" Type="http://schemas.openxmlformats.org/officeDocument/2006/relationships/hyperlink" Target="https://perohub.com/posts/6773ed3e7e0707642a5c7882" TargetMode="External"/><Relationship Id="rId58" Type="http://schemas.openxmlformats.org/officeDocument/2006/relationships/hyperlink" Target="https://perohub.com/posts/6773ed3e7e0707642a5c7882"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hyperlink" Target="https://maidbunnycorp.github.io/UsadventureMap/" TargetMode="External"/><Relationship Id="rId2" Type="http://schemas.openxmlformats.org/officeDocument/2006/relationships/hyperlink" Target="https://maidbunnycorp.github.io/UsadventureMap/" TargetMode="External"/><Relationship Id="rId3" Type="http://schemas.openxmlformats.org/officeDocument/2006/relationships/hyperlink" Target="https://maidbunnycorp.github.io/UsadventureMap/" TargetMode="External"/><Relationship Id="rId4" Type="http://schemas.openxmlformats.org/officeDocument/2006/relationships/hyperlink" Target="https://maidbunnycorp.github.io/UsadventureMap/" TargetMode="Externa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9.xml"/><Relationship Id="rId3"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youtube.com/shorts/xnpRC9QNiiE" TargetMode="External"/><Relationship Id="rId2" Type="http://schemas.openxmlformats.org/officeDocument/2006/relationships/hyperlink" Target="https://www.youtube.com/shorts/xnpRC9QNiiE" TargetMode="External"/><Relationship Id="rId3" Type="http://schemas.openxmlformats.org/officeDocument/2006/relationships/hyperlink" Target="https://www.youtube.com/shorts/xnpRC9QNiiE" TargetMode="External"/><Relationship Id="rId4" Type="http://schemas.openxmlformats.org/officeDocument/2006/relationships/hyperlink" Target="https://www.youtube.com/shorts/xnpRC9QNiiE" TargetMode="External"/><Relationship Id="rId9" Type="http://schemas.openxmlformats.org/officeDocument/2006/relationships/drawing" Target="../drawings/drawing12.xml"/><Relationship Id="rId5" Type="http://schemas.openxmlformats.org/officeDocument/2006/relationships/hyperlink" Target="https://www.youtube.com/shorts/xnpRC9QNiiE" TargetMode="External"/><Relationship Id="rId6" Type="http://schemas.openxmlformats.org/officeDocument/2006/relationships/hyperlink" Target="https://www.youtube.com/shorts/xnpRC9QNiiE" TargetMode="External"/><Relationship Id="rId7" Type="http://schemas.openxmlformats.org/officeDocument/2006/relationships/hyperlink" Target="https://www.youtube.com/shorts/xnpRC9QNiiE" TargetMode="External"/><Relationship Id="rId8" Type="http://schemas.openxmlformats.org/officeDocument/2006/relationships/hyperlink" Target="https://www.youtube.com/shorts/xnpRC9QNiiE"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discord.gg/2Bt7RWknyH" TargetMode="External"/><Relationship Id="rId2" Type="http://schemas.openxmlformats.org/officeDocument/2006/relationships/hyperlink" Target="https://www.youtube.com/@niliiuchahui" TargetMode="External"/><Relationship Id="rId3" Type="http://schemas.openxmlformats.org/officeDocument/2006/relationships/hyperlink" Target="https://space.bilibili.com/3546870175500719" TargetMode="External"/><Relationship Id="rId4" Type="http://schemas.openxmlformats.org/officeDocument/2006/relationships/hyperlink" Target="https://www.youtube.com/@akichyan1006" TargetMode="External"/><Relationship Id="rId5" Type="http://schemas.openxmlformats.org/officeDocument/2006/relationships/hyperlink" Target="https://space.bilibili.com/37265298" TargetMode="External"/><Relationship Id="rId6" Type="http://schemas.openxmlformats.org/officeDocument/2006/relationships/hyperlink" Target="https://www.youtube.com/@%E5%AD%98%E5%9C%A8%E6%84%9F%E5%A6%B9%E5%A6%B9%E7%94%9F%E6%B4%BB" TargetMode="External"/><Relationship Id="rId7"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youtu.be/9NSNcMB5M2o?si=_nR2RHRkdzElWJix" TargetMode="External"/><Relationship Id="rId2" Type="http://schemas.openxmlformats.org/officeDocument/2006/relationships/hyperlink" Target="https://www.youtube.com/watch?v=9NSNcMB5M2o&amp;ab_channel=gabrielb" TargetMode="External"/><Relationship Id="rId3" Type="http://schemas.openxmlformats.org/officeDocument/2006/relationships/hyperlink" Target="https://www.youtube.com/watch?v=9NSNcMB5M2o&amp;ab_channel=gabrielb" TargetMode="External"/><Relationship Id="rId4" Type="http://schemas.openxmlformats.org/officeDocument/2006/relationships/hyperlink" Target="https://youtu.be/9NSNcMB5M2o?si=_nR2RHRkdzElWJix" TargetMode="External"/><Relationship Id="rId5" Type="http://schemas.openxmlformats.org/officeDocument/2006/relationships/hyperlink" Target="https://www.youtube.com/watch?v=akpsRsXX1r0" TargetMode="External"/><Relationship Id="rId6" Type="http://schemas.openxmlformats.org/officeDocument/2006/relationships/hyperlink" Target="https://www.youtube.com/watch?v=9NSNcMB5M2o&amp;ab_channel=gabrielb" TargetMode="External"/><Relationship Id="rId7" Type="http://schemas.openxmlformats.org/officeDocument/2006/relationships/hyperlink" Target="https://www.youtube.com/watch?v=9NSNcMB5M2o&amp;ab_channel=gabrielb" TargetMode="External"/><Relationship Id="rId8"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47.63"/>
    <col customWidth="1" min="4" max="4" width="47.75"/>
    <col customWidth="1" min="5" max="12" width="47.63"/>
    <col customWidth="1" min="13" max="26" width="44.38"/>
  </cols>
  <sheetData>
    <row r="1" ht="334.5" customHeight="1">
      <c r="A1" s="1" t="s">
        <v>0</v>
      </c>
      <c r="B1" s="1" t="s">
        <v>1</v>
      </c>
      <c r="C1" s="1" t="s">
        <v>2</v>
      </c>
      <c r="D1" s="2" t="str">
        <f>IFERROR(__xludf.DUMMYFUNCTION("GOOGLETRANSLATE(A1,""zh-tw"",""zh"")"),"主编辑Discord:RORO#3330
主编辑信箱：gameconlch@gmail.com
日文翻译人员：눈_눈
英文翻译人员：Ruika
简体中文翻译人员：:ShigeLuna
西班牙文翻译人员：AndyJango、maxi3002GD、samstagkaiser
德语翻译人员：Gabriel
俄语翻译人员：Libeti、Huntero 
韩文翻译人员：몽블랑맛르블랑
越文翻译人员：IntenseLag、Nian Sprout
巴西葡语翻译人员：Hyphot
印尼语翻译人员：Nekonin、Raf"&amp;"iq8K、ZERO
乌克兰翻译人员：Henk、Gof_de_Prush
协助资料汇整人员：南山、落染
过往协助翻译者：maltesey、zNagato
互动地图网站制作：Ruika
地图Map图档制作:mioakatukaze")</f>
        <v>主编辑Discord:RORO#3330
主编辑信箱：gameconlch@gmail.com
日文翻译人员：눈_눈
英文翻译人员：Ruika
简体中文翻译人员：:ShigeLuna
西班牙文翻译人员：AndyJango、maxi3002GD、samstagkaiser
德语翻译人员：Gabriel
俄语翻译人员：Libeti、Huntero 
韩文翻译人员：몽블랑맛르블랑
越文翻译人员：IntenseLag、Nian Sprout
巴西葡语翻译人员：Hyphot
印尼语翻译人员：Nekonin、Rafiq8K、ZERO
乌克兰翻译人员：Henk、Gof_de_Prush
协助资料汇整人员：南山、落染
过往协助翻译者：maltesey、zNagato
互动地图网站制作：Ruika
地图Map图档制作:mioakatukaze</v>
      </c>
      <c r="E1" s="3" t="str">
        <f>IFERROR(__xludf.DUMMYFUNCTION("GOOGLETRANSLATE(A1,""zh-tw"",""es-MX"")"),"Discord del editor jefe: RORO#3330
Correo electrónico del editor jefe: gameconlch@gmail.com
Traductor japonés: 눈_눈
Traductor inglés: Ruika
Traductor chino simplificado: ShigeLuna
Traductor español: AndyJango, maxi3002GD, samstagkaiser
Traductor alemán: G"&amp;"abriel
Traductor ruso: Libeti, Huntero
Traductor coreano: 몽블랑맛르블랑
Traductor vietnamita: IntenseLag, Nian Sprout
Traductor portugués brasileño: Hyphot
Traductor indonesio: Nekonin, Rafiq8K, ZERO
Traductor ucraniano: Henk, Gof_de_Prush
Asistencia en la comp"&amp;"ilación de datos: Nanshan, Luoran
Traductores anteriores: maltsey, zNagato
Creación del sitio web del mapa interactivo: Ruika
Creación del archivo del mapa: mioakatukaze")</f>
        <v>Discord del editor jefe: RORO#3330
Correo electrónico del editor jefe: gameconlch@gmail.com
Traductor japonés: 눈_눈
Traductor inglés: Ruika
Traductor chino simplificado: ShigeLuna
Traductor español: AndyJango, maxi3002GD, samstagkaiser
Traductor alemán: Gabriel
Traductor ruso: Libeti, Huntero
Traductor coreano: 몽블랑맛르블랑
Traductor vietnamita: IntenseLag, Nian Sprout
Traductor portugués brasileño: Hyphot
Traductor indonesio: Nekonin, Rafiq8K, ZERO
Traductor ucraniano: Henk, Gof_de_Prush
Asistencia en la compilación de datos: Nanshan, Luoran
Traductores anteriores: maltsey, zNagato
Creación del sitio web del mapa interactivo: Ruika
Creación del archivo del mapa: mioakatukaze</v>
      </c>
      <c r="F1" s="4" t="str">
        <f>IFERROR(__xludf.DUMMYFUNCTION("GOOGLETRANSLATE(A1,""zh-tw"",""KO"")"),"편집장 디스코드: RORO#3330
편집장 이메일: gameconlch@gmail.com
일본어 번역: 눈_눈
영어 번역: Ruika
중국어 간체 번역: ShigeLuna
스페인어 번역: AndyJango, maxi3002GD, samstagkaiser
독일어 번역: Gabriel
러시아어 번역: Libeti, Huntero
한국어 번역: 몽블랑맛르블랑
베트남어 번역: IntenseLag, Nian Sprout
브라질 포르투갈어 번역: Hyphot
인"&amp;"도네시아어 번역: Nekonin, Rafiq8K, ZERO
우크라이나어 번역: Henk, Gof_de_Prush
데이터 수집 지원: Nanshan, Luoran
이전 번역: maltsey, zNagato
인터랙티브 지도 웹사이트 제작: Ruika
지도 파일 제작: mioakatukaze")</f>
        <v>편집장 디스코드: RORO#3330
편집장 이메일: gameconlch@gmail.com
일본어 번역: 눈_눈
영어 번역: Ruika
중국어 간체 번역: ShigeLuna
스페인어 번역: AndyJango, maxi3002GD, samstagkaiser
독일어 번역: Gabriel
러시아어 번역: Libeti, Huntero
한국어 번역: 몽블랑맛르블랑
베트남어 번역: IntenseLag, Nian Sprout
브라질 포르투갈어 번역: Hyphot
인도네시아어 번역: Nekonin, Rafiq8K, ZERO
우크라이나어 번역: Henk, Gof_de_Prush
데이터 수집 지원: Nanshan, Luoran
이전 번역: maltsey, zNagato
인터랙티브 지도 웹사이트 제작: Ruika
지도 파일 제작: mioakatukaze</v>
      </c>
      <c r="G1" s="3" t="s">
        <v>3</v>
      </c>
      <c r="H1" s="3" t="str">
        <f>IFERROR(__xludf.DUMMYFUNCTION("GOOGLETRANSLATE(A1,""zh-tw"",""DE"")"),"Discord-Server des Chefredakteurs: RORO#3330
E-Mail-Adresse des Chefredakteurs: gameconlch@gmail.com
Japanischer Übersetzer: 눈_눈
Englischer Übersetzer: Ruika
Vereinfachter Chinesischer Übersetzer: ShigeLuna
Spanischer Übersetzer: AndyJango, maxi3002GD, s"&amp;"amstagkaiser
Deutscher Übersetzer: Gabriel
Russischer Übersetzer: Libeti, Huntero
Koreanischer Übersetzer: 몽블랑맛르블랑
Vietnamesischer Übersetzer: IntenseLag, Nian Sprout
Brasilianischer Portugiesisch-Übersetzer: Hyphot
Indonesischer Übersetzer: Nekonin, Rafi"&amp;"q8K, ZERO
Ukrainischer Übersetzer: Henk, Gof_de_Prush
Unterstützung bei der Datenzusammenstellung: Nanshan, Luoran
Frühere Übersetzer: maltsey, zNagato
Erstellung der interaktiven Karten-Website: Ruika
Erstellung der Kartendatei: mioakatukaze")</f>
        <v>Discord-Server des Chefredakteurs: RORO#3330
E-Mail-Adresse des Chefredakteurs: gameconlch@gmail.com
Japanischer Übersetzer: 눈_눈
Englischer Übersetzer: Ruika
Vereinfachter Chinesischer Übersetzer: ShigeLuna
Spanischer Übersetzer: AndyJango, maxi3002GD, samstagkaiser
Deutscher Übersetzer: Gabriel
Russischer Übersetzer: Libeti, Huntero
Koreanischer Übersetzer: 몽블랑맛르블랑
Vietnamesischer Übersetzer: IntenseLag, Nian Sprout
Brasilianischer Portugiesisch-Übersetzer: Hyphot
Indonesischer Übersetzer: Nekonin, Rafiq8K, ZERO
Ukrainischer Übersetzer: Henk, Gof_de_Prush
Unterstützung bei der Datenzusammenstellung: Nanshan, Luoran
Frühere Übersetzer: maltsey, zNagato
Erstellung der interaktiven Karten-Website: Ruika
Erstellung der Kartendatei: mioakatukaze</v>
      </c>
      <c r="I1" s="5" t="s">
        <v>4</v>
      </c>
      <c r="J1" s="6" t="s">
        <v>5</v>
      </c>
      <c r="K1" s="7" t="str">
        <f>IFERROR(__xludf.DUMMYFUNCTION("GOOGLETRANSLATE(A1,""zh-tw"",""ID"")"),"Discord Editor Utama: RORO#3330
Email Editor Utama: gameconlch@gmail.com
Penerjemah Bahasa Jepang: 눈_눈
Penerjemah Bahasa Inggris: Ruika
Penerjemah Bahasa Mandarin Sederhana: ShigeLuna
Penerjemah Bahasa Spanyol: AndyJango, maxi3002GD, samstagkaiser
Penerj"&amp;"emah Bahasa Jerman: Gabriel
Penerjemah Bahasa Rusia: Libeti, Huntero
Penerjemah Bahasa Korea: 몽블랑맛르블랑
Penerjemah Bahasa Vietnam: IntenseLag, Nian Sprout
Penerjemah Bahasa Portugis Brasil: Hyphot
Penerjemah Bahasa Indonesia: Nekonin, Rafiq8K, ZERO
Penerjem"&amp;"ah Bahasa Ukraina: Henk, Gof_de_Prush
Bantuan Kompilasi Data: Nanshan, Luoran
Penerjemah Sebelumnya: maltsey, zNagato
Pembuatan Situs Web Peta Interaktif: Ruika
Pembuatan File Peta: mioakatukaze")</f>
        <v>Discord Editor Utama: RORO#3330
Email Editor Utama: gameconlch@gmail.com
Penerjemah Bahasa Jepang: 눈_눈
Penerjemah Bahasa Inggris: Ruika
Penerjemah Bahasa Mandarin Sederhana: ShigeLuna
Penerjemah Bahasa Spanyol: AndyJango, maxi3002GD, samstagkaiser
Penerjemah Bahasa Jerman: Gabriel
Penerjemah Bahasa Rusia: Libeti, Huntero
Penerjemah Bahasa Korea: 몽블랑맛르블랑
Penerjemah Bahasa Vietnam: IntenseLag, Nian Sprout
Penerjemah Bahasa Portugis Brasil: Hyphot
Penerjemah Bahasa Indonesia: Nekonin, Rafiq8K, ZERO
Penerjemah Bahasa Ukraina: Henk, Gof_de_Prush
Bantuan Kompilasi Data: Nanshan, Luoran
Penerjemah Sebelumnya: maltsey, zNagato
Pembuatan Situs Web Peta Interaktif: Ruika
Pembuatan File Peta: mioakatukaze</v>
      </c>
      <c r="L1" s="7"/>
      <c r="M1" s="8"/>
      <c r="N1" s="8"/>
      <c r="O1" s="8"/>
      <c r="P1" s="8"/>
      <c r="Q1" s="8"/>
      <c r="R1" s="8"/>
      <c r="S1" s="8"/>
      <c r="T1" s="8"/>
      <c r="U1" s="8"/>
      <c r="V1" s="8"/>
      <c r="W1" s="8"/>
      <c r="X1" s="8"/>
      <c r="Y1" s="8"/>
      <c r="Z1" s="8"/>
    </row>
    <row r="2" ht="131.25" customHeight="1">
      <c r="A2" s="9" t="s">
        <v>6</v>
      </c>
      <c r="B2" s="10" t="s">
        <v>7</v>
      </c>
      <c r="C2" s="11" t="s">
        <v>8</v>
      </c>
      <c r="D2" s="12" t="s">
        <v>9</v>
      </c>
      <c r="E2" s="3"/>
      <c r="F2" s="13"/>
      <c r="G2" s="14" t="s">
        <v>10</v>
      </c>
      <c r="H2" s="10"/>
      <c r="I2" s="15" t="s">
        <v>11</v>
      </c>
      <c r="J2" s="10"/>
      <c r="K2" s="10"/>
      <c r="L2" s="7"/>
      <c r="M2" s="16"/>
      <c r="N2" s="16"/>
      <c r="O2" s="16"/>
      <c r="P2" s="16"/>
      <c r="Q2" s="16"/>
      <c r="R2" s="16"/>
      <c r="S2" s="16"/>
      <c r="T2" s="16"/>
      <c r="U2" s="16"/>
      <c r="V2" s="16"/>
      <c r="W2" s="16"/>
      <c r="X2" s="16"/>
      <c r="Y2" s="16"/>
      <c r="Z2" s="16"/>
    </row>
    <row r="3" ht="171.75" customHeight="1">
      <c r="A3" s="17" t="s">
        <v>12</v>
      </c>
      <c r="B3" s="18" t="s">
        <v>13</v>
      </c>
      <c r="C3" s="19" t="s">
        <v>14</v>
      </c>
      <c r="D3" s="20" t="s">
        <v>15</v>
      </c>
      <c r="E3" s="19" t="s">
        <v>16</v>
      </c>
      <c r="F3" s="21" t="s">
        <v>17</v>
      </c>
      <c r="G3" s="19" t="s">
        <v>18</v>
      </c>
      <c r="H3" s="19" t="s">
        <v>19</v>
      </c>
      <c r="I3" s="22" t="s">
        <v>20</v>
      </c>
      <c r="J3" s="19" t="s">
        <v>21</v>
      </c>
      <c r="K3" s="23" t="s">
        <v>22</v>
      </c>
      <c r="L3" s="7"/>
      <c r="M3" s="16"/>
      <c r="N3" s="16"/>
      <c r="O3" s="16"/>
      <c r="P3" s="16"/>
      <c r="Q3" s="16"/>
      <c r="R3" s="16"/>
      <c r="S3" s="16"/>
      <c r="T3" s="16"/>
      <c r="U3" s="16"/>
      <c r="V3" s="16"/>
      <c r="W3" s="16"/>
      <c r="X3" s="16"/>
      <c r="Y3" s="16"/>
      <c r="Z3" s="16"/>
    </row>
    <row r="4" ht="457.5" customHeight="1">
      <c r="A4" s="24" t="s">
        <v>23</v>
      </c>
      <c r="B4" s="10" t="s">
        <v>24</v>
      </c>
      <c r="C4" s="10" t="s">
        <v>25</v>
      </c>
      <c r="D4" s="12" t="s">
        <v>26</v>
      </c>
      <c r="E4" s="3" t="str">
        <f>IFERROR(__xludf.DUMMYFUNCTION("GOOGLETRANSLATE(A4,""zh-tw"",""es-MX"")"),"※※※
1. Las imágenes en los materiales promocionales oficiales o tráileres, así como algunos elementos ya implementados, no garantizan su completa implementación. Por lo tanto, no pregunten cómo hacer cosas imposibles; la respuesta siempre es ""aún no est"&amp;"á listo"", ¡no que la guía esté incompleta!
2. Recientemente, algunos piratas informáticos sin escrúpulos han descargado y empaquetado materiales de este sitio web para venderlos. Esto constituye una infracción grave. El acceso gratuito a los archivos no"&amp;" implica que puedan ser robados. Si necesitan permiso, contáctenos para obtener los derechos de reproducción. Piratas, por favor, respeten esto. Los desarrolladores de juegos también tienen derecho a emprender acciones legales contra los juegos pirateados"&amp;"; por favor, no infrinjan la ley.
3. El equipo oficial no está considerando desarrollar una versión para iOS en este momento.
4. Este archivo no requiere permiso; cualquiera puede verlo directamente desde las pestañas inferiores.")</f>
        <v>※※※
1. Las imágenes en los materiales promocionales oficiales o tráileres, así como algunos elementos ya implementados, no garantizan su completa implementación. Por lo tanto, no pregunten cómo hacer cosas imposibles; la respuesta siempre es "aún no está listo", ¡no que la guía esté incompleta!
2. Recientemente, algunos piratas informáticos sin escrúpulos han descargado y empaquetado materiales de este sitio web para venderlos. Esto constituye una infracción grave. El acceso gratuito a los archivos no implica que puedan ser robados. Si necesitan permiso, contáctenos para obtener los derechos de reproducción. Piratas, por favor, respeten esto. Los desarrolladores de juegos también tienen derecho a emprender acciones legales contra los juegos pirateados; por favor, no infrinjan la ley.
3. El equipo oficial no está considerando desarrollar una versión para iOS en este momento.
4. Este archivo no requiere permiso; cualquiera puede verlo directamente desde las pestañas inferiores.</v>
      </c>
      <c r="F4" s="13" t="s">
        <v>27</v>
      </c>
      <c r="G4" s="3" t="s">
        <v>28</v>
      </c>
      <c r="H4" s="10" t="s">
        <v>29</v>
      </c>
      <c r="I4" s="25" t="s">
        <v>30</v>
      </c>
      <c r="J4" s="10" t="s">
        <v>31</v>
      </c>
      <c r="K4" s="10" t="s">
        <v>32</v>
      </c>
      <c r="L4" s="7"/>
      <c r="M4" s="16"/>
      <c r="N4" s="16"/>
      <c r="O4" s="16"/>
      <c r="P4" s="16"/>
      <c r="Q4" s="16"/>
      <c r="R4" s="16"/>
      <c r="S4" s="16"/>
      <c r="T4" s="16"/>
      <c r="U4" s="16"/>
      <c r="V4" s="16"/>
      <c r="W4" s="16"/>
      <c r="X4" s="16"/>
      <c r="Y4" s="16"/>
      <c r="Z4" s="16"/>
    </row>
    <row r="5" ht="517.5" customHeight="1">
      <c r="A5" s="24" t="s">
        <v>33</v>
      </c>
      <c r="B5" s="10" t="s">
        <v>34</v>
      </c>
      <c r="C5" s="10" t="s">
        <v>35</v>
      </c>
      <c r="D5" s="12" t="s">
        <v>36</v>
      </c>
      <c r="E5" s="3" t="s">
        <v>37</v>
      </c>
      <c r="F5" s="13"/>
      <c r="G5" s="10" t="s">
        <v>38</v>
      </c>
      <c r="H5" s="10"/>
      <c r="I5" s="26" t="s">
        <v>39</v>
      </c>
      <c r="J5" s="10" t="s">
        <v>40</v>
      </c>
      <c r="K5" s="10"/>
      <c r="L5" s="7"/>
      <c r="M5" s="16"/>
      <c r="N5" s="16"/>
      <c r="O5" s="16"/>
      <c r="P5" s="16"/>
      <c r="Q5" s="16"/>
      <c r="R5" s="16"/>
      <c r="S5" s="16"/>
      <c r="T5" s="16"/>
      <c r="U5" s="16"/>
      <c r="V5" s="16"/>
      <c r="W5" s="16"/>
      <c r="X5" s="16"/>
      <c r="Y5" s="16"/>
      <c r="Z5" s="16"/>
    </row>
    <row r="6">
      <c r="A6" s="27" t="s">
        <v>41</v>
      </c>
      <c r="B6" s="27" t="s">
        <v>42</v>
      </c>
      <c r="C6" s="27" t="s">
        <v>43</v>
      </c>
      <c r="D6" s="27" t="s">
        <v>44</v>
      </c>
      <c r="E6" s="27" t="s">
        <v>45</v>
      </c>
      <c r="F6" s="28" t="s">
        <v>46</v>
      </c>
      <c r="G6" s="27" t="s">
        <v>47</v>
      </c>
      <c r="H6" s="27" t="s">
        <v>48</v>
      </c>
      <c r="I6" s="29" t="s">
        <v>49</v>
      </c>
      <c r="J6" s="30" t="s">
        <v>50</v>
      </c>
      <c r="K6" s="31" t="s">
        <v>51</v>
      </c>
      <c r="L6" s="7"/>
      <c r="M6" s="8"/>
      <c r="N6" s="8"/>
      <c r="O6" s="8"/>
      <c r="P6" s="8"/>
      <c r="Q6" s="8"/>
      <c r="R6" s="8"/>
      <c r="S6" s="8"/>
      <c r="T6" s="8"/>
      <c r="U6" s="8"/>
      <c r="V6" s="8"/>
      <c r="W6" s="8"/>
      <c r="X6" s="8"/>
      <c r="Y6" s="8"/>
      <c r="Z6" s="8"/>
    </row>
    <row r="7">
      <c r="A7" s="32"/>
      <c r="B7" s="32"/>
      <c r="C7" s="32"/>
      <c r="D7" s="32"/>
      <c r="E7" s="3"/>
      <c r="F7" s="33"/>
      <c r="G7" s="3"/>
      <c r="H7" s="3"/>
      <c r="I7" s="34"/>
      <c r="J7" s="7"/>
      <c r="K7" s="7"/>
      <c r="L7" s="7"/>
      <c r="M7" s="8"/>
      <c r="N7" s="8"/>
      <c r="O7" s="8"/>
      <c r="P7" s="8"/>
      <c r="Q7" s="8"/>
      <c r="R7" s="8"/>
      <c r="S7" s="8"/>
      <c r="T7" s="8"/>
      <c r="U7" s="8"/>
      <c r="V7" s="8"/>
      <c r="W7" s="8"/>
      <c r="X7" s="8"/>
      <c r="Y7" s="8"/>
      <c r="Z7" s="8"/>
    </row>
    <row r="8">
      <c r="A8" s="35" t="s">
        <v>52</v>
      </c>
      <c r="B8" s="36" t="s">
        <v>53</v>
      </c>
      <c r="C8" s="36" t="s">
        <v>54</v>
      </c>
      <c r="D8" s="36" t="s">
        <v>55</v>
      </c>
      <c r="E8" s="36" t="s">
        <v>56</v>
      </c>
      <c r="F8" s="37" t="s">
        <v>57</v>
      </c>
      <c r="G8" s="38" t="s">
        <v>58</v>
      </c>
      <c r="H8" s="38" t="s">
        <v>59</v>
      </c>
      <c r="I8" s="39" t="s">
        <v>60</v>
      </c>
      <c r="J8" s="40" t="s">
        <v>61</v>
      </c>
      <c r="K8" s="40" t="s">
        <v>62</v>
      </c>
      <c r="L8" s="7"/>
      <c r="M8" s="8"/>
      <c r="N8" s="8"/>
      <c r="O8" s="8"/>
      <c r="P8" s="8"/>
      <c r="Q8" s="8"/>
      <c r="R8" s="8"/>
      <c r="S8" s="8"/>
      <c r="T8" s="8"/>
      <c r="U8" s="8"/>
      <c r="V8" s="8"/>
      <c r="W8" s="8"/>
      <c r="X8" s="8"/>
      <c r="Y8" s="8"/>
      <c r="Z8" s="8"/>
    </row>
    <row r="9">
      <c r="A9" s="35" t="s">
        <v>63</v>
      </c>
      <c r="B9" s="35" t="s">
        <v>64</v>
      </c>
      <c r="C9" s="35" t="s">
        <v>64</v>
      </c>
      <c r="D9" s="35" t="s">
        <v>64</v>
      </c>
      <c r="E9" s="35" t="s">
        <v>64</v>
      </c>
      <c r="F9" s="41" t="s">
        <v>64</v>
      </c>
      <c r="G9" s="35" t="s">
        <v>64</v>
      </c>
      <c r="H9" s="35" t="s">
        <v>64</v>
      </c>
      <c r="I9" s="42" t="s">
        <v>64</v>
      </c>
      <c r="J9" s="41" t="s">
        <v>64</v>
      </c>
      <c r="K9" s="41" t="s">
        <v>64</v>
      </c>
      <c r="L9" s="7"/>
      <c r="M9" s="8"/>
      <c r="N9" s="8"/>
      <c r="O9" s="8"/>
      <c r="P9" s="8"/>
      <c r="Q9" s="8"/>
      <c r="R9" s="8"/>
      <c r="S9" s="8"/>
      <c r="T9" s="8"/>
      <c r="U9" s="8"/>
      <c r="V9" s="8"/>
      <c r="W9" s="8"/>
      <c r="X9" s="8"/>
      <c r="Y9" s="8"/>
      <c r="Z9" s="8"/>
    </row>
    <row r="10">
      <c r="A10" s="35" t="s">
        <v>65</v>
      </c>
      <c r="B10" s="35" t="s">
        <v>66</v>
      </c>
      <c r="C10" s="35" t="s">
        <v>67</v>
      </c>
      <c r="D10" s="35" t="s">
        <v>68</v>
      </c>
      <c r="E10" s="38" t="s">
        <v>69</v>
      </c>
      <c r="F10" s="37" t="s">
        <v>70</v>
      </c>
      <c r="G10" s="38" t="s">
        <v>71</v>
      </c>
      <c r="H10" s="38" t="s">
        <v>72</v>
      </c>
      <c r="I10" s="39" t="s">
        <v>73</v>
      </c>
      <c r="J10" s="40" t="s">
        <v>74</v>
      </c>
      <c r="K10" s="40" t="s">
        <v>75</v>
      </c>
      <c r="L10" s="7"/>
      <c r="M10" s="8"/>
      <c r="N10" s="8"/>
      <c r="O10" s="8"/>
      <c r="P10" s="8"/>
      <c r="Q10" s="8"/>
      <c r="R10" s="8"/>
      <c r="S10" s="8"/>
      <c r="T10" s="8"/>
      <c r="U10" s="8"/>
      <c r="V10" s="8"/>
      <c r="W10" s="8"/>
      <c r="X10" s="8"/>
      <c r="Y10" s="8"/>
      <c r="Z10" s="8"/>
    </row>
    <row r="11">
      <c r="A11" s="35" t="s">
        <v>76</v>
      </c>
      <c r="B11" s="36" t="s">
        <v>77</v>
      </c>
      <c r="C11" s="36" t="s">
        <v>78</v>
      </c>
      <c r="D11" s="43" t="s">
        <v>79</v>
      </c>
      <c r="E11" s="36" t="s">
        <v>80</v>
      </c>
      <c r="F11" s="44" t="s">
        <v>81</v>
      </c>
      <c r="G11" s="36" t="s">
        <v>82</v>
      </c>
      <c r="H11" s="45" t="str">
        <f>IFERROR(__xludf.DUMMYFUNCTION("GOOGLETRANSLATE(F11,""zh-tw"",""en"")"),"Perohub (알리페이 지원) https://perohub.com/posts/6773ed3e7e0707642a5c7882")</f>
        <v>Perohub (알리페이 지원) https://perohub.com/posts/6773ed3e7e0707642a5c7882</v>
      </c>
      <c r="I11" s="42" t="s">
        <v>83</v>
      </c>
      <c r="J11" s="46" t="s">
        <v>84</v>
      </c>
      <c r="K11" s="40" t="s">
        <v>85</v>
      </c>
      <c r="L11" s="7"/>
      <c r="M11" s="8"/>
      <c r="N11" s="8"/>
      <c r="O11" s="8"/>
      <c r="P11" s="8"/>
      <c r="Q11" s="8"/>
      <c r="R11" s="8"/>
      <c r="S11" s="8"/>
      <c r="T11" s="8"/>
      <c r="U11" s="8"/>
      <c r="V11" s="8"/>
      <c r="W11" s="8"/>
      <c r="X11" s="8"/>
      <c r="Y11" s="8"/>
      <c r="Z11" s="8"/>
    </row>
    <row r="12">
      <c r="A12" s="35" t="s">
        <v>86</v>
      </c>
      <c r="B12" s="36" t="s">
        <v>87</v>
      </c>
      <c r="C12" s="36" t="s">
        <v>88</v>
      </c>
      <c r="D12" s="36" t="s">
        <v>89</v>
      </c>
      <c r="E12" s="38" t="s">
        <v>90</v>
      </c>
      <c r="F12" s="37" t="s">
        <v>91</v>
      </c>
      <c r="G12" s="38" t="s">
        <v>92</v>
      </c>
      <c r="H12" s="38" t="s">
        <v>93</v>
      </c>
      <c r="I12" s="39" t="s">
        <v>94</v>
      </c>
      <c r="J12" s="46" t="s">
        <v>95</v>
      </c>
      <c r="K12" s="40" t="s">
        <v>96</v>
      </c>
      <c r="L12" s="7"/>
      <c r="M12" s="8"/>
      <c r="N12" s="8"/>
      <c r="O12" s="8"/>
      <c r="P12" s="8"/>
      <c r="Q12" s="8"/>
      <c r="R12" s="8"/>
      <c r="S12" s="8"/>
      <c r="T12" s="8"/>
      <c r="U12" s="8"/>
      <c r="V12" s="8"/>
      <c r="W12" s="8"/>
      <c r="X12" s="8"/>
      <c r="Y12" s="8"/>
      <c r="Z12" s="8"/>
    </row>
    <row r="13">
      <c r="A13" s="36" t="s">
        <v>97</v>
      </c>
      <c r="B13" s="36" t="s">
        <v>98</v>
      </c>
      <c r="C13" s="36" t="s">
        <v>99</v>
      </c>
      <c r="D13" s="36" t="s">
        <v>100</v>
      </c>
      <c r="E13" s="38" t="s">
        <v>101</v>
      </c>
      <c r="F13" s="37" t="s">
        <v>102</v>
      </c>
      <c r="G13" s="38" t="s">
        <v>103</v>
      </c>
      <c r="H13" s="38" t="s">
        <v>104</v>
      </c>
      <c r="I13" s="39" t="s">
        <v>105</v>
      </c>
      <c r="J13" s="46" t="s">
        <v>106</v>
      </c>
      <c r="K13" s="40" t="s">
        <v>107</v>
      </c>
      <c r="L13" s="7"/>
      <c r="M13" s="8"/>
      <c r="N13" s="8"/>
      <c r="O13" s="8"/>
      <c r="P13" s="8"/>
      <c r="Q13" s="8"/>
      <c r="R13" s="8"/>
      <c r="S13" s="8"/>
      <c r="T13" s="8"/>
      <c r="U13" s="8"/>
      <c r="V13" s="8"/>
      <c r="W13" s="8"/>
      <c r="X13" s="8"/>
      <c r="Y13" s="8"/>
      <c r="Z13" s="8"/>
    </row>
    <row r="14" ht="72.0" customHeight="1">
      <c r="A14" s="35" t="s">
        <v>108</v>
      </c>
      <c r="B14" s="35" t="s">
        <v>109</v>
      </c>
      <c r="C14" s="47" t="s">
        <v>110</v>
      </c>
      <c r="D14" s="35" t="s">
        <v>111</v>
      </c>
      <c r="E14" s="48" t="s">
        <v>112</v>
      </c>
      <c r="F14" s="47" t="s">
        <v>113</v>
      </c>
      <c r="G14" s="47" t="s">
        <v>114</v>
      </c>
      <c r="H14" s="47" t="s">
        <v>115</v>
      </c>
      <c r="I14" s="49" t="s">
        <v>116</v>
      </c>
      <c r="J14" s="47" t="s">
        <v>117</v>
      </c>
      <c r="K14" s="47" t="s">
        <v>118</v>
      </c>
      <c r="L14" s="7"/>
      <c r="M14" s="16"/>
      <c r="N14" s="16"/>
      <c r="O14" s="16"/>
      <c r="P14" s="16"/>
      <c r="Q14" s="16"/>
      <c r="R14" s="16"/>
      <c r="S14" s="16"/>
      <c r="T14" s="16"/>
      <c r="U14" s="16"/>
      <c r="V14" s="16"/>
      <c r="W14" s="16"/>
      <c r="X14" s="16"/>
      <c r="Y14" s="16"/>
      <c r="Z14" s="16"/>
    </row>
    <row r="15">
      <c r="A15" s="50" t="s">
        <v>119</v>
      </c>
      <c r="B15" s="50" t="s">
        <v>120</v>
      </c>
      <c r="C15" s="50" t="s">
        <v>121</v>
      </c>
      <c r="D15" s="51" t="s">
        <v>122</v>
      </c>
      <c r="E15" s="3" t="str">
        <f>IFERROR(__xludf.DUMMYFUNCTION("GOOGLETRANSLATE(A15,""zh-tw"",""es-MX"")"),"El juego se encuentra actualmente en fase beta. Las imágenes mostradas en los tráileres no indican que el juego esté implementado. Por lo tanto, no pregunten cómo hacer cosas que aún no son posibles; la respuesta siempre será ""aún no está listo"".
Actua"&amp;"lmente, esta sección solo acepta preguntas relacionadas con contenido faltante en los archivos. No aceptamos preguntas sobre el contenido del juego ni informes de errores. No envíen consultas por correo electrónico.
Para problemas relacionados, por favor"&amp;", comenten con otros jugadores en el foro oficial de Discord. ¡Gracias por su colaboración!")</f>
        <v>El juego se encuentra actualmente en fase beta. Las imágenes mostradas en los tráileres no indican que el juego esté implementado. Por lo tanto, no pregunten cómo hacer cosas que aún no son posibles; la respuesta siempre será "aún no está listo".
Actualmente, esta sección solo acepta preguntas relacionadas con contenido faltante en los archivos. No aceptamos preguntas sobre el contenido del juego ni informes de errores. No envíen consultas por correo electrónico.
Para problemas relacionados, por favor, comenten con otros jugadores en el foro oficial de Discord. ¡Gracias por su colaboración!</v>
      </c>
      <c r="F15" s="33" t="s">
        <v>123</v>
      </c>
      <c r="G15" s="3" t="s">
        <v>124</v>
      </c>
      <c r="H15" s="3" t="str">
        <f>IFERROR(__xludf.DUMMYFUNCTION("GOOGLETRANSLATE(A15,""zh-tw"",""DE"")"),"Das Spiel befindet sich aktuell in der Beta-Phase. Die in den Trailern gezeigten Bilder lassen nicht darauf schließen, dass das Spiel bereits implementiert ist. Bitte fragt daher nicht nach Dingen, die noch nicht möglich sind; die Antwort lautet immer: „N"&amp;"och nicht fertig“.
In diesem Bereich werden derzeit nur Fragen zu fehlenden Spieldateien beantwortet. Fragen zum Spielinhalt oder Fehlerberichte werden nicht entgegengenommen. Bitte sendet keine Anfragen per E-Mail.
Bei ähnlichen Problemen wendet euch b"&amp;"itte an andere Spieler im offiziellen Discord-Forum. Vielen Dank für eure Mitarbeit!")</f>
        <v>Das Spiel befindet sich aktuell in der Beta-Phase. Die in den Trailern gezeigten Bilder lassen nicht darauf schließen, dass das Spiel bereits implementiert ist. Bitte fragt daher nicht nach Dingen, die noch nicht möglich sind; die Antwort lautet immer: „Noch nicht fertig“.
In diesem Bereich werden derzeit nur Fragen zu fehlenden Spieldateien beantwortet. Fragen zum Spielinhalt oder Fehlerberichte werden nicht entgegengenommen. Bitte sendet keine Anfragen per E-Mail.
Bei ähnlichen Problemen wendet euch bitte an andere Spieler im offiziellen Discord-Forum. Vielen Dank für eure Mitarbeit!</v>
      </c>
      <c r="I15" s="52" t="s">
        <v>125</v>
      </c>
      <c r="J15" s="7" t="s">
        <v>126</v>
      </c>
      <c r="K15" s="7" t="s">
        <v>127</v>
      </c>
      <c r="L15" s="7"/>
      <c r="M15" s="8"/>
      <c r="N15" s="8"/>
      <c r="O15" s="8"/>
      <c r="P15" s="8"/>
      <c r="Q15" s="8"/>
      <c r="R15" s="8"/>
      <c r="S15" s="8"/>
      <c r="T15" s="8"/>
      <c r="U15" s="8"/>
      <c r="V15" s="8"/>
      <c r="W15" s="8"/>
      <c r="X15" s="8"/>
      <c r="Y15" s="8"/>
      <c r="Z15" s="8"/>
    </row>
    <row r="16" ht="524.25" customHeight="1">
      <c r="A16" s="1" t="s">
        <v>128</v>
      </c>
      <c r="B16" s="1" t="s">
        <v>129</v>
      </c>
      <c r="C16" s="1" t="s">
        <v>130</v>
      </c>
      <c r="D16" s="2" t="str">
        <f>IFERROR(__xludf.DUMMYFUNCTION("GOOGLETRANSLATE(A16,""zh-tw"",""zh"")"),"本文件旨在协助玩家解决疑惑，不用于商业或广告用途！ 
如果你付费或者用盗版游戏才能观看，代表你被盗版商人骗了！
本攻略由台湾玩家制作，因此主要以繁体文字为主，其他语系若翻译上出现不通顺的情况，请见谅。
编辑长只是玩家，大部分未公开的情报都是与官方咨询得到的，所以可能有尚未发现到的机制没有填写，若文件有未发现的机制、缺失、异常的地方，欢迎寄信件给主编辑。
您可以取得转载他网刊登(免费)，或新增其他内容于本表单，欢迎来信
主编辑Discord:RORO#3330
或者寄信至gameconlch@gmai"&amp;"l.com与我联系，谢谢配合。
")</f>
        <v>本文件旨在协助玩家解决疑惑，不用于商业或广告用途！ 
如果你付费或者用盗版游戏才能观看，代表你被盗版商人骗了！
本攻略由台湾玩家制作，因此主要以繁体文字为主，其他语系若翻译上出现不通顺的情况，请见谅。
编辑长只是玩家，大部分未公开的情报都是与官方咨询得到的，所以可能有尚未发现到的机制没有填写，若文件有未发现的机制、缺失、异常的地方，欢迎寄信件给主编辑。
您可以取得转载他网刊登(免费)，或新增其他内容于本表单，欢迎来信
主编辑Discord:RORO#3330
或者寄信至gameconlch@gmail.com与我联系，谢谢配合。
</v>
      </c>
      <c r="E16" s="1" t="str">
        <f>IFERROR(__xludf.DUMMYFUNCTION("GOOGLETRANSLATE(A16,""zh-tw"",""es-MX"")"),"Este documento tiene como objetivo ayudar a los jugadores a resolver sus dudas y no tiene fines comerciales ni publicitarios.
Si necesitas pagar o usar una versión pirata del juego para ver esto, significa que has sido víctima de una estafa.
Esta guía f"&amp;"ue creada por un jugador taiwanés, por lo que está principalmente en chino tradicional. Disculpen cualquier traducción deficiente a otros idiomas.
El editor es un jugador, y la mayor parte de la información no publicada se obtuvo consultando fuentes ofic"&amp;"iales. Por lo tanto, puede haber mecanismos desconocidos. Si encuentras algún mecanismo desconocido, omisión o anomalía en el documento, no dudes en contactar al editor principal.
Puedes reproducir contenido de otros sitios web (gratuitamente) o agregar "&amp;"contenido a este formulario. Contáctanos.
Discord del editor principal: RORO#3330
O contáctame en gameconlch@gmail.com. Gracias por tu colaboración.
")</f>
        <v>Este documento tiene como objetivo ayudar a los jugadores a resolver sus dudas y no tiene fines comerciales ni publicitarios.
Si necesitas pagar o usar una versión pirata del juego para ver esto, significa que has sido víctima de una estafa.
Esta guía fue creada por un jugador taiwanés, por lo que está principalmente en chino tradicional. Disculpen cualquier traducción deficiente a otros idiomas.
El editor es un jugador, y la mayor parte de la información no publicada se obtuvo consultando fuentes oficiales. Por lo tanto, puede haber mecanismos desconocidos. Si encuentras algún mecanismo desconocido, omisión o anomalía en el documento, no dudes en contactar al editor principal.
Puedes reproducir contenido de otros sitios web (gratuitamente) o agregar contenido a este formulario. Contáctanos.
Discord del editor principal: RORO#3330
O contáctame en gameconlch@gmail.com. Gracias por tu colaboración.
</v>
      </c>
      <c r="F16" s="4" t="s">
        <v>131</v>
      </c>
      <c r="G16" s="1" t="s">
        <v>132</v>
      </c>
      <c r="H16" s="53" t="str">
        <f>IFERROR(__xludf.DUMMYFUNCTION("GOOGLETRANSLATE(A16,""zh-tw"",""DE"")"),"Dieses Dokument soll Spielern bei der Klärung ihrer Fragen helfen und dient nicht kommerziellen oder Werbezwecken!
Wenn Sie für den Zugriff auf dieses Dokument bezahlen oder eine Raubkopie des Spiels verwenden müssen, wurden Sie von Raubkopierern betroge"&amp;"n!
Dieser Leitfaden wurde von einem taiwanesischen Spieler erstellt und ist daher hauptsächlich in traditionellem Chinesisch verfasst. Wir bitten um Entschuldigung für eventuelle holprige Übersetzungen in anderen Sprachversionen.
Der Bearbeiter ist eben"&amp;"falls Spieler, und die meisten unveröffentlichten Informationen stammen aus Rücksprache mit offiziellen Quellen. Daher können unentdeckte Mechanismen fehlen. Sollten Sie unentdeckte Mechanismen, Auslassungen oder Anomalien im Dokument finden, kontaktieren"&amp;" Sie bitte den Hauptbearbeiter.
Sie können Inhalte von anderen Webseiten (kostenlos) übernehmen oder diesem Formular weitere Inhalte hinzufügen. Kontaktieren Sie uns gerne.
Hauptbearbeiter auf Discord: RORO#3330
Oder kontaktieren Sie mich unter gamecon"&amp;"lch@gmail.com. Vielen Dank für Ihre Mitarbeit.
Der Bearbeiter ist ebenfalls ein Spieler.")</f>
        <v>Dieses Dokument soll Spielern bei der Klärung ihrer Fragen helfen und dient nicht kommerziellen oder Werbezwecken!
Wenn Sie für den Zugriff auf dieses Dokument bezahlen oder eine Raubkopie des Spiels verwenden müssen, wurden Sie von Raubkopierern betrogen!
Dieser Leitfaden wurde von einem taiwanesischen Spieler erstellt und ist daher hauptsächlich in traditionellem Chinesisch verfasst. Wir bitten um Entschuldigung für eventuelle holprige Übersetzungen in anderen Sprachversionen.
Der Bearbeiter ist ebenfalls Spieler, und die meisten unveröffentlichten Informationen stammen aus Rücksprache mit offiziellen Quellen. Daher können unentdeckte Mechanismen fehlen. Sollten Sie unentdeckte Mechanismen, Auslassungen oder Anomalien im Dokument finden, kontaktieren Sie bitte den Hauptbearbeiter.
Sie können Inhalte von anderen Webseiten (kostenlos) übernehmen oder diesem Formular weitere Inhalte hinzufügen. Kontaktieren Sie uns gerne.
Hauptbearbeiter auf Discord: RORO#3330
Oder kontaktieren Sie mich unter gameconlch@gmail.com. Vielen Dank für Ihre Mitarbeit.
Der Bearbeiter ist ebenfalls ein Spieler.</v>
      </c>
      <c r="I16" s="54" t="s">
        <v>133</v>
      </c>
      <c r="J16" s="7" t="s">
        <v>134</v>
      </c>
      <c r="K16" s="7" t="s">
        <v>135</v>
      </c>
      <c r="L16" s="7"/>
      <c r="M16" s="8"/>
      <c r="N16" s="8"/>
      <c r="O16" s="8"/>
      <c r="P16" s="8"/>
      <c r="Q16" s="8"/>
      <c r="R16" s="8"/>
      <c r="S16" s="8"/>
      <c r="T16" s="8"/>
      <c r="U16" s="8"/>
      <c r="V16" s="8"/>
      <c r="W16" s="8"/>
      <c r="X16" s="8"/>
      <c r="Y16" s="8"/>
      <c r="Z16" s="8"/>
    </row>
    <row r="17">
      <c r="A17" s="55" t="s">
        <v>136</v>
      </c>
      <c r="B17" s="32"/>
      <c r="C17" s="56"/>
      <c r="D17" s="57" t="s">
        <v>137</v>
      </c>
      <c r="E17" s="3"/>
      <c r="F17" s="33"/>
      <c r="G17" s="58" t="s">
        <v>138</v>
      </c>
      <c r="H17" s="3"/>
      <c r="I17" s="59" t="s">
        <v>139</v>
      </c>
      <c r="J17" s="60"/>
      <c r="K17" s="55" t="s">
        <v>140</v>
      </c>
      <c r="L17" s="7"/>
      <c r="M17" s="8"/>
      <c r="N17" s="8"/>
      <c r="O17" s="8"/>
      <c r="P17" s="8"/>
      <c r="Q17" s="8"/>
      <c r="R17" s="8"/>
      <c r="S17" s="8"/>
      <c r="T17" s="8"/>
      <c r="U17" s="8"/>
      <c r="V17" s="8"/>
      <c r="W17" s="8"/>
      <c r="X17" s="8"/>
      <c r="Y17" s="8"/>
      <c r="Z17" s="8"/>
    </row>
    <row r="18">
      <c r="A18" s="61"/>
      <c r="B18" s="61"/>
      <c r="C18" s="61"/>
      <c r="D18" s="62"/>
      <c r="E18" s="3"/>
      <c r="F18" s="33"/>
      <c r="G18" s="3"/>
      <c r="H18" s="3"/>
      <c r="I18" s="63"/>
      <c r="J18" s="60"/>
      <c r="K18" s="60"/>
      <c r="L18" s="7"/>
      <c r="M18" s="8"/>
      <c r="N18" s="8"/>
      <c r="O18" s="8"/>
      <c r="P18" s="8"/>
      <c r="Q18" s="8"/>
      <c r="R18" s="8"/>
      <c r="S18" s="8"/>
      <c r="T18" s="8"/>
      <c r="U18" s="8"/>
      <c r="V18" s="8"/>
      <c r="W18" s="8"/>
      <c r="X18" s="8"/>
      <c r="Y18" s="8"/>
      <c r="Z18" s="8"/>
    </row>
    <row r="19">
      <c r="A19" s="32"/>
      <c r="B19" s="32"/>
      <c r="C19" s="32"/>
      <c r="D19" s="32"/>
      <c r="E19" s="3"/>
      <c r="F19" s="33"/>
      <c r="G19" s="3"/>
      <c r="H19" s="3"/>
      <c r="I19" s="63"/>
      <c r="J19" s="60"/>
      <c r="K19" s="60"/>
      <c r="L19" s="7"/>
      <c r="M19" s="8"/>
      <c r="N19" s="8"/>
      <c r="O19" s="8"/>
      <c r="P19" s="8"/>
      <c r="Q19" s="8"/>
      <c r="R19" s="8"/>
      <c r="S19" s="8"/>
      <c r="T19" s="8"/>
      <c r="U19" s="8"/>
      <c r="V19" s="8"/>
      <c r="W19" s="8"/>
      <c r="X19" s="8"/>
      <c r="Y19" s="8"/>
      <c r="Z19" s="8"/>
    </row>
    <row r="20">
      <c r="A20" s="64" t="s">
        <v>141</v>
      </c>
      <c r="B20" s="64" t="str">
        <f>IFERROR(__xludf.DUMMYFUNCTION("GOOGLETRANSLATE(A20,""zh-tw"",""ja"")"),"作業ログを編集する")</f>
        <v>作業ログを編集する</v>
      </c>
      <c r="C20" s="64" t="s">
        <v>142</v>
      </c>
      <c r="D20" s="64" t="str">
        <f>IFERROR(__xludf.DUMMYFUNCTION("GOOGLETRANSLATE(A20,""zh-tw"",""zh"")"),"编辑工作日志")</f>
        <v>编辑工作日志</v>
      </c>
      <c r="E20" s="65" t="s">
        <v>143</v>
      </c>
      <c r="F20" s="65" t="str">
        <f>IFERROR(__xludf.DUMMYFUNCTION("GOOGLETRANSLATE(A20,""zh-tw"",""KO"")"),"작업 로그 편집")</f>
        <v>작업 로그 편집</v>
      </c>
      <c r="G20" s="65" t="s">
        <v>144</v>
      </c>
      <c r="H20" s="65" t="str">
        <f>IFERROR(__xludf.DUMMYFUNCTION("GOOGLETRANSLATE(A20,""zh-tw"",""DE"")"),"Arbeitszeitprotokoll bearbeiten")</f>
        <v>Arbeitszeitprotokoll bearbeiten</v>
      </c>
      <c r="I20" s="66" t="s">
        <v>145</v>
      </c>
      <c r="J20" s="67" t="s">
        <v>146</v>
      </c>
      <c r="K20" s="68" t="s">
        <v>147</v>
      </c>
      <c r="L20" s="7"/>
      <c r="M20" s="8"/>
      <c r="N20" s="8"/>
      <c r="O20" s="8"/>
      <c r="P20" s="8"/>
      <c r="Q20" s="8"/>
      <c r="R20" s="8"/>
      <c r="S20" s="8"/>
      <c r="T20" s="8"/>
      <c r="U20" s="8"/>
      <c r="V20" s="8"/>
      <c r="W20" s="8"/>
      <c r="X20" s="8"/>
      <c r="Y20" s="8"/>
      <c r="Z20" s="8"/>
    </row>
    <row r="21">
      <c r="A21" s="69" t="s">
        <v>148</v>
      </c>
      <c r="B21" s="69" t="s">
        <v>149</v>
      </c>
      <c r="C21" s="69" t="s">
        <v>149</v>
      </c>
      <c r="D21" s="69" t="s">
        <v>149</v>
      </c>
      <c r="E21" s="69" t="s">
        <v>149</v>
      </c>
      <c r="F21" s="69" t="s">
        <v>149</v>
      </c>
      <c r="G21" s="69" t="s">
        <v>149</v>
      </c>
      <c r="H21" s="69" t="s">
        <v>149</v>
      </c>
      <c r="I21" s="69" t="s">
        <v>149</v>
      </c>
      <c r="J21" s="69" t="s">
        <v>149</v>
      </c>
      <c r="K21" s="69" t="s">
        <v>149</v>
      </c>
      <c r="L21" s="7"/>
      <c r="M21" s="70"/>
      <c r="N21" s="70"/>
      <c r="O21" s="70"/>
      <c r="P21" s="70"/>
      <c r="Q21" s="70"/>
      <c r="R21" s="70"/>
      <c r="S21" s="70"/>
      <c r="T21" s="70"/>
      <c r="U21" s="70"/>
      <c r="V21" s="70"/>
      <c r="W21" s="70"/>
      <c r="X21" s="70"/>
      <c r="Y21" s="70"/>
      <c r="Z21" s="70"/>
    </row>
    <row r="22">
      <c r="A22" s="69" t="s">
        <v>150</v>
      </c>
      <c r="B22" s="69" t="s">
        <v>151</v>
      </c>
      <c r="C22" s="69" t="s">
        <v>152</v>
      </c>
      <c r="D22" s="69" t="s">
        <v>153</v>
      </c>
      <c r="E22" s="69"/>
      <c r="F22" s="69"/>
      <c r="G22" s="71" t="s">
        <v>154</v>
      </c>
      <c r="H22" s="69"/>
      <c r="I22" s="5" t="s">
        <v>155</v>
      </c>
      <c r="J22" s="69"/>
      <c r="K22" s="69"/>
      <c r="L22" s="7"/>
      <c r="M22" s="70"/>
      <c r="N22" s="70"/>
      <c r="O22" s="70"/>
      <c r="P22" s="70"/>
      <c r="Q22" s="70"/>
      <c r="R22" s="70"/>
      <c r="S22" s="70"/>
      <c r="T22" s="70"/>
      <c r="U22" s="70"/>
      <c r="V22" s="70"/>
      <c r="W22" s="70"/>
      <c r="X22" s="70"/>
      <c r="Y22" s="70"/>
      <c r="Z22" s="70"/>
    </row>
    <row r="23">
      <c r="A23" s="69" t="s">
        <v>156</v>
      </c>
      <c r="B23" s="69" t="s">
        <v>156</v>
      </c>
      <c r="C23" s="69" t="s">
        <v>156</v>
      </c>
      <c r="D23" s="69" t="s">
        <v>156</v>
      </c>
      <c r="E23" s="69" t="s">
        <v>156</v>
      </c>
      <c r="F23" s="69" t="s">
        <v>156</v>
      </c>
      <c r="G23" s="71" t="s">
        <v>157</v>
      </c>
      <c r="H23" s="69" t="s">
        <v>156</v>
      </c>
      <c r="I23" s="72" t="s">
        <v>158</v>
      </c>
      <c r="J23" s="69" t="s">
        <v>156</v>
      </c>
      <c r="K23" s="69" t="s">
        <v>156</v>
      </c>
      <c r="L23" s="7"/>
      <c r="M23" s="70"/>
      <c r="N23" s="70"/>
      <c r="O23" s="70"/>
      <c r="P23" s="70"/>
      <c r="Q23" s="70"/>
      <c r="R23" s="70"/>
      <c r="S23" s="70"/>
      <c r="T23" s="70"/>
      <c r="U23" s="70"/>
      <c r="V23" s="70"/>
      <c r="W23" s="70"/>
      <c r="X23" s="70"/>
      <c r="Y23" s="70"/>
      <c r="Z23" s="70"/>
    </row>
    <row r="24">
      <c r="A24" s="69" t="s">
        <v>159</v>
      </c>
      <c r="B24" s="69" t="s">
        <v>159</v>
      </c>
      <c r="C24" s="69" t="s">
        <v>159</v>
      </c>
      <c r="D24" s="69" t="s">
        <v>159</v>
      </c>
      <c r="E24" s="69" t="s">
        <v>159</v>
      </c>
      <c r="F24" s="69" t="s">
        <v>159</v>
      </c>
      <c r="G24" s="71" t="s">
        <v>160</v>
      </c>
      <c r="H24" s="69" t="s">
        <v>159</v>
      </c>
      <c r="I24" s="72" t="s">
        <v>161</v>
      </c>
      <c r="J24" s="69" t="s">
        <v>159</v>
      </c>
      <c r="K24" s="69" t="s">
        <v>159</v>
      </c>
      <c r="L24" s="7"/>
      <c r="M24" s="70"/>
      <c r="N24" s="70"/>
      <c r="O24" s="70"/>
      <c r="P24" s="70"/>
      <c r="Q24" s="70"/>
      <c r="R24" s="70"/>
      <c r="S24" s="70"/>
      <c r="T24" s="70"/>
      <c r="U24" s="70"/>
      <c r="V24" s="70"/>
      <c r="W24" s="70"/>
      <c r="X24" s="70"/>
      <c r="Y24" s="70"/>
      <c r="Z24" s="70"/>
    </row>
    <row r="25">
      <c r="A25" s="69" t="s">
        <v>162</v>
      </c>
      <c r="B25" s="69" t="s">
        <v>162</v>
      </c>
      <c r="C25" s="69" t="s">
        <v>162</v>
      </c>
      <c r="D25" s="69" t="s">
        <v>162</v>
      </c>
      <c r="E25" s="69" t="s">
        <v>162</v>
      </c>
      <c r="F25" s="69" t="s">
        <v>162</v>
      </c>
      <c r="G25" s="71" t="s">
        <v>163</v>
      </c>
      <c r="H25" s="69" t="s">
        <v>162</v>
      </c>
      <c r="I25" s="72" t="s">
        <v>164</v>
      </c>
      <c r="J25" s="69" t="s">
        <v>162</v>
      </c>
      <c r="K25" s="69" t="s">
        <v>162</v>
      </c>
      <c r="L25" s="7"/>
      <c r="M25" s="70"/>
      <c r="N25" s="70"/>
      <c r="O25" s="70"/>
      <c r="P25" s="70"/>
      <c r="Q25" s="70"/>
      <c r="R25" s="70"/>
      <c r="S25" s="70"/>
      <c r="T25" s="70"/>
      <c r="U25" s="70"/>
      <c r="V25" s="70"/>
      <c r="W25" s="70"/>
      <c r="X25" s="70"/>
      <c r="Y25" s="70"/>
      <c r="Z25" s="70"/>
    </row>
    <row r="26">
      <c r="A26" s="69" t="s">
        <v>165</v>
      </c>
      <c r="B26" s="69" t="s">
        <v>165</v>
      </c>
      <c r="C26" s="69" t="s">
        <v>165</v>
      </c>
      <c r="D26" s="69" t="s">
        <v>165</v>
      </c>
      <c r="E26" s="69" t="s">
        <v>165</v>
      </c>
      <c r="F26" s="69" t="s">
        <v>165</v>
      </c>
      <c r="G26" s="71" t="s">
        <v>166</v>
      </c>
      <c r="H26" s="69" t="s">
        <v>165</v>
      </c>
      <c r="I26" s="72" t="s">
        <v>167</v>
      </c>
      <c r="J26" s="69" t="s">
        <v>165</v>
      </c>
      <c r="K26" s="69" t="s">
        <v>165</v>
      </c>
      <c r="L26" s="7"/>
      <c r="M26" s="70"/>
      <c r="N26" s="70"/>
      <c r="O26" s="70"/>
      <c r="P26" s="70"/>
      <c r="Q26" s="70"/>
      <c r="R26" s="70"/>
      <c r="S26" s="70"/>
      <c r="T26" s="70"/>
      <c r="U26" s="70"/>
      <c r="V26" s="70"/>
      <c r="W26" s="70"/>
      <c r="X26" s="70"/>
      <c r="Y26" s="70"/>
      <c r="Z26" s="70"/>
    </row>
    <row r="27">
      <c r="A27" s="69" t="s">
        <v>168</v>
      </c>
      <c r="B27" s="69" t="s">
        <v>168</v>
      </c>
      <c r="C27" s="69" t="s">
        <v>168</v>
      </c>
      <c r="D27" s="69" t="s">
        <v>168</v>
      </c>
      <c r="E27" s="69" t="s">
        <v>168</v>
      </c>
      <c r="F27" s="69" t="s">
        <v>168</v>
      </c>
      <c r="G27" s="71" t="s">
        <v>169</v>
      </c>
      <c r="H27" s="69" t="s">
        <v>168</v>
      </c>
      <c r="I27" s="72" t="s">
        <v>170</v>
      </c>
      <c r="J27" s="69" t="s">
        <v>168</v>
      </c>
      <c r="K27" s="69" t="s">
        <v>168</v>
      </c>
      <c r="L27" s="7"/>
      <c r="M27" s="70"/>
      <c r="N27" s="70"/>
      <c r="O27" s="70"/>
      <c r="P27" s="70"/>
      <c r="Q27" s="70"/>
      <c r="R27" s="70"/>
      <c r="S27" s="70"/>
      <c r="T27" s="70"/>
      <c r="U27" s="70"/>
      <c r="V27" s="70"/>
      <c r="W27" s="70"/>
      <c r="X27" s="70"/>
      <c r="Y27" s="70"/>
      <c r="Z27" s="70"/>
    </row>
    <row r="28">
      <c r="A28" s="69" t="s">
        <v>171</v>
      </c>
      <c r="B28" s="69" t="str">
        <f>IFERROR(__xludf.DUMMYFUNCTION("GOOGLETRANSLATE(A28,""zh-tw"",""ja"")"),"2026/1/11 0.95 アップデート
SLG-F 6～9 / SLG-A 20 / RPG47.48.95 / アイテム +2 / ヒント +2 / 料理 +3")</f>
        <v>2026/1/11 0.95 アップデート
SLG-F 6～9 / SLG-A 20 / RPG47.48.95 / アイテム +2 / ヒント +2 / 料理 +3</v>
      </c>
      <c r="C28" s="69" t="s">
        <v>172</v>
      </c>
      <c r="D28" s="69" t="str">
        <f>IFERROR(__xludf.DUMMYFUNCTION("GOOGLETRANSLATE(A28,""zh-tw"",""zh"")"),"2026/1/11  0.95  Update 
SLG-F  6~9 / SLG-A  20 / RPG47.48.95 / Items +2 / TIPS +2  / Dish +3")</f>
        <v>2026/1/11  0.95  Update 
SLG-F  6~9 / SLG-A  20 / RPG47.48.95 / Items +2 / TIPS +2  / Dish +3</v>
      </c>
      <c r="E28" s="33" t="str">
        <f>IFERROR(__xludf.DUMMYFUNCTION("GOOGLETRANSLATE(A28,""zh-tw"",""es-MX"")"),"Actualización 0.95 del 11/01/2026
SLG-F 6~9 / SLG-A 20 / RPG47.48.95 / Objetos +2 / Consejos +2 / Plato +3")</f>
        <v>Actualización 0.95 del 11/01/2026
SLG-F 6~9 / SLG-A 20 / RPG47.48.95 / Objetos +2 / Consejos +2 / Plato +3</v>
      </c>
      <c r="F28" s="33" t="str">
        <f>IFERROR(__xludf.DUMMYFUNCTION("GOOGLETRANSLATE(A28,""zh-tw"",""KO"")"),"2026년 1월 11일 0.95 업데이트
SLG-F 6~9 / SLG-A 20 / RPG47.48.95 / 아이템 +2 / 팁 +2 / 요리 +3")</f>
        <v>2026년 1월 11일 0.95 업데이트
SLG-F 6~9 / SLG-A 20 / RPG47.48.95 / 아이템 +2 / 팁 +2 / 요리 +3</v>
      </c>
      <c r="G28" s="33" t="str">
        <f>IFERROR(__xludf.DUMMYFUNCTION("GOOGLETRANSLATE(A28,""zh-tw"",""RU"")"),"11.01.2026 Обновление 0.95
SLG-F 6~9 / SLG-A 20 / RPG47.48.95 / Предметы +2 / Советы +2 / Блюдо +3")</f>
        <v>11.01.2026 Обновление 0.95
SLG-F 6~9 / SLG-A 20 / RPG47.48.95 / Предметы +2 / Советы +2 / Блюдо +3</v>
      </c>
      <c r="H28" s="33" t="str">
        <f>IFERROR(__xludf.DUMMYFUNCTION("GOOGLETRANSLATE(A28,""zh-tw"",""DE"")"),"Update 0.95 vom 11.01.2026
SLG-F 6–9 / SLG-A 20 / RPG 47.48.95 / Gegenstände +2 / Trinkgelder +2 / Gerichte +3")</f>
        <v>Update 0.95 vom 11.01.2026
SLG-F 6–9 / SLG-A 20 / RPG 47.48.95 / Gegenstände +2 / Trinkgelder +2 / Gerichte +3</v>
      </c>
      <c r="I28" s="73" t="s">
        <v>173</v>
      </c>
      <c r="J28" s="7" t="s">
        <v>174</v>
      </c>
      <c r="K28" s="7" t="s">
        <v>175</v>
      </c>
      <c r="L28" s="7"/>
      <c r="M28" s="70"/>
      <c r="N28" s="70"/>
      <c r="O28" s="70"/>
      <c r="P28" s="70"/>
      <c r="Q28" s="70"/>
      <c r="R28" s="70"/>
      <c r="S28" s="70"/>
      <c r="T28" s="70"/>
      <c r="U28" s="70"/>
      <c r="V28" s="70"/>
      <c r="W28" s="70"/>
      <c r="X28" s="70"/>
      <c r="Y28" s="70"/>
      <c r="Z28" s="70"/>
    </row>
    <row r="29">
      <c r="A29" s="69" t="s">
        <v>176</v>
      </c>
      <c r="B29" s="69" t="str">
        <f>IFERROR(__xludf.DUMMYFUNCTION("GOOGLETRANSLATE(A29,""zh-tw"",""ja"")"),"2025年12月30日にインドネシア語を追加しました")</f>
        <v>2025年12月30日にインドネシア語を追加しました</v>
      </c>
      <c r="C29" s="69" t="s">
        <v>177</v>
      </c>
      <c r="D29" s="69" t="str">
        <f>IFERROR(__xludf.DUMMYFUNCTION("GOOGLETRANSLATE(A29,""zh-tw"",""zh"")"),"2025/12/30 新增印尼语")</f>
        <v>2025/12/30 新增印尼语</v>
      </c>
      <c r="E29" s="33" t="str">
        <f>IFERROR(__xludf.DUMMYFUNCTION("GOOGLETRANSLATE(A29,""zh-tw"",""es-MX"")"),"Se agregó el idioma indonesio el 30/12/2025.")</f>
        <v>Se agregó el idioma indonesio el 30/12/2025.</v>
      </c>
      <c r="F29" s="33" t="str">
        <f>IFERROR(__xludf.DUMMYFUNCTION("GOOGLETRANSLATE(A29,""zh-tw"",""KO"")"),"2025년 12월 30일에 인도네시아어가 추가되었습니다.")</f>
        <v>2025년 12월 30일에 인도네시아어가 추가되었습니다.</v>
      </c>
      <c r="G29" s="33" t="str">
        <f>IFERROR(__xludf.DUMMYFUNCTION("GOOGLETRANSLATE(A29,""zh-tw"",""RU"")"),"Индонезийский язык добавлен 30.12.2025.")</f>
        <v>Индонезийский язык добавлен 30.12.2025.</v>
      </c>
      <c r="H29" s="33" t="str">
        <f>IFERROR(__xludf.DUMMYFUNCTION("GOOGLETRANSLATE(A29,""zh-tw"",""DE"")"),"Indonesische Sprache hinzugefügt am 30.12.2025")</f>
        <v>Indonesische Sprache hinzugefügt am 30.12.2025</v>
      </c>
      <c r="I29" s="73" t="s">
        <v>178</v>
      </c>
      <c r="J29" s="7" t="s">
        <v>179</v>
      </c>
      <c r="K29" s="7" t="s">
        <v>180</v>
      </c>
      <c r="L29" s="7"/>
      <c r="M29" s="70"/>
      <c r="N29" s="70"/>
      <c r="O29" s="70"/>
      <c r="P29" s="70"/>
      <c r="Q29" s="70"/>
      <c r="R29" s="70"/>
      <c r="S29" s="70"/>
      <c r="T29" s="70"/>
      <c r="U29" s="70"/>
      <c r="V29" s="70"/>
      <c r="W29" s="70"/>
      <c r="X29" s="70"/>
      <c r="Y29" s="70"/>
      <c r="Z29" s="70"/>
    </row>
    <row r="30">
      <c r="A30" s="69" t="s">
        <v>181</v>
      </c>
      <c r="B30" s="69" t="str">
        <f>IFERROR(__xludf.DUMMYFUNCTION("GOOGLETRANSLATE(A30,""zh-tw"",""ja"")"),"地図セクションの画像は、2025年12月22日より一時的に閲覧できなくなりました。インタラクティブなウェブ版をご利用いただくと、画像をご覧いただけます。")</f>
        <v>地図セクションの画像は、2025年12月22日より一時的に閲覧できなくなりました。インタラクティブなウェブ版をご利用いただくと、画像をご覧いただけます。</v>
      </c>
      <c r="C30" s="69" t="s">
        <v>182</v>
      </c>
      <c r="D30" s="69" t="str">
        <f>IFERROR(__xludf.DUMMYFUNCTION("GOOGLETRANSLATE(A30,""zh-tw"",""zh"")"),"2025/12/22 map版块的图档暂时关闭，可以先利用互动网页版本进行浏览")</f>
        <v>2025/12/22 map版块的图档暂时关闭，可以先利用互动网页版本进行浏览</v>
      </c>
      <c r="E30" s="33" t="str">
        <f>IFERROR(__xludf.DUMMYFUNCTION("GOOGLETRANSLATE(A30,""zh-tw"",""es-MX"")"),"Las imágenes de la sección de mapas se desactivaron temporalmente el 22 de diciembre de 2025. Puede consultarlas mediante la versión web interactiva.")</f>
        <v>Las imágenes de la sección de mapas se desactivaron temporalmente el 22 de diciembre de 2025. Puede consultarlas mediante la versión web interactiva.</v>
      </c>
      <c r="F30" s="33" t="str">
        <f>IFERROR(__xludf.DUMMYFUNCTION("GOOGLETRANSLATE(A30,""zh-tw"",""KO"")"),"지도 섹션의 이미지는 2025년 12월 22일에 일시적으로 폐쇄되었습니다. 웹 버전에서 해당 이미지를 열람하실 수 있습니다.")</f>
        <v>지도 섹션의 이미지는 2025년 12월 22일에 일시적으로 폐쇄되었습니다. 웹 버전에서 해당 이미지를 열람하실 수 있습니다.</v>
      </c>
      <c r="G30" s="33" t="str">
        <f>IFERROR(__xludf.DUMMYFUNCTION("GOOGLETRANSLATE(A30,""zh-tw"",""RU"")"),"Изображения в разделе карт были временно недоступны 22 декабря 2025 года. Вы можете просмотреть их, используя интерактивную веб-версию.")</f>
        <v>Изображения в разделе карт были временно недоступны 22 декабря 2025 года. Вы можете просмотреть их, используя интерактивную веб-версию.</v>
      </c>
      <c r="H30" s="33" t="str">
        <f>IFERROR(__xludf.DUMMYFUNCTION("GOOGLETRANSLATE(A30,""zh-tw"",""DE"")"),"Die Bilder im Kartenbereich wurden am 22. Dezember 2025 vorübergehend geschlossen. Sie können sie über die interaktive Webversion ansehen.")</f>
        <v>Die Bilder im Kartenbereich wurden am 22. Dezember 2025 vorübergehend geschlossen. Sie können sie über die interaktive Webversion ansehen.</v>
      </c>
      <c r="I30" s="73" t="s">
        <v>183</v>
      </c>
      <c r="J30" s="7" t="s">
        <v>184</v>
      </c>
      <c r="K30" s="7" t="s">
        <v>185</v>
      </c>
      <c r="L30" s="7"/>
      <c r="M30" s="70"/>
      <c r="N30" s="70"/>
      <c r="O30" s="70"/>
      <c r="P30" s="70"/>
      <c r="Q30" s="70"/>
      <c r="R30" s="70"/>
      <c r="S30" s="70"/>
      <c r="T30" s="70"/>
      <c r="U30" s="70"/>
      <c r="V30" s="70"/>
      <c r="W30" s="70"/>
      <c r="X30" s="70"/>
      <c r="Y30" s="70"/>
      <c r="Z30" s="70"/>
    </row>
    <row r="31">
      <c r="A31" s="69" t="s">
        <v>186</v>
      </c>
      <c r="B31" s="69" t="str">
        <f>IFERROR(__xludf.DUMMYFUNCTION("GOOGLETRANSLATE(A31,""zh-tw"",""ja"")"),"Dish +3を2025年12月5日に追加しました")</f>
        <v>Dish +3を2025年12月5日に追加しました</v>
      </c>
      <c r="C31" s="69" t="s">
        <v>187</v>
      </c>
      <c r="D31" s="69" t="str">
        <f>IFERROR(__xludf.DUMMYFUNCTION("GOOGLETRANSLATE(A31,""zh-tw"",""zh"")"),"2025/12/5 新增Dish +3")</f>
        <v>2025/12/5 新增Dish +3</v>
      </c>
      <c r="E31" s="33" t="str">
        <f>IFERROR(__xludf.DUMMYFUNCTION("GOOGLETRANSLATE(A31,""zh-tw"",""es-MX"")"),"Se agregó Dish +3 el 5/12/2025")</f>
        <v>Se agregó Dish +3 el 5/12/2025</v>
      </c>
      <c r="F31" s="33" t="str">
        <f>IFERROR(__xludf.DUMMYFUNCTION("GOOGLETRANSLATE(A31,""zh-tw"",""KO"")"),"2025년 12월 5일에 Dish +3이 추가되었습니다.")</f>
        <v>2025년 12월 5일에 Dish +3이 추가되었습니다.</v>
      </c>
      <c r="G31" s="33" t="str">
        <f>IFERROR(__xludf.DUMMYFUNCTION("GOOGLETRANSLATE(A31,""zh-tw"",""RU"")"),"Добавлено блюдо +3 05.12.2025")</f>
        <v>Добавлено блюдо +3 05.12.2025</v>
      </c>
      <c r="H31" s="33" t="str">
        <f>IFERROR(__xludf.DUMMYFUNCTION("GOOGLETRANSLATE(A31,""zh-tw"",""DE"")"),"Gericht +3 hinzugefügt am 05.12.2025")</f>
        <v>Gericht +3 hinzugefügt am 05.12.2025</v>
      </c>
      <c r="I31" s="73" t="s">
        <v>188</v>
      </c>
      <c r="J31" s="7" t="s">
        <v>189</v>
      </c>
      <c r="K31" s="7" t="s">
        <v>190</v>
      </c>
      <c r="L31" s="7"/>
      <c r="M31" s="70"/>
      <c r="N31" s="70"/>
      <c r="O31" s="70"/>
      <c r="P31" s="70"/>
      <c r="Q31" s="70"/>
      <c r="R31" s="70"/>
      <c r="S31" s="70"/>
      <c r="T31" s="70"/>
      <c r="U31" s="70"/>
      <c r="V31" s="70"/>
      <c r="W31" s="70"/>
      <c r="X31" s="70"/>
      <c r="Y31" s="70"/>
      <c r="Z31" s="70"/>
    </row>
    <row r="32">
      <c r="A32" s="69" t="s">
        <v>191</v>
      </c>
      <c r="B32" s="69" t="str">
        <f>IFERROR(__xludf.DUMMYFUNCTION("GOOGLETRANSLATE(A32,""zh-tw"",""ja"")"),"2025年12月2日：バージョン0.9コンテンツを追加：SLG-A24~26/SLG-F1~8/R34、R90~93/ヒント+2/ステータス+1/武器+2/ギア+1/アイテム+2")</f>
        <v>2025年12月2日：バージョン0.9コンテンツを追加：SLG-A24~26/SLG-F1~8/R34、R90~93/ヒント+2/ステータス+1/武器+2/ギア+1/アイテム+2</v>
      </c>
      <c r="C32" s="69" t="s">
        <v>192</v>
      </c>
      <c r="D32" s="69" t="str">
        <f>IFERROR(__xludf.DUMMYFUNCTION("GOOGLETRANSLATE(A32,""zh-tw"",""zh"")"),"2025/12/2 新增0.9版本内容SLG-A24~26/SLG-F1~8/R34、R90~93/Tips+2/Status+1/Weap+2/Gears+1/Items+2")</f>
        <v>2025/12/2 新增0.9版本内容SLG-A24~26/SLG-F1~8/R34、R90~93/Tips+2/Status+1/Weap+2/Gears+1/Items+2</v>
      </c>
      <c r="E32" s="33" t="str">
        <f>IFERROR(__xludf.DUMMYFUNCTION("GOOGLETRANSLATE(A32,""zh-tw"",""es-MX"")"),"2 de diciembre de 2025: Se agregó el contenido de la versión 0.9: SLG-A24~26/SLG-F1~8/R34, R90~93/Consejos+2/Estado+1/Arma+2/Equipo+1/Objetos+2")</f>
        <v>2 de diciembre de 2025: Se agregó el contenido de la versión 0.9: SLG-A24~26/SLG-F1~8/R34, R90~93/Consejos+2/Estado+1/Arma+2/Equipo+1/Objetos+2</v>
      </c>
      <c r="F32" s="33" t="str">
        <f>IFERROR(__xludf.DUMMYFUNCTION("GOOGLETRANSLATE(A32,""zh-tw"",""KO"")"),"2025년 12월 2일: 버전 0.9 콘텐츠 추가: SLG-A24~26/SLG-F1~8/R34, R90~93/팁+2/상태+1/무기+2/장비+1/아이템+2")</f>
        <v>2025년 12월 2일: 버전 0.9 콘텐츠 추가: SLG-A24~26/SLG-F1~8/R34, R90~93/팁+2/상태+1/무기+2/장비+1/아이템+2</v>
      </c>
      <c r="G32" s="33" t="str">
        <f>IFERROR(__xludf.DUMMYFUNCTION("GOOGLETRANSLATE(A32,""zh-tw"",""RU"")"),"2 декабря 2025 г.: Добавлен контент версии 0.9: SLG-A24~26/SLG-F1~8/R34, R90~93/Tips+2/Status+1/Weapon+2/Gears+1/Items+2")</f>
        <v>2 декабря 2025 г.: Добавлен контент версии 0.9: SLG-A24~26/SLG-F1~8/R34, R90~93/Tips+2/Status+1/Weapon+2/Gears+1/Items+2</v>
      </c>
      <c r="H32" s="33" t="str">
        <f>IFERROR(__xludf.DUMMYFUNCTION("GOOGLETRANSLATE(A32,""zh-tw"",""DE"")"),"2. Dezember 2025: Inhalt der Version 0.9 hinzugefügt: SLG-A24–26/SLG-F1–8/R34, R90–93/Tipps+2/Status+1/Waffe+2/Ausrüstung+1/Gegenstände+2")</f>
        <v>2. Dezember 2025: Inhalt der Version 0.9 hinzugefügt: SLG-A24–26/SLG-F1–8/R34, R90–93/Tipps+2/Status+1/Waffe+2/Ausrüstung+1/Gegenstände+2</v>
      </c>
      <c r="I32" s="73" t="s">
        <v>193</v>
      </c>
      <c r="J32" s="7" t="s">
        <v>194</v>
      </c>
      <c r="K32" s="7" t="s">
        <v>195</v>
      </c>
      <c r="L32" s="7"/>
      <c r="M32" s="70"/>
      <c r="N32" s="70"/>
      <c r="O32" s="70"/>
      <c r="P32" s="70"/>
      <c r="Q32" s="70"/>
      <c r="R32" s="70"/>
      <c r="S32" s="70"/>
      <c r="T32" s="70"/>
      <c r="U32" s="70"/>
      <c r="V32" s="70"/>
      <c r="W32" s="70"/>
      <c r="X32" s="70"/>
      <c r="Y32" s="70"/>
      <c r="Z32" s="70"/>
    </row>
    <row r="33">
      <c r="A33" s="69" t="s">
        <v>196</v>
      </c>
      <c r="B33" s="69" t="str">
        <f>IFERROR(__xludf.DUMMYFUNCTION("GOOGLETRANSLATE(A33,""zh-tw"",""ja"")"),"2025年12月1日：ドロップページがリニューアルされ、ドロップ率が追加されました。")</f>
        <v>2025年12月1日：ドロップページがリニューアルされ、ドロップ率が追加されました。</v>
      </c>
      <c r="C33" s="69" t="s">
        <v>197</v>
      </c>
      <c r="D33" s="69" t="str">
        <f>IFERROR(__xludf.DUMMYFUNCTION("GOOGLETRANSLATE(A33,""zh-tw"",""zh"")"),"2025/12/1 重制Drops页面，并且新增掉落机率")</f>
        <v>2025/12/1 重制Drops页面，并且新增掉落机率</v>
      </c>
      <c r="E33" s="33" t="str">
        <f>IFERROR(__xludf.DUMMYFUNCTION("GOOGLETRANSLATE(A33,""zh-tw"",""es-MX"")"),"1 de diciembre de 2025: Se rediseñó la página de Drops y se añadieron las tasas de obtención.")</f>
        <v>1 de diciembre de 2025: Se rediseñó la página de Drops y se añadieron las tasas de obtención.</v>
      </c>
      <c r="F33" s="33" t="str">
        <f>IFERROR(__xludf.DUMMYFUNCTION("GOOGLETRANSLATE(A33,""zh-tw"",""KO"")"),"2025년 12월 1일: 드롭 페이지가 새롭게 디자인되었고, 드롭률이 추가되었습니다.")</f>
        <v>2025년 12월 1일: 드롭 페이지가 새롭게 디자인되었고, 드롭률이 추가되었습니다.</v>
      </c>
      <c r="G33" s="33" t="str">
        <f>IFERROR(__xludf.DUMMYFUNCTION("GOOGLETRANSLATE(A33,""zh-tw"",""RU"")"),"1 декабря 2025 г.: Страница «Выпадающие предметы» была переработана, и добавлена ​​информация о вероятности выпадения предметов.")</f>
        <v>1 декабря 2025 г.: Страница «Выпадающие предметы» была переработана, и добавлена ​​информация о вероятности выпадения предметов.</v>
      </c>
      <c r="H33" s="33" t="str">
        <f>IFERROR(__xludf.DUMMYFUNCTION("GOOGLETRANSLATE(A33,""zh-tw"",""DE"")"),"1. Dezember 2025: Die Drops-Seite wurde neu gestaltet und die Drop-Raten wurden hinzugefügt.")</f>
        <v>1. Dezember 2025: Die Drops-Seite wurde neu gestaltet und die Drop-Raten wurden hinzugefügt.</v>
      </c>
      <c r="I33" s="73" t="s">
        <v>198</v>
      </c>
      <c r="J33" s="7" t="s">
        <v>199</v>
      </c>
      <c r="K33" s="7" t="s">
        <v>200</v>
      </c>
      <c r="L33" s="7"/>
      <c r="M33" s="70"/>
      <c r="N33" s="70"/>
      <c r="O33" s="70"/>
      <c r="P33" s="70"/>
      <c r="Q33" s="70"/>
      <c r="R33" s="70"/>
      <c r="S33" s="70"/>
      <c r="T33" s="70"/>
      <c r="U33" s="70"/>
      <c r="V33" s="70"/>
      <c r="W33" s="70"/>
      <c r="X33" s="70"/>
      <c r="Y33" s="70"/>
      <c r="Z33" s="70"/>
    </row>
    <row r="34">
      <c r="A34" s="69" t="s">
        <v>201</v>
      </c>
      <c r="B34" s="69" t="str">
        <f>IFERROR(__xludf.DUMMYFUNCTION("GOOGLETRANSLATE(A34,""zh-tw"",""ja"")"),"2025年11月26日にポルトガル語を追加しました")</f>
        <v>2025年11月26日にポルトガル語を追加しました</v>
      </c>
      <c r="C34" s="69" t="s">
        <v>202</v>
      </c>
      <c r="D34" s="69" t="str">
        <f>IFERROR(__xludf.DUMMYFUNCTION("GOOGLETRANSLATE(A34,""zh-tw"",""zh"")"),"2025/11/26 新增葡萄巴西语")</f>
        <v>2025/11/26 新增葡萄巴西语</v>
      </c>
      <c r="E34" s="33" t="str">
        <f>IFERROR(__xludf.DUMMYFUNCTION("GOOGLETRANSLATE(A34,""zh-tw"",""es-MX"")"),"Se agregó el idioma portugués el 26/11/2025.")</f>
        <v>Se agregó el idioma portugués el 26/11/2025.</v>
      </c>
      <c r="F34" s="33" t="str">
        <f>IFERROR(__xludf.DUMMYFUNCTION("GOOGLETRANSLATE(A34,""zh-tw"",""KO"")"),"2025년 11월 26일에 포르투갈어 지원 언어가 추가되었습니다.")</f>
        <v>2025년 11월 26일에 포르투갈어 지원 언어가 추가되었습니다.</v>
      </c>
      <c r="G34" s="33" t="str">
        <f>IFERROR(__xludf.DUMMYFUNCTION("GOOGLETRANSLATE(A34,""zh-tw"",""RU"")"),"Португальский язык добавлен 26.11.2025.")</f>
        <v>Португальский язык добавлен 26.11.2025.</v>
      </c>
      <c r="H34" s="33" t="str">
        <f>IFERROR(__xludf.DUMMYFUNCTION("GOOGLETRANSLATE(A34,""zh-tw"",""DE"")"),"Portugiesischsprachige Sprache hinzugefügt am 26.11.2025")</f>
        <v>Portugiesischsprachige Sprache hinzugefügt am 26.11.2025</v>
      </c>
      <c r="I34" s="73" t="s">
        <v>203</v>
      </c>
      <c r="J34" s="7" t="s">
        <v>204</v>
      </c>
      <c r="K34" s="7" t="s">
        <v>205</v>
      </c>
      <c r="L34" s="7"/>
      <c r="M34" s="70"/>
      <c r="N34" s="70"/>
      <c r="O34" s="70"/>
      <c r="P34" s="70"/>
      <c r="Q34" s="70"/>
      <c r="R34" s="70"/>
      <c r="S34" s="70"/>
      <c r="T34" s="70"/>
      <c r="U34" s="70"/>
      <c r="V34" s="70"/>
      <c r="W34" s="70"/>
      <c r="X34" s="70"/>
      <c r="Y34" s="70"/>
      <c r="Z34" s="70"/>
    </row>
    <row r="35">
      <c r="A35" s="69" t="s">
        <v>206</v>
      </c>
      <c r="B35" s="69" t="str">
        <f>IFERROR(__xludf.DUMMYFUNCTION("GOOGLETRANSLATE(A35,""zh-tw"",""ja"")"),"2025年11月15日にマイナーバージョンアップデートコンテンツを追加しました")</f>
        <v>2025年11月15日にマイナーバージョンアップデートコンテンツを追加しました</v>
      </c>
      <c r="C35" s="69" t="s">
        <v>207</v>
      </c>
      <c r="D35" s="69" t="str">
        <f>IFERROR(__xludf.DUMMYFUNCTION("GOOGLETRANSLATE(A35,""zh-tw"",""zh"")"),"2025/11/15 新增小版本更新内容")</f>
        <v>2025/11/15 新增小版本更新内容</v>
      </c>
      <c r="E35" s="33" t="str">
        <f>IFERROR(__xludf.DUMMYFUNCTION("GOOGLETRANSLATE(A35,""zh-tw"",""es-MX"")"),"Se agregó contenido de actualización de versión menor el 15/11/2025.")</f>
        <v>Se agregó contenido de actualización de versión menor el 15/11/2025.</v>
      </c>
      <c r="F35" s="33" t="str">
        <f>IFERROR(__xludf.DUMMYFUNCTION("GOOGLETRANSLATE(A35,""zh-tw"",""KO"")"),"2025년 11월 15일에 마이너 버전 업데이트 내용이 추가되었습니다.")</f>
        <v>2025년 11월 15일에 마이너 버전 업데이트 내용이 추가되었습니다.</v>
      </c>
      <c r="G35" s="33" t="str">
        <f>IFERROR(__xludf.DUMMYFUNCTION("GOOGLETRANSLATE(A35,""zh-tw"",""RU"")"),"Добавлен контент обновления незначительной версии 15.11.2025.")</f>
        <v>Добавлен контент обновления незначительной версии 15.11.2025.</v>
      </c>
      <c r="H35" s="33" t="str">
        <f>IFERROR(__xludf.DUMMYFUNCTION("GOOGLETRANSLATE(A35,""zh-tw"",""DE"")"),"Kleinere Versionsaktualisierung am 15.11.2025 hinzugefügt.")</f>
        <v>Kleinere Versionsaktualisierung am 15.11.2025 hinzugefügt.</v>
      </c>
      <c r="I35" s="73" t="s">
        <v>208</v>
      </c>
      <c r="J35" s="7" t="s">
        <v>209</v>
      </c>
      <c r="K35" s="7" t="s">
        <v>210</v>
      </c>
      <c r="L35" s="7"/>
      <c r="M35" s="70"/>
      <c r="N35" s="70"/>
      <c r="O35" s="70"/>
      <c r="P35" s="70"/>
      <c r="Q35" s="70"/>
      <c r="R35" s="70"/>
      <c r="S35" s="70"/>
      <c r="T35" s="70"/>
      <c r="U35" s="70"/>
      <c r="V35" s="70"/>
      <c r="W35" s="70"/>
      <c r="X35" s="70"/>
      <c r="Y35" s="70"/>
      <c r="Z35" s="70"/>
    </row>
    <row r="36">
      <c r="A36" s="69" t="s">
        <v>211</v>
      </c>
      <c r="B36" s="69" t="str">
        <f>IFERROR(__xludf.DUMMYFUNCTION("GOOGLETRANSLATE(A36,""zh-tw"",""ja"")"),"2025年11月8日：バージョン0.85Cの内容を追加し、いくつかの修正と追加を行いました。")</f>
        <v>2025年11月8日：バージョン0.85Cの内容を追加し、いくつかの修正と追加を行いました。</v>
      </c>
      <c r="C36" s="69" t="s">
        <v>212</v>
      </c>
      <c r="D36" s="69" t="str">
        <f>IFERROR(__xludf.DUMMYFUNCTION("GOOGLETRANSLATE(A36,""zh-tw"",""zh"")"),"2025/11/8 新增0.85C版本内容、部分内容修正与新增")</f>
        <v>2025/11/8 新增0.85C版本内容、部分内容修正与新增</v>
      </c>
      <c r="E36" s="33" t="str">
        <f>IFERROR(__xludf.DUMMYFUNCTION("GOOGLETRANSLATE(A36,""zh-tw"",""es-MX"")"),"8 de noviembre de 2025: Se agregó el contenido de la versión 0.85C y se incluyeron algunas correcciones y adiciones.")</f>
        <v>8 de noviembre de 2025: Se agregó el contenido de la versión 0.85C y se incluyeron algunas correcciones y adiciones.</v>
      </c>
      <c r="F36" s="33" t="str">
        <f>IFERROR(__xludf.DUMMYFUNCTION("GOOGLETRANSLATE(A36,""zh-tw"",""KO"")"),"2025년 11월 8일: 버전 0.85C 콘텐츠를 추가하고 몇 가지 수정 및 추가 사항을 포함했습니다.")</f>
        <v>2025년 11월 8일: 버전 0.85C 콘텐츠를 추가하고 몇 가지 수정 및 추가 사항을 포함했습니다.</v>
      </c>
      <c r="G36" s="33" t="str">
        <f>IFERROR(__xludf.DUMMYFUNCTION("GOOGLETRANSLATE(A36,""zh-tw"",""RU"")"),"8 ноября 2025 г.: Добавлен контент версии 0.85C, а также внесены некоторые исправления и дополнения.")</f>
        <v>8 ноября 2025 г.: Добавлен контент версии 0.85C, а также внесены некоторые исправления и дополнения.</v>
      </c>
      <c r="H36" s="33" t="str">
        <f>IFERROR(__xludf.DUMMYFUNCTION("GOOGLETRANSLATE(A36,""zh-tw"",""DE"")"),"8. November 2025: Inhalt der Version 0.85C hinzugefügt sowie einige Korrekturen und Ergänzungen vorgenommen.")</f>
        <v>8. November 2025: Inhalt der Version 0.85C hinzugefügt sowie einige Korrekturen und Ergänzungen vorgenommen.</v>
      </c>
      <c r="I36" s="73" t="s">
        <v>213</v>
      </c>
      <c r="J36" s="7" t="s">
        <v>214</v>
      </c>
      <c r="K36" s="7" t="s">
        <v>215</v>
      </c>
      <c r="L36" s="7"/>
      <c r="M36" s="70"/>
      <c r="N36" s="70"/>
      <c r="O36" s="70"/>
      <c r="P36" s="70"/>
      <c r="Q36" s="70"/>
      <c r="R36" s="70"/>
      <c r="S36" s="70"/>
      <c r="T36" s="70"/>
      <c r="U36" s="70"/>
      <c r="V36" s="70"/>
      <c r="W36" s="70"/>
      <c r="X36" s="70"/>
      <c r="Y36" s="70"/>
      <c r="Z36" s="70"/>
    </row>
    <row r="37">
      <c r="A37" s="69" t="s">
        <v>216</v>
      </c>
      <c r="B37" s="69" t="str">
        <f>IFERROR(__xludf.DUMMYFUNCTION("GOOGLETRANSLATE(A37,""zh-tw"",""ja"")"),"2025年11月3日：バージョン0.85を追加：SLG-C-23～SLG-C-29、SLG-A-24")</f>
        <v>2025年11月3日：バージョン0.85を追加：SLG-C-23～SLG-C-29、SLG-A-24</v>
      </c>
      <c r="C37" s="69" t="s">
        <v>217</v>
      </c>
      <c r="D37" s="69" t="str">
        <f>IFERROR(__xludf.DUMMYFUNCTION("GOOGLETRANSLATE(A37,""zh-tw"",""zh"")"),"2025/11/3 新增0.85版本：SLG-C-23~SLG-C-29、SLG-A-24")</f>
        <v>2025/11/3 新增0.85版本：SLG-C-23~SLG-C-29、SLG-A-24</v>
      </c>
      <c r="E37" s="33" t="str">
        <f>IFERROR(__xludf.DUMMYFUNCTION("GOOGLETRANSLATE(A37,""zh-tw"",""es-MX"")"),"3 de noviembre de 2025: Se agregó la versión 0.85: SLG-C-23~SLG-C-29, SLG-A-24")</f>
        <v>3 de noviembre de 2025: Se agregó la versión 0.85: SLG-C-23~SLG-C-29, SLG-A-24</v>
      </c>
      <c r="F37" s="33" t="str">
        <f>IFERROR(__xludf.DUMMYFUNCTION("GOOGLETRANSLATE(A37,""zh-tw"",""KO"")"),"2025년 11월 3일: 버전 0.85 추가: SLG-C-23~SLG-C-29, SLG-A-24")</f>
        <v>2025년 11월 3일: 버전 0.85 추가: SLG-C-23~SLG-C-29, SLG-A-24</v>
      </c>
      <c r="G37" s="33" t="str">
        <f>IFERROR(__xludf.DUMMYFUNCTION("GOOGLETRANSLATE(A37,""zh-tw"",""RU"")"),"3 ноября 2025 г.: Добавлена ​​версия 0.85: SLG-C-23~SLG-C-29, SLG-A-24")</f>
        <v>3 ноября 2025 г.: Добавлена ​​версия 0.85: SLG-C-23~SLG-C-29, SLG-A-24</v>
      </c>
      <c r="H37" s="33" t="str">
        <f>IFERROR(__xludf.DUMMYFUNCTION("GOOGLETRANSLATE(A37,""zh-tw"",""DE"")"),"3. November 2025: Version 0.85 hinzugefügt: SLG-C-23 bis SLG-C-29, SLG-A-24")</f>
        <v>3. November 2025: Version 0.85 hinzugefügt: SLG-C-23 bis SLG-C-29, SLG-A-24</v>
      </c>
      <c r="I37" s="73" t="s">
        <v>218</v>
      </c>
      <c r="J37" s="7" t="s">
        <v>219</v>
      </c>
      <c r="K37" s="7" t="s">
        <v>220</v>
      </c>
      <c r="L37" s="7"/>
      <c r="M37" s="70"/>
      <c r="N37" s="70"/>
      <c r="O37" s="70"/>
      <c r="P37" s="70"/>
      <c r="Q37" s="70"/>
      <c r="R37" s="70"/>
      <c r="S37" s="70"/>
      <c r="T37" s="70"/>
      <c r="U37" s="70"/>
      <c r="V37" s="70"/>
      <c r="W37" s="70"/>
      <c r="X37" s="70"/>
      <c r="Y37" s="70"/>
      <c r="Z37" s="70"/>
    </row>
    <row r="38">
      <c r="A38" s="69" t="s">
        <v>221</v>
      </c>
      <c r="B38" s="69" t="str">
        <f>IFERROR(__xludf.DUMMYFUNCTION("GOOGLETRANSLATE(A38,""zh-tw"",""ja"")"),"2025年10月14日：0.82D追加：R4、R68、アイテム+3")</f>
        <v>2025年10月14日：0.82D追加：R4、R68、アイテム+3</v>
      </c>
      <c r="C38" s="69" t="s">
        <v>222</v>
      </c>
      <c r="D38" s="69" t="str">
        <f>IFERROR(__xludf.DUMMYFUNCTION("GOOGLETRANSLATE(A38,""zh-tw"",""zh"")"),"2025/10/14 新增0.82D：R4、R68、Items +3")</f>
        <v>2025/10/14 新增0.82D：R4、R68、Items +3</v>
      </c>
      <c r="E38" s="33" t="str">
        <f>IFERROR(__xludf.DUMMYFUNCTION("GOOGLETRANSLATE(A38,""zh-tw"",""es-MX"")"),"14 de octubre de 2025: Añadido 0.82D: R4, R68, Artículos +3")</f>
        <v>14 de octubre de 2025: Añadido 0.82D: R4, R68, Artículos +3</v>
      </c>
      <c r="F38" s="33" t="str">
        <f>IFERROR(__xludf.DUMMYFUNCTION("GOOGLETRANSLATE(A38,""zh-tw"",""KO"")"),"2025년 10월 14일: 0.82D 추가: R4, R68, 아이템 +3")</f>
        <v>2025년 10월 14일: 0.82D 추가: R4, R68, 아이템 +3</v>
      </c>
      <c r="G38" s="33" t="str">
        <f>IFERROR(__xludf.DUMMYFUNCTION("GOOGLETRANSLATE(A38,""zh-tw"",""RU"")"),"14 октября 2025 г.: Добавлено 0.82D: R4, R68, предметов +3")</f>
        <v>14 октября 2025 г.: Добавлено 0.82D: R4, R68, предметов +3</v>
      </c>
      <c r="H38" s="33" t="str">
        <f>IFERROR(__xludf.DUMMYFUNCTION("GOOGLETRANSLATE(A38,""zh-tw"",""DE"")"),"14. Oktober 2025: Hinzugefügt 0.82D: R4, R68, Gegenstände +3")</f>
        <v>14. Oktober 2025: Hinzugefügt 0.82D: R4, R68, Gegenstände +3</v>
      </c>
      <c r="I38" s="73" t="s">
        <v>223</v>
      </c>
      <c r="J38" s="7" t="s">
        <v>224</v>
      </c>
      <c r="K38" s="7" t="s">
        <v>225</v>
      </c>
      <c r="L38" s="7"/>
      <c r="M38" s="70"/>
      <c r="N38" s="70"/>
      <c r="O38" s="70"/>
      <c r="P38" s="70"/>
      <c r="Q38" s="70"/>
      <c r="R38" s="70"/>
      <c r="S38" s="70"/>
      <c r="T38" s="70"/>
      <c r="U38" s="70"/>
      <c r="V38" s="70"/>
      <c r="W38" s="70"/>
      <c r="X38" s="70"/>
      <c r="Y38" s="70"/>
      <c r="Z38" s="70"/>
    </row>
    <row r="39">
      <c r="A39" s="69" t="s">
        <v>226</v>
      </c>
      <c r="B39" s="69" t="str">
        <f>IFERROR(__xludf.DUMMYFUNCTION("GOOGLETRANSLATE(A39,""zh-tw"",""ja"")"),"2025年10月6日にベトナム語の翻訳を追加しました。")</f>
        <v>2025年10月6日にベトナム語の翻訳を追加しました。</v>
      </c>
      <c r="C39" s="69" t="s">
        <v>227</v>
      </c>
      <c r="D39" s="69" t="str">
        <f>IFERROR(__xludf.DUMMYFUNCTION("GOOGLETRANSLATE(A39,""zh-tw"",""zh"")"),"2025/10/6 新增越南文的翻译")</f>
        <v>2025/10/6 新增越南文的翻译</v>
      </c>
      <c r="E39" s="33" t="str">
        <f>IFERROR(__xludf.DUMMYFUNCTION("GOOGLETRANSLATE(A39,""zh-tw"",""es-MX"")"),"Se añadió la traducción al vietnamita el 6 de octubre de 2025.")</f>
        <v>Se añadió la traducción al vietnamita el 6 de octubre de 2025.</v>
      </c>
      <c r="F39" s="33" t="str">
        <f>IFERROR(__xludf.DUMMYFUNCTION("GOOGLETRANSLATE(A39,""zh-tw"",""KO"")"),"2025년 10월 6일에 베트남어 번역이 추가되었습니다.")</f>
        <v>2025년 10월 6일에 베트남어 번역이 추가되었습니다.</v>
      </c>
      <c r="G39" s="33" t="str">
        <f>IFERROR(__xludf.DUMMYFUNCTION("GOOGLETRANSLATE(A39,""zh-tw"",""RU"")"),"Вьетнамский перевод добавлен 6 октября 2025 года.")</f>
        <v>Вьетнамский перевод добавлен 6 октября 2025 года.</v>
      </c>
      <c r="H39" s="33" t="str">
        <f>IFERROR(__xludf.DUMMYFUNCTION("GOOGLETRANSLATE(A39,""zh-tw"",""DE"")"),"Vietnamesische Übersetzung hinzugefügt am 6. Oktober 2025.")</f>
        <v>Vietnamesische Übersetzung hinzugefügt am 6. Oktober 2025.</v>
      </c>
      <c r="I39" s="73" t="s">
        <v>228</v>
      </c>
      <c r="J39" s="7" t="s">
        <v>229</v>
      </c>
      <c r="K39" s="7" t="s">
        <v>230</v>
      </c>
      <c r="L39" s="7"/>
      <c r="M39" s="70"/>
      <c r="N39" s="70"/>
      <c r="O39" s="70"/>
      <c r="P39" s="70"/>
      <c r="Q39" s="70"/>
      <c r="R39" s="70"/>
      <c r="S39" s="70"/>
      <c r="T39" s="70"/>
      <c r="U39" s="70"/>
      <c r="V39" s="70"/>
      <c r="W39" s="70"/>
      <c r="X39" s="70"/>
      <c r="Y39" s="70"/>
      <c r="Z39" s="70"/>
    </row>
    <row r="40">
      <c r="A40" s="69" t="s">
        <v>231</v>
      </c>
      <c r="B40" s="69" t="str">
        <f>IFERROR(__xludf.DUMMYFUNCTION("GOOGLETRANSLATE(A40,""zh-tw"",""ja"")"),"2025/10/1
0.82アップデート：
R21、R66～R68、R83～R89、武器-45～49、ドロップ-15、47～49、ギア-75～78、ヒント-106～112")</f>
        <v>2025/10/1
0.82アップデート：
R21、R66～R68、R83～R89、武器-45～49、ドロップ-15、47～49、ギア-75～78、ヒント-106～112</v>
      </c>
      <c r="C40" s="69" t="s">
        <v>232</v>
      </c>
      <c r="D40" s="69" t="str">
        <f>IFERROR(__xludf.DUMMYFUNCTION("GOOGLETRANSLATE(A40,""zh-tw"",""zh"")"),"2025/10/1
0.82 update：
R21、R66~R68、R83~89、Weap-45~49、Drops-15、47~49、Gears-75~78、TIPS-106~112")</f>
        <v>2025/10/1
0.82 update：
R21、R66~R68、R83~89、Weap-45~49、Drops-15、47~49、Gears-75~78、TIPS-106~112</v>
      </c>
      <c r="E40" s="33" t="str">
        <f>IFERROR(__xludf.DUMMYFUNCTION("GOOGLETRANSLATE(A40,""zh-tw"",""es-MX"")"),"1/10/2025
Actualización 0.82:
R21, R66~R68, R83~89, Armas: 45~49, Botín: 15, 47~49, Equipos: 75~78, Consejos: 106~112")</f>
        <v>1/10/2025
Actualización 0.82:
R21, R66~R68, R83~89, Armas: 45~49, Botín: 15, 47~49, Equipos: 75~78, Consejos: 106~112</v>
      </c>
      <c r="F40" s="33" t="str">
        <f>IFERROR(__xludf.DUMMYFUNCTION("GOOGLETRANSLATE(A40,""zh-tw"",""KO"")"),"2025/10/1
0.82 업데이트:
R21, R66~R68, R83~89, 무기-45~49, 드롭-15, 47~49, 장비-75~78, 팁-106~112")</f>
        <v>2025/10/1
0.82 업데이트:
R21, R66~R68, R83~89, 무기-45~49, 드롭-15, 47~49, 장비-75~78, 팁-106~112</v>
      </c>
      <c r="G40" s="33" t="str">
        <f>IFERROR(__xludf.DUMMYFUNCTION("GOOGLETRANSLATE(A40,""zh-tw"",""RU"")"),"01.10.2025
0.82 обновление:
R21, R66~R68, R83~89, Оружие-45~49, Выпадения-15, 47~49, Снаряжение-75~78, СОВЕТЫ-106~112")</f>
        <v>01.10.2025
0.82 обновление:
R21, R66~R68, R83~89, Оружие-45~49, Выпадения-15, 47~49, Снаряжение-75~78, СОВЕТЫ-106~112</v>
      </c>
      <c r="H40" s="33" t="str">
        <f>IFERROR(__xludf.DUMMYFUNCTION("GOOGLETRANSLATE(A40,""zh-tw"",""DE"")"),"01.10.2025
Update 0.82:
R21, R66–R68, R83–89, Waffen 45–49, Beute 15, 47–49, Ausrüstung 75–78, Spitzen 106–112")</f>
        <v>01.10.2025
Update 0.82:
R21, R66–R68, R83–89, Waffen 45–49, Beute 15, 47–49, Ausrüstung 75–78, Spitzen 106–112</v>
      </c>
      <c r="I40" s="73" t="s">
        <v>233</v>
      </c>
      <c r="J40" s="7" t="s">
        <v>234</v>
      </c>
      <c r="K40" s="7" t="s">
        <v>235</v>
      </c>
      <c r="L40" s="7"/>
      <c r="M40" s="70"/>
      <c r="N40" s="70"/>
      <c r="O40" s="70"/>
      <c r="P40" s="70"/>
      <c r="Q40" s="70"/>
      <c r="R40" s="70"/>
      <c r="S40" s="70"/>
      <c r="T40" s="70"/>
      <c r="U40" s="70"/>
      <c r="V40" s="70"/>
      <c r="W40" s="70"/>
      <c r="X40" s="70"/>
      <c r="Y40" s="70"/>
      <c r="Z40" s="70"/>
    </row>
    <row r="41">
      <c r="A41" s="69" t="s">
        <v>236</v>
      </c>
      <c r="B41" s="69" t="str">
        <f>IFERROR(__xludf.DUMMYFUNCTION("GOOGLETRANSLATE(A41,""zh-tw"",""ja"")"),"2025/9/14 0.81アップデート：R69～R82、R24/ヒント105～106/ドロップ46/武器45.46/ギア64～74/アイテム42")</f>
        <v>2025/9/14 0.81アップデート：R69～R82、R24/ヒント105～106/ドロップ46/武器45.46/ギア64～74/アイテム42</v>
      </c>
      <c r="C41" s="69" t="s">
        <v>237</v>
      </c>
      <c r="D41" s="69" t="str">
        <f>IFERROR(__xludf.DUMMYFUNCTION("GOOGLETRANSLATE(A41,""zh-tw"",""zh"")"),"2025/9/14 0.81update：
R69~R82、R24/TIPS 105~106/Drops 46/Weap 45.46/Gears 64~74/Items 42")</f>
        <v>2025/9/14 0.81update：
R69~R82、R24/TIPS 105~106/Drops 46/Weap 45.46/Gears 64~74/Items 42</v>
      </c>
      <c r="E41" s="33" t="str">
        <f>IFERROR(__xludf.DUMMYFUNCTION("GOOGLETRANSLATE(A41,""zh-tw"",""es-MX"")"),"Actualización 0.81 del 14/09/2025:
R69~R82, R24/CONSEJOS 105~106/Objetos 46/Armas 45.46/Equipamiento 64~74/Objetos 42")</f>
        <v>Actualización 0.81 del 14/09/2025:
R69~R82, R24/CONSEJOS 105~106/Objetos 46/Armas 45.46/Equipamiento 64~74/Objetos 42</v>
      </c>
      <c r="F41" s="33" t="str">
        <f>IFERROR(__xludf.DUMMYFUNCTION("GOOGLETRANSLATE(A41,""zh-tw"",""KO"")"),"2025년 9월 14일 0.81 업데이트:
R69~R82, R24/팁 105~106/드롭 46/무기 45.46/장비 64~74/아이템 42")</f>
        <v>2025년 9월 14일 0.81 업데이트:
R69~R82, R24/팁 105~106/드롭 46/무기 45.46/장비 64~74/아이템 42</v>
      </c>
      <c r="G41" s="33" t="str">
        <f>IFERROR(__xludf.DUMMYFUNCTION("GOOGLETRANSLATE(A41,""zh-tw"",""RU"")"),"14.09.2025 0.81 обновление:
R69~R82, R24/Советы 105~106/Выпадение предметов 46/Оружие 45.46/Снаряжение 64~74/Предметы 42")</f>
        <v>14.09.2025 0.81 обновление:
R69~R82, R24/Советы 105~106/Выпадение предметов 46/Оружие 45.46/Снаряжение 64~74/Предметы 42</v>
      </c>
      <c r="H41" s="33" t="str">
        <f>IFERROR(__xludf.DUMMYFUNCTION("GOOGLETRANSLATE(A41,""zh-tw"",""DE"")"),"Update 0.81 vom 14.09.2025:
R69–R82, R24/Tipps 105–106/Beute 46/Waffen 45,46/Ausrüstung 64–74/Gegenstände 42")</f>
        <v>Update 0.81 vom 14.09.2025:
R69–R82, R24/Tipps 105–106/Beute 46/Waffen 45,46/Ausrüstung 64–74/Gegenstände 42</v>
      </c>
      <c r="I41" s="73" t="s">
        <v>238</v>
      </c>
      <c r="J41" s="7" t="s">
        <v>239</v>
      </c>
      <c r="K41" s="7" t="s">
        <v>240</v>
      </c>
      <c r="L41" s="7"/>
      <c r="M41" s="70"/>
      <c r="N41" s="70"/>
      <c r="O41" s="70"/>
      <c r="P41" s="70"/>
      <c r="Q41" s="70"/>
      <c r="R41" s="70"/>
      <c r="S41" s="70"/>
      <c r="T41" s="70"/>
      <c r="U41" s="70"/>
      <c r="V41" s="70"/>
      <c r="W41" s="70"/>
      <c r="X41" s="70"/>
      <c r="Y41" s="70"/>
      <c r="Z41" s="70"/>
    </row>
    <row r="42">
      <c r="A42" s="69" t="s">
        <v>241</v>
      </c>
      <c r="B42" s="69" t="str">
        <f>IFERROR(__xludf.DUMMYFUNCTION("GOOGLETRANSLATE(A42,""zh-tw"",""ja"")"),"2025年9月4日に動画/音声のページネーション機能を追加しました。")</f>
        <v>2025年9月4日に動画/音声のページネーション機能を追加しました。</v>
      </c>
      <c r="C42" s="69" t="s">
        <v>242</v>
      </c>
      <c r="D42" s="69" t="str">
        <f>IFERROR(__xludf.DUMMYFUNCTION("GOOGLETRANSLATE(A42,""zh-tw"",""zh"")"),"2025/9/4 新增影音分页")</f>
        <v>2025/9/4 新增影音分页</v>
      </c>
      <c r="E42" s="33" t="str">
        <f>IFERROR(__xludf.DUMMYFUNCTION("GOOGLETRANSLATE(A42,""zh-tw"",""es-MX"")"),"Se añadió paginación de vídeo/audio el 4 de septiembre de 2025.")</f>
        <v>Se añadió paginación de vídeo/audio el 4 de septiembre de 2025.</v>
      </c>
      <c r="F42" s="33" t="str">
        <f>IFERROR(__xludf.DUMMYFUNCTION("GOOGLETRANSLATE(A42,""zh-tw"",""KO"")"),"2025년 9월 4일에 비디오/오디오 페이지네이션 기능을 추가했습니다.")</f>
        <v>2025년 9월 4일에 비디오/오디오 페이지네이션 기능을 추가했습니다.</v>
      </c>
      <c r="G42" s="33" t="str">
        <f>IFERROR(__xludf.DUMMYFUNCTION("GOOGLETRANSLATE(A42,""zh-tw"",""RU"")"),"Добавлена ​​постраничная навигация для видео/аудио 4 сентября 2025 года.")</f>
        <v>Добавлена ​​постраничная навигация для видео/аудио 4 сентября 2025 года.</v>
      </c>
      <c r="H42" s="33" t="str">
        <f>IFERROR(__xludf.DUMMYFUNCTION("GOOGLETRANSLATE(A42,""zh-tw"",""DE"")"),"Video-/Audio-Seitennummerierung hinzugefügt am 4. September 2025.")</f>
        <v>Video-/Audio-Seitennummerierung hinzugefügt am 4. September 2025.</v>
      </c>
      <c r="I42" s="73" t="s">
        <v>243</v>
      </c>
      <c r="J42" s="7" t="s">
        <v>244</v>
      </c>
      <c r="K42" s="7" t="s">
        <v>245</v>
      </c>
      <c r="L42" s="7"/>
      <c r="M42" s="70"/>
      <c r="N42" s="70"/>
      <c r="O42" s="70"/>
      <c r="P42" s="70"/>
      <c r="Q42" s="70"/>
      <c r="R42" s="70"/>
      <c r="S42" s="70"/>
      <c r="T42" s="70"/>
      <c r="U42" s="70"/>
      <c r="V42" s="70"/>
      <c r="W42" s="70"/>
      <c r="X42" s="70"/>
      <c r="Y42" s="70"/>
      <c r="Z42" s="70"/>
    </row>
    <row r="43">
      <c r="A43" s="69" t="s">
        <v>246</v>
      </c>
      <c r="B43" s="69" t="str">
        <f>IFERROR(__xludf.DUMMYFUNCTION("GOOGLETRANSLATE(A43,""zh-tw"",""ja"")"),"2025年8月31日、地図セクションの地図ファイル用ウェブサイトがimgseからpostimageに変更されました。")</f>
        <v>2025年8月31日、地図セクションの地図ファイル用ウェブサイトがimgseからpostimageに変更されました。</v>
      </c>
      <c r="C43" s="69" t="s">
        <v>247</v>
      </c>
      <c r="D43" s="69" t="str">
        <f>IFERROR(__xludf.DUMMYFUNCTION("GOOGLETRANSLATE(A43,""zh-tw"",""zh"")"),"2025/8/31 Map板块图档网站由imgse网站更换为postimage")</f>
        <v>2025/8/31 Map板块图档网站由imgse网站更换为postimage</v>
      </c>
      <c r="E43" s="33" t="str">
        <f>IFERROR(__xludf.DUMMYFUNCTION("GOOGLETRANSLATE(A43,""zh-tw"",""es-MX"")"),"El 31 de agosto de 2025, el sitio web para los archivos de mapas en la sección de mapas cambió de imgse a postimage.")</f>
        <v>El 31 de agosto de 2025, el sitio web para los archivos de mapas en la sección de mapas cambió de imgse a postimage.</v>
      </c>
      <c r="F43" s="33" t="str">
        <f>IFERROR(__xludf.DUMMYFUNCTION("GOOGLETRANSLATE(A43,""zh-tw"",""KO"")"),"2025년 8월 31일, 지도 섹션의 지도 파일 웹사이트 주소가 imgse에서 postimage로 변경되었습니다.")</f>
        <v>2025년 8월 31일, 지도 섹션의 지도 파일 웹사이트 주소가 imgse에서 postimage로 변경되었습니다.</v>
      </c>
      <c r="G43" s="33" t="str">
        <f>IFERROR(__xludf.DUMMYFUNCTION("GOOGLETRANSLATE(A43,""zh-tw"",""RU"")"),"31 августа 2025 года веб-сайт для файлов карт в разделе карт был изменен с imgse на postimage.")</f>
        <v>31 августа 2025 года веб-сайт для файлов карт в разделе карт был изменен с imgse на postimage.</v>
      </c>
      <c r="H43" s="33" t="str">
        <f>IFERROR(__xludf.DUMMYFUNCTION("GOOGLETRANSLATE(A43,""zh-tw"",""DE"")"),"Am 31. August 2025 wurde die Website für Kartendateien im Kartenbereich von imgse auf postimage umgestellt.")</f>
        <v>Am 31. August 2025 wurde die Website für Kartendateien im Kartenbereich von imgse auf postimage umgestellt.</v>
      </c>
      <c r="I43" s="73" t="s">
        <v>248</v>
      </c>
      <c r="J43" s="7" t="s">
        <v>249</v>
      </c>
      <c r="K43" s="7" t="s">
        <v>250</v>
      </c>
      <c r="L43" s="7"/>
      <c r="M43" s="70"/>
      <c r="N43" s="70"/>
      <c r="O43" s="70"/>
      <c r="P43" s="70"/>
      <c r="Q43" s="70"/>
      <c r="R43" s="70"/>
      <c r="S43" s="70"/>
      <c r="T43" s="70"/>
      <c r="U43" s="70"/>
      <c r="V43" s="70"/>
      <c r="W43" s="70"/>
      <c r="X43" s="70"/>
      <c r="Y43" s="70"/>
      <c r="Z43" s="70"/>
    </row>
    <row r="44">
      <c r="A44" s="69" t="s">
        <v>251</v>
      </c>
      <c r="B44" s="69" t="str">
        <f>IFERROR(__xludf.DUMMYFUNCTION("GOOGLETRANSLATE(A44,""zh-tw"",""ja"")"),"バージョン0.80（2025年8月30日）では、SLG-A8、R11、R59～68、6つの新しい装備とアイテム、および繁体字中国語マップの更新が追加されます。")</f>
        <v>バージョン0.80（2025年8月30日）では、SLG-A8、R11、R59～68、6つの新しい装備とアイテム、および繁体字中国語マップの更新が追加されます。</v>
      </c>
      <c r="C44" s="69" t="s">
        <v>252</v>
      </c>
      <c r="D44" s="69" t="str">
        <f>IFERROR(__xludf.DUMMYFUNCTION("GOOGLETRANSLATE(A44,""zh-tw"",""zh"")"),"2025/8/30 0.80版本新增：SLG-A8、R11、R59~68、6样装备及道具、繁体中文地图更新")</f>
        <v>2025/8/30 0.80版本新增：SLG-A8、R11、R59~68、6样装备及道具、繁体中文地图更新</v>
      </c>
      <c r="E44" s="33" t="str">
        <f>IFERROR(__xludf.DUMMYFUNCTION("GOOGLETRANSLATE(A44,""zh-tw"",""es-MX"")"),"La versión 0.80 (30 de agosto de 2025) añade: SLG-A8, R11, R59~68, 6 nuevos equipos y objetos, y una actualización del mapa en chino tradicional.")</f>
        <v>La versión 0.80 (30 de agosto de 2025) añade: SLG-A8, R11, R59~68, 6 nuevos equipos y objetos, y una actualización del mapa en chino tradicional.</v>
      </c>
      <c r="F44" s="33" t="str">
        <f>IFERROR(__xludf.DUMMYFUNCTION("GOOGLETRANSLATE(A44,""zh-tw"",""KO"")"),"버전 0.80(2025년 8월 30일)에는 SLG-A8, R11, R59~68, 6개의 새로운 장비 및 아이템, 그리고 번체 중국어 지도 업데이트가 추가되었습니다.")</f>
        <v>버전 0.80(2025년 8월 30일)에는 SLG-A8, R11, R59~68, 6개의 새로운 장비 및 아이템, 그리고 번체 중국어 지도 업데이트가 추가되었습니다.</v>
      </c>
      <c r="G44" s="33" t="str">
        <f>IFERROR(__xludf.DUMMYFUNCTION("GOOGLETRANSLATE(A44,""zh-tw"",""RU"")"),"В версии 0.80 (30 августа 2025 г.) добавлены: SLG-A8, R11, R59~68, 6 новых предметов и снаряжения, а также обновлена ​​карта на традиционном китайском языке.")</f>
        <v>В версии 0.80 (30 августа 2025 г.) добавлены: SLG-A8, R11, R59~68, 6 новых предметов и снаряжения, а также обновлена ​​карта на традиционном китайском языке.</v>
      </c>
      <c r="H44" s="33" t="str">
        <f>IFERROR(__xludf.DUMMYFUNCTION("GOOGLETRANSLATE(A44,""zh-tw"",""DE"")"),"Version 0.80 (30. August 2025) fügt Folgendes hinzu: SLG-A8, R11, R59~68, 6 neue Ausrüstungsgegenstände und Items sowie ein Update der Karte in traditionellem Chinesisch.")</f>
        <v>Version 0.80 (30. August 2025) fügt Folgendes hinzu: SLG-A8, R11, R59~68, 6 neue Ausrüstungsgegenstände und Items sowie ein Update der Karte in traditionellem Chinesisch.</v>
      </c>
      <c r="I44" s="73" t="s">
        <v>253</v>
      </c>
      <c r="J44" s="7" t="s">
        <v>254</v>
      </c>
      <c r="K44" s="7" t="s">
        <v>255</v>
      </c>
      <c r="L44" s="7"/>
      <c r="M44" s="70"/>
      <c r="N44" s="70"/>
      <c r="O44" s="70"/>
      <c r="P44" s="70"/>
      <c r="Q44" s="70"/>
      <c r="R44" s="70"/>
      <c r="S44" s="70"/>
      <c r="T44" s="70"/>
      <c r="U44" s="70"/>
      <c r="V44" s="70"/>
      <c r="W44" s="70"/>
      <c r="X44" s="70"/>
      <c r="Y44" s="70"/>
      <c r="Z44" s="70"/>
    </row>
    <row r="45">
      <c r="A45" s="69" t="s">
        <v>256</v>
      </c>
      <c r="B45" s="69" t="str">
        <f>IFERROR(__xludf.DUMMYFUNCTION("GOOGLETRANSLATE(A45,""zh-tw"",""ja"")"),"この地図は2025年8月29日に繁体字中国語版に更新されました。他の言語版への更新は順次完了する予定です。")</f>
        <v>この地図は2025年8月29日に繁体字中国語版に更新されました。他の言語版への更新は順次完了する予定です。</v>
      </c>
      <c r="C45" s="69" t="s">
        <v>257</v>
      </c>
      <c r="D45" s="69" t="str">
        <f>IFERROR(__xludf.DUMMYFUNCTION("GOOGLETRANSLATE(A45,""zh-tw"",""zh"")"),"2025/8/29 map更新完成繁体中文版本，其余语系将逐步更新")</f>
        <v>2025/8/29 map更新完成繁体中文版本，其余语系将逐步更新</v>
      </c>
      <c r="E45" s="33" t="str">
        <f>IFERROR(__xludf.DUMMYFUNCTION("GOOGLETRANSLATE(A45,""zh-tw"",""es-MX"")"),"El mapa se actualizó al chino tradicional el 29 de agosto de 2025. Las actualizaciones a otros idiomas se completarán gradualmente.")</f>
        <v>El mapa se actualizó al chino tradicional el 29 de agosto de 2025. Las actualizaciones a otros idiomas se completarán gradualmente.</v>
      </c>
      <c r="F45" s="33" t="str">
        <f>IFERROR(__xludf.DUMMYFUNCTION("GOOGLETRANSLATE(A45,""zh-tw"",""KO"")"),"해당 지도는 2025년 8월 29일에 번체 중국어 버전으로 업데이트되었습니다. 다른 언어 버전으로의 업데이트는 순차적으로 진행될 예정입니다.")</f>
        <v>해당 지도는 2025년 8월 29일에 번체 중국어 버전으로 업데이트되었습니다. 다른 언어 버전으로의 업데이트는 순차적으로 진행될 예정입니다.</v>
      </c>
      <c r="G45" s="33" t="str">
        <f>IFERROR(__xludf.DUMMYFUNCTION("GOOGLETRANSLATE(A45,""zh-tw"",""RU"")"),"Карта была обновлена ​​до традиционного китайского языка 29 августа 2025 года. Обновления для других языковых версий будут завершены постепенно.")</f>
        <v>Карта была обновлена ​​до традиционного китайского языка 29 августа 2025 года. Обновления для других языковых версий будут завершены постепенно.</v>
      </c>
      <c r="H45" s="33" t="str">
        <f>IFERROR(__xludf.DUMMYFUNCTION("GOOGLETRANSLATE(A45,""zh-tw"",""DE"")"),"Die Karte wurde am 29. August 2025 auf traditionelles Chinesisch aktualisiert. Aktualisierungen auf andere Sprachversionen werden schrittweise erfolgen.")</f>
        <v>Die Karte wurde am 29. August 2025 auf traditionelles Chinesisch aktualisiert. Aktualisierungen auf andere Sprachversionen werden schrittweise erfolgen.</v>
      </c>
      <c r="I45" s="73" t="s">
        <v>258</v>
      </c>
      <c r="J45" s="7" t="s">
        <v>259</v>
      </c>
      <c r="K45" s="7" t="s">
        <v>260</v>
      </c>
      <c r="L45" s="7"/>
      <c r="M45" s="70"/>
      <c r="N45" s="70"/>
      <c r="O45" s="70"/>
      <c r="P45" s="70"/>
      <c r="Q45" s="70"/>
      <c r="R45" s="70"/>
      <c r="S45" s="70"/>
      <c r="T45" s="70"/>
      <c r="U45" s="70"/>
      <c r="V45" s="70"/>
      <c r="W45" s="70"/>
      <c r="X45" s="70"/>
      <c r="Y45" s="70"/>
      <c r="Z45" s="70"/>
    </row>
    <row r="46">
      <c r="A46" s="69" t="s">
        <v>261</v>
      </c>
      <c r="B46" s="69" t="str">
        <f>IFERROR(__xludf.DUMMYFUNCTION("GOOGLETRANSLATE(A46,""zh-tw"",""ja"")"),"バージョン0.79Hは2025年8月11日に追加されました。（TIPS）")</f>
        <v>バージョン0.79Hは2025年8月11日に追加されました。（TIPS）</v>
      </c>
      <c r="C46" s="69" t="s">
        <v>262</v>
      </c>
      <c r="D46" s="69" t="str">
        <f>IFERROR(__xludf.DUMMYFUNCTION("GOOGLETRANSLATE(A46,""zh-tw"",""zh"")"),"2025/8/11 新增了0.79H版本 TIPS")</f>
        <v>2025/8/11 新增了0.79H版本 TIPS</v>
      </c>
      <c r="E46" s="33" t="str">
        <f>IFERROR(__xludf.DUMMYFUNCTION("GOOGLETRANSLATE(A46,""zh-tw"",""es-MX"")"),"La versión 0.79H se añadió el 11 de agosto de 2025. (CONSEJOS)")</f>
        <v>La versión 0.79H se añadió el 11 de agosto de 2025. (CONSEJOS)</v>
      </c>
      <c r="F46" s="33" t="str">
        <f>IFERROR(__xludf.DUMMYFUNCTION("GOOGLETRANSLATE(A46,""zh-tw"",""KO"")"),"버전 0.79H는 2025년 8월 11일에 추가되었습니다. (팁)")</f>
        <v>버전 0.79H는 2025년 8월 11일에 추가되었습니다. (팁)</v>
      </c>
      <c r="G46" s="33" t="str">
        <f>IFERROR(__xludf.DUMMYFUNCTION("GOOGLETRANSLATE(A46,""zh-tw"",""RU"")"),"Версия 0.79H была добавлена ​​11 августа 2025 года. (TIPS)")</f>
        <v>Версия 0.79H была добавлена ​​11 августа 2025 года. (TIPS)</v>
      </c>
      <c r="H46" s="33" t="str">
        <f>IFERROR(__xludf.DUMMYFUNCTION("GOOGLETRANSLATE(A46,""zh-tw"",""DE"")"),"Version 0.79H wurde am 11. August 2025 hinzugefügt. (TIPPS)")</f>
        <v>Version 0.79H wurde am 11. August 2025 hinzugefügt. (TIPPS)</v>
      </c>
      <c r="I46" s="73" t="s">
        <v>263</v>
      </c>
      <c r="J46" s="7" t="s">
        <v>264</v>
      </c>
      <c r="K46" s="7" t="s">
        <v>265</v>
      </c>
      <c r="L46" s="7"/>
      <c r="M46" s="70"/>
      <c r="N46" s="70"/>
      <c r="O46" s="70"/>
      <c r="P46" s="70"/>
      <c r="Q46" s="70"/>
      <c r="R46" s="70"/>
      <c r="S46" s="70"/>
      <c r="T46" s="70"/>
      <c r="U46" s="70"/>
      <c r="V46" s="70"/>
      <c r="W46" s="70"/>
      <c r="X46" s="70"/>
      <c r="Y46" s="70"/>
      <c r="Z46" s="70"/>
    </row>
    <row r="47">
      <c r="A47" s="69" t="s">
        <v>266</v>
      </c>
      <c r="B47" s="69" t="str">
        <f>IFERROR(__xludf.DUMMYFUNCTION("GOOGLETRANSLATE(A47,""zh-tw"",""ja"")"),"バージョン0.79E（RPG35.41）は2025年7月20日に追加されました。")</f>
        <v>バージョン0.79E（RPG35.41）は2025年7月20日に追加されました。</v>
      </c>
      <c r="C47" s="69" t="s">
        <v>267</v>
      </c>
      <c r="D47" s="69" t="str">
        <f>IFERROR(__xludf.DUMMYFUNCTION("GOOGLETRANSLATE(A47,""zh-tw"",""zh"")"),"2025/7/20 新增了0.79E版本 RPG35.41")</f>
        <v>2025/7/20 新增了0.79E版本 RPG35.41</v>
      </c>
      <c r="E47" s="33" t="str">
        <f>IFERROR(__xludf.DUMMYFUNCTION("GOOGLETRANSLATE(A47,""zh-tw"",""es-MX"")"),"La versión 0.79E (RPG35.41) se añadió el 20 de julio de 2025.")</f>
        <v>La versión 0.79E (RPG35.41) se añadió el 20 de julio de 2025.</v>
      </c>
      <c r="F47" s="33" t="str">
        <f>IFERROR(__xludf.DUMMYFUNCTION("GOOGLETRANSLATE(A47,""zh-tw"",""KO"")"),"버전 0.79E(RPG35.41)는 2025년 7월 20일에 추가되었습니다.")</f>
        <v>버전 0.79E(RPG35.41)는 2025년 7월 20일에 추가되었습니다.</v>
      </c>
      <c r="G47" s="33" t="str">
        <f>IFERROR(__xludf.DUMMYFUNCTION("GOOGLETRANSLATE(A47,""zh-tw"",""RU"")"),"Версия 0.79E (RPG35.41) была добавлена ​​20 июля 2025 года.")</f>
        <v>Версия 0.79E (RPG35.41) была добавлена ​​20 июля 2025 года.</v>
      </c>
      <c r="H47" s="33" t="str">
        <f>IFERROR(__xludf.DUMMYFUNCTION("GOOGLETRANSLATE(A47,""zh-tw"",""DE"")"),"Version 0.79E (RPG35.41) wurde am 20. Juli 2025 hinzugefügt.")</f>
        <v>Version 0.79E (RPG35.41) wurde am 20. Juli 2025 hinzugefügt.</v>
      </c>
      <c r="I47" s="73" t="s">
        <v>268</v>
      </c>
      <c r="J47" s="7" t="s">
        <v>269</v>
      </c>
      <c r="K47" s="7" t="s">
        <v>270</v>
      </c>
      <c r="L47" s="7"/>
      <c r="M47" s="70"/>
      <c r="N47" s="70"/>
      <c r="O47" s="70"/>
      <c r="P47" s="70"/>
      <c r="Q47" s="70"/>
      <c r="R47" s="70"/>
      <c r="S47" s="70"/>
      <c r="T47" s="70"/>
      <c r="U47" s="70"/>
      <c r="V47" s="70"/>
      <c r="W47" s="70"/>
      <c r="X47" s="70"/>
      <c r="Y47" s="70"/>
      <c r="Z47" s="70"/>
    </row>
    <row r="48">
      <c r="A48" s="69" t="s">
        <v>271</v>
      </c>
      <c r="B48" s="69" t="str">
        <f>IFERROR(__xludf.DUMMYFUNCTION("GOOGLETRANSLATE(A48,""zh-tw"",""ja"")"),"バージョン0.79D TIPSを2025年7月20日に追加しました。")</f>
        <v>バージョン0.79D TIPSを2025年7月20日に追加しました。</v>
      </c>
      <c r="C48" s="69" t="s">
        <v>272</v>
      </c>
      <c r="D48" s="69" t="str">
        <f>IFERROR(__xludf.DUMMYFUNCTION("GOOGLETRANSLATE(A48,""zh-tw"",""zh"")"),"2025/7/20 新增了0.79D版本TIPS")</f>
        <v>2025/7/20 新增了0.79D版本TIPS</v>
      </c>
      <c r="E48" s="33" t="str">
        <f>IFERROR(__xludf.DUMMYFUNCTION("GOOGLETRANSLATE(A48,""zh-tw"",""es-MX"")"),"Se añadieron consejos para la versión 0.79D el 20/7/2025.")</f>
        <v>Se añadieron consejos para la versión 0.79D el 20/7/2025.</v>
      </c>
      <c r="F48" s="33" t="str">
        <f>IFERROR(__xludf.DUMMYFUNCTION("GOOGLETRANSLATE(A48,""zh-tw"",""KO"")"),"2025년 7월 20일에 버전 0.79D 팁이 추가되었습니다.")</f>
        <v>2025년 7월 20일에 버전 0.79D 팁이 추가되었습니다.</v>
      </c>
      <c r="G48" s="33" t="str">
        <f>IFERROR(__xludf.DUMMYFUNCTION("GOOGLETRANSLATE(A48,""zh-tw"",""RU"")"),"Добавлены советы версии 0.79D от 20.07.2025.")</f>
        <v>Добавлены советы версии 0.79D от 20.07.2025.</v>
      </c>
      <c r="H48" s="33" t="str">
        <f>IFERROR(__xludf.DUMMYFUNCTION("GOOGLETRANSLATE(A48,""zh-tw"",""DE"")"),"TIPS Version 0.79D hinzugefügt am 20.07.2025")</f>
        <v>TIPS Version 0.79D hinzugefügt am 20.07.2025</v>
      </c>
      <c r="I48" s="73" t="s">
        <v>273</v>
      </c>
      <c r="J48" s="7" t="s">
        <v>274</v>
      </c>
      <c r="K48" s="7" t="s">
        <v>275</v>
      </c>
      <c r="L48" s="7"/>
      <c r="M48" s="70"/>
      <c r="N48" s="70"/>
      <c r="O48" s="70"/>
      <c r="P48" s="70"/>
      <c r="Q48" s="70"/>
      <c r="R48" s="70"/>
      <c r="S48" s="70"/>
      <c r="T48" s="70"/>
      <c r="U48" s="70"/>
      <c r="V48" s="70"/>
      <c r="W48" s="70"/>
      <c r="X48" s="70"/>
      <c r="Y48" s="70"/>
      <c r="Z48" s="70"/>
    </row>
    <row r="49">
      <c r="A49" s="69" t="s">
        <v>276</v>
      </c>
      <c r="B49" s="69" t="str">
        <f>IFERROR(__xludf.DUMMYFUNCTION("GOOGLETRANSLATE(A49,""zh-tw"",""ja"")"),"2025年7月12日、SLG-A、SLG-C、TIPS、Weap、およびDrops向けにバージョン0.79が追加されました。")</f>
        <v>2025年7月12日、SLG-A、SLG-C、TIPS、Weap、およびDrops向けにバージョン0.79が追加されました。</v>
      </c>
      <c r="C49" s="69" t="s">
        <v>277</v>
      </c>
      <c r="D49" s="69" t="str">
        <f>IFERROR(__xludf.DUMMYFUNCTION("GOOGLETRANSLATE(A49,""zh-tw"",""zh"")"),"2025/7/12 新增了0.79版本SLG-A、SLG-C、TIPS、Weap、Drops")</f>
        <v>2025/7/12 新增了0.79版本SLG-A、SLG-C、TIPS、Weap、Drops</v>
      </c>
      <c r="E49" s="33" t="str">
        <f>IFERROR(__xludf.DUMMYFUNCTION("GOOGLETRANSLATE(A49,""zh-tw"",""es-MX"")"),"El 12 de julio de 2025 se añadió la versión 0.79 para SLG-A, SLG-C, TIPS, Weap y Drops.")</f>
        <v>El 12 de julio de 2025 se añadió la versión 0.79 para SLG-A, SLG-C, TIPS, Weap y Drops.</v>
      </c>
      <c r="F49" s="33" t="str">
        <f>IFERROR(__xludf.DUMMYFUNCTION("GOOGLETRANSLATE(A49,""zh-tw"",""KO"")"),"2025년 7월 12일, SLG-A, SLG-C, TIPS, 무기 및 드롭 항목에 대한 버전 0.79가 추가되었습니다.")</f>
        <v>2025년 7월 12일, SLG-A, SLG-C, TIPS, 무기 및 드롭 항목에 대한 버전 0.79가 추가되었습니다.</v>
      </c>
      <c r="G49" s="33" t="str">
        <f>IFERROR(__xludf.DUMMYFUNCTION("GOOGLETRANSLATE(A49,""zh-tw"",""RU"")"),"12 июля 2025 года была добавлена ​​версия 0.79 для SLG-A, SLG-C, TIPS, Weap и Drops.")</f>
        <v>12 июля 2025 года была добавлена ​​версия 0.79 для SLG-A, SLG-C, TIPS, Weap и Drops.</v>
      </c>
      <c r="H49" s="33" t="str">
        <f>IFERROR(__xludf.DUMMYFUNCTION("GOOGLETRANSLATE(A49,""zh-tw"",""DE"")"),"Am 12. Juli 2025 wurde Version 0.79 für SLG-A, SLG-C, TIPS, Weap und Drops hinzugefügt.")</f>
        <v>Am 12. Juli 2025 wurde Version 0.79 für SLG-A, SLG-C, TIPS, Weap und Drops hinzugefügt.</v>
      </c>
      <c r="I49" s="73" t="s">
        <v>278</v>
      </c>
      <c r="J49" s="7" t="s">
        <v>279</v>
      </c>
      <c r="K49" s="7" t="s">
        <v>280</v>
      </c>
      <c r="L49" s="7"/>
      <c r="M49" s="70"/>
      <c r="N49" s="70"/>
      <c r="O49" s="70"/>
      <c r="P49" s="70"/>
      <c r="Q49" s="70"/>
      <c r="R49" s="70"/>
      <c r="S49" s="70"/>
      <c r="T49" s="70"/>
      <c r="U49" s="70"/>
      <c r="V49" s="70"/>
      <c r="W49" s="70"/>
      <c r="X49" s="70"/>
      <c r="Y49" s="70"/>
      <c r="Z49" s="70"/>
    </row>
    <row r="50">
      <c r="A50" s="69" t="s">
        <v>281</v>
      </c>
      <c r="B50" s="69" t="str">
        <f>IFERROR(__xludf.DUMMYFUNCTION("GOOGLETRANSLATE(A50,""zh-tw"",""ja"")"),"2025年6月11日：バージョン0.77の一部の説明を修正し、ヒントを追加しました。")</f>
        <v>2025年6月11日：バージョン0.77の一部の説明を修正し、ヒントを追加しました。</v>
      </c>
      <c r="C50" s="69" t="s">
        <v>282</v>
      </c>
      <c r="D50" s="69" t="str">
        <f>IFERROR(__xludf.DUMMYFUNCTION("GOOGLETRANSLATE(A50,""zh-tw"",""zh"")"),"2025/6/11 修正了部分0.77版本的叙述，并新增了TIPS")</f>
        <v>2025/6/11 修正了部分0.77版本的叙述，并新增了TIPS</v>
      </c>
      <c r="E50" s="33" t="str">
        <f>IFERROR(__xludf.DUMMYFUNCTION("GOOGLETRANSLATE(A50,""zh-tw"",""es-MX"")"),"11 de junio de 2025: Se corrigieron algunas descripciones en la versión 0.77 y se agregaron consejos.")</f>
        <v>11 de junio de 2025: Se corrigieron algunas descripciones en la versión 0.77 y se agregaron consejos.</v>
      </c>
      <c r="F50" s="33" t="str">
        <f>IFERROR(__xludf.DUMMYFUNCTION("GOOGLETRANSLATE(A50,""zh-tw"",""KO"")"),"2025년 6월 11일: 버전 0.77에서 일부 설명을 수정하고 팁을 추가했습니다.")</f>
        <v>2025년 6월 11일: 버전 0.77에서 일부 설명을 수정하고 팁을 추가했습니다.</v>
      </c>
      <c r="G50" s="33" t="str">
        <f>IFERROR(__xludf.DUMMYFUNCTION("GOOGLETRANSLATE(A50,""zh-tw"",""RU"")"),"11 июня 2025 г.: Исправлены некоторые описания в версии 0.77 и добавлены подсказки.")</f>
        <v>11 июня 2025 г.: Исправлены некоторые описания в версии 0.77 и добавлены подсказки.</v>
      </c>
      <c r="H50" s="33" t="str">
        <f>IFERROR(__xludf.DUMMYFUNCTION("GOOGLETRANSLATE(A50,""zh-tw"",""DE"")"),"11. Juni 2025: Einige Beschreibungen in Version 0.77 wurden korrigiert und Tipps hinzugefügt.")</f>
        <v>11. Juni 2025: Einige Beschreibungen in Version 0.77 wurden korrigiert und Tipps hinzugefügt.</v>
      </c>
      <c r="I50" s="73" t="s">
        <v>283</v>
      </c>
      <c r="J50" s="7" t="s">
        <v>284</v>
      </c>
      <c r="K50" s="7" t="s">
        <v>285</v>
      </c>
      <c r="L50" s="7"/>
      <c r="M50" s="70"/>
      <c r="N50" s="70"/>
      <c r="O50" s="70"/>
      <c r="P50" s="70"/>
      <c r="Q50" s="70"/>
      <c r="R50" s="70"/>
      <c r="S50" s="70"/>
      <c r="T50" s="70"/>
      <c r="U50" s="70"/>
      <c r="V50" s="70"/>
      <c r="W50" s="70"/>
      <c r="X50" s="70"/>
      <c r="Y50" s="70"/>
      <c r="Z50" s="70"/>
    </row>
    <row r="51">
      <c r="A51" s="69" t="s">
        <v>286</v>
      </c>
      <c r="B51" s="69" t="str">
        <f>IFERROR(__xludf.DUMMYFUNCTION("GOOGLETRANSLATE(A51,""zh-tw"",""ja"")"),"2025年6月10日にバージョン0.77にアップデートされました。")</f>
        <v>2025年6月10日にバージョン0.77にアップデートされました。</v>
      </c>
      <c r="C51" s="69" t="s">
        <v>287</v>
      </c>
      <c r="D51" s="69" t="str">
        <f>IFERROR(__xludf.DUMMYFUNCTION("GOOGLETRANSLATE(A51,""zh-tw"",""zh"")"),"2025/6/10 更新0.77版本的内容")</f>
        <v>2025/6/10 更新0.77版本的内容</v>
      </c>
      <c r="E51" s="33" t="str">
        <f>IFERROR(__xludf.DUMMYFUNCTION("GOOGLETRANSLATE(A51,""zh-tw"",""es-MX"")"),"Actualizado a la versión 0.77 el 10 de junio de 2025.")</f>
        <v>Actualizado a la versión 0.77 el 10 de junio de 2025.</v>
      </c>
      <c r="F51" s="33" t="str">
        <f>IFERROR(__xludf.DUMMYFUNCTION("GOOGLETRANSLATE(A51,""zh-tw"",""KO"")"),"2025년 6월 10일 버전 0.77로 업데이트되었습니다.")</f>
        <v>2025년 6월 10일 버전 0.77로 업데이트되었습니다.</v>
      </c>
      <c r="G51" s="33" t="str">
        <f>IFERROR(__xludf.DUMMYFUNCTION("GOOGLETRANSLATE(A51,""zh-tw"",""RU"")"),"Обновлено до версии 0.77 10 июня 2025 года.")</f>
        <v>Обновлено до версии 0.77 10 июня 2025 года.</v>
      </c>
      <c r="H51" s="33" t="str">
        <f>IFERROR(__xludf.DUMMYFUNCTION("GOOGLETRANSLATE(A51,""zh-tw"",""DE"")"),"Aktualisiert auf Version 0.77 am 10. Juni 2025.")</f>
        <v>Aktualisiert auf Version 0.77 am 10. Juni 2025.</v>
      </c>
      <c r="I51" s="73" t="s">
        <v>288</v>
      </c>
      <c r="J51" s="7" t="s">
        <v>289</v>
      </c>
      <c r="K51" s="7" t="s">
        <v>290</v>
      </c>
      <c r="L51" s="7"/>
      <c r="M51" s="70"/>
      <c r="N51" s="70"/>
      <c r="O51" s="70"/>
      <c r="P51" s="70"/>
      <c r="Q51" s="70"/>
      <c r="R51" s="70"/>
      <c r="S51" s="70"/>
      <c r="T51" s="70"/>
      <c r="U51" s="70"/>
      <c r="V51" s="70"/>
      <c r="W51" s="70"/>
      <c r="X51" s="70"/>
      <c r="Y51" s="70"/>
      <c r="Z51" s="70"/>
    </row>
    <row r="52">
      <c r="A52" s="69" t="s">
        <v>291</v>
      </c>
      <c r="B52" s="69" t="str">
        <f>IFERROR(__xludf.DUMMYFUNCTION("GOOGLETRANSLATE(A52,""zh-tw"",""ja"")"),"2025年6月3日にバージョン0.77にアップデートされました。")</f>
        <v>2025年6月3日にバージョン0.77にアップデートされました。</v>
      </c>
      <c r="C52" s="69" t="s">
        <v>292</v>
      </c>
      <c r="D52" s="69" t="str">
        <f>IFERROR(__xludf.DUMMYFUNCTION("GOOGLETRANSLATE(A52,""zh-tw"",""zh"")"),"2025/6/3 更新0.77版本的内容")</f>
        <v>2025/6/3 更新0.77版本的内容</v>
      </c>
      <c r="E52" s="33" t="str">
        <f>IFERROR(__xludf.DUMMYFUNCTION("GOOGLETRANSLATE(A52,""zh-tw"",""es-MX"")"),"Actualizado a la versión 0.77 el 3 de junio de 2025.")</f>
        <v>Actualizado a la versión 0.77 el 3 de junio de 2025.</v>
      </c>
      <c r="F52" s="33" t="str">
        <f>IFERROR(__xludf.DUMMYFUNCTION("GOOGLETRANSLATE(A52,""zh-tw"",""KO"")"),"2025년 6월 3일 버전 0.77로 업데이트되었습니다.")</f>
        <v>2025년 6월 3일 버전 0.77로 업데이트되었습니다.</v>
      </c>
      <c r="G52" s="33" t="str">
        <f>IFERROR(__xludf.DUMMYFUNCTION("GOOGLETRANSLATE(A52,""zh-tw"",""RU"")"),"Обновлено до версии 0.77 3 июня 2025 года.")</f>
        <v>Обновлено до версии 0.77 3 июня 2025 года.</v>
      </c>
      <c r="H52" s="33" t="str">
        <f>IFERROR(__xludf.DUMMYFUNCTION("GOOGLETRANSLATE(A52,""zh-tw"",""DE"")"),"Aktualisiert auf Version 0.77 am 3. Juni 2025.")</f>
        <v>Aktualisiert auf Version 0.77 am 3. Juni 2025.</v>
      </c>
      <c r="I52" s="73" t="s">
        <v>293</v>
      </c>
      <c r="J52" s="7" t="s">
        <v>294</v>
      </c>
      <c r="K52" s="7" t="s">
        <v>295</v>
      </c>
      <c r="L52" s="7"/>
      <c r="M52" s="70"/>
      <c r="N52" s="70"/>
      <c r="O52" s="70"/>
      <c r="P52" s="70"/>
      <c r="Q52" s="70"/>
      <c r="R52" s="70"/>
      <c r="S52" s="70"/>
      <c r="T52" s="70"/>
      <c r="U52" s="70"/>
      <c r="V52" s="70"/>
      <c r="W52" s="70"/>
      <c r="X52" s="70"/>
      <c r="Y52" s="70"/>
      <c r="Z52" s="70"/>
    </row>
    <row r="53">
      <c r="A53" s="69" t="s">
        <v>296</v>
      </c>
      <c r="B53" s="69" t="str">
        <f>IFERROR(__xludf.DUMMYFUNCTION("GOOGLETRANSLATE(A53,""zh-tw"",""ja"")"),"2025年5月26日、SLGページのレイアウトがすべて刷新されました。")</f>
        <v>2025年5月26日、SLGページのレイアウトがすべて刷新されました。</v>
      </c>
      <c r="C53" s="69" t="s">
        <v>297</v>
      </c>
      <c r="D53" s="69" t="str">
        <f>IFERROR(__xludf.DUMMYFUNCTION("GOOGLETRANSLATE(A53,""zh-tw"",""zh"")"),"2025/5/26 重制了SLG页面的所有排版")</f>
        <v>2025/5/26 重制了SLG页面的所有排版</v>
      </c>
      <c r="E53" s="33" t="str">
        <f>IFERROR(__xludf.DUMMYFUNCTION("GOOGLETRANSLATE(A53,""zh-tw"",""es-MX"")"),"El 26 de mayo de 2025, se rediseñó por completo la maquetación de la página de SLG.")</f>
        <v>El 26 de mayo de 2025, se rediseñó por completo la maquetación de la página de SLG.</v>
      </c>
      <c r="F53" s="33" t="str">
        <f>IFERROR(__xludf.DUMMYFUNCTION("GOOGLETRANSLATE(A53,""zh-tw"",""KO"")"),"2025년 5월 26일, SLG 페이지의 모든 레이아웃이 새롭게 디자인되었습니다.")</f>
        <v>2025년 5월 26일, SLG 페이지의 모든 레이아웃이 새롭게 디자인되었습니다.</v>
      </c>
      <c r="G53" s="33" t="str">
        <f>IFERROR(__xludf.DUMMYFUNCTION("GOOGLETRANSLATE(A53,""zh-tw"",""RU"")"),"26 мая 2025 года был полностью переработан дизайн страницы SLG.")</f>
        <v>26 мая 2025 года был полностью переработан дизайн страницы SLG.</v>
      </c>
      <c r="H53" s="33" t="str">
        <f>IFERROR(__xludf.DUMMYFUNCTION("GOOGLETRANSLATE(A53,""zh-tw"",""DE"")"),"Am 26. Mai 2025 wurden alle Layouts der SLG-Seite neu gestaltet.")</f>
        <v>Am 26. Mai 2025 wurden alle Layouts der SLG-Seite neu gestaltet.</v>
      </c>
      <c r="I53" s="73" t="s">
        <v>298</v>
      </c>
      <c r="J53" s="7" t="s">
        <v>299</v>
      </c>
      <c r="K53" s="7" t="s">
        <v>300</v>
      </c>
      <c r="L53" s="7"/>
      <c r="M53" s="70"/>
      <c r="N53" s="70"/>
      <c r="O53" s="70"/>
      <c r="P53" s="70"/>
      <c r="Q53" s="70"/>
      <c r="R53" s="70"/>
      <c r="S53" s="70"/>
      <c r="T53" s="70"/>
      <c r="U53" s="70"/>
      <c r="V53" s="70"/>
      <c r="W53" s="70"/>
      <c r="X53" s="70"/>
      <c r="Y53" s="70"/>
      <c r="Z53" s="70"/>
    </row>
    <row r="54">
      <c r="A54" s="69" t="s">
        <v>301</v>
      </c>
      <c r="B54" s="69" t="str">
        <f>IFERROR(__xludf.DUMMYFUNCTION("GOOGLETRANSLATE(A54,""zh-tw"",""ja"")"),"2025年5月24日、専用グラフィックカードのインストール方法に関するチュートリアルが追加されました。")</f>
        <v>2025年5月24日、専用グラフィックカードのインストール方法に関するチュートリアルが追加されました。</v>
      </c>
      <c r="C54" s="69" t="s">
        <v>302</v>
      </c>
      <c r="D54" s="69" t="str">
        <f>IFERROR(__xludf.DUMMYFUNCTION("GOOGLETRANSLATE(A54,""zh-tw"",""zh"")"),"2025/5/24 新增了独立显卡的安装教学")</f>
        <v>2025/5/24 新增了独立显卡的安装教学</v>
      </c>
      <c r="E54" s="33" t="str">
        <f>IFERROR(__xludf.DUMMYFUNCTION("GOOGLETRANSLATE(A54,""zh-tw"",""es-MX"")"),"El 24 de mayo de 2025 se añadió un tutorial sobre cómo instalar una tarjeta gráfica dedicada.")</f>
        <v>El 24 de mayo de 2025 se añadió un tutorial sobre cómo instalar una tarjeta gráfica dedicada.</v>
      </c>
      <c r="F54" s="33" t="str">
        <f>IFERROR(__xludf.DUMMYFUNCTION("GOOGLETRANSLATE(A54,""zh-tw"",""KO"")"),"2025년 5월 24일, 외장 그래픽 카드 설치 방법에 대한 튜토리얼이 추가되었습니다.")</f>
        <v>2025년 5월 24일, 외장 그래픽 카드 설치 방법에 대한 튜토리얼이 추가되었습니다.</v>
      </c>
      <c r="G54" s="33" t="str">
        <f>IFERROR(__xludf.DUMMYFUNCTION("GOOGLETRANSLATE(A54,""zh-tw"",""RU"")"),"24 мая 2025 года было добавлено руководство по установке дискретной видеокарты.")</f>
        <v>24 мая 2025 года было добавлено руководство по установке дискретной видеокарты.</v>
      </c>
      <c r="H54" s="33" t="str">
        <f>IFERROR(__xludf.DUMMYFUNCTION("GOOGLETRANSLATE(A54,""zh-tw"",""DE"")"),"Am 24. Mai 2025 wurde eine Anleitung zur Installation einer dedizierten Grafikkarte hinzugefügt.")</f>
        <v>Am 24. Mai 2025 wurde eine Anleitung zur Installation einer dedizierten Grafikkarte hinzugefügt.</v>
      </c>
      <c r="I54" s="73" t="s">
        <v>303</v>
      </c>
      <c r="J54" s="7" t="s">
        <v>304</v>
      </c>
      <c r="K54" s="7" t="s">
        <v>305</v>
      </c>
      <c r="L54" s="7"/>
      <c r="M54" s="70"/>
      <c r="N54" s="70"/>
      <c r="O54" s="70"/>
      <c r="P54" s="70"/>
      <c r="Q54" s="70"/>
      <c r="R54" s="70"/>
      <c r="S54" s="70"/>
      <c r="T54" s="70"/>
      <c r="U54" s="70"/>
      <c r="V54" s="70"/>
      <c r="W54" s="70"/>
      <c r="X54" s="70"/>
      <c r="Y54" s="70"/>
      <c r="Z54" s="70"/>
    </row>
    <row r="55">
      <c r="A55" s="69" t="s">
        <v>306</v>
      </c>
      <c r="B55" s="69" t="str">
        <f>IFERROR(__xludf.DUMMYFUNCTION("GOOGLETRANSLATE(A55,""zh-tw"",""ja"")"),"2025年5月15日：バージョン0.75D（R4、R33）用のコンテンツと防具1点を追加しました。")</f>
        <v>2025年5月15日：バージョン0.75D（R4、R33）用のコンテンツと防具1点を追加しました。</v>
      </c>
      <c r="C55" s="69" t="s">
        <v>307</v>
      </c>
      <c r="D55" s="69" t="str">
        <f>IFERROR(__xludf.DUMMYFUNCTION("GOOGLETRANSLATE(A55,""zh-tw"",""zh"")"),"2025/5/15 新增0.75D版本的内容 (R4、R33)、一个防具")</f>
        <v>2025/5/15 新增0.75D版本的内容 (R4、R33)、一个防具</v>
      </c>
      <c r="E55" s="33" t="str">
        <f>IFERROR(__xludf.DUMMYFUNCTION("GOOGLETRANSLATE(A55,""zh-tw"",""es-MX"")"),"15 de mayo de 2025: Se agregó contenido para la versión 0.75D (R4, R33) y una pieza de armadura.")</f>
        <v>15 de mayo de 2025: Se agregó contenido para la versión 0.75D (R4, R33) y una pieza de armadura.</v>
      </c>
      <c r="F55" s="33" t="str">
        <f>IFERROR(__xludf.DUMMYFUNCTION("GOOGLETRANSLATE(A55,""zh-tw"",""KO"")"),"2025년 5월 15일: 버전 0.75D(R4, R33)용 콘텐츠와 갑옷 한 점을 추가했습니다.")</f>
        <v>2025년 5월 15일: 버전 0.75D(R4, R33)용 콘텐츠와 갑옷 한 점을 추가했습니다.</v>
      </c>
      <c r="G55" s="33" t="str">
        <f>IFERROR(__xludf.DUMMYFUNCTION("GOOGLETRANSLATE(A55,""zh-tw"",""RU"")"),"15 мая 2025 г.: Добавлен контент для версии 0.75D (R4, R33) и один элемент брони.")</f>
        <v>15 мая 2025 г.: Добавлен контент для версии 0.75D (R4, R33) и один элемент брони.</v>
      </c>
      <c r="H55" s="33" t="str">
        <f>IFERROR(__xludf.DUMMYFUNCTION("GOOGLETRANSLATE(A55,""zh-tw"",""DE"")"),"15. Mai 2025: Inhalte für Version 0.75D (R4, R33) und ein Rüstungsteil hinzugefügt.")</f>
        <v>15. Mai 2025: Inhalte für Version 0.75D (R4, R33) und ein Rüstungsteil hinzugefügt.</v>
      </c>
      <c r="I55" s="73" t="s">
        <v>308</v>
      </c>
      <c r="J55" s="7" t="s">
        <v>309</v>
      </c>
      <c r="K55" s="7" t="s">
        <v>310</v>
      </c>
      <c r="L55" s="7"/>
      <c r="M55" s="70"/>
      <c r="N55" s="70"/>
      <c r="O55" s="70"/>
      <c r="P55" s="70"/>
      <c r="Q55" s="70"/>
      <c r="R55" s="70"/>
      <c r="S55" s="70"/>
      <c r="T55" s="70"/>
      <c r="U55" s="70"/>
      <c r="V55" s="70"/>
      <c r="W55" s="70"/>
      <c r="X55" s="70"/>
      <c r="Y55" s="70"/>
      <c r="Z55" s="70"/>
    </row>
    <row r="56">
      <c r="A56" s="69" t="s">
        <v>311</v>
      </c>
      <c r="B56" s="69" t="str">
        <f>IFERROR(__xludf.DUMMYFUNCTION("GOOGLETRANSLATE(A56,""zh-tw"",""ja"")"),"2025年5月6日に、グレート・カルシンド・ラバ・ベルトの地図画像を追加しました。")</f>
        <v>2025年5月6日に、グレート・カルシンド・ラバ・ベルトの地図画像を追加しました。</v>
      </c>
      <c r="C56" s="69" t="s">
        <v>312</v>
      </c>
      <c r="D56" s="69" t="str">
        <f>IFERROR(__xludf.DUMMYFUNCTION("GOOGLETRANSLATE(A56,""zh-tw"",""zh"")"),"2025/5/6 新增大焦热熔岩带地图图片")</f>
        <v>2025/5/6 新增大焦热熔岩带地图图片</v>
      </c>
      <c r="E56" s="33" t="str">
        <f>IFERROR(__xludf.DUMMYFUNCTION("GOOGLETRANSLATE(A56,""zh-tw"",""es-MX"")"),"Se añadió una imagen del mapa del Gran Cinturón de Lava Calcinada el 6 de mayo de 2025.")</f>
        <v>Se añadió una imagen del mapa del Gran Cinturón de Lava Calcinada el 6 de mayo de 2025.</v>
      </c>
      <c r="F56" s="33" t="str">
        <f>IFERROR(__xludf.DUMMYFUNCTION("GOOGLETRANSLATE(A56,""zh-tw"",""KO"")"),"2025년 5월 6일에 거대 소성 용암대의 지도 이미지를 추가했습니다.")</f>
        <v>2025년 5월 6일에 거대 소성 용암대의 지도 이미지를 추가했습니다.</v>
      </c>
      <c r="G56" s="33" t="str">
        <f>IFERROR(__xludf.DUMMYFUNCTION("GOOGLETRANSLATE(A56,""zh-tw"",""RU"")"),"Добавлено изображение карты Великого пояса кальцинированной лавы от 6 мая 2025 года.")</f>
        <v>Добавлено изображение карты Великого пояса кальцинированной лавы от 6 мая 2025 года.</v>
      </c>
      <c r="H56" s="33" t="str">
        <f>IFERROR(__xludf.DUMMYFUNCTION("GOOGLETRANSLATE(A56,""zh-tw"",""DE"")"),"Am 6. Mai 2025 wurde eine Karte des Großen Kalzinierten Lavagürtels hinzugefügt.")</f>
        <v>Am 6. Mai 2025 wurde eine Karte des Großen Kalzinierten Lavagürtels hinzugefügt.</v>
      </c>
      <c r="I56" s="73" t="s">
        <v>313</v>
      </c>
      <c r="J56" s="7" t="s">
        <v>314</v>
      </c>
      <c r="K56" s="7" t="s">
        <v>315</v>
      </c>
      <c r="L56" s="7"/>
      <c r="M56" s="70"/>
      <c r="N56" s="70"/>
      <c r="O56" s="70"/>
      <c r="P56" s="70"/>
      <c r="Q56" s="70"/>
      <c r="R56" s="70"/>
      <c r="S56" s="70"/>
      <c r="T56" s="70"/>
      <c r="U56" s="70"/>
      <c r="V56" s="70"/>
      <c r="W56" s="70"/>
      <c r="X56" s="70"/>
      <c r="Y56" s="70"/>
      <c r="Z56" s="70"/>
    </row>
    <row r="57">
      <c r="A57" s="69" t="s">
        <v>316</v>
      </c>
      <c r="B57" s="69" t="str">
        <f>IFERROR(__xludf.DUMMYFUNCTION("GOOGLETRANSLATE(A57,""zh-tw"",""ja"")"),"2025年5月5日から[日付不明]まで、地図セクションには洞窟の入り口にドロップされたアイテムの場所が随時更新されます。どうぞご期待ください。")</f>
        <v>2025年5月5日から[日付不明]まで、地図セクションには洞窟の入り口にドロップされたアイテムの場所が随時更新されます。どうぞご期待ください。</v>
      </c>
      <c r="C57" s="69" t="s">
        <v>317</v>
      </c>
      <c r="D57" s="69" t="str">
        <f>IFERROR(__xludf.DUMMYFUNCTION("GOOGLETRANSLATE(A57,""zh-tw"",""zh"")"),"2025/5/5-2025/？ 地图板块最近会尝试更新洞口掉落位置，还请后续留意")</f>
        <v>2025/5/5-2025/？ 地图板块最近会尝试更新洞口掉落位置，还请后续留意</v>
      </c>
      <c r="E57" s="33" t="str">
        <f>IFERROR(__xludf.DUMMYFUNCTION("GOOGLETRANSLATE(A57,""zh-tw"",""es-MX"")"),"Desde el 5 de mayo de 2025 hasta [fecha no disponible], la sección del mapa se actualizará con la ubicación de los objetos que se encuentran en las entradas de las cuevas. Manténganse al tanto.")</f>
        <v>Desde el 5 de mayo de 2025 hasta [fecha no disponible], la sección del mapa se actualizará con la ubicación de los objetos que se encuentran en las entradas de las cuevas. Manténganse al tanto.</v>
      </c>
      <c r="F57" s="33" t="str">
        <f>IFERROR(__xludf.DUMMYFUNCTION("GOOGLETRANSLATE(A57,""zh-tw"",""KO"")"),"2025년 5월 5일부터 [날짜 누락]까지, 지도 섹션에 동굴 입구에서 드롭되는 아이템 위치가 업데이트될 예정입니다. 계속해서 확인해 주세요.")</f>
        <v>2025년 5월 5일부터 [날짜 누락]까지, 지도 섹션에 동굴 입구에서 드롭되는 아이템 위치가 업데이트될 예정입니다. 계속해서 확인해 주세요.</v>
      </c>
      <c r="G57" s="33" t="str">
        <f>IFERROR(__xludf.DUMMYFUNCTION("GOOGLETRANSLATE(A57,""zh-tw"",""RU"")"),"С 5 мая 2025 года по [дата отсутствует] раздел карты будет обновляться с указанием мест, где были оставлены предметы у входов в пещеры. Следите за обновлениями.")</f>
        <v>С 5 мая 2025 года по [дата отсутствует] раздел карты будет обновляться с указанием мест, где были оставлены предметы у входов в пещеры. Следите за обновлениями.</v>
      </c>
      <c r="H57" s="33" t="str">
        <f>IFERROR(__xludf.DUMMYFUNCTION("GOOGLETRANSLATE(A57,""zh-tw"",""DE"")"),"Vom 5. Mai 2025 bis [Datum fehlt] wird der Kartenabschnitt mit den Fundorten der an den Höhleneingängen gefundenen Gegenstände aktualisiert. Bleiben Sie dran.")</f>
        <v>Vom 5. Mai 2025 bis [Datum fehlt] wird der Kartenabschnitt mit den Fundorten der an den Höhleneingängen gefundenen Gegenstände aktualisiert. Bleiben Sie dran.</v>
      </c>
      <c r="I57" s="73" t="s">
        <v>318</v>
      </c>
      <c r="J57" s="7" t="s">
        <v>319</v>
      </c>
      <c r="K57" s="7" t="s">
        <v>320</v>
      </c>
      <c r="L57" s="7"/>
      <c r="M57" s="70"/>
      <c r="N57" s="70"/>
      <c r="O57" s="70"/>
      <c r="P57" s="70"/>
      <c r="Q57" s="70"/>
      <c r="R57" s="70"/>
      <c r="S57" s="70"/>
      <c r="T57" s="70"/>
      <c r="U57" s="70"/>
      <c r="V57" s="70"/>
      <c r="W57" s="70"/>
      <c r="X57" s="70"/>
      <c r="Y57" s="70"/>
      <c r="Z57" s="70"/>
    </row>
    <row r="58">
      <c r="A58" s="69" t="s">
        <v>321</v>
      </c>
      <c r="B58" s="69" t="str">
        <f>IFERROR(__xludf.DUMMYFUNCTION("GOOGLETRANSLATE(A58,""zh-tw"",""ja"")"),"2025年5月4日にロシア語とドイツ語の翻訳を追加しました。")</f>
        <v>2025年5月4日にロシア語とドイツ語の翻訳を追加しました。</v>
      </c>
      <c r="C58" s="69" t="s">
        <v>322</v>
      </c>
      <c r="D58" s="69" t="str">
        <f>IFERROR(__xludf.DUMMYFUNCTION("GOOGLETRANSLATE(A58,""zh-tw"",""zh"")"),"2025/5/4 新增了俄语和德语翻译")</f>
        <v>2025/5/4 新增了俄语和德语翻译</v>
      </c>
      <c r="E58" s="33" t="str">
        <f>IFERROR(__xludf.DUMMYFUNCTION("GOOGLETRANSLATE(A58,""zh-tw"",""es-MX"")"),"Se añadieron las traducciones al ruso y al alemán el 4 de mayo de 2025.")</f>
        <v>Se añadieron las traducciones al ruso y al alemán el 4 de mayo de 2025.</v>
      </c>
      <c r="F58" s="33" t="str">
        <f>IFERROR(__xludf.DUMMYFUNCTION("GOOGLETRANSLATE(A58,""zh-tw"",""KO"")"),"2025년 5월 4일에 러시아어 및 독일어 번역이 추가되었습니다.")</f>
        <v>2025년 5월 4일에 러시아어 및 독일어 번역이 추가되었습니다.</v>
      </c>
      <c r="G58" s="33" t="str">
        <f>IFERROR(__xludf.DUMMYFUNCTION("GOOGLETRANSLATE(A58,""zh-tw"",""RU"")"),"Русский и немецкий переводы добавлены 4 мая 2025 года.")</f>
        <v>Русский и немецкий переводы добавлены 4 мая 2025 года.</v>
      </c>
      <c r="H58" s="33" t="str">
        <f>IFERROR(__xludf.DUMMYFUNCTION("GOOGLETRANSLATE(A58,""zh-tw"",""DE"")"),"Russische und deutsche Übersetzungen wurden am 4. Mai 2025 hinzugefügt.")</f>
        <v>Russische und deutsche Übersetzungen wurden am 4. Mai 2025 hinzugefügt.</v>
      </c>
      <c r="I58" s="73" t="s">
        <v>323</v>
      </c>
      <c r="J58" s="7" t="s">
        <v>324</v>
      </c>
      <c r="K58" s="7" t="s">
        <v>325</v>
      </c>
      <c r="L58" s="7"/>
      <c r="M58" s="70"/>
      <c r="N58" s="70"/>
      <c r="O58" s="70"/>
      <c r="P58" s="70"/>
      <c r="Q58" s="70"/>
      <c r="R58" s="70"/>
      <c r="S58" s="70"/>
      <c r="T58" s="70"/>
      <c r="U58" s="70"/>
      <c r="V58" s="70"/>
      <c r="W58" s="70"/>
      <c r="X58" s="70"/>
      <c r="Y58" s="70"/>
      <c r="Z58" s="70"/>
    </row>
    <row r="59">
      <c r="A59" s="69" t="s">
        <v>326</v>
      </c>
      <c r="B59" s="69" t="str">
        <f>IFERROR(__xludf.DUMMYFUNCTION("GOOGLETRANSLATE(A59,""zh-tw"",""ja"")"),"バージョン0.75は2025年5月2日に追加されました。")</f>
        <v>バージョン0.75は2025年5月2日に追加されました。</v>
      </c>
      <c r="C59" s="69" t="s">
        <v>327</v>
      </c>
      <c r="D59" s="69" t="str">
        <f>IFERROR(__xludf.DUMMYFUNCTION("GOOGLETRANSLATE(A59,""zh-tw"",""zh"")"),"2025/5/2 新增了0.75版本内容")</f>
        <v>2025/5/2 新增了0.75版本内容</v>
      </c>
      <c r="E59" s="33" t="str">
        <f>IFERROR(__xludf.DUMMYFUNCTION("GOOGLETRANSLATE(A59,""zh-tw"",""es-MX"")"),"La versión 0.75 se añadió el 2 de mayo de 2025.")</f>
        <v>La versión 0.75 se añadió el 2 de mayo de 2025.</v>
      </c>
      <c r="F59" s="33" t="str">
        <f>IFERROR(__xludf.DUMMYFUNCTION("GOOGLETRANSLATE(A59,""zh-tw"",""KO"")"),"버전 0.75는 2025년 5월 2일에 추가되었습니다.")</f>
        <v>버전 0.75는 2025년 5월 2일에 추가되었습니다.</v>
      </c>
      <c r="G59" s="33" t="str">
        <f>IFERROR(__xludf.DUMMYFUNCTION("GOOGLETRANSLATE(A59,""zh-tw"",""RU"")"),"Версия 0.75 была добавлена ​​2 мая 2025 года.")</f>
        <v>Версия 0.75 была добавлена ​​2 мая 2025 года.</v>
      </c>
      <c r="H59" s="33" t="str">
        <f>IFERROR(__xludf.DUMMYFUNCTION("GOOGLETRANSLATE(A59,""zh-tw"",""DE"")"),"Version 0.75 wurde am 2. Mai 2025 hinzugefügt.")</f>
        <v>Version 0.75 wurde am 2. Mai 2025 hinzugefügt.</v>
      </c>
      <c r="I59" s="73" t="s">
        <v>328</v>
      </c>
      <c r="J59" s="7" t="s">
        <v>329</v>
      </c>
      <c r="K59" s="7" t="s">
        <v>330</v>
      </c>
      <c r="L59" s="7"/>
      <c r="M59" s="70"/>
      <c r="N59" s="70"/>
      <c r="O59" s="70"/>
      <c r="P59" s="70"/>
      <c r="Q59" s="70"/>
      <c r="R59" s="70"/>
      <c r="S59" s="70"/>
      <c r="T59" s="70"/>
      <c r="U59" s="70"/>
      <c r="V59" s="70"/>
      <c r="W59" s="70"/>
      <c r="X59" s="70"/>
      <c r="Y59" s="70"/>
      <c r="Z59" s="70"/>
    </row>
    <row r="60">
      <c r="A60" s="69" t="s">
        <v>331</v>
      </c>
      <c r="B60" s="69" t="str">
        <f>IFERROR(__xludf.DUMMYFUNCTION("GOOGLETRANSLATE(A60,""zh-tw"",""ja"")"),"2025年4月29日：2つ目のフォームを削除し、スペイン語と韓国語の翻訳をこのフォームに統合しました。")</f>
        <v>2025年4月29日：2つ目のフォームを削除し、スペイン語と韓国語の翻訳をこのフォームに統合しました。</v>
      </c>
      <c r="C60" s="69" t="s">
        <v>332</v>
      </c>
      <c r="D60" s="69" t="str">
        <f>IFERROR(__xludf.DUMMYFUNCTION("GOOGLETRANSLATE(A60,""zh-tw"",""zh"")"),"2025/4/29 删除第二份表单，合并西班牙语和韩语的翻译至本表单")</f>
        <v>2025/4/29 删除第二份表单，合并西班牙语和韩语的翻译至本表单</v>
      </c>
      <c r="E60" s="33" t="str">
        <f>IFERROR(__xludf.DUMMYFUNCTION("GOOGLETRANSLATE(A60,""zh-tw"",""es-MX"")"),"29 de abril de 2025: Se eliminó el segundo formulario y se fusionaron las traducciones al español y al coreano en este formulario.")</f>
        <v>29 de abril de 2025: Se eliminó el segundo formulario y se fusionaron las traducciones al español y al coreano en este formulario.</v>
      </c>
      <c r="F60" s="33" t="str">
        <f>IFERROR(__xludf.DUMMYFUNCTION("GOOGLETRANSLATE(A60,""zh-tw"",""KO"")"),"2025년 4월 29일: 두 번째 양식을 삭제하고 스페인어 및 한국어 번역을 이 양식에 통합했습니다.")</f>
        <v>2025년 4월 29일: 두 번째 양식을 삭제하고 스페인어 및 한국어 번역을 이 양식에 통합했습니다.</v>
      </c>
      <c r="G60" s="33" t="str">
        <f>IFERROR(__xludf.DUMMYFUNCTION("GOOGLETRANSLATE(A60,""zh-tw"",""RU"")"),"29 апреля 2025 г.: Удалена вторая форма, и испанский и корейский переводы объединены в эту форму.")</f>
        <v>29 апреля 2025 г.: Удалена вторая форма, и испанский и корейский переводы объединены в эту форму.</v>
      </c>
      <c r="H60" s="33" t="str">
        <f>IFERROR(__xludf.DUMMYFUNCTION("GOOGLETRANSLATE(A60,""zh-tw"",""DE"")"),"29. April 2025: Das zweite Formular wurde gelöscht und die spanischen und koreanischen Übersetzungen in dieses Formular zusammengeführt.")</f>
        <v>29. April 2025: Das zweite Formular wurde gelöscht und die spanischen und koreanischen Übersetzungen in dieses Formular zusammengeführt.</v>
      </c>
      <c r="I60" s="73" t="s">
        <v>333</v>
      </c>
      <c r="J60" s="7" t="s">
        <v>334</v>
      </c>
      <c r="K60" s="7" t="s">
        <v>335</v>
      </c>
      <c r="L60" s="7"/>
      <c r="M60" s="70"/>
      <c r="N60" s="70"/>
      <c r="O60" s="70"/>
      <c r="P60" s="70"/>
      <c r="Q60" s="70"/>
      <c r="R60" s="70"/>
      <c r="S60" s="70"/>
      <c r="T60" s="70"/>
      <c r="U60" s="70"/>
      <c r="V60" s="70"/>
      <c r="W60" s="70"/>
      <c r="X60" s="70"/>
      <c r="Y60" s="70"/>
      <c r="Z60" s="70"/>
    </row>
    <row r="61">
      <c r="A61" s="69" t="s">
        <v>336</v>
      </c>
      <c r="B61" s="69" t="str">
        <f>IFERROR(__xludf.DUMMYFUNCTION("GOOGLETRANSLATE(A61,""zh-tw"",""ja"")"),"2025年4月19日：スペイン語と韓国語の翻訳を含む2つ目のフォームを作成しました。")</f>
        <v>2025年4月19日：スペイン語と韓国語の翻訳を含む2つ目のフォームを作成しました。</v>
      </c>
      <c r="C61" s="69" t="s">
        <v>337</v>
      </c>
      <c r="D61" s="69" t="str">
        <f>IFERROR(__xludf.DUMMYFUNCTION("GOOGLETRANSLATE(A61,""zh-tw"",""zh"")"),"2025/4/19 新建第二份表单，有西班牙语和韩语的翻译")</f>
        <v>2025/4/19 新建第二份表单，有西班牙语和韩语的翻译</v>
      </c>
      <c r="E61" s="33" t="str">
        <f>IFERROR(__xludf.DUMMYFUNCTION("GOOGLETRANSLATE(A61,""zh-tw"",""es-MX"")"),"19 de abril de 2025: Se creó un segundo formulario con traducciones al español y al coreano.")</f>
        <v>19 de abril de 2025: Se creó un segundo formulario con traducciones al español y al coreano.</v>
      </c>
      <c r="F61" s="33" t="str">
        <f>IFERROR(__xludf.DUMMYFUNCTION("GOOGLETRANSLATE(A61,""zh-tw"",""KO"")"),"2025년 4월 19일: 스페인어 및 한국어 번역이 포함된 두 번째 양식을 만들었습니다.")</f>
        <v>2025년 4월 19일: 스페인어 및 한국어 번역이 포함된 두 번째 양식을 만들었습니다.</v>
      </c>
      <c r="G61" s="33" t="str">
        <f>IFERROR(__xludf.DUMMYFUNCTION("GOOGLETRANSLATE(A61,""zh-tw"",""RU"")"),"19 апреля 2025 г.: Создана вторая форма с переводом на испанский и корейский языки.")</f>
        <v>19 апреля 2025 г.: Создана вторая форма с переводом на испанский и корейский языки.</v>
      </c>
      <c r="H61" s="33" t="str">
        <f>IFERROR(__xludf.DUMMYFUNCTION("GOOGLETRANSLATE(A61,""zh-tw"",""DE"")"),"19. April 2025: Ein zweites Formular mit spanischen und koreanischen Übersetzungen wurde erstellt.")</f>
        <v>19. April 2025: Ein zweites Formular mit spanischen und koreanischen Übersetzungen wurde erstellt.</v>
      </c>
      <c r="I61" s="73" t="s">
        <v>338</v>
      </c>
      <c r="J61" s="7" t="s">
        <v>339</v>
      </c>
      <c r="K61" s="7" t="s">
        <v>340</v>
      </c>
      <c r="L61" s="7"/>
      <c r="M61" s="70"/>
      <c r="N61" s="70"/>
      <c r="O61" s="70"/>
      <c r="P61" s="70"/>
      <c r="Q61" s="70"/>
      <c r="R61" s="70"/>
      <c r="S61" s="70"/>
      <c r="T61" s="70"/>
      <c r="U61" s="70"/>
      <c r="V61" s="70"/>
      <c r="W61" s="70"/>
      <c r="X61" s="70"/>
      <c r="Y61" s="70"/>
      <c r="Z61" s="70"/>
    </row>
    <row r="62">
      <c r="A62" s="69" t="s">
        <v>341</v>
      </c>
      <c r="B62" s="69" t="str">
        <f>IFERROR(__xludf.DUMMYFUNCTION("GOOGLETRANSLATE(A62,""zh-tw"",""ja"")"),"2025年4月13日に新しい「料理」ページを作成しました")</f>
        <v>2025年4月13日に新しい「料理」ページを作成しました</v>
      </c>
      <c r="C62" s="69" t="s">
        <v>342</v>
      </c>
      <c r="D62" s="69" t="str">
        <f>IFERROR(__xludf.DUMMYFUNCTION("GOOGLETRANSLATE(A62,""zh-tw"",""zh"")"),"2025/4/13  新建""料理""分页")</f>
        <v>2025/4/13  新建"料理"分页</v>
      </c>
      <c r="E62" s="33" t="str">
        <f>IFERROR(__xludf.DUMMYFUNCTION("GOOGLETRANSLATE(A62,""zh-tw"",""es-MX"")"),"Se creó una nueva página de ""Cocina"" el 13/04/2025.")</f>
        <v>Se creó una nueva página de "Cocina" el 13/04/2025.</v>
      </c>
      <c r="F62" s="33" t="str">
        <f>IFERROR(__xludf.DUMMYFUNCTION("GOOGLETRANSLATE(A62,""zh-tw"",""KO"")"),"2025년 4월 13일에 ""요리"" 페이지를 새로 만들었습니다.")</f>
        <v>2025년 4월 13일에 "요리" 페이지를 새로 만들었습니다.</v>
      </c>
      <c r="G62" s="33" t="str">
        <f>IFERROR(__xludf.DUMMYFUNCTION("GOOGLETRANSLATE(A62,""zh-tw"",""RU"")"),"Создана новая страница ""Готовка"" 13 апреля 2025 года.")</f>
        <v>Создана новая страница "Готовка" 13 апреля 2025 года.</v>
      </c>
      <c r="H62" s="33" t="str">
        <f>IFERROR(__xludf.DUMMYFUNCTION("GOOGLETRANSLATE(A62,""zh-tw"",""DE"")"),"Am 13.04.2025 wurde eine neue Seite zum Thema „Kochen“ erstellt.")</f>
        <v>Am 13.04.2025 wurde eine neue Seite zum Thema „Kochen“ erstellt.</v>
      </c>
      <c r="I62" s="73" t="s">
        <v>343</v>
      </c>
      <c r="J62" s="7" t="s">
        <v>344</v>
      </c>
      <c r="K62" s="7" t="s">
        <v>345</v>
      </c>
      <c r="L62" s="7"/>
      <c r="M62" s="70"/>
      <c r="N62" s="70"/>
      <c r="O62" s="70"/>
      <c r="P62" s="70"/>
      <c r="Q62" s="70"/>
      <c r="R62" s="70"/>
      <c r="S62" s="70"/>
      <c r="T62" s="70"/>
      <c r="U62" s="70"/>
      <c r="V62" s="70"/>
      <c r="W62" s="70"/>
      <c r="X62" s="70"/>
      <c r="Y62" s="70"/>
      <c r="Z62" s="70"/>
    </row>
    <row r="63">
      <c r="A63" s="69" t="s">
        <v>346</v>
      </c>
      <c r="B63" s="69" t="str">
        <f>IFERROR(__xludf.DUMMYFUNCTION("GOOGLETRANSLATE(A63,""zh-tw"",""ja"")"),"2025年4月6日にバージョン0.721にアップデートされました（S32～34）。")</f>
        <v>2025年4月6日にバージョン0.721にアップデートされました（S32～34）。</v>
      </c>
      <c r="C63" s="69" t="s">
        <v>347</v>
      </c>
      <c r="D63" s="69" t="str">
        <f>IFERROR(__xludf.DUMMYFUNCTION("GOOGLETRANSLATE(A63,""zh-tw"",""zh"")"),"2025/4/6 更新0.721版本 S32~34")</f>
        <v>2025/4/6 更新0.721版本 S32~34</v>
      </c>
      <c r="E63" s="33" t="str">
        <f>IFERROR(__xludf.DUMMYFUNCTION("GOOGLETRANSLATE(A63,""zh-tw"",""es-MX"")"),"Actualizado a la versión 0.721 el 6 de abril de 2025 (S32~34).")</f>
        <v>Actualizado a la versión 0.721 el 6 de abril de 2025 (S32~34).</v>
      </c>
      <c r="F63" s="33" t="str">
        <f>IFERROR(__xludf.DUMMYFUNCTION("GOOGLETRANSLATE(A63,""zh-tw"",""KO"")"),"2025년 4월 6일 버전 0.721로 업데이트되었습니다(S32~34).")</f>
        <v>2025년 4월 6일 버전 0.721로 업데이트되었습니다(S32~34).</v>
      </c>
      <c r="G63" s="33" t="str">
        <f>IFERROR(__xludf.DUMMYFUNCTION("GOOGLETRANSLATE(A63,""zh-tw"",""RU"")"),"Обновлено до версии 0.721 6 апреля 2025 г. (S32~34).")</f>
        <v>Обновлено до версии 0.721 6 апреля 2025 г. (S32~34).</v>
      </c>
      <c r="H63" s="33" t="str">
        <f>IFERROR(__xludf.DUMMYFUNCTION("GOOGLETRANSLATE(A63,""zh-tw"",""DE"")"),"Aktualisiert auf Version 0.721 am 6. April 2025 (S32~34).")</f>
        <v>Aktualisiert auf Version 0.721 am 6. April 2025 (S32~34).</v>
      </c>
      <c r="I63" s="73" t="s">
        <v>348</v>
      </c>
      <c r="J63" s="7" t="s">
        <v>349</v>
      </c>
      <c r="K63" s="7" t="s">
        <v>350</v>
      </c>
      <c r="L63" s="7"/>
      <c r="M63" s="70"/>
      <c r="N63" s="70"/>
      <c r="O63" s="70"/>
      <c r="P63" s="70"/>
      <c r="Q63" s="70"/>
      <c r="R63" s="70"/>
      <c r="S63" s="70"/>
      <c r="T63" s="70"/>
      <c r="U63" s="70"/>
      <c r="V63" s="70"/>
      <c r="W63" s="70"/>
      <c r="X63" s="70"/>
      <c r="Y63" s="70"/>
      <c r="Z63" s="70"/>
    </row>
    <row r="64">
      <c r="A64" s="69" t="s">
        <v>351</v>
      </c>
      <c r="B64" s="69" t="s">
        <v>352</v>
      </c>
      <c r="C64" s="69" t="s">
        <v>353</v>
      </c>
      <c r="D64" s="69" t="str">
        <f>IFERROR(__xludf.DUMMYFUNCTION("GOOGLETRANSLATE(A64,""zh-tw"",""zh"")"),"2025/4/4 地图新增大焦热溶岩帯")</f>
        <v>2025/4/4 地图新增大焦热溶岩帯</v>
      </c>
      <c r="E64" s="33" t="str">
        <f>IFERROR(__xludf.DUMMYFUNCTION("GOOGLETRANSLATE(A64,""zh-tw"",""es-MX"")"),"4 de abril de 2025: Se añadió el Gran Cinturón de Lava Calcinada al mapa.")</f>
        <v>4 de abril de 2025: Se añadió el Gran Cinturón de Lava Calcinada al mapa.</v>
      </c>
      <c r="F64" s="33" t="str">
        <f>IFERROR(__xludf.DUMMYFUNCTION("GOOGLETRANSLATE(A64,""zh-tw"",""KO"")"),"2025년 4월 4일: 지도에 거대한 용암 지대를 추가했습니다.")</f>
        <v>2025년 4월 4일: 지도에 거대한 용암 지대를 추가했습니다.</v>
      </c>
      <c r="G64" s="33" t="str">
        <f>IFERROR(__xludf.DUMMYFUNCTION("GOOGLETRANSLATE(A64,""zh-tw"",""RU"")"),"4 апреля 2025 г.: На карту добавлен Великий пояс выжженной лавы.")</f>
        <v>4 апреля 2025 г.: На карту добавлен Великий пояс выжженной лавы.</v>
      </c>
      <c r="H64" s="33" t="str">
        <f>IFERROR(__xludf.DUMMYFUNCTION("GOOGLETRANSLATE(A64,""zh-tw"",""DE"")"),"4. April 2025: Der Große Versengte Lavagürtel wurde der Karte hinzugefügt.")</f>
        <v>4. April 2025: Der Große Versengte Lavagürtel wurde der Karte hinzugefügt.</v>
      </c>
      <c r="I64" s="73" t="s">
        <v>354</v>
      </c>
      <c r="J64" s="7" t="s">
        <v>355</v>
      </c>
      <c r="K64" s="7" t="s">
        <v>356</v>
      </c>
      <c r="L64" s="7"/>
      <c r="M64" s="70"/>
      <c r="N64" s="70"/>
      <c r="O64" s="70"/>
      <c r="P64" s="70"/>
      <c r="Q64" s="70"/>
      <c r="R64" s="70"/>
      <c r="S64" s="70"/>
      <c r="T64" s="70"/>
      <c r="U64" s="70"/>
      <c r="V64" s="70"/>
      <c r="W64" s="70"/>
      <c r="X64" s="70"/>
      <c r="Y64" s="70"/>
      <c r="Z64" s="70"/>
    </row>
    <row r="65">
      <c r="A65" s="69" t="s">
        <v>357</v>
      </c>
      <c r="B65" s="69" t="str">
        <f>IFERROR(__xludf.DUMMYFUNCTION("GOOGLETRANSLATE(A65,""zh-tw"",""ja"")"),"2025年4月1日：バージョン0.72のアイテムを追加しました：S7、S32～S35、TIPS、2つのアイテム、および1つの防具。")</f>
        <v>2025年4月1日：バージョン0.72のアイテムを追加しました：S7、S32～S35、TIPS、2つのアイテム、および1つの防具。</v>
      </c>
      <c r="C65" s="69" t="s">
        <v>358</v>
      </c>
      <c r="D65" s="69" t="str">
        <f>IFERROR(__xludf.DUMMYFUNCTION("GOOGLETRANSLATE(A65,""zh-tw"",""zh"")"),"2025/4/1  新增0.72版本项目：S7、S32~S35、TIPS、两样道具、一件防具")</f>
        <v>2025/4/1  新增0.72版本项目：S7、S32~S35、TIPS、两样道具、一件防具</v>
      </c>
      <c r="E65" s="33" t="str">
        <f>IFERROR(__xludf.DUMMYFUNCTION("GOOGLETRANSLATE(A65,""zh-tw"",""es-MX"")"),"1 de abril de 2025: Se agregaron los siguientes elementos de la versión 0.72: S7, S32~S35, TIPS, dos elementos y una pieza de armadura.")</f>
        <v>1 de abril de 2025: Se agregaron los siguientes elementos de la versión 0.72: S7, S32~S35, TIPS, dos elementos y una pieza de armadura.</v>
      </c>
      <c r="F65" s="33" t="str">
        <f>IFERROR(__xludf.DUMMYFUNCTION("GOOGLETRANSLATE(A65,""zh-tw"",""KO"")"),"2025년 4월 1일: 버전 0.72 아이템 추가: S7, S32~S35, TIPS, 아이템 두 개, 그리고 방어구 한 개.")</f>
        <v>2025년 4월 1일: 버전 0.72 아이템 추가: S7, S32~S35, TIPS, 아이템 두 개, 그리고 방어구 한 개.</v>
      </c>
      <c r="G65" s="33" t="str">
        <f>IFERROR(__xludf.DUMMYFUNCTION("GOOGLETRANSLATE(A65,""zh-tw"",""RU"")"),"1 апреля 2025 г.: Добавлены предметы из версии 0.72: S7, S32~S35, TIPS, два предмета и один элемент брони.")</f>
        <v>1 апреля 2025 г.: Добавлены предметы из версии 0.72: S7, S32~S35, TIPS, два предмета и один элемент брони.</v>
      </c>
      <c r="H65" s="33" t="str">
        <f>IFERROR(__xludf.DUMMYFUNCTION("GOOGLETRANSLATE(A65,""zh-tw"",""DE"")"),"1. April 2025: Hinzugefügte Gegenstände der Version 0.72: S7, S32~S35, TIPS, zwei Gegenstände und ein Rüstungsteil.")</f>
        <v>1. April 2025: Hinzugefügte Gegenstände der Version 0.72: S7, S32~S35, TIPS, zwei Gegenstände und ein Rüstungsteil.</v>
      </c>
      <c r="I65" s="73" t="s">
        <v>359</v>
      </c>
      <c r="J65" s="7" t="s">
        <v>360</v>
      </c>
      <c r="K65" s="7" t="s">
        <v>361</v>
      </c>
      <c r="L65" s="7"/>
      <c r="M65" s="70"/>
      <c r="N65" s="70"/>
      <c r="O65" s="70"/>
      <c r="P65" s="70"/>
      <c r="Q65" s="70"/>
      <c r="R65" s="70"/>
      <c r="S65" s="70"/>
      <c r="T65" s="70"/>
      <c r="U65" s="70"/>
      <c r="V65" s="70"/>
      <c r="W65" s="70"/>
      <c r="X65" s="70"/>
      <c r="Y65" s="70"/>
      <c r="Z65" s="70"/>
    </row>
    <row r="66">
      <c r="A66" s="69" t="s">
        <v>362</v>
      </c>
      <c r="B66" s="69" t="str">
        <f>IFERROR(__xludf.DUMMYFUNCTION("GOOGLETRANSLATE(A66,""zh-tw"",""ja"")"),"2025年4月1日、ウェブサイトにちょっとしたエイプリルフールのサプライズが追加されました。")</f>
        <v>2025年4月1日、ウェブサイトにちょっとしたエイプリルフールのサプライズが追加されました。</v>
      </c>
      <c r="C66" s="69" t="s">
        <v>363</v>
      </c>
      <c r="D66" s="69" t="str">
        <f>IFERROR(__xludf.DUMMYFUNCTION("GOOGLETRANSLATE(A66,""zh-tw"",""zh"")"),"2025/4/1  新增了网页愚人节的小彩蛋")</f>
        <v>2025/4/1  新增了网页愚人节的小彩蛋</v>
      </c>
      <c r="E66" s="33" t="str">
        <f>IFERROR(__xludf.DUMMYFUNCTION("GOOGLETRANSLATE(A66,""zh-tw"",""es-MX"")"),"El 1 de abril de 2025 se añadió una pequeña sorpresa al sitio web con motivo del Día de los Inocentes.")</f>
        <v>El 1 de abril de 2025 se añadió una pequeña sorpresa al sitio web con motivo del Día de los Inocentes.</v>
      </c>
      <c r="F66" s="33" t="str">
        <f>IFERROR(__xludf.DUMMYFUNCTION("GOOGLETRANSLATE(A66,""zh-tw"",""KO"")"),"2025년 4월 1일, 만우절을 맞아 웹사이트에 작은 깜짝 이벤트가 추가되었습니다.")</f>
        <v>2025년 4월 1일, 만우절을 맞아 웹사이트에 작은 깜짝 이벤트가 추가되었습니다.</v>
      </c>
      <c r="G66" s="33" t="str">
        <f>IFERROR(__xludf.DUMMYFUNCTION("GOOGLETRANSLATE(A66,""zh-tw"",""RU"")"),"1 апреля 2025 года на сайт был добавлен небольшой первоапрельской сюрприз.")</f>
        <v>1 апреля 2025 года на сайт был добавлен небольшой первоапрельской сюрприз.</v>
      </c>
      <c r="H66" s="33" t="str">
        <f>IFERROR(__xludf.DUMMYFUNCTION("GOOGLETRANSLATE(A66,""zh-tw"",""DE"")"),"Am 1. April 2025 wurde der Website eine kleine Aprilscherz-Überraschung hinzugefügt.")</f>
        <v>Am 1. April 2025 wurde der Website eine kleine Aprilscherz-Überraschung hinzugefügt.</v>
      </c>
      <c r="I66" s="73" t="s">
        <v>364</v>
      </c>
      <c r="J66" s="7" t="s">
        <v>365</v>
      </c>
      <c r="K66" s="7" t="s">
        <v>366</v>
      </c>
      <c r="L66" s="7"/>
      <c r="M66" s="70"/>
      <c r="N66" s="70"/>
      <c r="O66" s="70"/>
      <c r="P66" s="70"/>
      <c r="Q66" s="70"/>
      <c r="R66" s="70"/>
      <c r="S66" s="70"/>
      <c r="T66" s="70"/>
      <c r="U66" s="70"/>
      <c r="V66" s="70"/>
      <c r="W66" s="70"/>
      <c r="X66" s="70"/>
      <c r="Y66" s="70"/>
      <c r="Z66" s="70"/>
    </row>
    <row r="67">
      <c r="A67" s="69" t="s">
        <v>367</v>
      </c>
      <c r="B67" s="69" t="str">
        <f>IFERROR(__xludf.DUMMYFUNCTION("GOOGLETRANSLATE(A67,""zh-tw"",""ja"")"),"2025年3月25日更新：イベント内のマップ名と一部のコンテンツが修正されました。")</f>
        <v>2025年3月25日更新：イベント内のマップ名と一部のコンテンツが修正されました。</v>
      </c>
      <c r="C67" s="69" t="s">
        <v>368</v>
      </c>
      <c r="D67" s="69" t="str">
        <f>IFERROR(__xludf.DUMMYFUNCTION("GOOGLETRANSLATE(A67,""zh-tw"",""zh"")"),"2025/3/25 更新事件内地图名称与部分内容修正")</f>
        <v>2025/3/25 更新事件内地图名称与部分内容修正</v>
      </c>
      <c r="E67" s="33" t="str">
        <f>IFERROR(__xludf.DUMMYFUNCTION("GOOGLETRANSLATE(A67,""zh-tw"",""es-MX"")"),"Actualización del 25 de marzo de 2025: Se han corregido los nombres de los mapas y parte del contenido del evento.")</f>
        <v>Actualización del 25 de marzo de 2025: Se han corregido los nombres de los mapas y parte del contenido del evento.</v>
      </c>
      <c r="F67" s="33" t="str">
        <f>IFERROR(__xludf.DUMMYFUNCTION("GOOGLETRANSLATE(A67,""zh-tw"",""KO"")"),"2025년 3월 25일 업데이트: 지도 이름 및 이벤트 내 일부 콘텐츠가 수정되었습니다.")</f>
        <v>2025년 3월 25일 업데이트: 지도 이름 및 이벤트 내 일부 콘텐츠가 수정되었습니다.</v>
      </c>
      <c r="G67" s="33" t="str">
        <f>IFERROR(__xludf.DUMMYFUNCTION("GOOGLETRANSLATE(A67,""zh-tw"",""RU"")"),"Обновление от 25 марта 2025 г.: Исправлены названия карт и некоторые элементы контента мероприятия.")</f>
        <v>Обновление от 25 марта 2025 г.: Исправлены названия карт и некоторые элементы контента мероприятия.</v>
      </c>
      <c r="H67" s="33" t="str">
        <f>IFERROR(__xludf.DUMMYFUNCTION("GOOGLETRANSLATE(A67,""zh-tw"",""DE"")"),"Update vom 25. März 2025: Kartennamen und einige Inhalte innerhalb der Veranstaltung wurden korrigiert.")</f>
        <v>Update vom 25. März 2025: Kartennamen und einige Inhalte innerhalb der Veranstaltung wurden korrigiert.</v>
      </c>
      <c r="I67" s="73" t="s">
        <v>369</v>
      </c>
      <c r="J67" s="7" t="s">
        <v>370</v>
      </c>
      <c r="K67" s="7" t="s">
        <v>371</v>
      </c>
      <c r="L67" s="7"/>
      <c r="M67" s="70"/>
      <c r="N67" s="70"/>
      <c r="O67" s="70"/>
      <c r="P67" s="70"/>
      <c r="Q67" s="70"/>
      <c r="R67" s="70"/>
      <c r="S67" s="70"/>
      <c r="T67" s="70"/>
      <c r="U67" s="70"/>
      <c r="V67" s="70"/>
      <c r="W67" s="70"/>
      <c r="X67" s="70"/>
      <c r="Y67" s="70"/>
      <c r="Z67" s="70"/>
    </row>
    <row r="68">
      <c r="A68" s="69" t="s">
        <v>372</v>
      </c>
      <c r="B68" s="69" t="str">
        <f>IFERROR(__xludf.DUMMYFUNCTION("GOOGLETRANSLATE(A68,""zh-tw"",""ja"")"),"地図の一部区間は、2025年3月22日から2025年5月5日にかけて再設計されました。")</f>
        <v>地図の一部区間は、2025年3月22日から2025年5月5日にかけて再設計されました。</v>
      </c>
      <c r="C68" s="69" t="s">
        <v>373</v>
      </c>
      <c r="D68" s="69" t="str">
        <f>IFERROR(__xludf.DUMMYFUNCTION("GOOGLETRANSLATE(A68,""zh-tw"",""zh"")"),"2025/3/22-2025/5/5 地图板块重新完成")</f>
        <v>2025/3/22-2025/5/5 地图板块重新完成</v>
      </c>
      <c r="E68" s="33" t="str">
        <f>IFERROR(__xludf.DUMMYFUNCTION("GOOGLETRANSLATE(A68,""zh-tw"",""es-MX"")"),"Las secciones del mapa fueron rediseñadas entre el 22 de marzo de 2025 y el 5 de mayo de 2025.")</f>
        <v>Las secciones del mapa fueron rediseñadas entre el 22 de marzo de 2025 y el 5 de mayo de 2025.</v>
      </c>
      <c r="F68" s="33" t="str">
        <f>IFERROR(__xludf.DUMMYFUNCTION("GOOGLETRANSLATE(A68,""zh-tw"",""KO"")"),"지도 일부 구간은 2025년 3월 22일부터 2025년 5월 5일까지 재설계되었습니다.")</f>
        <v>지도 일부 구간은 2025년 3월 22일부터 2025년 5월 5일까지 재설계되었습니다.</v>
      </c>
      <c r="G68" s="33" t="str">
        <f>IFERROR(__xludf.DUMMYFUNCTION("GOOGLETRANSLATE(A68,""zh-tw"",""RU"")"),"В период с 22 марта 2025 года по 5 мая 2025 года были переработаны отдельные разделы карты.")</f>
        <v>В период с 22 марта 2025 года по 5 мая 2025 года были переработаны отдельные разделы карты.</v>
      </c>
      <c r="H68" s="33" t="str">
        <f>IFERROR(__xludf.DUMMYFUNCTION("GOOGLETRANSLATE(A68,""zh-tw"",""DE"")"),"Die Kartenabschnitte wurden vom 22. März 2025 bis zum 5. Mai 2025 neu gestaltet.")</f>
        <v>Die Kartenabschnitte wurden vom 22. März 2025 bis zum 5. Mai 2025 neu gestaltet.</v>
      </c>
      <c r="I68" s="73" t="s">
        <v>374</v>
      </c>
      <c r="J68" s="7" t="s">
        <v>375</v>
      </c>
      <c r="K68" s="7" t="s">
        <v>376</v>
      </c>
      <c r="L68" s="7"/>
      <c r="M68" s="70"/>
      <c r="N68" s="70"/>
      <c r="O68" s="70"/>
      <c r="P68" s="70"/>
      <c r="Q68" s="70"/>
      <c r="R68" s="70"/>
      <c r="S68" s="70"/>
      <c r="T68" s="70"/>
      <c r="U68" s="70"/>
      <c r="V68" s="70"/>
      <c r="W68" s="70"/>
      <c r="X68" s="70"/>
      <c r="Y68" s="70"/>
      <c r="Z68" s="70"/>
    </row>
    <row r="69">
      <c r="A69" s="69" t="s">
        <v>377</v>
      </c>
      <c r="B69" s="69" t="str">
        <f>IFERROR(__xludf.DUMMYFUNCTION("GOOGLETRANSLATE(A69,""zh-tw"",""ja"")"),"2025年3月21日：イベントページがリニューアルされ、SLGとRPGのページに分割されました。")</f>
        <v>2025年3月21日：イベントページがリニューアルされ、SLGとRPGのページに分割されました。</v>
      </c>
      <c r="C69" s="69" t="s">
        <v>378</v>
      </c>
      <c r="D69" s="69" t="str">
        <f>IFERROR(__xludf.DUMMYFUNCTION("GOOGLETRANSLATE(A69,""zh-tw"",""zh"")"),"2025/3/21 重制事件页面，分成SLG、RPG页面")</f>
        <v>2025/3/21 重制事件页面，分成SLG、RPG页面</v>
      </c>
      <c r="E69" s="33" t="str">
        <f>IFERROR(__xludf.DUMMYFUNCTION("GOOGLETRANSLATE(A69,""zh-tw"",""es-MX"")"),"21 de marzo de 2025: Se rediseñó la página del evento y se dividió en páginas de SLG y RPG.")</f>
        <v>21 de marzo de 2025: Se rediseñó la página del evento y se dividió en páginas de SLG y RPG.</v>
      </c>
      <c r="F69" s="33" t="str">
        <f>IFERROR(__xludf.DUMMYFUNCTION("GOOGLETRANSLATE(A69,""zh-tw"",""KO"")"),"2025년 3월 21일: 이벤트 페이지가 개편되어 SLG 페이지와 RPG 페이지로 분리되었습니다.")</f>
        <v>2025년 3월 21일: 이벤트 페이지가 개편되어 SLG 페이지와 RPG 페이지로 분리되었습니다.</v>
      </c>
      <c r="G69" s="33" t="str">
        <f>IFERROR(__xludf.DUMMYFUNCTION("GOOGLETRANSLATE(A69,""zh-tw"",""RU"")"),"21 марта 2025 г.: Страница события переработана и разделена на страницы для SLG и RPG.")</f>
        <v>21 марта 2025 г.: Страница события переработана и разделена на страницы для SLG и RPG.</v>
      </c>
      <c r="H69" s="33" t="str">
        <f>IFERROR(__xludf.DUMMYFUNCTION("GOOGLETRANSLATE(A69,""zh-tw"",""DE"")"),"21. März 2025: Die Veranstaltungsseite wurde neu gestaltet und in SLG- und RPG-Seiten unterteilt.")</f>
        <v>21. März 2025: Die Veranstaltungsseite wurde neu gestaltet und in SLG- und RPG-Seiten unterteilt.</v>
      </c>
      <c r="I69" s="73" t="s">
        <v>379</v>
      </c>
      <c r="J69" s="7" t="s">
        <v>380</v>
      </c>
      <c r="K69" s="7" t="s">
        <v>381</v>
      </c>
      <c r="L69" s="7"/>
      <c r="M69" s="70"/>
      <c r="N69" s="70"/>
      <c r="O69" s="70"/>
      <c r="P69" s="70"/>
      <c r="Q69" s="70"/>
      <c r="R69" s="70"/>
      <c r="S69" s="70"/>
      <c r="T69" s="70"/>
      <c r="U69" s="70"/>
      <c r="V69" s="70"/>
      <c r="W69" s="70"/>
      <c r="X69" s="70"/>
      <c r="Y69" s="70"/>
      <c r="Z69" s="70"/>
    </row>
    <row r="70">
      <c r="A70" s="69" t="s">
        <v>382</v>
      </c>
      <c r="B70" s="69" t="str">
        <f>IFERROR(__xludf.DUMMYFUNCTION("GOOGLETRANSLATE(A70,""zh-tw"",""ja"")"),"バージョン0.7の情報は2025年3月16日に更新されました。")</f>
        <v>バージョン0.7の情報は2025年3月16日に更新されました。</v>
      </c>
      <c r="C70" s="69" t="s">
        <v>383</v>
      </c>
      <c r="D70" s="69" t="str">
        <f>IFERROR(__xludf.DUMMYFUNCTION("GOOGLETRANSLATE(A70,""zh-tw"",""zh"")"),"2025/3/16 更新0.7版本资讯")</f>
        <v>2025/3/16 更新0.7版本资讯</v>
      </c>
      <c r="E70" s="33" t="str">
        <f>IFERROR(__xludf.DUMMYFUNCTION("GOOGLETRANSLATE(A70,""zh-tw"",""es-MX"")"),"Información actualizada de la versión 0.7 el 16/03/2025.")</f>
        <v>Información actualizada de la versión 0.7 el 16/03/2025.</v>
      </c>
      <c r="F70" s="33" t="str">
        <f>IFERROR(__xludf.DUMMYFUNCTION("GOOGLETRANSLATE(A70,""zh-tw"",""KO"")"),"2025년 3월 16일 업데이트된 버전 0.7 정보")</f>
        <v>2025년 3월 16일 업데이트된 버전 0.7 정보</v>
      </c>
      <c r="G70" s="33" t="str">
        <f>IFERROR(__xludf.DUMMYFUNCTION("GOOGLETRANSLATE(A70,""zh-tw"",""RU"")"),"Обновлена ​​информация о версии 0.7 от 16.03.2025.")</f>
        <v>Обновлена ​​информация о версии 0.7 от 16.03.2025.</v>
      </c>
      <c r="H70" s="33" t="str">
        <f>IFERROR(__xludf.DUMMYFUNCTION("GOOGLETRANSLATE(A70,""zh-tw"",""DE"")"),"Aktualisierte Informationen zu Version 0.7 vom 16.03.2025")</f>
        <v>Aktualisierte Informationen zu Version 0.7 vom 16.03.2025</v>
      </c>
      <c r="I70" s="73" t="s">
        <v>384</v>
      </c>
      <c r="J70" s="7" t="s">
        <v>385</v>
      </c>
      <c r="K70" s="7" t="s">
        <v>386</v>
      </c>
      <c r="L70" s="7"/>
      <c r="M70" s="70"/>
      <c r="N70" s="70"/>
      <c r="O70" s="70"/>
      <c r="P70" s="70"/>
      <c r="Q70" s="70"/>
      <c r="R70" s="70"/>
      <c r="S70" s="70"/>
      <c r="T70" s="70"/>
      <c r="U70" s="70"/>
      <c r="V70" s="70"/>
      <c r="W70" s="70"/>
      <c r="X70" s="70"/>
      <c r="Y70" s="70"/>
      <c r="Z70" s="70"/>
    </row>
    <row r="71">
      <c r="A71" s="69" t="s">
        <v>387</v>
      </c>
      <c r="B71" s="69" t="str">
        <f>IFERROR(__xludf.DUMMYFUNCTION("GOOGLETRANSLATE(A71,""zh-tw"",""ja"")"),"ステータスページネーションを2025年3月15日に追加しました")</f>
        <v>ステータスページネーションを2025年3月15日に追加しました</v>
      </c>
      <c r="C71" s="69" t="s">
        <v>388</v>
      </c>
      <c r="D71" s="69" t="str">
        <f>IFERROR(__xludf.DUMMYFUNCTION("GOOGLETRANSLATE(A71,""zh-tw"",""zh"")"),"2025/3/15 新增状态分页")</f>
        <v>2025/3/15 新增状态分页</v>
      </c>
      <c r="E71" s="33" t="str">
        <f>IFERROR(__xludf.DUMMYFUNCTION("GOOGLETRANSLATE(A71,""zh-tw"",""es-MX"")"),"Se agregó paginación de estado el 15/3/2025.")</f>
        <v>Se agregó paginación de estado el 15/3/2025.</v>
      </c>
      <c r="F71" s="33" t="str">
        <f>IFERROR(__xludf.DUMMYFUNCTION("GOOGLETRANSLATE(A71,""zh-tw"",""KO"")"),"2025년 3월 15일에 상태 페이지네이션 기능이 추가되었습니다.")</f>
        <v>2025년 3월 15일에 상태 페이지네이션 기능이 추가되었습니다.</v>
      </c>
      <c r="G71" s="33" t="str">
        <f>IFERROR(__xludf.DUMMYFUNCTION("GOOGLETRANSLATE(A71,""zh-tw"",""RU"")"),"Добавлена ​​постраничная навигация по статусу 15.03.2025.")</f>
        <v>Добавлена ​​постраничная навигация по статусу 15.03.2025.</v>
      </c>
      <c r="H71" s="33" t="str">
        <f>IFERROR(__xludf.DUMMYFUNCTION("GOOGLETRANSLATE(A71,""zh-tw"",""DE"")"),"Status-Paginierung hinzugefügt am 15.03.2025")</f>
        <v>Status-Paginierung hinzugefügt am 15.03.2025</v>
      </c>
      <c r="I71" s="73" t="s">
        <v>389</v>
      </c>
      <c r="J71" s="7" t="s">
        <v>390</v>
      </c>
      <c r="K71" s="7" t="s">
        <v>391</v>
      </c>
      <c r="L71" s="7"/>
      <c r="M71" s="70"/>
      <c r="N71" s="70"/>
      <c r="O71" s="70"/>
      <c r="P71" s="70"/>
      <c r="Q71" s="70"/>
      <c r="R71" s="70"/>
      <c r="S71" s="70"/>
      <c r="T71" s="70"/>
      <c r="U71" s="70"/>
      <c r="V71" s="70"/>
      <c r="W71" s="70"/>
      <c r="X71" s="70"/>
      <c r="Y71" s="70"/>
      <c r="Z71" s="70"/>
    </row>
    <row r="72">
      <c r="A72" s="69" t="s">
        <v>392</v>
      </c>
      <c r="B72" s="69" t="str">
        <f>IFERROR(__xludf.DUMMYFUNCTION("GOOGLETRANSLATE(A72,""zh-tw"",""ja"")"),"TIPS更新日：2025年3月13日")</f>
        <v>TIPS更新日：2025年3月13日</v>
      </c>
      <c r="C72" s="69" t="s">
        <v>393</v>
      </c>
      <c r="D72" s="69" t="str">
        <f>IFERROR(__xludf.DUMMYFUNCTION("GOOGLETRANSLATE(A72,""zh-tw"",""zh"")"),"2025/3/13 更新TIPS")</f>
        <v>2025/3/13 更新TIPS</v>
      </c>
      <c r="E72" s="33" t="str">
        <f>IFERROR(__xludf.DUMMYFUNCTION("GOOGLETRANSLATE(A72,""zh-tw"",""es-MX"")"),"Consejos actualizados el 13/03/2025")</f>
        <v>Consejos actualizados el 13/03/2025</v>
      </c>
      <c r="F72" s="33" t="str">
        <f>IFERROR(__xludf.DUMMYFUNCTION("GOOGLETRANSLATE(A72,""zh-tw"",""KO"")"),"2025년 3월 13일 업데이트된 팁")</f>
        <v>2025년 3월 13일 업데이트된 팁</v>
      </c>
      <c r="G72" s="33" t="str">
        <f>IFERROR(__xludf.DUMMYFUNCTION("GOOGLETRANSLATE(A72,""zh-tw"",""RU"")"),"Обновленные рекомендации от 13.03.2025")</f>
        <v>Обновленные рекомендации от 13.03.2025</v>
      </c>
      <c r="H72" s="33" t="str">
        <f>IFERROR(__xludf.DUMMYFUNCTION("GOOGLETRANSLATE(A72,""zh-tw"",""DE"")"),"Aktualisierte Tipps vom 13.03.2025")</f>
        <v>Aktualisierte Tipps vom 13.03.2025</v>
      </c>
      <c r="I72" s="73" t="s">
        <v>394</v>
      </c>
      <c r="J72" s="7" t="s">
        <v>395</v>
      </c>
      <c r="K72" s="7" t="s">
        <v>396</v>
      </c>
      <c r="L72" s="7"/>
      <c r="M72" s="70"/>
      <c r="N72" s="70"/>
      <c r="O72" s="70"/>
      <c r="P72" s="70"/>
      <c r="Q72" s="70"/>
      <c r="R72" s="70"/>
      <c r="S72" s="70"/>
      <c r="T72" s="70"/>
      <c r="U72" s="70"/>
      <c r="V72" s="70"/>
      <c r="W72" s="70"/>
      <c r="X72" s="70"/>
      <c r="Y72" s="70"/>
      <c r="Z72" s="70"/>
    </row>
    <row r="73">
      <c r="A73" s="69" t="s">
        <v>397</v>
      </c>
      <c r="B73" s="69" t="str">
        <f>IFERROR(__xludf.DUMMYFUNCTION("GOOGLETRANSLATE(A73,""zh-tw"",""ja"")"),"2025年3月12日：武器、防具、アイテムのページを再設計しました。")</f>
        <v>2025年3月12日：武器、防具、アイテムのページを再設計しました。</v>
      </c>
      <c r="C73" s="69" t="s">
        <v>398</v>
      </c>
      <c r="D73" s="69" t="str">
        <f>IFERROR(__xludf.DUMMYFUNCTION("GOOGLETRANSLATE(A73,""zh-tw"",""zh"")"),"2025/3/12 重新制作武器、防具、道具的页面")</f>
        <v>2025/3/12 重新制作武器、防具、道具的页面</v>
      </c>
      <c r="E73" s="33" t="str">
        <f>IFERROR(__xludf.DUMMYFUNCTION("GOOGLETRANSLATE(A73,""zh-tw"",""es-MX"")"),"12 de marzo de 2025: Se rediseñaron las páginas de armas, armaduras y objetos.")</f>
        <v>12 de marzo de 2025: Se rediseñaron las páginas de armas, armaduras y objetos.</v>
      </c>
      <c r="F73" s="33" t="str">
        <f>IFERROR(__xludf.DUMMYFUNCTION("GOOGLETRANSLATE(A73,""zh-tw"",""KO"")"),"2025년 3월 12일: 무기, 갑옷, 아이템 페이지를 새롭게 디자인했습니다.")</f>
        <v>2025년 3월 12일: 무기, 갑옷, 아이템 페이지를 새롭게 디자인했습니다.</v>
      </c>
      <c r="G73" s="33" t="str">
        <f>IFERROR(__xludf.DUMMYFUNCTION("GOOGLETRANSLATE(A73,""zh-tw"",""RU"")"),"12 марта 2025 г.: Переработан дизайн страниц оружия, брони и предметов.")</f>
        <v>12 марта 2025 г.: Переработан дизайн страниц оружия, брони и предметов.</v>
      </c>
      <c r="H73" s="33" t="str">
        <f>IFERROR(__xludf.DUMMYFUNCTION("GOOGLETRANSLATE(A73,""zh-tw"",""DE"")"),"12. März 2025: Die Seiten für Waffen, Rüstungen und Gegenstände wurden neu gestaltet.")</f>
        <v>12. März 2025: Die Seiten für Waffen, Rüstungen und Gegenstände wurden neu gestaltet.</v>
      </c>
      <c r="I73" s="73" t="s">
        <v>399</v>
      </c>
      <c r="J73" s="7" t="s">
        <v>400</v>
      </c>
      <c r="K73" s="7" t="s">
        <v>401</v>
      </c>
      <c r="L73" s="7"/>
      <c r="M73" s="70"/>
      <c r="N73" s="70"/>
      <c r="O73" s="70"/>
      <c r="P73" s="70"/>
      <c r="Q73" s="70"/>
      <c r="R73" s="70"/>
      <c r="S73" s="70"/>
      <c r="T73" s="70"/>
      <c r="U73" s="70"/>
      <c r="V73" s="70"/>
      <c r="W73" s="70"/>
      <c r="X73" s="70"/>
      <c r="Y73" s="70"/>
      <c r="Z73" s="70"/>
    </row>
    <row r="74">
      <c r="A74" s="69" t="s">
        <v>402</v>
      </c>
      <c r="B74" s="69" t="str">
        <f>IFERROR(__xludf.DUMMYFUNCTION("GOOGLETRANSLATE(A74,""zh-tw"",""ja"")"),"アップデートのお知らせ（2025年3月10日）")</f>
        <v>アップデートのお知らせ（2025年3月10日）</v>
      </c>
      <c r="C74" s="69" t="s">
        <v>403</v>
      </c>
      <c r="D74" s="69" t="str">
        <f>IFERROR(__xludf.DUMMYFUNCTION("GOOGLETRANSLATE(A74,""zh-tw"",""zh"")"),"2025/3/10 更新公告")</f>
        <v>2025/3/10 更新公告</v>
      </c>
      <c r="E74" s="33" t="str">
        <f>IFERROR(__xludf.DUMMYFUNCTION("GOOGLETRANSLATE(A74,""zh-tw"",""es-MX"")"),"Anuncio de actualización (10 de marzo de 2025)")</f>
        <v>Anuncio de actualización (10 de marzo de 2025)</v>
      </c>
      <c r="F74" s="33" t="str">
        <f>IFERROR(__xludf.DUMMYFUNCTION("GOOGLETRANSLATE(A74,""zh-tw"",""KO"")"),"업데이트 공지 (2025년 3월 10일)")</f>
        <v>업데이트 공지 (2025년 3월 10일)</v>
      </c>
      <c r="G74" s="33" t="str">
        <f>IFERROR(__xludf.DUMMYFUNCTION("GOOGLETRANSLATE(A74,""zh-tw"",""RU"")"),"Уведомление об обновлении (10 марта 2025 г.)")</f>
        <v>Уведомление об обновлении (10 марта 2025 г.)</v>
      </c>
      <c r="H74" s="33" t="str">
        <f>IFERROR(__xludf.DUMMYFUNCTION("GOOGLETRANSLATE(A74,""zh-tw"",""DE"")"),"Aktualisierungsankündigung (10. März 2025)")</f>
        <v>Aktualisierungsankündigung (10. März 2025)</v>
      </c>
      <c r="I74" s="73" t="s">
        <v>404</v>
      </c>
      <c r="J74" s="7" t="s">
        <v>405</v>
      </c>
      <c r="K74" s="7" t="s">
        <v>406</v>
      </c>
      <c r="L74" s="7"/>
      <c r="M74" s="70"/>
      <c r="N74" s="70"/>
      <c r="O74" s="70"/>
      <c r="P74" s="70"/>
      <c r="Q74" s="70"/>
      <c r="R74" s="70"/>
      <c r="S74" s="70"/>
      <c r="T74" s="70"/>
      <c r="U74" s="70"/>
      <c r="V74" s="70"/>
      <c r="W74" s="70"/>
      <c r="X74" s="70"/>
      <c r="Y74" s="70"/>
      <c r="Z74" s="70"/>
    </row>
    <row r="75">
      <c r="A75" s="69" t="s">
        <v>407</v>
      </c>
      <c r="B75" s="69" t="str">
        <f>IFERROR(__xludf.DUMMYFUNCTION("GOOGLETRANSLATE(A75,""zh-tw"",""ja"")"),"アップデートのお知らせ（2025年2月10日）")</f>
        <v>アップデートのお知らせ（2025年2月10日）</v>
      </c>
      <c r="C75" s="69" t="s">
        <v>408</v>
      </c>
      <c r="D75" s="69" t="str">
        <f>IFERROR(__xludf.DUMMYFUNCTION("GOOGLETRANSLATE(A75,""zh-tw"",""zh"")"),"2025/2/10 更新公告")</f>
        <v>2025/2/10 更新公告</v>
      </c>
      <c r="E75" s="33" t="str">
        <f>IFERROR(__xludf.DUMMYFUNCTION("GOOGLETRANSLATE(A75,""zh-tw"",""es-MX"")"),"Anuncio de actualización (10 de febrero de 2025)")</f>
        <v>Anuncio de actualización (10 de febrero de 2025)</v>
      </c>
      <c r="F75" s="33" t="str">
        <f>IFERROR(__xludf.DUMMYFUNCTION("GOOGLETRANSLATE(A75,""zh-tw"",""KO"")"),"업데이트 공지 (2025년 2월 10일)")</f>
        <v>업데이트 공지 (2025년 2월 10일)</v>
      </c>
      <c r="G75" s="33" t="str">
        <f>IFERROR(__xludf.DUMMYFUNCTION("GOOGLETRANSLATE(A75,""zh-tw"",""RU"")"),"Обновление информации (10 февраля 2025 г.)")</f>
        <v>Обновление информации (10 февраля 2025 г.)</v>
      </c>
      <c r="H75" s="33" t="str">
        <f>IFERROR(__xludf.DUMMYFUNCTION("GOOGLETRANSLATE(A75,""zh-tw"",""DE"")"),"Aktualisierungsankündigung (10. Februar 2025)")</f>
        <v>Aktualisierungsankündigung (10. Februar 2025)</v>
      </c>
      <c r="I75" s="73" t="s">
        <v>409</v>
      </c>
      <c r="J75" s="7" t="s">
        <v>410</v>
      </c>
      <c r="K75" s="7" t="s">
        <v>411</v>
      </c>
      <c r="L75" s="7"/>
      <c r="M75" s="70"/>
      <c r="N75" s="70"/>
      <c r="O75" s="70"/>
      <c r="P75" s="70"/>
      <c r="Q75" s="70"/>
      <c r="R75" s="70"/>
      <c r="S75" s="70"/>
      <c r="T75" s="70"/>
      <c r="U75" s="70"/>
      <c r="V75" s="70"/>
      <c r="W75" s="70"/>
      <c r="X75" s="70"/>
      <c r="Y75" s="70"/>
      <c r="Z75" s="70"/>
    </row>
    <row r="76">
      <c r="A76" s="69" t="s">
        <v>412</v>
      </c>
      <c r="B76" s="69" t="str">
        <f>IFERROR(__xludf.DUMMYFUNCTION("GOOGLETRANSLATE(A76,""zh-tw"",""ja"")"),"2025年2月4日：バージョン0.65 Bを追加しました。")</f>
        <v>2025年2月4日：バージョン0.65 Bを追加しました。</v>
      </c>
      <c r="C76" s="69" t="s">
        <v>413</v>
      </c>
      <c r="D76" s="69" t="str">
        <f>IFERROR(__xludf.DUMMYFUNCTION("GOOGLETRANSLATE(A76,""zh-tw"",""zh"")"),"2025/2/4 新增0.65 B版本 事件")</f>
        <v>2025/2/4 新增0.65 B版本 事件</v>
      </c>
      <c r="E76" s="33" t="str">
        <f>IFERROR(__xludf.DUMMYFUNCTION("GOOGLETRANSLATE(A76,""zh-tw"",""es-MX"")"),"4 de febrero de 2025: Se agregó la versión 0.65 B.")</f>
        <v>4 de febrero de 2025: Se agregó la versión 0.65 B.</v>
      </c>
      <c r="F76" s="33" t="str">
        <f>IFERROR(__xludf.DUMMYFUNCTION("GOOGLETRANSLATE(A76,""zh-tw"",""KO"")"),"2025년 2월 4일: 버전 0.65 B가 추가되었습니다.")</f>
        <v>2025년 2월 4일: 버전 0.65 B가 추가되었습니다.</v>
      </c>
      <c r="G76" s="33" t="str">
        <f>IFERROR(__xludf.DUMMYFUNCTION("GOOGLETRANSLATE(A76,""zh-tw"",""RU"")"),"4 февраля 2025 г.: Добавлена ​​версия 0.65 B.")</f>
        <v>4 февраля 2025 г.: Добавлена ​​версия 0.65 B.</v>
      </c>
      <c r="H76" s="33" t="str">
        <f>IFERROR(__xludf.DUMMYFUNCTION("GOOGLETRANSLATE(A76,""zh-tw"",""DE"")"),"4. Februar 2025: Version 0.65 B hinzugefügt.")</f>
        <v>4. Februar 2025: Version 0.65 B hinzugefügt.</v>
      </c>
      <c r="I76" s="73" t="s">
        <v>414</v>
      </c>
      <c r="J76" s="7" t="s">
        <v>415</v>
      </c>
      <c r="K76" s="7" t="s">
        <v>416</v>
      </c>
      <c r="L76" s="7"/>
      <c r="M76" s="70"/>
      <c r="N76" s="70"/>
      <c r="O76" s="70"/>
      <c r="P76" s="70"/>
      <c r="Q76" s="70"/>
      <c r="R76" s="70"/>
      <c r="S76" s="70"/>
      <c r="T76" s="70"/>
      <c r="U76" s="70"/>
      <c r="V76" s="70"/>
      <c r="W76" s="70"/>
      <c r="X76" s="70"/>
      <c r="Y76" s="70"/>
      <c r="Z76" s="70"/>
    </row>
    <row r="77">
      <c r="A77" s="69" t="s">
        <v>417</v>
      </c>
      <c r="B77" s="69" t="str">
        <f>IFERROR(__xludf.DUMMYFUNCTION("GOOGLETRANSLATE(A77,""zh-tw"",""ja"")"),"2025年2月3日～4日：フォールン・サンクチュアリの地図画像を追加しました。一部の地図にキャンプファイヤーのマーカーを追加しました。")</f>
        <v>2025年2月3日～4日：フォールン・サンクチュアリの地図画像を追加しました。一部の地図にキャンプファイヤーのマーカーを追加しました。</v>
      </c>
      <c r="C77" s="69" t="s">
        <v>418</v>
      </c>
      <c r="D77" s="69" t="str">
        <f>IFERROR(__xludf.DUMMYFUNCTION("GOOGLETRANSLATE(A77,""zh-tw"",""zh"")"),"2025/2/3-2/4 新增堕落的圣堂地图图片，一部分地图新增了篝火的标记")</f>
        <v>2025/2/3-2/4 新增堕落的圣堂地图图片，一部分地图新增了篝火的标记</v>
      </c>
      <c r="E77" s="33" t="str">
        <f>IFERROR(__xludf.DUMMYFUNCTION("GOOGLETRANSLATE(A77,""zh-tw"",""es-MX"")"),"3 y 4 de febrero de 2025: Se añadieron imágenes de mapas para el Santuario Caído; se añadieron marcadores de fogatas a algunos mapas.")</f>
        <v>3 y 4 de febrero de 2025: Se añadieron imágenes de mapas para el Santuario Caído; se añadieron marcadores de fogatas a algunos mapas.</v>
      </c>
      <c r="F77" s="33" t="str">
        <f>IFERROR(__xludf.DUMMYFUNCTION("GOOGLETRANSLATE(A77,""zh-tw"",""KO"")"),"2025년 2월 3일~4일: 몰락자 성소 지도 이미지를 추가하고, 일부 지도에 모닥불 표시를 추가했습니다.")</f>
        <v>2025년 2월 3일~4일: 몰락자 성소 지도 이미지를 추가하고, 일부 지도에 모닥불 표시를 추가했습니다.</v>
      </c>
      <c r="G77" s="33" t="str">
        <f>IFERROR(__xludf.DUMMYFUNCTION("GOOGLETRANSLATE(A77,""zh-tw"",""RU"")"),"3-4 февраля 2025 г.: Добавлены изображения карты Святилища Павших; на некоторые карты добавлены маркеры костра.")</f>
        <v>3-4 февраля 2025 г.: Добавлены изображения карты Святилища Павших; на некоторые карты добавлены маркеры костра.</v>
      </c>
      <c r="H77" s="33" t="str">
        <f>IFERROR(__xludf.DUMMYFUNCTION("GOOGLETRANSLATE(A77,""zh-tw"",""DE"")"),"3.-4. Februar 2025: Kartenbilder für das Gefallene Heiligtum hinzugefügt; Lagerfeuermarkierungen auf einigen Karten hinzugefügt.")</f>
        <v>3.-4. Februar 2025: Kartenbilder für das Gefallene Heiligtum hinzugefügt; Lagerfeuermarkierungen auf einigen Karten hinzugefügt.</v>
      </c>
      <c r="I77" s="73" t="s">
        <v>419</v>
      </c>
      <c r="J77" s="7" t="s">
        <v>420</v>
      </c>
      <c r="K77" s="7" t="s">
        <v>421</v>
      </c>
      <c r="L77" s="7"/>
      <c r="M77" s="70"/>
      <c r="N77" s="70"/>
      <c r="O77" s="70"/>
      <c r="P77" s="70"/>
      <c r="Q77" s="70"/>
      <c r="R77" s="70"/>
      <c r="S77" s="70"/>
      <c r="T77" s="70"/>
      <c r="U77" s="70"/>
      <c r="V77" s="70"/>
      <c r="W77" s="70"/>
      <c r="X77" s="70"/>
      <c r="Y77" s="70"/>
      <c r="Z77" s="70"/>
    </row>
    <row r="78">
      <c r="A78" s="69" t="s">
        <v>422</v>
      </c>
      <c r="B78" s="69" t="str">
        <f>IFERROR(__xludf.DUMMYFUNCTION("GOOGLETRANSLATE(A78,""zh-tw"",""ja"")"),"2025年2月2日：イベントと防具を含むバージョン0.65Aを追加しました。")</f>
        <v>2025年2月2日：イベントと防具を含むバージョン0.65Aを追加しました。</v>
      </c>
      <c r="C78" s="69" t="s">
        <v>423</v>
      </c>
      <c r="D78" s="69" t="str">
        <f>IFERROR(__xludf.DUMMYFUNCTION("GOOGLETRANSLATE(A78,""zh-tw"",""zh"")"),"2025/2/2 新增0.65A版本 事件、装甲")</f>
        <v>2025/2/2 新增0.65A版本 事件、装甲</v>
      </c>
      <c r="E78" s="33" t="str">
        <f>IFERROR(__xludf.DUMMYFUNCTION("GOOGLETRANSLATE(A78,""zh-tw"",""es-MX"")"),"2 de febrero de 2025: Se agregó la versión 0.65A, que incluye eventos y armaduras.")</f>
        <v>2 de febrero de 2025: Se agregó la versión 0.65A, que incluye eventos y armaduras.</v>
      </c>
      <c r="F78" s="33" t="str">
        <f>IFERROR(__xludf.DUMMYFUNCTION("GOOGLETRANSLATE(A78,""zh-tw"",""KO"")"),"2025년 2월 2일: 이벤트 및 갑옷을 포함한 버전 0.65A를 추가했습니다.")</f>
        <v>2025년 2월 2일: 이벤트 및 갑옷을 포함한 버전 0.65A를 추가했습니다.</v>
      </c>
      <c r="G78" s="33" t="str">
        <f>IFERROR(__xludf.DUMMYFUNCTION("GOOGLETRANSLATE(A78,""zh-tw"",""RU"")"),"2 февраля 2025 г.: Добавлена ​​версия 0.65A, включающая события и броню.")</f>
        <v>2 февраля 2025 г.: Добавлена ​​версия 0.65A, включающая события и броню.</v>
      </c>
      <c r="H78" s="33" t="str">
        <f>IFERROR(__xludf.DUMMYFUNCTION("GOOGLETRANSLATE(A78,""zh-tw"",""DE"")"),"2. Februar 2025: Version 0.65A hinzugefügt, inklusive Ereignissen und Rüstungen.")</f>
        <v>2. Februar 2025: Version 0.65A hinzugefügt, inklusive Ereignissen und Rüstungen.</v>
      </c>
      <c r="I78" s="73" t="s">
        <v>424</v>
      </c>
      <c r="J78" s="7" t="s">
        <v>425</v>
      </c>
      <c r="K78" s="7" t="s">
        <v>426</v>
      </c>
      <c r="L78" s="7"/>
      <c r="M78" s="70"/>
      <c r="N78" s="70"/>
      <c r="O78" s="70"/>
      <c r="P78" s="70"/>
      <c r="Q78" s="70"/>
      <c r="R78" s="70"/>
      <c r="S78" s="70"/>
      <c r="T78" s="70"/>
      <c r="U78" s="70"/>
      <c r="V78" s="70"/>
      <c r="W78" s="70"/>
      <c r="X78" s="70"/>
      <c r="Y78" s="70"/>
      <c r="Z78" s="70"/>
    </row>
    <row r="79">
      <c r="A79" s="69" t="s">
        <v>427</v>
      </c>
      <c r="B79" s="69" t="str">
        <f>IFERROR(__xludf.DUMMYFUNCTION("GOOGLETRANSLATE(A79,""zh-tw"",""ja"")"),"地図ライブラリ情報の更新日：2025年1月15日")</f>
        <v>地図ライブラリ情報の更新日：2025年1月15日</v>
      </c>
      <c r="C79" s="69" t="s">
        <v>428</v>
      </c>
      <c r="D79" s="69" t="str">
        <f>IFERROR(__xludf.DUMMYFUNCTION("GOOGLETRANSLATE(A79,""zh-tw"",""zh"")"),"2025/1/15 地图图库资讯更新")</f>
        <v>2025/1/15 地图图库资讯更新</v>
      </c>
      <c r="E79" s="33" t="str">
        <f>IFERROR(__xludf.DUMMYFUNCTION("GOOGLETRANSLATE(A79,""zh-tw"",""es-MX"")"),"Actualización de la información de la biblioteca de mapas el 15 de enero de 2025.")</f>
        <v>Actualización de la información de la biblioteca de mapas el 15 de enero de 2025.</v>
      </c>
      <c r="F79" s="33" t="str">
        <f>IFERROR(__xludf.DUMMYFUNCTION("GOOGLETRANSLATE(A79,""zh-tw"",""KO"")"),"지도 라이브러리 정보 업데이트 (2025년 1월 15일)")</f>
        <v>지도 라이브러리 정보 업데이트 (2025년 1월 15일)</v>
      </c>
      <c r="G79" s="33" t="str">
        <f>IFERROR(__xludf.DUMMYFUNCTION("GOOGLETRANSLATE(A79,""zh-tw"",""RU"")"),"Обновление информации о картографической библиотеке от 15 января 2025 года.")</f>
        <v>Обновление информации о картографической библиотеке от 15 января 2025 года.</v>
      </c>
      <c r="H79" s="33" t="str">
        <f>IFERROR(__xludf.DUMMYFUNCTION("GOOGLETRANSLATE(A79,""zh-tw"",""DE"")"),"Aktualisierung der Kartenbibliotheksinformationen am 15. Januar 2025")</f>
        <v>Aktualisierung der Kartenbibliotheksinformationen am 15. Januar 2025</v>
      </c>
      <c r="I79" s="73" t="s">
        <v>429</v>
      </c>
      <c r="J79" s="7" t="s">
        <v>430</v>
      </c>
      <c r="K79" s="7" t="s">
        <v>431</v>
      </c>
      <c r="L79" s="7"/>
      <c r="M79" s="70"/>
      <c r="N79" s="70"/>
      <c r="O79" s="70"/>
      <c r="P79" s="70"/>
      <c r="Q79" s="70"/>
      <c r="R79" s="70"/>
      <c r="S79" s="70"/>
      <c r="T79" s="70"/>
      <c r="U79" s="70"/>
      <c r="V79" s="70"/>
      <c r="W79" s="70"/>
      <c r="X79" s="70"/>
      <c r="Y79" s="70"/>
      <c r="Z79" s="70"/>
    </row>
    <row r="80">
      <c r="A80" s="69" t="s">
        <v>432</v>
      </c>
      <c r="B80" s="69" t="str">
        <f>IFERROR(__xludf.DUMMYFUNCTION("GOOGLETRANSLATE(A80,""zh-tw"",""ja"")"),"2025年1月13日：バージョン0.61の情報を追加：イベント")</f>
        <v>2025年1月13日：バージョン0.61の情報を追加：イベント</v>
      </c>
      <c r="C80" s="69" t="s">
        <v>433</v>
      </c>
      <c r="D80" s="69" t="str">
        <f>IFERROR(__xludf.DUMMYFUNCTION("GOOGLETRANSLATE(A80,""zh-tw"",""zh"")"),"2025/1/13 新增0.61版本资讯:事件")</f>
        <v>2025/1/13 新增0.61版本资讯:事件</v>
      </c>
      <c r="E80" s="33" t="str">
        <f>IFERROR(__xludf.DUMMYFUNCTION("GOOGLETRANSLATE(A80,""zh-tw"",""es-MX"")"),"13 de enero de 2025: Se agregó información de la versión 0.61: Eventos")</f>
        <v>13 de enero de 2025: Se agregó información de la versión 0.61: Eventos</v>
      </c>
      <c r="F80" s="33" t="str">
        <f>IFERROR(__xludf.DUMMYFUNCTION("GOOGLETRANSLATE(A80,""zh-tw"",""KO"")"),"2025년 1월 13일: 버전 0.61 정보 추가: 이벤트")</f>
        <v>2025년 1월 13일: 버전 0.61 정보 추가: 이벤트</v>
      </c>
      <c r="G80" s="33" t="str">
        <f>IFERROR(__xludf.DUMMYFUNCTION("GOOGLETRANSLATE(A80,""zh-tw"",""RU"")"),"13 января 2025 г.: Добавлена ​​информация о версии 0.61: События")</f>
        <v>13 января 2025 г.: Добавлена ​​информация о версии 0.61: События</v>
      </c>
      <c r="H80" s="33" t="str">
        <f>IFERROR(__xludf.DUMMYFUNCTION("GOOGLETRANSLATE(A80,""zh-tw"",""DE"")"),"13. Januar 2025: Informationen zu Version 0.61 hinzugefügt: Ereignisse")</f>
        <v>13. Januar 2025: Informationen zu Version 0.61 hinzugefügt: Ereignisse</v>
      </c>
      <c r="I80" s="73" t="s">
        <v>434</v>
      </c>
      <c r="J80" s="7" t="s">
        <v>435</v>
      </c>
      <c r="K80" s="7" t="s">
        <v>436</v>
      </c>
      <c r="L80" s="7"/>
      <c r="M80" s="70"/>
      <c r="N80" s="70"/>
      <c r="O80" s="70"/>
      <c r="P80" s="70"/>
      <c r="Q80" s="70"/>
      <c r="R80" s="70"/>
      <c r="S80" s="70"/>
      <c r="T80" s="70"/>
      <c r="U80" s="70"/>
      <c r="V80" s="70"/>
      <c r="W80" s="70"/>
      <c r="X80" s="70"/>
      <c r="Y80" s="70"/>
      <c r="Z80" s="70"/>
    </row>
    <row r="81">
      <c r="A81" s="69" t="s">
        <v>437</v>
      </c>
      <c r="B81" s="69" t="str">
        <f>IFERROR(__xludf.DUMMYFUNCTION("GOOGLETRANSLATE(A81,""zh-tw"",""ja"")"),"2025年1月6日：バージョン0.6Cの情報を追加しました：アーマー")</f>
        <v>2025年1月6日：バージョン0.6Cの情報を追加しました：アーマー</v>
      </c>
      <c r="C81" s="69" t="s">
        <v>438</v>
      </c>
      <c r="D81" s="69" t="str">
        <f>IFERROR(__xludf.DUMMYFUNCTION("GOOGLETRANSLATE(A81,""zh-tw"",""zh"")"),"2025/1/6 新增0.6C版本资讯:装甲")</f>
        <v>2025/1/6 新增0.6C版本资讯:装甲</v>
      </c>
      <c r="E81" s="33" t="str">
        <f>IFERROR(__xludf.DUMMYFUNCTION("GOOGLETRANSLATE(A81,""zh-tw"",""es-MX"")"),"6 de enero de 2025: Se agregó información de la versión 0.6C: Armadura")</f>
        <v>6 de enero de 2025: Se agregó información de la versión 0.6C: Armadura</v>
      </c>
      <c r="F81" s="33" t="str">
        <f>IFERROR(__xludf.DUMMYFUNCTION("GOOGLETRANSLATE(A81,""zh-tw"",""KO"")"),"2025년 1월 6일: 0.6C 버전 정보 추가: 갑옷")</f>
        <v>2025년 1월 6일: 0.6C 버전 정보 추가: 갑옷</v>
      </c>
      <c r="G81" s="33" t="str">
        <f>IFERROR(__xludf.DUMMYFUNCTION("GOOGLETRANSLATE(A81,""zh-tw"",""RU"")"),"6 января 2025 г.: Добавлена ​​информация о версии 0.6C: Броня")</f>
        <v>6 января 2025 г.: Добавлена ​​информация о версии 0.6C: Броня</v>
      </c>
      <c r="H81" s="33" t="str">
        <f>IFERROR(__xludf.DUMMYFUNCTION("GOOGLETRANSLATE(A81,""zh-tw"",""DE"")"),"6. Januar 2025: Versionsinformationen 0.6C hinzugefügt: Armor")</f>
        <v>6. Januar 2025: Versionsinformationen 0.6C hinzugefügt: Armor</v>
      </c>
      <c r="I81" s="73" t="s">
        <v>439</v>
      </c>
      <c r="J81" s="7" t="s">
        <v>440</v>
      </c>
      <c r="K81" s="7" t="s">
        <v>441</v>
      </c>
      <c r="L81" s="7"/>
      <c r="M81" s="70"/>
      <c r="N81" s="70"/>
      <c r="O81" s="70"/>
      <c r="P81" s="70"/>
      <c r="Q81" s="70"/>
      <c r="R81" s="70"/>
      <c r="S81" s="70"/>
      <c r="T81" s="70"/>
      <c r="U81" s="70"/>
      <c r="V81" s="70"/>
      <c r="W81" s="70"/>
      <c r="X81" s="70"/>
      <c r="Y81" s="70"/>
      <c r="Z81" s="70"/>
    </row>
    <row r="82">
      <c r="A82" s="69" t="s">
        <v>442</v>
      </c>
      <c r="B82" s="69" t="str">
        <f>IFERROR(__xludf.DUMMYFUNCTION("GOOGLETRANSLATE(A82,""zh-tw"",""ja"")"),"2025年1月5日：バージョン0.6Bの情報を追加：イベント")</f>
        <v>2025年1月5日：バージョン0.6Bの情報を追加：イベント</v>
      </c>
      <c r="C82" s="69" t="s">
        <v>443</v>
      </c>
      <c r="D82" s="69" t="str">
        <f>IFERROR(__xludf.DUMMYFUNCTION("GOOGLETRANSLATE(A82,""zh-tw"",""zh"")"),"2025/1/5 新增0.6B版本资讯:事件")</f>
        <v>2025/1/5 新增0.6B版本资讯:事件</v>
      </c>
      <c r="E82" s="33" t="str">
        <f>IFERROR(__xludf.DUMMYFUNCTION("GOOGLETRANSLATE(A82,""zh-tw"",""es-MX"")"),"5 de enero de 2025: Se agregó información de la versión 0.6B: Eventos")</f>
        <v>5 de enero de 2025: Se agregó información de la versión 0.6B: Eventos</v>
      </c>
      <c r="F82" s="33" t="str">
        <f>IFERROR(__xludf.DUMMYFUNCTION("GOOGLETRANSLATE(A82,""zh-tw"",""KO"")"),"2025년 1월 5일: 버전 0.6B 정보 추가: 이벤트")</f>
        <v>2025년 1월 5일: 버전 0.6B 정보 추가: 이벤트</v>
      </c>
      <c r="G82" s="33" t="str">
        <f>IFERROR(__xludf.DUMMYFUNCTION("GOOGLETRANSLATE(A82,""zh-tw"",""RU"")"),"5 января 2025 г.: Добавлена ​​информация о версии 0.6B: События")</f>
        <v>5 января 2025 г.: Добавлена ​​информация о версии 0.6B: События</v>
      </c>
      <c r="H82" s="33" t="str">
        <f>IFERROR(__xludf.DUMMYFUNCTION("GOOGLETRANSLATE(A82,""zh-tw"",""DE"")"),"5. Januar 2025: Informationen zu Version 0.6B hinzugefügt: Ereignisse")</f>
        <v>5. Januar 2025: Informationen zu Version 0.6B hinzugefügt: Ereignisse</v>
      </c>
      <c r="I82" s="73" t="s">
        <v>444</v>
      </c>
      <c r="J82" s="7" t="s">
        <v>445</v>
      </c>
      <c r="K82" s="7" t="s">
        <v>446</v>
      </c>
      <c r="L82" s="7"/>
      <c r="M82" s="70"/>
      <c r="N82" s="70"/>
      <c r="O82" s="70"/>
      <c r="P82" s="70"/>
      <c r="Q82" s="70"/>
      <c r="R82" s="70"/>
      <c r="S82" s="70"/>
      <c r="T82" s="70"/>
      <c r="U82" s="70"/>
      <c r="V82" s="70"/>
      <c r="W82" s="70"/>
      <c r="X82" s="70"/>
      <c r="Y82" s="70"/>
      <c r="Z82" s="70"/>
    </row>
    <row r="83">
      <c r="A83" s="69" t="s">
        <v>447</v>
      </c>
      <c r="B83" s="69" t="str">
        <f>IFERROR(__xludf.DUMMYFUNCTION("GOOGLETRANSLATE(A83,""zh-tw"",""ja"")"),"2025年1月3日：バージョン0.6Aの情報を追加：イベント")</f>
        <v>2025年1月3日：バージョン0.6Aの情報を追加：イベント</v>
      </c>
      <c r="C83" s="69" t="s">
        <v>448</v>
      </c>
      <c r="D83" s="69" t="str">
        <f>IFERROR(__xludf.DUMMYFUNCTION("GOOGLETRANSLATE(A83,""zh-tw"",""zh"")"),"2025/1/3 新增0.6A版本资讯:事件")</f>
        <v>2025/1/3 新增0.6A版本资讯:事件</v>
      </c>
      <c r="E83" s="33" t="str">
        <f>IFERROR(__xludf.DUMMYFUNCTION("GOOGLETRANSLATE(A83,""zh-tw"",""es-MX"")"),"3 de enero de 2025: Se agregó información para la versión 0.6A: Eventos")</f>
        <v>3 de enero de 2025: Se agregó información para la versión 0.6A: Eventos</v>
      </c>
      <c r="F83" s="33" t="str">
        <f>IFERROR(__xludf.DUMMYFUNCTION("GOOGLETRANSLATE(A83,""zh-tw"",""KO"")"),"2025년 1월 3일: 버전 0.6A에 대한 정보 추가: 이벤트")</f>
        <v>2025년 1월 3일: 버전 0.6A에 대한 정보 추가: 이벤트</v>
      </c>
      <c r="G83" s="33" t="str">
        <f>IFERROR(__xludf.DUMMYFUNCTION("GOOGLETRANSLATE(A83,""zh-tw"",""RU"")"),"3 января 2025 г.: Добавлена ​​информация для версии 0.6A: События")</f>
        <v>3 января 2025 г.: Добавлена ​​информация для версии 0.6A: События</v>
      </c>
      <c r="H83" s="33" t="str">
        <f>IFERROR(__xludf.DUMMYFUNCTION("GOOGLETRANSLATE(A83,""zh-tw"",""DE"")"),"3. Januar 2025: Informationen für Version 0.6A hinzugefügt: Ereignisse")</f>
        <v>3. Januar 2025: Informationen für Version 0.6A hinzugefügt: Ereignisse</v>
      </c>
      <c r="I83" s="73" t="s">
        <v>449</v>
      </c>
      <c r="J83" s="7" t="s">
        <v>450</v>
      </c>
      <c r="K83" s="7" t="s">
        <v>451</v>
      </c>
      <c r="L83" s="7"/>
      <c r="M83" s="70"/>
      <c r="N83" s="70"/>
      <c r="O83" s="70"/>
      <c r="P83" s="70"/>
      <c r="Q83" s="70"/>
      <c r="R83" s="70"/>
      <c r="S83" s="70"/>
      <c r="T83" s="70"/>
      <c r="U83" s="70"/>
      <c r="V83" s="70"/>
      <c r="W83" s="70"/>
      <c r="X83" s="70"/>
      <c r="Y83" s="70"/>
      <c r="Z83" s="70"/>
    </row>
    <row r="84">
      <c r="A84" s="69" t="s">
        <v>452</v>
      </c>
      <c r="B84" s="69" t="str">
        <f>IFERROR(__xludf.DUMMYFUNCTION("GOOGLETRANSLATE(A84,""zh-tw"",""ja"")"),"2025/1/2 バージョン0.6の情報を追加しました")</f>
        <v>2025/1/2 バージョン0.6の情報を追加しました</v>
      </c>
      <c r="C84" s="69" t="s">
        <v>453</v>
      </c>
      <c r="D84" s="69" t="str">
        <f>IFERROR(__xludf.DUMMYFUNCTION("GOOGLETRANSLATE(A84,""zh-tw"",""zh"")"),"2025/1/2 新增0.6版本资讯")</f>
        <v>2025/1/2 新增0.6版本资讯</v>
      </c>
      <c r="E84" s="33" t="str">
        <f>IFERROR(__xludf.DUMMYFUNCTION("GOOGLETRANSLATE(A84,""zh-tw"",""es-MX"")"),"2 de enero de 2025: Se agregó información de la versión 0.6.")</f>
        <v>2 de enero de 2025: Se agregó información de la versión 0.6.</v>
      </c>
      <c r="F84" s="33" t="str">
        <f>IFERROR(__xludf.DUMMYFUNCTION("GOOGLETRANSLATE(A84,""zh-tw"",""KO"")"),"2025년 1월 2일 버전 0.6 정보 추가")</f>
        <v>2025년 1월 2일 버전 0.6 정보 추가</v>
      </c>
      <c r="G84" s="33" t="str">
        <f>IFERROR(__xludf.DUMMYFUNCTION("GOOGLETRANSLATE(A84,""zh-tw"",""RU"")"),"02.01.2025 Добавлена ​​информация о версии 0.6")</f>
        <v>02.01.2025 Добавлена ​​информация о версии 0.6</v>
      </c>
      <c r="H84" s="33" t="str">
        <f>IFERROR(__xludf.DUMMYFUNCTION("GOOGLETRANSLATE(A84,""zh-tw"",""DE"")"),"2025/1/2 Informationen zu Version 0.6 hinzugefügt")</f>
        <v>2025/1/2 Informationen zu Version 0.6 hinzugefügt</v>
      </c>
      <c r="I84" s="73" t="s">
        <v>454</v>
      </c>
      <c r="J84" s="7" t="s">
        <v>455</v>
      </c>
      <c r="K84" s="7" t="s">
        <v>456</v>
      </c>
      <c r="L84" s="7"/>
      <c r="M84" s="70"/>
      <c r="N84" s="70"/>
      <c r="O84" s="70"/>
      <c r="P84" s="70"/>
      <c r="Q84" s="70"/>
      <c r="R84" s="70"/>
      <c r="S84" s="70"/>
      <c r="T84" s="70"/>
      <c r="U84" s="70"/>
      <c r="V84" s="70"/>
      <c r="W84" s="70"/>
      <c r="X84" s="70"/>
      <c r="Y84" s="70"/>
      <c r="Z84" s="70"/>
    </row>
    <row r="85">
      <c r="A85" s="69" t="s">
        <v>457</v>
      </c>
      <c r="B85" s="69" t="str">
        <f>IFERROR(__xludf.DUMMYFUNCTION("GOOGLETRANSLATE(A85,""zh-tw"",""ja"")"),"2024年12月25日：新しいヒントを追加し、一部のテキストを修正しました。初期マップの作成が完了しました。")</f>
        <v>2024年12月25日：新しいヒントを追加し、一部のテキストを修正しました。初期マップの作成が完了しました。</v>
      </c>
      <c r="C85" s="69" t="s">
        <v>458</v>
      </c>
      <c r="D85" s="69" t="str">
        <f>IFERROR(__xludf.DUMMYFUNCTION("GOOGLETRANSLATE(A85,""zh-tw"",""zh"")"),"2024/12/25 新增提示与部分文本修正、地图制作初步完成")</f>
        <v>2024/12/25 新增提示与部分文本修正、地图制作初步完成</v>
      </c>
      <c r="E85" s="33" t="str">
        <f>IFERROR(__xludf.DUMMYFUNCTION("GOOGLETRANSLATE(A85,""zh-tw"",""es-MX"")"),"25 de diciembre de 2024: Se añadieron nuevas pistas y se corrigió parte del texto; se completó la creación inicial del mapa.")</f>
        <v>25 de diciembre de 2024: Se añadieron nuevas pistas y se corrigió parte del texto; se completó la creación inicial del mapa.</v>
      </c>
      <c r="F85" s="33" t="str">
        <f>IFERROR(__xludf.DUMMYFUNCTION("GOOGLETRANSLATE(A85,""zh-tw"",""KO"")"),"2024년 12월 25일: 새로운 힌트를 추가하고 일부 텍스트를 수정했습니다. 초기 지도 제작이 완료되었습니다.")</f>
        <v>2024년 12월 25일: 새로운 힌트를 추가하고 일부 텍스트를 수정했습니다. 초기 지도 제작이 완료되었습니다.</v>
      </c>
      <c r="G85" s="33" t="str">
        <f>IFERROR(__xludf.DUMMYFUNCTION("GOOGLETRANSLATE(A85,""zh-tw"",""RU"")"),"25 декабря 2024 г.: Добавлены новые подсказки и исправлен текст; завершено создание первоначальной карты.")</f>
        <v>25 декабря 2024 г.: Добавлены новые подсказки и исправлен текст; завершено создание первоначальной карты.</v>
      </c>
      <c r="H85" s="33" t="str">
        <f>IFERROR(__xludf.DUMMYFUNCTION("GOOGLETRANSLATE(A85,""zh-tw"",""DE"")"),"25. Dezember 2024: Neue Hinweise hinzugefügt und einige Textpassagen korrigiert; Erstellung der ersten Karte abgeschlossen.")</f>
        <v>25. Dezember 2024: Neue Hinweise hinzugefügt und einige Textpassagen korrigiert; Erstellung der ersten Karte abgeschlossen.</v>
      </c>
      <c r="I85" s="73" t="s">
        <v>459</v>
      </c>
      <c r="J85" s="7" t="s">
        <v>460</v>
      </c>
      <c r="K85" s="7" t="s">
        <v>461</v>
      </c>
      <c r="L85" s="7"/>
      <c r="M85" s="70"/>
      <c r="N85" s="70"/>
      <c r="O85" s="70"/>
      <c r="P85" s="70"/>
      <c r="Q85" s="70"/>
      <c r="R85" s="70"/>
      <c r="S85" s="70"/>
      <c r="T85" s="70"/>
      <c r="U85" s="70"/>
      <c r="V85" s="70"/>
      <c r="W85" s="70"/>
      <c r="X85" s="70"/>
      <c r="Y85" s="70"/>
      <c r="Z85" s="70"/>
    </row>
    <row r="86">
      <c r="A86" s="69" t="s">
        <v>462</v>
      </c>
      <c r="B86" s="69" t="str">
        <f>IFERROR(__xludf.DUMMYFUNCTION("GOOGLETRANSLATE(A86,""zh-tw"",""ja"")"),"2024/12/2 0.55情報を追加 - イベント")</f>
        <v>2024/12/2 0.55情報を追加 - イベント</v>
      </c>
      <c r="C86" s="69" t="s">
        <v>463</v>
      </c>
      <c r="D86" s="69" t="str">
        <f>IFERROR(__xludf.DUMMYFUNCTION("GOOGLETRANSLATE(A86,""zh-tw"",""zh"")"),"2024/12/2 新增0.55资讯-事件")</f>
        <v>2024/12/2 新增0.55资讯-事件</v>
      </c>
      <c r="E86" s="33" t="str">
        <f>IFERROR(__xludf.DUMMYFUNCTION("GOOGLETRANSLATE(A86,""zh-tw"",""es-MX"")"),"2 de diciembre de 2024 Se agregó información de 0.55 - evento")</f>
        <v>2 de diciembre de 2024 Se agregó información de 0.55 - evento</v>
      </c>
      <c r="F86" s="33" t="str">
        <f>IFERROR(__xludf.DUMMYFUNCTION("GOOGLETRANSLATE(A86,""zh-tw"",""KO"")"),"2024년 12월 2일 이벤트 정보 0.55개 추가")</f>
        <v>2024년 12월 2일 이벤트 정보 0.55개 추가</v>
      </c>
      <c r="G86" s="33" t="str">
        <f>IFERROR(__xludf.DUMMYFUNCTION("GOOGLETRANSLATE(A86,""zh-tw"",""RU"")"),"02.12.2024 Добавлено 0,55 информации - событие")</f>
        <v>02.12.2024 Добавлено 0,55 информации - событие</v>
      </c>
      <c r="H86" s="33" t="str">
        <f>IFERROR(__xludf.DUMMYFUNCTION("GOOGLETRANSLATE(A86,""zh-tw"",""DE"")"),"02.12.2024: Informationen (0,55) hinzugefügt – Ereignis")</f>
        <v>02.12.2024: Informationen (0,55) hinzugefügt – Ereignis</v>
      </c>
      <c r="I86" s="73" t="s">
        <v>464</v>
      </c>
      <c r="J86" s="7" t="s">
        <v>465</v>
      </c>
      <c r="K86" s="7" t="s">
        <v>466</v>
      </c>
      <c r="L86" s="7"/>
      <c r="M86" s="70"/>
      <c r="N86" s="70"/>
      <c r="O86" s="70"/>
      <c r="P86" s="70"/>
      <c r="Q86" s="70"/>
      <c r="R86" s="70"/>
      <c r="S86" s="70"/>
      <c r="T86" s="70"/>
      <c r="U86" s="70"/>
      <c r="V86" s="70"/>
      <c r="W86" s="70"/>
      <c r="X86" s="70"/>
      <c r="Y86" s="70"/>
      <c r="Z86" s="70"/>
    </row>
    <row r="87">
      <c r="A87" s="69" t="s">
        <v>467</v>
      </c>
      <c r="B87" s="69" t="str">
        <f>IFERROR(__xludf.DUMMYFUNCTION("GOOGLETRANSLATE(A87,""zh-tw"",""ja"")"),"遺跡関連の地図を2024年11月29日に追加しました")</f>
        <v>遺跡関連の地図を2024年11月29日に追加しました</v>
      </c>
      <c r="C87" s="69" t="s">
        <v>468</v>
      </c>
      <c r="D87" s="69" t="str">
        <f>IFERROR(__xludf.DUMMYFUNCTION("GOOGLETRANSLATE(A87,""zh-tw"",""zh"")"),"2024/11/29 新增遗迹相关地图")</f>
        <v>2024/11/29 新增遗迹相关地图</v>
      </c>
      <c r="E87" s="33" t="str">
        <f>IFERROR(__xludf.DUMMYFUNCTION("GOOGLETRANSLATE(A87,""zh-tw"",""es-MX"")"),"Mapas relacionados con ruinas añadidos el 29/11/2024")</f>
        <v>Mapas relacionados con ruinas añadidos el 29/11/2024</v>
      </c>
      <c r="F87" s="33" t="str">
        <f>IFERROR(__xludf.DUMMYFUNCTION("GOOGLETRANSLATE(A87,""zh-tw"",""KO"")"),"2024년 11월 29일에 유적 관련 지도를 추가했습니다.")</f>
        <v>2024년 11월 29일에 유적 관련 지도를 추가했습니다.</v>
      </c>
      <c r="G87" s="33" t="str">
        <f>IFERROR(__xludf.DUMMYFUNCTION("GOOGLETRANSLATE(A87,""zh-tw"",""RU"")"),"Добавлены карты, связанные с руинами, 29.11.2024.")</f>
        <v>Добавлены карты, связанные с руинами, 29.11.2024.</v>
      </c>
      <c r="H87" s="33" t="str">
        <f>IFERROR(__xludf.DUMMYFUNCTION("GOOGLETRANSLATE(A87,""zh-tw"",""DE"")"),"Am 29.11.2024 wurden Karten mit Bezug zu Ruinen hinzugefügt.")</f>
        <v>Am 29.11.2024 wurden Karten mit Bezug zu Ruinen hinzugefügt.</v>
      </c>
      <c r="I87" s="73" t="s">
        <v>469</v>
      </c>
      <c r="J87" s="7" t="s">
        <v>470</v>
      </c>
      <c r="K87" s="7" t="s">
        <v>471</v>
      </c>
      <c r="L87" s="7"/>
      <c r="M87" s="70"/>
      <c r="N87" s="70"/>
      <c r="O87" s="70"/>
      <c r="P87" s="70"/>
      <c r="Q87" s="70"/>
      <c r="R87" s="70"/>
      <c r="S87" s="70"/>
      <c r="T87" s="70"/>
      <c r="U87" s="70"/>
      <c r="V87" s="70"/>
      <c r="W87" s="70"/>
      <c r="X87" s="70"/>
      <c r="Y87" s="70"/>
      <c r="Z87" s="70"/>
    </row>
    <row r="88">
      <c r="A88" s="69" t="s">
        <v>472</v>
      </c>
      <c r="B88" s="69" t="str">
        <f>IFERROR(__xludf.DUMMYFUNCTION("GOOGLETRANSLATE(A88,""zh-tw"",""ja"")"),"2024/11/24 バージョン0.5Cコンテンツを追加 - イベント、モンスター情報、ヒント")</f>
        <v>2024/11/24 バージョン0.5Cコンテンツを追加 - イベント、モンスター情報、ヒント</v>
      </c>
      <c r="C88" s="69" t="s">
        <v>473</v>
      </c>
      <c r="D88" s="69" t="str">
        <f>IFERROR(__xludf.DUMMYFUNCTION("GOOGLETRANSLATE(A88,""zh-tw"",""zh"")"),"2024/11/24 新增0.5C版本内容-事件、怪物资讯、提示")</f>
        <v>2024/11/24 新增0.5C版本内容-事件、怪物资讯、提示</v>
      </c>
      <c r="E88" s="33" t="str">
        <f>IFERROR(__xludf.DUMMYFUNCTION("GOOGLETRANSLATE(A88,""zh-tw"",""es-MX"")"),"24/11/2024 Se agregó contenido de la versión 0.5C: eventos, información sobre monstruos y pistas.")</f>
        <v>24/11/2024 Se agregó contenido de la versión 0.5C: eventos, información sobre monstruos y pistas.</v>
      </c>
      <c r="F88" s="33" t="str">
        <f>IFERROR(__xludf.DUMMYFUNCTION("GOOGLETRANSLATE(A88,""zh-tw"",""KO"")"),"2024년 11월 24일 0.5C 버전 콘텐츠 추가 - 이벤트, 몬스터 정보 및 힌트")</f>
        <v>2024년 11월 24일 0.5C 버전 콘텐츠 추가 - 이벤트, 몬스터 정보 및 힌트</v>
      </c>
      <c r="G88" s="33" t="str">
        <f>IFERROR(__xludf.DUMMYFUNCTION("GOOGLETRANSLATE(A88,""zh-tw"",""RU"")"),"24.11.2024 Добавлен контент версии 0.5C — события, информация о монстрах и подсказки.")</f>
        <v>24.11.2024 Добавлен контент версии 0.5C — события, информация о монстрах и подсказки.</v>
      </c>
      <c r="H88" s="33" t="str">
        <f>IFERROR(__xludf.DUMMYFUNCTION("GOOGLETRANSLATE(A88,""zh-tw"",""DE"")"),"24.11.2024: Inhalte der Version 0.5C hinzugefügt – Ereignisse, Monsterinformationen und Hinweise")</f>
        <v>24.11.2024: Inhalte der Version 0.5C hinzugefügt – Ereignisse, Monsterinformationen und Hinweise</v>
      </c>
      <c r="I88" s="73" t="s">
        <v>474</v>
      </c>
      <c r="J88" s="7" t="s">
        <v>475</v>
      </c>
      <c r="K88" s="7" t="s">
        <v>476</v>
      </c>
      <c r="L88" s="7"/>
      <c r="M88" s="70"/>
      <c r="N88" s="70"/>
      <c r="O88" s="70"/>
      <c r="P88" s="70"/>
      <c r="Q88" s="70"/>
      <c r="R88" s="70"/>
      <c r="S88" s="70"/>
      <c r="T88" s="70"/>
      <c r="U88" s="70"/>
      <c r="V88" s="70"/>
      <c r="W88" s="70"/>
      <c r="X88" s="70"/>
      <c r="Y88" s="70"/>
      <c r="Z88" s="70"/>
    </row>
    <row r="89">
      <c r="A89" s="69" t="s">
        <v>477</v>
      </c>
      <c r="B89" s="69" t="str">
        <f>IFERROR(__xludf.DUMMYFUNCTION("GOOGLETRANSLATE(A89,""zh-tw"",""ja"")"),"2024年11月22日にバージョン0.5Bのコンテンツを追加しました - イベント/通知")</f>
        <v>2024年11月22日にバージョン0.5Bのコンテンツを追加しました - イベント/通知</v>
      </c>
      <c r="C89" s="69" t="s">
        <v>478</v>
      </c>
      <c r="D89" s="69" t="str">
        <f>IFERROR(__xludf.DUMMYFUNCTION("GOOGLETRANSLATE(A89,""zh-tw"",""zh"")"),"2024/11/22 新增0.5B版本内容-事件/提示")</f>
        <v>2024/11/22 新增0.5B版本内容-事件/提示</v>
      </c>
      <c r="E89" s="33" t="str">
        <f>IFERROR(__xludf.DUMMYFUNCTION("GOOGLETRANSLATE(A89,""zh-tw"",""es-MX"")"),"Se agregó el contenido de la versión 0.5B el 22/11/2024 - Eventos/Notificaciones")</f>
        <v>Se agregó el contenido de la versión 0.5B el 22/11/2024 - Eventos/Notificaciones</v>
      </c>
      <c r="F89" s="33" t="str">
        <f>IFERROR(__xludf.DUMMYFUNCTION("GOOGLETRANSLATE(A89,""zh-tw"",""KO"")"),"2024년 11월 22일 버전 0.5B 콘텐츠 추가 - 이벤트/알림")</f>
        <v>2024년 11월 22일 버전 0.5B 콘텐츠 추가 - 이벤트/알림</v>
      </c>
      <c r="G89" s="33" t="str">
        <f>IFERROR(__xludf.DUMMYFUNCTION("GOOGLETRANSLATE(A89,""zh-tw"",""RU"")"),"Добавлен контент версии 0.5B 22.11.2024 - События/Уведомления")</f>
        <v>Добавлен контент версии 0.5B 22.11.2024 - События/Уведомления</v>
      </c>
      <c r="H89" s="33" t="str">
        <f>IFERROR(__xludf.DUMMYFUNCTION("GOOGLETRANSLATE(A89,""zh-tw"",""DE"")"),"Inhalte der Version 0.5B wurden am 22.11.2024 hinzugefügt – Ereignisse/Benachrichtigungen")</f>
        <v>Inhalte der Version 0.5B wurden am 22.11.2024 hinzugefügt – Ereignisse/Benachrichtigungen</v>
      </c>
      <c r="I89" s="73" t="s">
        <v>479</v>
      </c>
      <c r="J89" s="7" t="s">
        <v>480</v>
      </c>
      <c r="K89" s="7" t="s">
        <v>481</v>
      </c>
      <c r="L89" s="7"/>
      <c r="M89" s="70"/>
      <c r="N89" s="70"/>
      <c r="O89" s="70"/>
      <c r="P89" s="70"/>
      <c r="Q89" s="70"/>
      <c r="R89" s="70"/>
      <c r="S89" s="70"/>
      <c r="T89" s="70"/>
      <c r="U89" s="70"/>
      <c r="V89" s="70"/>
      <c r="W89" s="70"/>
      <c r="X89" s="70"/>
      <c r="Y89" s="70"/>
      <c r="Z89" s="70"/>
    </row>
    <row r="90">
      <c r="A90" s="69" t="s">
        <v>482</v>
      </c>
      <c r="B90" s="69" t="str">
        <f>IFERROR(__xludf.DUMMYFUNCTION("GOOGLETRANSLATE(A90,""zh-tw"",""ja"")"),"2024/11/21にMAPファイルを追加しました")</f>
        <v>2024/11/21にMAPファイルを追加しました</v>
      </c>
      <c r="C90" s="69" t="s">
        <v>483</v>
      </c>
      <c r="D90" s="69" t="s">
        <v>484</v>
      </c>
      <c r="E90" s="33" t="str">
        <f>IFERROR(__xludf.DUMMYFUNCTION("GOOGLETRANSLATE(A90,""zh-tw"",""es-MX"")"),"Archivo MAP añadido el 21/11/2024")</f>
        <v>Archivo MAP añadido el 21/11/2024</v>
      </c>
      <c r="F90" s="33" t="str">
        <f>IFERROR(__xludf.DUMMYFUNCTION("GOOGLETRANSLATE(A90,""zh-tw"",""KO"")"),"2024년 11월 21일에 MAP 파일을 추가했습니다.")</f>
        <v>2024년 11월 21일에 MAP 파일을 추가했습니다.</v>
      </c>
      <c r="G90" s="33" t="str">
        <f>IFERROR(__xludf.DUMMYFUNCTION("GOOGLETRANSLATE(A90,""zh-tw"",""RU"")"),"Файл MAP добавлен 21.11.2024.")</f>
        <v>Файл MAP добавлен 21.11.2024.</v>
      </c>
      <c r="H90" s="33" t="str">
        <f>IFERROR(__xludf.DUMMYFUNCTION("GOOGLETRANSLATE(A90,""zh-tw"",""DE"")"),"MAP-Datei hinzugefügt am 21.11.2024")</f>
        <v>MAP-Datei hinzugefügt am 21.11.2024</v>
      </c>
      <c r="I90" s="73" t="s">
        <v>485</v>
      </c>
      <c r="J90" s="7" t="s">
        <v>486</v>
      </c>
      <c r="K90" s="7" t="s">
        <v>487</v>
      </c>
      <c r="L90" s="7"/>
      <c r="M90" s="70"/>
      <c r="N90" s="70"/>
      <c r="O90" s="70"/>
      <c r="P90" s="70"/>
      <c r="Q90" s="70"/>
      <c r="R90" s="70"/>
      <c r="S90" s="70"/>
      <c r="T90" s="70"/>
      <c r="U90" s="70"/>
      <c r="V90" s="70"/>
      <c r="W90" s="70"/>
      <c r="X90" s="70"/>
      <c r="Y90" s="70"/>
      <c r="Z90" s="70"/>
    </row>
    <row r="91">
      <c r="A91" s="69" t="s">
        <v>488</v>
      </c>
      <c r="B91" s="69" t="str">
        <f>IFERROR(__xludf.DUMMYFUNCTION("GOOGLETRANSLATE(A91,""zh-tw"",""ja"")"),"2024/11/20 バージョン0.5Aコンテンツを追加 - イベント/プロンプト")</f>
        <v>2024/11/20 バージョン0.5Aコンテンツを追加 - イベント/プロンプト</v>
      </c>
      <c r="C91" s="69" t="s">
        <v>489</v>
      </c>
      <c r="D91" s="69" t="str">
        <f>IFERROR(__xludf.DUMMYFUNCTION("GOOGLETRANSLATE(A91,""zh-tw"",""zh"")"),"2024/11/20 新增0.5A版本内容-事件/提示")</f>
        <v>2024/11/20 新增0.5A版本内容-事件/提示</v>
      </c>
      <c r="E91" s="33" t="str">
        <f>IFERROR(__xludf.DUMMYFUNCTION("GOOGLETRANSLATE(A91,""zh-tw"",""es-MX"")"),"20/11/2024 Se agregó el contenido de la versión 0.5A: Eventos/Indicaciones")</f>
        <v>20/11/2024 Se agregó el contenido de la versión 0.5A: Eventos/Indicaciones</v>
      </c>
      <c r="F91" s="33" t="str">
        <f>IFERROR(__xludf.DUMMYFUNCTION("GOOGLETRANSLATE(A91,""zh-tw"",""KO"")"),"2024년 11월 20일 버전 0.5A 콘텐츠 추가 - 이벤트/프롬프트")</f>
        <v>2024년 11월 20일 버전 0.5A 콘텐츠 추가 - 이벤트/프롬프트</v>
      </c>
      <c r="G91" s="33" t="str">
        <f>IFERROR(__xludf.DUMMYFUNCTION("GOOGLETRANSLATE(A91,""zh-tw"",""RU"")"),"20.11.2024 Добавлен контент версии 0.5A - События/Подсказки")</f>
        <v>20.11.2024 Добавлен контент версии 0.5A - События/Подсказки</v>
      </c>
      <c r="H91" s="33" t="str">
        <f>IFERROR(__xludf.DUMMYFUNCTION("GOOGLETRANSLATE(A91,""zh-tw"",""DE"")"),"20.11.2024: Inhalt der Version 0.5A hinzugefügt – Ereignisse/Aufforderungen")</f>
        <v>20.11.2024: Inhalt der Version 0.5A hinzugefügt – Ereignisse/Aufforderungen</v>
      </c>
      <c r="I91" s="73" t="s">
        <v>490</v>
      </c>
      <c r="J91" s="7" t="s">
        <v>491</v>
      </c>
      <c r="K91" s="7" t="s">
        <v>492</v>
      </c>
      <c r="L91" s="7"/>
      <c r="M91" s="70"/>
      <c r="N91" s="70"/>
      <c r="O91" s="70"/>
      <c r="P91" s="70"/>
      <c r="Q91" s="70"/>
      <c r="R91" s="70"/>
      <c r="S91" s="70"/>
      <c r="T91" s="70"/>
      <c r="U91" s="70"/>
      <c r="V91" s="70"/>
      <c r="W91" s="70"/>
      <c r="X91" s="70"/>
      <c r="Y91" s="70"/>
      <c r="Z91" s="70"/>
    </row>
    <row r="92">
      <c r="A92" s="69" t="s">
        <v>493</v>
      </c>
      <c r="B92" s="69" t="str">
        <f>IFERROR(__xludf.DUMMYFUNCTION("GOOGLETRANSLATE(A92,""zh-tw"",""ja"")"),"2024年11月2日にBahamutの個人作品から転載：https://home.gamer.com.tw/artwork.php?sn=6032493")</f>
        <v>2024年11月2日にBahamutの個人作品から転載：https://home.gamer.com.tw/artwork.php?sn=6032493</v>
      </c>
      <c r="C92" s="74" t="s">
        <v>494</v>
      </c>
      <c r="D92" s="69" t="str">
        <f>IFERROR(__xludf.DUMMYFUNCTION("GOOGLETRANSLATE(A92,""zh-tw"",""zh"")"),"2024/11/2 转载至巴哈姆特个人创作https://home.gamer.com.tw/artwork.php?sn=6032493")</f>
        <v>2024/11/2 转载至巴哈姆特个人创作https://home.gamer.com.tw/artwork.php?sn=6032493</v>
      </c>
      <c r="E92" s="33" t="str">
        <f>IFERROR(__xludf.DUMMYFUNCTION("GOOGLETRANSLATE(A92,""zh-tw"",""es-MX"")"),"Republicado de las creaciones personales de Bahamut el 2 de noviembre de 2024: https://home.gamer.com.tw/artwork.php?sn=6032493")</f>
        <v>Republicado de las creaciones personales de Bahamut el 2 de noviembre de 2024: https://home.gamer.com.tw/artwork.php?sn=6032493</v>
      </c>
      <c r="F92" s="33" t="str">
        <f>IFERROR(__xludf.DUMMYFUNCTION("GOOGLETRANSLATE(A92,""zh-tw"",""KO"")"),"2024년 11월 2일 Bahamut의 개인 창작물에서 다시 게시됨: https://home.gamer.com.tw/artwork.php?sn=6032493")</f>
        <v>2024년 11월 2일 Bahamut의 개인 창작물에서 다시 게시됨: https://home.gamer.com.tw/artwork.php?sn=6032493</v>
      </c>
      <c r="G92" s="33" t="str">
        <f>IFERROR(__xludf.DUMMYFUNCTION("GOOGLETRANSLATE(A92,""zh-tw"",""RU"")"),"Перепост из личных работ Бахамута от 2 ноября 2024 года: https://home.gamer.com.tw/artwork.php?sn=6032493")</f>
        <v>Перепост из личных работ Бахамута от 2 ноября 2024 года: https://home.gamer.com.tw/artwork.php?sn=6032493</v>
      </c>
      <c r="H92" s="33" t="str">
        <f>IFERROR(__xludf.DUMMYFUNCTION("GOOGLETRANSLATE(A92,""zh-tw"",""DE"")"),"Neu veröffentlicht von Bahamuts persönlichen Kreationen am 2. November 2024: https://home.gamer.com.tw/artwork.php?sn=6032493")</f>
        <v>Neu veröffentlicht von Bahamuts persönlichen Kreationen am 2. November 2024: https://home.gamer.com.tw/artwork.php?sn=6032493</v>
      </c>
      <c r="I92" s="73" t="s">
        <v>495</v>
      </c>
      <c r="J92" s="75" t="s">
        <v>496</v>
      </c>
      <c r="K92" s="7" t="s">
        <v>497</v>
      </c>
      <c r="L92" s="7"/>
      <c r="M92" s="70"/>
      <c r="N92" s="70"/>
      <c r="O92" s="70"/>
      <c r="P92" s="70"/>
      <c r="Q92" s="70"/>
      <c r="R92" s="70"/>
      <c r="S92" s="70"/>
      <c r="T92" s="70"/>
      <c r="U92" s="70"/>
      <c r="V92" s="70"/>
      <c r="W92" s="70"/>
      <c r="X92" s="70"/>
      <c r="Y92" s="70"/>
      <c r="Z92" s="70"/>
    </row>
    <row r="93">
      <c r="A93" s="69" t="s">
        <v>498</v>
      </c>
      <c r="B93" s="69" t="str">
        <f>IFERROR(__xludf.DUMMYFUNCTION("GOOGLETRANSLATE(A93,""zh-tw"",""ja"")"),"2024年11月2日：バージョン0.45のコンテンツ（イベント／通知）を追加しました。")</f>
        <v>2024年11月2日：バージョン0.45のコンテンツ（イベント／通知）を追加しました。</v>
      </c>
      <c r="C93" s="69" t="s">
        <v>499</v>
      </c>
      <c r="D93" s="69" t="str">
        <f>IFERROR(__xludf.DUMMYFUNCTION("GOOGLETRANSLATE(A93,""zh-tw"",""zh"")"),"2024/11/2 新增0.45版本内容-事件/提示")</f>
        <v>2024/11/2 新增0.45版本内容-事件/提示</v>
      </c>
      <c r="E93" s="33" t="str">
        <f>IFERROR(__xludf.DUMMYFUNCTION("GOOGLETRANSLATE(A93,""zh-tw"",""es-MX"")"),"2 de noviembre de 2024: Se agregó el contenido de la versión 0.45: Eventos/Notificaciones")</f>
        <v>2 de noviembre de 2024: Se agregó el contenido de la versión 0.45: Eventos/Notificaciones</v>
      </c>
      <c r="F93" s="33" t="str">
        <f>IFERROR(__xludf.DUMMYFUNCTION("GOOGLETRANSLATE(A93,""zh-tw"",""KO"")"),"2024년 11월 2일: 버전 0.45 콘텐츠 추가 - 이벤트/알림")</f>
        <v>2024년 11월 2일: 버전 0.45 콘텐츠 추가 - 이벤트/알림</v>
      </c>
      <c r="G93" s="33" t="str">
        <f>IFERROR(__xludf.DUMMYFUNCTION("GOOGLETRANSLATE(A93,""zh-tw"",""RU"")"),"2 ноября 2024 г.: Добавлен контент версии 0.45 — События/Уведомления")</f>
        <v>2 ноября 2024 г.: Добавлен контент версии 0.45 — События/Уведомления</v>
      </c>
      <c r="H93" s="33" t="str">
        <f>IFERROR(__xludf.DUMMYFUNCTION("GOOGLETRANSLATE(A93,""zh-tw"",""DE"")"),"2. November 2024: Inhalt der Version 0.45 hinzugefügt – Ereignisse/Benachrichtigungen")</f>
        <v>2. November 2024: Inhalt der Version 0.45 hinzugefügt – Ereignisse/Benachrichtigungen</v>
      </c>
      <c r="I93" s="73" t="s">
        <v>500</v>
      </c>
      <c r="J93" s="7" t="s">
        <v>501</v>
      </c>
      <c r="K93" s="7" t="s">
        <v>502</v>
      </c>
      <c r="L93" s="7"/>
      <c r="M93" s="70"/>
      <c r="N93" s="70"/>
      <c r="O93" s="70"/>
      <c r="P93" s="70"/>
      <c r="Q93" s="70"/>
      <c r="R93" s="70"/>
      <c r="S93" s="70"/>
      <c r="T93" s="70"/>
      <c r="U93" s="70"/>
      <c r="V93" s="70"/>
      <c r="W93" s="70"/>
      <c r="X93" s="70"/>
      <c r="Y93" s="70"/>
      <c r="Z93" s="70"/>
    </row>
    <row r="94">
      <c r="A94" s="69" t="s">
        <v>503</v>
      </c>
      <c r="B94" s="69" t="str">
        <f>IFERROR(__xludf.DUMMYFUNCTION("GOOGLETRANSLATE(A94,""zh-tw"",""ja"")"),"専用グラフィックカードの追加手順（2024年10月31日）")</f>
        <v>専用グラフィックカードの追加手順（2024年10月31日）</v>
      </c>
      <c r="C94" s="69" t="s">
        <v>504</v>
      </c>
      <c r="D94" s="69" t="str">
        <f>IFERROR(__xludf.DUMMYFUNCTION("GOOGLETRANSLATE(A94,""zh-tw"",""zh"")"),"2024/10/31 新增独立显卡操作说明")</f>
        <v>2024/10/31 新增独立显卡操作说明</v>
      </c>
      <c r="E94" s="33" t="str">
        <f>IFERROR(__xludf.DUMMYFUNCTION("GOOGLETRANSLATE(A94,""zh-tw"",""es-MX"")"),"Instrucciones para añadir una tarjeta gráfica dedicada (31/10/2024)")</f>
        <v>Instrucciones para añadir una tarjeta gráfica dedicada (31/10/2024)</v>
      </c>
      <c r="F94" s="33" t="str">
        <f>IFERROR(__xludf.DUMMYFUNCTION("GOOGLETRANSLATE(A94,""zh-tw"",""KO"")"),"전용 그래픽 카드 추가 방법 안내 (2024년 10월 31일)")</f>
        <v>전용 그래픽 카드 추가 방법 안내 (2024년 10월 31일)</v>
      </c>
      <c r="G94" s="33" t="str">
        <f>IFERROR(__xludf.DUMMYFUNCTION("GOOGLETRANSLATE(A94,""zh-tw"",""RU"")"),"Инструкция по установке дискретной видеокарты (31.10.2024)")</f>
        <v>Инструкция по установке дискретной видеокарты (31.10.2024)</v>
      </c>
      <c r="H94" s="33" t="str">
        <f>IFERROR(__xludf.DUMMYFUNCTION("GOOGLETRANSLATE(A94,""zh-tw"",""DE"")"),"Anleitung zum Hinzufügen einer dedizierten Grafikkarte (31.10.2024)")</f>
        <v>Anleitung zum Hinzufügen einer dedizierten Grafikkarte (31.10.2024)</v>
      </c>
      <c r="I94" s="73" t="s">
        <v>505</v>
      </c>
      <c r="J94" s="7" t="s">
        <v>506</v>
      </c>
      <c r="K94" s="7" t="s">
        <v>507</v>
      </c>
      <c r="L94" s="7"/>
      <c r="M94" s="70"/>
      <c r="N94" s="70"/>
      <c r="O94" s="70"/>
      <c r="P94" s="70"/>
      <c r="Q94" s="70"/>
      <c r="R94" s="70"/>
      <c r="S94" s="70"/>
      <c r="T94" s="70"/>
      <c r="U94" s="70"/>
      <c r="V94" s="70"/>
      <c r="W94" s="70"/>
      <c r="X94" s="70"/>
      <c r="Y94" s="70"/>
      <c r="Z94" s="70"/>
    </row>
    <row r="95">
      <c r="A95" s="69" t="s">
        <v>508</v>
      </c>
      <c r="B95" s="69" t="str">
        <f>IFERROR(__xludf.DUMMYFUNCTION("GOOGLETRANSLATE(A95,""zh-tw"",""ja"")"),"2024年10月28日に告知内容を追加しました")</f>
        <v>2024年10月28日に告知内容を追加しました</v>
      </c>
      <c r="C95" s="69" t="s">
        <v>509</v>
      </c>
      <c r="D95" s="69" t="str">
        <f>IFERROR(__xludf.DUMMYFUNCTION("GOOGLETRANSLATE(A95,""zh-tw"",""zh"")"),"2024/10/28 新增部分公告内容")</f>
        <v>2024/10/28 新增部分公告内容</v>
      </c>
      <c r="E95" s="33" t="str">
        <f>IFERROR(__xludf.DUMMYFUNCTION("GOOGLETRANSLATE(A95,""zh-tw"",""es-MX"")"),"Se agregó contenido de anuncio el 28/10/2024.")</f>
        <v>Se agregó contenido de anuncio el 28/10/2024.</v>
      </c>
      <c r="F95" s="33" t="str">
        <f>IFERROR(__xludf.DUMMYFUNCTION("GOOGLETRANSLATE(A95,""zh-tw"",""KO"")"),"2024년 10월 28일에 공지사항을 추가했습니다.")</f>
        <v>2024년 10월 28일에 공지사항을 추가했습니다.</v>
      </c>
      <c r="G95" s="33" t="str">
        <f>IFERROR(__xludf.DUMMYFUNCTION("GOOGLETRANSLATE(A95,""zh-tw"",""RU"")"),"Добавлены некоторые анонсирующие материалы 28.10.2024.")</f>
        <v>Добавлены некоторые анонсирующие материалы 28.10.2024.</v>
      </c>
      <c r="H95" s="33" t="str">
        <f>IFERROR(__xludf.DUMMYFUNCTION("GOOGLETRANSLATE(A95,""zh-tw"",""DE"")"),"Am 28.10.2024 wurden einige Ankündigungsinhalte hinzugefügt.")</f>
        <v>Am 28.10.2024 wurden einige Ankündigungsinhalte hinzugefügt.</v>
      </c>
      <c r="I95" s="73" t="s">
        <v>510</v>
      </c>
      <c r="J95" s="7" t="s">
        <v>511</v>
      </c>
      <c r="K95" s="7" t="s">
        <v>512</v>
      </c>
      <c r="L95" s="7"/>
      <c r="M95" s="70"/>
      <c r="N95" s="70"/>
      <c r="O95" s="70"/>
      <c r="P95" s="70"/>
      <c r="Q95" s="70"/>
      <c r="R95" s="70"/>
      <c r="S95" s="70"/>
      <c r="T95" s="70"/>
      <c r="U95" s="70"/>
      <c r="V95" s="70"/>
      <c r="W95" s="70"/>
      <c r="X95" s="70"/>
      <c r="Y95" s="70"/>
      <c r="Z95" s="70"/>
    </row>
    <row r="96">
      <c r="A96" s="69" t="s">
        <v>513</v>
      </c>
      <c r="B96" s="69" t="str">
        <f>IFERROR(__xludf.DUMMYFUNCTION("GOOGLETRANSLATE(A96,""zh-tw"",""ja"")"),"2024年10月24日：バージョン0.4Cコンテンツを追加 - イベント/ワールドドロップ/防具")</f>
        <v>2024年10月24日：バージョン0.4Cコンテンツを追加 - イベント/ワールドドロップ/防具</v>
      </c>
      <c r="C96" s="69" t="s">
        <v>514</v>
      </c>
      <c r="D96" s="69" t="str">
        <f>IFERROR(__xludf.DUMMYFUNCTION("GOOGLETRANSLATE(A96,""zh-tw"",""zh"")"),"2024/10/24 新增0.4C版本内容-事件/野外掉落/装甲")</f>
        <v>2024/10/24 新增0.4C版本内容-事件/野外掉落/装甲</v>
      </c>
      <c r="E96" s="33" t="str">
        <f>IFERROR(__xludf.DUMMYFUNCTION("GOOGLETRANSLATE(A96,""zh-tw"",""es-MX"")"),"24 de octubre de 2024: Se agregó contenido de la versión 0.4C: Eventos/Objetos del mundo/Armaduras")</f>
        <v>24 de octubre de 2024: Se agregó contenido de la versión 0.4C: Eventos/Objetos del mundo/Armaduras</v>
      </c>
      <c r="F96" s="33" t="str">
        <f>IFERROR(__xludf.DUMMYFUNCTION("GOOGLETRANSLATE(A96,""zh-tw"",""KO"")"),"2024년 10월 24일: 0.4C 버전 콘텐츠 추가 - 이벤트/월드 드롭/방어구")</f>
        <v>2024년 10월 24일: 0.4C 버전 콘텐츠 추가 - 이벤트/월드 드롭/방어구</v>
      </c>
      <c r="G96" s="33" t="str">
        <f>IFERROR(__xludf.DUMMYFUNCTION("GOOGLETRANSLATE(A96,""zh-tw"",""RU"")"),"24 октября 2024 г.: Добавлен контент версии 0.4C — События/Выпадение предметов в игровом мире/Броня")</f>
        <v>24 октября 2024 г.: Добавлен контент версии 0.4C — События/Выпадение предметов в игровом мире/Броня</v>
      </c>
      <c r="H96" s="33" t="str">
        <f>IFERROR(__xludf.DUMMYFUNCTION("GOOGLETRANSLATE(A96,""zh-tw"",""DE"")"),"24. Oktober 2024: Inhalte der Version 0.4C hinzugefügt – Events/Weltbeute/Rüstungen")</f>
        <v>24. Oktober 2024: Inhalte der Version 0.4C hinzugefügt – Events/Weltbeute/Rüstungen</v>
      </c>
      <c r="I96" s="73" t="s">
        <v>515</v>
      </c>
      <c r="J96" s="7" t="s">
        <v>516</v>
      </c>
      <c r="K96" s="7" t="s">
        <v>517</v>
      </c>
      <c r="L96" s="7"/>
      <c r="M96" s="70"/>
      <c r="N96" s="70"/>
      <c r="O96" s="70"/>
      <c r="P96" s="70"/>
      <c r="Q96" s="70"/>
      <c r="R96" s="70"/>
      <c r="S96" s="70"/>
      <c r="T96" s="70"/>
      <c r="U96" s="70"/>
      <c r="V96" s="70"/>
      <c r="W96" s="70"/>
      <c r="X96" s="70"/>
      <c r="Y96" s="70"/>
      <c r="Z96" s="70"/>
    </row>
    <row r="97">
      <c r="A97" s="69" t="s">
        <v>518</v>
      </c>
      <c r="B97" s="69" t="str">
        <f>IFERROR(__xludf.DUMMYFUNCTION("GOOGLETRANSLATE(A97,""zh-tw"",""ja"")"),"2024年10月21日：バージョン0.4Aのコンテンツ（ドロップ/装備/ヒント）を追加しました。")</f>
        <v>2024年10月21日：バージョン0.4Aのコンテンツ（ドロップ/装備/ヒント）を追加しました。</v>
      </c>
      <c r="C97" s="69" t="s">
        <v>519</v>
      </c>
      <c r="D97" s="69" t="str">
        <f>IFERROR(__xludf.DUMMYFUNCTION("GOOGLETRANSLATE(A97,""zh-tw"",""zh"")"),"2024/10/21 新增0.4A版本内容(Drop/Equip/Tips)")</f>
        <v>2024/10/21 新增0.4A版本内容(Drop/Equip/Tips)</v>
      </c>
      <c r="E97" s="33" t="str">
        <f>IFERROR(__xludf.DUMMYFUNCTION("GOOGLETRANSLATE(A97,""zh-tw"",""es-MX"")"),"21 de octubre de 2024: Se agregó contenido de la versión 0.4A (Objetos que se obtienen al caer/Equipar/Consejos).")</f>
        <v>21 de octubre de 2024: Se agregó contenido de la versión 0.4A (Objetos que se obtienen al caer/Equipar/Consejos).</v>
      </c>
      <c r="F97" s="33" t="str">
        <f>IFERROR(__xludf.DUMMYFUNCTION("GOOGLETRANSLATE(A97,""zh-tw"",""KO"")"),"2024년 10월 21일: 버전 0.4A 콘텐츠 추가 (드롭/장착/팁)")</f>
        <v>2024년 10월 21일: 버전 0.4A 콘텐츠 추가 (드롭/장착/팁)</v>
      </c>
      <c r="G97" s="33" t="str">
        <f>IFERROR(__xludf.DUMMYFUNCTION("GOOGLETRANSLATE(A97,""zh-tw"",""RU"")"),"21 октября 2024 г.: Добавлен контент версии 0.4A (Выпадение предметов/Экипировка/Советы)")</f>
        <v>21 октября 2024 г.: Добавлен контент версии 0.4A (Выпадение предметов/Экипировка/Советы)</v>
      </c>
      <c r="H97" s="33" t="str">
        <f>IFERROR(__xludf.DUMMYFUNCTION("GOOGLETRANSLATE(A97,""zh-tw"",""DE"")"),"21. Oktober 2024: Inhalt der Version 0.4A hinzugefügt (Beute/Ausrüstung/Tipps)")</f>
        <v>21. Oktober 2024: Inhalt der Version 0.4A hinzugefügt (Beute/Ausrüstung/Tipps)</v>
      </c>
      <c r="I97" s="73" t="s">
        <v>520</v>
      </c>
      <c r="J97" s="7" t="s">
        <v>521</v>
      </c>
      <c r="K97" s="7" t="s">
        <v>522</v>
      </c>
      <c r="L97" s="7"/>
      <c r="M97" s="70"/>
      <c r="N97" s="70"/>
      <c r="O97" s="70"/>
      <c r="P97" s="70"/>
      <c r="Q97" s="70"/>
      <c r="R97" s="70"/>
      <c r="S97" s="70"/>
      <c r="T97" s="70"/>
      <c r="U97" s="70"/>
      <c r="V97" s="70"/>
      <c r="W97" s="70"/>
      <c r="X97" s="70"/>
      <c r="Y97" s="70"/>
      <c r="Z97" s="70"/>
    </row>
    <row r="98">
      <c r="A98" s="69" t="s">
        <v>523</v>
      </c>
      <c r="B98" s="69" t="str">
        <f>IFERROR(__xludf.DUMMYFUNCTION("GOOGLETRANSLATE(A98,""zh-tw"",""ja"")"),"2024年10月15日に地図とイベント番号表を追加しました")</f>
        <v>2024年10月15日に地図とイベント番号表を追加しました</v>
      </c>
      <c r="C98" s="69" t="s">
        <v>524</v>
      </c>
      <c r="D98" s="69" t="str">
        <f>IFERROR(__xludf.DUMMYFUNCTION("GOOGLETRANSLATE(A98,""zh-tw"",""zh"")"),"2024/10/15新增地图、事件编号表")</f>
        <v>2024/10/15新增地图、事件编号表</v>
      </c>
      <c r="E98" s="33" t="str">
        <f>IFERROR(__xludf.DUMMYFUNCTION("GOOGLETRANSLATE(A98,""zh-tw"",""es-MX"")"),"Se agregó el mapa y la tabla de números de eventos el 15/10/2024.")</f>
        <v>Se agregó el mapa y la tabla de números de eventos el 15/10/2024.</v>
      </c>
      <c r="F98" s="33" t="str">
        <f>IFERROR(__xludf.DUMMYFUNCTION("GOOGLETRANSLATE(A98,""zh-tw"",""KO"")"),"2024년 10월 15일에 지도와 이벤트 번호표를 추가했습니다.")</f>
        <v>2024년 10월 15일에 지도와 이벤트 번호표를 추가했습니다.</v>
      </c>
      <c r="G98" s="33" t="str">
        <f>IFERROR(__xludf.DUMMYFUNCTION("GOOGLETRANSLATE(A98,""zh-tw"",""RU"")"),"Карта и таблица номеров событий добавлены 15.10.2024.")</f>
        <v>Карта и таблица номеров событий добавлены 15.10.2024.</v>
      </c>
      <c r="H98" s="33" t="str">
        <f>IFERROR(__xludf.DUMMYFUNCTION("GOOGLETRANSLATE(A98,""zh-tw"",""DE"")"),"Karte und Ereignisnummerntabelle hinzugefügt am 15.10.2024")</f>
        <v>Karte und Ereignisnummerntabelle hinzugefügt am 15.10.2024</v>
      </c>
      <c r="I98" s="73" t="s">
        <v>525</v>
      </c>
      <c r="J98" s="7" t="s">
        <v>526</v>
      </c>
      <c r="K98" s="7" t="s">
        <v>527</v>
      </c>
      <c r="L98" s="7"/>
      <c r="M98" s="70"/>
      <c r="N98" s="70"/>
      <c r="O98" s="70"/>
      <c r="P98" s="70"/>
      <c r="Q98" s="70"/>
      <c r="R98" s="70"/>
      <c r="S98" s="70"/>
      <c r="T98" s="70"/>
      <c r="U98" s="70"/>
      <c r="V98" s="70"/>
      <c r="W98" s="70"/>
      <c r="X98" s="70"/>
      <c r="Y98" s="70"/>
      <c r="Z98" s="70"/>
    </row>
    <row r="99">
      <c r="A99" s="69" t="s">
        <v>528</v>
      </c>
      <c r="B99" s="69" t="str">
        <f>IFERROR(__xludf.DUMMYFUNCTION("GOOGLETRANSLATE(A99,""zh-tw"",""ja"")"),"2024年10月15日に、いくつかのイベントと新しいイベント番号を追加しました。")</f>
        <v>2024年10月15日に、いくつかのイベントと新しいイベント番号を追加しました。</v>
      </c>
      <c r="C99" s="69" t="s">
        <v>529</v>
      </c>
      <c r="D99" s="69" t="str">
        <f>IFERROR(__xludf.DUMMYFUNCTION("GOOGLETRANSLATE(A99,""zh-tw"",""zh"")"),"2024/10/15新增部分事件、新增事件NO.")</f>
        <v>2024/10/15新增部分事件、新增事件NO.</v>
      </c>
      <c r="E99" s="33" t="str">
        <f>IFERROR(__xludf.DUMMYFUNCTION("GOOGLETRANSLATE(A99,""zh-tw"",""es-MX"")"),"Se añadieron algunos eventos y nuevos números de evento el 15/10/2024.")</f>
        <v>Se añadieron algunos eventos y nuevos números de evento el 15/10/2024.</v>
      </c>
      <c r="F99" s="33" t="str">
        <f>IFERROR(__xludf.DUMMYFUNCTION("GOOGLETRANSLATE(A99,""zh-tw"",""KO"")"),"2024년 10월 15일에 몇몇 이벤트와 새로운 이벤트 번호를 추가했습니다.")</f>
        <v>2024년 10월 15일에 몇몇 이벤트와 새로운 이벤트 번호를 추가했습니다.</v>
      </c>
      <c r="G99" s="33" t="str">
        <f>IFERROR(__xludf.DUMMYFUNCTION("GOOGLETRANSLATE(A99,""zh-tw"",""RU"")"),"Добавлены некоторые события и новые номера событий 15.10.2024.")</f>
        <v>Добавлены некоторые события и новые номера событий 15.10.2024.</v>
      </c>
      <c r="H99" s="33" t="str">
        <f>IFERROR(__xludf.DUMMYFUNCTION("GOOGLETRANSLATE(A99,""zh-tw"",""DE"")"),"Am 15.10.2024 wurden einige Veranstaltungen und neue Veranstaltungsnummern hinzugefügt.")</f>
        <v>Am 15.10.2024 wurden einige Veranstaltungen und neue Veranstaltungsnummern hinzugefügt.</v>
      </c>
      <c r="I99" s="73" t="s">
        <v>530</v>
      </c>
      <c r="J99" s="7" t="s">
        <v>531</v>
      </c>
      <c r="K99" s="7" t="s">
        <v>532</v>
      </c>
      <c r="L99" s="7"/>
      <c r="M99" s="70"/>
      <c r="N99" s="70"/>
      <c r="O99" s="70"/>
      <c r="P99" s="70"/>
      <c r="Q99" s="70"/>
      <c r="R99" s="70"/>
      <c r="S99" s="70"/>
      <c r="T99" s="70"/>
      <c r="U99" s="70"/>
      <c r="V99" s="70"/>
      <c r="W99" s="70"/>
      <c r="X99" s="70"/>
      <c r="Y99" s="70"/>
      <c r="Z99" s="70"/>
    </row>
    <row r="100">
      <c r="A100" s="69" t="s">
        <v>533</v>
      </c>
      <c r="B100" s="69" t="str">
        <f>IFERROR(__xludf.DUMMYFUNCTION("GOOGLETRANSLATE(A100,""zh-tw"",""ja"")"),"2024/10/14 書式を一部調整しました")</f>
        <v>2024/10/14 書式を一部調整しました</v>
      </c>
      <c r="C100" s="69" t="s">
        <v>534</v>
      </c>
      <c r="D100" s="69" t="str">
        <f>IFERROR(__xludf.DUMMYFUNCTION("GOOGLETRANSLATE(A100,""zh-tw"",""zh"")"),"2024/10/14 调整部分格式")</f>
        <v>2024/10/14 调整部分格式</v>
      </c>
      <c r="E100" s="33" t="str">
        <f>IFERROR(__xludf.DUMMYFUNCTION("GOOGLETRANSLATE(A100,""zh-tw"",""es-MX"")"),"14/10/2024 Se ha ajustado el formato.")</f>
        <v>14/10/2024 Se ha ajustado el formato.</v>
      </c>
      <c r="F100" s="33" t="str">
        <f>IFERROR(__xludf.DUMMYFUNCTION("GOOGLETRANSLATE(A100,""zh-tw"",""KO"")"),"2024년 10월 14일 서식을 일부 수정했습니다.")</f>
        <v>2024년 10월 14일 서식을 일부 수정했습니다.</v>
      </c>
      <c r="G100" s="33" t="str">
        <f>IFERROR(__xludf.DUMMYFUNCTION("GOOGLETRANSLATE(A100,""zh-tw"",""RU"")"),"14.10.2024 Исправлено форматирование.")</f>
        <v>14.10.2024 Исправлено форматирование.</v>
      </c>
      <c r="H100" s="33" t="str">
        <f>IFERROR(__xludf.DUMMYFUNCTION("GOOGLETRANSLATE(A100,""zh-tw"",""DE"")"),"14.10.2024: Formatierung angepasst")</f>
        <v>14.10.2024: Formatierung angepasst</v>
      </c>
      <c r="I100" s="73" t="s">
        <v>535</v>
      </c>
      <c r="J100" s="7" t="s">
        <v>536</v>
      </c>
      <c r="K100" s="7" t="s">
        <v>537</v>
      </c>
      <c r="L100" s="7"/>
      <c r="M100" s="70"/>
      <c r="N100" s="70"/>
      <c r="O100" s="70"/>
      <c r="P100" s="70"/>
      <c r="Q100" s="70"/>
      <c r="R100" s="70"/>
      <c r="S100" s="70"/>
      <c r="T100" s="70"/>
      <c r="U100" s="70"/>
      <c r="V100" s="70"/>
      <c r="W100" s="70"/>
      <c r="X100" s="70"/>
      <c r="Y100" s="70"/>
      <c r="Z100" s="70"/>
    </row>
    <row r="101">
      <c r="A101" s="69" t="s">
        <v>538</v>
      </c>
      <c r="B101" s="69" t="str">
        <f>IFERROR(__xludf.DUMMYFUNCTION("GOOGLETRANSLATE(A101,""zh-tw"",""ja"")"),"2024年10月13日に簡体字中国語訳を追加しました")</f>
        <v>2024年10月13日に簡体字中国語訳を追加しました</v>
      </c>
      <c r="C101" s="69" t="s">
        <v>539</v>
      </c>
      <c r="D101" s="69" t="str">
        <f>IFERROR(__xludf.DUMMYFUNCTION("GOOGLETRANSLATE(A101,""zh-tw"",""zh"")"),"2024/10/13新增简体中文翻译")</f>
        <v>2024/10/13新增简体中文翻译</v>
      </c>
      <c r="E101" s="33" t="str">
        <f>IFERROR(__xludf.DUMMYFUNCTION("GOOGLETRANSLATE(A101,""zh-tw"",""es-MX"")"),"Se añadió la traducción al chino simplificado el 13/10/2024.")</f>
        <v>Se añadió la traducción al chino simplificado el 13/10/2024.</v>
      </c>
      <c r="F101" s="33" t="str">
        <f>IFERROR(__xludf.DUMMYFUNCTION("GOOGLETRANSLATE(A101,""zh-tw"",""KO"")"),"2024년 10월 13일에 중국어 간체 번역이 추가되었습니다.")</f>
        <v>2024년 10월 13일에 중국어 간체 번역이 추가되었습니다.</v>
      </c>
      <c r="G101" s="33" t="str">
        <f>IFERROR(__xludf.DUMMYFUNCTION("GOOGLETRANSLATE(A101,""zh-tw"",""RU"")"),"Добавлен перевод на упрощенный китайский язык 13.10.2024.")</f>
        <v>Добавлен перевод на упрощенный китайский язык 13.10.2024.</v>
      </c>
      <c r="H101" s="33" t="str">
        <f>IFERROR(__xludf.DUMMYFUNCTION("GOOGLETRANSLATE(A101,""zh-tw"",""DE"")"),"Vereinfachte chinesische Übersetzung hinzugefügt am 13.10.2024")</f>
        <v>Vereinfachte chinesische Übersetzung hinzugefügt am 13.10.2024</v>
      </c>
      <c r="I101" s="73" t="s">
        <v>540</v>
      </c>
      <c r="J101" s="7" t="s">
        <v>541</v>
      </c>
      <c r="K101" s="7" t="s">
        <v>542</v>
      </c>
      <c r="L101" s="7"/>
      <c r="M101" s="70"/>
      <c r="N101" s="70"/>
      <c r="O101" s="70"/>
      <c r="P101" s="70"/>
      <c r="Q101" s="70"/>
      <c r="R101" s="70"/>
      <c r="S101" s="70"/>
      <c r="T101" s="70"/>
      <c r="U101" s="70"/>
      <c r="V101" s="70"/>
      <c r="W101" s="70"/>
      <c r="X101" s="70"/>
      <c r="Y101" s="70"/>
      <c r="Z101" s="70"/>
    </row>
    <row r="102">
      <c r="A102" s="69" t="s">
        <v>543</v>
      </c>
      <c r="B102" s="69" t="str">
        <f>IFERROR(__xludf.DUMMYFUNCTION("GOOGLETRANSLATE(A102,""zh-tw"",""ja"")"),"2024年10月12日：お知らせフォームと編集ログを追加。タロットカードを改訂。")</f>
        <v>2024年10月12日：お知らせフォームと編集ログを追加。タロットカードを改訂。</v>
      </c>
      <c r="C102" s="69" t="s">
        <v>544</v>
      </c>
      <c r="D102" s="69" t="str">
        <f>IFERROR(__xludf.DUMMYFUNCTION("GOOGLETRANSLATE(A102,""zh-tw"",""zh"")"),"2024/10/12新增公告表与编辑日志、修正塔罗牌")</f>
        <v>2024/10/12新增公告表与编辑日志、修正塔罗牌</v>
      </c>
      <c r="E102" s="33" t="str">
        <f>IFERROR(__xludf.DUMMYFUNCTION("GOOGLETRANSLATE(A102,""zh-tw"",""es-MX"")"),"12 de octubre de 2024: Se agregó un formulario de anuncio y un registro de edición; se revisaron las cartas del tarot.")</f>
        <v>12 de octubre de 2024: Se agregó un formulario de anuncio y un registro de edición; se revisaron las cartas del tarot.</v>
      </c>
      <c r="F102" s="33" t="str">
        <f>IFERROR(__xludf.DUMMYFUNCTION("GOOGLETRANSLATE(A102,""zh-tw"",""KO"")"),"2024년 10월 12일: 공지 양식 및 편집 로그를 추가하고 타로 카드를 수정했습니다.")</f>
        <v>2024년 10월 12일: 공지 양식 및 편집 로그를 추가하고 타로 카드를 수정했습니다.</v>
      </c>
      <c r="G102" s="33" t="str">
        <f>IFERROR(__xludf.DUMMYFUNCTION("GOOGLETRANSLATE(A102,""zh-tw"",""RU"")"),"12 октября 2024 г.: Добавлена ​​форма для объявлений и журнал правок; пересмотрены карты Таро.")</f>
        <v>12 октября 2024 г.: Добавлена ​​форма для объявлений и журнал правок; пересмотрены карты Таро.</v>
      </c>
      <c r="H102" s="33" t="str">
        <f>IFERROR(__xludf.DUMMYFUNCTION("GOOGLETRANSLATE(A102,""zh-tw"",""DE"")"),"12. Oktober 2024: Ankündigungsformular und Bearbeitungsprotokoll hinzugefügt; Tarotkarten überarbeitet.")</f>
        <v>12. Oktober 2024: Ankündigungsformular und Bearbeitungsprotokoll hinzugefügt; Tarotkarten überarbeitet.</v>
      </c>
      <c r="I102" s="73" t="s">
        <v>545</v>
      </c>
      <c r="J102" s="7" t="s">
        <v>546</v>
      </c>
      <c r="K102" s="7" t="s">
        <v>547</v>
      </c>
      <c r="L102" s="7"/>
      <c r="M102" s="70"/>
      <c r="N102" s="70"/>
      <c r="O102" s="70"/>
      <c r="P102" s="70"/>
      <c r="Q102" s="70"/>
      <c r="R102" s="70"/>
      <c r="S102" s="70"/>
      <c r="T102" s="70"/>
      <c r="U102" s="70"/>
      <c r="V102" s="70"/>
      <c r="W102" s="70"/>
      <c r="X102" s="70"/>
      <c r="Y102" s="70"/>
      <c r="Z102" s="70"/>
    </row>
    <row r="103">
      <c r="A103" s="69" t="s">
        <v>548</v>
      </c>
      <c r="B103" s="69" t="str">
        <f>IFERROR(__xludf.DUMMYFUNCTION("GOOGLETRANSLATE(A103,""zh-tw"",""ja"")"),"2024/10/10 新しいイベントと通知テーブルの内容を追加しました")</f>
        <v>2024/10/10 新しいイベントと通知テーブルの内容を追加しました</v>
      </c>
      <c r="C103" s="69" t="s">
        <v>549</v>
      </c>
      <c r="D103" s="69" t="str">
        <f>IFERROR(__xludf.DUMMYFUNCTION("GOOGLETRANSLATE(A103,""zh-tw"",""zh"")"),"2024/10/10 新增事件、提示表内容")</f>
        <v>2024/10/10 新增事件、提示表内容</v>
      </c>
      <c r="E103" s="33" t="str">
        <f>IFERROR(__xludf.DUMMYFUNCTION("GOOGLETRANSLATE(A103,""zh-tw"",""es-MX"")"),"10/10/2024 Se agregaron nuevos eventos y contenido a la tabla de notificaciones.")</f>
        <v>10/10/2024 Se agregaron nuevos eventos y contenido a la tabla de notificaciones.</v>
      </c>
      <c r="F103" s="33" t="str">
        <f>IFERROR(__xludf.DUMMYFUNCTION("GOOGLETRANSLATE(A103,""zh-tw"",""KO"")"),"2024년 10월 10일 새로운 이벤트 및 알림 테이블 콘텐츠가 추가되었습니다.")</f>
        <v>2024년 10월 10일 새로운 이벤트 및 알림 테이블 콘텐츠가 추가되었습니다.</v>
      </c>
      <c r="G103" s="33" t="str">
        <f>IFERROR(__xludf.DUMMYFUNCTION("GOOGLETRANSLATE(A103,""zh-tw"",""RU"")"),"10.10.2024 Добавлено новое содержимое таблицы событий и уведомлений.")</f>
        <v>10.10.2024 Добавлено новое содержимое таблицы событий и уведомлений.</v>
      </c>
      <c r="H103" s="33" t="str">
        <f>IFERROR(__xludf.DUMMYFUNCTION("GOOGLETRANSLATE(A103,""zh-tw"",""DE"")"),"10.10.2024: Neue Ereignisse und Benachrichtigungstabelle hinzugefügt")</f>
        <v>10.10.2024: Neue Ereignisse und Benachrichtigungstabelle hinzugefügt</v>
      </c>
      <c r="I103" s="73" t="s">
        <v>550</v>
      </c>
      <c r="J103" s="7" t="s">
        <v>551</v>
      </c>
      <c r="K103" s="7" t="s">
        <v>552</v>
      </c>
      <c r="L103" s="7"/>
      <c r="M103" s="70"/>
      <c r="N103" s="70"/>
      <c r="O103" s="70"/>
      <c r="P103" s="70"/>
      <c r="Q103" s="70"/>
      <c r="R103" s="70"/>
      <c r="S103" s="70"/>
      <c r="T103" s="70"/>
      <c r="U103" s="70"/>
      <c r="V103" s="70"/>
      <c r="W103" s="70"/>
      <c r="X103" s="70"/>
      <c r="Y103" s="70"/>
      <c r="Z103" s="70"/>
    </row>
    <row r="104">
      <c r="A104" s="69" t="s">
        <v>553</v>
      </c>
      <c r="B104" s="69" t="str">
        <f>IFERROR(__xludf.DUMMYFUNCTION("GOOGLETRANSLATE(A104,""zh-tw"",""ja"")"),"イベントと通知テーブルの内容が2024年10月9日に追加されました")</f>
        <v>イベントと通知テーブルの内容が2024年10月9日に追加されました</v>
      </c>
      <c r="C104" s="69" t="s">
        <v>554</v>
      </c>
      <c r="D104" s="69" t="str">
        <f>IFERROR(__xludf.DUMMYFUNCTION("GOOGLETRANSLATE(A104,""zh-tw"",""zh"")"),"2024/10/9新增事件、提示表内容")</f>
        <v>2024/10/9新增事件、提示表内容</v>
      </c>
      <c r="E104" s="33" t="str">
        <f>IFERROR(__xludf.DUMMYFUNCTION("GOOGLETRANSLATE(A104,""zh-tw"",""es-MX"")"),"Se agregó contenido a la tabla de eventos y notificaciones el 9/10/2024.")</f>
        <v>Se agregó contenido a la tabla de eventos y notificaciones el 9/10/2024.</v>
      </c>
      <c r="F104" s="33" t="str">
        <f>IFERROR(__xludf.DUMMYFUNCTION("GOOGLETRANSLATE(A104,""zh-tw"",""KO"")"),"2024년 10월 9일에 이벤트 및 알림 테이블 내용을 추가했습니다.")</f>
        <v>2024년 10월 9일에 이벤트 및 알림 테이블 내용을 추가했습니다.</v>
      </c>
      <c r="G104" s="33" t="str">
        <f>IFERROR(__xludf.DUMMYFUNCTION("GOOGLETRANSLATE(A104,""zh-tw"",""RU"")"),"Добавлено содержимое таблицы событий и уведомлений 9 октября 2024 г.")</f>
        <v>Добавлено содержимое таблицы событий и уведомлений 9 октября 2024 г.</v>
      </c>
      <c r="H104" s="33" t="str">
        <f>IFERROR(__xludf.DUMMYFUNCTION("GOOGLETRANSLATE(A104,""zh-tw"",""DE"")"),"Ereignis- und Benachrichtigungstabelleninhalte wurden am 9.10.2024 hinzugefügt.")</f>
        <v>Ereignis- und Benachrichtigungstabelleninhalte wurden am 9.10.2024 hinzugefügt.</v>
      </c>
      <c r="I104" s="73" t="s">
        <v>555</v>
      </c>
      <c r="J104" s="7" t="s">
        <v>556</v>
      </c>
      <c r="K104" s="7" t="s">
        <v>557</v>
      </c>
      <c r="L104" s="7"/>
      <c r="M104" s="70"/>
      <c r="N104" s="70"/>
      <c r="O104" s="70"/>
      <c r="P104" s="70"/>
      <c r="Q104" s="70"/>
      <c r="R104" s="70"/>
      <c r="S104" s="70"/>
      <c r="T104" s="70"/>
      <c r="U104" s="70"/>
      <c r="V104" s="70"/>
      <c r="W104" s="70"/>
      <c r="X104" s="70"/>
      <c r="Y104" s="70"/>
      <c r="Z104" s="70"/>
    </row>
    <row r="105">
      <c r="A105" s="69" t="s">
        <v>558</v>
      </c>
      <c r="B105" s="69" t="str">
        <f>IFERROR(__xludf.DUMMYFUNCTION("GOOGLETRANSLATE(A105,""zh-tw"",""ja"")"),"イベントと通知テーブルの内容が2024年10月8日に追加されました")</f>
        <v>イベントと通知テーブルの内容が2024年10月8日に追加されました</v>
      </c>
      <c r="C105" s="69" t="s">
        <v>559</v>
      </c>
      <c r="D105" s="69" t="str">
        <f>IFERROR(__xludf.DUMMYFUNCTION("GOOGLETRANSLATE(A105,""zh-tw"",""zh"")"),"2024/10/8新增事件、提示表内容")</f>
        <v>2024/10/8新增事件、提示表内容</v>
      </c>
      <c r="E105" s="33" t="str">
        <f>IFERROR(__xludf.DUMMYFUNCTION("GOOGLETRANSLATE(A105,""zh-tw"",""es-MX"")"),"Se agregó contenido a la tabla de eventos y notificaciones el 8/10/2024.")</f>
        <v>Se agregó contenido a la tabla de eventos y notificaciones el 8/10/2024.</v>
      </c>
      <c r="F105" s="33" t="str">
        <f>IFERROR(__xludf.DUMMYFUNCTION("GOOGLETRANSLATE(A105,""zh-tw"",""KO"")"),"2024년 10월 8일에 이벤트 및 알림 테이블 내용을 추가했습니다.")</f>
        <v>2024년 10월 8일에 이벤트 및 알림 테이블 내용을 추가했습니다.</v>
      </c>
      <c r="G105" s="33" t="str">
        <f>IFERROR(__xludf.DUMMYFUNCTION("GOOGLETRANSLATE(A105,""zh-tw"",""RU"")"),"Добавлено содержимое таблицы событий и уведомлений 8 октября 2024 г.")</f>
        <v>Добавлено содержимое таблицы событий и уведомлений 8 октября 2024 г.</v>
      </c>
      <c r="H105" s="33" t="str">
        <f>IFERROR(__xludf.DUMMYFUNCTION("GOOGLETRANSLATE(A105,""zh-tw"",""DE"")"),"Ereignis- und Benachrichtigungstabelleninhalte wurden am 8.10.2024 hinzugefügt.")</f>
        <v>Ereignis- und Benachrichtigungstabelleninhalte wurden am 8.10.2024 hinzugefügt.</v>
      </c>
      <c r="I105" s="73" t="s">
        <v>560</v>
      </c>
      <c r="J105" s="7" t="s">
        <v>561</v>
      </c>
      <c r="K105" s="7" t="s">
        <v>562</v>
      </c>
      <c r="L105" s="7"/>
      <c r="M105" s="70"/>
      <c r="N105" s="70"/>
      <c r="O105" s="70"/>
      <c r="P105" s="70"/>
      <c r="Q105" s="70"/>
      <c r="R105" s="70"/>
      <c r="S105" s="70"/>
      <c r="T105" s="70"/>
      <c r="U105" s="70"/>
      <c r="V105" s="70"/>
      <c r="W105" s="70"/>
      <c r="X105" s="70"/>
      <c r="Y105" s="70"/>
      <c r="Z105" s="70"/>
    </row>
    <row r="106">
      <c r="A106" s="69" t="s">
        <v>563</v>
      </c>
      <c r="B106" s="69" t="str">
        <f>IFERROR(__xludf.DUMMYFUNCTION("GOOGLETRANSLATE(A106,""zh-tw"",""ja"")"),"2024年10月7日に通知テーブルを追加しました")</f>
        <v>2024年10月7日に通知テーブルを追加しました</v>
      </c>
      <c r="C106" s="69" t="s">
        <v>564</v>
      </c>
      <c r="D106" s="69" t="str">
        <f>IFERROR(__xludf.DUMMYFUNCTION("GOOGLETRANSLATE(A106,""zh-tw"",""zh"")"),"2024/10/7新增提示表")</f>
        <v>2024/10/7新增提示表</v>
      </c>
      <c r="E106" s="33" t="str">
        <f>IFERROR(__xludf.DUMMYFUNCTION("GOOGLETRANSLATE(A106,""zh-tw"",""es-MX"")"),"Tabla de notificaciones añadida el 7/10/2024")</f>
        <v>Tabla de notificaciones añadida el 7/10/2024</v>
      </c>
      <c r="F106" s="33" t="str">
        <f>IFERROR(__xludf.DUMMYFUNCTION("GOOGLETRANSLATE(A106,""zh-tw"",""KO"")"),"2024년 10월 7일에 알림 테이블이 추가되었습니다.")</f>
        <v>2024년 10월 7일에 알림 테이블이 추가되었습니다.</v>
      </c>
      <c r="G106" s="33" t="str">
        <f>IFERROR(__xludf.DUMMYFUNCTION("GOOGLETRANSLATE(A106,""zh-tw"",""RU"")"),"Добавлена ​​таблица уведомлений от 07.10.2024.")</f>
        <v>Добавлена ​​таблица уведомлений от 07.10.2024.</v>
      </c>
      <c r="H106" s="33" t="str">
        <f>IFERROR(__xludf.DUMMYFUNCTION("GOOGLETRANSLATE(A106,""zh-tw"",""DE"")"),"Benachrichtigungstabelle hinzugefügt am 07.10.2024.")</f>
        <v>Benachrichtigungstabelle hinzugefügt am 07.10.2024.</v>
      </c>
      <c r="I106" s="73" t="s">
        <v>565</v>
      </c>
      <c r="J106" s="7" t="s">
        <v>566</v>
      </c>
      <c r="K106" s="7" t="s">
        <v>567</v>
      </c>
      <c r="L106" s="7"/>
      <c r="M106" s="70"/>
      <c r="N106" s="70"/>
      <c r="O106" s="70"/>
      <c r="P106" s="70"/>
      <c r="Q106" s="70"/>
      <c r="R106" s="70"/>
      <c r="S106" s="70"/>
      <c r="T106" s="70"/>
      <c r="U106" s="70"/>
      <c r="V106" s="70"/>
      <c r="W106" s="70"/>
      <c r="X106" s="70"/>
      <c r="Y106" s="70"/>
      <c r="Z106" s="70"/>
    </row>
    <row r="107">
      <c r="A107" s="4" t="s">
        <v>568</v>
      </c>
      <c r="B107" s="76" t="s">
        <v>569</v>
      </c>
      <c r="C107" s="69" t="s">
        <v>570</v>
      </c>
      <c r="D107" s="69" t="str">
        <f>IFERROR(__xludf.DUMMYFUNCTION("GOOGLETRANSLATE(A107,""zh-tw"",""zh"")"),"2024/10/6
授权Discord:mioakatukaze转载至bilibili
https://www.bilibili.com/opus/985591575966908440?spm_id_from=333.999.0.0 ")</f>
        <v>2024/10/6
授权Discord:mioakatukaze转载至bilibili
https://www.bilibili.com/opus/985591575966908440?spm_id_from=333.999.0.0 </v>
      </c>
      <c r="E107" s="33" t="str">
        <f>IFERROR(__xludf.DUMMYFUNCTION("GOOGLETRANSLATE(A107,""zh-tw"",""es-MX"")"),"6 de octubre de 2024. Usuario autorizado de Discord: mioakatukaze para republicar en Bilibili.
https://www.bilibili.com/opus/985591575966908440?spm_id_from=333.999.0.0")</f>
        <v>6 de octubre de 2024. Usuario autorizado de Discord: mioakatukaze para republicar en Bilibili.
https://www.bilibili.com/opus/985591575966908440?spm_id_from=333.999.0.0</v>
      </c>
      <c r="F107" s="33" t="str">
        <f>IFERROR(__xludf.DUMMYFUNCTION("GOOGLETRANSLATE(A107,""zh-tw"",""KO"")"),"2024년 10월 6일. Discord 사용자 mioakatukaze의 승인을 받아 bilibili에 재게시되었습니다.
https://www.bilibili.com/opus/985591575966908440?spm_id_from=333.999.0.0")</f>
        <v>2024년 10월 6일. Discord 사용자 mioakatukaze의 승인을 받아 bilibili에 재게시되었습니다.
https://www.bilibili.com/opus/985591575966908440?spm_id_from=333.999.0.0</v>
      </c>
      <c r="G107" s="33" t="str">
        <f>IFERROR(__xludf.DUMMYFUNCTION("GOOGLETRANSLATE(A107,""zh-tw"",""RU"")"),"6 октября 2024 г. Авторизованный пользователь Discord: mioakatukaze для повторной публикации на bilibili.
https://www.bilibili.com/opus/985591575966908440?spm_id_from=333.999.0.0")</f>
        <v>6 октября 2024 г. Авторизованный пользователь Discord: mioakatukaze для повторной публикации на bilibili.
https://www.bilibili.com/opus/985591575966908440?spm_id_from=333.999.0.0</v>
      </c>
      <c r="H107" s="33" t="str">
        <f>IFERROR(__xludf.DUMMYFUNCTION("GOOGLETRANSLATE(A107,""zh-tw"",""DE"")"),"6. Oktober 2024. Autorisierter Discord-Nutzer: mioakatukaze zur Weiterveröffentlichung auf Bilibili.
https://www.bilibili.com/opus/985591575966908440?spm_id_from=333.999.0.0")</f>
        <v>6. Oktober 2024. Autorisierter Discord-Nutzer: mioakatukaze zur Weiterveröffentlichung auf Bilibili.
https://www.bilibili.com/opus/985591575966908440?spm_id_from=333.999.0.0</v>
      </c>
      <c r="I107" s="77" t="s">
        <v>571</v>
      </c>
      <c r="J107" s="75" t="s">
        <v>572</v>
      </c>
      <c r="K107" s="7" t="s">
        <v>573</v>
      </c>
      <c r="L107" s="7"/>
      <c r="M107" s="70"/>
      <c r="N107" s="70"/>
      <c r="O107" s="70"/>
      <c r="P107" s="70"/>
      <c r="Q107" s="70"/>
      <c r="R107" s="70"/>
      <c r="S107" s="70"/>
      <c r="T107" s="70"/>
      <c r="U107" s="70"/>
      <c r="V107" s="70"/>
      <c r="W107" s="70"/>
      <c r="X107" s="70"/>
      <c r="Y107" s="70"/>
      <c r="Z107" s="70"/>
    </row>
    <row r="108">
      <c r="A108" s="69" t="s">
        <v>574</v>
      </c>
      <c r="B108" s="69" t="str">
        <f>IFERROR(__xludf.DUMMYFUNCTION("GOOGLETRANSLATE(A108,""zh-tw"",""ja"")"),"2024年10月6日にページ全体が編集・調整されました")</f>
        <v>2024年10月6日にページ全体が編集・調整されました</v>
      </c>
      <c r="C108" s="69" t="s">
        <v>575</v>
      </c>
      <c r="D108" s="69" t="str">
        <f>IFERROR(__xludf.DUMMYFUNCTION("GOOGLETRANSLATE(A108,""zh-tw"",""zh"")"),"2024/10/6全页面修改调整")</f>
        <v>2024/10/6全页面修改调整</v>
      </c>
      <c r="E108" s="33" t="str">
        <f>IFERROR(__xludf.DUMMYFUNCTION("GOOGLETRANSLATE(A108,""zh-tw"",""es-MX"")"),"Página completa editada y ajustada el 6 de octubre de 2024.")</f>
        <v>Página completa editada y ajustada el 6 de octubre de 2024.</v>
      </c>
      <c r="F108" s="33" t="str">
        <f>IFERROR(__xludf.DUMMYFUNCTION("GOOGLETRANSLATE(A108,""zh-tw"",""KO"")"),"전체 페이지가 2024년 10월 6일에 수정 및 조정되었습니다.")</f>
        <v>전체 페이지가 2024년 10월 6일에 수정 및 조정되었습니다.</v>
      </c>
      <c r="G108" s="33" t="str">
        <f>IFERROR(__xludf.DUMMYFUNCTION("GOOGLETRANSLATE(A108,""zh-tw"",""RU"")"),"Вся страница отредактирована и скорректирована 6 октября 2024 года.")</f>
        <v>Вся страница отредактирована и скорректирована 6 октября 2024 года.</v>
      </c>
      <c r="H108" s="33" t="str">
        <f>IFERROR(__xludf.DUMMYFUNCTION("GOOGLETRANSLATE(A108,""zh-tw"",""DE"")"),"Die gesamte Seite wurde am 06.10.2024 bearbeitet und angepasst.")</f>
        <v>Die gesamte Seite wurde am 06.10.2024 bearbeitet und angepasst.</v>
      </c>
      <c r="I108" s="73" t="s">
        <v>576</v>
      </c>
      <c r="J108" s="7" t="s">
        <v>577</v>
      </c>
      <c r="K108" s="7" t="s">
        <v>578</v>
      </c>
      <c r="L108" s="7"/>
      <c r="M108" s="70"/>
      <c r="N108" s="70"/>
      <c r="O108" s="70"/>
      <c r="P108" s="70"/>
      <c r="Q108" s="70"/>
      <c r="R108" s="70"/>
      <c r="S108" s="70"/>
      <c r="T108" s="70"/>
      <c r="U108" s="70"/>
      <c r="V108" s="70"/>
      <c r="W108" s="70"/>
      <c r="X108" s="70"/>
      <c r="Y108" s="70"/>
      <c r="Z108" s="70"/>
    </row>
    <row r="109">
      <c r="A109" s="69" t="s">
        <v>579</v>
      </c>
      <c r="B109" s="69" t="str">
        <f>IFERROR(__xludf.DUMMYFUNCTION("GOOGLETRANSLATE(A109,""zh-tw"",""ja"")"),"2024年10月5日に一般公開されました。")</f>
        <v>2024年10月5日に一般公開されました。</v>
      </c>
      <c r="C109" s="69" t="s">
        <v>580</v>
      </c>
      <c r="D109" s="69" t="str">
        <f>IFERROR(__xludf.DUMMYFUNCTION("GOOGLETRANSLATE(A109,""zh-tw"",""zh"")"),"2024/10/5对外发布")</f>
        <v>2024/10/5对外发布</v>
      </c>
      <c r="E109" s="33" t="str">
        <f>IFERROR(__xludf.DUMMYFUNCTION("GOOGLETRANSLATE(A109,""zh-tw"",""es-MX"")"),"Publicado el 5 de octubre de 2024.")</f>
        <v>Publicado el 5 de octubre de 2024.</v>
      </c>
      <c r="F109" s="33" t="str">
        <f>IFERROR(__xludf.DUMMYFUNCTION("GOOGLETRANSLATE(A109,""zh-tw"",""KO"")"),"2024년 10월 5일 일반에 공개되었습니다.")</f>
        <v>2024년 10월 5일 일반에 공개되었습니다.</v>
      </c>
      <c r="G109" s="33" t="str">
        <f>IFERROR(__xludf.DUMMYFUNCTION("GOOGLETRANSLATE(A109,""zh-tw"",""RU"")"),"Опубликовано 5 октября 2024 года.")</f>
        <v>Опубликовано 5 октября 2024 года.</v>
      </c>
      <c r="H109" s="33" t="str">
        <f>IFERROR(__xludf.DUMMYFUNCTION("GOOGLETRANSLATE(A109,""zh-tw"",""DE"")"),"Veröffentlicht der Öffentlichkeit am 5. Oktober 2024")</f>
        <v>Veröffentlicht der Öffentlichkeit am 5. Oktober 2024</v>
      </c>
      <c r="I109" s="73" t="s">
        <v>581</v>
      </c>
      <c r="J109" s="7" t="s">
        <v>582</v>
      </c>
      <c r="K109" s="7" t="s">
        <v>583</v>
      </c>
      <c r="L109" s="7"/>
      <c r="M109" s="70"/>
      <c r="N109" s="70"/>
      <c r="O109" s="70"/>
      <c r="P109" s="70"/>
      <c r="Q109" s="70"/>
      <c r="R109" s="70"/>
      <c r="S109" s="70"/>
      <c r="T109" s="70"/>
      <c r="U109" s="70"/>
      <c r="V109" s="70"/>
      <c r="W109" s="70"/>
      <c r="X109" s="70"/>
      <c r="Y109" s="70"/>
      <c r="Z109" s="70"/>
    </row>
    <row r="110">
      <c r="A110" s="69" t="s">
        <v>584</v>
      </c>
      <c r="B110" s="69" t="str">
        <f>IFERROR(__xludf.DUMMYFUNCTION("GOOGLETRANSLATE(A110,""zh-tw"",""ja"")"),"初稿完成日：2024年10月4日")</f>
        <v>初稿完成日：2024年10月4日</v>
      </c>
      <c r="C110" s="69" t="s">
        <v>585</v>
      </c>
      <c r="D110" s="69" t="str">
        <f>IFERROR(__xludf.DUMMYFUNCTION("GOOGLETRANSLATE(A110,""zh-tw"",""zh"")"),"2024/10/4初版完成")</f>
        <v>2024/10/4初版完成</v>
      </c>
      <c r="E110" s="33" t="str">
        <f>IFERROR(__xludf.DUMMYFUNCTION("GOOGLETRANSLATE(A110,""zh-tw"",""es-MX"")"),"Primer borrador finalizado el 4 de octubre de 2024.")</f>
        <v>Primer borrador finalizado el 4 de octubre de 2024.</v>
      </c>
      <c r="F110" s="33" t="str">
        <f>IFERROR(__xludf.DUMMYFUNCTION("GOOGLETRANSLATE(A110,""zh-tw"",""KO"")"),"초안 작성 완료일: 2024년 10월 4일")</f>
        <v>초안 작성 완료일: 2024년 10월 4일</v>
      </c>
      <c r="G110" s="33" t="str">
        <f>IFERROR(__xludf.DUMMYFUNCTION("GOOGLETRANSLATE(A110,""zh-tw"",""RU"")"),"Первый черновик завершен 4 октября 2024 года.")</f>
        <v>Первый черновик завершен 4 октября 2024 года.</v>
      </c>
      <c r="H110" s="33" t="str">
        <f>IFERROR(__xludf.DUMMYFUNCTION("GOOGLETRANSLATE(A110,""zh-tw"",""DE"")"),"Erster Entwurf fertiggestellt am 4. Oktober 2024")</f>
        <v>Erster Entwurf fertiggestellt am 4. Oktober 2024</v>
      </c>
      <c r="I110" s="73" t="s">
        <v>586</v>
      </c>
      <c r="J110" s="7" t="s">
        <v>587</v>
      </c>
      <c r="K110" s="7" t="s">
        <v>588</v>
      </c>
      <c r="L110" s="7"/>
      <c r="M110" s="70"/>
      <c r="N110" s="70"/>
      <c r="O110" s="70"/>
      <c r="P110" s="70"/>
      <c r="Q110" s="70"/>
      <c r="R110" s="70"/>
      <c r="S110" s="70"/>
      <c r="T110" s="70"/>
      <c r="U110" s="70"/>
      <c r="V110" s="70"/>
      <c r="W110" s="70"/>
      <c r="X110" s="70"/>
      <c r="Y110" s="70"/>
      <c r="Z110" s="70"/>
    </row>
    <row r="111">
      <c r="A111" s="69" t="s">
        <v>589</v>
      </c>
      <c r="B111" s="69" t="str">
        <f>IFERROR(__xludf.DUMMYFUNCTION("GOOGLETRANSLATE(A111,""zh-tw"",""ja"")"),"このフォームは2024年10月1日に作成されました。")</f>
        <v>このフォームは2024年10月1日に作成されました。</v>
      </c>
      <c r="C111" s="69" t="s">
        <v>590</v>
      </c>
      <c r="D111" s="69" t="str">
        <f>IFERROR(__xludf.DUMMYFUNCTION("GOOGLETRANSLATE(A111,""zh-tw"",""zh"")"),"2024/10/1 建立本表单")</f>
        <v>2024/10/1 建立本表单</v>
      </c>
      <c r="E111" s="33" t="str">
        <f>IFERROR(__xludf.DUMMYFUNCTION("GOOGLETRANSLATE(A111,""zh-tw"",""es-MX"")"),"Este formulario fue creado el 1 de octubre de 2024.")</f>
        <v>Este formulario fue creado el 1 de octubre de 2024.</v>
      </c>
      <c r="F111" s="33" t="str">
        <f>IFERROR(__xludf.DUMMYFUNCTION("GOOGLETRANSLATE(A111,""zh-tw"",""KO"")"),"이 양식은 2024년 10월 1일에 생성되었습니다.")</f>
        <v>이 양식은 2024년 10월 1일에 생성되었습니다.</v>
      </c>
      <c r="G111" s="33" t="str">
        <f>IFERROR(__xludf.DUMMYFUNCTION("GOOGLETRANSLATE(A111,""zh-tw"",""RU"")"),"Данная форма была создана 1 октября 2024 года.")</f>
        <v>Данная форма была создана 1 октября 2024 года.</v>
      </c>
      <c r="H111" s="33" t="str">
        <f>IFERROR(__xludf.DUMMYFUNCTION("GOOGLETRANSLATE(A111,""zh-tw"",""DE"")"),"Dieses Formular wurde am 1. Oktober 2024 erstellt.")</f>
        <v>Dieses Formular wurde am 1. Oktober 2024 erstellt.</v>
      </c>
      <c r="I111" s="73" t="s">
        <v>591</v>
      </c>
      <c r="J111" s="7" t="s">
        <v>592</v>
      </c>
      <c r="K111" s="7" t="s">
        <v>593</v>
      </c>
      <c r="L111" s="7"/>
      <c r="M111" s="70"/>
      <c r="N111" s="70"/>
      <c r="O111" s="70"/>
      <c r="P111" s="70"/>
      <c r="Q111" s="70"/>
      <c r="R111" s="70"/>
      <c r="S111" s="70"/>
      <c r="T111" s="70"/>
      <c r="U111" s="70"/>
      <c r="V111" s="70"/>
      <c r="W111" s="70"/>
      <c r="X111" s="70"/>
      <c r="Y111" s="70"/>
      <c r="Z111" s="70"/>
    </row>
    <row r="112">
      <c r="A112" s="69"/>
      <c r="B112" s="69"/>
      <c r="C112" s="78"/>
      <c r="D112" s="78"/>
      <c r="E112" s="79"/>
      <c r="F112" s="79"/>
      <c r="G112" s="79"/>
      <c r="H112" s="79"/>
      <c r="I112" s="63"/>
      <c r="J112" s="60"/>
      <c r="K112" s="60"/>
      <c r="L112" s="60"/>
      <c r="M112" s="70"/>
      <c r="N112" s="70"/>
      <c r="O112" s="70"/>
      <c r="P112" s="70"/>
      <c r="Q112" s="70"/>
      <c r="R112" s="70"/>
      <c r="S112" s="70"/>
      <c r="T112" s="70"/>
      <c r="U112" s="70"/>
      <c r="V112" s="70"/>
      <c r="W112" s="70"/>
      <c r="X112" s="70"/>
      <c r="Y112" s="70"/>
      <c r="Z112" s="70"/>
    </row>
    <row r="113">
      <c r="A113" s="69"/>
      <c r="B113" s="69"/>
      <c r="C113" s="80"/>
      <c r="D113" s="80"/>
      <c r="E113" s="79"/>
      <c r="F113" s="79"/>
      <c r="G113" s="79"/>
      <c r="H113" s="79"/>
      <c r="I113" s="63"/>
      <c r="J113" s="60"/>
      <c r="K113" s="60"/>
      <c r="L113" s="60"/>
      <c r="M113" s="70"/>
      <c r="N113" s="70"/>
      <c r="O113" s="70"/>
      <c r="P113" s="70"/>
      <c r="Q113" s="70"/>
      <c r="R113" s="70"/>
      <c r="S113" s="70"/>
      <c r="T113" s="70"/>
      <c r="U113" s="70"/>
      <c r="V113" s="70"/>
      <c r="W113" s="70"/>
      <c r="X113" s="70"/>
      <c r="Y113" s="70"/>
      <c r="Z113" s="70"/>
    </row>
    <row r="114">
      <c r="A114" s="69"/>
      <c r="B114" s="69"/>
      <c r="C114" s="80"/>
      <c r="D114" s="80"/>
      <c r="E114" s="79"/>
      <c r="F114" s="79"/>
      <c r="G114" s="79"/>
      <c r="H114" s="79"/>
      <c r="I114" s="63"/>
      <c r="J114" s="60"/>
      <c r="K114" s="60"/>
      <c r="L114" s="60"/>
      <c r="M114" s="70"/>
      <c r="N114" s="70"/>
      <c r="O114" s="70"/>
      <c r="P114" s="70"/>
      <c r="Q114" s="70"/>
      <c r="R114" s="70"/>
      <c r="S114" s="70"/>
      <c r="T114" s="70"/>
      <c r="U114" s="70"/>
      <c r="V114" s="70"/>
      <c r="W114" s="70"/>
      <c r="X114" s="70"/>
      <c r="Y114" s="70"/>
      <c r="Z114" s="70"/>
    </row>
    <row r="115">
      <c r="A115" s="69"/>
      <c r="B115" s="69"/>
      <c r="C115" s="80"/>
      <c r="D115" s="80"/>
      <c r="E115" s="79"/>
      <c r="F115" s="79"/>
      <c r="G115" s="79"/>
      <c r="H115" s="79"/>
      <c r="I115" s="63"/>
      <c r="J115" s="60"/>
      <c r="K115" s="60"/>
      <c r="L115" s="60"/>
      <c r="M115" s="70"/>
      <c r="N115" s="70"/>
      <c r="O115" s="70"/>
      <c r="P115" s="70"/>
      <c r="Q115" s="70"/>
      <c r="R115" s="70"/>
      <c r="S115" s="70"/>
      <c r="T115" s="70"/>
      <c r="U115" s="70"/>
      <c r="V115" s="70"/>
      <c r="W115" s="70"/>
      <c r="X115" s="70"/>
      <c r="Y115" s="70"/>
      <c r="Z115" s="70"/>
    </row>
    <row r="116">
      <c r="A116" s="69"/>
      <c r="B116" s="69"/>
      <c r="C116" s="80"/>
      <c r="D116" s="80"/>
      <c r="E116" s="79"/>
      <c r="F116" s="79"/>
      <c r="G116" s="79"/>
      <c r="H116" s="79"/>
      <c r="I116" s="63"/>
      <c r="J116" s="60"/>
      <c r="K116" s="60"/>
      <c r="L116" s="60"/>
      <c r="M116" s="70"/>
      <c r="N116" s="70"/>
      <c r="O116" s="70"/>
      <c r="P116" s="70"/>
      <c r="Q116" s="70"/>
      <c r="R116" s="70"/>
      <c r="S116" s="70"/>
      <c r="T116" s="70"/>
      <c r="U116" s="70"/>
      <c r="V116" s="70"/>
      <c r="W116" s="70"/>
      <c r="X116" s="70"/>
      <c r="Y116" s="70"/>
      <c r="Z116" s="70"/>
    </row>
    <row r="117">
      <c r="A117" s="69"/>
      <c r="B117" s="69"/>
      <c r="C117" s="80"/>
      <c r="D117" s="80"/>
      <c r="E117" s="79"/>
      <c r="F117" s="79"/>
      <c r="G117" s="79"/>
      <c r="H117" s="79"/>
      <c r="I117" s="63"/>
      <c r="J117" s="60"/>
      <c r="K117" s="60"/>
      <c r="L117" s="60"/>
      <c r="M117" s="70"/>
      <c r="N117" s="70"/>
      <c r="O117" s="70"/>
      <c r="P117" s="70"/>
      <c r="Q117" s="70"/>
      <c r="R117" s="70"/>
      <c r="S117" s="70"/>
      <c r="T117" s="70"/>
      <c r="U117" s="70"/>
      <c r="V117" s="70"/>
      <c r="W117" s="70"/>
      <c r="X117" s="70"/>
      <c r="Y117" s="70"/>
      <c r="Z117" s="70"/>
    </row>
    <row r="118">
      <c r="A118" s="69"/>
      <c r="B118" s="69"/>
      <c r="C118" s="80"/>
      <c r="D118" s="80"/>
      <c r="E118" s="79"/>
      <c r="F118" s="79"/>
      <c r="G118" s="79"/>
      <c r="H118" s="79"/>
      <c r="I118" s="63"/>
      <c r="J118" s="60"/>
      <c r="K118" s="60"/>
      <c r="L118" s="60"/>
      <c r="M118" s="70"/>
      <c r="N118" s="70"/>
      <c r="O118" s="70"/>
      <c r="P118" s="70"/>
      <c r="Q118" s="70"/>
      <c r="R118" s="70"/>
      <c r="S118" s="70"/>
      <c r="T118" s="70"/>
      <c r="U118" s="70"/>
      <c r="V118" s="70"/>
      <c r="W118" s="70"/>
      <c r="X118" s="70"/>
      <c r="Y118" s="70"/>
      <c r="Z118" s="70"/>
    </row>
    <row r="119">
      <c r="A119" s="69"/>
      <c r="B119" s="69"/>
      <c r="C119" s="80"/>
      <c r="D119" s="80"/>
      <c r="E119" s="79"/>
      <c r="F119" s="79"/>
      <c r="G119" s="79"/>
      <c r="H119" s="79"/>
      <c r="I119" s="63"/>
      <c r="J119" s="60"/>
      <c r="K119" s="60"/>
      <c r="L119" s="60"/>
      <c r="M119" s="70"/>
      <c r="N119" s="70"/>
      <c r="O119" s="70"/>
      <c r="P119" s="70"/>
      <c r="Q119" s="70"/>
      <c r="R119" s="70"/>
      <c r="S119" s="70"/>
      <c r="T119" s="70"/>
      <c r="U119" s="70"/>
      <c r="V119" s="70"/>
      <c r="W119" s="70"/>
      <c r="X119" s="70"/>
      <c r="Y119" s="70"/>
      <c r="Z119" s="70"/>
    </row>
    <row r="120">
      <c r="A120" s="69"/>
      <c r="B120" s="69"/>
      <c r="C120" s="80"/>
      <c r="D120" s="80"/>
      <c r="E120" s="79"/>
      <c r="F120" s="79"/>
      <c r="G120" s="79"/>
      <c r="H120" s="79"/>
      <c r="I120" s="63"/>
      <c r="J120" s="60"/>
      <c r="K120" s="60"/>
      <c r="L120" s="60"/>
      <c r="M120" s="70"/>
      <c r="N120" s="70"/>
      <c r="O120" s="70"/>
      <c r="P120" s="70"/>
      <c r="Q120" s="70"/>
      <c r="R120" s="70"/>
      <c r="S120" s="70"/>
      <c r="T120" s="70"/>
      <c r="U120" s="70"/>
      <c r="V120" s="70"/>
      <c r="W120" s="70"/>
      <c r="X120" s="70"/>
      <c r="Y120" s="70"/>
      <c r="Z120" s="70"/>
    </row>
    <row r="121">
      <c r="A121" s="69"/>
      <c r="B121" s="69"/>
      <c r="C121" s="80"/>
      <c r="D121" s="80"/>
      <c r="E121" s="79"/>
      <c r="F121" s="79"/>
      <c r="G121" s="79"/>
      <c r="H121" s="79"/>
      <c r="I121" s="63"/>
      <c r="J121" s="60"/>
      <c r="K121" s="60"/>
      <c r="L121" s="60"/>
      <c r="M121" s="70"/>
      <c r="N121" s="70"/>
      <c r="O121" s="70"/>
      <c r="P121" s="70"/>
      <c r="Q121" s="70"/>
      <c r="R121" s="70"/>
      <c r="S121" s="70"/>
      <c r="T121" s="70"/>
      <c r="U121" s="70"/>
      <c r="V121" s="70"/>
      <c r="W121" s="70"/>
      <c r="X121" s="70"/>
      <c r="Y121" s="70"/>
      <c r="Z121" s="70"/>
    </row>
    <row r="122">
      <c r="A122" s="69"/>
      <c r="B122" s="69"/>
      <c r="C122" s="80"/>
      <c r="D122" s="80"/>
      <c r="E122" s="79"/>
      <c r="F122" s="79"/>
      <c r="G122" s="79"/>
      <c r="H122" s="79"/>
      <c r="I122" s="63"/>
      <c r="J122" s="60"/>
      <c r="K122" s="60"/>
      <c r="L122" s="60"/>
      <c r="M122" s="70"/>
      <c r="N122" s="70"/>
      <c r="O122" s="70"/>
      <c r="P122" s="70"/>
      <c r="Q122" s="70"/>
      <c r="R122" s="70"/>
      <c r="S122" s="70"/>
      <c r="T122" s="70"/>
      <c r="U122" s="70"/>
      <c r="V122" s="70"/>
      <c r="W122" s="70"/>
      <c r="X122" s="70"/>
      <c r="Y122" s="70"/>
      <c r="Z122" s="70"/>
    </row>
    <row r="123">
      <c r="A123" s="69"/>
      <c r="B123" s="69"/>
      <c r="C123" s="80"/>
      <c r="D123" s="80"/>
      <c r="E123" s="79"/>
      <c r="F123" s="79"/>
      <c r="G123" s="79"/>
      <c r="H123" s="79"/>
      <c r="I123" s="63"/>
      <c r="J123" s="60"/>
      <c r="K123" s="60"/>
      <c r="L123" s="60"/>
      <c r="M123" s="70"/>
      <c r="N123" s="70"/>
      <c r="O123" s="70"/>
      <c r="P123" s="70"/>
      <c r="Q123" s="70"/>
      <c r="R123" s="70"/>
      <c r="S123" s="70"/>
      <c r="T123" s="70"/>
      <c r="U123" s="70"/>
      <c r="V123" s="70"/>
      <c r="W123" s="70"/>
      <c r="X123" s="70"/>
      <c r="Y123" s="70"/>
      <c r="Z123" s="70"/>
    </row>
    <row r="124">
      <c r="A124" s="69"/>
      <c r="B124" s="69"/>
      <c r="C124" s="80"/>
      <c r="D124" s="80"/>
      <c r="E124" s="79"/>
      <c r="F124" s="79"/>
      <c r="G124" s="79"/>
      <c r="H124" s="79"/>
      <c r="I124" s="63"/>
      <c r="J124" s="60"/>
      <c r="K124" s="60"/>
      <c r="L124" s="60"/>
      <c r="M124" s="70"/>
      <c r="N124" s="70"/>
      <c r="O124" s="70"/>
      <c r="P124" s="70"/>
      <c r="Q124" s="70"/>
      <c r="R124" s="70"/>
      <c r="S124" s="70"/>
      <c r="T124" s="70"/>
      <c r="U124" s="70"/>
      <c r="V124" s="70"/>
      <c r="W124" s="70"/>
      <c r="X124" s="70"/>
      <c r="Y124" s="70"/>
      <c r="Z124" s="70"/>
    </row>
    <row r="125">
      <c r="A125" s="69"/>
      <c r="B125" s="69"/>
      <c r="C125" s="80"/>
      <c r="D125" s="80"/>
      <c r="E125" s="79"/>
      <c r="F125" s="79"/>
      <c r="G125" s="79"/>
      <c r="H125" s="79"/>
      <c r="I125" s="63"/>
      <c r="J125" s="60"/>
      <c r="K125" s="60"/>
      <c r="L125" s="60"/>
      <c r="M125" s="70"/>
      <c r="N125" s="70"/>
      <c r="O125" s="70"/>
      <c r="P125" s="70"/>
      <c r="Q125" s="70"/>
      <c r="R125" s="70"/>
      <c r="S125" s="70"/>
      <c r="T125" s="70"/>
      <c r="U125" s="70"/>
      <c r="V125" s="70"/>
      <c r="W125" s="70"/>
      <c r="X125" s="70"/>
      <c r="Y125" s="70"/>
      <c r="Z125" s="70"/>
    </row>
    <row r="126">
      <c r="A126" s="69"/>
      <c r="B126" s="69"/>
      <c r="C126" s="80"/>
      <c r="D126" s="80"/>
      <c r="E126" s="79"/>
      <c r="F126" s="79"/>
      <c r="G126" s="79"/>
      <c r="H126" s="79"/>
      <c r="I126" s="63"/>
      <c r="J126" s="60"/>
      <c r="K126" s="60"/>
      <c r="L126" s="60"/>
      <c r="M126" s="70"/>
      <c r="N126" s="70"/>
      <c r="O126" s="70"/>
      <c r="P126" s="70"/>
      <c r="Q126" s="70"/>
      <c r="R126" s="70"/>
      <c r="S126" s="70"/>
      <c r="T126" s="70"/>
      <c r="U126" s="70"/>
      <c r="V126" s="70"/>
      <c r="W126" s="70"/>
      <c r="X126" s="70"/>
      <c r="Y126" s="70"/>
      <c r="Z126" s="70"/>
    </row>
    <row r="127">
      <c r="A127" s="69"/>
      <c r="B127" s="69"/>
      <c r="C127" s="80"/>
      <c r="D127" s="80"/>
      <c r="E127" s="79"/>
      <c r="F127" s="79"/>
      <c r="G127" s="79"/>
      <c r="H127" s="79"/>
      <c r="I127" s="63"/>
      <c r="J127" s="60"/>
      <c r="K127" s="60"/>
      <c r="L127" s="60"/>
      <c r="M127" s="70"/>
      <c r="N127" s="70"/>
      <c r="O127" s="70"/>
      <c r="P127" s="70"/>
      <c r="Q127" s="70"/>
      <c r="R127" s="70"/>
      <c r="S127" s="70"/>
      <c r="T127" s="70"/>
      <c r="U127" s="70"/>
      <c r="V127" s="70"/>
      <c r="W127" s="70"/>
      <c r="X127" s="70"/>
      <c r="Y127" s="70"/>
      <c r="Z127" s="70"/>
    </row>
    <row r="128">
      <c r="A128" s="69"/>
      <c r="B128" s="69"/>
      <c r="C128" s="80"/>
      <c r="D128" s="80"/>
      <c r="E128" s="79"/>
      <c r="F128" s="79"/>
      <c r="G128" s="79"/>
      <c r="H128" s="79"/>
      <c r="I128" s="63"/>
      <c r="J128" s="60"/>
      <c r="K128" s="60"/>
      <c r="L128" s="60"/>
      <c r="M128" s="70"/>
      <c r="N128" s="70"/>
      <c r="O128" s="70"/>
      <c r="P128" s="70"/>
      <c r="Q128" s="70"/>
      <c r="R128" s="70"/>
      <c r="S128" s="70"/>
      <c r="T128" s="70"/>
      <c r="U128" s="70"/>
      <c r="V128" s="70"/>
      <c r="W128" s="70"/>
      <c r="X128" s="70"/>
      <c r="Y128" s="70"/>
      <c r="Z128" s="70"/>
    </row>
    <row r="129">
      <c r="A129" s="69"/>
      <c r="B129" s="69"/>
      <c r="C129" s="80"/>
      <c r="D129" s="80"/>
      <c r="E129" s="79"/>
      <c r="F129" s="79"/>
      <c r="G129" s="79"/>
      <c r="H129" s="79"/>
      <c r="I129" s="63"/>
      <c r="J129" s="60"/>
      <c r="K129" s="60"/>
      <c r="L129" s="60"/>
      <c r="M129" s="70"/>
      <c r="N129" s="70"/>
      <c r="O129" s="70"/>
      <c r="P129" s="70"/>
      <c r="Q129" s="70"/>
      <c r="R129" s="70"/>
      <c r="S129" s="70"/>
      <c r="T129" s="70"/>
      <c r="U129" s="70"/>
      <c r="V129" s="70"/>
      <c r="W129" s="70"/>
      <c r="X129" s="70"/>
      <c r="Y129" s="70"/>
      <c r="Z129" s="70"/>
    </row>
    <row r="130">
      <c r="A130" s="81"/>
      <c r="B130" s="69"/>
      <c r="C130" s="80"/>
      <c r="D130" s="80"/>
      <c r="E130" s="79"/>
      <c r="F130" s="79"/>
      <c r="G130" s="79"/>
      <c r="H130" s="79"/>
      <c r="I130" s="63"/>
      <c r="J130" s="60"/>
      <c r="K130" s="60"/>
      <c r="L130" s="60"/>
      <c r="M130" s="70"/>
      <c r="N130" s="70"/>
      <c r="O130" s="70"/>
      <c r="P130" s="70"/>
      <c r="Q130" s="70"/>
      <c r="R130" s="70"/>
      <c r="S130" s="70"/>
      <c r="T130" s="70"/>
      <c r="U130" s="70"/>
      <c r="V130" s="70"/>
      <c r="W130" s="70"/>
      <c r="X130" s="70"/>
      <c r="Y130" s="70"/>
      <c r="Z130" s="70"/>
    </row>
    <row r="131">
      <c r="A131" s="69"/>
      <c r="B131" s="69"/>
      <c r="C131" s="80"/>
      <c r="D131" s="80"/>
      <c r="E131" s="79"/>
      <c r="F131" s="79"/>
      <c r="G131" s="79"/>
      <c r="H131" s="79"/>
      <c r="I131" s="63"/>
      <c r="J131" s="60"/>
      <c r="K131" s="60"/>
      <c r="L131" s="60"/>
      <c r="M131" s="70"/>
      <c r="N131" s="70"/>
      <c r="O131" s="70"/>
      <c r="P131" s="70"/>
      <c r="Q131" s="70"/>
      <c r="R131" s="70"/>
      <c r="S131" s="70"/>
      <c r="T131" s="70"/>
      <c r="U131" s="70"/>
      <c r="V131" s="70"/>
      <c r="W131" s="70"/>
      <c r="X131" s="70"/>
      <c r="Y131" s="70"/>
      <c r="Z131" s="70"/>
    </row>
    <row r="132">
      <c r="A132" s="69"/>
      <c r="B132" s="69"/>
      <c r="C132" s="80"/>
      <c r="D132" s="80"/>
      <c r="E132" s="79"/>
      <c r="F132" s="79"/>
      <c r="G132" s="79"/>
      <c r="H132" s="79"/>
      <c r="I132" s="63"/>
      <c r="J132" s="60"/>
      <c r="K132" s="60"/>
      <c r="L132" s="60"/>
      <c r="M132" s="70"/>
      <c r="N132" s="70"/>
      <c r="O132" s="70"/>
      <c r="P132" s="70"/>
      <c r="Q132" s="70"/>
      <c r="R132" s="70"/>
      <c r="S132" s="70"/>
      <c r="T132" s="70"/>
      <c r="U132" s="70"/>
      <c r="V132" s="70"/>
      <c r="W132" s="70"/>
      <c r="X132" s="70"/>
      <c r="Y132" s="70"/>
      <c r="Z132" s="70"/>
    </row>
    <row r="133">
      <c r="A133" s="69"/>
      <c r="B133" s="69"/>
      <c r="C133" s="80"/>
      <c r="D133" s="80"/>
      <c r="E133" s="79"/>
      <c r="F133" s="79"/>
      <c r="G133" s="79"/>
      <c r="H133" s="79"/>
      <c r="I133" s="63"/>
      <c r="J133" s="60"/>
      <c r="K133" s="60"/>
      <c r="L133" s="60"/>
      <c r="M133" s="70"/>
      <c r="N133" s="70"/>
      <c r="O133" s="70"/>
      <c r="P133" s="70"/>
      <c r="Q133" s="70"/>
      <c r="R133" s="70"/>
      <c r="S133" s="70"/>
      <c r="T133" s="70"/>
      <c r="U133" s="70"/>
      <c r="V133" s="70"/>
      <c r="W133" s="70"/>
      <c r="X133" s="70"/>
      <c r="Y133" s="70"/>
      <c r="Z133" s="70"/>
    </row>
    <row r="134">
      <c r="A134" s="69"/>
      <c r="B134" s="69"/>
      <c r="C134" s="80"/>
      <c r="D134" s="80"/>
      <c r="E134" s="79"/>
      <c r="F134" s="79"/>
      <c r="G134" s="79"/>
      <c r="H134" s="79"/>
      <c r="I134" s="63"/>
      <c r="J134" s="60"/>
      <c r="K134" s="60"/>
      <c r="L134" s="60"/>
      <c r="M134" s="70"/>
      <c r="N134" s="70"/>
      <c r="O134" s="70"/>
      <c r="P134" s="70"/>
      <c r="Q134" s="70"/>
      <c r="R134" s="70"/>
      <c r="S134" s="70"/>
      <c r="T134" s="70"/>
      <c r="U134" s="70"/>
      <c r="V134" s="70"/>
      <c r="W134" s="70"/>
      <c r="X134" s="70"/>
      <c r="Y134" s="70"/>
      <c r="Z134" s="70"/>
    </row>
    <row r="135">
      <c r="A135" s="69"/>
      <c r="B135" s="69"/>
      <c r="C135" s="80"/>
      <c r="D135" s="80"/>
      <c r="E135" s="79"/>
      <c r="F135" s="79"/>
      <c r="G135" s="79"/>
      <c r="H135" s="79"/>
      <c r="I135" s="63"/>
      <c r="J135" s="60"/>
      <c r="K135" s="60"/>
      <c r="L135" s="60"/>
      <c r="M135" s="70"/>
      <c r="N135" s="70"/>
      <c r="O135" s="70"/>
      <c r="P135" s="70"/>
      <c r="Q135" s="70"/>
      <c r="R135" s="70"/>
      <c r="S135" s="70"/>
      <c r="T135" s="70"/>
      <c r="U135" s="70"/>
      <c r="V135" s="70"/>
      <c r="W135" s="70"/>
      <c r="X135" s="70"/>
      <c r="Y135" s="70"/>
      <c r="Z135" s="70"/>
    </row>
    <row r="136">
      <c r="A136" s="69"/>
      <c r="B136" s="69"/>
      <c r="C136" s="80"/>
      <c r="D136" s="80"/>
      <c r="E136" s="79"/>
      <c r="F136" s="79"/>
      <c r="G136" s="79"/>
      <c r="H136" s="79"/>
      <c r="I136" s="63"/>
      <c r="J136" s="60"/>
      <c r="K136" s="60"/>
      <c r="L136" s="60"/>
      <c r="M136" s="70"/>
      <c r="N136" s="70"/>
      <c r="O136" s="70"/>
      <c r="P136" s="70"/>
      <c r="Q136" s="70"/>
      <c r="R136" s="70"/>
      <c r="S136" s="70"/>
      <c r="T136" s="70"/>
      <c r="U136" s="70"/>
      <c r="V136" s="70"/>
      <c r="W136" s="70"/>
      <c r="X136" s="70"/>
      <c r="Y136" s="70"/>
      <c r="Z136" s="70"/>
    </row>
    <row r="137">
      <c r="A137" s="69"/>
      <c r="B137" s="69"/>
      <c r="C137" s="80"/>
      <c r="D137" s="80"/>
      <c r="E137" s="79"/>
      <c r="F137" s="79"/>
      <c r="G137" s="79"/>
      <c r="H137" s="79"/>
      <c r="I137" s="63"/>
      <c r="J137" s="60"/>
      <c r="K137" s="60"/>
      <c r="L137" s="60"/>
      <c r="M137" s="70"/>
      <c r="N137" s="70"/>
      <c r="O137" s="70"/>
      <c r="P137" s="70"/>
      <c r="Q137" s="70"/>
      <c r="R137" s="70"/>
      <c r="S137" s="70"/>
      <c r="T137" s="70"/>
      <c r="U137" s="70"/>
      <c r="V137" s="70"/>
      <c r="W137" s="70"/>
      <c r="X137" s="70"/>
      <c r="Y137" s="70"/>
      <c r="Z137" s="70"/>
    </row>
    <row r="138">
      <c r="A138" s="69"/>
      <c r="B138" s="69"/>
      <c r="C138" s="80"/>
      <c r="D138" s="80"/>
      <c r="E138" s="79"/>
      <c r="F138" s="79"/>
      <c r="G138" s="79"/>
      <c r="H138" s="79"/>
      <c r="I138" s="63"/>
      <c r="J138" s="60"/>
      <c r="K138" s="60"/>
      <c r="L138" s="60"/>
      <c r="M138" s="70"/>
      <c r="N138" s="70"/>
      <c r="O138" s="70"/>
      <c r="P138" s="70"/>
      <c r="Q138" s="70"/>
      <c r="R138" s="70"/>
      <c r="S138" s="70"/>
      <c r="T138" s="70"/>
      <c r="U138" s="70"/>
      <c r="V138" s="70"/>
      <c r="W138" s="70"/>
      <c r="X138" s="70"/>
      <c r="Y138" s="70"/>
      <c r="Z138" s="70"/>
    </row>
    <row r="139">
      <c r="A139" s="78"/>
      <c r="B139" s="78"/>
      <c r="C139" s="80"/>
      <c r="D139" s="80"/>
      <c r="E139" s="82"/>
      <c r="F139" s="82"/>
      <c r="G139" s="82"/>
      <c r="H139" s="82"/>
      <c r="I139" s="34"/>
      <c r="J139" s="83"/>
      <c r="K139" s="83"/>
      <c r="L139" s="83"/>
      <c r="M139" s="70"/>
      <c r="N139" s="70"/>
      <c r="O139" s="70"/>
      <c r="P139" s="70"/>
      <c r="Q139" s="70"/>
      <c r="R139" s="70"/>
      <c r="S139" s="70"/>
      <c r="T139" s="70"/>
      <c r="U139" s="70"/>
      <c r="V139" s="70"/>
      <c r="W139" s="70"/>
      <c r="X139" s="70"/>
      <c r="Y139" s="70"/>
      <c r="Z139" s="70"/>
    </row>
    <row r="140">
      <c r="A140" s="78"/>
      <c r="B140" s="78"/>
      <c r="C140" s="80"/>
      <c r="D140" s="80"/>
      <c r="E140" s="82"/>
      <c r="F140" s="82"/>
      <c r="G140" s="82"/>
      <c r="H140" s="82"/>
      <c r="I140" s="34"/>
      <c r="J140" s="83"/>
      <c r="K140" s="83"/>
      <c r="L140" s="83"/>
      <c r="M140" s="70"/>
      <c r="N140" s="70"/>
      <c r="O140" s="70"/>
      <c r="P140" s="70"/>
      <c r="Q140" s="70"/>
      <c r="R140" s="70"/>
      <c r="S140" s="70"/>
      <c r="T140" s="70"/>
      <c r="U140" s="70"/>
      <c r="V140" s="70"/>
      <c r="W140" s="70"/>
      <c r="X140" s="70"/>
      <c r="Y140" s="70"/>
      <c r="Z140" s="70"/>
    </row>
    <row r="141">
      <c r="A141" s="78"/>
      <c r="B141" s="78"/>
      <c r="C141" s="80"/>
      <c r="D141" s="80"/>
      <c r="E141" s="82"/>
      <c r="F141" s="82"/>
      <c r="G141" s="82"/>
      <c r="H141" s="82"/>
      <c r="I141" s="34"/>
      <c r="J141" s="83"/>
      <c r="K141" s="83"/>
      <c r="L141" s="83"/>
      <c r="M141" s="70"/>
      <c r="N141" s="70"/>
      <c r="O141" s="70"/>
      <c r="P141" s="70"/>
      <c r="Q141" s="70"/>
      <c r="R141" s="70"/>
      <c r="S141" s="70"/>
      <c r="T141" s="70"/>
      <c r="U141" s="70"/>
      <c r="V141" s="70"/>
      <c r="W141" s="70"/>
      <c r="X141" s="70"/>
      <c r="Y141" s="70"/>
      <c r="Z141" s="70"/>
    </row>
    <row r="142">
      <c r="A142" s="78"/>
      <c r="B142" s="78"/>
      <c r="C142" s="80"/>
      <c r="D142" s="80"/>
      <c r="E142" s="82"/>
      <c r="F142" s="82"/>
      <c r="G142" s="82"/>
      <c r="H142" s="82"/>
      <c r="I142" s="34"/>
      <c r="J142" s="83"/>
      <c r="K142" s="83"/>
      <c r="L142" s="83"/>
      <c r="M142" s="70"/>
      <c r="N142" s="70"/>
      <c r="O142" s="70"/>
      <c r="P142" s="70"/>
      <c r="Q142" s="70"/>
      <c r="R142" s="70"/>
      <c r="S142" s="70"/>
      <c r="T142" s="70"/>
      <c r="U142" s="70"/>
      <c r="V142" s="70"/>
      <c r="W142" s="70"/>
      <c r="X142" s="70"/>
      <c r="Y142" s="70"/>
      <c r="Z142" s="70"/>
    </row>
    <row r="143">
      <c r="A143" s="78"/>
      <c r="B143" s="78"/>
      <c r="C143" s="80"/>
      <c r="D143" s="80"/>
      <c r="E143" s="82"/>
      <c r="F143" s="82"/>
      <c r="G143" s="82"/>
      <c r="H143" s="82"/>
      <c r="I143" s="34"/>
      <c r="J143" s="83"/>
      <c r="K143" s="83"/>
      <c r="L143" s="83"/>
      <c r="M143" s="70"/>
      <c r="N143" s="70"/>
      <c r="O143" s="70"/>
      <c r="P143" s="70"/>
      <c r="Q143" s="70"/>
      <c r="R143" s="70"/>
      <c r="S143" s="70"/>
      <c r="T143" s="70"/>
      <c r="U143" s="70"/>
      <c r="V143" s="70"/>
      <c r="W143" s="70"/>
      <c r="X143" s="70"/>
      <c r="Y143" s="70"/>
      <c r="Z143" s="70"/>
    </row>
    <row r="144">
      <c r="A144" s="78"/>
      <c r="B144" s="78"/>
      <c r="C144" s="80"/>
      <c r="D144" s="80"/>
      <c r="E144" s="82"/>
      <c r="F144" s="82"/>
      <c r="G144" s="82"/>
      <c r="H144" s="82"/>
      <c r="I144" s="34"/>
      <c r="J144" s="83"/>
      <c r="K144" s="83"/>
      <c r="L144" s="83"/>
      <c r="M144" s="70"/>
      <c r="N144" s="70"/>
      <c r="O144" s="70"/>
      <c r="P144" s="70"/>
      <c r="Q144" s="70"/>
      <c r="R144" s="70"/>
      <c r="S144" s="70"/>
      <c r="T144" s="70"/>
      <c r="U144" s="70"/>
      <c r="V144" s="70"/>
      <c r="W144" s="70"/>
      <c r="X144" s="70"/>
      <c r="Y144" s="70"/>
      <c r="Z144" s="70"/>
    </row>
    <row r="145">
      <c r="A145" s="78"/>
      <c r="B145" s="78"/>
      <c r="C145" s="80"/>
      <c r="D145" s="80"/>
      <c r="E145" s="82"/>
      <c r="F145" s="82"/>
      <c r="G145" s="82"/>
      <c r="H145" s="82"/>
      <c r="I145" s="34"/>
      <c r="J145" s="83"/>
      <c r="K145" s="83"/>
      <c r="L145" s="83"/>
      <c r="M145" s="70"/>
      <c r="N145" s="70"/>
      <c r="O145" s="70"/>
      <c r="P145" s="70"/>
      <c r="Q145" s="70"/>
      <c r="R145" s="70"/>
      <c r="S145" s="70"/>
      <c r="T145" s="70"/>
      <c r="U145" s="70"/>
      <c r="V145" s="70"/>
      <c r="W145" s="70"/>
      <c r="X145" s="70"/>
      <c r="Y145" s="70"/>
      <c r="Z145" s="70"/>
    </row>
    <row r="146">
      <c r="A146" s="78"/>
      <c r="B146" s="78"/>
      <c r="C146" s="80"/>
      <c r="D146" s="80"/>
      <c r="E146" s="82"/>
      <c r="F146" s="82"/>
      <c r="G146" s="82"/>
      <c r="H146" s="82"/>
      <c r="I146" s="34"/>
      <c r="J146" s="83"/>
      <c r="K146" s="83"/>
      <c r="L146" s="83"/>
      <c r="M146" s="70"/>
      <c r="N146" s="70"/>
      <c r="O146" s="70"/>
      <c r="P146" s="70"/>
      <c r="Q146" s="70"/>
      <c r="R146" s="70"/>
      <c r="S146" s="70"/>
      <c r="T146" s="70"/>
      <c r="U146" s="70"/>
      <c r="V146" s="70"/>
      <c r="W146" s="70"/>
      <c r="X146" s="70"/>
      <c r="Y146" s="70"/>
      <c r="Z146" s="70"/>
    </row>
    <row r="147">
      <c r="A147" s="78"/>
      <c r="B147" s="78"/>
      <c r="C147" s="80"/>
      <c r="D147" s="80"/>
      <c r="E147" s="82"/>
      <c r="F147" s="82"/>
      <c r="G147" s="82"/>
      <c r="H147" s="82"/>
      <c r="I147" s="34"/>
      <c r="J147" s="83"/>
      <c r="K147" s="83"/>
      <c r="L147" s="83"/>
      <c r="M147" s="70"/>
      <c r="N147" s="70"/>
      <c r="O147" s="70"/>
      <c r="P147" s="70"/>
      <c r="Q147" s="70"/>
      <c r="R147" s="70"/>
      <c r="S147" s="70"/>
      <c r="T147" s="70"/>
      <c r="U147" s="70"/>
      <c r="V147" s="70"/>
      <c r="W147" s="70"/>
      <c r="X147" s="70"/>
      <c r="Y147" s="70"/>
      <c r="Z147" s="70"/>
    </row>
    <row r="148">
      <c r="A148" s="78"/>
      <c r="B148" s="78"/>
      <c r="C148" s="80"/>
      <c r="D148" s="80"/>
      <c r="E148" s="82"/>
      <c r="F148" s="82"/>
      <c r="G148" s="82"/>
      <c r="H148" s="82"/>
      <c r="I148" s="34"/>
      <c r="J148" s="83"/>
      <c r="K148" s="83"/>
      <c r="L148" s="83"/>
      <c r="M148" s="70"/>
      <c r="N148" s="70"/>
      <c r="O148" s="70"/>
      <c r="P148" s="70"/>
      <c r="Q148" s="70"/>
      <c r="R148" s="70"/>
      <c r="S148" s="70"/>
      <c r="T148" s="70"/>
      <c r="U148" s="70"/>
      <c r="V148" s="70"/>
      <c r="W148" s="70"/>
      <c r="X148" s="70"/>
      <c r="Y148" s="70"/>
      <c r="Z148" s="70"/>
    </row>
    <row r="149">
      <c r="A149" s="78"/>
      <c r="B149" s="78"/>
      <c r="C149" s="80"/>
      <c r="D149" s="80"/>
      <c r="E149" s="82"/>
      <c r="F149" s="82"/>
      <c r="G149" s="82"/>
      <c r="H149" s="82"/>
      <c r="I149" s="34"/>
      <c r="J149" s="83"/>
      <c r="K149" s="83"/>
      <c r="L149" s="83"/>
      <c r="M149" s="70"/>
      <c r="N149" s="70"/>
      <c r="O149" s="70"/>
      <c r="P149" s="70"/>
      <c r="Q149" s="70"/>
      <c r="R149" s="70"/>
      <c r="S149" s="70"/>
      <c r="T149" s="70"/>
      <c r="U149" s="70"/>
      <c r="V149" s="70"/>
      <c r="W149" s="70"/>
      <c r="X149" s="70"/>
      <c r="Y149" s="70"/>
      <c r="Z149" s="70"/>
    </row>
    <row r="150">
      <c r="A150" s="78"/>
      <c r="B150" s="78"/>
      <c r="C150" s="80"/>
      <c r="D150" s="80"/>
      <c r="E150" s="82"/>
      <c r="F150" s="82"/>
      <c r="G150" s="82"/>
      <c r="H150" s="82"/>
      <c r="I150" s="34"/>
      <c r="J150" s="83"/>
      <c r="K150" s="83"/>
      <c r="L150" s="83"/>
      <c r="M150" s="70"/>
      <c r="N150" s="70"/>
      <c r="O150" s="70"/>
      <c r="P150" s="70"/>
      <c r="Q150" s="70"/>
      <c r="R150" s="70"/>
      <c r="S150" s="70"/>
      <c r="T150" s="70"/>
      <c r="U150" s="70"/>
      <c r="V150" s="70"/>
      <c r="W150" s="70"/>
      <c r="X150" s="70"/>
      <c r="Y150" s="70"/>
      <c r="Z150" s="70"/>
    </row>
    <row r="151">
      <c r="A151" s="78"/>
      <c r="B151" s="78"/>
      <c r="C151" s="80"/>
      <c r="D151" s="80"/>
      <c r="E151" s="82"/>
      <c r="F151" s="82"/>
      <c r="G151" s="82"/>
      <c r="H151" s="82"/>
      <c r="I151" s="34"/>
      <c r="J151" s="83"/>
      <c r="K151" s="83"/>
      <c r="L151" s="83"/>
      <c r="M151" s="70"/>
      <c r="N151" s="70"/>
      <c r="O151" s="70"/>
      <c r="P151" s="70"/>
      <c r="Q151" s="70"/>
      <c r="R151" s="70"/>
      <c r="S151" s="70"/>
      <c r="T151" s="70"/>
      <c r="U151" s="70"/>
      <c r="V151" s="70"/>
      <c r="W151" s="70"/>
      <c r="X151" s="70"/>
      <c r="Y151" s="70"/>
      <c r="Z151" s="70"/>
    </row>
    <row r="152">
      <c r="A152" s="78"/>
      <c r="B152" s="78"/>
      <c r="C152" s="80"/>
      <c r="D152" s="80"/>
      <c r="E152" s="82"/>
      <c r="F152" s="82"/>
      <c r="G152" s="82"/>
      <c r="H152" s="82"/>
      <c r="I152" s="34"/>
      <c r="J152" s="83"/>
      <c r="K152" s="83"/>
      <c r="L152" s="83"/>
      <c r="M152" s="70"/>
      <c r="N152" s="70"/>
      <c r="O152" s="70"/>
      <c r="P152" s="70"/>
      <c r="Q152" s="70"/>
      <c r="R152" s="70"/>
      <c r="S152" s="70"/>
      <c r="T152" s="70"/>
      <c r="U152" s="70"/>
      <c r="V152" s="70"/>
      <c r="W152" s="70"/>
      <c r="X152" s="70"/>
      <c r="Y152" s="70"/>
      <c r="Z152" s="70"/>
    </row>
    <row r="153">
      <c r="A153" s="78"/>
      <c r="B153" s="78"/>
      <c r="C153" s="80"/>
      <c r="D153" s="80"/>
      <c r="E153" s="82"/>
      <c r="F153" s="82"/>
      <c r="G153" s="82"/>
      <c r="H153" s="82"/>
      <c r="I153" s="34"/>
      <c r="J153" s="83"/>
      <c r="K153" s="83"/>
      <c r="L153" s="83"/>
      <c r="M153" s="70"/>
      <c r="N153" s="70"/>
      <c r="O153" s="70"/>
      <c r="P153" s="70"/>
      <c r="Q153" s="70"/>
      <c r="R153" s="70"/>
      <c r="S153" s="70"/>
      <c r="T153" s="70"/>
      <c r="U153" s="70"/>
      <c r="V153" s="70"/>
      <c r="W153" s="70"/>
      <c r="X153" s="70"/>
      <c r="Y153" s="70"/>
      <c r="Z153" s="70"/>
    </row>
    <row r="154">
      <c r="A154" s="78"/>
      <c r="B154" s="78"/>
      <c r="C154" s="80"/>
      <c r="D154" s="80"/>
      <c r="E154" s="82"/>
      <c r="F154" s="82"/>
      <c r="G154" s="82"/>
      <c r="H154" s="82"/>
      <c r="I154" s="34"/>
      <c r="J154" s="83"/>
      <c r="K154" s="83"/>
      <c r="L154" s="83"/>
      <c r="M154" s="70"/>
      <c r="N154" s="70"/>
      <c r="O154" s="70"/>
      <c r="P154" s="70"/>
      <c r="Q154" s="70"/>
      <c r="R154" s="70"/>
      <c r="S154" s="70"/>
      <c r="T154" s="70"/>
      <c r="U154" s="70"/>
      <c r="V154" s="70"/>
      <c r="W154" s="70"/>
      <c r="X154" s="70"/>
      <c r="Y154" s="70"/>
      <c r="Z154" s="70"/>
    </row>
    <row r="155">
      <c r="A155" s="78"/>
      <c r="B155" s="78"/>
      <c r="C155" s="80"/>
      <c r="D155" s="80"/>
      <c r="E155" s="82"/>
      <c r="F155" s="82"/>
      <c r="G155" s="82"/>
      <c r="H155" s="82"/>
      <c r="I155" s="34"/>
      <c r="J155" s="83"/>
      <c r="K155" s="83"/>
      <c r="L155" s="83"/>
      <c r="M155" s="70"/>
      <c r="N155" s="70"/>
      <c r="O155" s="70"/>
      <c r="P155" s="70"/>
      <c r="Q155" s="70"/>
      <c r="R155" s="70"/>
      <c r="S155" s="70"/>
      <c r="T155" s="70"/>
      <c r="U155" s="70"/>
      <c r="V155" s="70"/>
      <c r="W155" s="70"/>
      <c r="X155" s="70"/>
      <c r="Y155" s="70"/>
      <c r="Z155" s="70"/>
    </row>
    <row r="156">
      <c r="A156" s="78"/>
      <c r="B156" s="78"/>
      <c r="C156" s="80"/>
      <c r="D156" s="80"/>
      <c r="E156" s="82"/>
      <c r="F156" s="82"/>
      <c r="G156" s="82"/>
      <c r="H156" s="82"/>
      <c r="I156" s="34"/>
      <c r="J156" s="83"/>
      <c r="K156" s="83"/>
      <c r="L156" s="83"/>
      <c r="M156" s="70"/>
      <c r="N156" s="70"/>
      <c r="O156" s="70"/>
      <c r="P156" s="70"/>
      <c r="Q156" s="70"/>
      <c r="R156" s="70"/>
      <c r="S156" s="70"/>
      <c r="T156" s="70"/>
      <c r="U156" s="70"/>
      <c r="V156" s="70"/>
      <c r="W156" s="70"/>
      <c r="X156" s="70"/>
      <c r="Y156" s="70"/>
      <c r="Z156" s="70"/>
    </row>
    <row r="157">
      <c r="A157" s="78"/>
      <c r="B157" s="78"/>
      <c r="C157" s="80"/>
      <c r="D157" s="80"/>
      <c r="E157" s="82"/>
      <c r="F157" s="82"/>
      <c r="G157" s="82"/>
      <c r="H157" s="82"/>
      <c r="I157" s="34"/>
      <c r="J157" s="83"/>
      <c r="K157" s="83"/>
      <c r="L157" s="83"/>
      <c r="M157" s="70"/>
      <c r="N157" s="70"/>
      <c r="O157" s="70"/>
      <c r="P157" s="70"/>
      <c r="Q157" s="70"/>
      <c r="R157" s="70"/>
      <c r="S157" s="70"/>
      <c r="T157" s="70"/>
      <c r="U157" s="70"/>
      <c r="V157" s="70"/>
      <c r="W157" s="70"/>
      <c r="X157" s="70"/>
      <c r="Y157" s="70"/>
      <c r="Z157" s="70"/>
    </row>
    <row r="158">
      <c r="A158" s="78"/>
      <c r="B158" s="78"/>
      <c r="C158" s="80"/>
      <c r="D158" s="80"/>
      <c r="E158" s="82"/>
      <c r="F158" s="82"/>
      <c r="G158" s="82"/>
      <c r="H158" s="82"/>
      <c r="I158" s="34"/>
      <c r="J158" s="83"/>
      <c r="K158" s="83"/>
      <c r="L158" s="83"/>
      <c r="M158" s="70"/>
      <c r="N158" s="70"/>
      <c r="O158" s="70"/>
      <c r="P158" s="70"/>
      <c r="Q158" s="70"/>
      <c r="R158" s="70"/>
      <c r="S158" s="70"/>
      <c r="T158" s="70"/>
      <c r="U158" s="70"/>
      <c r="V158" s="70"/>
      <c r="W158" s="70"/>
      <c r="X158" s="70"/>
      <c r="Y158" s="70"/>
      <c r="Z158" s="70"/>
    </row>
    <row r="159">
      <c r="A159" s="78"/>
      <c r="B159" s="78"/>
      <c r="C159" s="80"/>
      <c r="D159" s="80"/>
      <c r="E159" s="82"/>
      <c r="F159" s="82"/>
      <c r="G159" s="82"/>
      <c r="H159" s="82"/>
      <c r="I159" s="34"/>
      <c r="J159" s="83"/>
      <c r="K159" s="83"/>
      <c r="L159" s="83"/>
      <c r="M159" s="70"/>
      <c r="N159" s="70"/>
      <c r="O159" s="70"/>
      <c r="P159" s="70"/>
      <c r="Q159" s="70"/>
      <c r="R159" s="70"/>
      <c r="S159" s="70"/>
      <c r="T159" s="70"/>
      <c r="U159" s="70"/>
      <c r="V159" s="70"/>
      <c r="W159" s="70"/>
      <c r="X159" s="70"/>
      <c r="Y159" s="70"/>
      <c r="Z159" s="70"/>
    </row>
    <row r="160">
      <c r="A160" s="78"/>
      <c r="B160" s="78"/>
      <c r="C160" s="80"/>
      <c r="D160" s="80"/>
      <c r="E160" s="82"/>
      <c r="F160" s="82"/>
      <c r="G160" s="82"/>
      <c r="H160" s="82"/>
      <c r="I160" s="34"/>
      <c r="J160" s="83"/>
      <c r="K160" s="83"/>
      <c r="L160" s="83"/>
      <c r="M160" s="70"/>
      <c r="N160" s="70"/>
      <c r="O160" s="70"/>
      <c r="P160" s="70"/>
      <c r="Q160" s="70"/>
      <c r="R160" s="70"/>
      <c r="S160" s="70"/>
      <c r="T160" s="70"/>
      <c r="U160" s="70"/>
      <c r="V160" s="70"/>
      <c r="W160" s="70"/>
      <c r="X160" s="70"/>
      <c r="Y160" s="70"/>
      <c r="Z160" s="70"/>
    </row>
    <row r="161">
      <c r="A161" s="78"/>
      <c r="B161" s="78"/>
      <c r="C161" s="80"/>
      <c r="D161" s="80"/>
      <c r="E161" s="82"/>
      <c r="F161" s="82"/>
      <c r="G161" s="82"/>
      <c r="H161" s="82"/>
      <c r="I161" s="34"/>
      <c r="J161" s="83"/>
      <c r="K161" s="83"/>
      <c r="L161" s="83"/>
      <c r="M161" s="70"/>
      <c r="N161" s="70"/>
      <c r="O161" s="70"/>
      <c r="P161" s="70"/>
      <c r="Q161" s="70"/>
      <c r="R161" s="70"/>
      <c r="S161" s="70"/>
      <c r="T161" s="70"/>
      <c r="U161" s="70"/>
      <c r="V161" s="70"/>
      <c r="W161" s="70"/>
      <c r="X161" s="70"/>
      <c r="Y161" s="70"/>
      <c r="Z161" s="70"/>
    </row>
    <row r="162">
      <c r="A162" s="78"/>
      <c r="B162" s="78"/>
      <c r="C162" s="80"/>
      <c r="D162" s="80"/>
      <c r="E162" s="82"/>
      <c r="F162" s="82"/>
      <c r="G162" s="82"/>
      <c r="H162" s="82"/>
      <c r="I162" s="34"/>
      <c r="J162" s="83"/>
      <c r="K162" s="83"/>
      <c r="L162" s="83"/>
      <c r="M162" s="70"/>
      <c r="N162" s="70"/>
      <c r="O162" s="70"/>
      <c r="P162" s="70"/>
      <c r="Q162" s="70"/>
      <c r="R162" s="70"/>
      <c r="S162" s="70"/>
      <c r="T162" s="70"/>
      <c r="U162" s="70"/>
      <c r="V162" s="70"/>
      <c r="W162" s="70"/>
      <c r="X162" s="70"/>
      <c r="Y162" s="70"/>
      <c r="Z162" s="70"/>
    </row>
    <row r="163">
      <c r="A163" s="78"/>
      <c r="B163" s="78"/>
      <c r="C163" s="80"/>
      <c r="D163" s="80"/>
      <c r="E163" s="82"/>
      <c r="F163" s="82"/>
      <c r="G163" s="82"/>
      <c r="H163" s="82"/>
      <c r="I163" s="34"/>
      <c r="J163" s="83"/>
      <c r="K163" s="83"/>
      <c r="L163" s="83"/>
      <c r="M163" s="70"/>
      <c r="N163" s="70"/>
      <c r="O163" s="70"/>
      <c r="P163" s="70"/>
      <c r="Q163" s="70"/>
      <c r="R163" s="70"/>
      <c r="S163" s="70"/>
      <c r="T163" s="70"/>
      <c r="U163" s="70"/>
      <c r="V163" s="70"/>
      <c r="W163" s="70"/>
      <c r="X163" s="70"/>
      <c r="Y163" s="70"/>
      <c r="Z163" s="70"/>
    </row>
    <row r="164">
      <c r="A164" s="78"/>
      <c r="B164" s="78"/>
      <c r="C164" s="80"/>
      <c r="D164" s="80"/>
      <c r="E164" s="82"/>
      <c r="F164" s="82"/>
      <c r="G164" s="82"/>
      <c r="H164" s="82"/>
      <c r="I164" s="34"/>
      <c r="J164" s="83"/>
      <c r="K164" s="83"/>
      <c r="L164" s="83"/>
      <c r="M164" s="70"/>
      <c r="N164" s="70"/>
      <c r="O164" s="70"/>
      <c r="P164" s="70"/>
      <c r="Q164" s="70"/>
      <c r="R164" s="70"/>
      <c r="S164" s="70"/>
      <c r="T164" s="70"/>
      <c r="U164" s="70"/>
      <c r="V164" s="70"/>
      <c r="W164" s="70"/>
      <c r="X164" s="70"/>
      <c r="Y164" s="70"/>
      <c r="Z164" s="70"/>
    </row>
    <row r="165">
      <c r="A165" s="78"/>
      <c r="B165" s="78"/>
      <c r="C165" s="80"/>
      <c r="D165" s="80"/>
      <c r="E165" s="82"/>
      <c r="F165" s="82"/>
      <c r="G165" s="82"/>
      <c r="H165" s="82"/>
      <c r="I165" s="34"/>
      <c r="J165" s="83"/>
      <c r="K165" s="83"/>
      <c r="L165" s="83"/>
      <c r="M165" s="70"/>
      <c r="N165" s="70"/>
      <c r="O165" s="70"/>
      <c r="P165" s="70"/>
      <c r="Q165" s="70"/>
      <c r="R165" s="70"/>
      <c r="S165" s="70"/>
      <c r="T165" s="70"/>
      <c r="U165" s="70"/>
      <c r="V165" s="70"/>
      <c r="W165" s="70"/>
      <c r="X165" s="70"/>
      <c r="Y165" s="70"/>
      <c r="Z165" s="70"/>
    </row>
    <row r="166">
      <c r="A166" s="78"/>
      <c r="B166" s="78"/>
      <c r="C166" s="80"/>
      <c r="D166" s="80"/>
      <c r="E166" s="82"/>
      <c r="F166" s="82"/>
      <c r="G166" s="82"/>
      <c r="H166" s="82"/>
      <c r="I166" s="34"/>
      <c r="J166" s="83"/>
      <c r="K166" s="83"/>
      <c r="L166" s="83"/>
      <c r="M166" s="70"/>
      <c r="N166" s="70"/>
      <c r="O166" s="70"/>
      <c r="P166" s="70"/>
      <c r="Q166" s="70"/>
      <c r="R166" s="70"/>
      <c r="S166" s="70"/>
      <c r="T166" s="70"/>
      <c r="U166" s="70"/>
      <c r="V166" s="70"/>
      <c r="W166" s="70"/>
      <c r="X166" s="70"/>
      <c r="Y166" s="70"/>
      <c r="Z166" s="70"/>
    </row>
    <row r="167">
      <c r="A167" s="78"/>
      <c r="B167" s="78"/>
      <c r="C167" s="80"/>
      <c r="D167" s="80"/>
      <c r="E167" s="82"/>
      <c r="F167" s="82"/>
      <c r="G167" s="82"/>
      <c r="H167" s="82"/>
      <c r="I167" s="34"/>
      <c r="J167" s="83"/>
      <c r="K167" s="83"/>
      <c r="L167" s="83"/>
      <c r="M167" s="70"/>
      <c r="N167" s="70"/>
      <c r="O167" s="70"/>
      <c r="P167" s="70"/>
      <c r="Q167" s="70"/>
      <c r="R167" s="70"/>
      <c r="S167" s="70"/>
      <c r="T167" s="70"/>
      <c r="U167" s="70"/>
      <c r="V167" s="70"/>
      <c r="W167" s="70"/>
      <c r="X167" s="70"/>
      <c r="Y167" s="70"/>
      <c r="Z167" s="70"/>
    </row>
    <row r="168">
      <c r="A168" s="78"/>
      <c r="B168" s="78"/>
      <c r="C168" s="80"/>
      <c r="D168" s="80"/>
      <c r="E168" s="82"/>
      <c r="F168" s="82"/>
      <c r="G168" s="82"/>
      <c r="H168" s="82"/>
      <c r="I168" s="34"/>
      <c r="J168" s="83"/>
      <c r="K168" s="83"/>
      <c r="L168" s="83"/>
      <c r="M168" s="70"/>
      <c r="N168" s="70"/>
      <c r="O168" s="70"/>
      <c r="P168" s="70"/>
      <c r="Q168" s="70"/>
      <c r="R168" s="70"/>
      <c r="S168" s="70"/>
      <c r="T168" s="70"/>
      <c r="U168" s="70"/>
      <c r="V168" s="70"/>
      <c r="W168" s="70"/>
      <c r="X168" s="70"/>
      <c r="Y168" s="70"/>
      <c r="Z168" s="70"/>
    </row>
    <row r="169">
      <c r="A169" s="78"/>
      <c r="B169" s="78"/>
      <c r="C169" s="80"/>
      <c r="D169" s="80"/>
      <c r="E169" s="82"/>
      <c r="F169" s="82"/>
      <c r="G169" s="82"/>
      <c r="H169" s="82"/>
      <c r="I169" s="34"/>
      <c r="J169" s="83"/>
      <c r="K169" s="83"/>
      <c r="L169" s="83"/>
      <c r="M169" s="70"/>
      <c r="N169" s="70"/>
      <c r="O169" s="70"/>
      <c r="P169" s="70"/>
      <c r="Q169" s="70"/>
      <c r="R169" s="70"/>
      <c r="S169" s="70"/>
      <c r="T169" s="70"/>
      <c r="U169" s="70"/>
      <c r="V169" s="70"/>
      <c r="W169" s="70"/>
      <c r="X169" s="70"/>
      <c r="Y169" s="70"/>
      <c r="Z169" s="70"/>
    </row>
    <row r="170">
      <c r="A170" s="78"/>
      <c r="B170" s="78"/>
      <c r="C170" s="80"/>
      <c r="D170" s="80"/>
      <c r="E170" s="82"/>
      <c r="F170" s="82"/>
      <c r="G170" s="82"/>
      <c r="H170" s="82"/>
      <c r="I170" s="34"/>
      <c r="J170" s="83"/>
      <c r="K170" s="83"/>
      <c r="L170" s="83"/>
      <c r="M170" s="70"/>
      <c r="N170" s="70"/>
      <c r="O170" s="70"/>
      <c r="P170" s="70"/>
      <c r="Q170" s="70"/>
      <c r="R170" s="70"/>
      <c r="S170" s="70"/>
      <c r="T170" s="70"/>
      <c r="U170" s="70"/>
      <c r="V170" s="70"/>
      <c r="W170" s="70"/>
      <c r="X170" s="70"/>
      <c r="Y170" s="70"/>
      <c r="Z170" s="70"/>
    </row>
    <row r="171">
      <c r="A171" s="78"/>
      <c r="B171" s="78"/>
      <c r="C171" s="80"/>
      <c r="D171" s="80"/>
      <c r="E171" s="82"/>
      <c r="F171" s="82"/>
      <c r="G171" s="82"/>
      <c r="H171" s="82"/>
      <c r="I171" s="34"/>
      <c r="J171" s="83"/>
      <c r="K171" s="83"/>
      <c r="L171" s="83"/>
      <c r="M171" s="70"/>
      <c r="N171" s="70"/>
      <c r="O171" s="70"/>
      <c r="P171" s="70"/>
      <c r="Q171" s="70"/>
      <c r="R171" s="70"/>
      <c r="S171" s="70"/>
      <c r="T171" s="70"/>
      <c r="U171" s="70"/>
      <c r="V171" s="70"/>
      <c r="W171" s="70"/>
      <c r="X171" s="70"/>
      <c r="Y171" s="70"/>
      <c r="Z171" s="70"/>
    </row>
    <row r="172">
      <c r="A172" s="78"/>
      <c r="B172" s="78"/>
      <c r="C172" s="80"/>
      <c r="D172" s="80"/>
      <c r="E172" s="82"/>
      <c r="F172" s="82"/>
      <c r="G172" s="82"/>
      <c r="H172" s="82"/>
      <c r="I172" s="34"/>
      <c r="J172" s="83"/>
      <c r="K172" s="83"/>
      <c r="L172" s="83"/>
      <c r="M172" s="70"/>
      <c r="N172" s="70"/>
      <c r="O172" s="70"/>
      <c r="P172" s="70"/>
      <c r="Q172" s="70"/>
      <c r="R172" s="70"/>
      <c r="S172" s="70"/>
      <c r="T172" s="70"/>
      <c r="U172" s="70"/>
      <c r="V172" s="70"/>
      <c r="W172" s="70"/>
      <c r="X172" s="70"/>
      <c r="Y172" s="70"/>
      <c r="Z172" s="70"/>
    </row>
    <row r="173">
      <c r="A173" s="78"/>
      <c r="B173" s="78"/>
      <c r="C173" s="80"/>
      <c r="D173" s="80"/>
      <c r="E173" s="82"/>
      <c r="F173" s="82"/>
      <c r="G173" s="82"/>
      <c r="H173" s="82"/>
      <c r="I173" s="34"/>
      <c r="J173" s="83"/>
      <c r="K173" s="83"/>
      <c r="L173" s="83"/>
      <c r="M173" s="70"/>
      <c r="N173" s="70"/>
      <c r="O173" s="70"/>
      <c r="P173" s="70"/>
      <c r="Q173" s="70"/>
      <c r="R173" s="70"/>
      <c r="S173" s="70"/>
      <c r="T173" s="70"/>
      <c r="U173" s="70"/>
      <c r="V173" s="70"/>
      <c r="W173" s="70"/>
      <c r="X173" s="70"/>
      <c r="Y173" s="70"/>
      <c r="Z173" s="70"/>
    </row>
    <row r="174">
      <c r="A174" s="78"/>
      <c r="B174" s="78"/>
      <c r="C174" s="80"/>
      <c r="D174" s="80"/>
      <c r="E174" s="82"/>
      <c r="F174" s="82"/>
      <c r="G174" s="82"/>
      <c r="H174" s="82"/>
      <c r="I174" s="34"/>
      <c r="J174" s="83"/>
      <c r="K174" s="83"/>
      <c r="L174" s="83"/>
      <c r="M174" s="70"/>
      <c r="N174" s="70"/>
      <c r="O174" s="70"/>
      <c r="P174" s="70"/>
      <c r="Q174" s="70"/>
      <c r="R174" s="70"/>
      <c r="S174" s="70"/>
      <c r="T174" s="70"/>
      <c r="U174" s="70"/>
      <c r="V174" s="70"/>
      <c r="W174" s="70"/>
      <c r="X174" s="70"/>
      <c r="Y174" s="70"/>
      <c r="Z174" s="70"/>
    </row>
    <row r="175">
      <c r="A175" s="78"/>
      <c r="B175" s="78"/>
      <c r="C175" s="80"/>
      <c r="D175" s="80"/>
      <c r="E175" s="82"/>
      <c r="F175" s="82"/>
      <c r="G175" s="82"/>
      <c r="H175" s="82"/>
      <c r="I175" s="34"/>
      <c r="J175" s="83"/>
      <c r="K175" s="83"/>
      <c r="L175" s="83"/>
      <c r="M175" s="70"/>
      <c r="N175" s="70"/>
      <c r="O175" s="70"/>
      <c r="P175" s="70"/>
      <c r="Q175" s="70"/>
      <c r="R175" s="70"/>
      <c r="S175" s="70"/>
      <c r="T175" s="70"/>
      <c r="U175" s="70"/>
      <c r="V175" s="70"/>
      <c r="W175" s="70"/>
      <c r="X175" s="70"/>
      <c r="Y175" s="70"/>
      <c r="Z175" s="70"/>
    </row>
    <row r="176">
      <c r="A176" s="78"/>
      <c r="B176" s="78"/>
      <c r="C176" s="80"/>
      <c r="D176" s="80"/>
      <c r="E176" s="82"/>
      <c r="F176" s="82"/>
      <c r="G176" s="82"/>
      <c r="H176" s="82"/>
      <c r="I176" s="34"/>
      <c r="J176" s="83"/>
      <c r="K176" s="83"/>
      <c r="L176" s="83"/>
      <c r="M176" s="70"/>
      <c r="N176" s="70"/>
      <c r="O176" s="70"/>
      <c r="P176" s="70"/>
      <c r="Q176" s="70"/>
      <c r="R176" s="70"/>
      <c r="S176" s="70"/>
      <c r="T176" s="70"/>
      <c r="U176" s="70"/>
      <c r="V176" s="70"/>
      <c r="W176" s="70"/>
      <c r="X176" s="70"/>
      <c r="Y176" s="70"/>
      <c r="Z176" s="70"/>
    </row>
    <row r="177">
      <c r="A177" s="78"/>
      <c r="B177" s="78"/>
      <c r="C177" s="80"/>
      <c r="D177" s="80"/>
      <c r="E177" s="82"/>
      <c r="F177" s="82"/>
      <c r="G177" s="82"/>
      <c r="H177" s="82"/>
      <c r="I177" s="34"/>
      <c r="J177" s="83"/>
      <c r="K177" s="83"/>
      <c r="L177" s="83"/>
      <c r="M177" s="70"/>
      <c r="N177" s="70"/>
      <c r="O177" s="70"/>
      <c r="P177" s="70"/>
      <c r="Q177" s="70"/>
      <c r="R177" s="70"/>
      <c r="S177" s="70"/>
      <c r="T177" s="70"/>
      <c r="U177" s="70"/>
      <c r="V177" s="70"/>
      <c r="W177" s="70"/>
      <c r="X177" s="70"/>
      <c r="Y177" s="70"/>
      <c r="Z177" s="70"/>
    </row>
    <row r="178">
      <c r="A178" s="78"/>
      <c r="B178" s="78"/>
      <c r="C178" s="80"/>
      <c r="D178" s="80"/>
      <c r="E178" s="82"/>
      <c r="F178" s="82"/>
      <c r="G178" s="82"/>
      <c r="H178" s="82"/>
      <c r="I178" s="34"/>
      <c r="J178" s="83"/>
      <c r="K178" s="83"/>
      <c r="L178" s="83"/>
      <c r="M178" s="70"/>
      <c r="N178" s="70"/>
      <c r="O178" s="70"/>
      <c r="P178" s="70"/>
      <c r="Q178" s="70"/>
      <c r="R178" s="70"/>
      <c r="S178" s="70"/>
      <c r="T178" s="70"/>
      <c r="U178" s="70"/>
      <c r="V178" s="70"/>
      <c r="W178" s="70"/>
      <c r="X178" s="70"/>
      <c r="Y178" s="70"/>
      <c r="Z178" s="70"/>
    </row>
    <row r="179">
      <c r="A179" s="78"/>
      <c r="B179" s="78"/>
      <c r="C179" s="80"/>
      <c r="D179" s="80"/>
      <c r="E179" s="82"/>
      <c r="F179" s="82"/>
      <c r="G179" s="82"/>
      <c r="H179" s="82"/>
      <c r="I179" s="34"/>
      <c r="J179" s="83"/>
      <c r="K179" s="83"/>
      <c r="L179" s="83"/>
      <c r="M179" s="70"/>
      <c r="N179" s="70"/>
      <c r="O179" s="70"/>
      <c r="P179" s="70"/>
      <c r="Q179" s="70"/>
      <c r="R179" s="70"/>
      <c r="S179" s="70"/>
      <c r="T179" s="70"/>
      <c r="U179" s="70"/>
      <c r="V179" s="70"/>
      <c r="W179" s="70"/>
      <c r="X179" s="70"/>
      <c r="Y179" s="70"/>
      <c r="Z179" s="70"/>
    </row>
    <row r="180">
      <c r="A180" s="78"/>
      <c r="B180" s="78"/>
      <c r="C180" s="80"/>
      <c r="D180" s="80"/>
      <c r="E180" s="82"/>
      <c r="F180" s="82"/>
      <c r="G180" s="82"/>
      <c r="H180" s="82"/>
      <c r="I180" s="34"/>
      <c r="J180" s="83"/>
      <c r="K180" s="83"/>
      <c r="L180" s="83"/>
      <c r="M180" s="70"/>
      <c r="N180" s="70"/>
      <c r="O180" s="70"/>
      <c r="P180" s="70"/>
      <c r="Q180" s="70"/>
      <c r="R180" s="70"/>
      <c r="S180" s="70"/>
      <c r="T180" s="70"/>
      <c r="U180" s="70"/>
      <c r="V180" s="70"/>
      <c r="W180" s="70"/>
      <c r="X180" s="70"/>
      <c r="Y180" s="70"/>
      <c r="Z180" s="70"/>
    </row>
    <row r="181">
      <c r="A181" s="78"/>
      <c r="B181" s="78"/>
      <c r="C181" s="80"/>
      <c r="D181" s="80"/>
      <c r="E181" s="82"/>
      <c r="F181" s="82"/>
      <c r="G181" s="82"/>
      <c r="H181" s="82"/>
      <c r="I181" s="34"/>
      <c r="J181" s="83"/>
      <c r="K181" s="83"/>
      <c r="L181" s="83"/>
      <c r="M181" s="70"/>
      <c r="N181" s="70"/>
      <c r="O181" s="70"/>
      <c r="P181" s="70"/>
      <c r="Q181" s="70"/>
      <c r="R181" s="70"/>
      <c r="S181" s="70"/>
      <c r="T181" s="70"/>
      <c r="U181" s="70"/>
      <c r="V181" s="70"/>
      <c r="W181" s="70"/>
      <c r="X181" s="70"/>
      <c r="Y181" s="70"/>
      <c r="Z181" s="70"/>
    </row>
    <row r="182">
      <c r="A182" s="78"/>
      <c r="B182" s="78"/>
      <c r="C182" s="80"/>
      <c r="D182" s="80"/>
      <c r="E182" s="82"/>
      <c r="F182" s="82"/>
      <c r="G182" s="82"/>
      <c r="H182" s="82"/>
      <c r="I182" s="34"/>
      <c r="J182" s="83"/>
      <c r="K182" s="83"/>
      <c r="L182" s="83"/>
      <c r="M182" s="70"/>
      <c r="N182" s="70"/>
      <c r="O182" s="70"/>
      <c r="P182" s="70"/>
      <c r="Q182" s="70"/>
      <c r="R182" s="70"/>
      <c r="S182" s="70"/>
      <c r="T182" s="70"/>
      <c r="U182" s="70"/>
      <c r="V182" s="70"/>
      <c r="W182" s="70"/>
      <c r="X182" s="70"/>
      <c r="Y182" s="70"/>
      <c r="Z182" s="70"/>
    </row>
    <row r="183">
      <c r="A183" s="78"/>
      <c r="B183" s="78"/>
      <c r="C183" s="80"/>
      <c r="D183" s="80"/>
      <c r="E183" s="82"/>
      <c r="F183" s="82"/>
      <c r="G183" s="82"/>
      <c r="H183" s="82"/>
      <c r="I183" s="34"/>
      <c r="J183" s="83"/>
      <c r="K183" s="83"/>
      <c r="L183" s="83"/>
      <c r="M183" s="70"/>
      <c r="N183" s="70"/>
      <c r="O183" s="70"/>
      <c r="P183" s="70"/>
      <c r="Q183" s="70"/>
      <c r="R183" s="70"/>
      <c r="S183" s="70"/>
      <c r="T183" s="70"/>
      <c r="U183" s="70"/>
      <c r="V183" s="70"/>
      <c r="W183" s="70"/>
      <c r="X183" s="70"/>
      <c r="Y183" s="70"/>
      <c r="Z183" s="70"/>
    </row>
    <row r="184">
      <c r="A184" s="78"/>
      <c r="B184" s="78"/>
      <c r="C184" s="80"/>
      <c r="D184" s="80"/>
      <c r="E184" s="82"/>
      <c r="F184" s="82"/>
      <c r="G184" s="82"/>
      <c r="H184" s="82"/>
      <c r="I184" s="34"/>
      <c r="J184" s="83"/>
      <c r="K184" s="83"/>
      <c r="L184" s="83"/>
      <c r="M184" s="70"/>
      <c r="N184" s="70"/>
      <c r="O184" s="70"/>
      <c r="P184" s="70"/>
      <c r="Q184" s="70"/>
      <c r="R184" s="70"/>
      <c r="S184" s="70"/>
      <c r="T184" s="70"/>
      <c r="U184" s="70"/>
      <c r="V184" s="70"/>
      <c r="W184" s="70"/>
      <c r="X184" s="70"/>
      <c r="Y184" s="70"/>
      <c r="Z184" s="70"/>
    </row>
    <row r="185">
      <c r="A185" s="78"/>
      <c r="B185" s="78"/>
      <c r="C185" s="80"/>
      <c r="D185" s="80"/>
      <c r="E185" s="82"/>
      <c r="F185" s="82"/>
      <c r="G185" s="82"/>
      <c r="H185" s="82"/>
      <c r="I185" s="34"/>
      <c r="J185" s="83"/>
      <c r="K185" s="83"/>
      <c r="L185" s="83"/>
      <c r="M185" s="70"/>
      <c r="N185" s="70"/>
      <c r="O185" s="70"/>
      <c r="P185" s="70"/>
      <c r="Q185" s="70"/>
      <c r="R185" s="70"/>
      <c r="S185" s="70"/>
      <c r="T185" s="70"/>
      <c r="U185" s="70"/>
      <c r="V185" s="70"/>
      <c r="W185" s="70"/>
      <c r="X185" s="70"/>
      <c r="Y185" s="70"/>
      <c r="Z185" s="70"/>
    </row>
    <row r="186">
      <c r="A186" s="78"/>
      <c r="B186" s="78"/>
      <c r="C186" s="80"/>
      <c r="D186" s="80"/>
      <c r="E186" s="82"/>
      <c r="F186" s="82"/>
      <c r="G186" s="82"/>
      <c r="H186" s="82"/>
      <c r="I186" s="34"/>
      <c r="J186" s="83"/>
      <c r="K186" s="83"/>
      <c r="L186" s="83"/>
      <c r="M186" s="70"/>
      <c r="N186" s="70"/>
      <c r="O186" s="70"/>
      <c r="P186" s="70"/>
      <c r="Q186" s="70"/>
      <c r="R186" s="70"/>
      <c r="S186" s="70"/>
      <c r="T186" s="70"/>
      <c r="U186" s="70"/>
      <c r="V186" s="70"/>
      <c r="W186" s="70"/>
      <c r="X186" s="70"/>
      <c r="Y186" s="70"/>
      <c r="Z186" s="70"/>
    </row>
    <row r="187">
      <c r="A187" s="78"/>
      <c r="B187" s="78"/>
      <c r="C187" s="80"/>
      <c r="D187" s="80"/>
      <c r="E187" s="82"/>
      <c r="F187" s="82"/>
      <c r="G187" s="82"/>
      <c r="H187" s="82"/>
      <c r="I187" s="34"/>
      <c r="J187" s="83"/>
      <c r="K187" s="83"/>
      <c r="L187" s="83"/>
      <c r="M187" s="70"/>
      <c r="N187" s="70"/>
      <c r="O187" s="70"/>
      <c r="P187" s="70"/>
      <c r="Q187" s="70"/>
      <c r="R187" s="70"/>
      <c r="S187" s="70"/>
      <c r="T187" s="70"/>
      <c r="U187" s="70"/>
      <c r="V187" s="70"/>
      <c r="W187" s="70"/>
      <c r="X187" s="70"/>
      <c r="Y187" s="70"/>
      <c r="Z187" s="70"/>
    </row>
    <row r="188">
      <c r="A188" s="78"/>
      <c r="B188" s="78"/>
      <c r="C188" s="80"/>
      <c r="D188" s="80"/>
      <c r="E188" s="82"/>
      <c r="F188" s="82"/>
      <c r="G188" s="82"/>
      <c r="H188" s="82"/>
      <c r="I188" s="34"/>
      <c r="J188" s="83"/>
      <c r="K188" s="83"/>
      <c r="L188" s="83"/>
      <c r="M188" s="70"/>
      <c r="N188" s="70"/>
      <c r="O188" s="70"/>
      <c r="P188" s="70"/>
      <c r="Q188" s="70"/>
      <c r="R188" s="70"/>
      <c r="S188" s="70"/>
      <c r="T188" s="70"/>
      <c r="U188" s="70"/>
      <c r="V188" s="70"/>
      <c r="W188" s="70"/>
      <c r="X188" s="70"/>
      <c r="Y188" s="70"/>
      <c r="Z188" s="70"/>
    </row>
    <row r="189">
      <c r="A189" s="78"/>
      <c r="B189" s="78"/>
      <c r="C189" s="80"/>
      <c r="D189" s="80"/>
      <c r="E189" s="82"/>
      <c r="F189" s="82"/>
      <c r="G189" s="82"/>
      <c r="H189" s="82"/>
      <c r="I189" s="34"/>
      <c r="J189" s="83"/>
      <c r="K189" s="83"/>
      <c r="L189" s="83"/>
      <c r="M189" s="70"/>
      <c r="N189" s="70"/>
      <c r="O189" s="70"/>
      <c r="P189" s="70"/>
      <c r="Q189" s="70"/>
      <c r="R189" s="70"/>
      <c r="S189" s="70"/>
      <c r="T189" s="70"/>
      <c r="U189" s="70"/>
      <c r="V189" s="70"/>
      <c r="W189" s="70"/>
      <c r="X189" s="70"/>
      <c r="Y189" s="70"/>
      <c r="Z189" s="70"/>
    </row>
    <row r="190">
      <c r="A190" s="78"/>
      <c r="B190" s="78"/>
      <c r="C190" s="80"/>
      <c r="D190" s="80"/>
      <c r="E190" s="82"/>
      <c r="F190" s="82"/>
      <c r="G190" s="82"/>
      <c r="H190" s="82"/>
      <c r="I190" s="34"/>
      <c r="J190" s="83"/>
      <c r="K190" s="83"/>
      <c r="L190" s="83"/>
      <c r="M190" s="70"/>
      <c r="N190" s="70"/>
      <c r="O190" s="70"/>
      <c r="P190" s="70"/>
      <c r="Q190" s="70"/>
      <c r="R190" s="70"/>
      <c r="S190" s="70"/>
      <c r="T190" s="70"/>
      <c r="U190" s="70"/>
      <c r="V190" s="70"/>
      <c r="W190" s="70"/>
      <c r="X190" s="70"/>
      <c r="Y190" s="70"/>
      <c r="Z190" s="70"/>
    </row>
    <row r="191">
      <c r="A191" s="78"/>
      <c r="B191" s="78"/>
      <c r="C191" s="80"/>
      <c r="D191" s="80"/>
      <c r="E191" s="82"/>
      <c r="F191" s="82"/>
      <c r="G191" s="82"/>
      <c r="H191" s="82"/>
      <c r="I191" s="34"/>
      <c r="J191" s="83"/>
      <c r="K191" s="83"/>
      <c r="L191" s="83"/>
      <c r="M191" s="70"/>
      <c r="N191" s="70"/>
      <c r="O191" s="70"/>
      <c r="P191" s="70"/>
      <c r="Q191" s="70"/>
      <c r="R191" s="70"/>
      <c r="S191" s="70"/>
      <c r="T191" s="70"/>
      <c r="U191" s="70"/>
      <c r="V191" s="70"/>
      <c r="W191" s="70"/>
      <c r="X191" s="70"/>
      <c r="Y191" s="70"/>
      <c r="Z191" s="70"/>
    </row>
    <row r="192">
      <c r="A192" s="78"/>
      <c r="B192" s="78"/>
      <c r="C192" s="80"/>
      <c r="D192" s="80"/>
      <c r="E192" s="82"/>
      <c r="F192" s="82"/>
      <c r="G192" s="82"/>
      <c r="H192" s="82"/>
      <c r="I192" s="34"/>
      <c r="J192" s="83"/>
      <c r="K192" s="83"/>
      <c r="L192" s="83"/>
      <c r="M192" s="70"/>
      <c r="N192" s="70"/>
      <c r="O192" s="70"/>
      <c r="P192" s="70"/>
      <c r="Q192" s="70"/>
      <c r="R192" s="70"/>
      <c r="S192" s="70"/>
      <c r="T192" s="70"/>
      <c r="U192" s="70"/>
      <c r="V192" s="70"/>
      <c r="W192" s="70"/>
      <c r="X192" s="70"/>
      <c r="Y192" s="70"/>
      <c r="Z192" s="70"/>
    </row>
    <row r="193">
      <c r="A193" s="78"/>
      <c r="B193" s="78"/>
      <c r="C193" s="80"/>
      <c r="D193" s="80"/>
      <c r="E193" s="82"/>
      <c r="F193" s="82"/>
      <c r="G193" s="82"/>
      <c r="H193" s="82"/>
      <c r="I193" s="34"/>
      <c r="J193" s="83"/>
      <c r="K193" s="83"/>
      <c r="L193" s="83"/>
      <c r="M193" s="70"/>
      <c r="N193" s="70"/>
      <c r="O193" s="70"/>
      <c r="P193" s="70"/>
      <c r="Q193" s="70"/>
      <c r="R193" s="70"/>
      <c r="S193" s="70"/>
      <c r="T193" s="70"/>
      <c r="U193" s="70"/>
      <c r="V193" s="70"/>
      <c r="W193" s="70"/>
      <c r="X193" s="70"/>
      <c r="Y193" s="70"/>
      <c r="Z193" s="70"/>
    </row>
    <row r="194">
      <c r="A194" s="78"/>
      <c r="B194" s="78"/>
      <c r="C194" s="80"/>
      <c r="D194" s="80"/>
      <c r="E194" s="82"/>
      <c r="F194" s="82"/>
      <c r="G194" s="82"/>
      <c r="H194" s="82"/>
      <c r="I194" s="34"/>
      <c r="J194" s="83"/>
      <c r="K194" s="83"/>
      <c r="L194" s="83"/>
      <c r="M194" s="70"/>
      <c r="N194" s="70"/>
      <c r="O194" s="70"/>
      <c r="P194" s="70"/>
      <c r="Q194" s="70"/>
      <c r="R194" s="70"/>
      <c r="S194" s="70"/>
      <c r="T194" s="70"/>
      <c r="U194" s="70"/>
      <c r="V194" s="70"/>
      <c r="W194" s="70"/>
      <c r="X194" s="70"/>
      <c r="Y194" s="70"/>
      <c r="Z194" s="70"/>
    </row>
    <row r="195">
      <c r="A195" s="78"/>
      <c r="B195" s="78"/>
      <c r="C195" s="80"/>
      <c r="D195" s="80"/>
      <c r="E195" s="82"/>
      <c r="F195" s="82"/>
      <c r="G195" s="82"/>
      <c r="H195" s="82"/>
      <c r="I195" s="34"/>
      <c r="J195" s="83"/>
      <c r="K195" s="83"/>
      <c r="L195" s="83"/>
      <c r="M195" s="70"/>
      <c r="N195" s="70"/>
      <c r="O195" s="70"/>
      <c r="P195" s="70"/>
      <c r="Q195" s="70"/>
      <c r="R195" s="70"/>
      <c r="S195" s="70"/>
      <c r="T195" s="70"/>
      <c r="U195" s="70"/>
      <c r="V195" s="70"/>
      <c r="W195" s="70"/>
      <c r="X195" s="70"/>
      <c r="Y195" s="70"/>
      <c r="Z195" s="70"/>
    </row>
    <row r="196">
      <c r="A196" s="78"/>
      <c r="B196" s="78"/>
      <c r="C196" s="80"/>
      <c r="D196" s="80"/>
      <c r="E196" s="82"/>
      <c r="F196" s="82"/>
      <c r="G196" s="82"/>
      <c r="H196" s="82"/>
      <c r="I196" s="34"/>
      <c r="J196" s="83"/>
      <c r="K196" s="83"/>
      <c r="L196" s="83"/>
      <c r="M196" s="70"/>
      <c r="N196" s="70"/>
      <c r="O196" s="70"/>
      <c r="P196" s="70"/>
      <c r="Q196" s="70"/>
      <c r="R196" s="70"/>
      <c r="S196" s="70"/>
      <c r="T196" s="70"/>
      <c r="U196" s="70"/>
      <c r="V196" s="70"/>
      <c r="W196" s="70"/>
      <c r="X196" s="70"/>
      <c r="Y196" s="70"/>
      <c r="Z196" s="70"/>
    </row>
    <row r="197">
      <c r="A197" s="78"/>
      <c r="B197" s="78"/>
      <c r="C197" s="80"/>
      <c r="D197" s="80"/>
      <c r="E197" s="82"/>
      <c r="F197" s="82"/>
      <c r="G197" s="82"/>
      <c r="H197" s="82"/>
      <c r="I197" s="34"/>
      <c r="J197" s="83"/>
      <c r="K197" s="83"/>
      <c r="L197" s="83"/>
      <c r="M197" s="70"/>
      <c r="N197" s="70"/>
      <c r="O197" s="70"/>
      <c r="P197" s="70"/>
      <c r="Q197" s="70"/>
      <c r="R197" s="70"/>
      <c r="S197" s="70"/>
      <c r="T197" s="70"/>
      <c r="U197" s="70"/>
      <c r="V197" s="70"/>
      <c r="W197" s="70"/>
      <c r="X197" s="70"/>
      <c r="Y197" s="70"/>
      <c r="Z197" s="70"/>
    </row>
    <row r="198">
      <c r="A198" s="78"/>
      <c r="B198" s="78"/>
      <c r="C198" s="80"/>
      <c r="D198" s="80"/>
      <c r="E198" s="82"/>
      <c r="F198" s="82"/>
      <c r="G198" s="82"/>
      <c r="H198" s="82"/>
      <c r="I198" s="34"/>
      <c r="J198" s="83"/>
      <c r="K198" s="83"/>
      <c r="L198" s="83"/>
      <c r="M198" s="70"/>
      <c r="N198" s="70"/>
      <c r="O198" s="70"/>
      <c r="P198" s="70"/>
      <c r="Q198" s="70"/>
      <c r="R198" s="70"/>
      <c r="S198" s="70"/>
      <c r="T198" s="70"/>
      <c r="U198" s="70"/>
      <c r="V198" s="70"/>
      <c r="W198" s="70"/>
      <c r="X198" s="70"/>
      <c r="Y198" s="70"/>
      <c r="Z198" s="70"/>
    </row>
    <row r="199">
      <c r="A199" s="78"/>
      <c r="B199" s="78"/>
      <c r="C199" s="80"/>
      <c r="D199" s="80"/>
      <c r="E199" s="82"/>
      <c r="F199" s="82"/>
      <c r="G199" s="82"/>
      <c r="H199" s="82"/>
      <c r="I199" s="34"/>
      <c r="J199" s="83"/>
      <c r="K199" s="83"/>
      <c r="L199" s="83"/>
      <c r="M199" s="70"/>
      <c r="N199" s="70"/>
      <c r="O199" s="70"/>
      <c r="P199" s="70"/>
      <c r="Q199" s="70"/>
      <c r="R199" s="70"/>
      <c r="S199" s="70"/>
      <c r="T199" s="70"/>
      <c r="U199" s="70"/>
      <c r="V199" s="70"/>
      <c r="W199" s="70"/>
      <c r="X199" s="70"/>
      <c r="Y199" s="70"/>
      <c r="Z199" s="70"/>
    </row>
    <row r="200">
      <c r="A200" s="78"/>
      <c r="B200" s="78"/>
      <c r="C200" s="80"/>
      <c r="D200" s="80"/>
      <c r="E200" s="82"/>
      <c r="F200" s="82"/>
      <c r="G200" s="82"/>
      <c r="H200" s="82"/>
      <c r="I200" s="34"/>
      <c r="J200" s="83"/>
      <c r="K200" s="83"/>
      <c r="L200" s="83"/>
      <c r="M200" s="70"/>
      <c r="N200" s="70"/>
      <c r="O200" s="70"/>
      <c r="P200" s="70"/>
      <c r="Q200" s="70"/>
      <c r="R200" s="70"/>
      <c r="S200" s="70"/>
      <c r="T200" s="70"/>
      <c r="U200" s="70"/>
      <c r="V200" s="70"/>
      <c r="W200" s="70"/>
      <c r="X200" s="70"/>
      <c r="Y200" s="70"/>
      <c r="Z200" s="70"/>
    </row>
    <row r="201">
      <c r="A201" s="78"/>
      <c r="B201" s="78"/>
      <c r="C201" s="80"/>
      <c r="D201" s="80"/>
      <c r="E201" s="82"/>
      <c r="F201" s="82"/>
      <c r="G201" s="82"/>
      <c r="H201" s="82"/>
      <c r="I201" s="34"/>
      <c r="J201" s="83"/>
      <c r="K201" s="83"/>
      <c r="L201" s="83"/>
      <c r="M201" s="70"/>
      <c r="N201" s="70"/>
      <c r="O201" s="70"/>
      <c r="P201" s="70"/>
      <c r="Q201" s="70"/>
      <c r="R201" s="70"/>
      <c r="S201" s="70"/>
      <c r="T201" s="70"/>
      <c r="U201" s="70"/>
      <c r="V201" s="70"/>
      <c r="W201" s="70"/>
      <c r="X201" s="70"/>
      <c r="Y201" s="70"/>
      <c r="Z201" s="70"/>
    </row>
    <row r="202">
      <c r="A202" s="78"/>
      <c r="B202" s="78"/>
      <c r="C202" s="80"/>
      <c r="D202" s="80"/>
      <c r="E202" s="82"/>
      <c r="F202" s="82"/>
      <c r="G202" s="82"/>
      <c r="H202" s="82"/>
      <c r="I202" s="34"/>
      <c r="J202" s="83"/>
      <c r="K202" s="83"/>
      <c r="L202" s="83"/>
      <c r="M202" s="70"/>
      <c r="N202" s="70"/>
      <c r="O202" s="70"/>
      <c r="P202" s="70"/>
      <c r="Q202" s="70"/>
      <c r="R202" s="70"/>
      <c r="S202" s="70"/>
      <c r="T202" s="70"/>
      <c r="U202" s="70"/>
      <c r="V202" s="70"/>
      <c r="W202" s="70"/>
      <c r="X202" s="70"/>
      <c r="Y202" s="70"/>
      <c r="Z202" s="70"/>
    </row>
    <row r="203">
      <c r="A203" s="78"/>
      <c r="B203" s="78"/>
      <c r="C203" s="80"/>
      <c r="D203" s="80"/>
      <c r="E203" s="82"/>
      <c r="F203" s="82"/>
      <c r="G203" s="82"/>
      <c r="H203" s="82"/>
      <c r="I203" s="34"/>
      <c r="J203" s="83"/>
      <c r="K203" s="83"/>
      <c r="L203" s="83"/>
      <c r="M203" s="70"/>
      <c r="N203" s="70"/>
      <c r="O203" s="70"/>
      <c r="P203" s="70"/>
      <c r="Q203" s="70"/>
      <c r="R203" s="70"/>
      <c r="S203" s="70"/>
      <c r="T203" s="70"/>
      <c r="U203" s="70"/>
      <c r="V203" s="70"/>
      <c r="W203" s="70"/>
      <c r="X203" s="70"/>
      <c r="Y203" s="70"/>
      <c r="Z203" s="70"/>
    </row>
    <row r="204">
      <c r="A204" s="78"/>
      <c r="B204" s="78"/>
      <c r="C204" s="80"/>
      <c r="D204" s="80"/>
      <c r="E204" s="82"/>
      <c r="F204" s="82"/>
      <c r="G204" s="82"/>
      <c r="H204" s="82"/>
      <c r="I204" s="34"/>
      <c r="J204" s="83"/>
      <c r="K204" s="83"/>
      <c r="L204" s="83"/>
      <c r="M204" s="70"/>
      <c r="N204" s="70"/>
      <c r="O204" s="70"/>
      <c r="P204" s="70"/>
      <c r="Q204" s="70"/>
      <c r="R204" s="70"/>
      <c r="S204" s="70"/>
      <c r="T204" s="70"/>
      <c r="U204" s="70"/>
      <c r="V204" s="70"/>
      <c r="W204" s="70"/>
      <c r="X204" s="70"/>
      <c r="Y204" s="70"/>
      <c r="Z204" s="70"/>
    </row>
    <row r="205">
      <c r="A205" s="78"/>
      <c r="B205" s="78"/>
      <c r="C205" s="80"/>
      <c r="D205" s="80"/>
      <c r="E205" s="82"/>
      <c r="F205" s="82"/>
      <c r="G205" s="82"/>
      <c r="H205" s="82"/>
      <c r="I205" s="34"/>
      <c r="J205" s="83"/>
      <c r="K205" s="83"/>
      <c r="L205" s="83"/>
      <c r="M205" s="70"/>
      <c r="N205" s="70"/>
      <c r="O205" s="70"/>
      <c r="P205" s="70"/>
      <c r="Q205" s="70"/>
      <c r="R205" s="70"/>
      <c r="S205" s="70"/>
      <c r="T205" s="70"/>
      <c r="U205" s="70"/>
      <c r="V205" s="70"/>
      <c r="W205" s="70"/>
      <c r="X205" s="70"/>
      <c r="Y205" s="70"/>
      <c r="Z205" s="70"/>
    </row>
    <row r="206">
      <c r="A206" s="78"/>
      <c r="B206" s="78"/>
      <c r="C206" s="80"/>
      <c r="D206" s="80"/>
      <c r="E206" s="82"/>
      <c r="F206" s="82"/>
      <c r="G206" s="82"/>
      <c r="H206" s="82"/>
      <c r="I206" s="34"/>
      <c r="J206" s="83"/>
      <c r="K206" s="83"/>
      <c r="L206" s="83"/>
      <c r="M206" s="70"/>
      <c r="N206" s="70"/>
      <c r="O206" s="70"/>
      <c r="P206" s="70"/>
      <c r="Q206" s="70"/>
      <c r="R206" s="70"/>
      <c r="S206" s="70"/>
      <c r="T206" s="70"/>
      <c r="U206" s="70"/>
      <c r="V206" s="70"/>
      <c r="W206" s="70"/>
      <c r="X206" s="70"/>
      <c r="Y206" s="70"/>
      <c r="Z206" s="70"/>
    </row>
    <row r="207">
      <c r="A207" s="78"/>
      <c r="B207" s="78"/>
      <c r="C207" s="80"/>
      <c r="D207" s="80"/>
      <c r="E207" s="82"/>
      <c r="F207" s="82"/>
      <c r="G207" s="82"/>
      <c r="H207" s="82"/>
      <c r="I207" s="34"/>
      <c r="J207" s="83"/>
      <c r="K207" s="83"/>
      <c r="L207" s="83"/>
      <c r="M207" s="70"/>
      <c r="N207" s="70"/>
      <c r="O207" s="70"/>
      <c r="P207" s="70"/>
      <c r="Q207" s="70"/>
      <c r="R207" s="70"/>
      <c r="S207" s="70"/>
      <c r="T207" s="70"/>
      <c r="U207" s="70"/>
      <c r="V207" s="70"/>
      <c r="W207" s="70"/>
      <c r="X207" s="70"/>
      <c r="Y207" s="70"/>
      <c r="Z207" s="70"/>
    </row>
    <row r="208">
      <c r="A208" s="78"/>
      <c r="B208" s="78"/>
      <c r="C208" s="80"/>
      <c r="D208" s="80"/>
      <c r="E208" s="82"/>
      <c r="F208" s="82"/>
      <c r="G208" s="82"/>
      <c r="H208" s="82"/>
      <c r="I208" s="34"/>
      <c r="J208" s="83"/>
      <c r="K208" s="83"/>
      <c r="L208" s="83"/>
      <c r="M208" s="70"/>
      <c r="N208" s="70"/>
      <c r="O208" s="70"/>
      <c r="P208" s="70"/>
      <c r="Q208" s="70"/>
      <c r="R208" s="70"/>
      <c r="S208" s="70"/>
      <c r="T208" s="70"/>
      <c r="U208" s="70"/>
      <c r="V208" s="70"/>
      <c r="W208" s="70"/>
      <c r="X208" s="70"/>
      <c r="Y208" s="70"/>
      <c r="Z208" s="70"/>
    </row>
    <row r="209">
      <c r="A209" s="78"/>
      <c r="B209" s="78"/>
      <c r="C209" s="80"/>
      <c r="D209" s="80"/>
      <c r="E209" s="82"/>
      <c r="F209" s="82"/>
      <c r="G209" s="82"/>
      <c r="H209" s="82"/>
      <c r="I209" s="34"/>
      <c r="J209" s="83"/>
      <c r="K209" s="83"/>
      <c r="L209" s="83"/>
      <c r="M209" s="70"/>
      <c r="N209" s="70"/>
      <c r="O209" s="70"/>
      <c r="P209" s="70"/>
      <c r="Q209" s="70"/>
      <c r="R209" s="70"/>
      <c r="S209" s="70"/>
      <c r="T209" s="70"/>
      <c r="U209" s="70"/>
      <c r="V209" s="70"/>
      <c r="W209" s="70"/>
      <c r="X209" s="70"/>
      <c r="Y209" s="70"/>
      <c r="Z209" s="70"/>
    </row>
    <row r="210">
      <c r="A210" s="78"/>
      <c r="B210" s="78"/>
      <c r="C210" s="80"/>
      <c r="D210" s="80"/>
      <c r="E210" s="82"/>
      <c r="F210" s="82"/>
      <c r="G210" s="82"/>
      <c r="H210" s="82"/>
      <c r="I210" s="34"/>
      <c r="J210" s="83"/>
      <c r="K210" s="83"/>
      <c r="L210" s="83"/>
      <c r="M210" s="70"/>
      <c r="N210" s="70"/>
      <c r="O210" s="70"/>
      <c r="P210" s="70"/>
      <c r="Q210" s="70"/>
      <c r="R210" s="70"/>
      <c r="S210" s="70"/>
      <c r="T210" s="70"/>
      <c r="U210" s="70"/>
      <c r="V210" s="70"/>
      <c r="W210" s="70"/>
      <c r="X210" s="70"/>
      <c r="Y210" s="70"/>
      <c r="Z210" s="70"/>
    </row>
    <row r="211">
      <c r="A211" s="78"/>
      <c r="B211" s="78"/>
      <c r="C211" s="80"/>
      <c r="D211" s="80"/>
      <c r="E211" s="82"/>
      <c r="F211" s="82"/>
      <c r="G211" s="82"/>
      <c r="H211" s="82"/>
      <c r="I211" s="34"/>
      <c r="J211" s="83"/>
      <c r="K211" s="83"/>
      <c r="L211" s="83"/>
      <c r="M211" s="70"/>
      <c r="N211" s="70"/>
      <c r="O211" s="70"/>
      <c r="P211" s="70"/>
      <c r="Q211" s="70"/>
      <c r="R211" s="70"/>
      <c r="S211" s="70"/>
      <c r="T211" s="70"/>
      <c r="U211" s="70"/>
      <c r="V211" s="70"/>
      <c r="W211" s="70"/>
      <c r="X211" s="70"/>
      <c r="Y211" s="70"/>
      <c r="Z211" s="70"/>
    </row>
    <row r="212">
      <c r="A212" s="78"/>
      <c r="B212" s="78"/>
      <c r="C212" s="80"/>
      <c r="D212" s="80"/>
      <c r="E212" s="82"/>
      <c r="F212" s="82"/>
      <c r="G212" s="82"/>
      <c r="H212" s="82"/>
      <c r="I212" s="34"/>
      <c r="J212" s="83"/>
      <c r="K212" s="83"/>
      <c r="L212" s="83"/>
      <c r="M212" s="70"/>
      <c r="N212" s="70"/>
      <c r="O212" s="70"/>
      <c r="P212" s="70"/>
      <c r="Q212" s="70"/>
      <c r="R212" s="70"/>
      <c r="S212" s="70"/>
      <c r="T212" s="70"/>
      <c r="U212" s="70"/>
      <c r="V212" s="70"/>
      <c r="W212" s="70"/>
      <c r="X212" s="70"/>
      <c r="Y212" s="70"/>
      <c r="Z212" s="70"/>
    </row>
    <row r="213">
      <c r="A213" s="78"/>
      <c r="B213" s="78"/>
      <c r="C213" s="80"/>
      <c r="D213" s="80"/>
      <c r="E213" s="82"/>
      <c r="F213" s="82"/>
      <c r="G213" s="82"/>
      <c r="H213" s="82"/>
      <c r="I213" s="34"/>
      <c r="J213" s="83"/>
      <c r="K213" s="83"/>
      <c r="L213" s="83"/>
      <c r="M213" s="70"/>
      <c r="N213" s="70"/>
      <c r="O213" s="70"/>
      <c r="P213" s="70"/>
      <c r="Q213" s="70"/>
      <c r="R213" s="70"/>
      <c r="S213" s="70"/>
      <c r="T213" s="70"/>
      <c r="U213" s="70"/>
      <c r="V213" s="70"/>
      <c r="W213" s="70"/>
      <c r="X213" s="70"/>
      <c r="Y213" s="70"/>
      <c r="Z213" s="70"/>
    </row>
    <row r="214">
      <c r="A214" s="78"/>
      <c r="B214" s="78"/>
      <c r="C214" s="80"/>
      <c r="D214" s="80"/>
      <c r="E214" s="82"/>
      <c r="F214" s="82"/>
      <c r="G214" s="82"/>
      <c r="H214" s="82"/>
      <c r="I214" s="34"/>
      <c r="J214" s="83"/>
      <c r="K214" s="83"/>
      <c r="L214" s="83"/>
      <c r="M214" s="70"/>
      <c r="N214" s="70"/>
      <c r="O214" s="70"/>
      <c r="P214" s="70"/>
      <c r="Q214" s="70"/>
      <c r="R214" s="70"/>
      <c r="S214" s="70"/>
      <c r="T214" s="70"/>
      <c r="U214" s="70"/>
      <c r="V214" s="70"/>
      <c r="W214" s="70"/>
      <c r="X214" s="70"/>
      <c r="Y214" s="70"/>
      <c r="Z214" s="70"/>
    </row>
    <row r="215">
      <c r="A215" s="78"/>
      <c r="B215" s="78"/>
      <c r="C215" s="80"/>
      <c r="D215" s="80"/>
      <c r="E215" s="82"/>
      <c r="F215" s="82"/>
      <c r="G215" s="82"/>
      <c r="H215" s="82"/>
      <c r="I215" s="34"/>
      <c r="J215" s="83"/>
      <c r="K215" s="83"/>
      <c r="L215" s="83"/>
      <c r="M215" s="70"/>
      <c r="N215" s="70"/>
      <c r="O215" s="70"/>
      <c r="P215" s="70"/>
      <c r="Q215" s="70"/>
      <c r="R215" s="70"/>
      <c r="S215" s="70"/>
      <c r="T215" s="70"/>
      <c r="U215" s="70"/>
      <c r="V215" s="70"/>
      <c r="W215" s="70"/>
      <c r="X215" s="70"/>
      <c r="Y215" s="70"/>
      <c r="Z215" s="70"/>
    </row>
    <row r="216">
      <c r="A216" s="78"/>
      <c r="B216" s="78"/>
      <c r="C216" s="80"/>
      <c r="D216" s="80"/>
      <c r="E216" s="82"/>
      <c r="F216" s="82"/>
      <c r="G216" s="82"/>
      <c r="H216" s="82"/>
      <c r="I216" s="34"/>
      <c r="J216" s="83"/>
      <c r="K216" s="83"/>
      <c r="L216" s="83"/>
      <c r="M216" s="70"/>
      <c r="N216" s="70"/>
      <c r="O216" s="70"/>
      <c r="P216" s="70"/>
      <c r="Q216" s="70"/>
      <c r="R216" s="70"/>
      <c r="S216" s="70"/>
      <c r="T216" s="70"/>
      <c r="U216" s="70"/>
      <c r="V216" s="70"/>
      <c r="W216" s="70"/>
      <c r="X216" s="70"/>
      <c r="Y216" s="70"/>
      <c r="Z216" s="70"/>
    </row>
    <row r="217">
      <c r="A217" s="78"/>
      <c r="B217" s="78"/>
      <c r="C217" s="80"/>
      <c r="D217" s="80"/>
      <c r="E217" s="82"/>
      <c r="F217" s="82"/>
      <c r="G217" s="82"/>
      <c r="H217" s="82"/>
      <c r="I217" s="34"/>
      <c r="J217" s="83"/>
      <c r="K217" s="83"/>
      <c r="L217" s="83"/>
      <c r="M217" s="70"/>
      <c r="N217" s="70"/>
      <c r="O217" s="70"/>
      <c r="P217" s="70"/>
      <c r="Q217" s="70"/>
      <c r="R217" s="70"/>
      <c r="S217" s="70"/>
      <c r="T217" s="70"/>
      <c r="U217" s="70"/>
      <c r="V217" s="70"/>
      <c r="W217" s="70"/>
      <c r="X217" s="70"/>
      <c r="Y217" s="70"/>
      <c r="Z217" s="70"/>
    </row>
    <row r="218">
      <c r="A218" s="78"/>
      <c r="B218" s="78"/>
      <c r="C218" s="80"/>
      <c r="D218" s="80"/>
      <c r="E218" s="82"/>
      <c r="F218" s="82"/>
      <c r="G218" s="82"/>
      <c r="H218" s="82"/>
      <c r="I218" s="34"/>
      <c r="J218" s="83"/>
      <c r="K218" s="83"/>
      <c r="L218" s="83"/>
      <c r="M218" s="70"/>
      <c r="N218" s="70"/>
      <c r="O218" s="70"/>
      <c r="P218" s="70"/>
      <c r="Q218" s="70"/>
      <c r="R218" s="70"/>
      <c r="S218" s="70"/>
      <c r="T218" s="70"/>
      <c r="U218" s="70"/>
      <c r="V218" s="70"/>
      <c r="W218" s="70"/>
      <c r="X218" s="70"/>
      <c r="Y218" s="70"/>
      <c r="Z218" s="70"/>
    </row>
    <row r="219">
      <c r="A219" s="78"/>
      <c r="B219" s="78"/>
      <c r="C219" s="80"/>
      <c r="D219" s="80"/>
      <c r="E219" s="82"/>
      <c r="F219" s="82"/>
      <c r="G219" s="82"/>
      <c r="H219" s="82"/>
      <c r="I219" s="34"/>
      <c r="J219" s="83"/>
      <c r="K219" s="83"/>
      <c r="L219" s="83"/>
      <c r="M219" s="70"/>
      <c r="N219" s="70"/>
      <c r="O219" s="70"/>
      <c r="P219" s="70"/>
      <c r="Q219" s="70"/>
      <c r="R219" s="70"/>
      <c r="S219" s="70"/>
      <c r="T219" s="70"/>
      <c r="U219" s="70"/>
      <c r="V219" s="70"/>
      <c r="W219" s="70"/>
      <c r="X219" s="70"/>
      <c r="Y219" s="70"/>
      <c r="Z219" s="70"/>
    </row>
    <row r="220">
      <c r="A220" s="78"/>
      <c r="B220" s="78"/>
      <c r="C220" s="80"/>
      <c r="D220" s="80"/>
      <c r="E220" s="82"/>
      <c r="F220" s="82"/>
      <c r="G220" s="82"/>
      <c r="H220" s="82"/>
      <c r="I220" s="34"/>
      <c r="J220" s="83"/>
      <c r="K220" s="83"/>
      <c r="L220" s="83"/>
      <c r="M220" s="70"/>
      <c r="N220" s="70"/>
      <c r="O220" s="70"/>
      <c r="P220" s="70"/>
      <c r="Q220" s="70"/>
      <c r="R220" s="70"/>
      <c r="S220" s="70"/>
      <c r="T220" s="70"/>
      <c r="U220" s="70"/>
      <c r="V220" s="70"/>
      <c r="W220" s="70"/>
      <c r="X220" s="70"/>
      <c r="Y220" s="70"/>
      <c r="Z220" s="70"/>
    </row>
    <row r="221">
      <c r="A221" s="78"/>
      <c r="B221" s="78"/>
      <c r="C221" s="80"/>
      <c r="D221" s="80"/>
      <c r="E221" s="82"/>
      <c r="F221" s="82"/>
      <c r="G221" s="82"/>
      <c r="H221" s="82"/>
      <c r="I221" s="34"/>
      <c r="J221" s="83"/>
      <c r="K221" s="83"/>
      <c r="L221" s="83"/>
      <c r="M221" s="70"/>
      <c r="N221" s="70"/>
      <c r="O221" s="70"/>
      <c r="P221" s="70"/>
      <c r="Q221" s="70"/>
      <c r="R221" s="70"/>
      <c r="S221" s="70"/>
      <c r="T221" s="70"/>
      <c r="U221" s="70"/>
      <c r="V221" s="70"/>
      <c r="W221" s="70"/>
      <c r="X221" s="70"/>
      <c r="Y221" s="70"/>
      <c r="Z221" s="70"/>
    </row>
    <row r="222">
      <c r="A222" s="78"/>
      <c r="B222" s="78"/>
      <c r="C222" s="80"/>
      <c r="D222" s="80"/>
      <c r="E222" s="82"/>
      <c r="F222" s="82"/>
      <c r="G222" s="82"/>
      <c r="H222" s="82"/>
      <c r="I222" s="34"/>
      <c r="J222" s="83"/>
      <c r="K222" s="83"/>
      <c r="L222" s="83"/>
      <c r="M222" s="70"/>
      <c r="N222" s="70"/>
      <c r="O222" s="70"/>
      <c r="P222" s="70"/>
      <c r="Q222" s="70"/>
      <c r="R222" s="70"/>
      <c r="S222" s="70"/>
      <c r="T222" s="70"/>
      <c r="U222" s="70"/>
      <c r="V222" s="70"/>
      <c r="W222" s="70"/>
      <c r="X222" s="70"/>
      <c r="Y222" s="70"/>
      <c r="Z222" s="70"/>
    </row>
    <row r="223">
      <c r="A223" s="78"/>
      <c r="B223" s="78"/>
      <c r="C223" s="80"/>
      <c r="D223" s="80"/>
      <c r="E223" s="82"/>
      <c r="F223" s="82"/>
      <c r="G223" s="82"/>
      <c r="H223" s="82"/>
      <c r="I223" s="34"/>
      <c r="J223" s="83"/>
      <c r="K223" s="83"/>
      <c r="L223" s="83"/>
      <c r="M223" s="70"/>
      <c r="N223" s="70"/>
      <c r="O223" s="70"/>
      <c r="P223" s="70"/>
      <c r="Q223" s="70"/>
      <c r="R223" s="70"/>
      <c r="S223" s="70"/>
      <c r="T223" s="70"/>
      <c r="U223" s="70"/>
      <c r="V223" s="70"/>
      <c r="W223" s="70"/>
      <c r="X223" s="70"/>
      <c r="Y223" s="70"/>
      <c r="Z223" s="70"/>
    </row>
    <row r="224">
      <c r="A224" s="78"/>
      <c r="B224" s="78"/>
      <c r="C224" s="80"/>
      <c r="D224" s="80"/>
      <c r="E224" s="82"/>
      <c r="F224" s="82"/>
      <c r="G224" s="82"/>
      <c r="H224" s="82"/>
      <c r="I224" s="34"/>
      <c r="J224" s="83"/>
      <c r="K224" s="83"/>
      <c r="L224" s="83"/>
      <c r="M224" s="70"/>
      <c r="N224" s="70"/>
      <c r="O224" s="70"/>
      <c r="P224" s="70"/>
      <c r="Q224" s="70"/>
      <c r="R224" s="70"/>
      <c r="S224" s="70"/>
      <c r="T224" s="70"/>
      <c r="U224" s="70"/>
      <c r="V224" s="70"/>
      <c r="W224" s="70"/>
      <c r="X224" s="70"/>
      <c r="Y224" s="70"/>
      <c r="Z224" s="70"/>
    </row>
    <row r="225">
      <c r="A225" s="78"/>
      <c r="B225" s="78"/>
      <c r="C225" s="80"/>
      <c r="D225" s="80"/>
      <c r="E225" s="82"/>
      <c r="F225" s="82"/>
      <c r="G225" s="82"/>
      <c r="H225" s="82"/>
      <c r="I225" s="34"/>
      <c r="J225" s="83"/>
      <c r="K225" s="83"/>
      <c r="L225" s="83"/>
      <c r="M225" s="70"/>
      <c r="N225" s="70"/>
      <c r="O225" s="70"/>
      <c r="P225" s="70"/>
      <c r="Q225" s="70"/>
      <c r="R225" s="70"/>
      <c r="S225" s="70"/>
      <c r="T225" s="70"/>
      <c r="U225" s="70"/>
      <c r="V225" s="70"/>
      <c r="W225" s="70"/>
      <c r="X225" s="70"/>
      <c r="Y225" s="70"/>
      <c r="Z225" s="70"/>
    </row>
    <row r="226">
      <c r="A226" s="78"/>
      <c r="B226" s="78"/>
      <c r="C226" s="80"/>
      <c r="D226" s="80"/>
      <c r="E226" s="82"/>
      <c r="F226" s="82"/>
      <c r="G226" s="82"/>
      <c r="H226" s="82"/>
      <c r="I226" s="34"/>
      <c r="J226" s="83"/>
      <c r="K226" s="83"/>
      <c r="L226" s="83"/>
      <c r="M226" s="70"/>
      <c r="N226" s="70"/>
      <c r="O226" s="70"/>
      <c r="P226" s="70"/>
      <c r="Q226" s="70"/>
      <c r="R226" s="70"/>
      <c r="S226" s="70"/>
      <c r="T226" s="70"/>
      <c r="U226" s="70"/>
      <c r="V226" s="70"/>
      <c r="W226" s="70"/>
      <c r="X226" s="70"/>
      <c r="Y226" s="70"/>
      <c r="Z226" s="70"/>
    </row>
    <row r="227">
      <c r="A227" s="78"/>
      <c r="B227" s="78"/>
      <c r="C227" s="80"/>
      <c r="D227" s="80"/>
      <c r="E227" s="82"/>
      <c r="F227" s="82"/>
      <c r="G227" s="82"/>
      <c r="H227" s="82"/>
      <c r="I227" s="34"/>
      <c r="J227" s="83"/>
      <c r="K227" s="83"/>
      <c r="L227" s="83"/>
      <c r="M227" s="70"/>
      <c r="N227" s="70"/>
      <c r="O227" s="70"/>
      <c r="P227" s="70"/>
      <c r="Q227" s="70"/>
      <c r="R227" s="70"/>
      <c r="S227" s="70"/>
      <c r="T227" s="70"/>
      <c r="U227" s="70"/>
      <c r="V227" s="70"/>
      <c r="W227" s="70"/>
      <c r="X227" s="70"/>
      <c r="Y227" s="70"/>
      <c r="Z227" s="70"/>
    </row>
    <row r="228">
      <c r="A228" s="78"/>
      <c r="B228" s="78"/>
      <c r="C228" s="80"/>
      <c r="D228" s="80"/>
      <c r="E228" s="82"/>
      <c r="F228" s="82"/>
      <c r="G228" s="82"/>
      <c r="H228" s="82"/>
      <c r="I228" s="34"/>
      <c r="J228" s="83"/>
      <c r="K228" s="83"/>
      <c r="L228" s="83"/>
      <c r="M228" s="70"/>
      <c r="N228" s="70"/>
      <c r="O228" s="70"/>
      <c r="P228" s="70"/>
      <c r="Q228" s="70"/>
      <c r="R228" s="70"/>
      <c r="S228" s="70"/>
      <c r="T228" s="70"/>
      <c r="U228" s="70"/>
      <c r="V228" s="70"/>
      <c r="W228" s="70"/>
      <c r="X228" s="70"/>
      <c r="Y228" s="70"/>
      <c r="Z228" s="70"/>
    </row>
    <row r="229">
      <c r="A229" s="78"/>
      <c r="B229" s="78"/>
      <c r="C229" s="80"/>
      <c r="D229" s="80"/>
      <c r="E229" s="82"/>
      <c r="F229" s="82"/>
      <c r="G229" s="82"/>
      <c r="H229" s="82"/>
      <c r="I229" s="34"/>
      <c r="J229" s="83"/>
      <c r="K229" s="83"/>
      <c r="L229" s="83"/>
      <c r="M229" s="70"/>
      <c r="N229" s="70"/>
      <c r="O229" s="70"/>
      <c r="P229" s="70"/>
      <c r="Q229" s="70"/>
      <c r="R229" s="70"/>
      <c r="S229" s="70"/>
      <c r="T229" s="70"/>
      <c r="U229" s="70"/>
      <c r="V229" s="70"/>
      <c r="W229" s="70"/>
      <c r="X229" s="70"/>
      <c r="Y229" s="70"/>
      <c r="Z229" s="70"/>
    </row>
    <row r="230">
      <c r="A230" s="78"/>
      <c r="B230" s="78"/>
      <c r="C230" s="80"/>
      <c r="D230" s="80"/>
      <c r="E230" s="82"/>
      <c r="F230" s="82"/>
      <c r="G230" s="82"/>
      <c r="H230" s="82"/>
      <c r="I230" s="34"/>
      <c r="J230" s="83"/>
      <c r="K230" s="83"/>
      <c r="L230" s="83"/>
      <c r="M230" s="70"/>
      <c r="N230" s="70"/>
      <c r="O230" s="70"/>
      <c r="P230" s="70"/>
      <c r="Q230" s="70"/>
      <c r="R230" s="70"/>
      <c r="S230" s="70"/>
      <c r="T230" s="70"/>
      <c r="U230" s="70"/>
      <c r="V230" s="70"/>
      <c r="W230" s="70"/>
      <c r="X230" s="70"/>
      <c r="Y230" s="70"/>
      <c r="Z230" s="70"/>
    </row>
    <row r="231">
      <c r="A231" s="78"/>
      <c r="B231" s="78"/>
      <c r="C231" s="80"/>
      <c r="D231" s="80"/>
      <c r="E231" s="82"/>
      <c r="F231" s="82"/>
      <c r="G231" s="82"/>
      <c r="H231" s="82"/>
      <c r="I231" s="34"/>
      <c r="J231" s="83"/>
      <c r="K231" s="83"/>
      <c r="L231" s="83"/>
      <c r="M231" s="70"/>
      <c r="N231" s="70"/>
      <c r="O231" s="70"/>
      <c r="P231" s="70"/>
      <c r="Q231" s="70"/>
      <c r="R231" s="70"/>
      <c r="S231" s="70"/>
      <c r="T231" s="70"/>
      <c r="U231" s="70"/>
      <c r="V231" s="70"/>
      <c r="W231" s="70"/>
      <c r="X231" s="70"/>
      <c r="Y231" s="70"/>
      <c r="Z231" s="70"/>
    </row>
    <row r="232">
      <c r="A232" s="78"/>
      <c r="B232" s="78"/>
      <c r="C232" s="80"/>
      <c r="D232" s="80"/>
      <c r="E232" s="82"/>
      <c r="F232" s="82"/>
      <c r="G232" s="82"/>
      <c r="H232" s="82"/>
      <c r="I232" s="34"/>
      <c r="J232" s="83"/>
      <c r="K232" s="83"/>
      <c r="L232" s="83"/>
      <c r="M232" s="70"/>
      <c r="N232" s="70"/>
      <c r="O232" s="70"/>
      <c r="P232" s="70"/>
      <c r="Q232" s="70"/>
      <c r="R232" s="70"/>
      <c r="S232" s="70"/>
      <c r="T232" s="70"/>
      <c r="U232" s="70"/>
      <c r="V232" s="70"/>
      <c r="W232" s="70"/>
      <c r="X232" s="70"/>
      <c r="Y232" s="70"/>
      <c r="Z232" s="70"/>
    </row>
    <row r="233">
      <c r="A233" s="78"/>
      <c r="B233" s="78"/>
      <c r="C233" s="80"/>
      <c r="D233" s="80"/>
      <c r="E233" s="82"/>
      <c r="F233" s="82"/>
      <c r="G233" s="82"/>
      <c r="H233" s="82"/>
      <c r="I233" s="34"/>
      <c r="J233" s="83"/>
      <c r="K233" s="83"/>
      <c r="L233" s="83"/>
      <c r="M233" s="70"/>
      <c r="N233" s="70"/>
      <c r="O233" s="70"/>
      <c r="P233" s="70"/>
      <c r="Q233" s="70"/>
      <c r="R233" s="70"/>
      <c r="S233" s="70"/>
      <c r="T233" s="70"/>
      <c r="U233" s="70"/>
      <c r="V233" s="70"/>
      <c r="W233" s="70"/>
      <c r="X233" s="70"/>
      <c r="Y233" s="70"/>
      <c r="Z233" s="70"/>
    </row>
    <row r="234">
      <c r="A234" s="78"/>
      <c r="B234" s="78"/>
      <c r="C234" s="80"/>
      <c r="D234" s="80"/>
      <c r="E234" s="82"/>
      <c r="F234" s="82"/>
      <c r="G234" s="82"/>
      <c r="H234" s="82"/>
      <c r="I234" s="34"/>
      <c r="J234" s="83"/>
      <c r="K234" s="83"/>
      <c r="L234" s="83"/>
      <c r="M234" s="70"/>
      <c r="N234" s="70"/>
      <c r="O234" s="70"/>
      <c r="P234" s="70"/>
      <c r="Q234" s="70"/>
      <c r="R234" s="70"/>
      <c r="S234" s="70"/>
      <c r="T234" s="70"/>
      <c r="U234" s="70"/>
      <c r="V234" s="70"/>
      <c r="W234" s="70"/>
      <c r="X234" s="70"/>
      <c r="Y234" s="70"/>
      <c r="Z234" s="70"/>
    </row>
    <row r="235">
      <c r="A235" s="78"/>
      <c r="B235" s="78"/>
      <c r="C235" s="80"/>
      <c r="D235" s="80"/>
      <c r="E235" s="82"/>
      <c r="F235" s="82"/>
      <c r="G235" s="82"/>
      <c r="H235" s="82"/>
      <c r="I235" s="34"/>
      <c r="J235" s="83"/>
      <c r="K235" s="83"/>
      <c r="L235" s="83"/>
      <c r="M235" s="70"/>
      <c r="N235" s="70"/>
      <c r="O235" s="70"/>
      <c r="P235" s="70"/>
      <c r="Q235" s="70"/>
      <c r="R235" s="70"/>
      <c r="S235" s="70"/>
      <c r="T235" s="70"/>
      <c r="U235" s="70"/>
      <c r="V235" s="70"/>
      <c r="W235" s="70"/>
      <c r="X235" s="70"/>
      <c r="Y235" s="70"/>
      <c r="Z235" s="70"/>
    </row>
    <row r="236">
      <c r="A236" s="78"/>
      <c r="B236" s="78"/>
      <c r="C236" s="80"/>
      <c r="D236" s="80"/>
      <c r="E236" s="82"/>
      <c r="F236" s="82"/>
      <c r="G236" s="82"/>
      <c r="H236" s="82"/>
      <c r="I236" s="34"/>
      <c r="J236" s="83"/>
      <c r="K236" s="83"/>
      <c r="L236" s="83"/>
      <c r="M236" s="70"/>
      <c r="N236" s="70"/>
      <c r="O236" s="70"/>
      <c r="P236" s="70"/>
      <c r="Q236" s="70"/>
      <c r="R236" s="70"/>
      <c r="S236" s="70"/>
      <c r="T236" s="70"/>
      <c r="U236" s="70"/>
      <c r="V236" s="70"/>
      <c r="W236" s="70"/>
      <c r="X236" s="70"/>
      <c r="Y236" s="70"/>
      <c r="Z236" s="70"/>
    </row>
    <row r="237">
      <c r="A237" s="78"/>
      <c r="B237" s="78"/>
      <c r="C237" s="80"/>
      <c r="D237" s="80"/>
      <c r="E237" s="82"/>
      <c r="F237" s="82"/>
      <c r="G237" s="82"/>
      <c r="H237" s="82"/>
      <c r="I237" s="34"/>
      <c r="J237" s="83"/>
      <c r="K237" s="83"/>
      <c r="L237" s="83"/>
      <c r="M237" s="70"/>
      <c r="N237" s="70"/>
      <c r="O237" s="70"/>
      <c r="P237" s="70"/>
      <c r="Q237" s="70"/>
      <c r="R237" s="70"/>
      <c r="S237" s="70"/>
      <c r="T237" s="70"/>
      <c r="U237" s="70"/>
      <c r="V237" s="70"/>
      <c r="W237" s="70"/>
      <c r="X237" s="70"/>
      <c r="Y237" s="70"/>
      <c r="Z237" s="70"/>
    </row>
    <row r="238">
      <c r="A238" s="78"/>
      <c r="B238" s="78"/>
      <c r="C238" s="80"/>
      <c r="D238" s="80"/>
      <c r="E238" s="82"/>
      <c r="F238" s="82"/>
      <c r="G238" s="82"/>
      <c r="H238" s="82"/>
      <c r="I238" s="34"/>
      <c r="J238" s="83"/>
      <c r="K238" s="83"/>
      <c r="L238" s="83"/>
      <c r="M238" s="70"/>
      <c r="N238" s="70"/>
      <c r="O238" s="70"/>
      <c r="P238" s="70"/>
      <c r="Q238" s="70"/>
      <c r="R238" s="70"/>
      <c r="S238" s="70"/>
      <c r="T238" s="70"/>
      <c r="U238" s="70"/>
      <c r="V238" s="70"/>
      <c r="W238" s="70"/>
      <c r="X238" s="70"/>
      <c r="Y238" s="70"/>
      <c r="Z238" s="70"/>
    </row>
    <row r="239">
      <c r="A239" s="78"/>
      <c r="B239" s="78"/>
      <c r="C239" s="80"/>
      <c r="D239" s="80"/>
      <c r="E239" s="82"/>
      <c r="F239" s="82"/>
      <c r="G239" s="82"/>
      <c r="H239" s="82"/>
      <c r="I239" s="34"/>
      <c r="J239" s="83"/>
      <c r="K239" s="83"/>
      <c r="L239" s="83"/>
      <c r="M239" s="70"/>
      <c r="N239" s="70"/>
      <c r="O239" s="70"/>
      <c r="P239" s="70"/>
      <c r="Q239" s="70"/>
      <c r="R239" s="70"/>
      <c r="S239" s="70"/>
      <c r="T239" s="70"/>
      <c r="U239" s="70"/>
      <c r="V239" s="70"/>
      <c r="W239" s="70"/>
      <c r="X239" s="70"/>
      <c r="Y239" s="70"/>
      <c r="Z239" s="70"/>
    </row>
    <row r="240">
      <c r="A240" s="78"/>
      <c r="B240" s="78"/>
      <c r="C240" s="80"/>
      <c r="D240" s="80"/>
      <c r="E240" s="82"/>
      <c r="F240" s="82"/>
      <c r="G240" s="82"/>
      <c r="H240" s="82"/>
      <c r="I240" s="34"/>
      <c r="J240" s="83"/>
      <c r="K240" s="83"/>
      <c r="L240" s="83"/>
      <c r="M240" s="70"/>
      <c r="N240" s="70"/>
      <c r="O240" s="70"/>
      <c r="P240" s="70"/>
      <c r="Q240" s="70"/>
      <c r="R240" s="70"/>
      <c r="S240" s="70"/>
      <c r="T240" s="70"/>
      <c r="U240" s="70"/>
      <c r="V240" s="70"/>
      <c r="W240" s="70"/>
      <c r="X240" s="70"/>
      <c r="Y240" s="70"/>
      <c r="Z240" s="70"/>
    </row>
    <row r="241">
      <c r="A241" s="78"/>
      <c r="B241" s="78"/>
      <c r="C241" s="80"/>
      <c r="D241" s="80"/>
      <c r="E241" s="82"/>
      <c r="F241" s="82"/>
      <c r="G241" s="82"/>
      <c r="H241" s="82"/>
      <c r="I241" s="34"/>
      <c r="J241" s="83"/>
      <c r="K241" s="83"/>
      <c r="L241" s="83"/>
      <c r="M241" s="70"/>
      <c r="N241" s="70"/>
      <c r="O241" s="70"/>
      <c r="P241" s="70"/>
      <c r="Q241" s="70"/>
      <c r="R241" s="70"/>
      <c r="S241" s="70"/>
      <c r="T241" s="70"/>
      <c r="U241" s="70"/>
      <c r="V241" s="70"/>
      <c r="W241" s="70"/>
      <c r="X241" s="70"/>
      <c r="Y241" s="70"/>
      <c r="Z241" s="70"/>
    </row>
    <row r="242">
      <c r="A242" s="78"/>
      <c r="B242" s="78"/>
      <c r="C242" s="80"/>
      <c r="D242" s="80"/>
      <c r="E242" s="82"/>
      <c r="F242" s="82"/>
      <c r="G242" s="82"/>
      <c r="H242" s="82"/>
      <c r="I242" s="34"/>
      <c r="J242" s="83"/>
      <c r="K242" s="83"/>
      <c r="L242" s="83"/>
      <c r="M242" s="70"/>
      <c r="N242" s="70"/>
      <c r="O242" s="70"/>
      <c r="P242" s="70"/>
      <c r="Q242" s="70"/>
      <c r="R242" s="70"/>
      <c r="S242" s="70"/>
      <c r="T242" s="70"/>
      <c r="U242" s="70"/>
      <c r="V242" s="70"/>
      <c r="W242" s="70"/>
      <c r="X242" s="70"/>
      <c r="Y242" s="70"/>
      <c r="Z242" s="70"/>
    </row>
    <row r="243">
      <c r="A243" s="78"/>
      <c r="B243" s="78"/>
      <c r="C243" s="80"/>
      <c r="D243" s="80"/>
      <c r="E243" s="82"/>
      <c r="F243" s="82"/>
      <c r="G243" s="82"/>
      <c r="H243" s="82"/>
      <c r="I243" s="34"/>
      <c r="J243" s="83"/>
      <c r="K243" s="83"/>
      <c r="L243" s="83"/>
      <c r="M243" s="70"/>
      <c r="N243" s="70"/>
      <c r="O243" s="70"/>
      <c r="P243" s="70"/>
      <c r="Q243" s="70"/>
      <c r="R243" s="70"/>
      <c r="S243" s="70"/>
      <c r="T243" s="70"/>
      <c r="U243" s="70"/>
      <c r="V243" s="70"/>
      <c r="W243" s="70"/>
      <c r="X243" s="70"/>
      <c r="Y243" s="70"/>
      <c r="Z243" s="70"/>
    </row>
    <row r="244">
      <c r="A244" s="78"/>
      <c r="B244" s="78"/>
      <c r="C244" s="80"/>
      <c r="D244" s="80"/>
      <c r="E244" s="82"/>
      <c r="F244" s="82"/>
      <c r="G244" s="82"/>
      <c r="H244" s="82"/>
      <c r="I244" s="34"/>
      <c r="J244" s="83"/>
      <c r="K244" s="83"/>
      <c r="L244" s="83"/>
      <c r="M244" s="70"/>
      <c r="N244" s="70"/>
      <c r="O244" s="70"/>
      <c r="P244" s="70"/>
      <c r="Q244" s="70"/>
      <c r="R244" s="70"/>
      <c r="S244" s="70"/>
      <c r="T244" s="70"/>
      <c r="U244" s="70"/>
      <c r="V244" s="70"/>
      <c r="W244" s="70"/>
      <c r="X244" s="70"/>
      <c r="Y244" s="70"/>
      <c r="Z244" s="70"/>
    </row>
    <row r="245">
      <c r="A245" s="78"/>
      <c r="B245" s="78"/>
      <c r="C245" s="80"/>
      <c r="D245" s="80"/>
      <c r="E245" s="82"/>
      <c r="F245" s="82"/>
      <c r="G245" s="82"/>
      <c r="H245" s="82"/>
      <c r="I245" s="34"/>
      <c r="J245" s="83"/>
      <c r="K245" s="83"/>
      <c r="L245" s="83"/>
      <c r="M245" s="70"/>
      <c r="N245" s="70"/>
      <c r="O245" s="70"/>
      <c r="P245" s="70"/>
      <c r="Q245" s="70"/>
      <c r="R245" s="70"/>
      <c r="S245" s="70"/>
      <c r="T245" s="70"/>
      <c r="U245" s="70"/>
      <c r="V245" s="70"/>
      <c r="W245" s="70"/>
      <c r="X245" s="70"/>
      <c r="Y245" s="70"/>
      <c r="Z245" s="70"/>
    </row>
    <row r="246">
      <c r="A246" s="78"/>
      <c r="B246" s="78"/>
      <c r="C246" s="80"/>
      <c r="D246" s="80"/>
      <c r="E246" s="82"/>
      <c r="F246" s="82"/>
      <c r="G246" s="82"/>
      <c r="H246" s="82"/>
      <c r="I246" s="34"/>
      <c r="J246" s="83"/>
      <c r="K246" s="83"/>
      <c r="L246" s="83"/>
      <c r="M246" s="70"/>
      <c r="N246" s="70"/>
      <c r="O246" s="70"/>
      <c r="P246" s="70"/>
      <c r="Q246" s="70"/>
      <c r="R246" s="70"/>
      <c r="S246" s="70"/>
      <c r="T246" s="70"/>
      <c r="U246" s="70"/>
      <c r="V246" s="70"/>
      <c r="W246" s="70"/>
      <c r="X246" s="70"/>
      <c r="Y246" s="70"/>
      <c r="Z246" s="70"/>
    </row>
    <row r="247">
      <c r="A247" s="78"/>
      <c r="B247" s="78"/>
      <c r="C247" s="80"/>
      <c r="D247" s="80"/>
      <c r="E247" s="82"/>
      <c r="F247" s="82"/>
      <c r="G247" s="82"/>
      <c r="H247" s="82"/>
      <c r="I247" s="34"/>
      <c r="J247" s="83"/>
      <c r="K247" s="83"/>
      <c r="L247" s="83"/>
      <c r="M247" s="70"/>
      <c r="N247" s="70"/>
      <c r="O247" s="70"/>
      <c r="P247" s="70"/>
      <c r="Q247" s="70"/>
      <c r="R247" s="70"/>
      <c r="S247" s="70"/>
      <c r="T247" s="70"/>
      <c r="U247" s="70"/>
      <c r="V247" s="70"/>
      <c r="W247" s="70"/>
      <c r="X247" s="70"/>
      <c r="Y247" s="70"/>
      <c r="Z247" s="70"/>
    </row>
    <row r="248">
      <c r="A248" s="78"/>
      <c r="B248" s="78"/>
      <c r="C248" s="80"/>
      <c r="D248" s="80"/>
      <c r="E248" s="82"/>
      <c r="F248" s="82"/>
      <c r="G248" s="82"/>
      <c r="H248" s="82"/>
      <c r="I248" s="34"/>
      <c r="J248" s="83"/>
      <c r="K248" s="83"/>
      <c r="L248" s="83"/>
      <c r="M248" s="70"/>
      <c r="N248" s="70"/>
      <c r="O248" s="70"/>
      <c r="P248" s="70"/>
      <c r="Q248" s="70"/>
      <c r="R248" s="70"/>
      <c r="S248" s="70"/>
      <c r="T248" s="70"/>
      <c r="U248" s="70"/>
      <c r="V248" s="70"/>
      <c r="W248" s="70"/>
      <c r="X248" s="70"/>
      <c r="Y248" s="70"/>
      <c r="Z248" s="70"/>
    </row>
    <row r="249">
      <c r="A249" s="78"/>
      <c r="B249" s="78"/>
      <c r="C249" s="80"/>
      <c r="D249" s="80"/>
      <c r="E249" s="82"/>
      <c r="F249" s="82"/>
      <c r="G249" s="82"/>
      <c r="H249" s="82"/>
      <c r="I249" s="34"/>
      <c r="J249" s="83"/>
      <c r="K249" s="83"/>
      <c r="L249" s="83"/>
      <c r="M249" s="70"/>
      <c r="N249" s="70"/>
      <c r="O249" s="70"/>
      <c r="P249" s="70"/>
      <c r="Q249" s="70"/>
      <c r="R249" s="70"/>
      <c r="S249" s="70"/>
      <c r="T249" s="70"/>
      <c r="U249" s="70"/>
      <c r="V249" s="70"/>
      <c r="W249" s="70"/>
      <c r="X249" s="70"/>
      <c r="Y249" s="70"/>
      <c r="Z249" s="70"/>
    </row>
    <row r="250">
      <c r="A250" s="78"/>
      <c r="B250" s="78"/>
      <c r="C250" s="80"/>
      <c r="D250" s="80"/>
      <c r="E250" s="82"/>
      <c r="F250" s="82"/>
      <c r="G250" s="82"/>
      <c r="H250" s="82"/>
      <c r="I250" s="34"/>
      <c r="J250" s="83"/>
      <c r="K250" s="83"/>
      <c r="L250" s="83"/>
      <c r="M250" s="70"/>
      <c r="N250" s="70"/>
      <c r="O250" s="70"/>
      <c r="P250" s="70"/>
      <c r="Q250" s="70"/>
      <c r="R250" s="70"/>
      <c r="S250" s="70"/>
      <c r="T250" s="70"/>
      <c r="U250" s="70"/>
      <c r="V250" s="70"/>
      <c r="W250" s="70"/>
      <c r="X250" s="70"/>
      <c r="Y250" s="70"/>
      <c r="Z250" s="70"/>
    </row>
    <row r="251">
      <c r="A251" s="78"/>
      <c r="B251" s="78"/>
      <c r="C251" s="80"/>
      <c r="D251" s="80"/>
      <c r="E251" s="82"/>
      <c r="F251" s="82"/>
      <c r="G251" s="82"/>
      <c r="H251" s="82"/>
      <c r="I251" s="34"/>
      <c r="J251" s="83"/>
      <c r="K251" s="83"/>
      <c r="L251" s="83"/>
      <c r="M251" s="70"/>
      <c r="N251" s="70"/>
      <c r="O251" s="70"/>
      <c r="P251" s="70"/>
      <c r="Q251" s="70"/>
      <c r="R251" s="70"/>
      <c r="S251" s="70"/>
      <c r="T251" s="70"/>
      <c r="U251" s="70"/>
      <c r="V251" s="70"/>
      <c r="W251" s="70"/>
      <c r="X251" s="70"/>
      <c r="Y251" s="70"/>
      <c r="Z251" s="70"/>
    </row>
    <row r="252">
      <c r="A252" s="78"/>
      <c r="B252" s="78"/>
      <c r="C252" s="80"/>
      <c r="D252" s="80"/>
      <c r="E252" s="82"/>
      <c r="F252" s="82"/>
      <c r="G252" s="82"/>
      <c r="H252" s="82"/>
      <c r="I252" s="34"/>
      <c r="J252" s="83"/>
      <c r="K252" s="83"/>
      <c r="L252" s="83"/>
      <c r="M252" s="70"/>
      <c r="N252" s="70"/>
      <c r="O252" s="70"/>
      <c r="P252" s="70"/>
      <c r="Q252" s="70"/>
      <c r="R252" s="70"/>
      <c r="S252" s="70"/>
      <c r="T252" s="70"/>
      <c r="U252" s="70"/>
      <c r="V252" s="70"/>
      <c r="W252" s="70"/>
      <c r="X252" s="70"/>
      <c r="Y252" s="70"/>
      <c r="Z252" s="70"/>
    </row>
    <row r="253">
      <c r="A253" s="78"/>
      <c r="B253" s="78"/>
      <c r="C253" s="80"/>
      <c r="D253" s="80"/>
      <c r="E253" s="82"/>
      <c r="F253" s="82"/>
      <c r="G253" s="82"/>
      <c r="H253" s="82"/>
      <c r="I253" s="34"/>
      <c r="J253" s="83"/>
      <c r="K253" s="83"/>
      <c r="L253" s="83"/>
      <c r="M253" s="70"/>
      <c r="N253" s="70"/>
      <c r="O253" s="70"/>
      <c r="P253" s="70"/>
      <c r="Q253" s="70"/>
      <c r="R253" s="70"/>
      <c r="S253" s="70"/>
      <c r="T253" s="70"/>
      <c r="U253" s="70"/>
      <c r="V253" s="70"/>
      <c r="W253" s="70"/>
      <c r="X253" s="70"/>
      <c r="Y253" s="70"/>
      <c r="Z253" s="70"/>
    </row>
    <row r="254">
      <c r="A254" s="78"/>
      <c r="B254" s="78"/>
      <c r="C254" s="80"/>
      <c r="D254" s="80"/>
      <c r="E254" s="82"/>
      <c r="F254" s="82"/>
      <c r="G254" s="82"/>
      <c r="H254" s="82"/>
      <c r="I254" s="34"/>
      <c r="J254" s="83"/>
      <c r="K254" s="83"/>
      <c r="L254" s="83"/>
      <c r="M254" s="70"/>
      <c r="N254" s="70"/>
      <c r="O254" s="70"/>
      <c r="P254" s="70"/>
      <c r="Q254" s="70"/>
      <c r="R254" s="70"/>
      <c r="S254" s="70"/>
      <c r="T254" s="70"/>
      <c r="U254" s="70"/>
      <c r="V254" s="70"/>
      <c r="W254" s="70"/>
      <c r="X254" s="70"/>
      <c r="Y254" s="70"/>
      <c r="Z254" s="70"/>
    </row>
    <row r="255">
      <c r="A255" s="78"/>
      <c r="B255" s="78"/>
      <c r="C255" s="80"/>
      <c r="D255" s="80"/>
      <c r="E255" s="82"/>
      <c r="F255" s="82"/>
      <c r="G255" s="82"/>
      <c r="H255" s="82"/>
      <c r="I255" s="34"/>
      <c r="J255" s="83"/>
      <c r="K255" s="83"/>
      <c r="L255" s="83"/>
      <c r="M255" s="70"/>
      <c r="N255" s="70"/>
      <c r="O255" s="70"/>
      <c r="P255" s="70"/>
      <c r="Q255" s="70"/>
      <c r="R255" s="70"/>
      <c r="S255" s="70"/>
      <c r="T255" s="70"/>
      <c r="U255" s="70"/>
      <c r="V255" s="70"/>
      <c r="W255" s="70"/>
      <c r="X255" s="70"/>
      <c r="Y255" s="70"/>
      <c r="Z255" s="70"/>
    </row>
    <row r="256">
      <c r="A256" s="78"/>
      <c r="B256" s="78"/>
      <c r="C256" s="80"/>
      <c r="D256" s="80"/>
      <c r="E256" s="82"/>
      <c r="F256" s="82"/>
      <c r="G256" s="82"/>
      <c r="H256" s="82"/>
      <c r="I256" s="34"/>
      <c r="J256" s="83"/>
      <c r="K256" s="83"/>
      <c r="L256" s="83"/>
      <c r="M256" s="70"/>
      <c r="N256" s="70"/>
      <c r="O256" s="70"/>
      <c r="P256" s="70"/>
      <c r="Q256" s="70"/>
      <c r="R256" s="70"/>
      <c r="S256" s="70"/>
      <c r="T256" s="70"/>
      <c r="U256" s="70"/>
      <c r="V256" s="70"/>
      <c r="W256" s="70"/>
      <c r="X256" s="70"/>
      <c r="Y256" s="70"/>
      <c r="Z256" s="70"/>
    </row>
    <row r="257">
      <c r="A257" s="78"/>
      <c r="B257" s="78"/>
      <c r="C257" s="80"/>
      <c r="D257" s="80"/>
      <c r="E257" s="82"/>
      <c r="F257" s="82"/>
      <c r="G257" s="82"/>
      <c r="H257" s="82"/>
      <c r="I257" s="34"/>
      <c r="J257" s="83"/>
      <c r="K257" s="83"/>
      <c r="L257" s="83"/>
      <c r="M257" s="70"/>
      <c r="N257" s="70"/>
      <c r="O257" s="70"/>
      <c r="P257" s="70"/>
      <c r="Q257" s="70"/>
      <c r="R257" s="70"/>
      <c r="S257" s="70"/>
      <c r="T257" s="70"/>
      <c r="U257" s="70"/>
      <c r="V257" s="70"/>
      <c r="W257" s="70"/>
      <c r="X257" s="70"/>
      <c r="Y257" s="70"/>
      <c r="Z257" s="70"/>
    </row>
    <row r="258">
      <c r="A258" s="78"/>
      <c r="B258" s="78"/>
      <c r="C258" s="80"/>
      <c r="D258" s="80"/>
      <c r="E258" s="82"/>
      <c r="F258" s="82"/>
      <c r="G258" s="82"/>
      <c r="H258" s="82"/>
      <c r="I258" s="34"/>
      <c r="J258" s="83"/>
      <c r="K258" s="83"/>
      <c r="L258" s="83"/>
      <c r="M258" s="70"/>
      <c r="N258" s="70"/>
      <c r="O258" s="70"/>
      <c r="P258" s="70"/>
      <c r="Q258" s="70"/>
      <c r="R258" s="70"/>
      <c r="S258" s="70"/>
      <c r="T258" s="70"/>
      <c r="U258" s="70"/>
      <c r="V258" s="70"/>
      <c r="W258" s="70"/>
      <c r="X258" s="70"/>
      <c r="Y258" s="70"/>
      <c r="Z258" s="70"/>
    </row>
    <row r="259">
      <c r="A259" s="78"/>
      <c r="B259" s="78"/>
      <c r="C259" s="80"/>
      <c r="D259" s="80"/>
      <c r="E259" s="82"/>
      <c r="F259" s="82"/>
      <c r="G259" s="82"/>
      <c r="H259" s="82"/>
      <c r="I259" s="34"/>
      <c r="J259" s="83"/>
      <c r="K259" s="83"/>
      <c r="L259" s="83"/>
      <c r="M259" s="70"/>
      <c r="N259" s="70"/>
      <c r="O259" s="70"/>
      <c r="P259" s="70"/>
      <c r="Q259" s="70"/>
      <c r="R259" s="70"/>
      <c r="S259" s="70"/>
      <c r="T259" s="70"/>
      <c r="U259" s="70"/>
      <c r="V259" s="70"/>
      <c r="W259" s="70"/>
      <c r="X259" s="70"/>
      <c r="Y259" s="70"/>
      <c r="Z259" s="70"/>
    </row>
    <row r="260">
      <c r="A260" s="78"/>
      <c r="B260" s="78"/>
      <c r="C260" s="80"/>
      <c r="D260" s="80"/>
      <c r="E260" s="82"/>
      <c r="F260" s="82"/>
      <c r="G260" s="82"/>
      <c r="H260" s="82"/>
      <c r="I260" s="34"/>
      <c r="J260" s="83"/>
      <c r="K260" s="83"/>
      <c r="L260" s="83"/>
      <c r="M260" s="70"/>
      <c r="N260" s="70"/>
      <c r="O260" s="70"/>
      <c r="P260" s="70"/>
      <c r="Q260" s="70"/>
      <c r="R260" s="70"/>
      <c r="S260" s="70"/>
      <c r="T260" s="70"/>
      <c r="U260" s="70"/>
      <c r="V260" s="70"/>
      <c r="W260" s="70"/>
      <c r="X260" s="70"/>
      <c r="Y260" s="70"/>
      <c r="Z260" s="70"/>
    </row>
    <row r="261">
      <c r="A261" s="78"/>
      <c r="B261" s="78"/>
      <c r="C261" s="80"/>
      <c r="D261" s="80"/>
      <c r="E261" s="82"/>
      <c r="F261" s="82"/>
      <c r="G261" s="82"/>
      <c r="H261" s="82"/>
      <c r="I261" s="34"/>
      <c r="J261" s="83"/>
      <c r="K261" s="83"/>
      <c r="L261" s="83"/>
      <c r="M261" s="70"/>
      <c r="N261" s="70"/>
      <c r="O261" s="70"/>
      <c r="P261" s="70"/>
      <c r="Q261" s="70"/>
      <c r="R261" s="70"/>
      <c r="S261" s="70"/>
      <c r="T261" s="70"/>
      <c r="U261" s="70"/>
      <c r="V261" s="70"/>
      <c r="W261" s="70"/>
      <c r="X261" s="70"/>
      <c r="Y261" s="70"/>
      <c r="Z261" s="70"/>
    </row>
    <row r="262">
      <c r="A262" s="78"/>
      <c r="B262" s="78"/>
      <c r="C262" s="80"/>
      <c r="D262" s="80"/>
      <c r="E262" s="82"/>
      <c r="F262" s="82"/>
      <c r="G262" s="82"/>
      <c r="H262" s="82"/>
      <c r="I262" s="34"/>
      <c r="J262" s="83"/>
      <c r="K262" s="83"/>
      <c r="L262" s="83"/>
      <c r="M262" s="70"/>
      <c r="N262" s="70"/>
      <c r="O262" s="70"/>
      <c r="P262" s="70"/>
      <c r="Q262" s="70"/>
      <c r="R262" s="70"/>
      <c r="S262" s="70"/>
      <c r="T262" s="70"/>
      <c r="U262" s="70"/>
      <c r="V262" s="70"/>
      <c r="W262" s="70"/>
      <c r="X262" s="70"/>
      <c r="Y262" s="70"/>
      <c r="Z262" s="70"/>
    </row>
    <row r="263">
      <c r="A263" s="78"/>
      <c r="B263" s="78"/>
      <c r="C263" s="80"/>
      <c r="D263" s="80"/>
      <c r="E263" s="82"/>
      <c r="F263" s="82"/>
      <c r="G263" s="82"/>
      <c r="H263" s="82"/>
      <c r="I263" s="34"/>
      <c r="J263" s="83"/>
      <c r="K263" s="83"/>
      <c r="L263" s="83"/>
      <c r="M263" s="70"/>
      <c r="N263" s="70"/>
      <c r="O263" s="70"/>
      <c r="P263" s="70"/>
      <c r="Q263" s="70"/>
      <c r="R263" s="70"/>
      <c r="S263" s="70"/>
      <c r="T263" s="70"/>
      <c r="U263" s="70"/>
      <c r="V263" s="70"/>
      <c r="W263" s="70"/>
      <c r="X263" s="70"/>
      <c r="Y263" s="70"/>
      <c r="Z263" s="70"/>
    </row>
    <row r="264">
      <c r="A264" s="78"/>
      <c r="B264" s="78"/>
      <c r="C264" s="80"/>
      <c r="D264" s="80"/>
      <c r="E264" s="82"/>
      <c r="F264" s="82"/>
      <c r="G264" s="82"/>
      <c r="H264" s="82"/>
      <c r="I264" s="34"/>
      <c r="J264" s="83"/>
      <c r="K264" s="83"/>
      <c r="L264" s="83"/>
      <c r="M264" s="70"/>
      <c r="N264" s="70"/>
      <c r="O264" s="70"/>
      <c r="P264" s="70"/>
      <c r="Q264" s="70"/>
      <c r="R264" s="70"/>
      <c r="S264" s="70"/>
      <c r="T264" s="70"/>
      <c r="U264" s="70"/>
      <c r="V264" s="70"/>
      <c r="W264" s="70"/>
      <c r="X264" s="70"/>
      <c r="Y264" s="70"/>
      <c r="Z264" s="70"/>
    </row>
    <row r="265">
      <c r="A265" s="78"/>
      <c r="B265" s="78"/>
      <c r="C265" s="80"/>
      <c r="D265" s="80"/>
      <c r="E265" s="82"/>
      <c r="F265" s="82"/>
      <c r="G265" s="82"/>
      <c r="H265" s="82"/>
      <c r="I265" s="34"/>
      <c r="J265" s="83"/>
      <c r="K265" s="83"/>
      <c r="L265" s="83"/>
      <c r="M265" s="70"/>
      <c r="N265" s="70"/>
      <c r="O265" s="70"/>
      <c r="P265" s="70"/>
      <c r="Q265" s="70"/>
      <c r="R265" s="70"/>
      <c r="S265" s="70"/>
      <c r="T265" s="70"/>
      <c r="U265" s="70"/>
      <c r="V265" s="70"/>
      <c r="W265" s="70"/>
      <c r="X265" s="70"/>
      <c r="Y265" s="70"/>
      <c r="Z265" s="70"/>
    </row>
    <row r="266">
      <c r="A266" s="78"/>
      <c r="B266" s="78"/>
      <c r="C266" s="80"/>
      <c r="D266" s="80"/>
      <c r="E266" s="82"/>
      <c r="F266" s="82"/>
      <c r="G266" s="82"/>
      <c r="H266" s="82"/>
      <c r="I266" s="34"/>
      <c r="J266" s="83"/>
      <c r="K266" s="83"/>
      <c r="L266" s="83"/>
      <c r="M266" s="70"/>
      <c r="N266" s="70"/>
      <c r="O266" s="70"/>
      <c r="P266" s="70"/>
      <c r="Q266" s="70"/>
      <c r="R266" s="70"/>
      <c r="S266" s="70"/>
      <c r="T266" s="70"/>
      <c r="U266" s="70"/>
      <c r="V266" s="70"/>
      <c r="W266" s="70"/>
      <c r="X266" s="70"/>
      <c r="Y266" s="70"/>
      <c r="Z266" s="70"/>
    </row>
    <row r="267">
      <c r="A267" s="78"/>
      <c r="B267" s="78"/>
      <c r="C267" s="80"/>
      <c r="D267" s="80"/>
      <c r="E267" s="82"/>
      <c r="F267" s="82"/>
      <c r="G267" s="82"/>
      <c r="H267" s="82"/>
      <c r="I267" s="34"/>
      <c r="J267" s="83"/>
      <c r="K267" s="83"/>
      <c r="L267" s="83"/>
      <c r="M267" s="70"/>
      <c r="N267" s="70"/>
      <c r="O267" s="70"/>
      <c r="P267" s="70"/>
      <c r="Q267" s="70"/>
      <c r="R267" s="70"/>
      <c r="S267" s="70"/>
      <c r="T267" s="70"/>
      <c r="U267" s="70"/>
      <c r="V267" s="70"/>
      <c r="W267" s="70"/>
      <c r="X267" s="70"/>
      <c r="Y267" s="70"/>
      <c r="Z267" s="70"/>
    </row>
    <row r="268">
      <c r="A268" s="78"/>
      <c r="B268" s="78"/>
      <c r="C268" s="80"/>
      <c r="D268" s="80"/>
      <c r="E268" s="82"/>
      <c r="F268" s="82"/>
      <c r="G268" s="82"/>
      <c r="H268" s="82"/>
      <c r="I268" s="34"/>
      <c r="J268" s="83"/>
      <c r="K268" s="83"/>
      <c r="L268" s="83"/>
      <c r="M268" s="70"/>
      <c r="N268" s="70"/>
      <c r="O268" s="70"/>
      <c r="P268" s="70"/>
      <c r="Q268" s="70"/>
      <c r="R268" s="70"/>
      <c r="S268" s="70"/>
      <c r="T268" s="70"/>
      <c r="U268" s="70"/>
      <c r="V268" s="70"/>
      <c r="W268" s="70"/>
      <c r="X268" s="70"/>
      <c r="Y268" s="70"/>
      <c r="Z268" s="70"/>
    </row>
    <row r="269">
      <c r="A269" s="78"/>
      <c r="B269" s="78"/>
      <c r="C269" s="80"/>
      <c r="D269" s="80"/>
      <c r="E269" s="82"/>
      <c r="F269" s="82"/>
      <c r="G269" s="82"/>
      <c r="H269" s="82"/>
      <c r="I269" s="34"/>
      <c r="J269" s="83"/>
      <c r="K269" s="83"/>
      <c r="L269" s="83"/>
      <c r="M269" s="70"/>
      <c r="N269" s="70"/>
      <c r="O269" s="70"/>
      <c r="P269" s="70"/>
      <c r="Q269" s="70"/>
      <c r="R269" s="70"/>
      <c r="S269" s="70"/>
      <c r="T269" s="70"/>
      <c r="U269" s="70"/>
      <c r="V269" s="70"/>
      <c r="W269" s="70"/>
      <c r="X269" s="70"/>
      <c r="Y269" s="70"/>
      <c r="Z269" s="70"/>
    </row>
    <row r="270">
      <c r="A270" s="78"/>
      <c r="B270" s="78"/>
      <c r="C270" s="80"/>
      <c r="D270" s="80"/>
      <c r="E270" s="82"/>
      <c r="F270" s="82"/>
      <c r="G270" s="82"/>
      <c r="H270" s="82"/>
      <c r="I270" s="34"/>
      <c r="J270" s="83"/>
      <c r="K270" s="83"/>
      <c r="L270" s="83"/>
      <c r="M270" s="70"/>
      <c r="N270" s="70"/>
      <c r="O270" s="70"/>
      <c r="P270" s="70"/>
      <c r="Q270" s="70"/>
      <c r="R270" s="70"/>
      <c r="S270" s="70"/>
      <c r="T270" s="70"/>
      <c r="U270" s="70"/>
      <c r="V270" s="70"/>
      <c r="W270" s="70"/>
      <c r="X270" s="70"/>
      <c r="Y270" s="70"/>
      <c r="Z270" s="70"/>
    </row>
    <row r="271">
      <c r="A271" s="78"/>
      <c r="B271" s="78"/>
      <c r="C271" s="80"/>
      <c r="D271" s="80"/>
      <c r="E271" s="82"/>
      <c r="F271" s="82"/>
      <c r="G271" s="82"/>
      <c r="H271" s="82"/>
      <c r="I271" s="34"/>
      <c r="J271" s="83"/>
      <c r="K271" s="83"/>
      <c r="L271" s="83"/>
      <c r="M271" s="70"/>
      <c r="N271" s="70"/>
      <c r="O271" s="70"/>
      <c r="P271" s="70"/>
      <c r="Q271" s="70"/>
      <c r="R271" s="70"/>
      <c r="S271" s="70"/>
      <c r="T271" s="70"/>
      <c r="U271" s="70"/>
      <c r="V271" s="70"/>
      <c r="W271" s="70"/>
      <c r="X271" s="70"/>
      <c r="Y271" s="70"/>
      <c r="Z271" s="70"/>
    </row>
    <row r="272">
      <c r="A272" s="78"/>
      <c r="B272" s="78"/>
      <c r="C272" s="80"/>
      <c r="D272" s="80"/>
      <c r="E272" s="82"/>
      <c r="F272" s="82"/>
      <c r="G272" s="82"/>
      <c r="H272" s="82"/>
      <c r="I272" s="34"/>
      <c r="J272" s="83"/>
      <c r="K272" s="83"/>
      <c r="L272" s="83"/>
      <c r="M272" s="70"/>
      <c r="N272" s="70"/>
      <c r="O272" s="70"/>
      <c r="P272" s="70"/>
      <c r="Q272" s="70"/>
      <c r="R272" s="70"/>
      <c r="S272" s="70"/>
      <c r="T272" s="70"/>
      <c r="U272" s="70"/>
      <c r="V272" s="70"/>
      <c r="W272" s="70"/>
      <c r="X272" s="70"/>
      <c r="Y272" s="70"/>
      <c r="Z272" s="70"/>
    </row>
    <row r="273">
      <c r="A273" s="78"/>
      <c r="B273" s="78"/>
      <c r="C273" s="80"/>
      <c r="D273" s="80"/>
      <c r="E273" s="82"/>
      <c r="F273" s="82"/>
      <c r="G273" s="82"/>
      <c r="H273" s="82"/>
      <c r="I273" s="34"/>
      <c r="J273" s="83"/>
      <c r="K273" s="83"/>
      <c r="L273" s="83"/>
      <c r="M273" s="70"/>
      <c r="N273" s="70"/>
      <c r="O273" s="70"/>
      <c r="P273" s="70"/>
      <c r="Q273" s="70"/>
      <c r="R273" s="70"/>
      <c r="S273" s="70"/>
      <c r="T273" s="70"/>
      <c r="U273" s="70"/>
      <c r="V273" s="70"/>
      <c r="W273" s="70"/>
      <c r="X273" s="70"/>
      <c r="Y273" s="70"/>
      <c r="Z273" s="70"/>
    </row>
    <row r="274">
      <c r="A274" s="78"/>
      <c r="B274" s="78"/>
      <c r="C274" s="80"/>
      <c r="D274" s="80"/>
      <c r="E274" s="82"/>
      <c r="F274" s="82"/>
      <c r="G274" s="82"/>
      <c r="H274" s="82"/>
      <c r="I274" s="34"/>
      <c r="J274" s="83"/>
      <c r="K274" s="83"/>
      <c r="L274" s="83"/>
      <c r="M274" s="70"/>
      <c r="N274" s="70"/>
      <c r="O274" s="70"/>
      <c r="P274" s="70"/>
      <c r="Q274" s="70"/>
      <c r="R274" s="70"/>
      <c r="S274" s="70"/>
      <c r="T274" s="70"/>
      <c r="U274" s="70"/>
      <c r="V274" s="70"/>
      <c r="W274" s="70"/>
      <c r="X274" s="70"/>
      <c r="Y274" s="70"/>
      <c r="Z274" s="70"/>
    </row>
    <row r="275">
      <c r="A275" s="78"/>
      <c r="B275" s="78"/>
      <c r="C275" s="80"/>
      <c r="D275" s="80"/>
      <c r="E275" s="82"/>
      <c r="F275" s="82"/>
      <c r="G275" s="82"/>
      <c r="H275" s="82"/>
      <c r="I275" s="34"/>
      <c r="J275" s="83"/>
      <c r="K275" s="83"/>
      <c r="L275" s="83"/>
      <c r="M275" s="70"/>
      <c r="N275" s="70"/>
      <c r="O275" s="70"/>
      <c r="P275" s="70"/>
      <c r="Q275" s="70"/>
      <c r="R275" s="70"/>
      <c r="S275" s="70"/>
      <c r="T275" s="70"/>
      <c r="U275" s="70"/>
      <c r="V275" s="70"/>
      <c r="W275" s="70"/>
      <c r="X275" s="70"/>
      <c r="Y275" s="70"/>
      <c r="Z275" s="70"/>
    </row>
    <row r="276">
      <c r="A276" s="78"/>
      <c r="B276" s="78"/>
      <c r="C276" s="80"/>
      <c r="D276" s="80"/>
      <c r="E276" s="82"/>
      <c r="F276" s="82"/>
      <c r="G276" s="82"/>
      <c r="H276" s="82"/>
      <c r="I276" s="34"/>
      <c r="J276" s="83"/>
      <c r="K276" s="83"/>
      <c r="L276" s="83"/>
      <c r="M276" s="70"/>
      <c r="N276" s="70"/>
      <c r="O276" s="70"/>
      <c r="P276" s="70"/>
      <c r="Q276" s="70"/>
      <c r="R276" s="70"/>
      <c r="S276" s="70"/>
      <c r="T276" s="70"/>
      <c r="U276" s="70"/>
      <c r="V276" s="70"/>
      <c r="W276" s="70"/>
      <c r="X276" s="70"/>
      <c r="Y276" s="70"/>
      <c r="Z276" s="70"/>
    </row>
    <row r="277">
      <c r="A277" s="78"/>
      <c r="B277" s="78"/>
      <c r="C277" s="80"/>
      <c r="D277" s="80"/>
      <c r="E277" s="82"/>
      <c r="F277" s="82"/>
      <c r="G277" s="82"/>
      <c r="H277" s="82"/>
      <c r="I277" s="34"/>
      <c r="J277" s="83"/>
      <c r="K277" s="83"/>
      <c r="L277" s="83"/>
      <c r="M277" s="70"/>
      <c r="N277" s="70"/>
      <c r="O277" s="70"/>
      <c r="P277" s="70"/>
      <c r="Q277" s="70"/>
      <c r="R277" s="70"/>
      <c r="S277" s="70"/>
      <c r="T277" s="70"/>
      <c r="U277" s="70"/>
      <c r="V277" s="70"/>
      <c r="W277" s="70"/>
      <c r="X277" s="70"/>
      <c r="Y277" s="70"/>
      <c r="Z277" s="70"/>
    </row>
    <row r="278">
      <c r="A278" s="78"/>
      <c r="B278" s="78"/>
      <c r="C278" s="80"/>
      <c r="D278" s="80"/>
      <c r="E278" s="82"/>
      <c r="F278" s="82"/>
      <c r="G278" s="82"/>
      <c r="H278" s="82"/>
      <c r="I278" s="34"/>
      <c r="J278" s="83"/>
      <c r="K278" s="83"/>
      <c r="L278" s="83"/>
      <c r="M278" s="70"/>
      <c r="N278" s="70"/>
      <c r="O278" s="70"/>
      <c r="P278" s="70"/>
      <c r="Q278" s="70"/>
      <c r="R278" s="70"/>
      <c r="S278" s="70"/>
      <c r="T278" s="70"/>
      <c r="U278" s="70"/>
      <c r="V278" s="70"/>
      <c r="W278" s="70"/>
      <c r="X278" s="70"/>
      <c r="Y278" s="70"/>
      <c r="Z278" s="70"/>
    </row>
    <row r="279">
      <c r="A279" s="78"/>
      <c r="B279" s="78"/>
      <c r="C279" s="80"/>
      <c r="D279" s="80"/>
      <c r="E279" s="82"/>
      <c r="F279" s="82"/>
      <c r="G279" s="82"/>
      <c r="H279" s="82"/>
      <c r="I279" s="34"/>
      <c r="J279" s="83"/>
      <c r="K279" s="83"/>
      <c r="L279" s="83"/>
      <c r="M279" s="70"/>
      <c r="N279" s="70"/>
      <c r="O279" s="70"/>
      <c r="P279" s="70"/>
      <c r="Q279" s="70"/>
      <c r="R279" s="70"/>
      <c r="S279" s="70"/>
      <c r="T279" s="70"/>
      <c r="U279" s="70"/>
      <c r="V279" s="70"/>
      <c r="W279" s="70"/>
      <c r="X279" s="70"/>
      <c r="Y279" s="70"/>
      <c r="Z279" s="70"/>
    </row>
    <row r="280">
      <c r="A280" s="78"/>
      <c r="B280" s="78"/>
      <c r="C280" s="80"/>
      <c r="D280" s="80"/>
      <c r="E280" s="82"/>
      <c r="F280" s="82"/>
      <c r="G280" s="82"/>
      <c r="H280" s="82"/>
      <c r="I280" s="34"/>
      <c r="J280" s="83"/>
      <c r="K280" s="83"/>
      <c r="L280" s="83"/>
      <c r="M280" s="70"/>
      <c r="N280" s="70"/>
      <c r="O280" s="70"/>
      <c r="P280" s="70"/>
      <c r="Q280" s="70"/>
      <c r="R280" s="70"/>
      <c r="S280" s="70"/>
      <c r="T280" s="70"/>
      <c r="U280" s="70"/>
      <c r="V280" s="70"/>
      <c r="W280" s="70"/>
      <c r="X280" s="70"/>
      <c r="Y280" s="70"/>
      <c r="Z280" s="70"/>
    </row>
    <row r="281">
      <c r="A281" s="78"/>
      <c r="B281" s="78"/>
      <c r="C281" s="80"/>
      <c r="D281" s="80"/>
      <c r="E281" s="82"/>
      <c r="F281" s="82"/>
      <c r="G281" s="82"/>
      <c r="H281" s="82"/>
      <c r="I281" s="34"/>
      <c r="J281" s="83"/>
      <c r="K281" s="83"/>
      <c r="L281" s="83"/>
      <c r="M281" s="70"/>
      <c r="N281" s="70"/>
      <c r="O281" s="70"/>
      <c r="P281" s="70"/>
      <c r="Q281" s="70"/>
      <c r="R281" s="70"/>
      <c r="S281" s="70"/>
      <c r="T281" s="70"/>
      <c r="U281" s="70"/>
      <c r="V281" s="70"/>
      <c r="W281" s="70"/>
      <c r="X281" s="70"/>
      <c r="Y281" s="70"/>
      <c r="Z281" s="70"/>
    </row>
    <row r="282">
      <c r="A282" s="78"/>
      <c r="B282" s="78"/>
      <c r="C282" s="80"/>
      <c r="D282" s="80"/>
      <c r="E282" s="82"/>
      <c r="F282" s="82"/>
      <c r="G282" s="82"/>
      <c r="H282" s="82"/>
      <c r="I282" s="34"/>
      <c r="J282" s="83"/>
      <c r="K282" s="83"/>
      <c r="L282" s="83"/>
      <c r="M282" s="70"/>
      <c r="N282" s="70"/>
      <c r="O282" s="70"/>
      <c r="P282" s="70"/>
      <c r="Q282" s="70"/>
      <c r="R282" s="70"/>
      <c r="S282" s="70"/>
      <c r="T282" s="70"/>
      <c r="U282" s="70"/>
      <c r="V282" s="70"/>
      <c r="W282" s="70"/>
      <c r="X282" s="70"/>
      <c r="Y282" s="70"/>
      <c r="Z282" s="70"/>
    </row>
    <row r="283">
      <c r="A283" s="78"/>
      <c r="B283" s="78"/>
      <c r="C283" s="80"/>
      <c r="D283" s="80"/>
      <c r="E283" s="82"/>
      <c r="F283" s="82"/>
      <c r="G283" s="82"/>
      <c r="H283" s="82"/>
      <c r="I283" s="34"/>
      <c r="J283" s="83"/>
      <c r="K283" s="83"/>
      <c r="L283" s="83"/>
      <c r="M283" s="70"/>
      <c r="N283" s="70"/>
      <c r="O283" s="70"/>
      <c r="P283" s="70"/>
      <c r="Q283" s="70"/>
      <c r="R283" s="70"/>
      <c r="S283" s="70"/>
      <c r="T283" s="70"/>
      <c r="U283" s="70"/>
      <c r="V283" s="70"/>
      <c r="W283" s="70"/>
      <c r="X283" s="70"/>
      <c r="Y283" s="70"/>
      <c r="Z283" s="70"/>
    </row>
    <row r="284">
      <c r="A284" s="78"/>
      <c r="B284" s="78"/>
      <c r="C284" s="80"/>
      <c r="D284" s="80"/>
      <c r="E284" s="82"/>
      <c r="F284" s="82"/>
      <c r="G284" s="82"/>
      <c r="H284" s="82"/>
      <c r="I284" s="34"/>
      <c r="J284" s="83"/>
      <c r="K284" s="83"/>
      <c r="L284" s="83"/>
      <c r="M284" s="70"/>
      <c r="N284" s="70"/>
      <c r="O284" s="70"/>
      <c r="P284" s="70"/>
      <c r="Q284" s="70"/>
      <c r="R284" s="70"/>
      <c r="S284" s="70"/>
      <c r="T284" s="70"/>
      <c r="U284" s="70"/>
      <c r="V284" s="70"/>
      <c r="W284" s="70"/>
      <c r="X284" s="70"/>
      <c r="Y284" s="70"/>
      <c r="Z284" s="70"/>
    </row>
    <row r="285">
      <c r="A285" s="78"/>
      <c r="B285" s="78"/>
      <c r="C285" s="80"/>
      <c r="D285" s="80"/>
      <c r="E285" s="82"/>
      <c r="F285" s="82"/>
      <c r="G285" s="82"/>
      <c r="H285" s="82"/>
      <c r="I285" s="34"/>
      <c r="J285" s="83"/>
      <c r="K285" s="83"/>
      <c r="L285" s="83"/>
      <c r="M285" s="70"/>
      <c r="N285" s="70"/>
      <c r="O285" s="70"/>
      <c r="P285" s="70"/>
      <c r="Q285" s="70"/>
      <c r="R285" s="70"/>
      <c r="S285" s="70"/>
      <c r="T285" s="70"/>
      <c r="U285" s="70"/>
      <c r="V285" s="70"/>
      <c r="W285" s="70"/>
      <c r="X285" s="70"/>
      <c r="Y285" s="70"/>
      <c r="Z285" s="70"/>
    </row>
    <row r="286">
      <c r="A286" s="78"/>
      <c r="B286" s="78"/>
      <c r="C286" s="80"/>
      <c r="D286" s="80"/>
      <c r="E286" s="82"/>
      <c r="F286" s="82"/>
      <c r="G286" s="82"/>
      <c r="H286" s="82"/>
      <c r="I286" s="34"/>
      <c r="J286" s="83"/>
      <c r="K286" s="83"/>
      <c r="L286" s="83"/>
      <c r="M286" s="70"/>
      <c r="N286" s="70"/>
      <c r="O286" s="70"/>
      <c r="P286" s="70"/>
      <c r="Q286" s="70"/>
      <c r="R286" s="70"/>
      <c r="S286" s="70"/>
      <c r="T286" s="70"/>
      <c r="U286" s="70"/>
      <c r="V286" s="70"/>
      <c r="W286" s="70"/>
      <c r="X286" s="70"/>
      <c r="Y286" s="70"/>
      <c r="Z286" s="70"/>
    </row>
    <row r="287">
      <c r="A287" s="78"/>
      <c r="B287" s="78"/>
      <c r="C287" s="80"/>
      <c r="D287" s="80"/>
      <c r="E287" s="82"/>
      <c r="F287" s="82"/>
      <c r="G287" s="82"/>
      <c r="H287" s="82"/>
      <c r="I287" s="34"/>
      <c r="J287" s="83"/>
      <c r="K287" s="83"/>
      <c r="L287" s="83"/>
      <c r="M287" s="70"/>
      <c r="N287" s="70"/>
      <c r="O287" s="70"/>
      <c r="P287" s="70"/>
      <c r="Q287" s="70"/>
      <c r="R287" s="70"/>
      <c r="S287" s="70"/>
      <c r="T287" s="70"/>
      <c r="U287" s="70"/>
      <c r="V287" s="70"/>
      <c r="W287" s="70"/>
      <c r="X287" s="70"/>
      <c r="Y287" s="70"/>
      <c r="Z287" s="70"/>
    </row>
    <row r="288">
      <c r="A288" s="78"/>
      <c r="B288" s="78"/>
      <c r="C288" s="80"/>
      <c r="D288" s="80"/>
      <c r="E288" s="82"/>
      <c r="F288" s="82"/>
      <c r="G288" s="82"/>
      <c r="H288" s="82"/>
      <c r="I288" s="34"/>
      <c r="J288" s="83"/>
      <c r="K288" s="83"/>
      <c r="L288" s="83"/>
      <c r="M288" s="70"/>
      <c r="N288" s="70"/>
      <c r="O288" s="70"/>
      <c r="P288" s="70"/>
      <c r="Q288" s="70"/>
      <c r="R288" s="70"/>
      <c r="S288" s="70"/>
      <c r="T288" s="70"/>
      <c r="U288" s="70"/>
      <c r="V288" s="70"/>
      <c r="W288" s="70"/>
      <c r="X288" s="70"/>
      <c r="Y288" s="70"/>
      <c r="Z288" s="70"/>
    </row>
    <row r="289">
      <c r="A289" s="78"/>
      <c r="B289" s="78"/>
      <c r="C289" s="80"/>
      <c r="D289" s="80"/>
      <c r="E289" s="82"/>
      <c r="F289" s="82"/>
      <c r="G289" s="82"/>
      <c r="H289" s="82"/>
      <c r="I289" s="34"/>
      <c r="J289" s="83"/>
      <c r="K289" s="83"/>
      <c r="L289" s="83"/>
      <c r="M289" s="70"/>
      <c r="N289" s="70"/>
      <c r="O289" s="70"/>
      <c r="P289" s="70"/>
      <c r="Q289" s="70"/>
      <c r="R289" s="70"/>
      <c r="S289" s="70"/>
      <c r="T289" s="70"/>
      <c r="U289" s="70"/>
      <c r="V289" s="70"/>
      <c r="W289" s="70"/>
      <c r="X289" s="70"/>
      <c r="Y289" s="70"/>
      <c r="Z289" s="70"/>
    </row>
    <row r="290">
      <c r="A290" s="78"/>
      <c r="B290" s="78"/>
      <c r="C290" s="80"/>
      <c r="D290" s="80"/>
      <c r="E290" s="82"/>
      <c r="F290" s="82"/>
      <c r="G290" s="82"/>
      <c r="H290" s="82"/>
      <c r="I290" s="34"/>
      <c r="J290" s="83"/>
      <c r="K290" s="83"/>
      <c r="L290" s="83"/>
      <c r="M290" s="70"/>
      <c r="N290" s="70"/>
      <c r="O290" s="70"/>
      <c r="P290" s="70"/>
      <c r="Q290" s="70"/>
      <c r="R290" s="70"/>
      <c r="S290" s="70"/>
      <c r="T290" s="70"/>
      <c r="U290" s="70"/>
      <c r="V290" s="70"/>
      <c r="W290" s="70"/>
      <c r="X290" s="70"/>
      <c r="Y290" s="70"/>
      <c r="Z290" s="70"/>
    </row>
    <row r="291">
      <c r="A291" s="78"/>
      <c r="B291" s="78"/>
      <c r="C291" s="80"/>
      <c r="D291" s="80"/>
      <c r="E291" s="82"/>
      <c r="F291" s="82"/>
      <c r="G291" s="82"/>
      <c r="H291" s="82"/>
      <c r="I291" s="34"/>
      <c r="J291" s="83"/>
      <c r="K291" s="83"/>
      <c r="L291" s="83"/>
      <c r="M291" s="70"/>
      <c r="N291" s="70"/>
      <c r="O291" s="70"/>
      <c r="P291" s="70"/>
      <c r="Q291" s="70"/>
      <c r="R291" s="70"/>
      <c r="S291" s="70"/>
      <c r="T291" s="70"/>
      <c r="U291" s="70"/>
      <c r="V291" s="70"/>
      <c r="W291" s="70"/>
      <c r="X291" s="70"/>
      <c r="Y291" s="70"/>
      <c r="Z291" s="70"/>
    </row>
    <row r="292">
      <c r="A292" s="78"/>
      <c r="B292" s="78"/>
      <c r="C292" s="80"/>
      <c r="D292" s="80"/>
      <c r="E292" s="82"/>
      <c r="F292" s="82"/>
      <c r="G292" s="82"/>
      <c r="H292" s="82"/>
      <c r="I292" s="34"/>
      <c r="J292" s="83"/>
      <c r="K292" s="83"/>
      <c r="L292" s="83"/>
      <c r="M292" s="70"/>
      <c r="N292" s="70"/>
      <c r="O292" s="70"/>
      <c r="P292" s="70"/>
      <c r="Q292" s="70"/>
      <c r="R292" s="70"/>
      <c r="S292" s="70"/>
      <c r="T292" s="70"/>
      <c r="U292" s="70"/>
      <c r="V292" s="70"/>
      <c r="W292" s="70"/>
      <c r="X292" s="70"/>
      <c r="Y292" s="70"/>
      <c r="Z292" s="70"/>
    </row>
    <row r="293">
      <c r="A293" s="78"/>
      <c r="B293" s="78"/>
      <c r="C293" s="80"/>
      <c r="D293" s="80"/>
      <c r="E293" s="82"/>
      <c r="F293" s="82"/>
      <c r="G293" s="82"/>
      <c r="H293" s="82"/>
      <c r="I293" s="34"/>
      <c r="J293" s="83"/>
      <c r="K293" s="83"/>
      <c r="L293" s="83"/>
      <c r="M293" s="70"/>
      <c r="N293" s="70"/>
      <c r="O293" s="70"/>
      <c r="P293" s="70"/>
      <c r="Q293" s="70"/>
      <c r="R293" s="70"/>
      <c r="S293" s="70"/>
      <c r="T293" s="70"/>
      <c r="U293" s="70"/>
      <c r="V293" s="70"/>
      <c r="W293" s="70"/>
      <c r="X293" s="70"/>
      <c r="Y293" s="70"/>
      <c r="Z293" s="70"/>
    </row>
    <row r="294">
      <c r="A294" s="78"/>
      <c r="B294" s="78"/>
      <c r="C294" s="80"/>
      <c r="D294" s="80"/>
      <c r="E294" s="82"/>
      <c r="F294" s="82"/>
      <c r="G294" s="82"/>
      <c r="H294" s="82"/>
      <c r="I294" s="34"/>
      <c r="J294" s="83"/>
      <c r="K294" s="83"/>
      <c r="L294" s="83"/>
      <c r="M294" s="70"/>
      <c r="N294" s="70"/>
      <c r="O294" s="70"/>
      <c r="P294" s="70"/>
      <c r="Q294" s="70"/>
      <c r="R294" s="70"/>
      <c r="S294" s="70"/>
      <c r="T294" s="70"/>
      <c r="U294" s="70"/>
      <c r="V294" s="70"/>
      <c r="W294" s="70"/>
      <c r="X294" s="70"/>
      <c r="Y294" s="70"/>
      <c r="Z294" s="70"/>
    </row>
    <row r="295">
      <c r="A295" s="78"/>
      <c r="B295" s="78"/>
      <c r="C295" s="80"/>
      <c r="D295" s="80"/>
      <c r="E295" s="82"/>
      <c r="F295" s="82"/>
      <c r="G295" s="82"/>
      <c r="H295" s="82"/>
      <c r="I295" s="34"/>
      <c r="J295" s="83"/>
      <c r="K295" s="83"/>
      <c r="L295" s="83"/>
      <c r="M295" s="70"/>
      <c r="N295" s="70"/>
      <c r="O295" s="70"/>
      <c r="P295" s="70"/>
      <c r="Q295" s="70"/>
      <c r="R295" s="70"/>
      <c r="S295" s="70"/>
      <c r="T295" s="70"/>
      <c r="U295" s="70"/>
      <c r="V295" s="70"/>
      <c r="W295" s="70"/>
      <c r="X295" s="70"/>
      <c r="Y295" s="70"/>
      <c r="Z295" s="70"/>
    </row>
    <row r="296">
      <c r="A296" s="78"/>
      <c r="B296" s="78"/>
      <c r="C296" s="80"/>
      <c r="D296" s="80"/>
      <c r="E296" s="82"/>
      <c r="F296" s="82"/>
      <c r="G296" s="82"/>
      <c r="H296" s="82"/>
      <c r="I296" s="34"/>
      <c r="J296" s="83"/>
      <c r="K296" s="83"/>
      <c r="L296" s="83"/>
      <c r="M296" s="70"/>
      <c r="N296" s="70"/>
      <c r="O296" s="70"/>
      <c r="P296" s="70"/>
      <c r="Q296" s="70"/>
      <c r="R296" s="70"/>
      <c r="S296" s="70"/>
      <c r="T296" s="70"/>
      <c r="U296" s="70"/>
      <c r="V296" s="70"/>
      <c r="W296" s="70"/>
      <c r="X296" s="70"/>
      <c r="Y296" s="70"/>
      <c r="Z296" s="70"/>
    </row>
    <row r="297">
      <c r="A297" s="78"/>
      <c r="B297" s="78"/>
      <c r="C297" s="80"/>
      <c r="D297" s="80"/>
      <c r="E297" s="82"/>
      <c r="F297" s="82"/>
      <c r="G297" s="82"/>
      <c r="H297" s="82"/>
      <c r="I297" s="34"/>
      <c r="J297" s="83"/>
      <c r="K297" s="83"/>
      <c r="L297" s="83"/>
      <c r="M297" s="70"/>
      <c r="N297" s="70"/>
      <c r="O297" s="70"/>
      <c r="P297" s="70"/>
      <c r="Q297" s="70"/>
      <c r="R297" s="70"/>
      <c r="S297" s="70"/>
      <c r="T297" s="70"/>
      <c r="U297" s="70"/>
      <c r="V297" s="70"/>
      <c r="W297" s="70"/>
      <c r="X297" s="70"/>
      <c r="Y297" s="70"/>
      <c r="Z297" s="70"/>
    </row>
    <row r="298">
      <c r="A298" s="78"/>
      <c r="B298" s="78"/>
      <c r="C298" s="80"/>
      <c r="D298" s="80"/>
      <c r="E298" s="82"/>
      <c r="F298" s="82"/>
      <c r="G298" s="82"/>
      <c r="H298" s="82"/>
      <c r="I298" s="34"/>
      <c r="J298" s="83"/>
      <c r="K298" s="83"/>
      <c r="L298" s="83"/>
      <c r="M298" s="70"/>
      <c r="N298" s="70"/>
      <c r="O298" s="70"/>
      <c r="P298" s="70"/>
      <c r="Q298" s="70"/>
      <c r="R298" s="70"/>
      <c r="S298" s="70"/>
      <c r="T298" s="70"/>
      <c r="U298" s="70"/>
      <c r="V298" s="70"/>
      <c r="W298" s="70"/>
      <c r="X298" s="70"/>
      <c r="Y298" s="70"/>
      <c r="Z298" s="70"/>
    </row>
    <row r="299">
      <c r="A299" s="78"/>
      <c r="B299" s="78"/>
      <c r="C299" s="80"/>
      <c r="D299" s="80"/>
      <c r="E299" s="82"/>
      <c r="F299" s="82"/>
      <c r="G299" s="82"/>
      <c r="H299" s="82"/>
      <c r="I299" s="34"/>
      <c r="J299" s="83"/>
      <c r="K299" s="83"/>
      <c r="L299" s="83"/>
      <c r="M299" s="70"/>
      <c r="N299" s="70"/>
      <c r="O299" s="70"/>
      <c r="P299" s="70"/>
      <c r="Q299" s="70"/>
      <c r="R299" s="70"/>
      <c r="S299" s="70"/>
      <c r="T299" s="70"/>
      <c r="U299" s="70"/>
      <c r="V299" s="70"/>
      <c r="W299" s="70"/>
      <c r="X299" s="70"/>
      <c r="Y299" s="70"/>
      <c r="Z299" s="70"/>
    </row>
    <row r="300">
      <c r="A300" s="78"/>
      <c r="B300" s="78"/>
      <c r="C300" s="80"/>
      <c r="D300" s="80"/>
      <c r="E300" s="82"/>
      <c r="F300" s="82"/>
      <c r="G300" s="82"/>
      <c r="H300" s="82"/>
      <c r="I300" s="34"/>
      <c r="J300" s="83"/>
      <c r="K300" s="83"/>
      <c r="L300" s="83"/>
      <c r="M300" s="70"/>
      <c r="N300" s="70"/>
      <c r="O300" s="70"/>
      <c r="P300" s="70"/>
      <c r="Q300" s="70"/>
      <c r="R300" s="70"/>
      <c r="S300" s="70"/>
      <c r="T300" s="70"/>
      <c r="U300" s="70"/>
      <c r="V300" s="70"/>
      <c r="W300" s="70"/>
      <c r="X300" s="70"/>
      <c r="Y300" s="70"/>
      <c r="Z300" s="70"/>
    </row>
    <row r="301">
      <c r="A301" s="78"/>
      <c r="B301" s="78"/>
      <c r="C301" s="80"/>
      <c r="D301" s="80"/>
      <c r="E301" s="82"/>
      <c r="F301" s="82"/>
      <c r="G301" s="82"/>
      <c r="H301" s="82"/>
      <c r="I301" s="34"/>
      <c r="J301" s="83"/>
      <c r="K301" s="83"/>
      <c r="L301" s="83"/>
      <c r="M301" s="70"/>
      <c r="N301" s="70"/>
      <c r="O301" s="70"/>
      <c r="P301" s="70"/>
      <c r="Q301" s="70"/>
      <c r="R301" s="70"/>
      <c r="S301" s="70"/>
      <c r="T301" s="70"/>
      <c r="U301" s="70"/>
      <c r="V301" s="70"/>
      <c r="W301" s="70"/>
      <c r="X301" s="70"/>
      <c r="Y301" s="70"/>
      <c r="Z301" s="70"/>
    </row>
    <row r="302">
      <c r="A302" s="78"/>
      <c r="B302" s="78"/>
      <c r="C302" s="80"/>
      <c r="D302" s="80"/>
      <c r="E302" s="82"/>
      <c r="F302" s="82"/>
      <c r="G302" s="82"/>
      <c r="H302" s="82"/>
      <c r="I302" s="34"/>
      <c r="J302" s="83"/>
      <c r="K302" s="83"/>
      <c r="L302" s="83"/>
      <c r="M302" s="70"/>
      <c r="N302" s="70"/>
      <c r="O302" s="70"/>
      <c r="P302" s="70"/>
      <c r="Q302" s="70"/>
      <c r="R302" s="70"/>
      <c r="S302" s="70"/>
      <c r="T302" s="70"/>
      <c r="U302" s="70"/>
      <c r="V302" s="70"/>
      <c r="W302" s="70"/>
      <c r="X302" s="70"/>
      <c r="Y302" s="70"/>
      <c r="Z302" s="70"/>
    </row>
    <row r="303">
      <c r="A303" s="78"/>
      <c r="B303" s="78"/>
      <c r="C303" s="80"/>
      <c r="D303" s="80"/>
      <c r="E303" s="82"/>
      <c r="F303" s="82"/>
      <c r="G303" s="82"/>
      <c r="H303" s="82"/>
      <c r="I303" s="34"/>
      <c r="J303" s="83"/>
      <c r="K303" s="83"/>
      <c r="L303" s="83"/>
      <c r="M303" s="70"/>
      <c r="N303" s="70"/>
      <c r="O303" s="70"/>
      <c r="P303" s="70"/>
      <c r="Q303" s="70"/>
      <c r="R303" s="70"/>
      <c r="S303" s="70"/>
      <c r="T303" s="70"/>
      <c r="U303" s="70"/>
      <c r="V303" s="70"/>
      <c r="W303" s="70"/>
      <c r="X303" s="70"/>
      <c r="Y303" s="70"/>
      <c r="Z303" s="70"/>
    </row>
    <row r="304">
      <c r="A304" s="78"/>
      <c r="B304" s="78"/>
      <c r="C304" s="80"/>
      <c r="D304" s="80"/>
      <c r="E304" s="82"/>
      <c r="F304" s="82"/>
      <c r="G304" s="82"/>
      <c r="H304" s="82"/>
      <c r="I304" s="34"/>
      <c r="J304" s="83"/>
      <c r="K304" s="83"/>
      <c r="L304" s="83"/>
      <c r="M304" s="70"/>
      <c r="N304" s="70"/>
      <c r="O304" s="70"/>
      <c r="P304" s="70"/>
      <c r="Q304" s="70"/>
      <c r="R304" s="70"/>
      <c r="S304" s="70"/>
      <c r="T304" s="70"/>
      <c r="U304" s="70"/>
      <c r="V304" s="70"/>
      <c r="W304" s="70"/>
      <c r="X304" s="70"/>
      <c r="Y304" s="70"/>
      <c r="Z304" s="70"/>
    </row>
    <row r="305">
      <c r="A305" s="78"/>
      <c r="B305" s="78"/>
      <c r="C305" s="80"/>
      <c r="D305" s="80"/>
      <c r="E305" s="82"/>
      <c r="F305" s="82"/>
      <c r="G305" s="82"/>
      <c r="H305" s="82"/>
      <c r="I305" s="34"/>
      <c r="J305" s="83"/>
      <c r="K305" s="83"/>
      <c r="L305" s="83"/>
      <c r="M305" s="70"/>
      <c r="N305" s="70"/>
      <c r="O305" s="70"/>
      <c r="P305" s="70"/>
      <c r="Q305" s="70"/>
      <c r="R305" s="70"/>
      <c r="S305" s="70"/>
      <c r="T305" s="70"/>
      <c r="U305" s="70"/>
      <c r="V305" s="70"/>
      <c r="W305" s="70"/>
      <c r="X305" s="70"/>
      <c r="Y305" s="70"/>
      <c r="Z305" s="70"/>
    </row>
    <row r="306">
      <c r="A306" s="78"/>
      <c r="B306" s="78"/>
      <c r="C306" s="80"/>
      <c r="D306" s="80"/>
      <c r="E306" s="82"/>
      <c r="F306" s="82"/>
      <c r="G306" s="82"/>
      <c r="H306" s="82"/>
      <c r="I306" s="34"/>
      <c r="J306" s="83"/>
      <c r="K306" s="83"/>
      <c r="L306" s="83"/>
      <c r="M306" s="70"/>
      <c r="N306" s="70"/>
      <c r="O306" s="70"/>
      <c r="P306" s="70"/>
      <c r="Q306" s="70"/>
      <c r="R306" s="70"/>
      <c r="S306" s="70"/>
      <c r="T306" s="70"/>
      <c r="U306" s="70"/>
      <c r="V306" s="70"/>
      <c r="W306" s="70"/>
      <c r="X306" s="70"/>
      <c r="Y306" s="70"/>
      <c r="Z306" s="70"/>
    </row>
    <row r="307">
      <c r="A307" s="78"/>
      <c r="B307" s="78"/>
      <c r="C307" s="80"/>
      <c r="D307" s="80"/>
      <c r="E307" s="82"/>
      <c r="F307" s="82"/>
      <c r="G307" s="82"/>
      <c r="H307" s="82"/>
      <c r="I307" s="34"/>
      <c r="J307" s="83"/>
      <c r="K307" s="83"/>
      <c r="L307" s="83"/>
      <c r="M307" s="70"/>
      <c r="N307" s="70"/>
      <c r="O307" s="70"/>
      <c r="P307" s="70"/>
      <c r="Q307" s="70"/>
      <c r="R307" s="70"/>
      <c r="S307" s="70"/>
      <c r="T307" s="70"/>
      <c r="U307" s="70"/>
      <c r="V307" s="70"/>
      <c r="W307" s="70"/>
      <c r="X307" s="70"/>
      <c r="Y307" s="70"/>
      <c r="Z307" s="70"/>
    </row>
    <row r="308">
      <c r="A308" s="78"/>
      <c r="B308" s="78"/>
      <c r="C308" s="80"/>
      <c r="D308" s="80"/>
      <c r="E308" s="82"/>
      <c r="F308" s="82"/>
      <c r="G308" s="82"/>
      <c r="H308" s="82"/>
      <c r="I308" s="34"/>
      <c r="J308" s="83"/>
      <c r="K308" s="83"/>
      <c r="L308" s="83"/>
      <c r="M308" s="70"/>
      <c r="N308" s="70"/>
      <c r="O308" s="70"/>
      <c r="P308" s="70"/>
      <c r="Q308" s="70"/>
      <c r="R308" s="70"/>
      <c r="S308" s="70"/>
      <c r="T308" s="70"/>
      <c r="U308" s="70"/>
      <c r="V308" s="70"/>
      <c r="W308" s="70"/>
      <c r="X308" s="70"/>
      <c r="Y308" s="70"/>
      <c r="Z308" s="70"/>
    </row>
    <row r="309">
      <c r="A309" s="78"/>
      <c r="B309" s="78"/>
      <c r="C309" s="80"/>
      <c r="D309" s="80"/>
      <c r="E309" s="82"/>
      <c r="F309" s="82"/>
      <c r="G309" s="82"/>
      <c r="H309" s="82"/>
      <c r="I309" s="34"/>
      <c r="J309" s="83"/>
      <c r="K309" s="83"/>
      <c r="L309" s="83"/>
      <c r="M309" s="70"/>
      <c r="N309" s="70"/>
      <c r="O309" s="70"/>
      <c r="P309" s="70"/>
      <c r="Q309" s="70"/>
      <c r="R309" s="70"/>
      <c r="S309" s="70"/>
      <c r="T309" s="70"/>
      <c r="U309" s="70"/>
      <c r="V309" s="70"/>
      <c r="W309" s="70"/>
      <c r="X309" s="70"/>
      <c r="Y309" s="70"/>
      <c r="Z309" s="70"/>
    </row>
    <row r="310">
      <c r="A310" s="78"/>
      <c r="B310" s="78"/>
      <c r="C310" s="80"/>
      <c r="D310" s="80"/>
      <c r="E310" s="82"/>
      <c r="F310" s="82"/>
      <c r="G310" s="82"/>
      <c r="H310" s="82"/>
      <c r="I310" s="34"/>
      <c r="J310" s="83"/>
      <c r="K310" s="83"/>
      <c r="L310" s="83"/>
      <c r="M310" s="70"/>
      <c r="N310" s="70"/>
      <c r="O310" s="70"/>
      <c r="P310" s="70"/>
      <c r="Q310" s="70"/>
      <c r="R310" s="70"/>
      <c r="S310" s="70"/>
      <c r="T310" s="70"/>
      <c r="U310" s="70"/>
      <c r="V310" s="70"/>
      <c r="W310" s="70"/>
      <c r="X310" s="70"/>
      <c r="Y310" s="70"/>
      <c r="Z310" s="70"/>
    </row>
    <row r="311">
      <c r="A311" s="78"/>
      <c r="B311" s="78"/>
      <c r="C311" s="80"/>
      <c r="D311" s="80"/>
      <c r="E311" s="82"/>
      <c r="F311" s="82"/>
      <c r="G311" s="82"/>
      <c r="H311" s="82"/>
      <c r="I311" s="34"/>
      <c r="J311" s="83"/>
      <c r="K311" s="83"/>
      <c r="L311" s="83"/>
      <c r="M311" s="70"/>
      <c r="N311" s="70"/>
      <c r="O311" s="70"/>
      <c r="P311" s="70"/>
      <c r="Q311" s="70"/>
      <c r="R311" s="70"/>
      <c r="S311" s="70"/>
      <c r="T311" s="70"/>
      <c r="U311" s="70"/>
      <c r="V311" s="70"/>
      <c r="W311" s="70"/>
      <c r="X311" s="70"/>
      <c r="Y311" s="70"/>
      <c r="Z311" s="70"/>
    </row>
    <row r="312">
      <c r="A312" s="78"/>
      <c r="B312" s="78"/>
      <c r="C312" s="80"/>
      <c r="D312" s="80"/>
      <c r="E312" s="82"/>
      <c r="F312" s="82"/>
      <c r="G312" s="82"/>
      <c r="H312" s="82"/>
      <c r="I312" s="34"/>
      <c r="J312" s="83"/>
      <c r="K312" s="83"/>
      <c r="L312" s="83"/>
      <c r="M312" s="70"/>
      <c r="N312" s="70"/>
      <c r="O312" s="70"/>
      <c r="P312" s="70"/>
      <c r="Q312" s="70"/>
      <c r="R312" s="70"/>
      <c r="S312" s="70"/>
      <c r="T312" s="70"/>
      <c r="U312" s="70"/>
      <c r="V312" s="70"/>
      <c r="W312" s="70"/>
      <c r="X312" s="70"/>
      <c r="Y312" s="70"/>
      <c r="Z312" s="70"/>
    </row>
    <row r="313">
      <c r="A313" s="78"/>
      <c r="B313" s="78"/>
      <c r="C313" s="80"/>
      <c r="D313" s="80"/>
      <c r="E313" s="82"/>
      <c r="F313" s="82"/>
      <c r="G313" s="82"/>
      <c r="H313" s="82"/>
      <c r="I313" s="34"/>
      <c r="J313" s="83"/>
      <c r="K313" s="83"/>
      <c r="L313" s="83"/>
      <c r="M313" s="70"/>
      <c r="N313" s="70"/>
      <c r="O313" s="70"/>
      <c r="P313" s="70"/>
      <c r="Q313" s="70"/>
      <c r="R313" s="70"/>
      <c r="S313" s="70"/>
      <c r="T313" s="70"/>
      <c r="U313" s="70"/>
      <c r="V313" s="70"/>
      <c r="W313" s="70"/>
      <c r="X313" s="70"/>
      <c r="Y313" s="70"/>
      <c r="Z313" s="70"/>
    </row>
    <row r="314">
      <c r="A314" s="78"/>
      <c r="B314" s="78"/>
      <c r="C314" s="80"/>
      <c r="D314" s="80"/>
      <c r="E314" s="82"/>
      <c r="F314" s="82"/>
      <c r="G314" s="82"/>
      <c r="H314" s="82"/>
      <c r="I314" s="34"/>
      <c r="J314" s="83"/>
      <c r="K314" s="83"/>
      <c r="L314" s="83"/>
      <c r="M314" s="70"/>
      <c r="N314" s="70"/>
      <c r="O314" s="70"/>
      <c r="P314" s="70"/>
      <c r="Q314" s="70"/>
      <c r="R314" s="70"/>
      <c r="S314" s="70"/>
      <c r="T314" s="70"/>
      <c r="U314" s="70"/>
      <c r="V314" s="70"/>
      <c r="W314" s="70"/>
      <c r="X314" s="70"/>
      <c r="Y314" s="70"/>
      <c r="Z314" s="70"/>
    </row>
    <row r="315">
      <c r="A315" s="78"/>
      <c r="B315" s="78"/>
      <c r="C315" s="80"/>
      <c r="D315" s="80"/>
      <c r="E315" s="82"/>
      <c r="F315" s="82"/>
      <c r="G315" s="82"/>
      <c r="H315" s="82"/>
      <c r="I315" s="34"/>
      <c r="J315" s="83"/>
      <c r="K315" s="83"/>
      <c r="L315" s="83"/>
      <c r="M315" s="70"/>
      <c r="N315" s="70"/>
      <c r="O315" s="70"/>
      <c r="P315" s="70"/>
      <c r="Q315" s="70"/>
      <c r="R315" s="70"/>
      <c r="S315" s="70"/>
      <c r="T315" s="70"/>
      <c r="U315" s="70"/>
      <c r="V315" s="70"/>
      <c r="W315" s="70"/>
      <c r="X315" s="70"/>
      <c r="Y315" s="70"/>
      <c r="Z315" s="70"/>
    </row>
    <row r="316">
      <c r="A316" s="78"/>
      <c r="B316" s="78"/>
      <c r="C316" s="80"/>
      <c r="D316" s="80"/>
      <c r="E316" s="82"/>
      <c r="F316" s="82"/>
      <c r="G316" s="82"/>
      <c r="H316" s="82"/>
      <c r="I316" s="34"/>
      <c r="J316" s="83"/>
      <c r="K316" s="83"/>
      <c r="L316" s="83"/>
      <c r="M316" s="70"/>
      <c r="N316" s="70"/>
      <c r="O316" s="70"/>
      <c r="P316" s="70"/>
      <c r="Q316" s="70"/>
      <c r="R316" s="70"/>
      <c r="S316" s="70"/>
      <c r="T316" s="70"/>
      <c r="U316" s="70"/>
      <c r="V316" s="70"/>
      <c r="W316" s="70"/>
      <c r="X316" s="70"/>
      <c r="Y316" s="70"/>
      <c r="Z316" s="70"/>
    </row>
    <row r="317">
      <c r="A317" s="78"/>
      <c r="B317" s="78"/>
      <c r="C317" s="80"/>
      <c r="D317" s="80"/>
      <c r="E317" s="82"/>
      <c r="F317" s="82"/>
      <c r="G317" s="82"/>
      <c r="H317" s="82"/>
      <c r="I317" s="34"/>
      <c r="J317" s="83"/>
      <c r="K317" s="83"/>
      <c r="L317" s="83"/>
      <c r="M317" s="70"/>
      <c r="N317" s="70"/>
      <c r="O317" s="70"/>
      <c r="P317" s="70"/>
      <c r="Q317" s="70"/>
      <c r="R317" s="70"/>
      <c r="S317" s="70"/>
      <c r="T317" s="70"/>
      <c r="U317" s="70"/>
      <c r="V317" s="70"/>
      <c r="W317" s="70"/>
      <c r="X317" s="70"/>
      <c r="Y317" s="70"/>
      <c r="Z317" s="70"/>
    </row>
    <row r="318">
      <c r="A318" s="78"/>
      <c r="B318" s="78"/>
      <c r="C318" s="80"/>
      <c r="D318" s="80"/>
      <c r="E318" s="82"/>
      <c r="F318" s="82"/>
      <c r="G318" s="82"/>
      <c r="H318" s="82"/>
      <c r="I318" s="34"/>
      <c r="J318" s="83"/>
      <c r="K318" s="83"/>
      <c r="L318" s="83"/>
      <c r="M318" s="70"/>
      <c r="N318" s="70"/>
      <c r="O318" s="70"/>
      <c r="P318" s="70"/>
      <c r="Q318" s="70"/>
      <c r="R318" s="70"/>
      <c r="S318" s="70"/>
      <c r="T318" s="70"/>
      <c r="U318" s="70"/>
      <c r="V318" s="70"/>
      <c r="W318" s="70"/>
      <c r="X318" s="70"/>
      <c r="Y318" s="70"/>
      <c r="Z318" s="70"/>
    </row>
    <row r="319">
      <c r="A319" s="78"/>
      <c r="B319" s="78"/>
      <c r="C319" s="80"/>
      <c r="D319" s="80"/>
      <c r="E319" s="82"/>
      <c r="F319" s="82"/>
      <c r="G319" s="82"/>
      <c r="H319" s="82"/>
      <c r="I319" s="34"/>
      <c r="J319" s="83"/>
      <c r="K319" s="83"/>
      <c r="L319" s="83"/>
      <c r="M319" s="70"/>
      <c r="N319" s="70"/>
      <c r="O319" s="70"/>
      <c r="P319" s="70"/>
      <c r="Q319" s="70"/>
      <c r="R319" s="70"/>
      <c r="S319" s="70"/>
      <c r="T319" s="70"/>
      <c r="U319" s="70"/>
      <c r="V319" s="70"/>
      <c r="W319" s="70"/>
      <c r="X319" s="70"/>
      <c r="Y319" s="70"/>
      <c r="Z319" s="70"/>
    </row>
    <row r="320">
      <c r="A320" s="78"/>
      <c r="B320" s="78"/>
      <c r="C320" s="80"/>
      <c r="D320" s="80"/>
      <c r="E320" s="82"/>
      <c r="F320" s="82"/>
      <c r="G320" s="82"/>
      <c r="H320" s="82"/>
      <c r="I320" s="34"/>
      <c r="J320" s="83"/>
      <c r="K320" s="83"/>
      <c r="L320" s="83"/>
      <c r="M320" s="70"/>
      <c r="N320" s="70"/>
      <c r="O320" s="70"/>
      <c r="P320" s="70"/>
      <c r="Q320" s="70"/>
      <c r="R320" s="70"/>
      <c r="S320" s="70"/>
      <c r="T320" s="70"/>
      <c r="U320" s="70"/>
      <c r="V320" s="70"/>
      <c r="W320" s="70"/>
      <c r="X320" s="70"/>
      <c r="Y320" s="70"/>
      <c r="Z320" s="70"/>
    </row>
    <row r="321">
      <c r="A321" s="78"/>
      <c r="B321" s="78"/>
      <c r="C321" s="80"/>
      <c r="D321" s="80"/>
      <c r="E321" s="82"/>
      <c r="F321" s="82"/>
      <c r="G321" s="82"/>
      <c r="H321" s="82"/>
      <c r="I321" s="34"/>
      <c r="J321" s="83"/>
      <c r="K321" s="83"/>
      <c r="L321" s="83"/>
      <c r="M321" s="70"/>
      <c r="N321" s="70"/>
      <c r="O321" s="70"/>
      <c r="P321" s="70"/>
      <c r="Q321" s="70"/>
      <c r="R321" s="70"/>
      <c r="S321" s="70"/>
      <c r="T321" s="70"/>
      <c r="U321" s="70"/>
      <c r="V321" s="70"/>
      <c r="W321" s="70"/>
      <c r="X321" s="70"/>
      <c r="Y321" s="70"/>
      <c r="Z321" s="70"/>
    </row>
    <row r="322">
      <c r="A322" s="78"/>
      <c r="B322" s="78"/>
      <c r="C322" s="80"/>
      <c r="D322" s="80"/>
      <c r="E322" s="82"/>
      <c r="F322" s="82"/>
      <c r="G322" s="82"/>
      <c r="H322" s="82"/>
      <c r="I322" s="34"/>
      <c r="J322" s="83"/>
      <c r="K322" s="83"/>
      <c r="L322" s="83"/>
      <c r="M322" s="70"/>
      <c r="N322" s="70"/>
      <c r="O322" s="70"/>
      <c r="P322" s="70"/>
      <c r="Q322" s="70"/>
      <c r="R322" s="70"/>
      <c r="S322" s="70"/>
      <c r="T322" s="70"/>
      <c r="U322" s="70"/>
      <c r="V322" s="70"/>
      <c r="W322" s="70"/>
      <c r="X322" s="70"/>
      <c r="Y322" s="70"/>
      <c r="Z322" s="70"/>
    </row>
    <row r="323">
      <c r="A323" s="78"/>
      <c r="B323" s="78"/>
      <c r="C323" s="80"/>
      <c r="D323" s="80"/>
      <c r="E323" s="82"/>
      <c r="F323" s="82"/>
      <c r="G323" s="82"/>
      <c r="H323" s="82"/>
      <c r="I323" s="34"/>
      <c r="J323" s="83"/>
      <c r="K323" s="83"/>
      <c r="L323" s="83"/>
      <c r="M323" s="70"/>
      <c r="N323" s="70"/>
      <c r="O323" s="70"/>
      <c r="P323" s="70"/>
      <c r="Q323" s="70"/>
      <c r="R323" s="70"/>
      <c r="S323" s="70"/>
      <c r="T323" s="70"/>
      <c r="U323" s="70"/>
      <c r="V323" s="70"/>
      <c r="W323" s="70"/>
      <c r="X323" s="70"/>
      <c r="Y323" s="70"/>
      <c r="Z323" s="70"/>
    </row>
    <row r="324">
      <c r="A324" s="78"/>
      <c r="B324" s="78"/>
      <c r="C324" s="80"/>
      <c r="D324" s="80"/>
      <c r="E324" s="82"/>
      <c r="F324" s="82"/>
      <c r="G324" s="82"/>
      <c r="H324" s="82"/>
      <c r="I324" s="34"/>
      <c r="J324" s="83"/>
      <c r="K324" s="83"/>
      <c r="L324" s="83"/>
      <c r="M324" s="70"/>
      <c r="N324" s="70"/>
      <c r="O324" s="70"/>
      <c r="P324" s="70"/>
      <c r="Q324" s="70"/>
      <c r="R324" s="70"/>
      <c r="S324" s="70"/>
      <c r="T324" s="70"/>
      <c r="U324" s="70"/>
      <c r="V324" s="70"/>
      <c r="W324" s="70"/>
      <c r="X324" s="70"/>
      <c r="Y324" s="70"/>
      <c r="Z324" s="70"/>
    </row>
    <row r="325">
      <c r="A325" s="78"/>
      <c r="B325" s="78"/>
      <c r="C325" s="80"/>
      <c r="D325" s="80"/>
      <c r="E325" s="82"/>
      <c r="F325" s="82"/>
      <c r="G325" s="82"/>
      <c r="H325" s="82"/>
      <c r="I325" s="34"/>
      <c r="J325" s="83"/>
      <c r="K325" s="83"/>
      <c r="L325" s="83"/>
      <c r="M325" s="70"/>
      <c r="N325" s="70"/>
      <c r="O325" s="70"/>
      <c r="P325" s="70"/>
      <c r="Q325" s="70"/>
      <c r="R325" s="70"/>
      <c r="S325" s="70"/>
      <c r="T325" s="70"/>
      <c r="U325" s="70"/>
      <c r="V325" s="70"/>
      <c r="W325" s="70"/>
      <c r="X325" s="70"/>
      <c r="Y325" s="70"/>
      <c r="Z325" s="70"/>
    </row>
    <row r="326">
      <c r="A326" s="78"/>
      <c r="B326" s="78"/>
      <c r="C326" s="80"/>
      <c r="D326" s="80"/>
      <c r="E326" s="82"/>
      <c r="F326" s="82"/>
      <c r="G326" s="82"/>
      <c r="H326" s="82"/>
      <c r="I326" s="34"/>
      <c r="J326" s="83"/>
      <c r="K326" s="83"/>
      <c r="L326" s="83"/>
      <c r="M326" s="70"/>
      <c r="N326" s="70"/>
      <c r="O326" s="70"/>
      <c r="P326" s="70"/>
      <c r="Q326" s="70"/>
      <c r="R326" s="70"/>
      <c r="S326" s="70"/>
      <c r="T326" s="70"/>
      <c r="U326" s="70"/>
      <c r="V326" s="70"/>
      <c r="W326" s="70"/>
      <c r="X326" s="70"/>
      <c r="Y326" s="70"/>
      <c r="Z326" s="70"/>
    </row>
    <row r="327">
      <c r="A327" s="78"/>
      <c r="B327" s="78"/>
      <c r="C327" s="80"/>
      <c r="D327" s="80"/>
      <c r="E327" s="82"/>
      <c r="F327" s="82"/>
      <c r="G327" s="82"/>
      <c r="H327" s="82"/>
      <c r="I327" s="34"/>
      <c r="J327" s="83"/>
      <c r="K327" s="83"/>
      <c r="L327" s="83"/>
      <c r="M327" s="70"/>
      <c r="N327" s="70"/>
      <c r="O327" s="70"/>
      <c r="P327" s="70"/>
      <c r="Q327" s="70"/>
      <c r="R327" s="70"/>
      <c r="S327" s="70"/>
      <c r="T327" s="70"/>
      <c r="U327" s="70"/>
      <c r="V327" s="70"/>
      <c r="W327" s="70"/>
      <c r="X327" s="70"/>
      <c r="Y327" s="70"/>
      <c r="Z327" s="70"/>
    </row>
    <row r="328">
      <c r="A328" s="78"/>
      <c r="B328" s="78"/>
      <c r="C328" s="80"/>
      <c r="D328" s="80"/>
      <c r="E328" s="82"/>
      <c r="F328" s="82"/>
      <c r="G328" s="82"/>
      <c r="H328" s="82"/>
      <c r="I328" s="34"/>
      <c r="J328" s="83"/>
      <c r="K328" s="83"/>
      <c r="L328" s="83"/>
      <c r="M328" s="70"/>
      <c r="N328" s="70"/>
      <c r="O328" s="70"/>
      <c r="P328" s="70"/>
      <c r="Q328" s="70"/>
      <c r="R328" s="70"/>
      <c r="S328" s="70"/>
      <c r="T328" s="70"/>
      <c r="U328" s="70"/>
      <c r="V328" s="70"/>
      <c r="W328" s="70"/>
      <c r="X328" s="70"/>
      <c r="Y328" s="70"/>
      <c r="Z328" s="70"/>
    </row>
    <row r="329">
      <c r="A329" s="78"/>
      <c r="B329" s="78"/>
      <c r="C329" s="80"/>
      <c r="D329" s="80"/>
      <c r="E329" s="82"/>
      <c r="F329" s="82"/>
      <c r="G329" s="82"/>
      <c r="H329" s="82"/>
      <c r="I329" s="34"/>
      <c r="J329" s="83"/>
      <c r="K329" s="83"/>
      <c r="L329" s="83"/>
      <c r="M329" s="70"/>
      <c r="N329" s="70"/>
      <c r="O329" s="70"/>
      <c r="P329" s="70"/>
      <c r="Q329" s="70"/>
      <c r="R329" s="70"/>
      <c r="S329" s="70"/>
      <c r="T329" s="70"/>
      <c r="U329" s="70"/>
      <c r="V329" s="70"/>
      <c r="W329" s="70"/>
      <c r="X329" s="70"/>
      <c r="Y329" s="70"/>
      <c r="Z329" s="70"/>
    </row>
    <row r="330">
      <c r="A330" s="78"/>
      <c r="B330" s="78"/>
      <c r="C330" s="80"/>
      <c r="D330" s="80"/>
      <c r="E330" s="82"/>
      <c r="F330" s="82"/>
      <c r="G330" s="82"/>
      <c r="H330" s="82"/>
      <c r="I330" s="34"/>
      <c r="J330" s="83"/>
      <c r="K330" s="83"/>
      <c r="L330" s="83"/>
      <c r="M330" s="70"/>
      <c r="N330" s="70"/>
      <c r="O330" s="70"/>
      <c r="P330" s="70"/>
      <c r="Q330" s="70"/>
      <c r="R330" s="70"/>
      <c r="S330" s="70"/>
      <c r="T330" s="70"/>
      <c r="U330" s="70"/>
      <c r="V330" s="70"/>
      <c r="W330" s="70"/>
      <c r="X330" s="70"/>
      <c r="Y330" s="70"/>
      <c r="Z330" s="70"/>
    </row>
    <row r="331">
      <c r="A331" s="78"/>
      <c r="B331" s="78"/>
      <c r="C331" s="80"/>
      <c r="D331" s="80"/>
      <c r="E331" s="82"/>
      <c r="F331" s="82"/>
      <c r="G331" s="82"/>
      <c r="H331" s="82"/>
      <c r="I331" s="34"/>
      <c r="J331" s="83"/>
      <c r="K331" s="83"/>
      <c r="L331" s="83"/>
      <c r="M331" s="70"/>
      <c r="N331" s="70"/>
      <c r="O331" s="70"/>
      <c r="P331" s="70"/>
      <c r="Q331" s="70"/>
      <c r="R331" s="70"/>
      <c r="S331" s="70"/>
      <c r="T331" s="70"/>
      <c r="U331" s="70"/>
      <c r="V331" s="70"/>
      <c r="W331" s="70"/>
      <c r="X331" s="70"/>
      <c r="Y331" s="70"/>
      <c r="Z331" s="70"/>
    </row>
    <row r="332">
      <c r="A332" s="78"/>
      <c r="B332" s="78"/>
      <c r="C332" s="80"/>
      <c r="D332" s="80"/>
      <c r="E332" s="82"/>
      <c r="F332" s="82"/>
      <c r="G332" s="82"/>
      <c r="H332" s="82"/>
      <c r="I332" s="34"/>
      <c r="J332" s="83"/>
      <c r="K332" s="83"/>
      <c r="L332" s="83"/>
      <c r="M332" s="70"/>
      <c r="N332" s="70"/>
      <c r="O332" s="70"/>
      <c r="P332" s="70"/>
      <c r="Q332" s="70"/>
      <c r="R332" s="70"/>
      <c r="S332" s="70"/>
      <c r="T332" s="70"/>
      <c r="U332" s="70"/>
      <c r="V332" s="70"/>
      <c r="W332" s="70"/>
      <c r="X332" s="70"/>
      <c r="Y332" s="70"/>
      <c r="Z332" s="70"/>
    </row>
    <row r="333">
      <c r="A333" s="78"/>
      <c r="B333" s="78"/>
      <c r="C333" s="80"/>
      <c r="D333" s="80"/>
      <c r="E333" s="82"/>
      <c r="F333" s="82"/>
      <c r="G333" s="82"/>
      <c r="H333" s="82"/>
      <c r="I333" s="34"/>
      <c r="J333" s="83"/>
      <c r="K333" s="83"/>
      <c r="L333" s="83"/>
      <c r="M333" s="70"/>
      <c r="N333" s="70"/>
      <c r="O333" s="70"/>
      <c r="P333" s="70"/>
      <c r="Q333" s="70"/>
      <c r="R333" s="70"/>
      <c r="S333" s="70"/>
      <c r="T333" s="70"/>
      <c r="U333" s="70"/>
      <c r="V333" s="70"/>
      <c r="W333" s="70"/>
      <c r="X333" s="70"/>
      <c r="Y333" s="70"/>
      <c r="Z333" s="70"/>
    </row>
    <row r="334">
      <c r="A334" s="78"/>
      <c r="B334" s="78"/>
      <c r="C334" s="80"/>
      <c r="D334" s="80"/>
      <c r="E334" s="82"/>
      <c r="F334" s="82"/>
      <c r="G334" s="82"/>
      <c r="H334" s="82"/>
      <c r="I334" s="34"/>
      <c r="J334" s="83"/>
      <c r="K334" s="83"/>
      <c r="L334" s="83"/>
      <c r="M334" s="70"/>
      <c r="N334" s="70"/>
      <c r="O334" s="70"/>
      <c r="P334" s="70"/>
      <c r="Q334" s="70"/>
      <c r="R334" s="70"/>
      <c r="S334" s="70"/>
      <c r="T334" s="70"/>
      <c r="U334" s="70"/>
      <c r="V334" s="70"/>
      <c r="W334" s="70"/>
      <c r="X334" s="70"/>
      <c r="Y334" s="70"/>
      <c r="Z334" s="70"/>
    </row>
    <row r="335">
      <c r="A335" s="78"/>
      <c r="B335" s="78"/>
      <c r="C335" s="80"/>
      <c r="D335" s="80"/>
      <c r="E335" s="82"/>
      <c r="F335" s="82"/>
      <c r="G335" s="82"/>
      <c r="H335" s="82"/>
      <c r="I335" s="34"/>
      <c r="J335" s="83"/>
      <c r="K335" s="83"/>
      <c r="L335" s="83"/>
      <c r="M335" s="70"/>
      <c r="N335" s="70"/>
      <c r="O335" s="70"/>
      <c r="P335" s="70"/>
      <c r="Q335" s="70"/>
      <c r="R335" s="70"/>
      <c r="S335" s="70"/>
      <c r="T335" s="70"/>
      <c r="U335" s="70"/>
      <c r="V335" s="70"/>
      <c r="W335" s="70"/>
      <c r="X335" s="70"/>
      <c r="Y335" s="70"/>
      <c r="Z335" s="70"/>
    </row>
    <row r="336">
      <c r="A336" s="78"/>
      <c r="B336" s="78"/>
      <c r="C336" s="80"/>
      <c r="D336" s="80"/>
      <c r="E336" s="82"/>
      <c r="F336" s="82"/>
      <c r="G336" s="82"/>
      <c r="H336" s="82"/>
      <c r="I336" s="34"/>
      <c r="J336" s="83"/>
      <c r="K336" s="83"/>
      <c r="L336" s="83"/>
      <c r="M336" s="70"/>
      <c r="N336" s="70"/>
      <c r="O336" s="70"/>
      <c r="P336" s="70"/>
      <c r="Q336" s="70"/>
      <c r="R336" s="70"/>
      <c r="S336" s="70"/>
      <c r="T336" s="70"/>
      <c r="U336" s="70"/>
      <c r="V336" s="70"/>
      <c r="W336" s="70"/>
      <c r="X336" s="70"/>
      <c r="Y336" s="70"/>
      <c r="Z336" s="70"/>
    </row>
    <row r="337">
      <c r="A337" s="78"/>
      <c r="B337" s="78"/>
      <c r="C337" s="80"/>
      <c r="D337" s="80"/>
      <c r="E337" s="82"/>
      <c r="F337" s="82"/>
      <c r="G337" s="82"/>
      <c r="H337" s="82"/>
      <c r="I337" s="34"/>
      <c r="J337" s="83"/>
      <c r="K337" s="83"/>
      <c r="L337" s="83"/>
      <c r="M337" s="70"/>
      <c r="N337" s="70"/>
      <c r="O337" s="70"/>
      <c r="P337" s="70"/>
      <c r="Q337" s="70"/>
      <c r="R337" s="70"/>
      <c r="S337" s="70"/>
      <c r="T337" s="70"/>
      <c r="U337" s="70"/>
      <c r="V337" s="70"/>
      <c r="W337" s="70"/>
      <c r="X337" s="70"/>
      <c r="Y337" s="70"/>
      <c r="Z337" s="70"/>
    </row>
    <row r="338">
      <c r="A338" s="78"/>
      <c r="B338" s="78"/>
      <c r="C338" s="80"/>
      <c r="D338" s="80"/>
      <c r="E338" s="82"/>
      <c r="F338" s="82"/>
      <c r="G338" s="82"/>
      <c r="H338" s="82"/>
      <c r="I338" s="34"/>
      <c r="J338" s="83"/>
      <c r="K338" s="83"/>
      <c r="L338" s="83"/>
      <c r="M338" s="70"/>
      <c r="N338" s="70"/>
      <c r="O338" s="70"/>
      <c r="P338" s="70"/>
      <c r="Q338" s="70"/>
      <c r="R338" s="70"/>
      <c r="S338" s="70"/>
      <c r="T338" s="70"/>
      <c r="U338" s="70"/>
      <c r="V338" s="70"/>
      <c r="W338" s="70"/>
      <c r="X338" s="70"/>
      <c r="Y338" s="70"/>
      <c r="Z338" s="70"/>
    </row>
    <row r="339">
      <c r="A339" s="78"/>
      <c r="B339" s="78"/>
      <c r="C339" s="80"/>
      <c r="D339" s="80"/>
      <c r="E339" s="82"/>
      <c r="F339" s="82"/>
      <c r="G339" s="82"/>
      <c r="H339" s="82"/>
      <c r="I339" s="34"/>
      <c r="J339" s="83"/>
      <c r="K339" s="83"/>
      <c r="L339" s="83"/>
      <c r="M339" s="70"/>
      <c r="N339" s="70"/>
      <c r="O339" s="70"/>
      <c r="P339" s="70"/>
      <c r="Q339" s="70"/>
      <c r="R339" s="70"/>
      <c r="S339" s="70"/>
      <c r="T339" s="70"/>
      <c r="U339" s="70"/>
      <c r="V339" s="70"/>
      <c r="W339" s="70"/>
      <c r="X339" s="70"/>
      <c r="Y339" s="70"/>
      <c r="Z339" s="70"/>
    </row>
    <row r="340">
      <c r="A340" s="78"/>
      <c r="B340" s="78"/>
      <c r="C340" s="80"/>
      <c r="D340" s="80"/>
      <c r="E340" s="82"/>
      <c r="F340" s="82"/>
      <c r="G340" s="82"/>
      <c r="H340" s="82"/>
      <c r="I340" s="34"/>
      <c r="J340" s="83"/>
      <c r="K340" s="83"/>
      <c r="L340" s="83"/>
      <c r="M340" s="70"/>
      <c r="N340" s="70"/>
      <c r="O340" s="70"/>
      <c r="P340" s="70"/>
      <c r="Q340" s="70"/>
      <c r="R340" s="70"/>
      <c r="S340" s="70"/>
      <c r="T340" s="70"/>
      <c r="U340" s="70"/>
      <c r="V340" s="70"/>
      <c r="W340" s="70"/>
      <c r="X340" s="70"/>
      <c r="Y340" s="70"/>
      <c r="Z340" s="70"/>
    </row>
    <row r="341">
      <c r="A341" s="78"/>
      <c r="B341" s="78"/>
      <c r="C341" s="80"/>
      <c r="D341" s="80"/>
      <c r="E341" s="82"/>
      <c r="F341" s="82"/>
      <c r="G341" s="82"/>
      <c r="H341" s="82"/>
      <c r="I341" s="34"/>
      <c r="J341" s="83"/>
      <c r="K341" s="83"/>
      <c r="L341" s="83"/>
      <c r="M341" s="70"/>
      <c r="N341" s="70"/>
      <c r="O341" s="70"/>
      <c r="P341" s="70"/>
      <c r="Q341" s="70"/>
      <c r="R341" s="70"/>
      <c r="S341" s="70"/>
      <c r="T341" s="70"/>
      <c r="U341" s="70"/>
      <c r="V341" s="70"/>
      <c r="W341" s="70"/>
      <c r="X341" s="70"/>
      <c r="Y341" s="70"/>
      <c r="Z341" s="70"/>
    </row>
    <row r="342">
      <c r="A342" s="78"/>
      <c r="B342" s="78"/>
      <c r="C342" s="80"/>
      <c r="D342" s="80"/>
      <c r="E342" s="82"/>
      <c r="F342" s="82"/>
      <c r="G342" s="82"/>
      <c r="H342" s="82"/>
      <c r="I342" s="34"/>
      <c r="J342" s="83"/>
      <c r="K342" s="83"/>
      <c r="L342" s="83"/>
      <c r="M342" s="70"/>
      <c r="N342" s="70"/>
      <c r="O342" s="70"/>
      <c r="P342" s="70"/>
      <c r="Q342" s="70"/>
      <c r="R342" s="70"/>
      <c r="S342" s="70"/>
      <c r="T342" s="70"/>
      <c r="U342" s="70"/>
      <c r="V342" s="70"/>
      <c r="W342" s="70"/>
      <c r="X342" s="70"/>
      <c r="Y342" s="70"/>
      <c r="Z342" s="70"/>
    </row>
    <row r="343">
      <c r="A343" s="78"/>
      <c r="B343" s="78"/>
      <c r="C343" s="80"/>
      <c r="D343" s="80"/>
      <c r="E343" s="82"/>
      <c r="F343" s="82"/>
      <c r="G343" s="82"/>
      <c r="H343" s="82"/>
      <c r="I343" s="34"/>
      <c r="J343" s="83"/>
      <c r="K343" s="83"/>
      <c r="L343" s="83"/>
      <c r="M343" s="70"/>
      <c r="N343" s="70"/>
      <c r="O343" s="70"/>
      <c r="P343" s="70"/>
      <c r="Q343" s="70"/>
      <c r="R343" s="70"/>
      <c r="S343" s="70"/>
      <c r="T343" s="70"/>
      <c r="U343" s="70"/>
      <c r="V343" s="70"/>
      <c r="W343" s="70"/>
      <c r="X343" s="70"/>
      <c r="Y343" s="70"/>
      <c r="Z343" s="70"/>
    </row>
    <row r="344">
      <c r="A344" s="78"/>
      <c r="B344" s="78"/>
      <c r="C344" s="80"/>
      <c r="D344" s="80"/>
      <c r="E344" s="82"/>
      <c r="F344" s="82"/>
      <c r="G344" s="82"/>
      <c r="H344" s="82"/>
      <c r="I344" s="34"/>
      <c r="J344" s="83"/>
      <c r="K344" s="83"/>
      <c r="L344" s="83"/>
      <c r="M344" s="70"/>
      <c r="N344" s="70"/>
      <c r="O344" s="70"/>
      <c r="P344" s="70"/>
      <c r="Q344" s="70"/>
      <c r="R344" s="70"/>
      <c r="S344" s="70"/>
      <c r="T344" s="70"/>
      <c r="U344" s="70"/>
      <c r="V344" s="70"/>
      <c r="W344" s="70"/>
      <c r="X344" s="70"/>
      <c r="Y344" s="70"/>
      <c r="Z344" s="70"/>
    </row>
    <row r="345">
      <c r="A345" s="78"/>
      <c r="B345" s="78"/>
      <c r="C345" s="80"/>
      <c r="D345" s="80"/>
      <c r="E345" s="82"/>
      <c r="F345" s="82"/>
      <c r="G345" s="82"/>
      <c r="H345" s="82"/>
      <c r="I345" s="34"/>
      <c r="J345" s="83"/>
      <c r="K345" s="83"/>
      <c r="L345" s="83"/>
      <c r="M345" s="70"/>
      <c r="N345" s="70"/>
      <c r="O345" s="70"/>
      <c r="P345" s="70"/>
      <c r="Q345" s="70"/>
      <c r="R345" s="70"/>
      <c r="S345" s="70"/>
      <c r="T345" s="70"/>
      <c r="U345" s="70"/>
      <c r="V345" s="70"/>
      <c r="W345" s="70"/>
      <c r="X345" s="70"/>
      <c r="Y345" s="70"/>
      <c r="Z345" s="70"/>
    </row>
    <row r="346">
      <c r="A346" s="78"/>
      <c r="B346" s="78"/>
      <c r="C346" s="80"/>
      <c r="D346" s="80"/>
      <c r="E346" s="82"/>
      <c r="F346" s="82"/>
      <c r="G346" s="82"/>
      <c r="H346" s="82"/>
      <c r="I346" s="34"/>
      <c r="J346" s="83"/>
      <c r="K346" s="83"/>
      <c r="L346" s="83"/>
      <c r="M346" s="70"/>
      <c r="N346" s="70"/>
      <c r="O346" s="70"/>
      <c r="P346" s="70"/>
      <c r="Q346" s="70"/>
      <c r="R346" s="70"/>
      <c r="S346" s="70"/>
      <c r="T346" s="70"/>
      <c r="U346" s="70"/>
      <c r="V346" s="70"/>
      <c r="W346" s="70"/>
      <c r="X346" s="70"/>
      <c r="Y346" s="70"/>
      <c r="Z346" s="70"/>
    </row>
    <row r="347">
      <c r="A347" s="78"/>
      <c r="B347" s="78"/>
      <c r="C347" s="80"/>
      <c r="D347" s="80"/>
      <c r="E347" s="82"/>
      <c r="F347" s="82"/>
      <c r="G347" s="82"/>
      <c r="H347" s="82"/>
      <c r="I347" s="34"/>
      <c r="J347" s="83"/>
      <c r="K347" s="83"/>
      <c r="L347" s="83"/>
      <c r="M347" s="70"/>
      <c r="N347" s="70"/>
      <c r="O347" s="70"/>
      <c r="P347" s="70"/>
      <c r="Q347" s="70"/>
      <c r="R347" s="70"/>
      <c r="S347" s="70"/>
      <c r="T347" s="70"/>
      <c r="U347" s="70"/>
      <c r="V347" s="70"/>
      <c r="W347" s="70"/>
      <c r="X347" s="70"/>
      <c r="Y347" s="70"/>
      <c r="Z347" s="70"/>
    </row>
    <row r="348">
      <c r="A348" s="78"/>
      <c r="B348" s="78"/>
      <c r="C348" s="80"/>
      <c r="D348" s="80"/>
      <c r="E348" s="82"/>
      <c r="F348" s="82"/>
      <c r="G348" s="82"/>
      <c r="H348" s="82"/>
      <c r="I348" s="34"/>
      <c r="J348" s="83"/>
      <c r="K348" s="83"/>
      <c r="L348" s="83"/>
      <c r="M348" s="70"/>
      <c r="N348" s="70"/>
      <c r="O348" s="70"/>
      <c r="P348" s="70"/>
      <c r="Q348" s="70"/>
      <c r="R348" s="70"/>
      <c r="S348" s="70"/>
      <c r="T348" s="70"/>
      <c r="U348" s="70"/>
      <c r="V348" s="70"/>
      <c r="W348" s="70"/>
      <c r="X348" s="70"/>
      <c r="Y348" s="70"/>
      <c r="Z348" s="70"/>
    </row>
    <row r="349">
      <c r="A349" s="78"/>
      <c r="B349" s="78"/>
      <c r="C349" s="80"/>
      <c r="D349" s="80"/>
      <c r="E349" s="82"/>
      <c r="F349" s="82"/>
      <c r="G349" s="82"/>
      <c r="H349" s="82"/>
      <c r="I349" s="34"/>
      <c r="J349" s="83"/>
      <c r="K349" s="83"/>
      <c r="L349" s="83"/>
      <c r="M349" s="70"/>
      <c r="N349" s="70"/>
      <c r="O349" s="70"/>
      <c r="P349" s="70"/>
      <c r="Q349" s="70"/>
      <c r="R349" s="70"/>
      <c r="S349" s="70"/>
      <c r="T349" s="70"/>
      <c r="U349" s="70"/>
      <c r="V349" s="70"/>
      <c r="W349" s="70"/>
      <c r="X349" s="70"/>
      <c r="Y349" s="70"/>
      <c r="Z349" s="70"/>
    </row>
    <row r="350">
      <c r="A350" s="78"/>
      <c r="B350" s="78"/>
      <c r="C350" s="80"/>
      <c r="D350" s="80"/>
      <c r="E350" s="82"/>
      <c r="F350" s="82"/>
      <c r="G350" s="82"/>
      <c r="H350" s="82"/>
      <c r="I350" s="34"/>
      <c r="J350" s="83"/>
      <c r="K350" s="83"/>
      <c r="L350" s="83"/>
      <c r="M350" s="70"/>
      <c r="N350" s="70"/>
      <c r="O350" s="70"/>
      <c r="P350" s="70"/>
      <c r="Q350" s="70"/>
      <c r="R350" s="70"/>
      <c r="S350" s="70"/>
      <c r="T350" s="70"/>
      <c r="U350" s="70"/>
      <c r="V350" s="70"/>
      <c r="W350" s="70"/>
      <c r="X350" s="70"/>
      <c r="Y350" s="70"/>
      <c r="Z350" s="70"/>
    </row>
    <row r="351">
      <c r="A351" s="78"/>
      <c r="B351" s="78"/>
      <c r="C351" s="80"/>
      <c r="D351" s="80"/>
      <c r="E351" s="82"/>
      <c r="F351" s="82"/>
      <c r="G351" s="82"/>
      <c r="H351" s="82"/>
      <c r="I351" s="34"/>
      <c r="J351" s="83"/>
      <c r="K351" s="83"/>
      <c r="L351" s="83"/>
      <c r="M351" s="70"/>
      <c r="N351" s="70"/>
      <c r="O351" s="70"/>
      <c r="P351" s="70"/>
      <c r="Q351" s="70"/>
      <c r="R351" s="70"/>
      <c r="S351" s="70"/>
      <c r="T351" s="70"/>
      <c r="U351" s="70"/>
      <c r="V351" s="70"/>
      <c r="W351" s="70"/>
      <c r="X351" s="70"/>
      <c r="Y351" s="70"/>
      <c r="Z351" s="70"/>
    </row>
    <row r="352">
      <c r="A352" s="78"/>
      <c r="B352" s="78"/>
      <c r="C352" s="80"/>
      <c r="D352" s="80"/>
      <c r="E352" s="82"/>
      <c r="F352" s="82"/>
      <c r="G352" s="82"/>
      <c r="H352" s="82"/>
      <c r="I352" s="34"/>
      <c r="J352" s="83"/>
      <c r="K352" s="83"/>
      <c r="L352" s="83"/>
      <c r="M352" s="70"/>
      <c r="N352" s="70"/>
      <c r="O352" s="70"/>
      <c r="P352" s="70"/>
      <c r="Q352" s="70"/>
      <c r="R352" s="70"/>
      <c r="S352" s="70"/>
      <c r="T352" s="70"/>
      <c r="U352" s="70"/>
      <c r="V352" s="70"/>
      <c r="W352" s="70"/>
      <c r="X352" s="70"/>
      <c r="Y352" s="70"/>
      <c r="Z352" s="70"/>
    </row>
    <row r="353">
      <c r="A353" s="78"/>
      <c r="B353" s="78"/>
      <c r="C353" s="80"/>
      <c r="D353" s="80"/>
      <c r="E353" s="82"/>
      <c r="F353" s="82"/>
      <c r="G353" s="82"/>
      <c r="H353" s="82"/>
      <c r="I353" s="34"/>
      <c r="J353" s="83"/>
      <c r="K353" s="83"/>
      <c r="L353" s="83"/>
      <c r="M353" s="70"/>
      <c r="N353" s="70"/>
      <c r="O353" s="70"/>
      <c r="P353" s="70"/>
      <c r="Q353" s="70"/>
      <c r="R353" s="70"/>
      <c r="S353" s="70"/>
      <c r="T353" s="70"/>
      <c r="U353" s="70"/>
      <c r="V353" s="70"/>
      <c r="W353" s="70"/>
      <c r="X353" s="70"/>
      <c r="Y353" s="70"/>
      <c r="Z353" s="70"/>
    </row>
    <row r="354">
      <c r="A354" s="78"/>
      <c r="B354" s="78"/>
      <c r="C354" s="80"/>
      <c r="D354" s="80"/>
      <c r="E354" s="82"/>
      <c r="F354" s="82"/>
      <c r="G354" s="82"/>
      <c r="H354" s="82"/>
      <c r="I354" s="34"/>
      <c r="J354" s="83"/>
      <c r="K354" s="83"/>
      <c r="L354" s="83"/>
      <c r="M354" s="70"/>
      <c r="N354" s="70"/>
      <c r="O354" s="70"/>
      <c r="P354" s="70"/>
      <c r="Q354" s="70"/>
      <c r="R354" s="70"/>
      <c r="S354" s="70"/>
      <c r="T354" s="70"/>
      <c r="U354" s="70"/>
      <c r="V354" s="70"/>
      <c r="W354" s="70"/>
      <c r="X354" s="70"/>
      <c r="Y354" s="70"/>
      <c r="Z354" s="70"/>
    </row>
    <row r="355">
      <c r="A355" s="78"/>
      <c r="B355" s="78"/>
      <c r="C355" s="80"/>
      <c r="D355" s="80"/>
      <c r="E355" s="82"/>
      <c r="F355" s="82"/>
      <c r="G355" s="82"/>
      <c r="H355" s="82"/>
      <c r="I355" s="34"/>
      <c r="J355" s="83"/>
      <c r="K355" s="83"/>
      <c r="L355" s="83"/>
      <c r="M355" s="70"/>
      <c r="N355" s="70"/>
      <c r="O355" s="70"/>
      <c r="P355" s="70"/>
      <c r="Q355" s="70"/>
      <c r="R355" s="70"/>
      <c r="S355" s="70"/>
      <c r="T355" s="70"/>
      <c r="U355" s="70"/>
      <c r="V355" s="70"/>
      <c r="W355" s="70"/>
      <c r="X355" s="70"/>
      <c r="Y355" s="70"/>
      <c r="Z355" s="70"/>
    </row>
    <row r="356">
      <c r="A356" s="78"/>
      <c r="B356" s="78"/>
      <c r="C356" s="80"/>
      <c r="D356" s="80"/>
      <c r="E356" s="82"/>
      <c r="F356" s="82"/>
      <c r="G356" s="82"/>
      <c r="H356" s="82"/>
      <c r="I356" s="34"/>
      <c r="J356" s="83"/>
      <c r="K356" s="83"/>
      <c r="L356" s="83"/>
      <c r="M356" s="70"/>
      <c r="N356" s="70"/>
      <c r="O356" s="70"/>
      <c r="P356" s="70"/>
      <c r="Q356" s="70"/>
      <c r="R356" s="70"/>
      <c r="S356" s="70"/>
      <c r="T356" s="70"/>
      <c r="U356" s="70"/>
      <c r="V356" s="70"/>
      <c r="W356" s="70"/>
      <c r="X356" s="70"/>
      <c r="Y356" s="70"/>
      <c r="Z356" s="70"/>
    </row>
    <row r="357">
      <c r="A357" s="78"/>
      <c r="B357" s="78"/>
      <c r="C357" s="80"/>
      <c r="D357" s="80"/>
      <c r="E357" s="82"/>
      <c r="F357" s="82"/>
      <c r="G357" s="82"/>
      <c r="H357" s="82"/>
      <c r="I357" s="34"/>
      <c r="J357" s="83"/>
      <c r="K357" s="83"/>
      <c r="L357" s="83"/>
      <c r="M357" s="70"/>
      <c r="N357" s="70"/>
      <c r="O357" s="70"/>
      <c r="P357" s="70"/>
      <c r="Q357" s="70"/>
      <c r="R357" s="70"/>
      <c r="S357" s="70"/>
      <c r="T357" s="70"/>
      <c r="U357" s="70"/>
      <c r="V357" s="70"/>
      <c r="W357" s="70"/>
      <c r="X357" s="70"/>
      <c r="Y357" s="70"/>
      <c r="Z357" s="70"/>
    </row>
    <row r="358">
      <c r="A358" s="78"/>
      <c r="B358" s="78"/>
      <c r="C358" s="80"/>
      <c r="D358" s="80"/>
      <c r="E358" s="82"/>
      <c r="F358" s="82"/>
      <c r="G358" s="82"/>
      <c r="H358" s="82"/>
      <c r="I358" s="34"/>
      <c r="J358" s="83"/>
      <c r="K358" s="83"/>
      <c r="L358" s="83"/>
      <c r="M358" s="70"/>
      <c r="N358" s="70"/>
      <c r="O358" s="70"/>
      <c r="P358" s="70"/>
      <c r="Q358" s="70"/>
      <c r="R358" s="70"/>
      <c r="S358" s="70"/>
      <c r="T358" s="70"/>
      <c r="U358" s="70"/>
      <c r="V358" s="70"/>
      <c r="W358" s="70"/>
      <c r="X358" s="70"/>
      <c r="Y358" s="70"/>
      <c r="Z358" s="70"/>
    </row>
    <row r="359">
      <c r="A359" s="78"/>
      <c r="B359" s="78"/>
      <c r="C359" s="80"/>
      <c r="D359" s="80"/>
      <c r="E359" s="82"/>
      <c r="F359" s="82"/>
      <c r="G359" s="82"/>
      <c r="H359" s="82"/>
      <c r="I359" s="34"/>
      <c r="J359" s="83"/>
      <c r="K359" s="83"/>
      <c r="L359" s="83"/>
      <c r="M359" s="70"/>
      <c r="N359" s="70"/>
      <c r="O359" s="70"/>
      <c r="P359" s="70"/>
      <c r="Q359" s="70"/>
      <c r="R359" s="70"/>
      <c r="S359" s="70"/>
      <c r="T359" s="70"/>
      <c r="U359" s="70"/>
      <c r="V359" s="70"/>
      <c r="W359" s="70"/>
      <c r="X359" s="70"/>
      <c r="Y359" s="70"/>
      <c r="Z359" s="70"/>
    </row>
    <row r="360">
      <c r="A360" s="78"/>
      <c r="B360" s="78"/>
      <c r="C360" s="80"/>
      <c r="D360" s="80"/>
      <c r="E360" s="82"/>
      <c r="F360" s="82"/>
      <c r="G360" s="82"/>
      <c r="H360" s="82"/>
      <c r="I360" s="34"/>
      <c r="J360" s="83"/>
      <c r="K360" s="83"/>
      <c r="L360" s="83"/>
      <c r="M360" s="70"/>
      <c r="N360" s="70"/>
      <c r="O360" s="70"/>
      <c r="P360" s="70"/>
      <c r="Q360" s="70"/>
      <c r="R360" s="70"/>
      <c r="S360" s="70"/>
      <c r="T360" s="70"/>
      <c r="U360" s="70"/>
      <c r="V360" s="70"/>
      <c r="W360" s="70"/>
      <c r="X360" s="70"/>
      <c r="Y360" s="70"/>
      <c r="Z360" s="70"/>
    </row>
    <row r="361">
      <c r="A361" s="78"/>
      <c r="B361" s="78"/>
      <c r="C361" s="80"/>
      <c r="D361" s="80"/>
      <c r="E361" s="82"/>
      <c r="F361" s="82"/>
      <c r="G361" s="82"/>
      <c r="H361" s="82"/>
      <c r="I361" s="34"/>
      <c r="J361" s="83"/>
      <c r="K361" s="83"/>
      <c r="L361" s="83"/>
      <c r="M361" s="70"/>
      <c r="N361" s="70"/>
      <c r="O361" s="70"/>
      <c r="P361" s="70"/>
      <c r="Q361" s="70"/>
      <c r="R361" s="70"/>
      <c r="S361" s="70"/>
      <c r="T361" s="70"/>
      <c r="U361" s="70"/>
      <c r="V361" s="70"/>
      <c r="W361" s="70"/>
      <c r="X361" s="70"/>
      <c r="Y361" s="70"/>
      <c r="Z361" s="70"/>
    </row>
    <row r="362">
      <c r="A362" s="78"/>
      <c r="B362" s="78"/>
      <c r="C362" s="80"/>
      <c r="D362" s="80"/>
      <c r="E362" s="82"/>
      <c r="F362" s="82"/>
      <c r="G362" s="82"/>
      <c r="H362" s="82"/>
      <c r="I362" s="34"/>
      <c r="J362" s="83"/>
      <c r="K362" s="83"/>
      <c r="L362" s="83"/>
      <c r="M362" s="70"/>
      <c r="N362" s="70"/>
      <c r="O362" s="70"/>
      <c r="P362" s="70"/>
      <c r="Q362" s="70"/>
      <c r="R362" s="70"/>
      <c r="S362" s="70"/>
      <c r="T362" s="70"/>
      <c r="U362" s="70"/>
      <c r="V362" s="70"/>
      <c r="W362" s="70"/>
      <c r="X362" s="70"/>
      <c r="Y362" s="70"/>
      <c r="Z362" s="70"/>
    </row>
    <row r="363">
      <c r="A363" s="78"/>
      <c r="B363" s="78"/>
      <c r="C363" s="80"/>
      <c r="D363" s="80"/>
      <c r="E363" s="82"/>
      <c r="F363" s="82"/>
      <c r="G363" s="82"/>
      <c r="H363" s="82"/>
      <c r="I363" s="34"/>
      <c r="J363" s="83"/>
      <c r="K363" s="83"/>
      <c r="L363" s="83"/>
      <c r="M363" s="70"/>
      <c r="N363" s="70"/>
      <c r="O363" s="70"/>
      <c r="P363" s="70"/>
      <c r="Q363" s="70"/>
      <c r="R363" s="70"/>
      <c r="S363" s="70"/>
      <c r="T363" s="70"/>
      <c r="U363" s="70"/>
      <c r="V363" s="70"/>
      <c r="W363" s="70"/>
      <c r="X363" s="70"/>
      <c r="Y363" s="70"/>
      <c r="Z363" s="70"/>
    </row>
    <row r="364">
      <c r="A364" s="78"/>
      <c r="B364" s="78"/>
      <c r="C364" s="80"/>
      <c r="D364" s="80"/>
      <c r="E364" s="82"/>
      <c r="F364" s="82"/>
      <c r="G364" s="82"/>
      <c r="H364" s="82"/>
      <c r="I364" s="34"/>
      <c r="J364" s="83"/>
      <c r="K364" s="83"/>
      <c r="L364" s="83"/>
      <c r="M364" s="70"/>
      <c r="N364" s="70"/>
      <c r="O364" s="70"/>
      <c r="P364" s="70"/>
      <c r="Q364" s="70"/>
      <c r="R364" s="70"/>
      <c r="S364" s="70"/>
      <c r="T364" s="70"/>
      <c r="U364" s="70"/>
      <c r="V364" s="70"/>
      <c r="W364" s="70"/>
      <c r="X364" s="70"/>
      <c r="Y364" s="70"/>
      <c r="Z364" s="70"/>
    </row>
    <row r="365">
      <c r="A365" s="78"/>
      <c r="B365" s="78"/>
      <c r="C365" s="80"/>
      <c r="D365" s="80"/>
      <c r="E365" s="82"/>
      <c r="F365" s="82"/>
      <c r="G365" s="82"/>
      <c r="H365" s="82"/>
      <c r="I365" s="34"/>
      <c r="J365" s="83"/>
      <c r="K365" s="83"/>
      <c r="L365" s="83"/>
      <c r="M365" s="70"/>
      <c r="N365" s="70"/>
      <c r="O365" s="70"/>
      <c r="P365" s="70"/>
      <c r="Q365" s="70"/>
      <c r="R365" s="70"/>
      <c r="S365" s="70"/>
      <c r="T365" s="70"/>
      <c r="U365" s="70"/>
      <c r="V365" s="70"/>
      <c r="W365" s="70"/>
      <c r="X365" s="70"/>
      <c r="Y365" s="70"/>
      <c r="Z365" s="70"/>
    </row>
    <row r="366">
      <c r="A366" s="78"/>
      <c r="B366" s="78"/>
      <c r="C366" s="80"/>
      <c r="D366" s="80"/>
      <c r="E366" s="82"/>
      <c r="F366" s="82"/>
      <c r="G366" s="82"/>
      <c r="H366" s="82"/>
      <c r="I366" s="34"/>
      <c r="J366" s="83"/>
      <c r="K366" s="83"/>
      <c r="L366" s="83"/>
      <c r="M366" s="70"/>
      <c r="N366" s="70"/>
      <c r="O366" s="70"/>
      <c r="P366" s="70"/>
      <c r="Q366" s="70"/>
      <c r="R366" s="70"/>
      <c r="S366" s="70"/>
      <c r="T366" s="70"/>
      <c r="U366" s="70"/>
      <c r="V366" s="70"/>
      <c r="W366" s="70"/>
      <c r="X366" s="70"/>
      <c r="Y366" s="70"/>
      <c r="Z366" s="70"/>
    </row>
    <row r="367">
      <c r="A367" s="78"/>
      <c r="B367" s="78"/>
      <c r="C367" s="80"/>
      <c r="D367" s="80"/>
      <c r="E367" s="82"/>
      <c r="F367" s="82"/>
      <c r="G367" s="82"/>
      <c r="H367" s="82"/>
      <c r="I367" s="34"/>
      <c r="J367" s="83"/>
      <c r="K367" s="83"/>
      <c r="L367" s="83"/>
      <c r="M367" s="70"/>
      <c r="N367" s="70"/>
      <c r="O367" s="70"/>
      <c r="P367" s="70"/>
      <c r="Q367" s="70"/>
      <c r="R367" s="70"/>
      <c r="S367" s="70"/>
      <c r="T367" s="70"/>
      <c r="U367" s="70"/>
      <c r="V367" s="70"/>
      <c r="W367" s="70"/>
      <c r="X367" s="70"/>
      <c r="Y367" s="70"/>
      <c r="Z367" s="70"/>
    </row>
    <row r="368">
      <c r="A368" s="78"/>
      <c r="B368" s="78"/>
      <c r="C368" s="80"/>
      <c r="D368" s="80"/>
      <c r="E368" s="82"/>
      <c r="F368" s="82"/>
      <c r="G368" s="82"/>
      <c r="H368" s="82"/>
      <c r="I368" s="34"/>
      <c r="J368" s="83"/>
      <c r="K368" s="83"/>
      <c r="L368" s="83"/>
      <c r="M368" s="70"/>
      <c r="N368" s="70"/>
      <c r="O368" s="70"/>
      <c r="P368" s="70"/>
      <c r="Q368" s="70"/>
      <c r="R368" s="70"/>
      <c r="S368" s="70"/>
      <c r="T368" s="70"/>
      <c r="U368" s="70"/>
      <c r="V368" s="70"/>
      <c r="W368" s="70"/>
      <c r="X368" s="70"/>
      <c r="Y368" s="70"/>
      <c r="Z368" s="70"/>
    </row>
    <row r="369">
      <c r="A369" s="78"/>
      <c r="B369" s="78"/>
      <c r="C369" s="80"/>
      <c r="D369" s="80"/>
      <c r="E369" s="82"/>
      <c r="F369" s="82"/>
      <c r="G369" s="82"/>
      <c r="H369" s="82"/>
      <c r="I369" s="34"/>
      <c r="J369" s="83"/>
      <c r="K369" s="83"/>
      <c r="L369" s="83"/>
      <c r="M369" s="70"/>
      <c r="N369" s="70"/>
      <c r="O369" s="70"/>
      <c r="P369" s="70"/>
      <c r="Q369" s="70"/>
      <c r="R369" s="70"/>
      <c r="S369" s="70"/>
      <c r="T369" s="70"/>
      <c r="U369" s="70"/>
      <c r="V369" s="70"/>
      <c r="W369" s="70"/>
      <c r="X369" s="70"/>
      <c r="Y369" s="70"/>
      <c r="Z369" s="70"/>
    </row>
    <row r="370">
      <c r="A370" s="78"/>
      <c r="B370" s="78"/>
      <c r="C370" s="80"/>
      <c r="D370" s="80"/>
      <c r="E370" s="82"/>
      <c r="F370" s="82"/>
      <c r="G370" s="82"/>
      <c r="H370" s="82"/>
      <c r="I370" s="34"/>
      <c r="J370" s="83"/>
      <c r="K370" s="83"/>
      <c r="L370" s="83"/>
      <c r="M370" s="70"/>
      <c r="N370" s="70"/>
      <c r="O370" s="70"/>
      <c r="P370" s="70"/>
      <c r="Q370" s="70"/>
      <c r="R370" s="70"/>
      <c r="S370" s="70"/>
      <c r="T370" s="70"/>
      <c r="U370" s="70"/>
      <c r="V370" s="70"/>
      <c r="W370" s="70"/>
      <c r="X370" s="70"/>
      <c r="Y370" s="70"/>
      <c r="Z370" s="70"/>
    </row>
    <row r="371">
      <c r="A371" s="78"/>
      <c r="B371" s="78"/>
      <c r="C371" s="80"/>
      <c r="D371" s="80"/>
      <c r="E371" s="82"/>
      <c r="F371" s="82"/>
      <c r="G371" s="82"/>
      <c r="H371" s="82"/>
      <c r="I371" s="34"/>
      <c r="J371" s="83"/>
      <c r="K371" s="83"/>
      <c r="L371" s="83"/>
      <c r="M371" s="70"/>
      <c r="N371" s="70"/>
      <c r="O371" s="70"/>
      <c r="P371" s="70"/>
      <c r="Q371" s="70"/>
      <c r="R371" s="70"/>
      <c r="S371" s="70"/>
      <c r="T371" s="70"/>
      <c r="U371" s="70"/>
      <c r="V371" s="70"/>
      <c r="W371" s="70"/>
      <c r="X371" s="70"/>
      <c r="Y371" s="70"/>
      <c r="Z371" s="70"/>
    </row>
    <row r="372">
      <c r="A372" s="78"/>
      <c r="B372" s="78"/>
      <c r="C372" s="80"/>
      <c r="D372" s="80"/>
      <c r="E372" s="82"/>
      <c r="F372" s="82"/>
      <c r="G372" s="82"/>
      <c r="H372" s="82"/>
      <c r="I372" s="34"/>
      <c r="J372" s="83"/>
      <c r="K372" s="83"/>
      <c r="L372" s="83"/>
      <c r="M372" s="70"/>
      <c r="N372" s="70"/>
      <c r="O372" s="70"/>
      <c r="P372" s="70"/>
      <c r="Q372" s="70"/>
      <c r="R372" s="70"/>
      <c r="S372" s="70"/>
      <c r="T372" s="70"/>
      <c r="U372" s="70"/>
      <c r="V372" s="70"/>
      <c r="W372" s="70"/>
      <c r="X372" s="70"/>
      <c r="Y372" s="70"/>
      <c r="Z372" s="70"/>
    </row>
    <row r="373">
      <c r="A373" s="78"/>
      <c r="B373" s="78"/>
      <c r="C373" s="80"/>
      <c r="D373" s="80"/>
      <c r="E373" s="82"/>
      <c r="F373" s="82"/>
      <c r="G373" s="82"/>
      <c r="H373" s="82"/>
      <c r="I373" s="34"/>
      <c r="J373" s="83"/>
      <c r="K373" s="83"/>
      <c r="L373" s="83"/>
      <c r="M373" s="70"/>
      <c r="N373" s="70"/>
      <c r="O373" s="70"/>
      <c r="P373" s="70"/>
      <c r="Q373" s="70"/>
      <c r="R373" s="70"/>
      <c r="S373" s="70"/>
      <c r="T373" s="70"/>
      <c r="U373" s="70"/>
      <c r="V373" s="70"/>
      <c r="W373" s="70"/>
      <c r="X373" s="70"/>
      <c r="Y373" s="70"/>
      <c r="Z373" s="70"/>
    </row>
    <row r="374">
      <c r="A374" s="78"/>
      <c r="B374" s="78"/>
      <c r="C374" s="80"/>
      <c r="D374" s="80"/>
      <c r="E374" s="82"/>
      <c r="F374" s="82"/>
      <c r="G374" s="82"/>
      <c r="H374" s="82"/>
      <c r="I374" s="34"/>
      <c r="J374" s="83"/>
      <c r="K374" s="83"/>
      <c r="L374" s="83"/>
      <c r="M374" s="70"/>
      <c r="N374" s="70"/>
      <c r="O374" s="70"/>
      <c r="P374" s="70"/>
      <c r="Q374" s="70"/>
      <c r="R374" s="70"/>
      <c r="S374" s="70"/>
      <c r="T374" s="70"/>
      <c r="U374" s="70"/>
      <c r="V374" s="70"/>
      <c r="W374" s="70"/>
      <c r="X374" s="70"/>
      <c r="Y374" s="70"/>
      <c r="Z374" s="70"/>
    </row>
    <row r="375">
      <c r="A375" s="78"/>
      <c r="B375" s="78"/>
      <c r="C375" s="80"/>
      <c r="D375" s="80"/>
      <c r="E375" s="82"/>
      <c r="F375" s="82"/>
      <c r="G375" s="82"/>
      <c r="H375" s="82"/>
      <c r="I375" s="34"/>
      <c r="J375" s="83"/>
      <c r="K375" s="83"/>
      <c r="L375" s="83"/>
      <c r="M375" s="70"/>
      <c r="N375" s="70"/>
      <c r="O375" s="70"/>
      <c r="P375" s="70"/>
      <c r="Q375" s="70"/>
      <c r="R375" s="70"/>
      <c r="S375" s="70"/>
      <c r="T375" s="70"/>
      <c r="U375" s="70"/>
      <c r="V375" s="70"/>
      <c r="W375" s="70"/>
      <c r="X375" s="70"/>
      <c r="Y375" s="70"/>
      <c r="Z375" s="70"/>
    </row>
    <row r="376">
      <c r="A376" s="78"/>
      <c r="B376" s="78"/>
      <c r="C376" s="80"/>
      <c r="D376" s="80"/>
      <c r="E376" s="82"/>
      <c r="F376" s="82"/>
      <c r="G376" s="82"/>
      <c r="H376" s="82"/>
      <c r="I376" s="34"/>
      <c r="J376" s="83"/>
      <c r="K376" s="83"/>
      <c r="L376" s="83"/>
      <c r="M376" s="70"/>
      <c r="N376" s="70"/>
      <c r="O376" s="70"/>
      <c r="P376" s="70"/>
      <c r="Q376" s="70"/>
      <c r="R376" s="70"/>
      <c r="S376" s="70"/>
      <c r="T376" s="70"/>
      <c r="U376" s="70"/>
      <c r="V376" s="70"/>
      <c r="W376" s="70"/>
      <c r="X376" s="70"/>
      <c r="Y376" s="70"/>
      <c r="Z376" s="70"/>
    </row>
    <row r="377">
      <c r="A377" s="78"/>
      <c r="B377" s="78"/>
      <c r="C377" s="80"/>
      <c r="D377" s="80"/>
      <c r="E377" s="82"/>
      <c r="F377" s="82"/>
      <c r="G377" s="82"/>
      <c r="H377" s="82"/>
      <c r="I377" s="34"/>
      <c r="J377" s="83"/>
      <c r="K377" s="83"/>
      <c r="L377" s="83"/>
      <c r="M377" s="70"/>
      <c r="N377" s="70"/>
      <c r="O377" s="70"/>
      <c r="P377" s="70"/>
      <c r="Q377" s="70"/>
      <c r="R377" s="70"/>
      <c r="S377" s="70"/>
      <c r="T377" s="70"/>
      <c r="U377" s="70"/>
      <c r="V377" s="70"/>
      <c r="W377" s="70"/>
      <c r="X377" s="70"/>
      <c r="Y377" s="70"/>
      <c r="Z377" s="70"/>
    </row>
    <row r="378">
      <c r="A378" s="78"/>
      <c r="B378" s="78"/>
      <c r="C378" s="80"/>
      <c r="D378" s="80"/>
      <c r="E378" s="82"/>
      <c r="F378" s="82"/>
      <c r="G378" s="82"/>
      <c r="H378" s="82"/>
      <c r="I378" s="34"/>
      <c r="J378" s="83"/>
      <c r="K378" s="83"/>
      <c r="L378" s="83"/>
      <c r="M378" s="70"/>
      <c r="N378" s="70"/>
      <c r="O378" s="70"/>
      <c r="P378" s="70"/>
      <c r="Q378" s="70"/>
      <c r="R378" s="70"/>
      <c r="S378" s="70"/>
      <c r="T378" s="70"/>
      <c r="U378" s="70"/>
      <c r="V378" s="70"/>
      <c r="W378" s="70"/>
      <c r="X378" s="70"/>
      <c r="Y378" s="70"/>
      <c r="Z378" s="70"/>
    </row>
    <row r="379">
      <c r="A379" s="78"/>
      <c r="B379" s="78"/>
      <c r="C379" s="80"/>
      <c r="D379" s="80"/>
      <c r="E379" s="82"/>
      <c r="F379" s="82"/>
      <c r="G379" s="82"/>
      <c r="H379" s="82"/>
      <c r="I379" s="34"/>
      <c r="J379" s="83"/>
      <c r="K379" s="83"/>
      <c r="L379" s="83"/>
      <c r="M379" s="70"/>
      <c r="N379" s="70"/>
      <c r="O379" s="70"/>
      <c r="P379" s="70"/>
      <c r="Q379" s="70"/>
      <c r="R379" s="70"/>
      <c r="S379" s="70"/>
      <c r="T379" s="70"/>
      <c r="U379" s="70"/>
      <c r="V379" s="70"/>
      <c r="W379" s="70"/>
      <c r="X379" s="70"/>
      <c r="Y379" s="70"/>
      <c r="Z379" s="70"/>
    </row>
    <row r="380">
      <c r="A380" s="78"/>
      <c r="B380" s="78"/>
      <c r="C380" s="80"/>
      <c r="D380" s="80"/>
      <c r="E380" s="82"/>
      <c r="F380" s="82"/>
      <c r="G380" s="82"/>
      <c r="H380" s="82"/>
      <c r="I380" s="34"/>
      <c r="J380" s="83"/>
      <c r="K380" s="83"/>
      <c r="L380" s="83"/>
      <c r="M380" s="70"/>
      <c r="N380" s="70"/>
      <c r="O380" s="70"/>
      <c r="P380" s="70"/>
      <c r="Q380" s="70"/>
      <c r="R380" s="70"/>
      <c r="S380" s="70"/>
      <c r="T380" s="70"/>
      <c r="U380" s="70"/>
      <c r="V380" s="70"/>
      <c r="W380" s="70"/>
      <c r="X380" s="70"/>
      <c r="Y380" s="70"/>
      <c r="Z380" s="70"/>
    </row>
    <row r="381">
      <c r="A381" s="78"/>
      <c r="B381" s="78"/>
      <c r="C381" s="80"/>
      <c r="D381" s="80"/>
      <c r="E381" s="82"/>
      <c r="F381" s="82"/>
      <c r="G381" s="82"/>
      <c r="H381" s="82"/>
      <c r="I381" s="34"/>
      <c r="J381" s="83"/>
      <c r="K381" s="83"/>
      <c r="L381" s="83"/>
      <c r="M381" s="70"/>
      <c r="N381" s="70"/>
      <c r="O381" s="70"/>
      <c r="P381" s="70"/>
      <c r="Q381" s="70"/>
      <c r="R381" s="70"/>
      <c r="S381" s="70"/>
      <c r="T381" s="70"/>
      <c r="U381" s="70"/>
      <c r="V381" s="70"/>
      <c r="W381" s="70"/>
      <c r="X381" s="70"/>
      <c r="Y381" s="70"/>
      <c r="Z381" s="70"/>
    </row>
    <row r="382">
      <c r="A382" s="78"/>
      <c r="B382" s="78"/>
      <c r="C382" s="80"/>
      <c r="D382" s="80"/>
      <c r="E382" s="82"/>
      <c r="F382" s="82"/>
      <c r="G382" s="82"/>
      <c r="H382" s="82"/>
      <c r="I382" s="34"/>
      <c r="J382" s="83"/>
      <c r="K382" s="83"/>
      <c r="L382" s="83"/>
      <c r="M382" s="70"/>
      <c r="N382" s="70"/>
      <c r="O382" s="70"/>
      <c r="P382" s="70"/>
      <c r="Q382" s="70"/>
      <c r="R382" s="70"/>
      <c r="S382" s="70"/>
      <c r="T382" s="70"/>
      <c r="U382" s="70"/>
      <c r="V382" s="70"/>
      <c r="W382" s="70"/>
      <c r="X382" s="70"/>
      <c r="Y382" s="70"/>
      <c r="Z382" s="70"/>
    </row>
    <row r="383">
      <c r="A383" s="78"/>
      <c r="B383" s="78"/>
      <c r="C383" s="80"/>
      <c r="D383" s="80"/>
      <c r="E383" s="82"/>
      <c r="F383" s="82"/>
      <c r="G383" s="82"/>
      <c r="H383" s="82"/>
      <c r="I383" s="34"/>
      <c r="J383" s="83"/>
      <c r="K383" s="83"/>
      <c r="L383" s="83"/>
      <c r="M383" s="70"/>
      <c r="N383" s="70"/>
      <c r="O383" s="70"/>
      <c r="P383" s="70"/>
      <c r="Q383" s="70"/>
      <c r="R383" s="70"/>
      <c r="S383" s="70"/>
      <c r="T383" s="70"/>
      <c r="U383" s="70"/>
      <c r="V383" s="70"/>
      <c r="W383" s="70"/>
      <c r="X383" s="70"/>
      <c r="Y383" s="70"/>
      <c r="Z383" s="70"/>
    </row>
    <row r="384">
      <c r="A384" s="78"/>
      <c r="B384" s="78"/>
      <c r="C384" s="80"/>
      <c r="D384" s="80"/>
      <c r="E384" s="82"/>
      <c r="F384" s="82"/>
      <c r="G384" s="82"/>
      <c r="H384" s="82"/>
      <c r="I384" s="34"/>
      <c r="J384" s="83"/>
      <c r="K384" s="83"/>
      <c r="L384" s="83"/>
      <c r="M384" s="70"/>
      <c r="N384" s="70"/>
      <c r="O384" s="70"/>
      <c r="P384" s="70"/>
      <c r="Q384" s="70"/>
      <c r="R384" s="70"/>
      <c r="S384" s="70"/>
      <c r="T384" s="70"/>
      <c r="U384" s="70"/>
      <c r="V384" s="70"/>
      <c r="W384" s="70"/>
      <c r="X384" s="70"/>
      <c r="Y384" s="70"/>
      <c r="Z384" s="70"/>
    </row>
    <row r="385">
      <c r="A385" s="78"/>
      <c r="B385" s="78"/>
      <c r="C385" s="80"/>
      <c r="D385" s="80"/>
      <c r="E385" s="82"/>
      <c r="F385" s="82"/>
      <c r="G385" s="82"/>
      <c r="H385" s="82"/>
      <c r="I385" s="34"/>
      <c r="J385" s="83"/>
      <c r="K385" s="83"/>
      <c r="L385" s="83"/>
      <c r="M385" s="70"/>
      <c r="N385" s="70"/>
      <c r="O385" s="70"/>
      <c r="P385" s="70"/>
      <c r="Q385" s="70"/>
      <c r="R385" s="70"/>
      <c r="S385" s="70"/>
      <c r="T385" s="70"/>
      <c r="U385" s="70"/>
      <c r="V385" s="70"/>
      <c r="W385" s="70"/>
      <c r="X385" s="70"/>
      <c r="Y385" s="70"/>
      <c r="Z385" s="70"/>
    </row>
    <row r="386">
      <c r="A386" s="78"/>
      <c r="B386" s="78"/>
      <c r="C386" s="80"/>
      <c r="D386" s="80"/>
      <c r="E386" s="82"/>
      <c r="F386" s="82"/>
      <c r="G386" s="82"/>
      <c r="H386" s="82"/>
      <c r="I386" s="34"/>
      <c r="J386" s="83"/>
      <c r="K386" s="83"/>
      <c r="L386" s="83"/>
      <c r="M386" s="70"/>
      <c r="N386" s="70"/>
      <c r="O386" s="70"/>
      <c r="P386" s="70"/>
      <c r="Q386" s="70"/>
      <c r="R386" s="70"/>
      <c r="S386" s="70"/>
      <c r="T386" s="70"/>
      <c r="U386" s="70"/>
      <c r="V386" s="70"/>
      <c r="W386" s="70"/>
      <c r="X386" s="70"/>
      <c r="Y386" s="70"/>
      <c r="Z386" s="70"/>
    </row>
    <row r="387">
      <c r="A387" s="78"/>
      <c r="B387" s="78"/>
      <c r="C387" s="80"/>
      <c r="D387" s="80"/>
      <c r="E387" s="82"/>
      <c r="F387" s="82"/>
      <c r="G387" s="82"/>
      <c r="H387" s="82"/>
      <c r="I387" s="34"/>
      <c r="J387" s="83"/>
      <c r="K387" s="83"/>
      <c r="L387" s="83"/>
      <c r="M387" s="70"/>
      <c r="N387" s="70"/>
      <c r="O387" s="70"/>
      <c r="P387" s="70"/>
      <c r="Q387" s="70"/>
      <c r="R387" s="70"/>
      <c r="S387" s="70"/>
      <c r="T387" s="70"/>
      <c r="U387" s="70"/>
      <c r="V387" s="70"/>
      <c r="W387" s="70"/>
      <c r="X387" s="70"/>
      <c r="Y387" s="70"/>
      <c r="Z387" s="70"/>
    </row>
    <row r="388">
      <c r="A388" s="78"/>
      <c r="B388" s="78"/>
      <c r="C388" s="80"/>
      <c r="D388" s="80"/>
      <c r="E388" s="82"/>
      <c r="F388" s="82"/>
      <c r="G388" s="82"/>
      <c r="H388" s="82"/>
      <c r="I388" s="34"/>
      <c r="J388" s="83"/>
      <c r="K388" s="83"/>
      <c r="L388" s="83"/>
      <c r="M388" s="70"/>
      <c r="N388" s="70"/>
      <c r="O388" s="70"/>
      <c r="P388" s="70"/>
      <c r="Q388" s="70"/>
      <c r="R388" s="70"/>
      <c r="S388" s="70"/>
      <c r="T388" s="70"/>
      <c r="U388" s="70"/>
      <c r="V388" s="70"/>
      <c r="W388" s="70"/>
      <c r="X388" s="70"/>
      <c r="Y388" s="70"/>
      <c r="Z388" s="70"/>
    </row>
    <row r="389">
      <c r="A389" s="78"/>
      <c r="B389" s="78"/>
      <c r="C389" s="80"/>
      <c r="D389" s="80"/>
      <c r="E389" s="82"/>
      <c r="F389" s="82"/>
      <c r="G389" s="82"/>
      <c r="H389" s="82"/>
      <c r="I389" s="34"/>
      <c r="J389" s="83"/>
      <c r="K389" s="83"/>
      <c r="L389" s="83"/>
      <c r="M389" s="70"/>
      <c r="N389" s="70"/>
      <c r="O389" s="70"/>
      <c r="P389" s="70"/>
      <c r="Q389" s="70"/>
      <c r="R389" s="70"/>
      <c r="S389" s="70"/>
      <c r="T389" s="70"/>
      <c r="U389" s="70"/>
      <c r="V389" s="70"/>
      <c r="W389" s="70"/>
      <c r="X389" s="70"/>
      <c r="Y389" s="70"/>
      <c r="Z389" s="70"/>
    </row>
    <row r="390">
      <c r="A390" s="78"/>
      <c r="B390" s="78"/>
      <c r="C390" s="80"/>
      <c r="D390" s="80"/>
      <c r="E390" s="82"/>
      <c r="F390" s="82"/>
      <c r="G390" s="82"/>
      <c r="H390" s="82"/>
      <c r="I390" s="34"/>
      <c r="J390" s="83"/>
      <c r="K390" s="83"/>
      <c r="L390" s="83"/>
      <c r="M390" s="70"/>
      <c r="N390" s="70"/>
      <c r="O390" s="70"/>
      <c r="P390" s="70"/>
      <c r="Q390" s="70"/>
      <c r="R390" s="70"/>
      <c r="S390" s="70"/>
      <c r="T390" s="70"/>
      <c r="U390" s="70"/>
      <c r="V390" s="70"/>
      <c r="W390" s="70"/>
      <c r="X390" s="70"/>
      <c r="Y390" s="70"/>
      <c r="Z390" s="70"/>
    </row>
    <row r="391">
      <c r="A391" s="78"/>
      <c r="B391" s="78"/>
      <c r="C391" s="80"/>
      <c r="D391" s="80"/>
      <c r="E391" s="82"/>
      <c r="F391" s="82"/>
      <c r="G391" s="82"/>
      <c r="H391" s="82"/>
      <c r="I391" s="34"/>
      <c r="J391" s="83"/>
      <c r="K391" s="83"/>
      <c r="L391" s="83"/>
      <c r="M391" s="70"/>
      <c r="N391" s="70"/>
      <c r="O391" s="70"/>
      <c r="P391" s="70"/>
      <c r="Q391" s="70"/>
      <c r="R391" s="70"/>
      <c r="S391" s="70"/>
      <c r="T391" s="70"/>
      <c r="U391" s="70"/>
      <c r="V391" s="70"/>
      <c r="W391" s="70"/>
      <c r="X391" s="70"/>
      <c r="Y391" s="70"/>
      <c r="Z391" s="70"/>
    </row>
    <row r="392">
      <c r="A392" s="78"/>
      <c r="B392" s="78"/>
      <c r="C392" s="80"/>
      <c r="D392" s="80"/>
      <c r="E392" s="82"/>
      <c r="F392" s="82"/>
      <c r="G392" s="82"/>
      <c r="H392" s="82"/>
      <c r="I392" s="34"/>
      <c r="J392" s="83"/>
      <c r="K392" s="83"/>
      <c r="L392" s="83"/>
      <c r="M392" s="70"/>
      <c r="N392" s="70"/>
      <c r="O392" s="70"/>
      <c r="P392" s="70"/>
      <c r="Q392" s="70"/>
      <c r="R392" s="70"/>
      <c r="S392" s="70"/>
      <c r="T392" s="70"/>
      <c r="U392" s="70"/>
      <c r="V392" s="70"/>
      <c r="W392" s="70"/>
      <c r="X392" s="70"/>
      <c r="Y392" s="70"/>
      <c r="Z392" s="70"/>
    </row>
    <row r="393">
      <c r="A393" s="78"/>
      <c r="B393" s="78"/>
      <c r="C393" s="80"/>
      <c r="D393" s="80"/>
      <c r="E393" s="82"/>
      <c r="F393" s="82"/>
      <c r="G393" s="82"/>
      <c r="H393" s="82"/>
      <c r="I393" s="34"/>
      <c r="J393" s="83"/>
      <c r="K393" s="83"/>
      <c r="L393" s="83"/>
      <c r="M393" s="70"/>
      <c r="N393" s="70"/>
      <c r="O393" s="70"/>
      <c r="P393" s="70"/>
      <c r="Q393" s="70"/>
      <c r="R393" s="70"/>
      <c r="S393" s="70"/>
      <c r="T393" s="70"/>
      <c r="U393" s="70"/>
      <c r="V393" s="70"/>
      <c r="W393" s="70"/>
      <c r="X393" s="70"/>
      <c r="Y393" s="70"/>
      <c r="Z393" s="70"/>
    </row>
    <row r="394">
      <c r="A394" s="78"/>
      <c r="B394" s="78"/>
      <c r="C394" s="80"/>
      <c r="D394" s="80"/>
      <c r="E394" s="82"/>
      <c r="F394" s="82"/>
      <c r="G394" s="82"/>
      <c r="H394" s="82"/>
      <c r="I394" s="34"/>
      <c r="J394" s="83"/>
      <c r="K394" s="83"/>
      <c r="L394" s="83"/>
      <c r="M394" s="70"/>
      <c r="N394" s="70"/>
      <c r="O394" s="70"/>
      <c r="P394" s="70"/>
      <c r="Q394" s="70"/>
      <c r="R394" s="70"/>
      <c r="S394" s="70"/>
      <c r="T394" s="70"/>
      <c r="U394" s="70"/>
      <c r="V394" s="70"/>
      <c r="W394" s="70"/>
      <c r="X394" s="70"/>
      <c r="Y394" s="70"/>
      <c r="Z394" s="70"/>
    </row>
    <row r="395">
      <c r="A395" s="78"/>
      <c r="B395" s="78"/>
      <c r="C395" s="80"/>
      <c r="D395" s="80"/>
      <c r="E395" s="82"/>
      <c r="F395" s="82"/>
      <c r="G395" s="82"/>
      <c r="H395" s="82"/>
      <c r="I395" s="34"/>
      <c r="J395" s="83"/>
      <c r="K395" s="83"/>
      <c r="L395" s="83"/>
      <c r="M395" s="70"/>
      <c r="N395" s="70"/>
      <c r="O395" s="70"/>
      <c r="P395" s="70"/>
      <c r="Q395" s="70"/>
      <c r="R395" s="70"/>
      <c r="S395" s="70"/>
      <c r="T395" s="70"/>
      <c r="U395" s="70"/>
      <c r="V395" s="70"/>
      <c r="W395" s="70"/>
      <c r="X395" s="70"/>
      <c r="Y395" s="70"/>
      <c r="Z395" s="70"/>
    </row>
    <row r="396">
      <c r="A396" s="78"/>
      <c r="B396" s="78"/>
      <c r="C396" s="80"/>
      <c r="D396" s="80"/>
      <c r="E396" s="82"/>
      <c r="F396" s="82"/>
      <c r="G396" s="82"/>
      <c r="H396" s="82"/>
      <c r="I396" s="34"/>
      <c r="J396" s="83"/>
      <c r="K396" s="83"/>
      <c r="L396" s="83"/>
      <c r="M396" s="70"/>
      <c r="N396" s="70"/>
      <c r="O396" s="70"/>
      <c r="P396" s="70"/>
      <c r="Q396" s="70"/>
      <c r="R396" s="70"/>
      <c r="S396" s="70"/>
      <c r="T396" s="70"/>
      <c r="U396" s="70"/>
      <c r="V396" s="70"/>
      <c r="W396" s="70"/>
      <c r="X396" s="70"/>
      <c r="Y396" s="70"/>
      <c r="Z396" s="70"/>
    </row>
    <row r="397">
      <c r="A397" s="78"/>
      <c r="B397" s="78"/>
      <c r="C397" s="80"/>
      <c r="D397" s="80"/>
      <c r="E397" s="82"/>
      <c r="F397" s="82"/>
      <c r="G397" s="82"/>
      <c r="H397" s="82"/>
      <c r="I397" s="34"/>
      <c r="J397" s="83"/>
      <c r="K397" s="83"/>
      <c r="L397" s="83"/>
      <c r="M397" s="70"/>
      <c r="N397" s="70"/>
      <c r="O397" s="70"/>
      <c r="P397" s="70"/>
      <c r="Q397" s="70"/>
      <c r="R397" s="70"/>
      <c r="S397" s="70"/>
      <c r="T397" s="70"/>
      <c r="U397" s="70"/>
      <c r="V397" s="70"/>
      <c r="W397" s="70"/>
      <c r="X397" s="70"/>
      <c r="Y397" s="70"/>
      <c r="Z397" s="70"/>
    </row>
    <row r="398">
      <c r="A398" s="78"/>
      <c r="B398" s="78"/>
      <c r="C398" s="80"/>
      <c r="D398" s="80"/>
      <c r="E398" s="82"/>
      <c r="F398" s="82"/>
      <c r="G398" s="82"/>
      <c r="H398" s="82"/>
      <c r="I398" s="34"/>
      <c r="J398" s="83"/>
      <c r="K398" s="83"/>
      <c r="L398" s="83"/>
      <c r="M398" s="70"/>
      <c r="N398" s="70"/>
      <c r="O398" s="70"/>
      <c r="P398" s="70"/>
      <c r="Q398" s="70"/>
      <c r="R398" s="70"/>
      <c r="S398" s="70"/>
      <c r="T398" s="70"/>
      <c r="U398" s="70"/>
      <c r="V398" s="70"/>
      <c r="W398" s="70"/>
      <c r="X398" s="70"/>
      <c r="Y398" s="70"/>
      <c r="Z398" s="70"/>
    </row>
    <row r="399">
      <c r="A399" s="78"/>
      <c r="B399" s="78"/>
      <c r="C399" s="80"/>
      <c r="D399" s="80"/>
      <c r="E399" s="82"/>
      <c r="F399" s="82"/>
      <c r="G399" s="82"/>
      <c r="H399" s="82"/>
      <c r="I399" s="34"/>
      <c r="J399" s="83"/>
      <c r="K399" s="83"/>
      <c r="L399" s="83"/>
      <c r="M399" s="70"/>
      <c r="N399" s="70"/>
      <c r="O399" s="70"/>
      <c r="P399" s="70"/>
      <c r="Q399" s="70"/>
      <c r="R399" s="70"/>
      <c r="S399" s="70"/>
      <c r="T399" s="70"/>
      <c r="U399" s="70"/>
      <c r="V399" s="70"/>
      <c r="W399" s="70"/>
      <c r="X399" s="70"/>
      <c r="Y399" s="70"/>
      <c r="Z399" s="70"/>
    </row>
    <row r="400">
      <c r="A400" s="78"/>
      <c r="B400" s="78"/>
      <c r="C400" s="80"/>
      <c r="D400" s="80"/>
      <c r="E400" s="82"/>
      <c r="F400" s="82"/>
      <c r="G400" s="82"/>
      <c r="H400" s="82"/>
      <c r="I400" s="34"/>
      <c r="J400" s="83"/>
      <c r="K400" s="83"/>
      <c r="L400" s="83"/>
      <c r="M400" s="70"/>
      <c r="N400" s="70"/>
      <c r="O400" s="70"/>
      <c r="P400" s="70"/>
      <c r="Q400" s="70"/>
      <c r="R400" s="70"/>
      <c r="S400" s="70"/>
      <c r="T400" s="70"/>
      <c r="U400" s="70"/>
      <c r="V400" s="70"/>
      <c r="W400" s="70"/>
      <c r="X400" s="70"/>
      <c r="Y400" s="70"/>
      <c r="Z400" s="70"/>
    </row>
    <row r="401">
      <c r="A401" s="78"/>
      <c r="B401" s="78"/>
      <c r="C401" s="80"/>
      <c r="D401" s="80"/>
      <c r="E401" s="82"/>
      <c r="F401" s="82"/>
      <c r="G401" s="82"/>
      <c r="H401" s="82"/>
      <c r="I401" s="34"/>
      <c r="J401" s="83"/>
      <c r="K401" s="83"/>
      <c r="L401" s="83"/>
      <c r="M401" s="70"/>
      <c r="N401" s="70"/>
      <c r="O401" s="70"/>
      <c r="P401" s="70"/>
      <c r="Q401" s="70"/>
      <c r="R401" s="70"/>
      <c r="S401" s="70"/>
      <c r="T401" s="70"/>
      <c r="U401" s="70"/>
      <c r="V401" s="70"/>
      <c r="W401" s="70"/>
      <c r="X401" s="70"/>
      <c r="Y401" s="70"/>
      <c r="Z401" s="70"/>
    </row>
    <row r="402">
      <c r="A402" s="78"/>
      <c r="B402" s="78"/>
      <c r="C402" s="80"/>
      <c r="D402" s="80"/>
      <c r="E402" s="82"/>
      <c r="F402" s="82"/>
      <c r="G402" s="82"/>
      <c r="H402" s="82"/>
      <c r="I402" s="34"/>
      <c r="J402" s="83"/>
      <c r="K402" s="83"/>
      <c r="L402" s="83"/>
      <c r="M402" s="70"/>
      <c r="N402" s="70"/>
      <c r="O402" s="70"/>
      <c r="P402" s="70"/>
      <c r="Q402" s="70"/>
      <c r="R402" s="70"/>
      <c r="S402" s="70"/>
      <c r="T402" s="70"/>
      <c r="U402" s="70"/>
      <c r="V402" s="70"/>
      <c r="W402" s="70"/>
      <c r="X402" s="70"/>
      <c r="Y402" s="70"/>
      <c r="Z402" s="70"/>
    </row>
    <row r="403">
      <c r="A403" s="78"/>
      <c r="B403" s="78"/>
      <c r="C403" s="80"/>
      <c r="D403" s="80"/>
      <c r="E403" s="82"/>
      <c r="F403" s="82"/>
      <c r="G403" s="82"/>
      <c r="H403" s="82"/>
      <c r="I403" s="34"/>
      <c r="J403" s="83"/>
      <c r="K403" s="83"/>
      <c r="L403" s="83"/>
      <c r="M403" s="70"/>
      <c r="N403" s="70"/>
      <c r="O403" s="70"/>
      <c r="P403" s="70"/>
      <c r="Q403" s="70"/>
      <c r="R403" s="70"/>
      <c r="S403" s="70"/>
      <c r="T403" s="70"/>
      <c r="U403" s="70"/>
      <c r="V403" s="70"/>
      <c r="W403" s="70"/>
      <c r="X403" s="70"/>
      <c r="Y403" s="70"/>
      <c r="Z403" s="70"/>
    </row>
    <row r="404">
      <c r="A404" s="78"/>
      <c r="B404" s="78"/>
      <c r="C404" s="80"/>
      <c r="D404" s="80"/>
      <c r="E404" s="82"/>
      <c r="F404" s="82"/>
      <c r="G404" s="82"/>
      <c r="H404" s="82"/>
      <c r="I404" s="34"/>
      <c r="J404" s="83"/>
      <c r="K404" s="83"/>
      <c r="L404" s="83"/>
      <c r="M404" s="70"/>
      <c r="N404" s="70"/>
      <c r="O404" s="70"/>
      <c r="P404" s="70"/>
      <c r="Q404" s="70"/>
      <c r="R404" s="70"/>
      <c r="S404" s="70"/>
      <c r="T404" s="70"/>
      <c r="U404" s="70"/>
      <c r="V404" s="70"/>
      <c r="W404" s="70"/>
      <c r="X404" s="70"/>
      <c r="Y404" s="70"/>
      <c r="Z404" s="70"/>
    </row>
    <row r="405">
      <c r="A405" s="78"/>
      <c r="B405" s="78"/>
      <c r="C405" s="80"/>
      <c r="D405" s="80"/>
      <c r="E405" s="82"/>
      <c r="F405" s="82"/>
      <c r="G405" s="82"/>
      <c r="H405" s="82"/>
      <c r="I405" s="34"/>
      <c r="J405" s="83"/>
      <c r="K405" s="83"/>
      <c r="L405" s="83"/>
      <c r="M405" s="70"/>
      <c r="N405" s="70"/>
      <c r="O405" s="70"/>
      <c r="P405" s="70"/>
      <c r="Q405" s="70"/>
      <c r="R405" s="70"/>
      <c r="S405" s="70"/>
      <c r="T405" s="70"/>
      <c r="U405" s="70"/>
      <c r="V405" s="70"/>
      <c r="W405" s="70"/>
      <c r="X405" s="70"/>
      <c r="Y405" s="70"/>
      <c r="Z405" s="70"/>
    </row>
    <row r="406">
      <c r="A406" s="78"/>
      <c r="B406" s="78"/>
      <c r="C406" s="80"/>
      <c r="D406" s="80"/>
      <c r="E406" s="82"/>
      <c r="F406" s="82"/>
      <c r="G406" s="82"/>
      <c r="H406" s="82"/>
      <c r="I406" s="34"/>
      <c r="J406" s="83"/>
      <c r="K406" s="83"/>
      <c r="L406" s="83"/>
      <c r="M406" s="70"/>
      <c r="N406" s="70"/>
      <c r="O406" s="70"/>
      <c r="P406" s="70"/>
      <c r="Q406" s="70"/>
      <c r="R406" s="70"/>
      <c r="S406" s="70"/>
      <c r="T406" s="70"/>
      <c r="U406" s="70"/>
      <c r="V406" s="70"/>
      <c r="W406" s="70"/>
      <c r="X406" s="70"/>
      <c r="Y406" s="70"/>
      <c r="Z406" s="70"/>
    </row>
    <row r="407">
      <c r="A407" s="78"/>
      <c r="B407" s="78"/>
      <c r="C407" s="80"/>
      <c r="D407" s="80"/>
      <c r="E407" s="82"/>
      <c r="F407" s="82"/>
      <c r="G407" s="82"/>
      <c r="H407" s="82"/>
      <c r="I407" s="34"/>
      <c r="J407" s="83"/>
      <c r="K407" s="83"/>
      <c r="L407" s="83"/>
      <c r="M407" s="70"/>
      <c r="N407" s="70"/>
      <c r="O407" s="70"/>
      <c r="P407" s="70"/>
      <c r="Q407" s="70"/>
      <c r="R407" s="70"/>
      <c r="S407" s="70"/>
      <c r="T407" s="70"/>
      <c r="U407" s="70"/>
      <c r="V407" s="70"/>
      <c r="W407" s="70"/>
      <c r="X407" s="70"/>
      <c r="Y407" s="70"/>
      <c r="Z407" s="70"/>
    </row>
    <row r="408">
      <c r="A408" s="78"/>
      <c r="B408" s="78"/>
      <c r="C408" s="80"/>
      <c r="D408" s="80"/>
      <c r="E408" s="82"/>
      <c r="F408" s="82"/>
      <c r="G408" s="82"/>
      <c r="H408" s="82"/>
      <c r="I408" s="34"/>
      <c r="J408" s="83"/>
      <c r="K408" s="83"/>
      <c r="L408" s="83"/>
      <c r="M408" s="70"/>
      <c r="N408" s="70"/>
      <c r="O408" s="70"/>
      <c r="P408" s="70"/>
      <c r="Q408" s="70"/>
      <c r="R408" s="70"/>
      <c r="S408" s="70"/>
      <c r="T408" s="70"/>
      <c r="U408" s="70"/>
      <c r="V408" s="70"/>
      <c r="W408" s="70"/>
      <c r="X408" s="70"/>
      <c r="Y408" s="70"/>
      <c r="Z408" s="70"/>
    </row>
    <row r="409">
      <c r="A409" s="78"/>
      <c r="B409" s="78"/>
      <c r="C409" s="80"/>
      <c r="D409" s="80"/>
      <c r="E409" s="82"/>
      <c r="F409" s="82"/>
      <c r="G409" s="82"/>
      <c r="H409" s="82"/>
      <c r="I409" s="34"/>
      <c r="J409" s="83"/>
      <c r="K409" s="83"/>
      <c r="L409" s="83"/>
      <c r="M409" s="70"/>
      <c r="N409" s="70"/>
      <c r="O409" s="70"/>
      <c r="P409" s="70"/>
      <c r="Q409" s="70"/>
      <c r="R409" s="70"/>
      <c r="S409" s="70"/>
      <c r="T409" s="70"/>
      <c r="U409" s="70"/>
      <c r="V409" s="70"/>
      <c r="W409" s="70"/>
      <c r="X409" s="70"/>
      <c r="Y409" s="70"/>
      <c r="Z409" s="70"/>
    </row>
    <row r="410">
      <c r="A410" s="78"/>
      <c r="B410" s="78"/>
      <c r="C410" s="80"/>
      <c r="D410" s="80"/>
      <c r="E410" s="82"/>
      <c r="F410" s="82"/>
      <c r="G410" s="82"/>
      <c r="H410" s="82"/>
      <c r="I410" s="34"/>
      <c r="J410" s="83"/>
      <c r="K410" s="83"/>
      <c r="L410" s="83"/>
      <c r="M410" s="70"/>
      <c r="N410" s="70"/>
      <c r="O410" s="70"/>
      <c r="P410" s="70"/>
      <c r="Q410" s="70"/>
      <c r="R410" s="70"/>
      <c r="S410" s="70"/>
      <c r="T410" s="70"/>
      <c r="U410" s="70"/>
      <c r="V410" s="70"/>
      <c r="W410" s="70"/>
      <c r="X410" s="70"/>
      <c r="Y410" s="70"/>
      <c r="Z410" s="70"/>
    </row>
    <row r="411">
      <c r="A411" s="78"/>
      <c r="B411" s="78"/>
      <c r="C411" s="80"/>
      <c r="D411" s="80"/>
      <c r="E411" s="82"/>
      <c r="F411" s="82"/>
      <c r="G411" s="82"/>
      <c r="H411" s="82"/>
      <c r="I411" s="34"/>
      <c r="J411" s="83"/>
      <c r="K411" s="83"/>
      <c r="L411" s="83"/>
      <c r="M411" s="70"/>
      <c r="N411" s="70"/>
      <c r="O411" s="70"/>
      <c r="P411" s="70"/>
      <c r="Q411" s="70"/>
      <c r="R411" s="70"/>
      <c r="S411" s="70"/>
      <c r="T411" s="70"/>
      <c r="U411" s="70"/>
      <c r="V411" s="70"/>
      <c r="W411" s="70"/>
      <c r="X411" s="70"/>
      <c r="Y411" s="70"/>
      <c r="Z411" s="70"/>
    </row>
    <row r="412">
      <c r="A412" s="78"/>
      <c r="B412" s="78"/>
      <c r="C412" s="80"/>
      <c r="D412" s="80"/>
      <c r="E412" s="82"/>
      <c r="F412" s="82"/>
      <c r="G412" s="82"/>
      <c r="H412" s="82"/>
      <c r="I412" s="34"/>
      <c r="J412" s="83"/>
      <c r="K412" s="83"/>
      <c r="L412" s="83"/>
      <c r="M412" s="70"/>
      <c r="N412" s="70"/>
      <c r="O412" s="70"/>
      <c r="P412" s="70"/>
      <c r="Q412" s="70"/>
      <c r="R412" s="70"/>
      <c r="S412" s="70"/>
      <c r="T412" s="70"/>
      <c r="U412" s="70"/>
      <c r="V412" s="70"/>
      <c r="W412" s="70"/>
      <c r="X412" s="70"/>
      <c r="Y412" s="70"/>
      <c r="Z412" s="70"/>
    </row>
    <row r="413">
      <c r="A413" s="78"/>
      <c r="B413" s="78"/>
      <c r="C413" s="80"/>
      <c r="D413" s="80"/>
      <c r="E413" s="82"/>
      <c r="F413" s="82"/>
      <c r="G413" s="82"/>
      <c r="H413" s="82"/>
      <c r="I413" s="34"/>
      <c r="J413" s="83"/>
      <c r="K413" s="83"/>
      <c r="L413" s="83"/>
      <c r="M413" s="70"/>
      <c r="N413" s="70"/>
      <c r="O413" s="70"/>
      <c r="P413" s="70"/>
      <c r="Q413" s="70"/>
      <c r="R413" s="70"/>
      <c r="S413" s="70"/>
      <c r="T413" s="70"/>
      <c r="U413" s="70"/>
      <c r="V413" s="70"/>
      <c r="W413" s="70"/>
      <c r="X413" s="70"/>
      <c r="Y413" s="70"/>
      <c r="Z413" s="70"/>
    </row>
    <row r="414">
      <c r="A414" s="78"/>
      <c r="B414" s="78"/>
      <c r="C414" s="80"/>
      <c r="D414" s="80"/>
      <c r="E414" s="82"/>
      <c r="F414" s="82"/>
      <c r="G414" s="82"/>
      <c r="H414" s="82"/>
      <c r="I414" s="34"/>
      <c r="J414" s="83"/>
      <c r="K414" s="83"/>
      <c r="L414" s="83"/>
      <c r="M414" s="70"/>
      <c r="N414" s="70"/>
      <c r="O414" s="70"/>
      <c r="P414" s="70"/>
      <c r="Q414" s="70"/>
      <c r="R414" s="70"/>
      <c r="S414" s="70"/>
      <c r="T414" s="70"/>
      <c r="U414" s="70"/>
      <c r="V414" s="70"/>
      <c r="W414" s="70"/>
      <c r="X414" s="70"/>
      <c r="Y414" s="70"/>
      <c r="Z414" s="70"/>
    </row>
    <row r="415">
      <c r="A415" s="78"/>
      <c r="B415" s="78"/>
      <c r="C415" s="80"/>
      <c r="D415" s="80"/>
      <c r="E415" s="82"/>
      <c r="F415" s="82"/>
      <c r="G415" s="82"/>
      <c r="H415" s="82"/>
      <c r="I415" s="34"/>
      <c r="J415" s="83"/>
      <c r="K415" s="83"/>
      <c r="L415" s="83"/>
      <c r="M415" s="70"/>
      <c r="N415" s="70"/>
      <c r="O415" s="70"/>
      <c r="P415" s="70"/>
      <c r="Q415" s="70"/>
      <c r="R415" s="70"/>
      <c r="S415" s="70"/>
      <c r="T415" s="70"/>
      <c r="U415" s="70"/>
      <c r="V415" s="70"/>
      <c r="W415" s="70"/>
      <c r="X415" s="70"/>
      <c r="Y415" s="70"/>
      <c r="Z415" s="70"/>
    </row>
    <row r="416">
      <c r="A416" s="78"/>
      <c r="B416" s="78"/>
      <c r="C416" s="80"/>
      <c r="D416" s="80"/>
      <c r="E416" s="82"/>
      <c r="F416" s="82"/>
      <c r="G416" s="82"/>
      <c r="H416" s="82"/>
      <c r="I416" s="34"/>
      <c r="J416" s="83"/>
      <c r="K416" s="83"/>
      <c r="L416" s="83"/>
      <c r="M416" s="70"/>
      <c r="N416" s="70"/>
      <c r="O416" s="70"/>
      <c r="P416" s="70"/>
      <c r="Q416" s="70"/>
      <c r="R416" s="70"/>
      <c r="S416" s="70"/>
      <c r="T416" s="70"/>
      <c r="U416" s="70"/>
      <c r="V416" s="70"/>
      <c r="W416" s="70"/>
      <c r="X416" s="70"/>
      <c r="Y416" s="70"/>
      <c r="Z416" s="70"/>
    </row>
    <row r="417">
      <c r="A417" s="78"/>
      <c r="B417" s="78"/>
      <c r="C417" s="80"/>
      <c r="D417" s="80"/>
      <c r="E417" s="82"/>
      <c r="F417" s="82"/>
      <c r="G417" s="82"/>
      <c r="H417" s="82"/>
      <c r="I417" s="34"/>
      <c r="J417" s="83"/>
      <c r="K417" s="83"/>
      <c r="L417" s="83"/>
      <c r="M417" s="70"/>
      <c r="N417" s="70"/>
      <c r="O417" s="70"/>
      <c r="P417" s="70"/>
      <c r="Q417" s="70"/>
      <c r="R417" s="70"/>
      <c r="S417" s="70"/>
      <c r="T417" s="70"/>
      <c r="U417" s="70"/>
      <c r="V417" s="70"/>
      <c r="W417" s="70"/>
      <c r="X417" s="70"/>
      <c r="Y417" s="70"/>
      <c r="Z417" s="70"/>
    </row>
    <row r="418">
      <c r="A418" s="78"/>
      <c r="B418" s="78"/>
      <c r="C418" s="80"/>
      <c r="D418" s="80"/>
      <c r="E418" s="82"/>
      <c r="F418" s="82"/>
      <c r="G418" s="82"/>
      <c r="H418" s="82"/>
      <c r="I418" s="34"/>
      <c r="J418" s="83"/>
      <c r="K418" s="83"/>
      <c r="L418" s="83"/>
      <c r="M418" s="70"/>
      <c r="N418" s="70"/>
      <c r="O418" s="70"/>
      <c r="P418" s="70"/>
      <c r="Q418" s="70"/>
      <c r="R418" s="70"/>
      <c r="S418" s="70"/>
      <c r="T418" s="70"/>
      <c r="U418" s="70"/>
      <c r="V418" s="70"/>
      <c r="W418" s="70"/>
      <c r="X418" s="70"/>
      <c r="Y418" s="70"/>
      <c r="Z418" s="70"/>
    </row>
    <row r="419">
      <c r="A419" s="78"/>
      <c r="B419" s="78"/>
      <c r="C419" s="80"/>
      <c r="D419" s="80"/>
      <c r="E419" s="82"/>
      <c r="F419" s="82"/>
      <c r="G419" s="82"/>
      <c r="H419" s="82"/>
      <c r="I419" s="34"/>
      <c r="J419" s="83"/>
      <c r="K419" s="83"/>
      <c r="L419" s="83"/>
      <c r="M419" s="70"/>
      <c r="N419" s="70"/>
      <c r="O419" s="70"/>
      <c r="P419" s="70"/>
      <c r="Q419" s="70"/>
      <c r="R419" s="70"/>
      <c r="S419" s="70"/>
      <c r="T419" s="70"/>
      <c r="U419" s="70"/>
      <c r="V419" s="70"/>
      <c r="W419" s="70"/>
      <c r="X419" s="70"/>
      <c r="Y419" s="70"/>
      <c r="Z419" s="70"/>
    </row>
    <row r="420">
      <c r="A420" s="78"/>
      <c r="B420" s="78"/>
      <c r="C420" s="80"/>
      <c r="D420" s="80"/>
      <c r="E420" s="82"/>
      <c r="F420" s="82"/>
      <c r="G420" s="82"/>
      <c r="H420" s="82"/>
      <c r="I420" s="34"/>
      <c r="J420" s="83"/>
      <c r="K420" s="83"/>
      <c r="L420" s="83"/>
      <c r="M420" s="70"/>
      <c r="N420" s="70"/>
      <c r="O420" s="70"/>
      <c r="P420" s="70"/>
      <c r="Q420" s="70"/>
      <c r="R420" s="70"/>
      <c r="S420" s="70"/>
      <c r="T420" s="70"/>
      <c r="U420" s="70"/>
      <c r="V420" s="70"/>
      <c r="W420" s="70"/>
      <c r="X420" s="70"/>
      <c r="Y420" s="70"/>
      <c r="Z420" s="70"/>
    </row>
    <row r="421">
      <c r="A421" s="78"/>
      <c r="B421" s="78"/>
      <c r="C421" s="80"/>
      <c r="D421" s="80"/>
      <c r="E421" s="82"/>
      <c r="F421" s="82"/>
      <c r="G421" s="82"/>
      <c r="H421" s="82"/>
      <c r="I421" s="34"/>
      <c r="J421" s="83"/>
      <c r="K421" s="83"/>
      <c r="L421" s="83"/>
      <c r="M421" s="70"/>
      <c r="N421" s="70"/>
      <c r="O421" s="70"/>
      <c r="P421" s="70"/>
      <c r="Q421" s="70"/>
      <c r="R421" s="70"/>
      <c r="S421" s="70"/>
      <c r="T421" s="70"/>
      <c r="U421" s="70"/>
      <c r="V421" s="70"/>
      <c r="W421" s="70"/>
      <c r="X421" s="70"/>
      <c r="Y421" s="70"/>
      <c r="Z421" s="70"/>
    </row>
    <row r="422">
      <c r="A422" s="78"/>
      <c r="B422" s="78"/>
      <c r="C422" s="80"/>
      <c r="D422" s="80"/>
      <c r="E422" s="82"/>
      <c r="F422" s="82"/>
      <c r="G422" s="82"/>
      <c r="H422" s="82"/>
      <c r="I422" s="34"/>
      <c r="J422" s="83"/>
      <c r="K422" s="83"/>
      <c r="L422" s="83"/>
      <c r="M422" s="70"/>
      <c r="N422" s="70"/>
      <c r="O422" s="70"/>
      <c r="P422" s="70"/>
      <c r="Q422" s="70"/>
      <c r="R422" s="70"/>
      <c r="S422" s="70"/>
      <c r="T422" s="70"/>
      <c r="U422" s="70"/>
      <c r="V422" s="70"/>
      <c r="W422" s="70"/>
      <c r="X422" s="70"/>
      <c r="Y422" s="70"/>
      <c r="Z422" s="70"/>
    </row>
    <row r="423">
      <c r="A423" s="78"/>
      <c r="B423" s="78"/>
      <c r="C423" s="80"/>
      <c r="D423" s="80"/>
      <c r="E423" s="82"/>
      <c r="F423" s="82"/>
      <c r="G423" s="82"/>
      <c r="H423" s="82"/>
      <c r="I423" s="34"/>
      <c r="J423" s="83"/>
      <c r="K423" s="83"/>
      <c r="L423" s="83"/>
      <c r="M423" s="70"/>
      <c r="N423" s="70"/>
      <c r="O423" s="70"/>
      <c r="P423" s="70"/>
      <c r="Q423" s="70"/>
      <c r="R423" s="70"/>
      <c r="S423" s="70"/>
      <c r="T423" s="70"/>
      <c r="U423" s="70"/>
      <c r="V423" s="70"/>
      <c r="W423" s="70"/>
      <c r="X423" s="70"/>
      <c r="Y423" s="70"/>
      <c r="Z423" s="70"/>
    </row>
    <row r="424">
      <c r="A424" s="78"/>
      <c r="B424" s="78"/>
      <c r="C424" s="80"/>
      <c r="D424" s="80"/>
      <c r="E424" s="82"/>
      <c r="F424" s="82"/>
      <c r="G424" s="82"/>
      <c r="H424" s="82"/>
      <c r="I424" s="34"/>
      <c r="J424" s="83"/>
      <c r="K424" s="83"/>
      <c r="L424" s="83"/>
      <c r="M424" s="70"/>
      <c r="N424" s="70"/>
      <c r="O424" s="70"/>
      <c r="P424" s="70"/>
      <c r="Q424" s="70"/>
      <c r="R424" s="70"/>
      <c r="S424" s="70"/>
      <c r="T424" s="70"/>
      <c r="U424" s="70"/>
      <c r="V424" s="70"/>
      <c r="W424" s="70"/>
      <c r="X424" s="70"/>
      <c r="Y424" s="70"/>
      <c r="Z424" s="70"/>
    </row>
    <row r="425">
      <c r="A425" s="78"/>
      <c r="B425" s="78"/>
      <c r="C425" s="80"/>
      <c r="D425" s="80"/>
      <c r="E425" s="82"/>
      <c r="F425" s="82"/>
      <c r="G425" s="82"/>
      <c r="H425" s="82"/>
      <c r="I425" s="34"/>
      <c r="J425" s="83"/>
      <c r="K425" s="83"/>
      <c r="L425" s="83"/>
      <c r="M425" s="70"/>
      <c r="N425" s="70"/>
      <c r="O425" s="70"/>
      <c r="P425" s="70"/>
      <c r="Q425" s="70"/>
      <c r="R425" s="70"/>
      <c r="S425" s="70"/>
      <c r="T425" s="70"/>
      <c r="U425" s="70"/>
      <c r="V425" s="70"/>
      <c r="W425" s="70"/>
      <c r="X425" s="70"/>
      <c r="Y425" s="70"/>
      <c r="Z425" s="70"/>
    </row>
    <row r="426">
      <c r="A426" s="78"/>
      <c r="B426" s="78"/>
      <c r="C426" s="80"/>
      <c r="D426" s="80"/>
      <c r="E426" s="82"/>
      <c r="F426" s="82"/>
      <c r="G426" s="82"/>
      <c r="H426" s="82"/>
      <c r="I426" s="34"/>
      <c r="J426" s="83"/>
      <c r="K426" s="83"/>
      <c r="L426" s="83"/>
      <c r="M426" s="70"/>
      <c r="N426" s="70"/>
      <c r="O426" s="70"/>
      <c r="P426" s="70"/>
      <c r="Q426" s="70"/>
      <c r="R426" s="70"/>
      <c r="S426" s="70"/>
      <c r="T426" s="70"/>
      <c r="U426" s="70"/>
      <c r="V426" s="70"/>
      <c r="W426" s="70"/>
      <c r="X426" s="70"/>
      <c r="Y426" s="70"/>
      <c r="Z426" s="70"/>
    </row>
    <row r="427">
      <c r="A427" s="78"/>
      <c r="B427" s="78"/>
      <c r="C427" s="80"/>
      <c r="D427" s="80"/>
      <c r="E427" s="82"/>
      <c r="F427" s="82"/>
      <c r="G427" s="82"/>
      <c r="H427" s="82"/>
      <c r="I427" s="34"/>
      <c r="J427" s="83"/>
      <c r="K427" s="83"/>
      <c r="L427" s="83"/>
      <c r="M427" s="70"/>
      <c r="N427" s="70"/>
      <c r="O427" s="70"/>
      <c r="P427" s="70"/>
      <c r="Q427" s="70"/>
      <c r="R427" s="70"/>
      <c r="S427" s="70"/>
      <c r="T427" s="70"/>
      <c r="U427" s="70"/>
      <c r="V427" s="70"/>
      <c r="W427" s="70"/>
      <c r="X427" s="70"/>
      <c r="Y427" s="70"/>
      <c r="Z427" s="70"/>
    </row>
    <row r="428">
      <c r="A428" s="78"/>
      <c r="B428" s="78"/>
      <c r="C428" s="80"/>
      <c r="D428" s="80"/>
      <c r="E428" s="82"/>
      <c r="F428" s="82"/>
      <c r="G428" s="82"/>
      <c r="H428" s="82"/>
      <c r="I428" s="34"/>
      <c r="J428" s="83"/>
      <c r="K428" s="83"/>
      <c r="L428" s="83"/>
      <c r="M428" s="70"/>
      <c r="N428" s="70"/>
      <c r="O428" s="70"/>
      <c r="P428" s="70"/>
      <c r="Q428" s="70"/>
      <c r="R428" s="70"/>
      <c r="S428" s="70"/>
      <c r="T428" s="70"/>
      <c r="U428" s="70"/>
      <c r="V428" s="70"/>
      <c r="W428" s="70"/>
      <c r="X428" s="70"/>
      <c r="Y428" s="70"/>
      <c r="Z428" s="70"/>
    </row>
    <row r="429">
      <c r="A429" s="78"/>
      <c r="B429" s="78"/>
      <c r="C429" s="80"/>
      <c r="D429" s="80"/>
      <c r="E429" s="82"/>
      <c r="F429" s="82"/>
      <c r="G429" s="82"/>
      <c r="H429" s="82"/>
      <c r="I429" s="34"/>
      <c r="J429" s="83"/>
      <c r="K429" s="83"/>
      <c r="L429" s="83"/>
      <c r="M429" s="70"/>
      <c r="N429" s="70"/>
      <c r="O429" s="70"/>
      <c r="P429" s="70"/>
      <c r="Q429" s="70"/>
      <c r="R429" s="70"/>
      <c r="S429" s="70"/>
      <c r="T429" s="70"/>
      <c r="U429" s="70"/>
      <c r="V429" s="70"/>
      <c r="W429" s="70"/>
      <c r="X429" s="70"/>
      <c r="Y429" s="70"/>
      <c r="Z429" s="70"/>
    </row>
    <row r="430">
      <c r="A430" s="78"/>
      <c r="B430" s="78"/>
      <c r="C430" s="80"/>
      <c r="D430" s="80"/>
      <c r="E430" s="82"/>
      <c r="F430" s="82"/>
      <c r="G430" s="82"/>
      <c r="H430" s="82"/>
      <c r="I430" s="34"/>
      <c r="J430" s="83"/>
      <c r="K430" s="83"/>
      <c r="L430" s="83"/>
      <c r="M430" s="70"/>
      <c r="N430" s="70"/>
      <c r="O430" s="70"/>
      <c r="P430" s="70"/>
      <c r="Q430" s="70"/>
      <c r="R430" s="70"/>
      <c r="S430" s="70"/>
      <c r="T430" s="70"/>
      <c r="U430" s="70"/>
      <c r="V430" s="70"/>
      <c r="W430" s="70"/>
      <c r="X430" s="70"/>
      <c r="Y430" s="70"/>
      <c r="Z430" s="70"/>
    </row>
    <row r="431">
      <c r="A431" s="78"/>
      <c r="B431" s="78"/>
      <c r="C431" s="80"/>
      <c r="D431" s="80"/>
      <c r="E431" s="82"/>
      <c r="F431" s="82"/>
      <c r="G431" s="82"/>
      <c r="H431" s="82"/>
      <c r="I431" s="34"/>
      <c r="J431" s="83"/>
      <c r="K431" s="83"/>
      <c r="L431" s="83"/>
      <c r="M431" s="70"/>
      <c r="N431" s="70"/>
      <c r="O431" s="70"/>
      <c r="P431" s="70"/>
      <c r="Q431" s="70"/>
      <c r="R431" s="70"/>
      <c r="S431" s="70"/>
      <c r="T431" s="70"/>
      <c r="U431" s="70"/>
      <c r="V431" s="70"/>
      <c r="W431" s="70"/>
      <c r="X431" s="70"/>
      <c r="Y431" s="70"/>
      <c r="Z431" s="70"/>
    </row>
    <row r="432">
      <c r="A432" s="78"/>
      <c r="B432" s="78"/>
      <c r="C432" s="80"/>
      <c r="D432" s="80"/>
      <c r="E432" s="82"/>
      <c r="F432" s="82"/>
      <c r="G432" s="82"/>
      <c r="H432" s="82"/>
      <c r="I432" s="34"/>
      <c r="J432" s="83"/>
      <c r="K432" s="83"/>
      <c r="L432" s="83"/>
      <c r="M432" s="70"/>
      <c r="N432" s="70"/>
      <c r="O432" s="70"/>
      <c r="P432" s="70"/>
      <c r="Q432" s="70"/>
      <c r="R432" s="70"/>
      <c r="S432" s="70"/>
      <c r="T432" s="70"/>
      <c r="U432" s="70"/>
      <c r="V432" s="70"/>
      <c r="W432" s="70"/>
      <c r="X432" s="70"/>
      <c r="Y432" s="70"/>
      <c r="Z432" s="70"/>
    </row>
    <row r="433">
      <c r="A433" s="78"/>
      <c r="B433" s="78"/>
      <c r="C433" s="80"/>
      <c r="D433" s="80"/>
      <c r="E433" s="82"/>
      <c r="F433" s="82"/>
      <c r="G433" s="82"/>
      <c r="H433" s="82"/>
      <c r="I433" s="34"/>
      <c r="J433" s="83"/>
      <c r="K433" s="83"/>
      <c r="L433" s="83"/>
      <c r="M433" s="70"/>
      <c r="N433" s="70"/>
      <c r="O433" s="70"/>
      <c r="P433" s="70"/>
      <c r="Q433" s="70"/>
      <c r="R433" s="70"/>
      <c r="S433" s="70"/>
      <c r="T433" s="70"/>
      <c r="U433" s="70"/>
      <c r="V433" s="70"/>
      <c r="W433" s="70"/>
      <c r="X433" s="70"/>
      <c r="Y433" s="70"/>
      <c r="Z433" s="70"/>
    </row>
    <row r="434">
      <c r="A434" s="78"/>
      <c r="B434" s="78"/>
      <c r="C434" s="80"/>
      <c r="D434" s="80"/>
      <c r="E434" s="82"/>
      <c r="F434" s="82"/>
      <c r="G434" s="82"/>
      <c r="H434" s="82"/>
      <c r="I434" s="34"/>
      <c r="J434" s="83"/>
      <c r="K434" s="83"/>
      <c r="L434" s="83"/>
      <c r="M434" s="70"/>
      <c r="N434" s="70"/>
      <c r="O434" s="70"/>
      <c r="P434" s="70"/>
      <c r="Q434" s="70"/>
      <c r="R434" s="70"/>
      <c r="S434" s="70"/>
      <c r="T434" s="70"/>
      <c r="U434" s="70"/>
      <c r="V434" s="70"/>
      <c r="W434" s="70"/>
      <c r="X434" s="70"/>
      <c r="Y434" s="70"/>
      <c r="Z434" s="70"/>
    </row>
    <row r="435">
      <c r="A435" s="78"/>
      <c r="B435" s="78"/>
      <c r="C435" s="80"/>
      <c r="D435" s="80"/>
      <c r="E435" s="82"/>
      <c r="F435" s="82"/>
      <c r="G435" s="82"/>
      <c r="H435" s="82"/>
      <c r="I435" s="34"/>
      <c r="J435" s="83"/>
      <c r="K435" s="83"/>
      <c r="L435" s="83"/>
      <c r="M435" s="70"/>
      <c r="N435" s="70"/>
      <c r="O435" s="70"/>
      <c r="P435" s="70"/>
      <c r="Q435" s="70"/>
      <c r="R435" s="70"/>
      <c r="S435" s="70"/>
      <c r="T435" s="70"/>
      <c r="U435" s="70"/>
      <c r="V435" s="70"/>
      <c r="W435" s="70"/>
      <c r="X435" s="70"/>
      <c r="Y435" s="70"/>
      <c r="Z435" s="70"/>
    </row>
    <row r="436">
      <c r="A436" s="78"/>
      <c r="B436" s="78"/>
      <c r="C436" s="80"/>
      <c r="D436" s="80"/>
      <c r="E436" s="82"/>
      <c r="F436" s="82"/>
      <c r="G436" s="82"/>
      <c r="H436" s="82"/>
      <c r="I436" s="34"/>
      <c r="J436" s="83"/>
      <c r="K436" s="83"/>
      <c r="L436" s="83"/>
      <c r="M436" s="70"/>
      <c r="N436" s="70"/>
      <c r="O436" s="70"/>
      <c r="P436" s="70"/>
      <c r="Q436" s="70"/>
      <c r="R436" s="70"/>
      <c r="S436" s="70"/>
      <c r="T436" s="70"/>
      <c r="U436" s="70"/>
      <c r="V436" s="70"/>
      <c r="W436" s="70"/>
      <c r="X436" s="70"/>
      <c r="Y436" s="70"/>
      <c r="Z436" s="70"/>
    </row>
    <row r="437">
      <c r="A437" s="78"/>
      <c r="B437" s="78"/>
      <c r="C437" s="80"/>
      <c r="D437" s="80"/>
      <c r="E437" s="82"/>
      <c r="F437" s="82"/>
      <c r="G437" s="82"/>
      <c r="H437" s="82"/>
      <c r="I437" s="34"/>
      <c r="J437" s="83"/>
      <c r="K437" s="83"/>
      <c r="L437" s="83"/>
      <c r="M437" s="70"/>
      <c r="N437" s="70"/>
      <c r="O437" s="70"/>
      <c r="P437" s="70"/>
      <c r="Q437" s="70"/>
      <c r="R437" s="70"/>
      <c r="S437" s="70"/>
      <c r="T437" s="70"/>
      <c r="U437" s="70"/>
      <c r="V437" s="70"/>
      <c r="W437" s="70"/>
      <c r="X437" s="70"/>
      <c r="Y437" s="70"/>
      <c r="Z437" s="70"/>
    </row>
    <row r="438">
      <c r="A438" s="78"/>
      <c r="B438" s="78"/>
      <c r="C438" s="80"/>
      <c r="D438" s="80"/>
      <c r="E438" s="82"/>
      <c r="F438" s="82"/>
      <c r="G438" s="82"/>
      <c r="H438" s="82"/>
      <c r="I438" s="34"/>
      <c r="J438" s="83"/>
      <c r="K438" s="83"/>
      <c r="L438" s="83"/>
      <c r="M438" s="70"/>
      <c r="N438" s="70"/>
      <c r="O438" s="70"/>
      <c r="P438" s="70"/>
      <c r="Q438" s="70"/>
      <c r="R438" s="70"/>
      <c r="S438" s="70"/>
      <c r="T438" s="70"/>
      <c r="U438" s="70"/>
      <c r="V438" s="70"/>
      <c r="W438" s="70"/>
      <c r="X438" s="70"/>
      <c r="Y438" s="70"/>
      <c r="Z438" s="70"/>
    </row>
    <row r="439">
      <c r="A439" s="78"/>
      <c r="B439" s="78"/>
      <c r="C439" s="80"/>
      <c r="D439" s="80"/>
      <c r="E439" s="82"/>
      <c r="F439" s="82"/>
      <c r="G439" s="82"/>
      <c r="H439" s="82"/>
      <c r="I439" s="34"/>
      <c r="J439" s="83"/>
      <c r="K439" s="83"/>
      <c r="L439" s="83"/>
      <c r="M439" s="70"/>
      <c r="N439" s="70"/>
      <c r="O439" s="70"/>
      <c r="P439" s="70"/>
      <c r="Q439" s="70"/>
      <c r="R439" s="70"/>
      <c r="S439" s="70"/>
      <c r="T439" s="70"/>
      <c r="U439" s="70"/>
      <c r="V439" s="70"/>
      <c r="W439" s="70"/>
      <c r="X439" s="70"/>
      <c r="Y439" s="70"/>
      <c r="Z439" s="70"/>
    </row>
    <row r="440">
      <c r="A440" s="78"/>
      <c r="B440" s="78"/>
      <c r="C440" s="80"/>
      <c r="D440" s="80"/>
      <c r="E440" s="82"/>
      <c r="F440" s="82"/>
      <c r="G440" s="82"/>
      <c r="H440" s="82"/>
      <c r="I440" s="34"/>
      <c r="J440" s="83"/>
      <c r="K440" s="83"/>
      <c r="L440" s="83"/>
      <c r="M440" s="70"/>
      <c r="N440" s="70"/>
      <c r="O440" s="70"/>
      <c r="P440" s="70"/>
      <c r="Q440" s="70"/>
      <c r="R440" s="70"/>
      <c r="S440" s="70"/>
      <c r="T440" s="70"/>
      <c r="U440" s="70"/>
      <c r="V440" s="70"/>
      <c r="W440" s="70"/>
      <c r="X440" s="70"/>
      <c r="Y440" s="70"/>
      <c r="Z440" s="70"/>
    </row>
    <row r="441">
      <c r="A441" s="78"/>
      <c r="B441" s="78"/>
      <c r="C441" s="80"/>
      <c r="D441" s="80"/>
      <c r="E441" s="82"/>
      <c r="F441" s="82"/>
      <c r="G441" s="82"/>
      <c r="H441" s="82"/>
      <c r="I441" s="34"/>
      <c r="J441" s="83"/>
      <c r="K441" s="83"/>
      <c r="L441" s="83"/>
      <c r="M441" s="70"/>
      <c r="N441" s="70"/>
      <c r="O441" s="70"/>
      <c r="P441" s="70"/>
      <c r="Q441" s="70"/>
      <c r="R441" s="70"/>
      <c r="S441" s="70"/>
      <c r="T441" s="70"/>
      <c r="U441" s="70"/>
      <c r="V441" s="70"/>
      <c r="W441" s="70"/>
      <c r="X441" s="70"/>
      <c r="Y441" s="70"/>
      <c r="Z441" s="70"/>
    </row>
    <row r="442">
      <c r="A442" s="78"/>
      <c r="B442" s="78"/>
      <c r="C442" s="80"/>
      <c r="D442" s="80"/>
      <c r="E442" s="82"/>
      <c r="F442" s="82"/>
      <c r="G442" s="82"/>
      <c r="H442" s="82"/>
      <c r="I442" s="34"/>
      <c r="J442" s="83"/>
      <c r="K442" s="83"/>
      <c r="L442" s="83"/>
      <c r="M442" s="70"/>
      <c r="N442" s="70"/>
      <c r="O442" s="70"/>
      <c r="P442" s="70"/>
      <c r="Q442" s="70"/>
      <c r="R442" s="70"/>
      <c r="S442" s="70"/>
      <c r="T442" s="70"/>
      <c r="U442" s="70"/>
      <c r="V442" s="70"/>
      <c r="W442" s="70"/>
      <c r="X442" s="70"/>
      <c r="Y442" s="70"/>
      <c r="Z442" s="70"/>
    </row>
    <row r="443">
      <c r="A443" s="78"/>
      <c r="B443" s="78"/>
      <c r="C443" s="80"/>
      <c r="D443" s="80"/>
      <c r="E443" s="82"/>
      <c r="F443" s="82"/>
      <c r="G443" s="82"/>
      <c r="H443" s="82"/>
      <c r="I443" s="34"/>
      <c r="J443" s="83"/>
      <c r="K443" s="83"/>
      <c r="L443" s="83"/>
      <c r="M443" s="70"/>
      <c r="N443" s="70"/>
      <c r="O443" s="70"/>
      <c r="P443" s="70"/>
      <c r="Q443" s="70"/>
      <c r="R443" s="70"/>
      <c r="S443" s="70"/>
      <c r="T443" s="70"/>
      <c r="U443" s="70"/>
      <c r="V443" s="70"/>
      <c r="W443" s="70"/>
      <c r="X443" s="70"/>
      <c r="Y443" s="70"/>
      <c r="Z443" s="70"/>
    </row>
    <row r="444">
      <c r="A444" s="78"/>
      <c r="B444" s="78"/>
      <c r="C444" s="80"/>
      <c r="D444" s="80"/>
      <c r="E444" s="82"/>
      <c r="F444" s="82"/>
      <c r="G444" s="82"/>
      <c r="H444" s="82"/>
      <c r="I444" s="34"/>
      <c r="J444" s="83"/>
      <c r="K444" s="83"/>
      <c r="L444" s="83"/>
      <c r="M444" s="70"/>
      <c r="N444" s="70"/>
      <c r="O444" s="70"/>
      <c r="P444" s="70"/>
      <c r="Q444" s="70"/>
      <c r="R444" s="70"/>
      <c r="S444" s="70"/>
      <c r="T444" s="70"/>
      <c r="U444" s="70"/>
      <c r="V444" s="70"/>
      <c r="W444" s="70"/>
      <c r="X444" s="70"/>
      <c r="Y444" s="70"/>
      <c r="Z444" s="70"/>
    </row>
    <row r="445">
      <c r="A445" s="78"/>
      <c r="B445" s="78"/>
      <c r="C445" s="80"/>
      <c r="D445" s="80"/>
      <c r="E445" s="82"/>
      <c r="F445" s="82"/>
      <c r="G445" s="82"/>
      <c r="H445" s="82"/>
      <c r="I445" s="34"/>
      <c r="J445" s="83"/>
      <c r="K445" s="83"/>
      <c r="L445" s="83"/>
      <c r="M445" s="70"/>
      <c r="N445" s="70"/>
      <c r="O445" s="70"/>
      <c r="P445" s="70"/>
      <c r="Q445" s="70"/>
      <c r="R445" s="70"/>
      <c r="S445" s="70"/>
      <c r="T445" s="70"/>
      <c r="U445" s="70"/>
      <c r="V445" s="70"/>
      <c r="W445" s="70"/>
      <c r="X445" s="70"/>
      <c r="Y445" s="70"/>
      <c r="Z445" s="70"/>
    </row>
    <row r="446">
      <c r="A446" s="78"/>
      <c r="B446" s="78"/>
      <c r="C446" s="80"/>
      <c r="D446" s="80"/>
      <c r="E446" s="82"/>
      <c r="F446" s="82"/>
      <c r="G446" s="82"/>
      <c r="H446" s="82"/>
      <c r="I446" s="34"/>
      <c r="J446" s="83"/>
      <c r="K446" s="83"/>
      <c r="L446" s="83"/>
      <c r="M446" s="70"/>
      <c r="N446" s="70"/>
      <c r="O446" s="70"/>
      <c r="P446" s="70"/>
      <c r="Q446" s="70"/>
      <c r="R446" s="70"/>
      <c r="S446" s="70"/>
      <c r="T446" s="70"/>
      <c r="U446" s="70"/>
      <c r="V446" s="70"/>
      <c r="W446" s="70"/>
      <c r="X446" s="70"/>
      <c r="Y446" s="70"/>
      <c r="Z446" s="70"/>
    </row>
    <row r="447">
      <c r="A447" s="78"/>
      <c r="B447" s="78"/>
      <c r="C447" s="80"/>
      <c r="D447" s="80"/>
      <c r="E447" s="82"/>
      <c r="F447" s="82"/>
      <c r="G447" s="82"/>
      <c r="H447" s="82"/>
      <c r="I447" s="34"/>
      <c r="J447" s="83"/>
      <c r="K447" s="83"/>
      <c r="L447" s="83"/>
      <c r="M447" s="70"/>
      <c r="N447" s="70"/>
      <c r="O447" s="70"/>
      <c r="P447" s="70"/>
      <c r="Q447" s="70"/>
      <c r="R447" s="70"/>
      <c r="S447" s="70"/>
      <c r="T447" s="70"/>
      <c r="U447" s="70"/>
      <c r="V447" s="70"/>
      <c r="W447" s="70"/>
      <c r="X447" s="70"/>
      <c r="Y447" s="70"/>
      <c r="Z447" s="70"/>
    </row>
    <row r="448">
      <c r="A448" s="78"/>
      <c r="B448" s="78"/>
      <c r="C448" s="80"/>
      <c r="D448" s="80"/>
      <c r="E448" s="82"/>
      <c r="F448" s="82"/>
      <c r="G448" s="82"/>
      <c r="H448" s="82"/>
      <c r="I448" s="34"/>
      <c r="J448" s="83"/>
      <c r="K448" s="83"/>
      <c r="L448" s="83"/>
      <c r="M448" s="70"/>
      <c r="N448" s="70"/>
      <c r="O448" s="70"/>
      <c r="P448" s="70"/>
      <c r="Q448" s="70"/>
      <c r="R448" s="70"/>
      <c r="S448" s="70"/>
      <c r="T448" s="70"/>
      <c r="U448" s="70"/>
      <c r="V448" s="70"/>
      <c r="W448" s="70"/>
      <c r="X448" s="70"/>
      <c r="Y448" s="70"/>
      <c r="Z448" s="70"/>
    </row>
    <row r="449">
      <c r="A449" s="78"/>
      <c r="B449" s="78"/>
      <c r="C449" s="80"/>
      <c r="D449" s="80"/>
      <c r="E449" s="82"/>
      <c r="F449" s="82"/>
      <c r="G449" s="82"/>
      <c r="H449" s="82"/>
      <c r="I449" s="34"/>
      <c r="J449" s="83"/>
      <c r="K449" s="83"/>
      <c r="L449" s="83"/>
      <c r="M449" s="70"/>
      <c r="N449" s="70"/>
      <c r="O449" s="70"/>
      <c r="P449" s="70"/>
      <c r="Q449" s="70"/>
      <c r="R449" s="70"/>
      <c r="S449" s="70"/>
      <c r="T449" s="70"/>
      <c r="U449" s="70"/>
      <c r="V449" s="70"/>
      <c r="W449" s="70"/>
      <c r="X449" s="70"/>
      <c r="Y449" s="70"/>
      <c r="Z449" s="70"/>
    </row>
    <row r="450">
      <c r="A450" s="78"/>
      <c r="B450" s="78"/>
      <c r="C450" s="80"/>
      <c r="D450" s="80"/>
      <c r="E450" s="82"/>
      <c r="F450" s="82"/>
      <c r="G450" s="82"/>
      <c r="H450" s="82"/>
      <c r="I450" s="34"/>
      <c r="J450" s="83"/>
      <c r="K450" s="83"/>
      <c r="L450" s="83"/>
      <c r="M450" s="70"/>
      <c r="N450" s="70"/>
      <c r="O450" s="70"/>
      <c r="P450" s="70"/>
      <c r="Q450" s="70"/>
      <c r="R450" s="70"/>
      <c r="S450" s="70"/>
      <c r="T450" s="70"/>
      <c r="U450" s="70"/>
      <c r="V450" s="70"/>
      <c r="W450" s="70"/>
      <c r="X450" s="70"/>
      <c r="Y450" s="70"/>
      <c r="Z450" s="70"/>
    </row>
    <row r="451">
      <c r="A451" s="78"/>
      <c r="B451" s="78"/>
      <c r="C451" s="80"/>
      <c r="D451" s="80"/>
      <c r="E451" s="82"/>
      <c r="F451" s="82"/>
      <c r="G451" s="82"/>
      <c r="H451" s="82"/>
      <c r="I451" s="34"/>
      <c r="J451" s="83"/>
      <c r="K451" s="83"/>
      <c r="L451" s="83"/>
      <c r="M451" s="70"/>
      <c r="N451" s="70"/>
      <c r="O451" s="70"/>
      <c r="P451" s="70"/>
      <c r="Q451" s="70"/>
      <c r="R451" s="70"/>
      <c r="S451" s="70"/>
      <c r="T451" s="70"/>
      <c r="U451" s="70"/>
      <c r="V451" s="70"/>
      <c r="W451" s="70"/>
      <c r="X451" s="70"/>
      <c r="Y451" s="70"/>
      <c r="Z451" s="70"/>
    </row>
    <row r="452">
      <c r="A452" s="78"/>
      <c r="B452" s="78"/>
      <c r="C452" s="80"/>
      <c r="D452" s="80"/>
      <c r="E452" s="82"/>
      <c r="F452" s="82"/>
      <c r="G452" s="82"/>
      <c r="H452" s="82"/>
      <c r="I452" s="34"/>
      <c r="J452" s="83"/>
      <c r="K452" s="83"/>
      <c r="L452" s="83"/>
      <c r="M452" s="70"/>
      <c r="N452" s="70"/>
      <c r="O452" s="70"/>
      <c r="P452" s="70"/>
      <c r="Q452" s="70"/>
      <c r="R452" s="70"/>
      <c r="S452" s="70"/>
      <c r="T452" s="70"/>
      <c r="U452" s="70"/>
      <c r="V452" s="70"/>
      <c r="W452" s="70"/>
      <c r="X452" s="70"/>
      <c r="Y452" s="70"/>
      <c r="Z452" s="70"/>
    </row>
    <row r="453">
      <c r="A453" s="78"/>
      <c r="B453" s="78"/>
      <c r="C453" s="80"/>
      <c r="D453" s="80"/>
      <c r="E453" s="82"/>
      <c r="F453" s="82"/>
      <c r="G453" s="82"/>
      <c r="H453" s="82"/>
      <c r="I453" s="34"/>
      <c r="J453" s="83"/>
      <c r="K453" s="83"/>
      <c r="L453" s="83"/>
      <c r="M453" s="70"/>
      <c r="N453" s="70"/>
      <c r="O453" s="70"/>
      <c r="P453" s="70"/>
      <c r="Q453" s="70"/>
      <c r="R453" s="70"/>
      <c r="S453" s="70"/>
      <c r="T453" s="70"/>
      <c r="U453" s="70"/>
      <c r="V453" s="70"/>
      <c r="W453" s="70"/>
      <c r="X453" s="70"/>
      <c r="Y453" s="70"/>
      <c r="Z453" s="70"/>
    </row>
    <row r="454">
      <c r="A454" s="78"/>
      <c r="B454" s="78"/>
      <c r="C454" s="80"/>
      <c r="D454" s="80"/>
      <c r="E454" s="82"/>
      <c r="F454" s="82"/>
      <c r="G454" s="82"/>
      <c r="H454" s="82"/>
      <c r="I454" s="34"/>
      <c r="J454" s="83"/>
      <c r="K454" s="83"/>
      <c r="L454" s="83"/>
      <c r="M454" s="70"/>
      <c r="N454" s="70"/>
      <c r="O454" s="70"/>
      <c r="P454" s="70"/>
      <c r="Q454" s="70"/>
      <c r="R454" s="70"/>
      <c r="S454" s="70"/>
      <c r="T454" s="70"/>
      <c r="U454" s="70"/>
      <c r="V454" s="70"/>
      <c r="W454" s="70"/>
      <c r="X454" s="70"/>
      <c r="Y454" s="70"/>
      <c r="Z454" s="70"/>
    </row>
    <row r="455">
      <c r="A455" s="78"/>
      <c r="B455" s="78"/>
      <c r="C455" s="80"/>
      <c r="D455" s="80"/>
      <c r="E455" s="82"/>
      <c r="F455" s="82"/>
      <c r="G455" s="82"/>
      <c r="H455" s="82"/>
      <c r="I455" s="34"/>
      <c r="J455" s="83"/>
      <c r="K455" s="83"/>
      <c r="L455" s="83"/>
      <c r="M455" s="70"/>
      <c r="N455" s="70"/>
      <c r="O455" s="70"/>
      <c r="P455" s="70"/>
      <c r="Q455" s="70"/>
      <c r="R455" s="70"/>
      <c r="S455" s="70"/>
      <c r="T455" s="70"/>
      <c r="U455" s="70"/>
      <c r="V455" s="70"/>
      <c r="W455" s="70"/>
      <c r="X455" s="70"/>
      <c r="Y455" s="70"/>
      <c r="Z455" s="70"/>
    </row>
    <row r="456">
      <c r="A456" s="78"/>
      <c r="B456" s="78"/>
      <c r="C456" s="80"/>
      <c r="D456" s="80"/>
      <c r="E456" s="82"/>
      <c r="F456" s="82"/>
      <c r="G456" s="82"/>
      <c r="H456" s="82"/>
      <c r="I456" s="34"/>
      <c r="J456" s="83"/>
      <c r="K456" s="83"/>
      <c r="L456" s="83"/>
      <c r="M456" s="70"/>
      <c r="N456" s="70"/>
      <c r="O456" s="70"/>
      <c r="P456" s="70"/>
      <c r="Q456" s="70"/>
      <c r="R456" s="70"/>
      <c r="S456" s="70"/>
      <c r="T456" s="70"/>
      <c r="U456" s="70"/>
      <c r="V456" s="70"/>
      <c r="W456" s="70"/>
      <c r="X456" s="70"/>
      <c r="Y456" s="70"/>
      <c r="Z456" s="70"/>
    </row>
    <row r="457">
      <c r="A457" s="78"/>
      <c r="B457" s="78"/>
      <c r="C457" s="80"/>
      <c r="D457" s="80"/>
      <c r="E457" s="82"/>
      <c r="F457" s="82"/>
      <c r="G457" s="82"/>
      <c r="H457" s="82"/>
      <c r="I457" s="34"/>
      <c r="J457" s="83"/>
      <c r="K457" s="83"/>
      <c r="L457" s="83"/>
      <c r="M457" s="70"/>
      <c r="N457" s="70"/>
      <c r="O457" s="70"/>
      <c r="P457" s="70"/>
      <c r="Q457" s="70"/>
      <c r="R457" s="70"/>
      <c r="S457" s="70"/>
      <c r="T457" s="70"/>
      <c r="U457" s="70"/>
      <c r="V457" s="70"/>
      <c r="W457" s="70"/>
      <c r="X457" s="70"/>
      <c r="Y457" s="70"/>
      <c r="Z457" s="70"/>
    </row>
    <row r="458">
      <c r="A458" s="78"/>
      <c r="B458" s="78"/>
      <c r="C458" s="80"/>
      <c r="D458" s="80"/>
      <c r="E458" s="82"/>
      <c r="F458" s="82"/>
      <c r="G458" s="82"/>
      <c r="H458" s="82"/>
      <c r="I458" s="34"/>
      <c r="J458" s="83"/>
      <c r="K458" s="83"/>
      <c r="L458" s="83"/>
      <c r="M458" s="70"/>
      <c r="N458" s="70"/>
      <c r="O458" s="70"/>
      <c r="P458" s="70"/>
      <c r="Q458" s="70"/>
      <c r="R458" s="70"/>
      <c r="S458" s="70"/>
      <c r="T458" s="70"/>
      <c r="U458" s="70"/>
      <c r="V458" s="70"/>
      <c r="W458" s="70"/>
      <c r="X458" s="70"/>
      <c r="Y458" s="70"/>
      <c r="Z458" s="70"/>
    </row>
    <row r="459">
      <c r="A459" s="78"/>
      <c r="B459" s="78"/>
      <c r="C459" s="80"/>
      <c r="D459" s="80"/>
      <c r="E459" s="82"/>
      <c r="F459" s="82"/>
      <c r="G459" s="82"/>
      <c r="H459" s="82"/>
      <c r="I459" s="34"/>
      <c r="J459" s="83"/>
      <c r="K459" s="83"/>
      <c r="L459" s="83"/>
      <c r="M459" s="70"/>
      <c r="N459" s="70"/>
      <c r="O459" s="70"/>
      <c r="P459" s="70"/>
      <c r="Q459" s="70"/>
      <c r="R459" s="70"/>
      <c r="S459" s="70"/>
      <c r="T459" s="70"/>
      <c r="U459" s="70"/>
      <c r="V459" s="70"/>
      <c r="W459" s="70"/>
      <c r="X459" s="70"/>
      <c r="Y459" s="70"/>
      <c r="Z459" s="70"/>
    </row>
    <row r="460">
      <c r="A460" s="78"/>
      <c r="B460" s="78"/>
      <c r="C460" s="80"/>
      <c r="D460" s="80"/>
      <c r="E460" s="82"/>
      <c r="F460" s="82"/>
      <c r="G460" s="82"/>
      <c r="H460" s="82"/>
      <c r="I460" s="34"/>
      <c r="J460" s="83"/>
      <c r="K460" s="83"/>
      <c r="L460" s="83"/>
      <c r="M460" s="70"/>
      <c r="N460" s="70"/>
      <c r="O460" s="70"/>
      <c r="P460" s="70"/>
      <c r="Q460" s="70"/>
      <c r="R460" s="70"/>
      <c r="S460" s="70"/>
      <c r="T460" s="70"/>
      <c r="U460" s="70"/>
      <c r="V460" s="70"/>
      <c r="W460" s="70"/>
      <c r="X460" s="70"/>
      <c r="Y460" s="70"/>
      <c r="Z460" s="70"/>
    </row>
    <row r="461">
      <c r="A461" s="78"/>
      <c r="B461" s="78"/>
      <c r="C461" s="80"/>
      <c r="D461" s="80"/>
      <c r="E461" s="82"/>
      <c r="F461" s="82"/>
      <c r="G461" s="82"/>
      <c r="H461" s="82"/>
      <c r="I461" s="34"/>
      <c r="J461" s="83"/>
      <c r="K461" s="83"/>
      <c r="L461" s="83"/>
      <c r="M461" s="70"/>
      <c r="N461" s="70"/>
      <c r="O461" s="70"/>
      <c r="P461" s="70"/>
      <c r="Q461" s="70"/>
      <c r="R461" s="70"/>
      <c r="S461" s="70"/>
      <c r="T461" s="70"/>
      <c r="U461" s="70"/>
      <c r="V461" s="70"/>
      <c r="W461" s="70"/>
      <c r="X461" s="70"/>
      <c r="Y461" s="70"/>
      <c r="Z461" s="70"/>
    </row>
    <row r="462">
      <c r="A462" s="78"/>
      <c r="B462" s="78"/>
      <c r="C462" s="80"/>
      <c r="D462" s="80"/>
      <c r="E462" s="82"/>
      <c r="F462" s="82"/>
      <c r="G462" s="82"/>
      <c r="H462" s="82"/>
      <c r="I462" s="34"/>
      <c r="J462" s="83"/>
      <c r="K462" s="83"/>
      <c r="L462" s="83"/>
      <c r="M462" s="70"/>
      <c r="N462" s="70"/>
      <c r="O462" s="70"/>
      <c r="P462" s="70"/>
      <c r="Q462" s="70"/>
      <c r="R462" s="70"/>
      <c r="S462" s="70"/>
      <c r="T462" s="70"/>
      <c r="U462" s="70"/>
      <c r="V462" s="70"/>
      <c r="W462" s="70"/>
      <c r="X462" s="70"/>
      <c r="Y462" s="70"/>
      <c r="Z462" s="70"/>
    </row>
    <row r="463">
      <c r="A463" s="78"/>
      <c r="B463" s="78"/>
      <c r="C463" s="80"/>
      <c r="D463" s="80"/>
      <c r="E463" s="82"/>
      <c r="F463" s="82"/>
      <c r="G463" s="82"/>
      <c r="H463" s="82"/>
      <c r="I463" s="34"/>
      <c r="J463" s="83"/>
      <c r="K463" s="83"/>
      <c r="L463" s="83"/>
      <c r="M463" s="70"/>
      <c r="N463" s="70"/>
      <c r="O463" s="70"/>
      <c r="P463" s="70"/>
      <c r="Q463" s="70"/>
      <c r="R463" s="70"/>
      <c r="S463" s="70"/>
      <c r="T463" s="70"/>
      <c r="U463" s="70"/>
      <c r="V463" s="70"/>
      <c r="W463" s="70"/>
      <c r="X463" s="70"/>
      <c r="Y463" s="70"/>
      <c r="Z463" s="70"/>
    </row>
    <row r="464">
      <c r="A464" s="78"/>
      <c r="B464" s="78"/>
      <c r="C464" s="80"/>
      <c r="D464" s="80"/>
      <c r="E464" s="82"/>
      <c r="F464" s="82"/>
      <c r="G464" s="82"/>
      <c r="H464" s="82"/>
      <c r="I464" s="34"/>
      <c r="J464" s="83"/>
      <c r="K464" s="83"/>
      <c r="L464" s="83"/>
      <c r="M464" s="70"/>
      <c r="N464" s="70"/>
      <c r="O464" s="70"/>
      <c r="P464" s="70"/>
      <c r="Q464" s="70"/>
      <c r="R464" s="70"/>
      <c r="S464" s="70"/>
      <c r="T464" s="70"/>
      <c r="U464" s="70"/>
      <c r="V464" s="70"/>
      <c r="W464" s="70"/>
      <c r="X464" s="70"/>
      <c r="Y464" s="70"/>
      <c r="Z464" s="70"/>
    </row>
    <row r="465">
      <c r="A465" s="78"/>
      <c r="B465" s="78"/>
      <c r="C465" s="80"/>
      <c r="D465" s="80"/>
      <c r="E465" s="82"/>
      <c r="F465" s="82"/>
      <c r="G465" s="82"/>
      <c r="H465" s="82"/>
      <c r="I465" s="34"/>
      <c r="J465" s="83"/>
      <c r="K465" s="83"/>
      <c r="L465" s="83"/>
      <c r="M465" s="70"/>
      <c r="N465" s="70"/>
      <c r="O465" s="70"/>
      <c r="P465" s="70"/>
      <c r="Q465" s="70"/>
      <c r="R465" s="70"/>
      <c r="S465" s="70"/>
      <c r="T465" s="70"/>
      <c r="U465" s="70"/>
      <c r="V465" s="70"/>
      <c r="W465" s="70"/>
      <c r="X465" s="70"/>
      <c r="Y465" s="70"/>
      <c r="Z465" s="70"/>
    </row>
    <row r="466">
      <c r="A466" s="78"/>
      <c r="B466" s="78"/>
      <c r="C466" s="80"/>
      <c r="D466" s="80"/>
      <c r="E466" s="82"/>
      <c r="F466" s="82"/>
      <c r="G466" s="82"/>
      <c r="H466" s="82"/>
      <c r="I466" s="34"/>
      <c r="J466" s="83"/>
      <c r="K466" s="83"/>
      <c r="L466" s="83"/>
      <c r="M466" s="70"/>
      <c r="N466" s="70"/>
      <c r="O466" s="70"/>
      <c r="P466" s="70"/>
      <c r="Q466" s="70"/>
      <c r="R466" s="70"/>
      <c r="S466" s="70"/>
      <c r="T466" s="70"/>
      <c r="U466" s="70"/>
      <c r="V466" s="70"/>
      <c r="W466" s="70"/>
      <c r="X466" s="70"/>
      <c r="Y466" s="70"/>
      <c r="Z466" s="70"/>
    </row>
    <row r="467">
      <c r="A467" s="78"/>
      <c r="B467" s="78"/>
      <c r="C467" s="80"/>
      <c r="D467" s="80"/>
      <c r="E467" s="82"/>
      <c r="F467" s="82"/>
      <c r="G467" s="82"/>
      <c r="H467" s="82"/>
      <c r="I467" s="34"/>
      <c r="J467" s="83"/>
      <c r="K467" s="83"/>
      <c r="L467" s="83"/>
      <c r="M467" s="70"/>
      <c r="N467" s="70"/>
      <c r="O467" s="70"/>
      <c r="P467" s="70"/>
      <c r="Q467" s="70"/>
      <c r="R467" s="70"/>
      <c r="S467" s="70"/>
      <c r="T467" s="70"/>
      <c r="U467" s="70"/>
      <c r="V467" s="70"/>
      <c r="W467" s="70"/>
      <c r="X467" s="70"/>
      <c r="Y467" s="70"/>
      <c r="Z467" s="70"/>
    </row>
    <row r="468">
      <c r="A468" s="78"/>
      <c r="B468" s="78"/>
      <c r="C468" s="80"/>
      <c r="D468" s="80"/>
      <c r="E468" s="82"/>
      <c r="F468" s="82"/>
      <c r="G468" s="82"/>
      <c r="H468" s="82"/>
      <c r="I468" s="34"/>
      <c r="J468" s="83"/>
      <c r="K468" s="83"/>
      <c r="L468" s="83"/>
      <c r="M468" s="70"/>
      <c r="N468" s="70"/>
      <c r="O468" s="70"/>
      <c r="P468" s="70"/>
      <c r="Q468" s="70"/>
      <c r="R468" s="70"/>
      <c r="S468" s="70"/>
      <c r="T468" s="70"/>
      <c r="U468" s="70"/>
      <c r="V468" s="70"/>
      <c r="W468" s="70"/>
      <c r="X468" s="70"/>
      <c r="Y468" s="70"/>
      <c r="Z468" s="70"/>
    </row>
    <row r="469">
      <c r="A469" s="78"/>
      <c r="B469" s="78"/>
      <c r="C469" s="80"/>
      <c r="D469" s="80"/>
      <c r="E469" s="82"/>
      <c r="F469" s="82"/>
      <c r="G469" s="82"/>
      <c r="H469" s="82"/>
      <c r="I469" s="34"/>
      <c r="J469" s="83"/>
      <c r="K469" s="83"/>
      <c r="L469" s="83"/>
      <c r="M469" s="70"/>
      <c r="N469" s="70"/>
      <c r="O469" s="70"/>
      <c r="P469" s="70"/>
      <c r="Q469" s="70"/>
      <c r="R469" s="70"/>
      <c r="S469" s="70"/>
      <c r="T469" s="70"/>
      <c r="U469" s="70"/>
      <c r="V469" s="70"/>
      <c r="W469" s="70"/>
      <c r="X469" s="70"/>
      <c r="Y469" s="70"/>
      <c r="Z469" s="70"/>
    </row>
    <row r="470">
      <c r="A470" s="78"/>
      <c r="B470" s="78"/>
      <c r="C470" s="80"/>
      <c r="D470" s="80"/>
      <c r="E470" s="82"/>
      <c r="F470" s="82"/>
      <c r="G470" s="82"/>
      <c r="H470" s="82"/>
      <c r="I470" s="34"/>
      <c r="J470" s="83"/>
      <c r="K470" s="83"/>
      <c r="L470" s="83"/>
      <c r="M470" s="70"/>
      <c r="N470" s="70"/>
      <c r="O470" s="70"/>
      <c r="P470" s="70"/>
      <c r="Q470" s="70"/>
      <c r="R470" s="70"/>
      <c r="S470" s="70"/>
      <c r="T470" s="70"/>
      <c r="U470" s="70"/>
      <c r="V470" s="70"/>
      <c r="W470" s="70"/>
      <c r="X470" s="70"/>
      <c r="Y470" s="70"/>
      <c r="Z470" s="70"/>
    </row>
    <row r="471">
      <c r="A471" s="78"/>
      <c r="B471" s="78"/>
      <c r="C471" s="80"/>
      <c r="D471" s="80"/>
      <c r="E471" s="82"/>
      <c r="F471" s="82"/>
      <c r="G471" s="82"/>
      <c r="H471" s="82"/>
      <c r="I471" s="34"/>
      <c r="J471" s="83"/>
      <c r="K471" s="83"/>
      <c r="L471" s="83"/>
      <c r="M471" s="70"/>
      <c r="N471" s="70"/>
      <c r="O471" s="70"/>
      <c r="P471" s="70"/>
      <c r="Q471" s="70"/>
      <c r="R471" s="70"/>
      <c r="S471" s="70"/>
      <c r="T471" s="70"/>
      <c r="U471" s="70"/>
      <c r="V471" s="70"/>
      <c r="W471" s="70"/>
      <c r="X471" s="70"/>
      <c r="Y471" s="70"/>
      <c r="Z471" s="70"/>
    </row>
    <row r="472">
      <c r="A472" s="78"/>
      <c r="B472" s="78"/>
      <c r="C472" s="80"/>
      <c r="D472" s="80"/>
      <c r="E472" s="82"/>
      <c r="F472" s="82"/>
      <c r="G472" s="82"/>
      <c r="H472" s="82"/>
      <c r="I472" s="34"/>
      <c r="J472" s="83"/>
      <c r="K472" s="83"/>
      <c r="L472" s="83"/>
      <c r="M472" s="70"/>
      <c r="N472" s="70"/>
      <c r="O472" s="70"/>
      <c r="P472" s="70"/>
      <c r="Q472" s="70"/>
      <c r="R472" s="70"/>
      <c r="S472" s="70"/>
      <c r="T472" s="70"/>
      <c r="U472" s="70"/>
      <c r="V472" s="70"/>
      <c r="W472" s="70"/>
      <c r="X472" s="70"/>
      <c r="Y472" s="70"/>
      <c r="Z472" s="70"/>
    </row>
    <row r="473">
      <c r="A473" s="78"/>
      <c r="B473" s="78"/>
      <c r="C473" s="80"/>
      <c r="D473" s="80"/>
      <c r="E473" s="82"/>
      <c r="F473" s="82"/>
      <c r="G473" s="82"/>
      <c r="H473" s="82"/>
      <c r="I473" s="34"/>
      <c r="J473" s="83"/>
      <c r="K473" s="83"/>
      <c r="L473" s="83"/>
      <c r="M473" s="70"/>
      <c r="N473" s="70"/>
      <c r="O473" s="70"/>
      <c r="P473" s="70"/>
      <c r="Q473" s="70"/>
      <c r="R473" s="70"/>
      <c r="S473" s="70"/>
      <c r="T473" s="70"/>
      <c r="U473" s="70"/>
      <c r="V473" s="70"/>
      <c r="W473" s="70"/>
      <c r="X473" s="70"/>
      <c r="Y473" s="70"/>
      <c r="Z473" s="70"/>
    </row>
    <row r="474">
      <c r="A474" s="78"/>
      <c r="B474" s="78"/>
      <c r="C474" s="80"/>
      <c r="D474" s="80"/>
      <c r="E474" s="82"/>
      <c r="F474" s="82"/>
      <c r="G474" s="82"/>
      <c r="H474" s="82"/>
      <c r="I474" s="34"/>
      <c r="J474" s="83"/>
      <c r="K474" s="83"/>
      <c r="L474" s="83"/>
      <c r="M474" s="70"/>
      <c r="N474" s="70"/>
      <c r="O474" s="70"/>
      <c r="P474" s="70"/>
      <c r="Q474" s="70"/>
      <c r="R474" s="70"/>
      <c r="S474" s="70"/>
      <c r="T474" s="70"/>
      <c r="U474" s="70"/>
      <c r="V474" s="70"/>
      <c r="W474" s="70"/>
      <c r="X474" s="70"/>
      <c r="Y474" s="70"/>
      <c r="Z474" s="70"/>
    </row>
    <row r="475">
      <c r="A475" s="78"/>
      <c r="B475" s="78"/>
      <c r="C475" s="80"/>
      <c r="D475" s="80"/>
      <c r="E475" s="82"/>
      <c r="F475" s="82"/>
      <c r="G475" s="82"/>
      <c r="H475" s="82"/>
      <c r="I475" s="34"/>
      <c r="J475" s="83"/>
      <c r="K475" s="83"/>
      <c r="L475" s="83"/>
      <c r="M475" s="70"/>
      <c r="N475" s="70"/>
      <c r="O475" s="70"/>
      <c r="P475" s="70"/>
      <c r="Q475" s="70"/>
      <c r="R475" s="70"/>
      <c r="S475" s="70"/>
      <c r="T475" s="70"/>
      <c r="U475" s="70"/>
      <c r="V475" s="70"/>
      <c r="W475" s="70"/>
      <c r="X475" s="70"/>
      <c r="Y475" s="70"/>
      <c r="Z475" s="70"/>
    </row>
    <row r="476">
      <c r="A476" s="78"/>
      <c r="B476" s="78"/>
      <c r="C476" s="80"/>
      <c r="D476" s="80"/>
      <c r="E476" s="82"/>
      <c r="F476" s="82"/>
      <c r="G476" s="82"/>
      <c r="H476" s="82"/>
      <c r="I476" s="34"/>
      <c r="J476" s="83"/>
      <c r="K476" s="83"/>
      <c r="L476" s="83"/>
      <c r="M476" s="70"/>
      <c r="N476" s="70"/>
      <c r="O476" s="70"/>
      <c r="P476" s="70"/>
      <c r="Q476" s="70"/>
      <c r="R476" s="70"/>
      <c r="S476" s="70"/>
      <c r="T476" s="70"/>
      <c r="U476" s="70"/>
      <c r="V476" s="70"/>
      <c r="W476" s="70"/>
      <c r="X476" s="70"/>
      <c r="Y476" s="70"/>
      <c r="Z476" s="70"/>
    </row>
    <row r="477">
      <c r="A477" s="78"/>
      <c r="B477" s="78"/>
      <c r="C477" s="80"/>
      <c r="D477" s="80"/>
      <c r="E477" s="82"/>
      <c r="F477" s="82"/>
      <c r="G477" s="82"/>
      <c r="H477" s="82"/>
      <c r="I477" s="34"/>
      <c r="J477" s="83"/>
      <c r="K477" s="83"/>
      <c r="L477" s="83"/>
      <c r="M477" s="70"/>
      <c r="N477" s="70"/>
      <c r="O477" s="70"/>
      <c r="P477" s="70"/>
      <c r="Q477" s="70"/>
      <c r="R477" s="70"/>
      <c r="S477" s="70"/>
      <c r="T477" s="70"/>
      <c r="U477" s="70"/>
      <c r="V477" s="70"/>
      <c r="W477" s="70"/>
      <c r="X477" s="70"/>
      <c r="Y477" s="70"/>
      <c r="Z477" s="70"/>
    </row>
    <row r="478">
      <c r="A478" s="78"/>
      <c r="B478" s="78"/>
      <c r="C478" s="80"/>
      <c r="D478" s="80"/>
      <c r="E478" s="82"/>
      <c r="F478" s="82"/>
      <c r="G478" s="82"/>
      <c r="H478" s="82"/>
      <c r="I478" s="34"/>
      <c r="J478" s="83"/>
      <c r="K478" s="83"/>
      <c r="L478" s="83"/>
      <c r="M478" s="70"/>
      <c r="N478" s="70"/>
      <c r="O478" s="70"/>
      <c r="P478" s="70"/>
      <c r="Q478" s="70"/>
      <c r="R478" s="70"/>
      <c r="S478" s="70"/>
      <c r="T478" s="70"/>
      <c r="U478" s="70"/>
      <c r="V478" s="70"/>
      <c r="W478" s="70"/>
      <c r="X478" s="70"/>
      <c r="Y478" s="70"/>
      <c r="Z478" s="70"/>
    </row>
    <row r="479">
      <c r="A479" s="78"/>
      <c r="B479" s="78"/>
      <c r="C479" s="80"/>
      <c r="D479" s="80"/>
      <c r="E479" s="82"/>
      <c r="F479" s="82"/>
      <c r="G479" s="82"/>
      <c r="H479" s="82"/>
      <c r="I479" s="34"/>
      <c r="J479" s="83"/>
      <c r="K479" s="83"/>
      <c r="L479" s="83"/>
      <c r="M479" s="70"/>
      <c r="N479" s="70"/>
      <c r="O479" s="70"/>
      <c r="P479" s="70"/>
      <c r="Q479" s="70"/>
      <c r="R479" s="70"/>
      <c r="S479" s="70"/>
      <c r="T479" s="70"/>
      <c r="U479" s="70"/>
      <c r="V479" s="70"/>
      <c r="W479" s="70"/>
      <c r="X479" s="70"/>
      <c r="Y479" s="70"/>
      <c r="Z479" s="70"/>
    </row>
    <row r="480">
      <c r="A480" s="78"/>
      <c r="B480" s="78"/>
      <c r="C480" s="80"/>
      <c r="D480" s="80"/>
      <c r="E480" s="82"/>
      <c r="F480" s="82"/>
      <c r="G480" s="82"/>
      <c r="H480" s="82"/>
      <c r="I480" s="34"/>
      <c r="J480" s="83"/>
      <c r="K480" s="83"/>
      <c r="L480" s="83"/>
      <c r="M480" s="70"/>
      <c r="N480" s="70"/>
      <c r="O480" s="70"/>
      <c r="P480" s="70"/>
      <c r="Q480" s="70"/>
      <c r="R480" s="70"/>
      <c r="S480" s="70"/>
      <c r="T480" s="70"/>
      <c r="U480" s="70"/>
      <c r="V480" s="70"/>
      <c r="W480" s="70"/>
      <c r="X480" s="70"/>
      <c r="Y480" s="70"/>
      <c r="Z480" s="70"/>
    </row>
    <row r="481">
      <c r="A481" s="78"/>
      <c r="B481" s="78"/>
      <c r="C481" s="80"/>
      <c r="D481" s="80"/>
      <c r="E481" s="82"/>
      <c r="F481" s="82"/>
      <c r="G481" s="82"/>
      <c r="H481" s="82"/>
      <c r="I481" s="34"/>
      <c r="J481" s="83"/>
      <c r="K481" s="83"/>
      <c r="L481" s="83"/>
      <c r="M481" s="70"/>
      <c r="N481" s="70"/>
      <c r="O481" s="70"/>
      <c r="P481" s="70"/>
      <c r="Q481" s="70"/>
      <c r="R481" s="70"/>
      <c r="S481" s="70"/>
      <c r="T481" s="70"/>
      <c r="U481" s="70"/>
      <c r="V481" s="70"/>
      <c r="W481" s="70"/>
      <c r="X481" s="70"/>
      <c r="Y481" s="70"/>
      <c r="Z481" s="70"/>
    </row>
    <row r="482">
      <c r="A482" s="78"/>
      <c r="B482" s="78"/>
      <c r="C482" s="80"/>
      <c r="D482" s="80"/>
      <c r="E482" s="82"/>
      <c r="F482" s="82"/>
      <c r="G482" s="82"/>
      <c r="H482" s="82"/>
      <c r="I482" s="34"/>
      <c r="J482" s="83"/>
      <c r="K482" s="83"/>
      <c r="L482" s="83"/>
      <c r="M482" s="70"/>
      <c r="N482" s="70"/>
      <c r="O482" s="70"/>
      <c r="P482" s="70"/>
      <c r="Q482" s="70"/>
      <c r="R482" s="70"/>
      <c r="S482" s="70"/>
      <c r="T482" s="70"/>
      <c r="U482" s="70"/>
      <c r="V482" s="70"/>
      <c r="W482" s="70"/>
      <c r="X482" s="70"/>
      <c r="Y482" s="70"/>
      <c r="Z482" s="70"/>
    </row>
    <row r="483">
      <c r="A483" s="78"/>
      <c r="B483" s="78"/>
      <c r="C483" s="80"/>
      <c r="D483" s="80"/>
      <c r="E483" s="82"/>
      <c r="F483" s="82"/>
      <c r="G483" s="82"/>
      <c r="H483" s="82"/>
      <c r="I483" s="34"/>
      <c r="J483" s="83"/>
      <c r="K483" s="83"/>
      <c r="L483" s="83"/>
      <c r="M483" s="70"/>
      <c r="N483" s="70"/>
      <c r="O483" s="70"/>
      <c r="P483" s="70"/>
      <c r="Q483" s="70"/>
      <c r="R483" s="70"/>
      <c r="S483" s="70"/>
      <c r="T483" s="70"/>
      <c r="U483" s="70"/>
      <c r="V483" s="70"/>
      <c r="W483" s="70"/>
      <c r="X483" s="70"/>
      <c r="Y483" s="70"/>
      <c r="Z483" s="70"/>
    </row>
    <row r="484">
      <c r="A484" s="78"/>
      <c r="B484" s="78"/>
      <c r="C484" s="80"/>
      <c r="D484" s="80"/>
      <c r="E484" s="82"/>
      <c r="F484" s="82"/>
      <c r="G484" s="82"/>
      <c r="H484" s="82"/>
      <c r="I484" s="34"/>
      <c r="J484" s="83"/>
      <c r="K484" s="83"/>
      <c r="L484" s="83"/>
      <c r="M484" s="70"/>
      <c r="N484" s="70"/>
      <c r="O484" s="70"/>
      <c r="P484" s="70"/>
      <c r="Q484" s="70"/>
      <c r="R484" s="70"/>
      <c r="S484" s="70"/>
      <c r="T484" s="70"/>
      <c r="U484" s="70"/>
      <c r="V484" s="70"/>
      <c r="W484" s="70"/>
      <c r="X484" s="70"/>
      <c r="Y484" s="70"/>
      <c r="Z484" s="70"/>
    </row>
    <row r="485">
      <c r="A485" s="78"/>
      <c r="B485" s="78"/>
      <c r="C485" s="80"/>
      <c r="D485" s="80"/>
      <c r="E485" s="82"/>
      <c r="F485" s="82"/>
      <c r="G485" s="82"/>
      <c r="H485" s="82"/>
      <c r="I485" s="34"/>
      <c r="J485" s="83"/>
      <c r="K485" s="83"/>
      <c r="L485" s="83"/>
      <c r="M485" s="70"/>
      <c r="N485" s="70"/>
      <c r="O485" s="70"/>
      <c r="P485" s="70"/>
      <c r="Q485" s="70"/>
      <c r="R485" s="70"/>
      <c r="S485" s="70"/>
      <c r="T485" s="70"/>
      <c r="U485" s="70"/>
      <c r="V485" s="70"/>
      <c r="W485" s="70"/>
      <c r="X485" s="70"/>
      <c r="Y485" s="70"/>
      <c r="Z485" s="70"/>
    </row>
    <row r="486">
      <c r="A486" s="78"/>
      <c r="B486" s="78"/>
      <c r="C486" s="80"/>
      <c r="D486" s="80"/>
      <c r="E486" s="82"/>
      <c r="F486" s="82"/>
      <c r="G486" s="82"/>
      <c r="H486" s="82"/>
      <c r="I486" s="34"/>
      <c r="J486" s="83"/>
      <c r="K486" s="83"/>
      <c r="L486" s="83"/>
      <c r="M486" s="70"/>
      <c r="N486" s="70"/>
      <c r="O486" s="70"/>
      <c r="P486" s="70"/>
      <c r="Q486" s="70"/>
      <c r="R486" s="70"/>
      <c r="S486" s="70"/>
      <c r="T486" s="70"/>
      <c r="U486" s="70"/>
      <c r="V486" s="70"/>
      <c r="W486" s="70"/>
      <c r="X486" s="70"/>
      <c r="Y486" s="70"/>
      <c r="Z486" s="70"/>
    </row>
    <row r="487">
      <c r="A487" s="78"/>
      <c r="B487" s="78"/>
      <c r="C487" s="80"/>
      <c r="D487" s="80"/>
      <c r="E487" s="82"/>
      <c r="F487" s="82"/>
      <c r="G487" s="82"/>
      <c r="H487" s="82"/>
      <c r="I487" s="34"/>
      <c r="J487" s="83"/>
      <c r="K487" s="83"/>
      <c r="L487" s="83"/>
      <c r="M487" s="70"/>
      <c r="N487" s="70"/>
      <c r="O487" s="70"/>
      <c r="P487" s="70"/>
      <c r="Q487" s="70"/>
      <c r="R487" s="70"/>
      <c r="S487" s="70"/>
      <c r="T487" s="70"/>
      <c r="U487" s="70"/>
      <c r="V487" s="70"/>
      <c r="W487" s="70"/>
      <c r="X487" s="70"/>
      <c r="Y487" s="70"/>
      <c r="Z487" s="70"/>
    </row>
    <row r="488">
      <c r="A488" s="78"/>
      <c r="B488" s="78"/>
      <c r="C488" s="80"/>
      <c r="D488" s="80"/>
      <c r="E488" s="82"/>
      <c r="F488" s="82"/>
      <c r="G488" s="82"/>
      <c r="H488" s="82"/>
      <c r="I488" s="34"/>
      <c r="J488" s="83"/>
      <c r="K488" s="83"/>
      <c r="L488" s="83"/>
      <c r="M488" s="70"/>
      <c r="N488" s="70"/>
      <c r="O488" s="70"/>
      <c r="P488" s="70"/>
      <c r="Q488" s="70"/>
      <c r="R488" s="70"/>
      <c r="S488" s="70"/>
      <c r="T488" s="70"/>
      <c r="U488" s="70"/>
      <c r="V488" s="70"/>
      <c r="W488" s="70"/>
      <c r="X488" s="70"/>
      <c r="Y488" s="70"/>
      <c r="Z488" s="70"/>
    </row>
    <row r="489">
      <c r="A489" s="78"/>
      <c r="B489" s="78"/>
      <c r="C489" s="80"/>
      <c r="D489" s="80"/>
      <c r="E489" s="82"/>
      <c r="F489" s="82"/>
      <c r="G489" s="82"/>
      <c r="H489" s="82"/>
      <c r="I489" s="34"/>
      <c r="J489" s="83"/>
      <c r="K489" s="83"/>
      <c r="L489" s="83"/>
      <c r="M489" s="70"/>
      <c r="N489" s="70"/>
      <c r="O489" s="70"/>
      <c r="P489" s="70"/>
      <c r="Q489" s="70"/>
      <c r="R489" s="70"/>
      <c r="S489" s="70"/>
      <c r="T489" s="70"/>
      <c r="U489" s="70"/>
      <c r="V489" s="70"/>
      <c r="W489" s="70"/>
      <c r="X489" s="70"/>
      <c r="Y489" s="70"/>
      <c r="Z489" s="70"/>
    </row>
    <row r="490">
      <c r="A490" s="78"/>
      <c r="B490" s="78"/>
      <c r="C490" s="80"/>
      <c r="D490" s="80"/>
      <c r="E490" s="82"/>
      <c r="F490" s="82"/>
      <c r="G490" s="82"/>
      <c r="H490" s="82"/>
      <c r="I490" s="34"/>
      <c r="J490" s="83"/>
      <c r="K490" s="83"/>
      <c r="L490" s="83"/>
      <c r="M490" s="70"/>
      <c r="N490" s="70"/>
      <c r="O490" s="70"/>
      <c r="P490" s="70"/>
      <c r="Q490" s="70"/>
      <c r="R490" s="70"/>
      <c r="S490" s="70"/>
      <c r="T490" s="70"/>
      <c r="U490" s="70"/>
      <c r="V490" s="70"/>
      <c r="W490" s="70"/>
      <c r="X490" s="70"/>
      <c r="Y490" s="70"/>
      <c r="Z490" s="70"/>
    </row>
    <row r="491">
      <c r="A491" s="78"/>
      <c r="B491" s="78"/>
      <c r="C491" s="80"/>
      <c r="D491" s="80"/>
      <c r="E491" s="82"/>
      <c r="F491" s="82"/>
      <c r="G491" s="82"/>
      <c r="H491" s="82"/>
      <c r="I491" s="34"/>
      <c r="J491" s="83"/>
      <c r="K491" s="83"/>
      <c r="L491" s="83"/>
      <c r="M491" s="70"/>
      <c r="N491" s="70"/>
      <c r="O491" s="70"/>
      <c r="P491" s="70"/>
      <c r="Q491" s="70"/>
      <c r="R491" s="70"/>
      <c r="S491" s="70"/>
      <c r="T491" s="70"/>
      <c r="U491" s="70"/>
      <c r="V491" s="70"/>
      <c r="W491" s="70"/>
      <c r="X491" s="70"/>
      <c r="Y491" s="70"/>
      <c r="Z491" s="70"/>
    </row>
    <row r="492">
      <c r="A492" s="78"/>
      <c r="B492" s="78"/>
      <c r="C492" s="80"/>
      <c r="D492" s="80"/>
      <c r="E492" s="82"/>
      <c r="F492" s="82"/>
      <c r="G492" s="82"/>
      <c r="H492" s="82"/>
      <c r="I492" s="34"/>
      <c r="J492" s="83"/>
      <c r="K492" s="83"/>
      <c r="L492" s="83"/>
      <c r="M492" s="70"/>
      <c r="N492" s="70"/>
      <c r="O492" s="70"/>
      <c r="P492" s="70"/>
      <c r="Q492" s="70"/>
      <c r="R492" s="70"/>
      <c r="S492" s="70"/>
      <c r="T492" s="70"/>
      <c r="U492" s="70"/>
      <c r="V492" s="70"/>
      <c r="W492" s="70"/>
      <c r="X492" s="70"/>
      <c r="Y492" s="70"/>
      <c r="Z492" s="70"/>
    </row>
    <row r="493">
      <c r="A493" s="78"/>
      <c r="B493" s="78"/>
      <c r="C493" s="80"/>
      <c r="D493" s="80"/>
      <c r="E493" s="82"/>
      <c r="F493" s="82"/>
      <c r="G493" s="82"/>
      <c r="H493" s="82"/>
      <c r="I493" s="34"/>
      <c r="J493" s="83"/>
      <c r="K493" s="83"/>
      <c r="L493" s="83"/>
      <c r="M493" s="70"/>
      <c r="N493" s="70"/>
      <c r="O493" s="70"/>
      <c r="P493" s="70"/>
      <c r="Q493" s="70"/>
      <c r="R493" s="70"/>
      <c r="S493" s="70"/>
      <c r="T493" s="70"/>
      <c r="U493" s="70"/>
      <c r="V493" s="70"/>
      <c r="W493" s="70"/>
      <c r="X493" s="70"/>
      <c r="Y493" s="70"/>
      <c r="Z493" s="70"/>
    </row>
    <row r="494">
      <c r="A494" s="78"/>
      <c r="B494" s="78"/>
      <c r="C494" s="80"/>
      <c r="D494" s="80"/>
      <c r="E494" s="82"/>
      <c r="F494" s="82"/>
      <c r="G494" s="82"/>
      <c r="H494" s="82"/>
      <c r="I494" s="34"/>
      <c r="J494" s="83"/>
      <c r="K494" s="83"/>
      <c r="L494" s="83"/>
      <c r="M494" s="70"/>
      <c r="N494" s="70"/>
      <c r="O494" s="70"/>
      <c r="P494" s="70"/>
      <c r="Q494" s="70"/>
      <c r="R494" s="70"/>
      <c r="S494" s="70"/>
      <c r="T494" s="70"/>
      <c r="U494" s="70"/>
      <c r="V494" s="70"/>
      <c r="W494" s="70"/>
      <c r="X494" s="70"/>
      <c r="Y494" s="70"/>
      <c r="Z494" s="70"/>
    </row>
    <row r="495">
      <c r="A495" s="78"/>
      <c r="B495" s="78"/>
      <c r="C495" s="80"/>
      <c r="D495" s="80"/>
      <c r="E495" s="82"/>
      <c r="F495" s="82"/>
      <c r="G495" s="82"/>
      <c r="H495" s="82"/>
      <c r="I495" s="34"/>
      <c r="J495" s="83"/>
      <c r="K495" s="83"/>
      <c r="L495" s="83"/>
      <c r="M495" s="70"/>
      <c r="N495" s="70"/>
      <c r="O495" s="70"/>
      <c r="P495" s="70"/>
      <c r="Q495" s="70"/>
      <c r="R495" s="70"/>
      <c r="S495" s="70"/>
      <c r="T495" s="70"/>
      <c r="U495" s="70"/>
      <c r="V495" s="70"/>
      <c r="W495" s="70"/>
      <c r="X495" s="70"/>
      <c r="Y495" s="70"/>
      <c r="Z495" s="70"/>
    </row>
    <row r="496">
      <c r="A496" s="78"/>
      <c r="B496" s="78"/>
      <c r="C496" s="80"/>
      <c r="D496" s="80"/>
      <c r="E496" s="82"/>
      <c r="F496" s="82"/>
      <c r="G496" s="82"/>
      <c r="H496" s="82"/>
      <c r="I496" s="34"/>
      <c r="J496" s="83"/>
      <c r="K496" s="83"/>
      <c r="L496" s="83"/>
      <c r="M496" s="70"/>
      <c r="N496" s="70"/>
      <c r="O496" s="70"/>
      <c r="P496" s="70"/>
      <c r="Q496" s="70"/>
      <c r="R496" s="70"/>
      <c r="S496" s="70"/>
      <c r="T496" s="70"/>
      <c r="U496" s="70"/>
      <c r="V496" s="70"/>
      <c r="W496" s="70"/>
      <c r="X496" s="70"/>
      <c r="Y496" s="70"/>
      <c r="Z496" s="70"/>
    </row>
    <row r="497">
      <c r="A497" s="78"/>
      <c r="B497" s="78"/>
      <c r="C497" s="80"/>
      <c r="D497" s="80"/>
      <c r="E497" s="82"/>
      <c r="F497" s="82"/>
      <c r="G497" s="82"/>
      <c r="H497" s="82"/>
      <c r="I497" s="34"/>
      <c r="J497" s="83"/>
      <c r="K497" s="83"/>
      <c r="L497" s="83"/>
      <c r="M497" s="70"/>
      <c r="N497" s="70"/>
      <c r="O497" s="70"/>
      <c r="P497" s="70"/>
      <c r="Q497" s="70"/>
      <c r="R497" s="70"/>
      <c r="S497" s="70"/>
      <c r="T497" s="70"/>
      <c r="U497" s="70"/>
      <c r="V497" s="70"/>
      <c r="W497" s="70"/>
      <c r="X497" s="70"/>
      <c r="Y497" s="70"/>
      <c r="Z497" s="70"/>
    </row>
    <row r="498">
      <c r="A498" s="78"/>
      <c r="B498" s="78"/>
      <c r="C498" s="80"/>
      <c r="D498" s="80"/>
      <c r="E498" s="82"/>
      <c r="F498" s="82"/>
      <c r="G498" s="82"/>
      <c r="H498" s="82"/>
      <c r="I498" s="34"/>
      <c r="J498" s="83"/>
      <c r="K498" s="83"/>
      <c r="L498" s="83"/>
      <c r="M498" s="70"/>
      <c r="N498" s="70"/>
      <c r="O498" s="70"/>
      <c r="P498" s="70"/>
      <c r="Q498" s="70"/>
      <c r="R498" s="70"/>
      <c r="S498" s="70"/>
      <c r="T498" s="70"/>
      <c r="U498" s="70"/>
      <c r="V498" s="70"/>
      <c r="W498" s="70"/>
      <c r="X498" s="70"/>
      <c r="Y498" s="70"/>
      <c r="Z498" s="70"/>
    </row>
    <row r="499">
      <c r="A499" s="78"/>
      <c r="B499" s="78"/>
      <c r="C499" s="80"/>
      <c r="D499" s="80"/>
      <c r="E499" s="82"/>
      <c r="F499" s="82"/>
      <c r="G499" s="82"/>
      <c r="H499" s="82"/>
      <c r="I499" s="34"/>
      <c r="J499" s="83"/>
      <c r="K499" s="83"/>
      <c r="L499" s="83"/>
      <c r="M499" s="70"/>
      <c r="N499" s="70"/>
      <c r="O499" s="70"/>
      <c r="P499" s="70"/>
      <c r="Q499" s="70"/>
      <c r="R499" s="70"/>
      <c r="S499" s="70"/>
      <c r="T499" s="70"/>
      <c r="U499" s="70"/>
      <c r="V499" s="70"/>
      <c r="W499" s="70"/>
      <c r="X499" s="70"/>
      <c r="Y499" s="70"/>
      <c r="Z499" s="70"/>
    </row>
    <row r="500">
      <c r="A500" s="78"/>
      <c r="B500" s="78"/>
      <c r="C500" s="80"/>
      <c r="D500" s="80"/>
      <c r="E500" s="82"/>
      <c r="F500" s="82"/>
      <c r="G500" s="82"/>
      <c r="H500" s="82"/>
      <c r="I500" s="34"/>
      <c r="J500" s="83"/>
      <c r="K500" s="83"/>
      <c r="L500" s="83"/>
      <c r="M500" s="70"/>
      <c r="N500" s="70"/>
      <c r="O500" s="70"/>
      <c r="P500" s="70"/>
      <c r="Q500" s="70"/>
      <c r="R500" s="70"/>
      <c r="S500" s="70"/>
      <c r="T500" s="70"/>
      <c r="U500" s="70"/>
      <c r="V500" s="70"/>
      <c r="W500" s="70"/>
      <c r="X500" s="70"/>
      <c r="Y500" s="70"/>
      <c r="Z500" s="70"/>
    </row>
    <row r="501">
      <c r="A501" s="78"/>
      <c r="B501" s="78"/>
      <c r="C501" s="80"/>
      <c r="D501" s="80"/>
      <c r="E501" s="82"/>
      <c r="F501" s="82"/>
      <c r="G501" s="82"/>
      <c r="H501" s="82"/>
      <c r="I501" s="34"/>
      <c r="J501" s="83"/>
      <c r="K501" s="83"/>
      <c r="L501" s="83"/>
      <c r="M501" s="70"/>
      <c r="N501" s="70"/>
      <c r="O501" s="70"/>
      <c r="P501" s="70"/>
      <c r="Q501" s="70"/>
      <c r="R501" s="70"/>
      <c r="S501" s="70"/>
      <c r="T501" s="70"/>
      <c r="U501" s="70"/>
      <c r="V501" s="70"/>
      <c r="W501" s="70"/>
      <c r="X501" s="70"/>
      <c r="Y501" s="70"/>
      <c r="Z501" s="70"/>
    </row>
    <row r="502">
      <c r="A502" s="78"/>
      <c r="B502" s="78"/>
      <c r="C502" s="80"/>
      <c r="D502" s="80"/>
      <c r="E502" s="82"/>
      <c r="F502" s="82"/>
      <c r="G502" s="82"/>
      <c r="H502" s="82"/>
      <c r="I502" s="34"/>
      <c r="J502" s="83"/>
      <c r="K502" s="83"/>
      <c r="L502" s="83"/>
      <c r="M502" s="70"/>
      <c r="N502" s="70"/>
      <c r="O502" s="70"/>
      <c r="P502" s="70"/>
      <c r="Q502" s="70"/>
      <c r="R502" s="70"/>
      <c r="S502" s="70"/>
      <c r="T502" s="70"/>
      <c r="U502" s="70"/>
      <c r="V502" s="70"/>
      <c r="W502" s="70"/>
      <c r="X502" s="70"/>
      <c r="Y502" s="70"/>
      <c r="Z502" s="70"/>
    </row>
    <row r="503">
      <c r="A503" s="78"/>
      <c r="B503" s="78"/>
      <c r="C503" s="80"/>
      <c r="D503" s="80"/>
      <c r="E503" s="82"/>
      <c r="F503" s="82"/>
      <c r="G503" s="82"/>
      <c r="H503" s="82"/>
      <c r="I503" s="34"/>
      <c r="J503" s="83"/>
      <c r="K503" s="83"/>
      <c r="L503" s="83"/>
      <c r="M503" s="70"/>
      <c r="N503" s="70"/>
      <c r="O503" s="70"/>
      <c r="P503" s="70"/>
      <c r="Q503" s="70"/>
      <c r="R503" s="70"/>
      <c r="S503" s="70"/>
      <c r="T503" s="70"/>
      <c r="U503" s="70"/>
      <c r="V503" s="70"/>
      <c r="W503" s="70"/>
      <c r="X503" s="70"/>
      <c r="Y503" s="70"/>
      <c r="Z503" s="70"/>
    </row>
    <row r="504">
      <c r="A504" s="78"/>
      <c r="B504" s="78"/>
      <c r="C504" s="80"/>
      <c r="D504" s="80"/>
      <c r="E504" s="82"/>
      <c r="F504" s="82"/>
      <c r="G504" s="82"/>
      <c r="H504" s="82"/>
      <c r="I504" s="34"/>
      <c r="J504" s="83"/>
      <c r="K504" s="83"/>
      <c r="L504" s="83"/>
      <c r="M504" s="70"/>
      <c r="N504" s="70"/>
      <c r="O504" s="70"/>
      <c r="P504" s="70"/>
      <c r="Q504" s="70"/>
      <c r="R504" s="70"/>
      <c r="S504" s="70"/>
      <c r="T504" s="70"/>
      <c r="U504" s="70"/>
      <c r="V504" s="70"/>
      <c r="W504" s="70"/>
      <c r="X504" s="70"/>
      <c r="Y504" s="70"/>
      <c r="Z504" s="70"/>
    </row>
    <row r="505">
      <c r="A505" s="78"/>
      <c r="B505" s="78"/>
      <c r="C505" s="80"/>
      <c r="D505" s="80"/>
      <c r="E505" s="82"/>
      <c r="F505" s="82"/>
      <c r="G505" s="82"/>
      <c r="H505" s="82"/>
      <c r="I505" s="34"/>
      <c r="J505" s="83"/>
      <c r="K505" s="83"/>
      <c r="L505" s="83"/>
      <c r="M505" s="70"/>
      <c r="N505" s="70"/>
      <c r="O505" s="70"/>
      <c r="P505" s="70"/>
      <c r="Q505" s="70"/>
      <c r="R505" s="70"/>
      <c r="S505" s="70"/>
      <c r="T505" s="70"/>
      <c r="U505" s="70"/>
      <c r="V505" s="70"/>
      <c r="W505" s="70"/>
      <c r="X505" s="70"/>
      <c r="Y505" s="70"/>
      <c r="Z505" s="70"/>
    </row>
    <row r="506">
      <c r="A506" s="78"/>
      <c r="B506" s="78"/>
      <c r="C506" s="80"/>
      <c r="D506" s="80"/>
      <c r="E506" s="82"/>
      <c r="F506" s="82"/>
      <c r="G506" s="82"/>
      <c r="H506" s="82"/>
      <c r="I506" s="34"/>
      <c r="J506" s="83"/>
      <c r="K506" s="83"/>
      <c r="L506" s="83"/>
      <c r="M506" s="70"/>
      <c r="N506" s="70"/>
      <c r="O506" s="70"/>
      <c r="P506" s="70"/>
      <c r="Q506" s="70"/>
      <c r="R506" s="70"/>
      <c r="S506" s="70"/>
      <c r="T506" s="70"/>
      <c r="U506" s="70"/>
      <c r="V506" s="70"/>
      <c r="W506" s="70"/>
      <c r="X506" s="70"/>
      <c r="Y506" s="70"/>
      <c r="Z506" s="70"/>
    </row>
    <row r="507">
      <c r="A507" s="78"/>
      <c r="B507" s="78"/>
      <c r="C507" s="80"/>
      <c r="D507" s="80"/>
      <c r="E507" s="82"/>
      <c r="F507" s="82"/>
      <c r="G507" s="82"/>
      <c r="H507" s="82"/>
      <c r="I507" s="34"/>
      <c r="J507" s="83"/>
      <c r="K507" s="83"/>
      <c r="L507" s="83"/>
      <c r="M507" s="70"/>
      <c r="N507" s="70"/>
      <c r="O507" s="70"/>
      <c r="P507" s="70"/>
      <c r="Q507" s="70"/>
      <c r="R507" s="70"/>
      <c r="S507" s="70"/>
      <c r="T507" s="70"/>
      <c r="U507" s="70"/>
      <c r="V507" s="70"/>
      <c r="W507" s="70"/>
      <c r="X507" s="70"/>
      <c r="Y507" s="70"/>
      <c r="Z507" s="70"/>
    </row>
    <row r="508">
      <c r="A508" s="78"/>
      <c r="B508" s="78"/>
      <c r="C508" s="80"/>
      <c r="D508" s="80"/>
      <c r="E508" s="82"/>
      <c r="F508" s="82"/>
      <c r="G508" s="82"/>
      <c r="H508" s="82"/>
      <c r="I508" s="34"/>
      <c r="J508" s="83"/>
      <c r="K508" s="83"/>
      <c r="L508" s="83"/>
      <c r="M508" s="70"/>
      <c r="N508" s="70"/>
      <c r="O508" s="70"/>
      <c r="P508" s="70"/>
      <c r="Q508" s="70"/>
      <c r="R508" s="70"/>
      <c r="S508" s="70"/>
      <c r="T508" s="70"/>
      <c r="U508" s="70"/>
      <c r="V508" s="70"/>
      <c r="W508" s="70"/>
      <c r="X508" s="70"/>
      <c r="Y508" s="70"/>
      <c r="Z508" s="70"/>
    </row>
    <row r="509">
      <c r="A509" s="78"/>
      <c r="B509" s="78"/>
      <c r="C509" s="80"/>
      <c r="D509" s="80"/>
      <c r="E509" s="82"/>
      <c r="F509" s="82"/>
      <c r="G509" s="82"/>
      <c r="H509" s="82"/>
      <c r="I509" s="34"/>
      <c r="J509" s="83"/>
      <c r="K509" s="83"/>
      <c r="L509" s="83"/>
      <c r="M509" s="70"/>
      <c r="N509" s="70"/>
      <c r="O509" s="70"/>
      <c r="P509" s="70"/>
      <c r="Q509" s="70"/>
      <c r="R509" s="70"/>
      <c r="S509" s="70"/>
      <c r="T509" s="70"/>
      <c r="U509" s="70"/>
      <c r="V509" s="70"/>
      <c r="W509" s="70"/>
      <c r="X509" s="70"/>
      <c r="Y509" s="70"/>
      <c r="Z509" s="70"/>
    </row>
    <row r="510">
      <c r="A510" s="78"/>
      <c r="B510" s="78"/>
      <c r="C510" s="80"/>
      <c r="D510" s="80"/>
      <c r="E510" s="82"/>
      <c r="F510" s="82"/>
      <c r="G510" s="82"/>
      <c r="H510" s="82"/>
      <c r="I510" s="34"/>
      <c r="J510" s="83"/>
      <c r="K510" s="83"/>
      <c r="L510" s="83"/>
      <c r="M510" s="70"/>
      <c r="N510" s="70"/>
      <c r="O510" s="70"/>
      <c r="P510" s="70"/>
      <c r="Q510" s="70"/>
      <c r="R510" s="70"/>
      <c r="S510" s="70"/>
      <c r="T510" s="70"/>
      <c r="U510" s="70"/>
      <c r="V510" s="70"/>
      <c r="W510" s="70"/>
      <c r="X510" s="70"/>
      <c r="Y510" s="70"/>
      <c r="Z510" s="70"/>
    </row>
    <row r="511">
      <c r="A511" s="78"/>
      <c r="B511" s="78"/>
      <c r="C511" s="80"/>
      <c r="D511" s="80"/>
      <c r="E511" s="82"/>
      <c r="F511" s="82"/>
      <c r="G511" s="82"/>
      <c r="H511" s="82"/>
      <c r="I511" s="34"/>
      <c r="J511" s="83"/>
      <c r="K511" s="83"/>
      <c r="L511" s="83"/>
      <c r="M511" s="70"/>
      <c r="N511" s="70"/>
      <c r="O511" s="70"/>
      <c r="P511" s="70"/>
      <c r="Q511" s="70"/>
      <c r="R511" s="70"/>
      <c r="S511" s="70"/>
      <c r="T511" s="70"/>
      <c r="U511" s="70"/>
      <c r="V511" s="70"/>
      <c r="W511" s="70"/>
      <c r="X511" s="70"/>
      <c r="Y511" s="70"/>
      <c r="Z511" s="70"/>
    </row>
    <row r="512">
      <c r="A512" s="78"/>
      <c r="B512" s="78"/>
      <c r="C512" s="80"/>
      <c r="D512" s="80"/>
      <c r="E512" s="82"/>
      <c r="F512" s="82"/>
      <c r="G512" s="82"/>
      <c r="H512" s="82"/>
      <c r="I512" s="34"/>
      <c r="J512" s="83"/>
      <c r="K512" s="83"/>
      <c r="L512" s="83"/>
      <c r="M512" s="70"/>
      <c r="N512" s="70"/>
      <c r="O512" s="70"/>
      <c r="P512" s="70"/>
      <c r="Q512" s="70"/>
      <c r="R512" s="70"/>
      <c r="S512" s="70"/>
      <c r="T512" s="70"/>
      <c r="U512" s="70"/>
      <c r="V512" s="70"/>
      <c r="W512" s="70"/>
      <c r="X512" s="70"/>
      <c r="Y512" s="70"/>
      <c r="Z512" s="70"/>
    </row>
    <row r="513">
      <c r="A513" s="78"/>
      <c r="B513" s="78"/>
      <c r="C513" s="80"/>
      <c r="D513" s="80"/>
      <c r="E513" s="82"/>
      <c r="F513" s="82"/>
      <c r="G513" s="82"/>
      <c r="H513" s="82"/>
      <c r="I513" s="34"/>
      <c r="J513" s="83"/>
      <c r="K513" s="83"/>
      <c r="L513" s="83"/>
      <c r="M513" s="70"/>
      <c r="N513" s="70"/>
      <c r="O513" s="70"/>
      <c r="P513" s="70"/>
      <c r="Q513" s="70"/>
      <c r="R513" s="70"/>
      <c r="S513" s="70"/>
      <c r="T513" s="70"/>
      <c r="U513" s="70"/>
      <c r="V513" s="70"/>
      <c r="W513" s="70"/>
      <c r="X513" s="70"/>
      <c r="Y513" s="70"/>
      <c r="Z513" s="70"/>
    </row>
    <row r="514">
      <c r="A514" s="78"/>
      <c r="B514" s="78"/>
      <c r="C514" s="80"/>
      <c r="D514" s="80"/>
      <c r="E514" s="82"/>
      <c r="F514" s="82"/>
      <c r="G514" s="82"/>
      <c r="H514" s="82"/>
      <c r="I514" s="34"/>
      <c r="J514" s="83"/>
      <c r="K514" s="83"/>
      <c r="L514" s="83"/>
      <c r="M514" s="70"/>
      <c r="N514" s="70"/>
      <c r="O514" s="70"/>
      <c r="P514" s="70"/>
      <c r="Q514" s="70"/>
      <c r="R514" s="70"/>
      <c r="S514" s="70"/>
      <c r="T514" s="70"/>
      <c r="U514" s="70"/>
      <c r="V514" s="70"/>
      <c r="W514" s="70"/>
      <c r="X514" s="70"/>
      <c r="Y514" s="70"/>
      <c r="Z514" s="70"/>
    </row>
    <row r="515">
      <c r="A515" s="78"/>
      <c r="B515" s="78"/>
      <c r="C515" s="80"/>
      <c r="D515" s="80"/>
      <c r="E515" s="82"/>
      <c r="F515" s="82"/>
      <c r="G515" s="82"/>
      <c r="H515" s="82"/>
      <c r="I515" s="34"/>
      <c r="J515" s="83"/>
      <c r="K515" s="83"/>
      <c r="L515" s="83"/>
      <c r="M515" s="70"/>
      <c r="N515" s="70"/>
      <c r="O515" s="70"/>
      <c r="P515" s="70"/>
      <c r="Q515" s="70"/>
      <c r="R515" s="70"/>
      <c r="S515" s="70"/>
      <c r="T515" s="70"/>
      <c r="U515" s="70"/>
      <c r="V515" s="70"/>
      <c r="W515" s="70"/>
      <c r="X515" s="70"/>
      <c r="Y515" s="70"/>
      <c r="Z515" s="70"/>
    </row>
    <row r="516">
      <c r="A516" s="78"/>
      <c r="B516" s="78"/>
      <c r="C516" s="80"/>
      <c r="D516" s="80"/>
      <c r="E516" s="82"/>
      <c r="F516" s="82"/>
      <c r="G516" s="82"/>
      <c r="H516" s="82"/>
      <c r="I516" s="34"/>
      <c r="J516" s="83"/>
      <c r="K516" s="83"/>
      <c r="L516" s="83"/>
      <c r="M516" s="70"/>
      <c r="N516" s="70"/>
      <c r="O516" s="70"/>
      <c r="P516" s="70"/>
      <c r="Q516" s="70"/>
      <c r="R516" s="70"/>
      <c r="S516" s="70"/>
      <c r="T516" s="70"/>
      <c r="U516" s="70"/>
      <c r="V516" s="70"/>
      <c r="W516" s="70"/>
      <c r="X516" s="70"/>
      <c r="Y516" s="70"/>
      <c r="Z516" s="70"/>
    </row>
    <row r="517">
      <c r="A517" s="78"/>
      <c r="B517" s="78"/>
      <c r="C517" s="80"/>
      <c r="D517" s="80"/>
      <c r="E517" s="82"/>
      <c r="F517" s="82"/>
      <c r="G517" s="82"/>
      <c r="H517" s="82"/>
      <c r="I517" s="34"/>
      <c r="J517" s="83"/>
      <c r="K517" s="83"/>
      <c r="L517" s="83"/>
      <c r="M517" s="70"/>
      <c r="N517" s="70"/>
      <c r="O517" s="70"/>
      <c r="P517" s="70"/>
      <c r="Q517" s="70"/>
      <c r="R517" s="70"/>
      <c r="S517" s="70"/>
      <c r="T517" s="70"/>
      <c r="U517" s="70"/>
      <c r="V517" s="70"/>
      <c r="W517" s="70"/>
      <c r="X517" s="70"/>
      <c r="Y517" s="70"/>
      <c r="Z517" s="70"/>
    </row>
    <row r="518">
      <c r="A518" s="78"/>
      <c r="B518" s="78"/>
      <c r="C518" s="80"/>
      <c r="D518" s="80"/>
      <c r="E518" s="82"/>
      <c r="F518" s="82"/>
      <c r="G518" s="82"/>
      <c r="H518" s="82"/>
      <c r="I518" s="34"/>
      <c r="J518" s="83"/>
      <c r="K518" s="83"/>
      <c r="L518" s="83"/>
      <c r="M518" s="70"/>
      <c r="N518" s="70"/>
      <c r="O518" s="70"/>
      <c r="P518" s="70"/>
      <c r="Q518" s="70"/>
      <c r="R518" s="70"/>
      <c r="S518" s="70"/>
      <c r="T518" s="70"/>
      <c r="U518" s="70"/>
      <c r="V518" s="70"/>
      <c r="W518" s="70"/>
      <c r="X518" s="70"/>
      <c r="Y518" s="70"/>
      <c r="Z518" s="70"/>
    </row>
    <row r="519">
      <c r="A519" s="78"/>
      <c r="B519" s="78"/>
      <c r="C519" s="80"/>
      <c r="D519" s="80"/>
      <c r="E519" s="82"/>
      <c r="F519" s="82"/>
      <c r="G519" s="82"/>
      <c r="H519" s="82"/>
      <c r="I519" s="34"/>
      <c r="J519" s="83"/>
      <c r="K519" s="83"/>
      <c r="L519" s="83"/>
      <c r="M519" s="70"/>
      <c r="N519" s="70"/>
      <c r="O519" s="70"/>
      <c r="P519" s="70"/>
      <c r="Q519" s="70"/>
      <c r="R519" s="70"/>
      <c r="S519" s="70"/>
      <c r="T519" s="70"/>
      <c r="U519" s="70"/>
      <c r="V519" s="70"/>
      <c r="W519" s="70"/>
      <c r="X519" s="70"/>
      <c r="Y519" s="70"/>
      <c r="Z519" s="70"/>
    </row>
    <row r="520">
      <c r="A520" s="78"/>
      <c r="B520" s="78"/>
      <c r="C520" s="80"/>
      <c r="D520" s="80"/>
      <c r="E520" s="82"/>
      <c r="F520" s="82"/>
      <c r="G520" s="82"/>
      <c r="H520" s="82"/>
      <c r="I520" s="34"/>
      <c r="J520" s="83"/>
      <c r="K520" s="83"/>
      <c r="L520" s="83"/>
      <c r="M520" s="70"/>
      <c r="N520" s="70"/>
      <c r="O520" s="70"/>
      <c r="P520" s="70"/>
      <c r="Q520" s="70"/>
      <c r="R520" s="70"/>
      <c r="S520" s="70"/>
      <c r="T520" s="70"/>
      <c r="U520" s="70"/>
      <c r="V520" s="70"/>
      <c r="W520" s="70"/>
      <c r="X520" s="70"/>
      <c r="Y520" s="70"/>
      <c r="Z520" s="70"/>
    </row>
    <row r="521">
      <c r="A521" s="78"/>
      <c r="B521" s="78"/>
      <c r="C521" s="80"/>
      <c r="D521" s="80"/>
      <c r="E521" s="82"/>
      <c r="F521" s="82"/>
      <c r="G521" s="82"/>
      <c r="H521" s="82"/>
      <c r="I521" s="34"/>
      <c r="J521" s="83"/>
      <c r="K521" s="83"/>
      <c r="L521" s="83"/>
      <c r="M521" s="70"/>
      <c r="N521" s="70"/>
      <c r="O521" s="70"/>
      <c r="P521" s="70"/>
      <c r="Q521" s="70"/>
      <c r="R521" s="70"/>
      <c r="S521" s="70"/>
      <c r="T521" s="70"/>
      <c r="U521" s="70"/>
      <c r="V521" s="70"/>
      <c r="W521" s="70"/>
      <c r="X521" s="70"/>
      <c r="Y521" s="70"/>
      <c r="Z521" s="70"/>
    </row>
    <row r="522">
      <c r="A522" s="78"/>
      <c r="B522" s="78"/>
      <c r="C522" s="80"/>
      <c r="D522" s="80"/>
      <c r="E522" s="82"/>
      <c r="F522" s="82"/>
      <c r="G522" s="82"/>
      <c r="H522" s="82"/>
      <c r="I522" s="34"/>
      <c r="J522" s="83"/>
      <c r="K522" s="83"/>
      <c r="L522" s="83"/>
      <c r="M522" s="70"/>
      <c r="N522" s="70"/>
      <c r="O522" s="70"/>
      <c r="P522" s="70"/>
      <c r="Q522" s="70"/>
      <c r="R522" s="70"/>
      <c r="S522" s="70"/>
      <c r="T522" s="70"/>
      <c r="U522" s="70"/>
      <c r="V522" s="70"/>
      <c r="W522" s="70"/>
      <c r="X522" s="70"/>
      <c r="Y522" s="70"/>
      <c r="Z522" s="70"/>
    </row>
    <row r="523">
      <c r="A523" s="78"/>
      <c r="B523" s="78"/>
      <c r="C523" s="80"/>
      <c r="D523" s="80"/>
      <c r="E523" s="82"/>
      <c r="F523" s="82"/>
      <c r="G523" s="82"/>
      <c r="H523" s="82"/>
      <c r="I523" s="34"/>
      <c r="J523" s="83"/>
      <c r="K523" s="83"/>
      <c r="L523" s="83"/>
      <c r="M523" s="70"/>
      <c r="N523" s="70"/>
      <c r="O523" s="70"/>
      <c r="P523" s="70"/>
      <c r="Q523" s="70"/>
      <c r="R523" s="70"/>
      <c r="S523" s="70"/>
      <c r="T523" s="70"/>
      <c r="U523" s="70"/>
      <c r="V523" s="70"/>
      <c r="W523" s="70"/>
      <c r="X523" s="70"/>
      <c r="Y523" s="70"/>
      <c r="Z523" s="70"/>
    </row>
    <row r="524">
      <c r="A524" s="78"/>
      <c r="B524" s="78"/>
      <c r="C524" s="80"/>
      <c r="D524" s="80"/>
      <c r="E524" s="82"/>
      <c r="F524" s="82"/>
      <c r="G524" s="82"/>
      <c r="H524" s="82"/>
      <c r="I524" s="34"/>
      <c r="J524" s="83"/>
      <c r="K524" s="83"/>
      <c r="L524" s="83"/>
      <c r="M524" s="70"/>
      <c r="N524" s="70"/>
      <c r="O524" s="70"/>
      <c r="P524" s="70"/>
      <c r="Q524" s="70"/>
      <c r="R524" s="70"/>
      <c r="S524" s="70"/>
      <c r="T524" s="70"/>
      <c r="U524" s="70"/>
      <c r="V524" s="70"/>
      <c r="W524" s="70"/>
      <c r="X524" s="70"/>
      <c r="Y524" s="70"/>
      <c r="Z524" s="70"/>
    </row>
    <row r="525">
      <c r="A525" s="78"/>
      <c r="B525" s="78"/>
      <c r="C525" s="80"/>
      <c r="D525" s="80"/>
      <c r="E525" s="82"/>
      <c r="F525" s="82"/>
      <c r="G525" s="82"/>
      <c r="H525" s="82"/>
      <c r="I525" s="34"/>
      <c r="J525" s="83"/>
      <c r="K525" s="83"/>
      <c r="L525" s="83"/>
      <c r="M525" s="70"/>
      <c r="N525" s="70"/>
      <c r="O525" s="70"/>
      <c r="P525" s="70"/>
      <c r="Q525" s="70"/>
      <c r="R525" s="70"/>
      <c r="S525" s="70"/>
      <c r="T525" s="70"/>
      <c r="U525" s="70"/>
      <c r="V525" s="70"/>
      <c r="W525" s="70"/>
      <c r="X525" s="70"/>
      <c r="Y525" s="70"/>
      <c r="Z525" s="70"/>
    </row>
    <row r="526">
      <c r="A526" s="78"/>
      <c r="B526" s="78"/>
      <c r="C526" s="80"/>
      <c r="D526" s="80"/>
      <c r="E526" s="82"/>
      <c r="F526" s="82"/>
      <c r="G526" s="82"/>
      <c r="H526" s="82"/>
      <c r="I526" s="34"/>
      <c r="J526" s="83"/>
      <c r="K526" s="83"/>
      <c r="L526" s="83"/>
      <c r="M526" s="70"/>
      <c r="N526" s="70"/>
      <c r="O526" s="70"/>
      <c r="P526" s="70"/>
      <c r="Q526" s="70"/>
      <c r="R526" s="70"/>
      <c r="S526" s="70"/>
      <c r="T526" s="70"/>
      <c r="U526" s="70"/>
      <c r="V526" s="70"/>
      <c r="W526" s="70"/>
      <c r="X526" s="70"/>
      <c r="Y526" s="70"/>
      <c r="Z526" s="70"/>
    </row>
    <row r="527">
      <c r="A527" s="78"/>
      <c r="B527" s="78"/>
      <c r="C527" s="80"/>
      <c r="D527" s="80"/>
      <c r="E527" s="82"/>
      <c r="F527" s="82"/>
      <c r="G527" s="82"/>
      <c r="H527" s="82"/>
      <c r="I527" s="34"/>
      <c r="J527" s="83"/>
      <c r="K527" s="83"/>
      <c r="L527" s="83"/>
      <c r="M527" s="70"/>
      <c r="N527" s="70"/>
      <c r="O527" s="70"/>
      <c r="P527" s="70"/>
      <c r="Q527" s="70"/>
      <c r="R527" s="70"/>
      <c r="S527" s="70"/>
      <c r="T527" s="70"/>
      <c r="U527" s="70"/>
      <c r="V527" s="70"/>
      <c r="W527" s="70"/>
      <c r="X527" s="70"/>
      <c r="Y527" s="70"/>
      <c r="Z527" s="70"/>
    </row>
    <row r="528">
      <c r="A528" s="78"/>
      <c r="B528" s="78"/>
      <c r="C528" s="80"/>
      <c r="D528" s="80"/>
      <c r="E528" s="82"/>
      <c r="F528" s="82"/>
      <c r="G528" s="82"/>
      <c r="H528" s="82"/>
      <c r="I528" s="34"/>
      <c r="J528" s="83"/>
      <c r="K528" s="83"/>
      <c r="L528" s="83"/>
      <c r="M528" s="70"/>
      <c r="N528" s="70"/>
      <c r="O528" s="70"/>
      <c r="P528" s="70"/>
      <c r="Q528" s="70"/>
      <c r="R528" s="70"/>
      <c r="S528" s="70"/>
      <c r="T528" s="70"/>
      <c r="U528" s="70"/>
      <c r="V528" s="70"/>
      <c r="W528" s="70"/>
      <c r="X528" s="70"/>
      <c r="Y528" s="70"/>
      <c r="Z528" s="70"/>
    </row>
    <row r="529">
      <c r="A529" s="78"/>
      <c r="B529" s="78"/>
      <c r="C529" s="80"/>
      <c r="D529" s="80"/>
      <c r="E529" s="82"/>
      <c r="F529" s="82"/>
      <c r="G529" s="82"/>
      <c r="H529" s="82"/>
      <c r="I529" s="34"/>
      <c r="J529" s="83"/>
      <c r="K529" s="83"/>
      <c r="L529" s="83"/>
      <c r="M529" s="70"/>
      <c r="N529" s="70"/>
      <c r="O529" s="70"/>
      <c r="P529" s="70"/>
      <c r="Q529" s="70"/>
      <c r="R529" s="70"/>
      <c r="S529" s="70"/>
      <c r="T529" s="70"/>
      <c r="U529" s="70"/>
      <c r="V529" s="70"/>
      <c r="W529" s="70"/>
      <c r="X529" s="70"/>
      <c r="Y529" s="70"/>
      <c r="Z529" s="70"/>
    </row>
    <row r="530">
      <c r="A530" s="78"/>
      <c r="B530" s="78"/>
      <c r="C530" s="80"/>
      <c r="D530" s="80"/>
      <c r="E530" s="82"/>
      <c r="F530" s="82"/>
      <c r="G530" s="82"/>
      <c r="H530" s="82"/>
      <c r="I530" s="34"/>
      <c r="J530" s="83"/>
      <c r="K530" s="83"/>
      <c r="L530" s="83"/>
      <c r="M530" s="70"/>
      <c r="N530" s="70"/>
      <c r="O530" s="70"/>
      <c r="P530" s="70"/>
      <c r="Q530" s="70"/>
      <c r="R530" s="70"/>
      <c r="S530" s="70"/>
      <c r="T530" s="70"/>
      <c r="U530" s="70"/>
      <c r="V530" s="70"/>
      <c r="W530" s="70"/>
      <c r="X530" s="70"/>
      <c r="Y530" s="70"/>
      <c r="Z530" s="70"/>
    </row>
    <row r="531">
      <c r="A531" s="78"/>
      <c r="B531" s="78"/>
      <c r="C531" s="80"/>
      <c r="D531" s="80"/>
      <c r="E531" s="82"/>
      <c r="F531" s="82"/>
      <c r="G531" s="82"/>
      <c r="H531" s="82"/>
      <c r="I531" s="34"/>
      <c r="J531" s="83"/>
      <c r="K531" s="83"/>
      <c r="L531" s="83"/>
      <c r="M531" s="70"/>
      <c r="N531" s="70"/>
      <c r="O531" s="70"/>
      <c r="P531" s="70"/>
      <c r="Q531" s="70"/>
      <c r="R531" s="70"/>
      <c r="S531" s="70"/>
      <c r="T531" s="70"/>
      <c r="U531" s="70"/>
      <c r="V531" s="70"/>
      <c r="W531" s="70"/>
      <c r="X531" s="70"/>
      <c r="Y531" s="70"/>
      <c r="Z531" s="70"/>
    </row>
    <row r="532">
      <c r="A532" s="78"/>
      <c r="B532" s="78"/>
      <c r="C532" s="80"/>
      <c r="D532" s="80"/>
      <c r="E532" s="82"/>
      <c r="F532" s="82"/>
      <c r="G532" s="82"/>
      <c r="H532" s="82"/>
      <c r="I532" s="34"/>
      <c r="J532" s="83"/>
      <c r="K532" s="83"/>
      <c r="L532" s="83"/>
      <c r="M532" s="70"/>
      <c r="N532" s="70"/>
      <c r="O532" s="70"/>
      <c r="P532" s="70"/>
      <c r="Q532" s="70"/>
      <c r="R532" s="70"/>
      <c r="S532" s="70"/>
      <c r="T532" s="70"/>
      <c r="U532" s="70"/>
      <c r="V532" s="70"/>
      <c r="W532" s="70"/>
      <c r="X532" s="70"/>
      <c r="Y532" s="70"/>
      <c r="Z532" s="70"/>
    </row>
    <row r="533">
      <c r="A533" s="78"/>
      <c r="B533" s="78"/>
      <c r="C533" s="80"/>
      <c r="D533" s="80"/>
      <c r="E533" s="82"/>
      <c r="F533" s="82"/>
      <c r="G533" s="82"/>
      <c r="H533" s="82"/>
      <c r="I533" s="34"/>
      <c r="J533" s="83"/>
      <c r="K533" s="83"/>
      <c r="L533" s="83"/>
      <c r="M533" s="70"/>
      <c r="N533" s="70"/>
      <c r="O533" s="70"/>
      <c r="P533" s="70"/>
      <c r="Q533" s="70"/>
      <c r="R533" s="70"/>
      <c r="S533" s="70"/>
      <c r="T533" s="70"/>
      <c r="U533" s="70"/>
      <c r="V533" s="70"/>
      <c r="W533" s="70"/>
      <c r="X533" s="70"/>
      <c r="Y533" s="70"/>
      <c r="Z533" s="70"/>
    </row>
    <row r="534">
      <c r="A534" s="78"/>
      <c r="B534" s="78"/>
      <c r="C534" s="80"/>
      <c r="D534" s="80"/>
      <c r="E534" s="82"/>
      <c r="F534" s="82"/>
      <c r="G534" s="82"/>
      <c r="H534" s="82"/>
      <c r="I534" s="34"/>
      <c r="J534" s="83"/>
      <c r="K534" s="83"/>
      <c r="L534" s="83"/>
      <c r="M534" s="70"/>
      <c r="N534" s="70"/>
      <c r="O534" s="70"/>
      <c r="P534" s="70"/>
      <c r="Q534" s="70"/>
      <c r="R534" s="70"/>
      <c r="S534" s="70"/>
      <c r="T534" s="70"/>
      <c r="U534" s="70"/>
      <c r="V534" s="70"/>
      <c r="W534" s="70"/>
      <c r="X534" s="70"/>
      <c r="Y534" s="70"/>
      <c r="Z534" s="70"/>
    </row>
    <row r="535">
      <c r="A535" s="78"/>
      <c r="B535" s="78"/>
      <c r="C535" s="80"/>
      <c r="D535" s="80"/>
      <c r="E535" s="82"/>
      <c r="F535" s="82"/>
      <c r="G535" s="82"/>
      <c r="H535" s="82"/>
      <c r="I535" s="34"/>
      <c r="J535" s="83"/>
      <c r="K535" s="83"/>
      <c r="L535" s="83"/>
      <c r="M535" s="70"/>
      <c r="N535" s="70"/>
      <c r="O535" s="70"/>
      <c r="P535" s="70"/>
      <c r="Q535" s="70"/>
      <c r="R535" s="70"/>
      <c r="S535" s="70"/>
      <c r="T535" s="70"/>
      <c r="U535" s="70"/>
      <c r="V535" s="70"/>
      <c r="W535" s="70"/>
      <c r="X535" s="70"/>
      <c r="Y535" s="70"/>
      <c r="Z535" s="70"/>
    </row>
    <row r="536">
      <c r="A536" s="78"/>
      <c r="B536" s="78"/>
      <c r="C536" s="80"/>
      <c r="D536" s="80"/>
      <c r="E536" s="82"/>
      <c r="F536" s="82"/>
      <c r="G536" s="82"/>
      <c r="H536" s="82"/>
      <c r="I536" s="34"/>
      <c r="J536" s="83"/>
      <c r="K536" s="83"/>
      <c r="L536" s="83"/>
      <c r="M536" s="70"/>
      <c r="N536" s="70"/>
      <c r="O536" s="70"/>
      <c r="P536" s="70"/>
      <c r="Q536" s="70"/>
      <c r="R536" s="70"/>
      <c r="S536" s="70"/>
      <c r="T536" s="70"/>
      <c r="U536" s="70"/>
      <c r="V536" s="70"/>
      <c r="W536" s="70"/>
      <c r="X536" s="70"/>
      <c r="Y536" s="70"/>
      <c r="Z536" s="70"/>
    </row>
    <row r="537">
      <c r="A537" s="78"/>
      <c r="B537" s="78"/>
      <c r="C537" s="80"/>
      <c r="D537" s="80"/>
      <c r="E537" s="82"/>
      <c r="F537" s="82"/>
      <c r="G537" s="82"/>
      <c r="H537" s="82"/>
      <c r="I537" s="34"/>
      <c r="J537" s="83"/>
      <c r="K537" s="83"/>
      <c r="L537" s="83"/>
      <c r="M537" s="70"/>
      <c r="N537" s="70"/>
      <c r="O537" s="70"/>
      <c r="P537" s="70"/>
      <c r="Q537" s="70"/>
      <c r="R537" s="70"/>
      <c r="S537" s="70"/>
      <c r="T537" s="70"/>
      <c r="U537" s="70"/>
      <c r="V537" s="70"/>
      <c r="W537" s="70"/>
      <c r="X537" s="70"/>
      <c r="Y537" s="70"/>
      <c r="Z537" s="70"/>
    </row>
    <row r="538">
      <c r="A538" s="78"/>
      <c r="B538" s="78"/>
      <c r="C538" s="80"/>
      <c r="D538" s="80"/>
      <c r="E538" s="82"/>
      <c r="F538" s="82"/>
      <c r="G538" s="82"/>
      <c r="H538" s="82"/>
      <c r="I538" s="34"/>
      <c r="J538" s="83"/>
      <c r="K538" s="83"/>
      <c r="L538" s="83"/>
      <c r="M538" s="70"/>
      <c r="N538" s="70"/>
      <c r="O538" s="70"/>
      <c r="P538" s="70"/>
      <c r="Q538" s="70"/>
      <c r="R538" s="70"/>
      <c r="S538" s="70"/>
      <c r="T538" s="70"/>
      <c r="U538" s="70"/>
      <c r="V538" s="70"/>
      <c r="W538" s="70"/>
      <c r="X538" s="70"/>
      <c r="Y538" s="70"/>
      <c r="Z538" s="70"/>
    </row>
    <row r="539">
      <c r="A539" s="78"/>
      <c r="B539" s="78"/>
      <c r="C539" s="80"/>
      <c r="D539" s="80"/>
      <c r="E539" s="82"/>
      <c r="F539" s="82"/>
      <c r="G539" s="82"/>
      <c r="H539" s="82"/>
      <c r="I539" s="34"/>
      <c r="J539" s="83"/>
      <c r="K539" s="83"/>
      <c r="L539" s="83"/>
      <c r="M539" s="70"/>
      <c r="N539" s="70"/>
      <c r="O539" s="70"/>
      <c r="P539" s="70"/>
      <c r="Q539" s="70"/>
      <c r="R539" s="70"/>
      <c r="S539" s="70"/>
      <c r="T539" s="70"/>
      <c r="U539" s="70"/>
      <c r="V539" s="70"/>
      <c r="W539" s="70"/>
      <c r="X539" s="70"/>
      <c r="Y539" s="70"/>
      <c r="Z539" s="70"/>
    </row>
    <row r="540">
      <c r="A540" s="78"/>
      <c r="B540" s="78"/>
      <c r="C540" s="80"/>
      <c r="D540" s="80"/>
      <c r="E540" s="82"/>
      <c r="F540" s="82"/>
      <c r="G540" s="82"/>
      <c r="H540" s="82"/>
      <c r="I540" s="34"/>
      <c r="J540" s="83"/>
      <c r="K540" s="83"/>
      <c r="L540" s="83"/>
      <c r="M540" s="70"/>
      <c r="N540" s="70"/>
      <c r="O540" s="70"/>
      <c r="P540" s="70"/>
      <c r="Q540" s="70"/>
      <c r="R540" s="70"/>
      <c r="S540" s="70"/>
      <c r="T540" s="70"/>
      <c r="U540" s="70"/>
      <c r="V540" s="70"/>
      <c r="W540" s="70"/>
      <c r="X540" s="70"/>
      <c r="Y540" s="70"/>
      <c r="Z540" s="70"/>
    </row>
    <row r="541">
      <c r="A541" s="78"/>
      <c r="B541" s="78"/>
      <c r="C541" s="80"/>
      <c r="D541" s="80"/>
      <c r="E541" s="82"/>
      <c r="F541" s="82"/>
      <c r="G541" s="82"/>
      <c r="H541" s="82"/>
      <c r="I541" s="34"/>
      <c r="J541" s="83"/>
      <c r="K541" s="83"/>
      <c r="L541" s="83"/>
      <c r="M541" s="70"/>
      <c r="N541" s="70"/>
      <c r="O541" s="70"/>
      <c r="P541" s="70"/>
      <c r="Q541" s="70"/>
      <c r="R541" s="70"/>
      <c r="S541" s="70"/>
      <c r="T541" s="70"/>
      <c r="U541" s="70"/>
      <c r="V541" s="70"/>
      <c r="W541" s="70"/>
      <c r="X541" s="70"/>
      <c r="Y541" s="70"/>
      <c r="Z541" s="70"/>
    </row>
    <row r="542">
      <c r="A542" s="78"/>
      <c r="B542" s="78"/>
      <c r="C542" s="80"/>
      <c r="D542" s="80"/>
      <c r="E542" s="82"/>
      <c r="F542" s="82"/>
      <c r="G542" s="82"/>
      <c r="H542" s="82"/>
      <c r="I542" s="34"/>
      <c r="J542" s="83"/>
      <c r="K542" s="83"/>
      <c r="L542" s="83"/>
      <c r="M542" s="70"/>
      <c r="N542" s="70"/>
      <c r="O542" s="70"/>
      <c r="P542" s="70"/>
      <c r="Q542" s="70"/>
      <c r="R542" s="70"/>
      <c r="S542" s="70"/>
      <c r="T542" s="70"/>
      <c r="U542" s="70"/>
      <c r="V542" s="70"/>
      <c r="W542" s="70"/>
      <c r="X542" s="70"/>
      <c r="Y542" s="70"/>
      <c r="Z542" s="70"/>
    </row>
    <row r="543">
      <c r="A543" s="78"/>
      <c r="B543" s="78"/>
      <c r="C543" s="80"/>
      <c r="D543" s="80"/>
      <c r="E543" s="82"/>
      <c r="F543" s="82"/>
      <c r="G543" s="82"/>
      <c r="H543" s="82"/>
      <c r="I543" s="34"/>
      <c r="J543" s="83"/>
      <c r="K543" s="83"/>
      <c r="L543" s="83"/>
      <c r="M543" s="70"/>
      <c r="N543" s="70"/>
      <c r="O543" s="70"/>
      <c r="P543" s="70"/>
      <c r="Q543" s="70"/>
      <c r="R543" s="70"/>
      <c r="S543" s="70"/>
      <c r="T543" s="70"/>
      <c r="U543" s="70"/>
      <c r="V543" s="70"/>
      <c r="W543" s="70"/>
      <c r="X543" s="70"/>
      <c r="Y543" s="70"/>
      <c r="Z543" s="70"/>
    </row>
    <row r="544">
      <c r="A544" s="78"/>
      <c r="B544" s="78"/>
      <c r="C544" s="80"/>
      <c r="D544" s="80"/>
      <c r="E544" s="82"/>
      <c r="F544" s="82"/>
      <c r="G544" s="82"/>
      <c r="H544" s="82"/>
      <c r="I544" s="34"/>
      <c r="J544" s="83"/>
      <c r="K544" s="83"/>
      <c r="L544" s="83"/>
      <c r="M544" s="70"/>
      <c r="N544" s="70"/>
      <c r="O544" s="70"/>
      <c r="P544" s="70"/>
      <c r="Q544" s="70"/>
      <c r="R544" s="70"/>
      <c r="S544" s="70"/>
      <c r="T544" s="70"/>
      <c r="U544" s="70"/>
      <c r="V544" s="70"/>
      <c r="W544" s="70"/>
      <c r="X544" s="70"/>
      <c r="Y544" s="70"/>
      <c r="Z544" s="70"/>
    </row>
    <row r="545">
      <c r="A545" s="78"/>
      <c r="B545" s="78"/>
      <c r="C545" s="80"/>
      <c r="D545" s="80"/>
      <c r="E545" s="82"/>
      <c r="F545" s="82"/>
      <c r="G545" s="82"/>
      <c r="H545" s="82"/>
      <c r="I545" s="34"/>
      <c r="J545" s="83"/>
      <c r="K545" s="83"/>
      <c r="L545" s="83"/>
      <c r="M545" s="70"/>
      <c r="N545" s="70"/>
      <c r="O545" s="70"/>
      <c r="P545" s="70"/>
      <c r="Q545" s="70"/>
      <c r="R545" s="70"/>
      <c r="S545" s="70"/>
      <c r="T545" s="70"/>
      <c r="U545" s="70"/>
      <c r="V545" s="70"/>
      <c r="W545" s="70"/>
      <c r="X545" s="70"/>
      <c r="Y545" s="70"/>
      <c r="Z545" s="70"/>
    </row>
    <row r="546">
      <c r="A546" s="78"/>
      <c r="B546" s="78"/>
      <c r="C546" s="80"/>
      <c r="D546" s="80"/>
      <c r="E546" s="82"/>
      <c r="F546" s="82"/>
      <c r="G546" s="82"/>
      <c r="H546" s="82"/>
      <c r="I546" s="34"/>
      <c r="J546" s="83"/>
      <c r="K546" s="83"/>
      <c r="L546" s="83"/>
      <c r="M546" s="70"/>
      <c r="N546" s="70"/>
      <c r="O546" s="70"/>
      <c r="P546" s="70"/>
      <c r="Q546" s="70"/>
      <c r="R546" s="70"/>
      <c r="S546" s="70"/>
      <c r="T546" s="70"/>
      <c r="U546" s="70"/>
      <c r="V546" s="70"/>
      <c r="W546" s="70"/>
      <c r="X546" s="70"/>
      <c r="Y546" s="70"/>
      <c r="Z546" s="70"/>
    </row>
    <row r="547">
      <c r="A547" s="78"/>
      <c r="B547" s="78"/>
      <c r="C547" s="80"/>
      <c r="D547" s="80"/>
      <c r="E547" s="82"/>
      <c r="F547" s="82"/>
      <c r="G547" s="82"/>
      <c r="H547" s="82"/>
      <c r="I547" s="34"/>
      <c r="J547" s="83"/>
      <c r="K547" s="83"/>
      <c r="L547" s="83"/>
      <c r="M547" s="70"/>
      <c r="N547" s="70"/>
      <c r="O547" s="70"/>
      <c r="P547" s="70"/>
      <c r="Q547" s="70"/>
      <c r="R547" s="70"/>
      <c r="S547" s="70"/>
      <c r="T547" s="70"/>
      <c r="U547" s="70"/>
      <c r="V547" s="70"/>
      <c r="W547" s="70"/>
      <c r="X547" s="70"/>
      <c r="Y547" s="70"/>
      <c r="Z547" s="70"/>
    </row>
    <row r="548">
      <c r="A548" s="78"/>
      <c r="B548" s="78"/>
      <c r="C548" s="80"/>
      <c r="D548" s="80"/>
      <c r="E548" s="82"/>
      <c r="F548" s="82"/>
      <c r="G548" s="82"/>
      <c r="H548" s="82"/>
      <c r="I548" s="34"/>
      <c r="J548" s="83"/>
      <c r="K548" s="83"/>
      <c r="L548" s="83"/>
      <c r="M548" s="70"/>
      <c r="N548" s="70"/>
      <c r="O548" s="70"/>
      <c r="P548" s="70"/>
      <c r="Q548" s="70"/>
      <c r="R548" s="70"/>
      <c r="S548" s="70"/>
      <c r="T548" s="70"/>
      <c r="U548" s="70"/>
      <c r="V548" s="70"/>
      <c r="W548" s="70"/>
      <c r="X548" s="70"/>
      <c r="Y548" s="70"/>
      <c r="Z548" s="70"/>
    </row>
    <row r="549">
      <c r="A549" s="78"/>
      <c r="B549" s="78"/>
      <c r="C549" s="80"/>
      <c r="D549" s="80"/>
      <c r="E549" s="82"/>
      <c r="F549" s="82"/>
      <c r="G549" s="82"/>
      <c r="H549" s="82"/>
      <c r="I549" s="34"/>
      <c r="J549" s="83"/>
      <c r="K549" s="83"/>
      <c r="L549" s="83"/>
      <c r="M549" s="70"/>
      <c r="N549" s="70"/>
      <c r="O549" s="70"/>
      <c r="P549" s="70"/>
      <c r="Q549" s="70"/>
      <c r="R549" s="70"/>
      <c r="S549" s="70"/>
      <c r="T549" s="70"/>
      <c r="U549" s="70"/>
      <c r="V549" s="70"/>
      <c r="W549" s="70"/>
      <c r="X549" s="70"/>
      <c r="Y549" s="70"/>
      <c r="Z549" s="70"/>
    </row>
    <row r="550">
      <c r="A550" s="78"/>
      <c r="B550" s="78"/>
      <c r="C550" s="80"/>
      <c r="D550" s="80"/>
      <c r="E550" s="82"/>
      <c r="F550" s="82"/>
      <c r="G550" s="82"/>
      <c r="H550" s="82"/>
      <c r="I550" s="34"/>
      <c r="J550" s="83"/>
      <c r="K550" s="83"/>
      <c r="L550" s="83"/>
      <c r="M550" s="70"/>
      <c r="N550" s="70"/>
      <c r="O550" s="70"/>
      <c r="P550" s="70"/>
      <c r="Q550" s="70"/>
      <c r="R550" s="70"/>
      <c r="S550" s="70"/>
      <c r="T550" s="70"/>
      <c r="U550" s="70"/>
      <c r="V550" s="70"/>
      <c r="W550" s="70"/>
      <c r="X550" s="70"/>
      <c r="Y550" s="70"/>
      <c r="Z550" s="70"/>
    </row>
    <row r="551">
      <c r="A551" s="78"/>
      <c r="B551" s="78"/>
      <c r="C551" s="80"/>
      <c r="D551" s="80"/>
      <c r="E551" s="82"/>
      <c r="F551" s="82"/>
      <c r="G551" s="82"/>
      <c r="H551" s="82"/>
      <c r="I551" s="34"/>
      <c r="J551" s="83"/>
      <c r="K551" s="83"/>
      <c r="L551" s="83"/>
      <c r="M551" s="70"/>
      <c r="N551" s="70"/>
      <c r="O551" s="70"/>
      <c r="P551" s="70"/>
      <c r="Q551" s="70"/>
      <c r="R551" s="70"/>
      <c r="S551" s="70"/>
      <c r="T551" s="70"/>
      <c r="U551" s="70"/>
      <c r="V551" s="70"/>
      <c r="W551" s="70"/>
      <c r="X551" s="70"/>
      <c r="Y551" s="70"/>
      <c r="Z551" s="70"/>
    </row>
    <row r="552">
      <c r="A552" s="78"/>
      <c r="B552" s="78"/>
      <c r="C552" s="80"/>
      <c r="D552" s="80"/>
      <c r="E552" s="82"/>
      <c r="F552" s="82"/>
      <c r="G552" s="82"/>
      <c r="H552" s="82"/>
      <c r="I552" s="34"/>
      <c r="J552" s="83"/>
      <c r="K552" s="83"/>
      <c r="L552" s="83"/>
      <c r="M552" s="70"/>
      <c r="N552" s="70"/>
      <c r="O552" s="70"/>
      <c r="P552" s="70"/>
      <c r="Q552" s="70"/>
      <c r="R552" s="70"/>
      <c r="S552" s="70"/>
      <c r="T552" s="70"/>
      <c r="U552" s="70"/>
      <c r="V552" s="70"/>
      <c r="W552" s="70"/>
      <c r="X552" s="70"/>
      <c r="Y552" s="70"/>
      <c r="Z552" s="70"/>
    </row>
    <row r="553">
      <c r="A553" s="78"/>
      <c r="B553" s="78"/>
      <c r="C553" s="80"/>
      <c r="D553" s="80"/>
      <c r="E553" s="82"/>
      <c r="F553" s="82"/>
      <c r="G553" s="82"/>
      <c r="H553" s="82"/>
      <c r="I553" s="34"/>
      <c r="J553" s="83"/>
      <c r="K553" s="83"/>
      <c r="L553" s="83"/>
      <c r="M553" s="70"/>
      <c r="N553" s="70"/>
      <c r="O553" s="70"/>
      <c r="P553" s="70"/>
      <c r="Q553" s="70"/>
      <c r="R553" s="70"/>
      <c r="S553" s="70"/>
      <c r="T553" s="70"/>
      <c r="U553" s="70"/>
      <c r="V553" s="70"/>
      <c r="W553" s="70"/>
      <c r="X553" s="70"/>
      <c r="Y553" s="70"/>
      <c r="Z553" s="70"/>
    </row>
    <row r="554">
      <c r="A554" s="78"/>
      <c r="B554" s="78"/>
      <c r="C554" s="80"/>
      <c r="D554" s="80"/>
      <c r="E554" s="82"/>
      <c r="F554" s="82"/>
      <c r="G554" s="82"/>
      <c r="H554" s="82"/>
      <c r="I554" s="34"/>
      <c r="J554" s="83"/>
      <c r="K554" s="83"/>
      <c r="L554" s="83"/>
      <c r="M554" s="70"/>
      <c r="N554" s="70"/>
      <c r="O554" s="70"/>
      <c r="P554" s="70"/>
      <c r="Q554" s="70"/>
      <c r="R554" s="70"/>
      <c r="S554" s="70"/>
      <c r="T554" s="70"/>
      <c r="U554" s="70"/>
      <c r="V554" s="70"/>
      <c r="W554" s="70"/>
      <c r="X554" s="70"/>
      <c r="Y554" s="70"/>
      <c r="Z554" s="70"/>
    </row>
    <row r="555">
      <c r="A555" s="78"/>
      <c r="B555" s="78"/>
      <c r="C555" s="80"/>
      <c r="D555" s="80"/>
      <c r="E555" s="82"/>
      <c r="F555" s="82"/>
      <c r="G555" s="82"/>
      <c r="H555" s="82"/>
      <c r="I555" s="34"/>
      <c r="J555" s="83"/>
      <c r="K555" s="83"/>
      <c r="L555" s="83"/>
      <c r="M555" s="70"/>
      <c r="N555" s="70"/>
      <c r="O555" s="70"/>
      <c r="P555" s="70"/>
      <c r="Q555" s="70"/>
      <c r="R555" s="70"/>
      <c r="S555" s="70"/>
      <c r="T555" s="70"/>
      <c r="U555" s="70"/>
      <c r="V555" s="70"/>
      <c r="W555" s="70"/>
      <c r="X555" s="70"/>
      <c r="Y555" s="70"/>
      <c r="Z555" s="70"/>
    </row>
    <row r="556">
      <c r="A556" s="78"/>
      <c r="B556" s="78"/>
      <c r="C556" s="80"/>
      <c r="D556" s="80"/>
      <c r="E556" s="82"/>
      <c r="F556" s="82"/>
      <c r="G556" s="82"/>
      <c r="H556" s="82"/>
      <c r="I556" s="34"/>
      <c r="J556" s="83"/>
      <c r="K556" s="83"/>
      <c r="L556" s="83"/>
      <c r="M556" s="70"/>
      <c r="N556" s="70"/>
      <c r="O556" s="70"/>
      <c r="P556" s="70"/>
      <c r="Q556" s="70"/>
      <c r="R556" s="70"/>
      <c r="S556" s="70"/>
      <c r="T556" s="70"/>
      <c r="U556" s="70"/>
      <c r="V556" s="70"/>
      <c r="W556" s="70"/>
      <c r="X556" s="70"/>
      <c r="Y556" s="70"/>
      <c r="Z556" s="70"/>
    </row>
    <row r="557">
      <c r="A557" s="78"/>
      <c r="B557" s="78"/>
      <c r="C557" s="80"/>
      <c r="D557" s="80"/>
      <c r="E557" s="82"/>
      <c r="F557" s="82"/>
      <c r="G557" s="82"/>
      <c r="H557" s="82"/>
      <c r="I557" s="34"/>
      <c r="J557" s="83"/>
      <c r="K557" s="83"/>
      <c r="L557" s="83"/>
      <c r="M557" s="70"/>
      <c r="N557" s="70"/>
      <c r="O557" s="70"/>
      <c r="P557" s="70"/>
      <c r="Q557" s="70"/>
      <c r="R557" s="70"/>
      <c r="S557" s="70"/>
      <c r="T557" s="70"/>
      <c r="U557" s="70"/>
      <c r="V557" s="70"/>
      <c r="W557" s="70"/>
      <c r="X557" s="70"/>
      <c r="Y557" s="70"/>
      <c r="Z557" s="70"/>
    </row>
    <row r="558">
      <c r="A558" s="78"/>
      <c r="B558" s="78"/>
      <c r="C558" s="80"/>
      <c r="D558" s="80"/>
      <c r="E558" s="82"/>
      <c r="F558" s="82"/>
      <c r="G558" s="82"/>
      <c r="H558" s="82"/>
      <c r="I558" s="34"/>
      <c r="J558" s="83"/>
      <c r="K558" s="83"/>
      <c r="L558" s="83"/>
      <c r="M558" s="70"/>
      <c r="N558" s="70"/>
      <c r="O558" s="70"/>
      <c r="P558" s="70"/>
      <c r="Q558" s="70"/>
      <c r="R558" s="70"/>
      <c r="S558" s="70"/>
      <c r="T558" s="70"/>
      <c r="U558" s="70"/>
      <c r="V558" s="70"/>
      <c r="W558" s="70"/>
      <c r="X558" s="70"/>
      <c r="Y558" s="70"/>
      <c r="Z558" s="70"/>
    </row>
    <row r="559">
      <c r="A559" s="78"/>
      <c r="B559" s="78"/>
      <c r="C559" s="80"/>
      <c r="D559" s="80"/>
      <c r="E559" s="82"/>
      <c r="F559" s="82"/>
      <c r="G559" s="82"/>
      <c r="H559" s="82"/>
      <c r="I559" s="34"/>
      <c r="J559" s="83"/>
      <c r="K559" s="83"/>
      <c r="L559" s="83"/>
      <c r="M559" s="70"/>
      <c r="N559" s="70"/>
      <c r="O559" s="70"/>
      <c r="P559" s="70"/>
      <c r="Q559" s="70"/>
      <c r="R559" s="70"/>
      <c r="S559" s="70"/>
      <c r="T559" s="70"/>
      <c r="U559" s="70"/>
      <c r="V559" s="70"/>
      <c r="W559" s="70"/>
      <c r="X559" s="70"/>
      <c r="Y559" s="70"/>
      <c r="Z559" s="70"/>
    </row>
    <row r="560">
      <c r="A560" s="78"/>
      <c r="B560" s="78"/>
      <c r="C560" s="80"/>
      <c r="D560" s="80"/>
      <c r="E560" s="82"/>
      <c r="F560" s="82"/>
      <c r="G560" s="82"/>
      <c r="H560" s="82"/>
      <c r="I560" s="34"/>
      <c r="J560" s="83"/>
      <c r="K560" s="83"/>
      <c r="L560" s="83"/>
      <c r="M560" s="70"/>
      <c r="N560" s="70"/>
      <c r="O560" s="70"/>
      <c r="P560" s="70"/>
      <c r="Q560" s="70"/>
      <c r="R560" s="70"/>
      <c r="S560" s="70"/>
      <c r="T560" s="70"/>
      <c r="U560" s="70"/>
      <c r="V560" s="70"/>
      <c r="W560" s="70"/>
      <c r="X560" s="70"/>
      <c r="Y560" s="70"/>
      <c r="Z560" s="70"/>
    </row>
    <row r="561">
      <c r="A561" s="78"/>
      <c r="B561" s="78"/>
      <c r="C561" s="80"/>
      <c r="D561" s="80"/>
      <c r="E561" s="82"/>
      <c r="F561" s="82"/>
      <c r="G561" s="82"/>
      <c r="H561" s="82"/>
      <c r="I561" s="34"/>
      <c r="J561" s="83"/>
      <c r="K561" s="83"/>
      <c r="L561" s="83"/>
      <c r="M561" s="70"/>
      <c r="N561" s="70"/>
      <c r="O561" s="70"/>
      <c r="P561" s="70"/>
      <c r="Q561" s="70"/>
      <c r="R561" s="70"/>
      <c r="S561" s="70"/>
      <c r="T561" s="70"/>
      <c r="U561" s="70"/>
      <c r="V561" s="70"/>
      <c r="W561" s="70"/>
      <c r="X561" s="70"/>
      <c r="Y561" s="70"/>
      <c r="Z561" s="70"/>
    </row>
    <row r="562">
      <c r="A562" s="78"/>
      <c r="B562" s="78"/>
      <c r="C562" s="80"/>
      <c r="D562" s="80"/>
      <c r="E562" s="82"/>
      <c r="F562" s="82"/>
      <c r="G562" s="82"/>
      <c r="H562" s="82"/>
      <c r="I562" s="34"/>
      <c r="J562" s="83"/>
      <c r="K562" s="83"/>
      <c r="L562" s="83"/>
      <c r="M562" s="70"/>
      <c r="N562" s="70"/>
      <c r="O562" s="70"/>
      <c r="P562" s="70"/>
      <c r="Q562" s="70"/>
      <c r="R562" s="70"/>
      <c r="S562" s="70"/>
      <c r="T562" s="70"/>
      <c r="U562" s="70"/>
      <c r="V562" s="70"/>
      <c r="W562" s="70"/>
      <c r="X562" s="70"/>
      <c r="Y562" s="70"/>
      <c r="Z562" s="70"/>
    </row>
    <row r="563">
      <c r="A563" s="78"/>
      <c r="B563" s="78"/>
      <c r="C563" s="80"/>
      <c r="D563" s="80"/>
      <c r="E563" s="82"/>
      <c r="F563" s="82"/>
      <c r="G563" s="82"/>
      <c r="H563" s="82"/>
      <c r="I563" s="34"/>
      <c r="J563" s="83"/>
      <c r="K563" s="83"/>
      <c r="L563" s="83"/>
      <c r="M563" s="70"/>
      <c r="N563" s="70"/>
      <c r="O563" s="70"/>
      <c r="P563" s="70"/>
      <c r="Q563" s="70"/>
      <c r="R563" s="70"/>
      <c r="S563" s="70"/>
      <c r="T563" s="70"/>
      <c r="U563" s="70"/>
      <c r="V563" s="70"/>
      <c r="W563" s="70"/>
      <c r="X563" s="70"/>
      <c r="Y563" s="70"/>
      <c r="Z563" s="70"/>
    </row>
    <row r="564">
      <c r="A564" s="78"/>
      <c r="B564" s="78"/>
      <c r="C564" s="80"/>
      <c r="D564" s="80"/>
      <c r="E564" s="82"/>
      <c r="F564" s="82"/>
      <c r="G564" s="82"/>
      <c r="H564" s="82"/>
      <c r="I564" s="34"/>
      <c r="J564" s="83"/>
      <c r="K564" s="83"/>
      <c r="L564" s="83"/>
      <c r="M564" s="70"/>
      <c r="N564" s="70"/>
      <c r="O564" s="70"/>
      <c r="P564" s="70"/>
      <c r="Q564" s="70"/>
      <c r="R564" s="70"/>
      <c r="S564" s="70"/>
      <c r="T564" s="70"/>
      <c r="U564" s="70"/>
      <c r="V564" s="70"/>
      <c r="W564" s="70"/>
      <c r="X564" s="70"/>
      <c r="Y564" s="70"/>
      <c r="Z564" s="70"/>
    </row>
    <row r="565">
      <c r="A565" s="78"/>
      <c r="B565" s="78"/>
      <c r="C565" s="80"/>
      <c r="D565" s="80"/>
      <c r="E565" s="82"/>
      <c r="F565" s="82"/>
      <c r="G565" s="82"/>
      <c r="H565" s="82"/>
      <c r="I565" s="34"/>
      <c r="J565" s="83"/>
      <c r="K565" s="83"/>
      <c r="L565" s="83"/>
      <c r="M565" s="70"/>
      <c r="N565" s="70"/>
      <c r="O565" s="70"/>
      <c r="P565" s="70"/>
      <c r="Q565" s="70"/>
      <c r="R565" s="70"/>
      <c r="S565" s="70"/>
      <c r="T565" s="70"/>
      <c r="U565" s="70"/>
      <c r="V565" s="70"/>
      <c r="W565" s="70"/>
      <c r="X565" s="70"/>
      <c r="Y565" s="70"/>
      <c r="Z565" s="70"/>
    </row>
    <row r="566">
      <c r="A566" s="78"/>
      <c r="B566" s="78"/>
      <c r="C566" s="80"/>
      <c r="D566" s="80"/>
      <c r="E566" s="82"/>
      <c r="F566" s="82"/>
      <c r="G566" s="82"/>
      <c r="H566" s="82"/>
      <c r="I566" s="34"/>
      <c r="J566" s="83"/>
      <c r="K566" s="83"/>
      <c r="L566" s="83"/>
      <c r="M566" s="70"/>
      <c r="N566" s="70"/>
      <c r="O566" s="70"/>
      <c r="P566" s="70"/>
      <c r="Q566" s="70"/>
      <c r="R566" s="70"/>
      <c r="S566" s="70"/>
      <c r="T566" s="70"/>
      <c r="U566" s="70"/>
      <c r="V566" s="70"/>
      <c r="W566" s="70"/>
      <c r="X566" s="70"/>
      <c r="Y566" s="70"/>
      <c r="Z566" s="70"/>
    </row>
    <row r="567">
      <c r="A567" s="78"/>
      <c r="B567" s="78"/>
      <c r="C567" s="80"/>
      <c r="D567" s="80"/>
      <c r="E567" s="82"/>
      <c r="F567" s="82"/>
      <c r="G567" s="82"/>
      <c r="H567" s="82"/>
      <c r="I567" s="34"/>
      <c r="J567" s="83"/>
      <c r="K567" s="83"/>
      <c r="L567" s="83"/>
      <c r="M567" s="70"/>
      <c r="N567" s="70"/>
      <c r="O567" s="70"/>
      <c r="P567" s="70"/>
      <c r="Q567" s="70"/>
      <c r="R567" s="70"/>
      <c r="S567" s="70"/>
      <c r="T567" s="70"/>
      <c r="U567" s="70"/>
      <c r="V567" s="70"/>
      <c r="W567" s="70"/>
      <c r="X567" s="70"/>
      <c r="Y567" s="70"/>
      <c r="Z567" s="70"/>
    </row>
    <row r="568">
      <c r="A568" s="78"/>
      <c r="B568" s="78"/>
      <c r="C568" s="80"/>
      <c r="D568" s="80"/>
      <c r="E568" s="82"/>
      <c r="F568" s="82"/>
      <c r="G568" s="82"/>
      <c r="H568" s="82"/>
      <c r="I568" s="34"/>
      <c r="J568" s="83"/>
      <c r="K568" s="83"/>
      <c r="L568" s="83"/>
      <c r="M568" s="70"/>
      <c r="N568" s="70"/>
      <c r="O568" s="70"/>
      <c r="P568" s="70"/>
      <c r="Q568" s="70"/>
      <c r="R568" s="70"/>
      <c r="S568" s="70"/>
      <c r="T568" s="70"/>
      <c r="U568" s="70"/>
      <c r="V568" s="70"/>
      <c r="W568" s="70"/>
      <c r="X568" s="70"/>
      <c r="Y568" s="70"/>
      <c r="Z568" s="70"/>
    </row>
    <row r="569">
      <c r="A569" s="78"/>
      <c r="B569" s="78"/>
      <c r="C569" s="80"/>
      <c r="D569" s="80"/>
      <c r="E569" s="82"/>
      <c r="F569" s="82"/>
      <c r="G569" s="82"/>
      <c r="H569" s="82"/>
      <c r="I569" s="34"/>
      <c r="J569" s="83"/>
      <c r="K569" s="83"/>
      <c r="L569" s="83"/>
      <c r="M569" s="70"/>
      <c r="N569" s="70"/>
      <c r="O569" s="70"/>
      <c r="P569" s="70"/>
      <c r="Q569" s="70"/>
      <c r="R569" s="70"/>
      <c r="S569" s="70"/>
      <c r="T569" s="70"/>
      <c r="U569" s="70"/>
      <c r="V569" s="70"/>
      <c r="W569" s="70"/>
      <c r="X569" s="70"/>
      <c r="Y569" s="70"/>
      <c r="Z569" s="70"/>
    </row>
    <row r="570">
      <c r="A570" s="78"/>
      <c r="B570" s="78"/>
      <c r="C570" s="80"/>
      <c r="D570" s="80"/>
      <c r="E570" s="82"/>
      <c r="F570" s="82"/>
      <c r="G570" s="82"/>
      <c r="H570" s="82"/>
      <c r="I570" s="34"/>
      <c r="J570" s="83"/>
      <c r="K570" s="83"/>
      <c r="L570" s="83"/>
      <c r="M570" s="70"/>
      <c r="N570" s="70"/>
      <c r="O570" s="70"/>
      <c r="P570" s="70"/>
      <c r="Q570" s="70"/>
      <c r="R570" s="70"/>
      <c r="S570" s="70"/>
      <c r="T570" s="70"/>
      <c r="U570" s="70"/>
      <c r="V570" s="70"/>
      <c r="W570" s="70"/>
      <c r="X570" s="70"/>
      <c r="Y570" s="70"/>
      <c r="Z570" s="70"/>
    </row>
    <row r="571">
      <c r="A571" s="78"/>
      <c r="B571" s="78"/>
      <c r="C571" s="80"/>
      <c r="D571" s="80"/>
      <c r="E571" s="82"/>
      <c r="F571" s="82"/>
      <c r="G571" s="82"/>
      <c r="H571" s="82"/>
      <c r="I571" s="34"/>
      <c r="J571" s="83"/>
      <c r="K571" s="83"/>
      <c r="L571" s="83"/>
      <c r="M571" s="70"/>
      <c r="N571" s="70"/>
      <c r="O571" s="70"/>
      <c r="P571" s="70"/>
      <c r="Q571" s="70"/>
      <c r="R571" s="70"/>
      <c r="S571" s="70"/>
      <c r="T571" s="70"/>
      <c r="U571" s="70"/>
      <c r="V571" s="70"/>
      <c r="W571" s="70"/>
      <c r="X571" s="70"/>
      <c r="Y571" s="70"/>
      <c r="Z571" s="70"/>
    </row>
    <row r="572">
      <c r="A572" s="78"/>
      <c r="B572" s="78"/>
      <c r="C572" s="80"/>
      <c r="D572" s="80"/>
      <c r="E572" s="82"/>
      <c r="F572" s="82"/>
      <c r="G572" s="82"/>
      <c r="H572" s="82"/>
      <c r="I572" s="34"/>
      <c r="J572" s="83"/>
      <c r="K572" s="83"/>
      <c r="L572" s="83"/>
      <c r="M572" s="70"/>
      <c r="N572" s="70"/>
      <c r="O572" s="70"/>
      <c r="P572" s="70"/>
      <c r="Q572" s="70"/>
      <c r="R572" s="70"/>
      <c r="S572" s="70"/>
      <c r="T572" s="70"/>
      <c r="U572" s="70"/>
      <c r="V572" s="70"/>
      <c r="W572" s="70"/>
      <c r="X572" s="70"/>
      <c r="Y572" s="70"/>
      <c r="Z572" s="70"/>
    </row>
    <row r="573">
      <c r="A573" s="78"/>
      <c r="B573" s="78"/>
      <c r="C573" s="80"/>
      <c r="D573" s="80"/>
      <c r="E573" s="82"/>
      <c r="F573" s="82"/>
      <c r="G573" s="82"/>
      <c r="H573" s="82"/>
      <c r="I573" s="34"/>
      <c r="J573" s="83"/>
      <c r="K573" s="83"/>
      <c r="L573" s="83"/>
      <c r="M573" s="70"/>
      <c r="N573" s="70"/>
      <c r="O573" s="70"/>
      <c r="P573" s="70"/>
      <c r="Q573" s="70"/>
      <c r="R573" s="70"/>
      <c r="S573" s="70"/>
      <c r="T573" s="70"/>
      <c r="U573" s="70"/>
      <c r="V573" s="70"/>
      <c r="W573" s="70"/>
      <c r="X573" s="70"/>
      <c r="Y573" s="70"/>
      <c r="Z573" s="70"/>
    </row>
    <row r="574">
      <c r="A574" s="78"/>
      <c r="B574" s="78"/>
      <c r="C574" s="80"/>
      <c r="D574" s="80"/>
      <c r="E574" s="82"/>
      <c r="F574" s="82"/>
      <c r="G574" s="82"/>
      <c r="H574" s="82"/>
      <c r="I574" s="34"/>
      <c r="J574" s="83"/>
      <c r="K574" s="83"/>
      <c r="L574" s="83"/>
      <c r="M574" s="70"/>
      <c r="N574" s="70"/>
      <c r="O574" s="70"/>
      <c r="P574" s="70"/>
      <c r="Q574" s="70"/>
      <c r="R574" s="70"/>
      <c r="S574" s="70"/>
      <c r="T574" s="70"/>
      <c r="U574" s="70"/>
      <c r="V574" s="70"/>
      <c r="W574" s="70"/>
      <c r="X574" s="70"/>
      <c r="Y574" s="70"/>
      <c r="Z574" s="70"/>
    </row>
    <row r="575">
      <c r="A575" s="78"/>
      <c r="B575" s="78"/>
      <c r="C575" s="80"/>
      <c r="D575" s="80"/>
      <c r="E575" s="82"/>
      <c r="F575" s="82"/>
      <c r="G575" s="82"/>
      <c r="H575" s="82"/>
      <c r="I575" s="34"/>
      <c r="J575" s="83"/>
      <c r="K575" s="83"/>
      <c r="L575" s="83"/>
      <c r="M575" s="70"/>
      <c r="N575" s="70"/>
      <c r="O575" s="70"/>
      <c r="P575" s="70"/>
      <c r="Q575" s="70"/>
      <c r="R575" s="70"/>
      <c r="S575" s="70"/>
      <c r="T575" s="70"/>
      <c r="U575" s="70"/>
      <c r="V575" s="70"/>
      <c r="W575" s="70"/>
      <c r="X575" s="70"/>
      <c r="Y575" s="70"/>
      <c r="Z575" s="70"/>
    </row>
    <row r="576">
      <c r="A576" s="78"/>
      <c r="B576" s="78"/>
      <c r="C576" s="80"/>
      <c r="D576" s="80"/>
      <c r="E576" s="82"/>
      <c r="F576" s="82"/>
      <c r="G576" s="82"/>
      <c r="H576" s="82"/>
      <c r="I576" s="34"/>
      <c r="J576" s="83"/>
      <c r="K576" s="83"/>
      <c r="L576" s="83"/>
      <c r="M576" s="70"/>
      <c r="N576" s="70"/>
      <c r="O576" s="70"/>
      <c r="P576" s="70"/>
      <c r="Q576" s="70"/>
      <c r="R576" s="70"/>
      <c r="S576" s="70"/>
      <c r="T576" s="70"/>
      <c r="U576" s="70"/>
      <c r="V576" s="70"/>
      <c r="W576" s="70"/>
      <c r="X576" s="70"/>
      <c r="Y576" s="70"/>
      <c r="Z576" s="70"/>
    </row>
    <row r="577">
      <c r="A577" s="78"/>
      <c r="B577" s="78"/>
      <c r="C577" s="80"/>
      <c r="D577" s="80"/>
      <c r="E577" s="82"/>
      <c r="F577" s="82"/>
      <c r="G577" s="82"/>
      <c r="H577" s="82"/>
      <c r="I577" s="34"/>
      <c r="J577" s="83"/>
      <c r="K577" s="83"/>
      <c r="L577" s="83"/>
      <c r="M577" s="70"/>
      <c r="N577" s="70"/>
      <c r="O577" s="70"/>
      <c r="P577" s="70"/>
      <c r="Q577" s="70"/>
      <c r="R577" s="70"/>
      <c r="S577" s="70"/>
      <c r="T577" s="70"/>
      <c r="U577" s="70"/>
      <c r="V577" s="70"/>
      <c r="W577" s="70"/>
      <c r="X577" s="70"/>
      <c r="Y577" s="70"/>
      <c r="Z577" s="70"/>
    </row>
    <row r="578">
      <c r="A578" s="78"/>
      <c r="B578" s="78"/>
      <c r="C578" s="80"/>
      <c r="D578" s="80"/>
      <c r="E578" s="82"/>
      <c r="F578" s="82"/>
      <c r="G578" s="82"/>
      <c r="H578" s="82"/>
      <c r="I578" s="34"/>
      <c r="J578" s="83"/>
      <c r="K578" s="83"/>
      <c r="L578" s="83"/>
      <c r="M578" s="70"/>
      <c r="N578" s="70"/>
      <c r="O578" s="70"/>
      <c r="P578" s="70"/>
      <c r="Q578" s="70"/>
      <c r="R578" s="70"/>
      <c r="S578" s="70"/>
      <c r="T578" s="70"/>
      <c r="U578" s="70"/>
      <c r="V578" s="70"/>
      <c r="W578" s="70"/>
      <c r="X578" s="70"/>
      <c r="Y578" s="70"/>
      <c r="Z578" s="70"/>
    </row>
    <row r="579">
      <c r="A579" s="78"/>
      <c r="B579" s="78"/>
      <c r="C579" s="80"/>
      <c r="D579" s="80"/>
      <c r="E579" s="82"/>
      <c r="F579" s="82"/>
      <c r="G579" s="82"/>
      <c r="H579" s="82"/>
      <c r="I579" s="34"/>
      <c r="J579" s="83"/>
      <c r="K579" s="83"/>
      <c r="L579" s="83"/>
      <c r="M579" s="70"/>
      <c r="N579" s="70"/>
      <c r="O579" s="70"/>
      <c r="P579" s="70"/>
      <c r="Q579" s="70"/>
      <c r="R579" s="70"/>
      <c r="S579" s="70"/>
      <c r="T579" s="70"/>
      <c r="U579" s="70"/>
      <c r="V579" s="70"/>
      <c r="W579" s="70"/>
      <c r="X579" s="70"/>
      <c r="Y579" s="70"/>
      <c r="Z579" s="70"/>
    </row>
    <row r="580">
      <c r="A580" s="78"/>
      <c r="B580" s="78"/>
      <c r="C580" s="80"/>
      <c r="D580" s="80"/>
      <c r="E580" s="82"/>
      <c r="F580" s="82"/>
      <c r="G580" s="82"/>
      <c r="H580" s="82"/>
      <c r="I580" s="34"/>
      <c r="J580" s="83"/>
      <c r="K580" s="83"/>
      <c r="L580" s="83"/>
      <c r="M580" s="70"/>
      <c r="N580" s="70"/>
      <c r="O580" s="70"/>
      <c r="P580" s="70"/>
      <c r="Q580" s="70"/>
      <c r="R580" s="70"/>
      <c r="S580" s="70"/>
      <c r="T580" s="70"/>
      <c r="U580" s="70"/>
      <c r="V580" s="70"/>
      <c r="W580" s="70"/>
      <c r="X580" s="70"/>
      <c r="Y580" s="70"/>
      <c r="Z580" s="70"/>
    </row>
    <row r="581">
      <c r="A581" s="78"/>
      <c r="B581" s="78"/>
      <c r="C581" s="80"/>
      <c r="D581" s="80"/>
      <c r="E581" s="82"/>
      <c r="F581" s="82"/>
      <c r="G581" s="82"/>
      <c r="H581" s="82"/>
      <c r="I581" s="34"/>
      <c r="J581" s="83"/>
      <c r="K581" s="83"/>
      <c r="L581" s="83"/>
      <c r="M581" s="70"/>
      <c r="N581" s="70"/>
      <c r="O581" s="70"/>
      <c r="P581" s="70"/>
      <c r="Q581" s="70"/>
      <c r="R581" s="70"/>
      <c r="S581" s="70"/>
      <c r="T581" s="70"/>
      <c r="U581" s="70"/>
      <c r="V581" s="70"/>
      <c r="W581" s="70"/>
      <c r="X581" s="70"/>
      <c r="Y581" s="70"/>
      <c r="Z581" s="70"/>
    </row>
    <row r="582">
      <c r="A582" s="78"/>
      <c r="B582" s="78"/>
      <c r="C582" s="80"/>
      <c r="D582" s="80"/>
      <c r="E582" s="82"/>
      <c r="F582" s="82"/>
      <c r="G582" s="82"/>
      <c r="H582" s="82"/>
      <c r="I582" s="34"/>
      <c r="J582" s="83"/>
      <c r="K582" s="83"/>
      <c r="L582" s="83"/>
      <c r="M582" s="70"/>
      <c r="N582" s="70"/>
      <c r="O582" s="70"/>
      <c r="P582" s="70"/>
      <c r="Q582" s="70"/>
      <c r="R582" s="70"/>
      <c r="S582" s="70"/>
      <c r="T582" s="70"/>
      <c r="U582" s="70"/>
      <c r="V582" s="70"/>
      <c r="W582" s="70"/>
      <c r="X582" s="70"/>
      <c r="Y582" s="70"/>
      <c r="Z582" s="70"/>
    </row>
    <row r="583">
      <c r="A583" s="78"/>
      <c r="B583" s="78"/>
      <c r="C583" s="80"/>
      <c r="D583" s="80"/>
      <c r="E583" s="82"/>
      <c r="F583" s="82"/>
      <c r="G583" s="82"/>
      <c r="H583" s="82"/>
      <c r="I583" s="34"/>
      <c r="J583" s="83"/>
      <c r="K583" s="83"/>
      <c r="L583" s="83"/>
      <c r="M583" s="70"/>
      <c r="N583" s="70"/>
      <c r="O583" s="70"/>
      <c r="P583" s="70"/>
      <c r="Q583" s="70"/>
      <c r="R583" s="70"/>
      <c r="S583" s="70"/>
      <c r="T583" s="70"/>
      <c r="U583" s="70"/>
      <c r="V583" s="70"/>
      <c r="W583" s="70"/>
      <c r="X583" s="70"/>
      <c r="Y583" s="70"/>
      <c r="Z583" s="70"/>
    </row>
    <row r="584">
      <c r="A584" s="78"/>
      <c r="B584" s="78"/>
      <c r="C584" s="80"/>
      <c r="D584" s="80"/>
      <c r="E584" s="82"/>
      <c r="F584" s="82"/>
      <c r="G584" s="82"/>
      <c r="H584" s="82"/>
      <c r="I584" s="34"/>
      <c r="J584" s="83"/>
      <c r="K584" s="83"/>
      <c r="L584" s="83"/>
      <c r="M584" s="70"/>
      <c r="N584" s="70"/>
      <c r="O584" s="70"/>
      <c r="P584" s="70"/>
      <c r="Q584" s="70"/>
      <c r="R584" s="70"/>
      <c r="S584" s="70"/>
      <c r="T584" s="70"/>
      <c r="U584" s="70"/>
      <c r="V584" s="70"/>
      <c r="W584" s="70"/>
      <c r="X584" s="70"/>
      <c r="Y584" s="70"/>
      <c r="Z584" s="70"/>
    </row>
    <row r="585">
      <c r="A585" s="78"/>
      <c r="B585" s="78"/>
      <c r="C585" s="80"/>
      <c r="D585" s="80"/>
      <c r="E585" s="82"/>
      <c r="F585" s="82"/>
      <c r="G585" s="82"/>
      <c r="H585" s="82"/>
      <c r="I585" s="34"/>
      <c r="J585" s="83"/>
      <c r="K585" s="83"/>
      <c r="L585" s="83"/>
      <c r="M585" s="70"/>
      <c r="N585" s="70"/>
      <c r="O585" s="70"/>
      <c r="P585" s="70"/>
      <c r="Q585" s="70"/>
      <c r="R585" s="70"/>
      <c r="S585" s="70"/>
      <c r="T585" s="70"/>
      <c r="U585" s="70"/>
      <c r="V585" s="70"/>
      <c r="W585" s="70"/>
      <c r="X585" s="70"/>
      <c r="Y585" s="70"/>
      <c r="Z585" s="70"/>
    </row>
    <row r="586">
      <c r="A586" s="78"/>
      <c r="B586" s="78"/>
      <c r="C586" s="80"/>
      <c r="D586" s="80"/>
      <c r="E586" s="82"/>
      <c r="F586" s="82"/>
      <c r="G586" s="82"/>
      <c r="H586" s="82"/>
      <c r="I586" s="34"/>
      <c r="J586" s="83"/>
      <c r="K586" s="83"/>
      <c r="L586" s="83"/>
      <c r="M586" s="70"/>
      <c r="N586" s="70"/>
      <c r="O586" s="70"/>
      <c r="P586" s="70"/>
      <c r="Q586" s="70"/>
      <c r="R586" s="70"/>
      <c r="S586" s="70"/>
      <c r="T586" s="70"/>
      <c r="U586" s="70"/>
      <c r="V586" s="70"/>
      <c r="W586" s="70"/>
      <c r="X586" s="70"/>
      <c r="Y586" s="70"/>
      <c r="Z586" s="70"/>
    </row>
    <row r="587">
      <c r="A587" s="78"/>
      <c r="B587" s="78"/>
      <c r="C587" s="80"/>
      <c r="D587" s="80"/>
      <c r="E587" s="82"/>
      <c r="F587" s="82"/>
      <c r="G587" s="82"/>
      <c r="H587" s="82"/>
      <c r="I587" s="34"/>
      <c r="J587" s="83"/>
      <c r="K587" s="83"/>
      <c r="L587" s="83"/>
      <c r="M587" s="70"/>
      <c r="N587" s="70"/>
      <c r="O587" s="70"/>
      <c r="P587" s="70"/>
      <c r="Q587" s="70"/>
      <c r="R587" s="70"/>
      <c r="S587" s="70"/>
      <c r="T587" s="70"/>
      <c r="U587" s="70"/>
      <c r="V587" s="70"/>
      <c r="W587" s="70"/>
      <c r="X587" s="70"/>
      <c r="Y587" s="70"/>
      <c r="Z587" s="70"/>
    </row>
    <row r="588">
      <c r="A588" s="78"/>
      <c r="B588" s="78"/>
      <c r="C588" s="80"/>
      <c r="D588" s="80"/>
      <c r="E588" s="82"/>
      <c r="F588" s="82"/>
      <c r="G588" s="82"/>
      <c r="H588" s="82"/>
      <c r="I588" s="34"/>
      <c r="J588" s="83"/>
      <c r="K588" s="83"/>
      <c r="L588" s="83"/>
      <c r="M588" s="70"/>
      <c r="N588" s="70"/>
      <c r="O588" s="70"/>
      <c r="P588" s="70"/>
      <c r="Q588" s="70"/>
      <c r="R588" s="70"/>
      <c r="S588" s="70"/>
      <c r="T588" s="70"/>
      <c r="U588" s="70"/>
      <c r="V588" s="70"/>
      <c r="W588" s="70"/>
      <c r="X588" s="70"/>
      <c r="Y588" s="70"/>
      <c r="Z588" s="70"/>
    </row>
    <row r="589">
      <c r="A589" s="78"/>
      <c r="B589" s="78"/>
      <c r="C589" s="80"/>
      <c r="D589" s="80"/>
      <c r="E589" s="82"/>
      <c r="F589" s="82"/>
      <c r="G589" s="82"/>
      <c r="H589" s="82"/>
      <c r="I589" s="34"/>
      <c r="J589" s="83"/>
      <c r="K589" s="83"/>
      <c r="L589" s="83"/>
      <c r="M589" s="70"/>
      <c r="N589" s="70"/>
      <c r="O589" s="70"/>
      <c r="P589" s="70"/>
      <c r="Q589" s="70"/>
      <c r="R589" s="70"/>
      <c r="S589" s="70"/>
      <c r="T589" s="70"/>
      <c r="U589" s="70"/>
      <c r="V589" s="70"/>
      <c r="W589" s="70"/>
      <c r="X589" s="70"/>
      <c r="Y589" s="70"/>
      <c r="Z589" s="70"/>
    </row>
    <row r="590">
      <c r="A590" s="78"/>
      <c r="B590" s="78"/>
      <c r="C590" s="80"/>
      <c r="D590" s="80"/>
      <c r="E590" s="82"/>
      <c r="F590" s="82"/>
      <c r="G590" s="82"/>
      <c r="H590" s="82"/>
      <c r="I590" s="34"/>
      <c r="J590" s="83"/>
      <c r="K590" s="83"/>
      <c r="L590" s="83"/>
      <c r="M590" s="70"/>
      <c r="N590" s="70"/>
      <c r="O590" s="70"/>
      <c r="P590" s="70"/>
      <c r="Q590" s="70"/>
      <c r="R590" s="70"/>
      <c r="S590" s="70"/>
      <c r="T590" s="70"/>
      <c r="U590" s="70"/>
      <c r="V590" s="70"/>
      <c r="W590" s="70"/>
      <c r="X590" s="70"/>
      <c r="Y590" s="70"/>
      <c r="Z590" s="70"/>
    </row>
    <row r="591">
      <c r="A591" s="78"/>
      <c r="B591" s="78"/>
      <c r="C591" s="80"/>
      <c r="D591" s="80"/>
      <c r="E591" s="82"/>
      <c r="F591" s="82"/>
      <c r="G591" s="82"/>
      <c r="H591" s="82"/>
      <c r="I591" s="34"/>
      <c r="J591" s="83"/>
      <c r="K591" s="83"/>
      <c r="L591" s="83"/>
      <c r="M591" s="70"/>
      <c r="N591" s="70"/>
      <c r="O591" s="70"/>
      <c r="P591" s="70"/>
      <c r="Q591" s="70"/>
      <c r="R591" s="70"/>
      <c r="S591" s="70"/>
      <c r="T591" s="70"/>
      <c r="U591" s="70"/>
      <c r="V591" s="70"/>
      <c r="W591" s="70"/>
      <c r="X591" s="70"/>
      <c r="Y591" s="70"/>
      <c r="Z591" s="70"/>
    </row>
    <row r="592">
      <c r="A592" s="78"/>
      <c r="B592" s="78"/>
      <c r="C592" s="80"/>
      <c r="D592" s="80"/>
      <c r="E592" s="82"/>
      <c r="F592" s="82"/>
      <c r="G592" s="82"/>
      <c r="H592" s="82"/>
      <c r="I592" s="34"/>
      <c r="J592" s="83"/>
      <c r="K592" s="83"/>
      <c r="L592" s="83"/>
      <c r="M592" s="70"/>
      <c r="N592" s="70"/>
      <c r="O592" s="70"/>
      <c r="P592" s="70"/>
      <c r="Q592" s="70"/>
      <c r="R592" s="70"/>
      <c r="S592" s="70"/>
      <c r="T592" s="70"/>
      <c r="U592" s="70"/>
      <c r="V592" s="70"/>
      <c r="W592" s="70"/>
      <c r="X592" s="70"/>
      <c r="Y592" s="70"/>
      <c r="Z592" s="70"/>
    </row>
    <row r="593">
      <c r="A593" s="78"/>
      <c r="B593" s="78"/>
      <c r="C593" s="80"/>
      <c r="D593" s="80"/>
      <c r="E593" s="82"/>
      <c r="F593" s="82"/>
      <c r="G593" s="82"/>
      <c r="H593" s="82"/>
      <c r="I593" s="34"/>
      <c r="J593" s="83"/>
      <c r="K593" s="83"/>
      <c r="L593" s="83"/>
      <c r="M593" s="70"/>
      <c r="N593" s="70"/>
      <c r="O593" s="70"/>
      <c r="P593" s="70"/>
      <c r="Q593" s="70"/>
      <c r="R593" s="70"/>
      <c r="S593" s="70"/>
      <c r="T593" s="70"/>
      <c r="U593" s="70"/>
      <c r="V593" s="70"/>
      <c r="W593" s="70"/>
      <c r="X593" s="70"/>
      <c r="Y593" s="70"/>
      <c r="Z593" s="70"/>
    </row>
    <row r="594">
      <c r="A594" s="78"/>
      <c r="B594" s="78"/>
      <c r="C594" s="80"/>
      <c r="D594" s="80"/>
      <c r="E594" s="82"/>
      <c r="F594" s="82"/>
      <c r="G594" s="82"/>
      <c r="H594" s="82"/>
      <c r="I594" s="34"/>
      <c r="J594" s="83"/>
      <c r="K594" s="83"/>
      <c r="L594" s="83"/>
      <c r="M594" s="70"/>
      <c r="N594" s="70"/>
      <c r="O594" s="70"/>
      <c r="P594" s="70"/>
      <c r="Q594" s="70"/>
      <c r="R594" s="70"/>
      <c r="S594" s="70"/>
      <c r="T594" s="70"/>
      <c r="U594" s="70"/>
      <c r="V594" s="70"/>
      <c r="W594" s="70"/>
      <c r="X594" s="70"/>
      <c r="Y594" s="70"/>
      <c r="Z594" s="70"/>
    </row>
    <row r="595">
      <c r="A595" s="78"/>
      <c r="B595" s="78"/>
      <c r="C595" s="80"/>
      <c r="D595" s="80"/>
      <c r="E595" s="82"/>
      <c r="F595" s="82"/>
      <c r="G595" s="82"/>
      <c r="H595" s="82"/>
      <c r="I595" s="34"/>
      <c r="J595" s="83"/>
      <c r="K595" s="83"/>
      <c r="L595" s="83"/>
      <c r="M595" s="70"/>
      <c r="N595" s="70"/>
      <c r="O595" s="70"/>
      <c r="P595" s="70"/>
      <c r="Q595" s="70"/>
      <c r="R595" s="70"/>
      <c r="S595" s="70"/>
      <c r="T595" s="70"/>
      <c r="U595" s="70"/>
      <c r="V595" s="70"/>
      <c r="W595" s="70"/>
      <c r="X595" s="70"/>
      <c r="Y595" s="70"/>
      <c r="Z595" s="70"/>
    </row>
    <row r="596">
      <c r="A596" s="78"/>
      <c r="B596" s="78"/>
      <c r="C596" s="80"/>
      <c r="D596" s="80"/>
      <c r="E596" s="82"/>
      <c r="F596" s="82"/>
      <c r="G596" s="82"/>
      <c r="H596" s="82"/>
      <c r="I596" s="34"/>
      <c r="J596" s="83"/>
      <c r="K596" s="83"/>
      <c r="L596" s="83"/>
      <c r="M596" s="70"/>
      <c r="N596" s="70"/>
      <c r="O596" s="70"/>
      <c r="P596" s="70"/>
      <c r="Q596" s="70"/>
      <c r="R596" s="70"/>
      <c r="S596" s="70"/>
      <c r="T596" s="70"/>
      <c r="U596" s="70"/>
      <c r="V596" s="70"/>
      <c r="W596" s="70"/>
      <c r="X596" s="70"/>
      <c r="Y596" s="70"/>
      <c r="Z596" s="70"/>
    </row>
    <row r="597">
      <c r="A597" s="78"/>
      <c r="B597" s="78"/>
      <c r="C597" s="80"/>
      <c r="D597" s="80"/>
      <c r="E597" s="82"/>
      <c r="F597" s="82"/>
      <c r="G597" s="82"/>
      <c r="H597" s="82"/>
      <c r="I597" s="34"/>
      <c r="J597" s="83"/>
      <c r="K597" s="83"/>
      <c r="L597" s="83"/>
      <c r="M597" s="70"/>
      <c r="N597" s="70"/>
      <c r="O597" s="70"/>
      <c r="P597" s="70"/>
      <c r="Q597" s="70"/>
      <c r="R597" s="70"/>
      <c r="S597" s="70"/>
      <c r="T597" s="70"/>
      <c r="U597" s="70"/>
      <c r="V597" s="70"/>
      <c r="W597" s="70"/>
      <c r="X597" s="70"/>
      <c r="Y597" s="70"/>
      <c r="Z597" s="70"/>
    </row>
    <row r="598">
      <c r="A598" s="78"/>
      <c r="B598" s="78"/>
      <c r="C598" s="80"/>
      <c r="D598" s="80"/>
      <c r="E598" s="82"/>
      <c r="F598" s="82"/>
      <c r="G598" s="82"/>
      <c r="H598" s="82"/>
      <c r="I598" s="34"/>
      <c r="J598" s="83"/>
      <c r="K598" s="83"/>
      <c r="L598" s="83"/>
      <c r="M598" s="70"/>
      <c r="N598" s="70"/>
      <c r="O598" s="70"/>
      <c r="P598" s="70"/>
      <c r="Q598" s="70"/>
      <c r="R598" s="70"/>
      <c r="S598" s="70"/>
      <c r="T598" s="70"/>
      <c r="U598" s="70"/>
      <c r="V598" s="70"/>
      <c r="W598" s="70"/>
      <c r="X598" s="70"/>
      <c r="Y598" s="70"/>
      <c r="Z598" s="70"/>
    </row>
    <row r="599">
      <c r="A599" s="78"/>
      <c r="B599" s="78"/>
      <c r="C599" s="80"/>
      <c r="D599" s="80"/>
      <c r="E599" s="82"/>
      <c r="F599" s="82"/>
      <c r="G599" s="82"/>
      <c r="H599" s="82"/>
      <c r="I599" s="34"/>
      <c r="J599" s="83"/>
      <c r="K599" s="83"/>
      <c r="L599" s="83"/>
      <c r="M599" s="70"/>
      <c r="N599" s="70"/>
      <c r="O599" s="70"/>
      <c r="P599" s="70"/>
      <c r="Q599" s="70"/>
      <c r="R599" s="70"/>
      <c r="S599" s="70"/>
      <c r="T599" s="70"/>
      <c r="U599" s="70"/>
      <c r="V599" s="70"/>
      <c r="W599" s="70"/>
      <c r="X599" s="70"/>
      <c r="Y599" s="70"/>
      <c r="Z599" s="70"/>
    </row>
    <row r="600">
      <c r="A600" s="78"/>
      <c r="B600" s="78"/>
      <c r="C600" s="80"/>
      <c r="D600" s="80"/>
      <c r="E600" s="82"/>
      <c r="F600" s="82"/>
      <c r="G600" s="82"/>
      <c r="H600" s="82"/>
      <c r="I600" s="34"/>
      <c r="J600" s="83"/>
      <c r="K600" s="83"/>
      <c r="L600" s="83"/>
      <c r="M600" s="70"/>
      <c r="N600" s="70"/>
      <c r="O600" s="70"/>
      <c r="P600" s="70"/>
      <c r="Q600" s="70"/>
      <c r="R600" s="70"/>
      <c r="S600" s="70"/>
      <c r="T600" s="70"/>
      <c r="U600" s="70"/>
      <c r="V600" s="70"/>
      <c r="W600" s="70"/>
      <c r="X600" s="70"/>
      <c r="Y600" s="70"/>
      <c r="Z600" s="70"/>
    </row>
    <row r="601">
      <c r="A601" s="78"/>
      <c r="B601" s="78"/>
      <c r="C601" s="80"/>
      <c r="D601" s="80"/>
      <c r="E601" s="82"/>
      <c r="F601" s="82"/>
      <c r="G601" s="82"/>
      <c r="H601" s="82"/>
      <c r="I601" s="34"/>
      <c r="J601" s="83"/>
      <c r="K601" s="83"/>
      <c r="L601" s="83"/>
      <c r="M601" s="70"/>
      <c r="N601" s="70"/>
      <c r="O601" s="70"/>
      <c r="P601" s="70"/>
      <c r="Q601" s="70"/>
      <c r="R601" s="70"/>
      <c r="S601" s="70"/>
      <c r="T601" s="70"/>
      <c r="U601" s="70"/>
      <c r="V601" s="70"/>
      <c r="W601" s="70"/>
      <c r="X601" s="70"/>
      <c r="Y601" s="70"/>
      <c r="Z601" s="70"/>
    </row>
    <row r="602">
      <c r="A602" s="78"/>
      <c r="B602" s="78"/>
      <c r="C602" s="80"/>
      <c r="D602" s="80"/>
      <c r="E602" s="82"/>
      <c r="F602" s="82"/>
      <c r="G602" s="82"/>
      <c r="H602" s="82"/>
      <c r="I602" s="34"/>
      <c r="J602" s="83"/>
      <c r="K602" s="83"/>
      <c r="L602" s="83"/>
      <c r="M602" s="70"/>
      <c r="N602" s="70"/>
      <c r="O602" s="70"/>
      <c r="P602" s="70"/>
      <c r="Q602" s="70"/>
      <c r="R602" s="70"/>
      <c r="S602" s="70"/>
      <c r="T602" s="70"/>
      <c r="U602" s="70"/>
      <c r="V602" s="70"/>
      <c r="W602" s="70"/>
      <c r="X602" s="70"/>
      <c r="Y602" s="70"/>
      <c r="Z602" s="70"/>
    </row>
    <row r="603">
      <c r="A603" s="78"/>
      <c r="B603" s="78"/>
      <c r="C603" s="80"/>
      <c r="D603" s="80"/>
      <c r="E603" s="82"/>
      <c r="F603" s="82"/>
      <c r="G603" s="82"/>
      <c r="H603" s="82"/>
      <c r="I603" s="34"/>
      <c r="J603" s="83"/>
      <c r="K603" s="83"/>
      <c r="L603" s="83"/>
      <c r="M603" s="70"/>
      <c r="N603" s="70"/>
      <c r="O603" s="70"/>
      <c r="P603" s="70"/>
      <c r="Q603" s="70"/>
      <c r="R603" s="70"/>
      <c r="S603" s="70"/>
      <c r="T603" s="70"/>
      <c r="U603" s="70"/>
      <c r="V603" s="70"/>
      <c r="W603" s="70"/>
      <c r="X603" s="70"/>
      <c r="Y603" s="70"/>
      <c r="Z603" s="70"/>
    </row>
    <row r="604">
      <c r="A604" s="78"/>
      <c r="B604" s="78"/>
      <c r="C604" s="80"/>
      <c r="D604" s="80"/>
      <c r="E604" s="82"/>
      <c r="F604" s="82"/>
      <c r="G604" s="82"/>
      <c r="H604" s="82"/>
      <c r="I604" s="34"/>
      <c r="J604" s="83"/>
      <c r="K604" s="83"/>
      <c r="L604" s="83"/>
      <c r="M604" s="70"/>
      <c r="N604" s="70"/>
      <c r="O604" s="70"/>
      <c r="P604" s="70"/>
      <c r="Q604" s="70"/>
      <c r="R604" s="70"/>
      <c r="S604" s="70"/>
      <c r="T604" s="70"/>
      <c r="U604" s="70"/>
      <c r="V604" s="70"/>
      <c r="W604" s="70"/>
      <c r="X604" s="70"/>
      <c r="Y604" s="70"/>
      <c r="Z604" s="70"/>
    </row>
    <row r="605">
      <c r="A605" s="78"/>
      <c r="B605" s="78"/>
      <c r="C605" s="80"/>
      <c r="D605" s="80"/>
      <c r="E605" s="82"/>
      <c r="F605" s="82"/>
      <c r="G605" s="82"/>
      <c r="H605" s="82"/>
      <c r="I605" s="34"/>
      <c r="J605" s="83"/>
      <c r="K605" s="83"/>
      <c r="L605" s="83"/>
      <c r="M605" s="70"/>
      <c r="N605" s="70"/>
      <c r="O605" s="70"/>
      <c r="P605" s="70"/>
      <c r="Q605" s="70"/>
      <c r="R605" s="70"/>
      <c r="S605" s="70"/>
      <c r="T605" s="70"/>
      <c r="U605" s="70"/>
      <c r="V605" s="70"/>
      <c r="W605" s="70"/>
      <c r="X605" s="70"/>
      <c r="Y605" s="70"/>
      <c r="Z605" s="70"/>
    </row>
    <row r="606">
      <c r="A606" s="78"/>
      <c r="B606" s="78"/>
      <c r="C606" s="80"/>
      <c r="D606" s="80"/>
      <c r="E606" s="82"/>
      <c r="F606" s="82"/>
      <c r="G606" s="82"/>
      <c r="H606" s="82"/>
      <c r="I606" s="34"/>
      <c r="J606" s="83"/>
      <c r="K606" s="83"/>
      <c r="L606" s="83"/>
      <c r="M606" s="70"/>
      <c r="N606" s="70"/>
      <c r="O606" s="70"/>
      <c r="P606" s="70"/>
      <c r="Q606" s="70"/>
      <c r="R606" s="70"/>
      <c r="S606" s="70"/>
      <c r="T606" s="70"/>
      <c r="U606" s="70"/>
      <c r="V606" s="70"/>
      <c r="W606" s="70"/>
      <c r="X606" s="70"/>
      <c r="Y606" s="70"/>
      <c r="Z606" s="70"/>
    </row>
    <row r="607">
      <c r="A607" s="78"/>
      <c r="B607" s="78"/>
      <c r="C607" s="80"/>
      <c r="D607" s="80"/>
      <c r="E607" s="82"/>
      <c r="F607" s="82"/>
      <c r="G607" s="82"/>
      <c r="H607" s="82"/>
      <c r="I607" s="34"/>
      <c r="J607" s="83"/>
      <c r="K607" s="83"/>
      <c r="L607" s="83"/>
      <c r="M607" s="70"/>
      <c r="N607" s="70"/>
      <c r="O607" s="70"/>
      <c r="P607" s="70"/>
      <c r="Q607" s="70"/>
      <c r="R607" s="70"/>
      <c r="S607" s="70"/>
      <c r="T607" s="70"/>
      <c r="U607" s="70"/>
      <c r="V607" s="70"/>
      <c r="W607" s="70"/>
      <c r="X607" s="70"/>
      <c r="Y607" s="70"/>
      <c r="Z607" s="70"/>
    </row>
    <row r="608">
      <c r="A608" s="78"/>
      <c r="B608" s="78"/>
      <c r="C608" s="80"/>
      <c r="D608" s="80"/>
      <c r="E608" s="82"/>
      <c r="F608" s="82"/>
      <c r="G608" s="82"/>
      <c r="H608" s="82"/>
      <c r="I608" s="34"/>
      <c r="J608" s="83"/>
      <c r="K608" s="83"/>
      <c r="L608" s="83"/>
      <c r="M608" s="70"/>
      <c r="N608" s="70"/>
      <c r="O608" s="70"/>
      <c r="P608" s="70"/>
      <c r="Q608" s="70"/>
      <c r="R608" s="70"/>
      <c r="S608" s="70"/>
      <c r="T608" s="70"/>
      <c r="U608" s="70"/>
      <c r="V608" s="70"/>
      <c r="W608" s="70"/>
      <c r="X608" s="70"/>
      <c r="Y608" s="70"/>
      <c r="Z608" s="70"/>
    </row>
    <row r="609">
      <c r="A609" s="78"/>
      <c r="B609" s="78"/>
      <c r="C609" s="80"/>
      <c r="D609" s="80"/>
      <c r="E609" s="82"/>
      <c r="F609" s="82"/>
      <c r="G609" s="82"/>
      <c r="H609" s="82"/>
      <c r="I609" s="34"/>
      <c r="J609" s="83"/>
      <c r="K609" s="83"/>
      <c r="L609" s="83"/>
      <c r="M609" s="70"/>
      <c r="N609" s="70"/>
      <c r="O609" s="70"/>
      <c r="P609" s="70"/>
      <c r="Q609" s="70"/>
      <c r="R609" s="70"/>
      <c r="S609" s="70"/>
      <c r="T609" s="70"/>
      <c r="U609" s="70"/>
      <c r="V609" s="70"/>
      <c r="W609" s="70"/>
      <c r="X609" s="70"/>
      <c r="Y609" s="70"/>
      <c r="Z609" s="70"/>
    </row>
    <row r="610">
      <c r="A610" s="78"/>
      <c r="B610" s="78"/>
      <c r="C610" s="80"/>
      <c r="D610" s="80"/>
      <c r="E610" s="82"/>
      <c r="F610" s="82"/>
      <c r="G610" s="82"/>
      <c r="H610" s="82"/>
      <c r="I610" s="34"/>
      <c r="J610" s="83"/>
      <c r="K610" s="83"/>
      <c r="L610" s="83"/>
      <c r="M610" s="70"/>
      <c r="N610" s="70"/>
      <c r="O610" s="70"/>
      <c r="P610" s="70"/>
      <c r="Q610" s="70"/>
      <c r="R610" s="70"/>
      <c r="S610" s="70"/>
      <c r="T610" s="70"/>
      <c r="U610" s="70"/>
      <c r="V610" s="70"/>
      <c r="W610" s="70"/>
      <c r="X610" s="70"/>
      <c r="Y610" s="70"/>
      <c r="Z610" s="70"/>
    </row>
    <row r="611">
      <c r="A611" s="78"/>
      <c r="B611" s="78"/>
      <c r="C611" s="80"/>
      <c r="D611" s="80"/>
      <c r="E611" s="82"/>
      <c r="F611" s="82"/>
      <c r="G611" s="82"/>
      <c r="H611" s="82"/>
      <c r="I611" s="34"/>
      <c r="J611" s="83"/>
      <c r="K611" s="83"/>
      <c r="L611" s="83"/>
      <c r="M611" s="70"/>
      <c r="N611" s="70"/>
      <c r="O611" s="70"/>
      <c r="P611" s="70"/>
      <c r="Q611" s="70"/>
      <c r="R611" s="70"/>
      <c r="S611" s="70"/>
      <c r="T611" s="70"/>
      <c r="U611" s="70"/>
      <c r="V611" s="70"/>
      <c r="W611" s="70"/>
      <c r="X611" s="70"/>
      <c r="Y611" s="70"/>
      <c r="Z611" s="70"/>
    </row>
    <row r="612">
      <c r="A612" s="78"/>
      <c r="B612" s="78"/>
      <c r="C612" s="80"/>
      <c r="D612" s="80"/>
      <c r="E612" s="82"/>
      <c r="F612" s="82"/>
      <c r="G612" s="82"/>
      <c r="H612" s="82"/>
      <c r="I612" s="34"/>
      <c r="J612" s="83"/>
      <c r="K612" s="83"/>
      <c r="L612" s="83"/>
      <c r="M612" s="70"/>
      <c r="N612" s="70"/>
      <c r="O612" s="70"/>
      <c r="P612" s="70"/>
      <c r="Q612" s="70"/>
      <c r="R612" s="70"/>
      <c r="S612" s="70"/>
      <c r="T612" s="70"/>
      <c r="U612" s="70"/>
      <c r="V612" s="70"/>
      <c r="W612" s="70"/>
      <c r="X612" s="70"/>
      <c r="Y612" s="70"/>
      <c r="Z612" s="70"/>
    </row>
    <row r="613">
      <c r="A613" s="78"/>
      <c r="B613" s="78"/>
      <c r="C613" s="80"/>
      <c r="D613" s="80"/>
      <c r="E613" s="82"/>
      <c r="F613" s="82"/>
      <c r="G613" s="82"/>
      <c r="H613" s="82"/>
      <c r="I613" s="34"/>
      <c r="J613" s="83"/>
      <c r="K613" s="83"/>
      <c r="L613" s="83"/>
      <c r="M613" s="70"/>
      <c r="N613" s="70"/>
      <c r="O613" s="70"/>
      <c r="P613" s="70"/>
      <c r="Q613" s="70"/>
      <c r="R613" s="70"/>
      <c r="S613" s="70"/>
      <c r="T613" s="70"/>
      <c r="U613" s="70"/>
      <c r="V613" s="70"/>
      <c r="W613" s="70"/>
      <c r="X613" s="70"/>
      <c r="Y613" s="70"/>
      <c r="Z613" s="70"/>
    </row>
    <row r="614">
      <c r="A614" s="78"/>
      <c r="B614" s="78"/>
      <c r="C614" s="80"/>
      <c r="D614" s="80"/>
      <c r="E614" s="82"/>
      <c r="F614" s="82"/>
      <c r="G614" s="82"/>
      <c r="H614" s="82"/>
      <c r="I614" s="34"/>
      <c r="J614" s="83"/>
      <c r="K614" s="83"/>
      <c r="L614" s="83"/>
      <c r="M614" s="70"/>
      <c r="N614" s="70"/>
      <c r="O614" s="70"/>
      <c r="P614" s="70"/>
      <c r="Q614" s="70"/>
      <c r="R614" s="70"/>
      <c r="S614" s="70"/>
      <c r="T614" s="70"/>
      <c r="U614" s="70"/>
      <c r="V614" s="70"/>
      <c r="W614" s="70"/>
      <c r="X614" s="70"/>
      <c r="Y614" s="70"/>
      <c r="Z614" s="70"/>
    </row>
    <row r="615">
      <c r="A615" s="78"/>
      <c r="B615" s="78"/>
      <c r="C615" s="80"/>
      <c r="D615" s="80"/>
      <c r="E615" s="82"/>
      <c r="F615" s="82"/>
      <c r="G615" s="82"/>
      <c r="H615" s="82"/>
      <c r="I615" s="34"/>
      <c r="J615" s="83"/>
      <c r="K615" s="83"/>
      <c r="L615" s="83"/>
      <c r="M615" s="70"/>
      <c r="N615" s="70"/>
      <c r="O615" s="70"/>
      <c r="P615" s="70"/>
      <c r="Q615" s="70"/>
      <c r="R615" s="70"/>
      <c r="S615" s="70"/>
      <c r="T615" s="70"/>
      <c r="U615" s="70"/>
      <c r="V615" s="70"/>
      <c r="W615" s="70"/>
      <c r="X615" s="70"/>
      <c r="Y615" s="70"/>
      <c r="Z615" s="70"/>
    </row>
    <row r="616">
      <c r="A616" s="78"/>
      <c r="B616" s="78"/>
      <c r="C616" s="80"/>
      <c r="D616" s="80"/>
      <c r="E616" s="82"/>
      <c r="F616" s="82"/>
      <c r="G616" s="82"/>
      <c r="H616" s="82"/>
      <c r="I616" s="34"/>
      <c r="J616" s="83"/>
      <c r="K616" s="83"/>
      <c r="L616" s="83"/>
      <c r="M616" s="70"/>
      <c r="N616" s="70"/>
      <c r="O616" s="70"/>
      <c r="P616" s="70"/>
      <c r="Q616" s="70"/>
      <c r="R616" s="70"/>
      <c r="S616" s="70"/>
      <c r="T616" s="70"/>
      <c r="U616" s="70"/>
      <c r="V616" s="70"/>
      <c r="W616" s="70"/>
      <c r="X616" s="70"/>
      <c r="Y616" s="70"/>
      <c r="Z616" s="70"/>
    </row>
    <row r="617">
      <c r="A617" s="78"/>
      <c r="B617" s="78"/>
      <c r="C617" s="80"/>
      <c r="D617" s="80"/>
      <c r="E617" s="82"/>
      <c r="F617" s="82"/>
      <c r="G617" s="82"/>
      <c r="H617" s="82"/>
      <c r="I617" s="34"/>
      <c r="J617" s="83"/>
      <c r="K617" s="83"/>
      <c r="L617" s="83"/>
      <c r="M617" s="70"/>
      <c r="N617" s="70"/>
      <c r="O617" s="70"/>
      <c r="P617" s="70"/>
      <c r="Q617" s="70"/>
      <c r="R617" s="70"/>
      <c r="S617" s="70"/>
      <c r="T617" s="70"/>
      <c r="U617" s="70"/>
      <c r="V617" s="70"/>
      <c r="W617" s="70"/>
      <c r="X617" s="70"/>
      <c r="Y617" s="70"/>
      <c r="Z617" s="70"/>
    </row>
    <row r="618">
      <c r="A618" s="78"/>
      <c r="B618" s="78"/>
      <c r="C618" s="80"/>
      <c r="D618" s="80"/>
      <c r="E618" s="82"/>
      <c r="F618" s="82"/>
      <c r="G618" s="82"/>
      <c r="H618" s="82"/>
      <c r="I618" s="34"/>
      <c r="J618" s="83"/>
      <c r="K618" s="83"/>
      <c r="L618" s="83"/>
      <c r="M618" s="70"/>
      <c r="N618" s="70"/>
      <c r="O618" s="70"/>
      <c r="P618" s="70"/>
      <c r="Q618" s="70"/>
      <c r="R618" s="70"/>
      <c r="S618" s="70"/>
      <c r="T618" s="70"/>
      <c r="U618" s="70"/>
      <c r="V618" s="70"/>
      <c r="W618" s="70"/>
      <c r="X618" s="70"/>
      <c r="Y618" s="70"/>
      <c r="Z618" s="70"/>
    </row>
    <row r="619">
      <c r="A619" s="78"/>
      <c r="B619" s="78"/>
      <c r="C619" s="80"/>
      <c r="D619" s="80"/>
      <c r="E619" s="82"/>
      <c r="F619" s="82"/>
      <c r="G619" s="82"/>
      <c r="H619" s="82"/>
      <c r="I619" s="34"/>
      <c r="J619" s="83"/>
      <c r="K619" s="83"/>
      <c r="L619" s="83"/>
      <c r="M619" s="70"/>
      <c r="N619" s="70"/>
      <c r="O619" s="70"/>
      <c r="P619" s="70"/>
      <c r="Q619" s="70"/>
      <c r="R619" s="70"/>
      <c r="S619" s="70"/>
      <c r="T619" s="70"/>
      <c r="U619" s="70"/>
      <c r="V619" s="70"/>
      <c r="W619" s="70"/>
      <c r="X619" s="70"/>
      <c r="Y619" s="70"/>
      <c r="Z619" s="70"/>
    </row>
    <row r="620">
      <c r="A620" s="78"/>
      <c r="B620" s="78"/>
      <c r="C620" s="80"/>
      <c r="D620" s="80"/>
      <c r="E620" s="82"/>
      <c r="F620" s="82"/>
      <c r="G620" s="82"/>
      <c r="H620" s="82"/>
      <c r="I620" s="34"/>
      <c r="J620" s="83"/>
      <c r="K620" s="83"/>
      <c r="L620" s="83"/>
      <c r="M620" s="70"/>
      <c r="N620" s="70"/>
      <c r="O620" s="70"/>
      <c r="P620" s="70"/>
      <c r="Q620" s="70"/>
      <c r="R620" s="70"/>
      <c r="S620" s="70"/>
      <c r="T620" s="70"/>
      <c r="U620" s="70"/>
      <c r="V620" s="70"/>
      <c r="W620" s="70"/>
      <c r="X620" s="70"/>
      <c r="Y620" s="70"/>
      <c r="Z620" s="70"/>
    </row>
    <row r="621">
      <c r="A621" s="78"/>
      <c r="B621" s="78"/>
      <c r="C621" s="80"/>
      <c r="D621" s="80"/>
      <c r="E621" s="82"/>
      <c r="F621" s="82"/>
      <c r="G621" s="82"/>
      <c r="H621" s="82"/>
      <c r="I621" s="34"/>
      <c r="J621" s="83"/>
      <c r="K621" s="83"/>
      <c r="L621" s="83"/>
      <c r="M621" s="70"/>
      <c r="N621" s="70"/>
      <c r="O621" s="70"/>
      <c r="P621" s="70"/>
      <c r="Q621" s="70"/>
      <c r="R621" s="70"/>
      <c r="S621" s="70"/>
      <c r="T621" s="70"/>
      <c r="U621" s="70"/>
      <c r="V621" s="70"/>
      <c r="W621" s="70"/>
      <c r="X621" s="70"/>
      <c r="Y621" s="70"/>
      <c r="Z621" s="70"/>
    </row>
    <row r="622">
      <c r="A622" s="78"/>
      <c r="B622" s="78"/>
      <c r="C622" s="80"/>
      <c r="D622" s="80"/>
      <c r="E622" s="82"/>
      <c r="F622" s="82"/>
      <c r="G622" s="82"/>
      <c r="H622" s="82"/>
      <c r="I622" s="34"/>
      <c r="J622" s="83"/>
      <c r="K622" s="83"/>
      <c r="L622" s="83"/>
      <c r="M622" s="70"/>
      <c r="N622" s="70"/>
      <c r="O622" s="70"/>
      <c r="P622" s="70"/>
      <c r="Q622" s="70"/>
      <c r="R622" s="70"/>
      <c r="S622" s="70"/>
      <c r="T622" s="70"/>
      <c r="U622" s="70"/>
      <c r="V622" s="70"/>
      <c r="W622" s="70"/>
      <c r="X622" s="70"/>
      <c r="Y622" s="70"/>
      <c r="Z622" s="70"/>
    </row>
    <row r="623">
      <c r="A623" s="78"/>
      <c r="B623" s="78"/>
      <c r="C623" s="80"/>
      <c r="D623" s="80"/>
      <c r="E623" s="82"/>
      <c r="F623" s="82"/>
      <c r="G623" s="82"/>
      <c r="H623" s="82"/>
      <c r="I623" s="34"/>
      <c r="J623" s="83"/>
      <c r="K623" s="83"/>
      <c r="L623" s="83"/>
      <c r="M623" s="70"/>
      <c r="N623" s="70"/>
      <c r="O623" s="70"/>
      <c r="P623" s="70"/>
      <c r="Q623" s="70"/>
      <c r="R623" s="70"/>
      <c r="S623" s="70"/>
      <c r="T623" s="70"/>
      <c r="U623" s="70"/>
      <c r="V623" s="70"/>
      <c r="W623" s="70"/>
      <c r="X623" s="70"/>
      <c r="Y623" s="70"/>
      <c r="Z623" s="70"/>
    </row>
    <row r="624">
      <c r="A624" s="78"/>
      <c r="B624" s="78"/>
      <c r="C624" s="80"/>
      <c r="D624" s="80"/>
      <c r="E624" s="82"/>
      <c r="F624" s="82"/>
      <c r="G624" s="82"/>
      <c r="H624" s="82"/>
      <c r="I624" s="34"/>
      <c r="J624" s="83"/>
      <c r="K624" s="83"/>
      <c r="L624" s="83"/>
      <c r="M624" s="70"/>
      <c r="N624" s="70"/>
      <c r="O624" s="70"/>
      <c r="P624" s="70"/>
      <c r="Q624" s="70"/>
      <c r="R624" s="70"/>
      <c r="S624" s="70"/>
      <c r="T624" s="70"/>
      <c r="U624" s="70"/>
      <c r="V624" s="70"/>
      <c r="W624" s="70"/>
      <c r="X624" s="70"/>
      <c r="Y624" s="70"/>
      <c r="Z624" s="70"/>
    </row>
    <row r="625">
      <c r="A625" s="78"/>
      <c r="B625" s="78"/>
      <c r="C625" s="80"/>
      <c r="D625" s="80"/>
      <c r="E625" s="82"/>
      <c r="F625" s="82"/>
      <c r="G625" s="82"/>
      <c r="H625" s="82"/>
      <c r="I625" s="34"/>
      <c r="J625" s="83"/>
      <c r="K625" s="83"/>
      <c r="L625" s="83"/>
      <c r="M625" s="70"/>
      <c r="N625" s="70"/>
      <c r="O625" s="70"/>
      <c r="P625" s="70"/>
      <c r="Q625" s="70"/>
      <c r="R625" s="70"/>
      <c r="S625" s="70"/>
      <c r="T625" s="70"/>
      <c r="U625" s="70"/>
      <c r="V625" s="70"/>
      <c r="W625" s="70"/>
      <c r="X625" s="70"/>
      <c r="Y625" s="70"/>
      <c r="Z625" s="70"/>
    </row>
    <row r="626">
      <c r="A626" s="78"/>
      <c r="B626" s="78"/>
      <c r="C626" s="80"/>
      <c r="D626" s="80"/>
      <c r="E626" s="82"/>
      <c r="F626" s="82"/>
      <c r="G626" s="82"/>
      <c r="H626" s="82"/>
      <c r="I626" s="34"/>
      <c r="J626" s="83"/>
      <c r="K626" s="83"/>
      <c r="L626" s="83"/>
      <c r="M626" s="70"/>
      <c r="N626" s="70"/>
      <c r="O626" s="70"/>
      <c r="P626" s="70"/>
      <c r="Q626" s="70"/>
      <c r="R626" s="70"/>
      <c r="S626" s="70"/>
      <c r="T626" s="70"/>
      <c r="U626" s="70"/>
      <c r="V626" s="70"/>
      <c r="W626" s="70"/>
      <c r="X626" s="70"/>
      <c r="Y626" s="70"/>
      <c r="Z626" s="70"/>
    </row>
    <row r="627">
      <c r="A627" s="78"/>
      <c r="B627" s="78"/>
      <c r="C627" s="80"/>
      <c r="D627" s="80"/>
      <c r="E627" s="82"/>
      <c r="F627" s="82"/>
      <c r="G627" s="82"/>
      <c r="H627" s="82"/>
      <c r="I627" s="34"/>
      <c r="J627" s="83"/>
      <c r="K627" s="83"/>
      <c r="L627" s="83"/>
      <c r="M627" s="70"/>
      <c r="N627" s="70"/>
      <c r="O627" s="70"/>
      <c r="P627" s="70"/>
      <c r="Q627" s="70"/>
      <c r="R627" s="70"/>
      <c r="S627" s="70"/>
      <c r="T627" s="70"/>
      <c r="U627" s="70"/>
      <c r="V627" s="70"/>
      <c r="W627" s="70"/>
      <c r="X627" s="70"/>
      <c r="Y627" s="70"/>
      <c r="Z627" s="70"/>
    </row>
    <row r="628">
      <c r="A628" s="78"/>
      <c r="B628" s="78"/>
      <c r="C628" s="80"/>
      <c r="D628" s="80"/>
      <c r="E628" s="82"/>
      <c r="F628" s="82"/>
      <c r="G628" s="82"/>
      <c r="H628" s="82"/>
      <c r="I628" s="34"/>
      <c r="J628" s="83"/>
      <c r="K628" s="83"/>
      <c r="L628" s="83"/>
      <c r="M628" s="70"/>
      <c r="N628" s="70"/>
      <c r="O628" s="70"/>
      <c r="P628" s="70"/>
      <c r="Q628" s="70"/>
      <c r="R628" s="70"/>
      <c r="S628" s="70"/>
      <c r="T628" s="70"/>
      <c r="U628" s="70"/>
      <c r="V628" s="70"/>
      <c r="W628" s="70"/>
      <c r="X628" s="70"/>
      <c r="Y628" s="70"/>
      <c r="Z628" s="70"/>
    </row>
    <row r="629">
      <c r="A629" s="78"/>
      <c r="B629" s="78"/>
      <c r="C629" s="80"/>
      <c r="D629" s="80"/>
      <c r="E629" s="82"/>
      <c r="F629" s="82"/>
      <c r="G629" s="82"/>
      <c r="H629" s="82"/>
      <c r="I629" s="34"/>
      <c r="J629" s="83"/>
      <c r="K629" s="83"/>
      <c r="L629" s="83"/>
      <c r="M629" s="70"/>
      <c r="N629" s="70"/>
      <c r="O629" s="70"/>
      <c r="P629" s="70"/>
      <c r="Q629" s="70"/>
      <c r="R629" s="70"/>
      <c r="S629" s="70"/>
      <c r="T629" s="70"/>
      <c r="U629" s="70"/>
      <c r="V629" s="70"/>
      <c r="W629" s="70"/>
      <c r="X629" s="70"/>
      <c r="Y629" s="70"/>
      <c r="Z629" s="70"/>
    </row>
    <row r="630">
      <c r="A630" s="78"/>
      <c r="B630" s="78"/>
      <c r="C630" s="80"/>
      <c r="D630" s="80"/>
      <c r="E630" s="82"/>
      <c r="F630" s="82"/>
      <c r="G630" s="82"/>
      <c r="H630" s="82"/>
      <c r="I630" s="34"/>
      <c r="J630" s="83"/>
      <c r="K630" s="83"/>
      <c r="L630" s="83"/>
      <c r="M630" s="70"/>
      <c r="N630" s="70"/>
      <c r="O630" s="70"/>
      <c r="P630" s="70"/>
      <c r="Q630" s="70"/>
      <c r="R630" s="70"/>
      <c r="S630" s="70"/>
      <c r="T630" s="70"/>
      <c r="U630" s="70"/>
      <c r="V630" s="70"/>
      <c r="W630" s="70"/>
      <c r="X630" s="70"/>
      <c r="Y630" s="70"/>
      <c r="Z630" s="70"/>
    </row>
    <row r="631">
      <c r="A631" s="78"/>
      <c r="B631" s="78"/>
      <c r="C631" s="80"/>
      <c r="D631" s="80"/>
      <c r="E631" s="82"/>
      <c r="F631" s="82"/>
      <c r="G631" s="82"/>
      <c r="H631" s="82"/>
      <c r="I631" s="34"/>
      <c r="J631" s="83"/>
      <c r="K631" s="83"/>
      <c r="L631" s="83"/>
      <c r="M631" s="70"/>
      <c r="N631" s="70"/>
      <c r="O631" s="70"/>
      <c r="P631" s="70"/>
      <c r="Q631" s="70"/>
      <c r="R631" s="70"/>
      <c r="S631" s="70"/>
      <c r="T631" s="70"/>
      <c r="U631" s="70"/>
      <c r="V631" s="70"/>
      <c r="W631" s="70"/>
      <c r="X631" s="70"/>
      <c r="Y631" s="70"/>
      <c r="Z631" s="70"/>
    </row>
    <row r="632">
      <c r="A632" s="78"/>
      <c r="B632" s="78"/>
      <c r="C632" s="80"/>
      <c r="D632" s="80"/>
      <c r="E632" s="82"/>
      <c r="F632" s="82"/>
      <c r="G632" s="82"/>
      <c r="H632" s="82"/>
      <c r="I632" s="34"/>
      <c r="J632" s="83"/>
      <c r="K632" s="83"/>
      <c r="L632" s="83"/>
      <c r="M632" s="70"/>
      <c r="N632" s="70"/>
      <c r="O632" s="70"/>
      <c r="P632" s="70"/>
      <c r="Q632" s="70"/>
      <c r="R632" s="70"/>
      <c r="S632" s="70"/>
      <c r="T632" s="70"/>
      <c r="U632" s="70"/>
      <c r="V632" s="70"/>
      <c r="W632" s="70"/>
      <c r="X632" s="70"/>
      <c r="Y632" s="70"/>
      <c r="Z632" s="70"/>
    </row>
    <row r="633">
      <c r="A633" s="78"/>
      <c r="B633" s="78"/>
      <c r="C633" s="80"/>
      <c r="D633" s="80"/>
      <c r="E633" s="82"/>
      <c r="F633" s="82"/>
      <c r="G633" s="82"/>
      <c r="H633" s="82"/>
      <c r="I633" s="34"/>
      <c r="J633" s="83"/>
      <c r="K633" s="83"/>
      <c r="L633" s="83"/>
      <c r="M633" s="70"/>
      <c r="N633" s="70"/>
      <c r="O633" s="70"/>
      <c r="P633" s="70"/>
      <c r="Q633" s="70"/>
      <c r="R633" s="70"/>
      <c r="S633" s="70"/>
      <c r="T633" s="70"/>
      <c r="U633" s="70"/>
      <c r="V633" s="70"/>
      <c r="W633" s="70"/>
      <c r="X633" s="70"/>
      <c r="Y633" s="70"/>
      <c r="Z633" s="70"/>
    </row>
    <row r="634">
      <c r="A634" s="78"/>
      <c r="B634" s="78"/>
      <c r="C634" s="80"/>
      <c r="D634" s="80"/>
      <c r="E634" s="82"/>
      <c r="F634" s="82"/>
      <c r="G634" s="82"/>
      <c r="H634" s="82"/>
      <c r="I634" s="34"/>
      <c r="J634" s="83"/>
      <c r="K634" s="83"/>
      <c r="L634" s="83"/>
      <c r="M634" s="70"/>
      <c r="N634" s="70"/>
      <c r="O634" s="70"/>
      <c r="P634" s="70"/>
      <c r="Q634" s="70"/>
      <c r="R634" s="70"/>
      <c r="S634" s="70"/>
      <c r="T634" s="70"/>
      <c r="U634" s="70"/>
      <c r="V634" s="70"/>
      <c r="W634" s="70"/>
      <c r="X634" s="70"/>
      <c r="Y634" s="70"/>
      <c r="Z634" s="70"/>
    </row>
    <row r="635">
      <c r="A635" s="78"/>
      <c r="B635" s="78"/>
      <c r="C635" s="80"/>
      <c r="D635" s="80"/>
      <c r="E635" s="82"/>
      <c r="F635" s="82"/>
      <c r="G635" s="82"/>
      <c r="H635" s="82"/>
      <c r="I635" s="34"/>
      <c r="J635" s="83"/>
      <c r="K635" s="83"/>
      <c r="L635" s="83"/>
      <c r="M635" s="70"/>
      <c r="N635" s="70"/>
      <c r="O635" s="70"/>
      <c r="P635" s="70"/>
      <c r="Q635" s="70"/>
      <c r="R635" s="70"/>
      <c r="S635" s="70"/>
      <c r="T635" s="70"/>
      <c r="U635" s="70"/>
      <c r="V635" s="70"/>
      <c r="W635" s="70"/>
      <c r="X635" s="70"/>
      <c r="Y635" s="70"/>
      <c r="Z635" s="70"/>
    </row>
    <row r="636">
      <c r="A636" s="78"/>
      <c r="B636" s="78"/>
      <c r="C636" s="80"/>
      <c r="D636" s="80"/>
      <c r="E636" s="82"/>
      <c r="F636" s="82"/>
      <c r="G636" s="82"/>
      <c r="H636" s="82"/>
      <c r="I636" s="34"/>
      <c r="J636" s="83"/>
      <c r="K636" s="83"/>
      <c r="L636" s="83"/>
      <c r="M636" s="70"/>
      <c r="N636" s="70"/>
      <c r="O636" s="70"/>
      <c r="P636" s="70"/>
      <c r="Q636" s="70"/>
      <c r="R636" s="70"/>
      <c r="S636" s="70"/>
      <c r="T636" s="70"/>
      <c r="U636" s="70"/>
      <c r="V636" s="70"/>
      <c r="W636" s="70"/>
      <c r="X636" s="70"/>
      <c r="Y636" s="70"/>
      <c r="Z636" s="70"/>
    </row>
    <row r="637">
      <c r="A637" s="78"/>
      <c r="B637" s="78"/>
      <c r="C637" s="80"/>
      <c r="D637" s="80"/>
      <c r="E637" s="82"/>
      <c r="F637" s="82"/>
      <c r="G637" s="82"/>
      <c r="H637" s="82"/>
      <c r="I637" s="34"/>
      <c r="J637" s="83"/>
      <c r="K637" s="83"/>
      <c r="L637" s="83"/>
      <c r="M637" s="70"/>
      <c r="N637" s="70"/>
      <c r="O637" s="70"/>
      <c r="P637" s="70"/>
      <c r="Q637" s="70"/>
      <c r="R637" s="70"/>
      <c r="S637" s="70"/>
      <c r="T637" s="70"/>
      <c r="U637" s="70"/>
      <c r="V637" s="70"/>
      <c r="W637" s="70"/>
      <c r="X637" s="70"/>
      <c r="Y637" s="70"/>
      <c r="Z637" s="70"/>
    </row>
    <row r="638">
      <c r="A638" s="78"/>
      <c r="B638" s="78"/>
      <c r="C638" s="80"/>
      <c r="D638" s="80"/>
      <c r="E638" s="82"/>
      <c r="F638" s="82"/>
      <c r="G638" s="82"/>
      <c r="H638" s="82"/>
      <c r="I638" s="34"/>
      <c r="J638" s="83"/>
      <c r="K638" s="83"/>
      <c r="L638" s="83"/>
      <c r="M638" s="70"/>
      <c r="N638" s="70"/>
      <c r="O638" s="70"/>
      <c r="P638" s="70"/>
      <c r="Q638" s="70"/>
      <c r="R638" s="70"/>
      <c r="S638" s="70"/>
      <c r="T638" s="70"/>
      <c r="U638" s="70"/>
      <c r="V638" s="70"/>
      <c r="W638" s="70"/>
      <c r="X638" s="70"/>
      <c r="Y638" s="70"/>
      <c r="Z638" s="70"/>
    </row>
    <row r="639">
      <c r="A639" s="78"/>
      <c r="B639" s="78"/>
      <c r="C639" s="80"/>
      <c r="D639" s="80"/>
      <c r="E639" s="82"/>
      <c r="F639" s="82"/>
      <c r="G639" s="82"/>
      <c r="H639" s="82"/>
      <c r="I639" s="34"/>
      <c r="J639" s="83"/>
      <c r="K639" s="83"/>
      <c r="L639" s="83"/>
      <c r="M639" s="70"/>
      <c r="N639" s="70"/>
      <c r="O639" s="70"/>
      <c r="P639" s="70"/>
      <c r="Q639" s="70"/>
      <c r="R639" s="70"/>
      <c r="S639" s="70"/>
      <c r="T639" s="70"/>
      <c r="U639" s="70"/>
      <c r="V639" s="70"/>
      <c r="W639" s="70"/>
      <c r="X639" s="70"/>
      <c r="Y639" s="70"/>
      <c r="Z639" s="70"/>
    </row>
    <row r="640">
      <c r="A640" s="78"/>
      <c r="B640" s="78"/>
      <c r="C640" s="80"/>
      <c r="D640" s="80"/>
      <c r="E640" s="82"/>
      <c r="F640" s="82"/>
      <c r="G640" s="82"/>
      <c r="H640" s="82"/>
      <c r="I640" s="34"/>
      <c r="J640" s="83"/>
      <c r="K640" s="83"/>
      <c r="L640" s="83"/>
      <c r="M640" s="70"/>
      <c r="N640" s="70"/>
      <c r="O640" s="70"/>
      <c r="P640" s="70"/>
      <c r="Q640" s="70"/>
      <c r="R640" s="70"/>
      <c r="S640" s="70"/>
      <c r="T640" s="70"/>
      <c r="U640" s="70"/>
      <c r="V640" s="70"/>
      <c r="W640" s="70"/>
      <c r="X640" s="70"/>
      <c r="Y640" s="70"/>
      <c r="Z640" s="70"/>
    </row>
    <row r="641">
      <c r="A641" s="78"/>
      <c r="B641" s="78"/>
      <c r="C641" s="80"/>
      <c r="D641" s="80"/>
      <c r="E641" s="82"/>
      <c r="F641" s="82"/>
      <c r="G641" s="82"/>
      <c r="H641" s="82"/>
      <c r="I641" s="34"/>
      <c r="J641" s="83"/>
      <c r="K641" s="83"/>
      <c r="L641" s="83"/>
      <c r="M641" s="70"/>
      <c r="N641" s="70"/>
      <c r="O641" s="70"/>
      <c r="P641" s="70"/>
      <c r="Q641" s="70"/>
      <c r="R641" s="70"/>
      <c r="S641" s="70"/>
      <c r="T641" s="70"/>
      <c r="U641" s="70"/>
      <c r="V641" s="70"/>
      <c r="W641" s="70"/>
      <c r="X641" s="70"/>
      <c r="Y641" s="70"/>
      <c r="Z641" s="70"/>
    </row>
    <row r="642">
      <c r="A642" s="78"/>
      <c r="B642" s="78"/>
      <c r="C642" s="80"/>
      <c r="D642" s="80"/>
      <c r="E642" s="82"/>
      <c r="F642" s="82"/>
      <c r="G642" s="82"/>
      <c r="H642" s="82"/>
      <c r="I642" s="34"/>
      <c r="J642" s="83"/>
      <c r="K642" s="83"/>
      <c r="L642" s="83"/>
      <c r="M642" s="70"/>
      <c r="N642" s="70"/>
      <c r="O642" s="70"/>
      <c r="P642" s="70"/>
      <c r="Q642" s="70"/>
      <c r="R642" s="70"/>
      <c r="S642" s="70"/>
      <c r="T642" s="70"/>
      <c r="U642" s="70"/>
      <c r="V642" s="70"/>
      <c r="W642" s="70"/>
      <c r="X642" s="70"/>
      <c r="Y642" s="70"/>
      <c r="Z642" s="70"/>
    </row>
    <row r="643">
      <c r="A643" s="78"/>
      <c r="B643" s="78"/>
      <c r="C643" s="80"/>
      <c r="D643" s="80"/>
      <c r="E643" s="82"/>
      <c r="F643" s="82"/>
      <c r="G643" s="82"/>
      <c r="H643" s="82"/>
      <c r="I643" s="34"/>
      <c r="J643" s="83"/>
      <c r="K643" s="83"/>
      <c r="L643" s="83"/>
      <c r="M643" s="70"/>
      <c r="N643" s="70"/>
      <c r="O643" s="70"/>
      <c r="P643" s="70"/>
      <c r="Q643" s="70"/>
      <c r="R643" s="70"/>
      <c r="S643" s="70"/>
      <c r="T643" s="70"/>
      <c r="U643" s="70"/>
      <c r="V643" s="70"/>
      <c r="W643" s="70"/>
      <c r="X643" s="70"/>
      <c r="Y643" s="70"/>
      <c r="Z643" s="70"/>
    </row>
    <row r="644">
      <c r="A644" s="78"/>
      <c r="B644" s="78"/>
      <c r="C644" s="80"/>
      <c r="D644" s="80"/>
      <c r="E644" s="82"/>
      <c r="F644" s="82"/>
      <c r="G644" s="82"/>
      <c r="H644" s="82"/>
      <c r="I644" s="34"/>
      <c r="J644" s="83"/>
      <c r="K644" s="83"/>
      <c r="L644" s="83"/>
      <c r="M644" s="70"/>
      <c r="N644" s="70"/>
      <c r="O644" s="70"/>
      <c r="P644" s="70"/>
      <c r="Q644" s="70"/>
      <c r="R644" s="70"/>
      <c r="S644" s="70"/>
      <c r="T644" s="70"/>
      <c r="U644" s="70"/>
      <c r="V644" s="70"/>
      <c r="W644" s="70"/>
      <c r="X644" s="70"/>
      <c r="Y644" s="70"/>
      <c r="Z644" s="70"/>
    </row>
    <row r="645">
      <c r="A645" s="78"/>
      <c r="B645" s="78"/>
      <c r="C645" s="80"/>
      <c r="D645" s="80"/>
      <c r="E645" s="82"/>
      <c r="F645" s="82"/>
      <c r="G645" s="82"/>
      <c r="H645" s="82"/>
      <c r="I645" s="34"/>
      <c r="J645" s="83"/>
      <c r="K645" s="83"/>
      <c r="L645" s="83"/>
      <c r="M645" s="70"/>
      <c r="N645" s="70"/>
      <c r="O645" s="70"/>
      <c r="P645" s="70"/>
      <c r="Q645" s="70"/>
      <c r="R645" s="70"/>
      <c r="S645" s="70"/>
      <c r="T645" s="70"/>
      <c r="U645" s="70"/>
      <c r="V645" s="70"/>
      <c r="W645" s="70"/>
      <c r="X645" s="70"/>
      <c r="Y645" s="70"/>
      <c r="Z645" s="70"/>
    </row>
    <row r="646">
      <c r="A646" s="78"/>
      <c r="B646" s="78"/>
      <c r="C646" s="80"/>
      <c r="D646" s="80"/>
      <c r="E646" s="82"/>
      <c r="F646" s="82"/>
      <c r="G646" s="82"/>
      <c r="H646" s="82"/>
      <c r="I646" s="34"/>
      <c r="J646" s="83"/>
      <c r="K646" s="83"/>
      <c r="L646" s="83"/>
      <c r="M646" s="70"/>
      <c r="N646" s="70"/>
      <c r="O646" s="70"/>
      <c r="P646" s="70"/>
      <c r="Q646" s="70"/>
      <c r="R646" s="70"/>
      <c r="S646" s="70"/>
      <c r="T646" s="70"/>
      <c r="U646" s="70"/>
      <c r="V646" s="70"/>
      <c r="W646" s="70"/>
      <c r="X646" s="70"/>
      <c r="Y646" s="70"/>
      <c r="Z646" s="70"/>
    </row>
    <row r="647">
      <c r="A647" s="78"/>
      <c r="B647" s="78"/>
      <c r="C647" s="80"/>
      <c r="D647" s="80"/>
      <c r="E647" s="82"/>
      <c r="F647" s="82"/>
      <c r="G647" s="82"/>
      <c r="H647" s="82"/>
      <c r="I647" s="34"/>
      <c r="J647" s="83"/>
      <c r="K647" s="83"/>
      <c r="L647" s="83"/>
      <c r="M647" s="70"/>
      <c r="N647" s="70"/>
      <c r="O647" s="70"/>
      <c r="P647" s="70"/>
      <c r="Q647" s="70"/>
      <c r="R647" s="70"/>
      <c r="S647" s="70"/>
      <c r="T647" s="70"/>
      <c r="U647" s="70"/>
      <c r="V647" s="70"/>
      <c r="W647" s="70"/>
      <c r="X647" s="70"/>
      <c r="Y647" s="70"/>
      <c r="Z647" s="70"/>
    </row>
    <row r="648">
      <c r="A648" s="78"/>
      <c r="B648" s="78"/>
      <c r="C648" s="80"/>
      <c r="D648" s="80"/>
      <c r="E648" s="82"/>
      <c r="F648" s="82"/>
      <c r="G648" s="82"/>
      <c r="H648" s="82"/>
      <c r="I648" s="34"/>
      <c r="J648" s="83"/>
      <c r="K648" s="83"/>
      <c r="L648" s="83"/>
      <c r="M648" s="70"/>
      <c r="N648" s="70"/>
      <c r="O648" s="70"/>
      <c r="P648" s="70"/>
      <c r="Q648" s="70"/>
      <c r="R648" s="70"/>
      <c r="S648" s="70"/>
      <c r="T648" s="70"/>
      <c r="U648" s="70"/>
      <c r="V648" s="70"/>
      <c r="W648" s="70"/>
      <c r="X648" s="70"/>
      <c r="Y648" s="70"/>
      <c r="Z648" s="70"/>
    </row>
    <row r="649">
      <c r="A649" s="78"/>
      <c r="B649" s="78"/>
      <c r="C649" s="80"/>
      <c r="D649" s="80"/>
      <c r="E649" s="82"/>
      <c r="F649" s="82"/>
      <c r="G649" s="82"/>
      <c r="H649" s="82"/>
      <c r="I649" s="34"/>
      <c r="J649" s="83"/>
      <c r="K649" s="83"/>
      <c r="L649" s="83"/>
      <c r="M649" s="70"/>
      <c r="N649" s="70"/>
      <c r="O649" s="70"/>
      <c r="P649" s="70"/>
      <c r="Q649" s="70"/>
      <c r="R649" s="70"/>
      <c r="S649" s="70"/>
      <c r="T649" s="70"/>
      <c r="U649" s="70"/>
      <c r="V649" s="70"/>
      <c r="W649" s="70"/>
      <c r="X649" s="70"/>
      <c r="Y649" s="70"/>
      <c r="Z649" s="70"/>
    </row>
    <row r="650">
      <c r="A650" s="78"/>
      <c r="B650" s="78"/>
      <c r="C650" s="80"/>
      <c r="D650" s="80"/>
      <c r="E650" s="82"/>
      <c r="F650" s="82"/>
      <c r="G650" s="82"/>
      <c r="H650" s="82"/>
      <c r="I650" s="34"/>
      <c r="J650" s="83"/>
      <c r="K650" s="83"/>
      <c r="L650" s="83"/>
      <c r="M650" s="70"/>
      <c r="N650" s="70"/>
      <c r="O650" s="70"/>
      <c r="P650" s="70"/>
      <c r="Q650" s="70"/>
      <c r="R650" s="70"/>
      <c r="S650" s="70"/>
      <c r="T650" s="70"/>
      <c r="U650" s="70"/>
      <c r="V650" s="70"/>
      <c r="W650" s="70"/>
      <c r="X650" s="70"/>
      <c r="Y650" s="70"/>
      <c r="Z650" s="70"/>
    </row>
    <row r="651">
      <c r="A651" s="78"/>
      <c r="B651" s="78"/>
      <c r="C651" s="80"/>
      <c r="D651" s="80"/>
      <c r="E651" s="82"/>
      <c r="F651" s="82"/>
      <c r="G651" s="82"/>
      <c r="H651" s="82"/>
      <c r="I651" s="34"/>
      <c r="J651" s="83"/>
      <c r="K651" s="83"/>
      <c r="L651" s="83"/>
      <c r="M651" s="70"/>
      <c r="N651" s="70"/>
      <c r="O651" s="70"/>
      <c r="P651" s="70"/>
      <c r="Q651" s="70"/>
      <c r="R651" s="70"/>
      <c r="S651" s="70"/>
      <c r="T651" s="70"/>
      <c r="U651" s="70"/>
      <c r="V651" s="70"/>
      <c r="W651" s="70"/>
      <c r="X651" s="70"/>
      <c r="Y651" s="70"/>
      <c r="Z651" s="70"/>
    </row>
    <row r="652">
      <c r="A652" s="78"/>
      <c r="B652" s="78"/>
      <c r="C652" s="80"/>
      <c r="D652" s="80"/>
      <c r="E652" s="82"/>
      <c r="F652" s="82"/>
      <c r="G652" s="82"/>
      <c r="H652" s="82"/>
      <c r="I652" s="34"/>
      <c r="J652" s="83"/>
      <c r="K652" s="83"/>
      <c r="L652" s="83"/>
      <c r="M652" s="70"/>
      <c r="N652" s="70"/>
      <c r="O652" s="70"/>
      <c r="P652" s="70"/>
      <c r="Q652" s="70"/>
      <c r="R652" s="70"/>
      <c r="S652" s="70"/>
      <c r="T652" s="70"/>
      <c r="U652" s="70"/>
      <c r="V652" s="70"/>
      <c r="W652" s="70"/>
      <c r="X652" s="70"/>
      <c r="Y652" s="70"/>
      <c r="Z652" s="70"/>
    </row>
    <row r="653">
      <c r="A653" s="78"/>
      <c r="B653" s="78"/>
      <c r="C653" s="80"/>
      <c r="D653" s="80"/>
      <c r="E653" s="82"/>
      <c r="F653" s="82"/>
      <c r="G653" s="82"/>
      <c r="H653" s="82"/>
      <c r="I653" s="34"/>
      <c r="J653" s="83"/>
      <c r="K653" s="83"/>
      <c r="L653" s="83"/>
      <c r="M653" s="70"/>
      <c r="N653" s="70"/>
      <c r="O653" s="70"/>
      <c r="P653" s="70"/>
      <c r="Q653" s="70"/>
      <c r="R653" s="70"/>
      <c r="S653" s="70"/>
      <c r="T653" s="70"/>
      <c r="U653" s="70"/>
      <c r="V653" s="70"/>
      <c r="W653" s="70"/>
      <c r="X653" s="70"/>
      <c r="Y653" s="70"/>
      <c r="Z653" s="70"/>
    </row>
    <row r="654">
      <c r="A654" s="78"/>
      <c r="B654" s="78"/>
      <c r="C654" s="80"/>
      <c r="D654" s="80"/>
      <c r="E654" s="82"/>
      <c r="F654" s="82"/>
      <c r="G654" s="82"/>
      <c r="H654" s="82"/>
      <c r="I654" s="34"/>
      <c r="J654" s="83"/>
      <c r="K654" s="83"/>
      <c r="L654" s="83"/>
      <c r="M654" s="70"/>
      <c r="N654" s="70"/>
      <c r="O654" s="70"/>
      <c r="P654" s="70"/>
      <c r="Q654" s="70"/>
      <c r="R654" s="70"/>
      <c r="S654" s="70"/>
      <c r="T654" s="70"/>
      <c r="U654" s="70"/>
      <c r="V654" s="70"/>
      <c r="W654" s="70"/>
      <c r="X654" s="70"/>
      <c r="Y654" s="70"/>
      <c r="Z654" s="70"/>
    </row>
    <row r="655">
      <c r="A655" s="78"/>
      <c r="B655" s="78"/>
      <c r="C655" s="80"/>
      <c r="D655" s="80"/>
      <c r="E655" s="82"/>
      <c r="F655" s="82"/>
      <c r="G655" s="82"/>
      <c r="H655" s="82"/>
      <c r="I655" s="34"/>
      <c r="J655" s="83"/>
      <c r="K655" s="83"/>
      <c r="L655" s="83"/>
      <c r="M655" s="70"/>
      <c r="N655" s="70"/>
      <c r="O655" s="70"/>
      <c r="P655" s="70"/>
      <c r="Q655" s="70"/>
      <c r="R655" s="70"/>
      <c r="S655" s="70"/>
      <c r="T655" s="70"/>
      <c r="U655" s="70"/>
      <c r="V655" s="70"/>
      <c r="W655" s="70"/>
      <c r="X655" s="70"/>
      <c r="Y655" s="70"/>
      <c r="Z655" s="70"/>
    </row>
    <row r="656">
      <c r="A656" s="78"/>
      <c r="B656" s="78"/>
      <c r="C656" s="80"/>
      <c r="D656" s="80"/>
      <c r="E656" s="82"/>
      <c r="F656" s="82"/>
      <c r="G656" s="82"/>
      <c r="H656" s="82"/>
      <c r="I656" s="34"/>
      <c r="J656" s="83"/>
      <c r="K656" s="83"/>
      <c r="L656" s="83"/>
      <c r="M656" s="70"/>
      <c r="N656" s="70"/>
      <c r="O656" s="70"/>
      <c r="P656" s="70"/>
      <c r="Q656" s="70"/>
      <c r="R656" s="70"/>
      <c r="S656" s="70"/>
      <c r="T656" s="70"/>
      <c r="U656" s="70"/>
      <c r="V656" s="70"/>
      <c r="W656" s="70"/>
      <c r="X656" s="70"/>
      <c r="Y656" s="70"/>
      <c r="Z656" s="70"/>
    </row>
    <row r="657">
      <c r="A657" s="78"/>
      <c r="B657" s="78"/>
      <c r="C657" s="80"/>
      <c r="D657" s="80"/>
      <c r="E657" s="82"/>
      <c r="F657" s="82"/>
      <c r="G657" s="82"/>
      <c r="H657" s="82"/>
      <c r="I657" s="34"/>
      <c r="J657" s="83"/>
      <c r="K657" s="83"/>
      <c r="L657" s="83"/>
      <c r="M657" s="70"/>
      <c r="N657" s="70"/>
      <c r="O657" s="70"/>
      <c r="P657" s="70"/>
      <c r="Q657" s="70"/>
      <c r="R657" s="70"/>
      <c r="S657" s="70"/>
      <c r="T657" s="70"/>
      <c r="U657" s="70"/>
      <c r="V657" s="70"/>
      <c r="W657" s="70"/>
      <c r="X657" s="70"/>
      <c r="Y657" s="70"/>
      <c r="Z657" s="70"/>
    </row>
    <row r="658">
      <c r="A658" s="78"/>
      <c r="B658" s="78"/>
      <c r="C658" s="80"/>
      <c r="D658" s="80"/>
      <c r="E658" s="82"/>
      <c r="F658" s="82"/>
      <c r="G658" s="82"/>
      <c r="H658" s="82"/>
      <c r="I658" s="34"/>
      <c r="J658" s="83"/>
      <c r="K658" s="83"/>
      <c r="L658" s="83"/>
      <c r="M658" s="70"/>
      <c r="N658" s="70"/>
      <c r="O658" s="70"/>
      <c r="P658" s="70"/>
      <c r="Q658" s="70"/>
      <c r="R658" s="70"/>
      <c r="S658" s="70"/>
      <c r="T658" s="70"/>
      <c r="U658" s="70"/>
      <c r="V658" s="70"/>
      <c r="W658" s="70"/>
      <c r="X658" s="70"/>
      <c r="Y658" s="70"/>
      <c r="Z658" s="70"/>
    </row>
    <row r="659">
      <c r="A659" s="78"/>
      <c r="B659" s="78"/>
      <c r="C659" s="80"/>
      <c r="D659" s="80"/>
      <c r="E659" s="82"/>
      <c r="F659" s="82"/>
      <c r="G659" s="82"/>
      <c r="H659" s="82"/>
      <c r="I659" s="34"/>
      <c r="J659" s="83"/>
      <c r="K659" s="83"/>
      <c r="L659" s="83"/>
      <c r="M659" s="70"/>
      <c r="N659" s="70"/>
      <c r="O659" s="70"/>
      <c r="P659" s="70"/>
      <c r="Q659" s="70"/>
      <c r="R659" s="70"/>
      <c r="S659" s="70"/>
      <c r="T659" s="70"/>
      <c r="U659" s="70"/>
      <c r="V659" s="70"/>
      <c r="W659" s="70"/>
      <c r="X659" s="70"/>
      <c r="Y659" s="70"/>
      <c r="Z659" s="70"/>
    </row>
    <row r="660">
      <c r="A660" s="78"/>
      <c r="B660" s="78"/>
      <c r="C660" s="80"/>
      <c r="D660" s="80"/>
      <c r="E660" s="82"/>
      <c r="F660" s="82"/>
      <c r="G660" s="82"/>
      <c r="H660" s="82"/>
      <c r="I660" s="34"/>
      <c r="J660" s="83"/>
      <c r="K660" s="83"/>
      <c r="L660" s="83"/>
      <c r="M660" s="70"/>
      <c r="N660" s="70"/>
      <c r="O660" s="70"/>
      <c r="P660" s="70"/>
      <c r="Q660" s="70"/>
      <c r="R660" s="70"/>
      <c r="S660" s="70"/>
      <c r="T660" s="70"/>
      <c r="U660" s="70"/>
      <c r="V660" s="70"/>
      <c r="W660" s="70"/>
      <c r="X660" s="70"/>
      <c r="Y660" s="70"/>
      <c r="Z660" s="70"/>
    </row>
    <row r="661">
      <c r="A661" s="78"/>
      <c r="B661" s="78"/>
      <c r="C661" s="80"/>
      <c r="D661" s="80"/>
      <c r="E661" s="82"/>
      <c r="F661" s="82"/>
      <c r="G661" s="82"/>
      <c r="H661" s="82"/>
      <c r="I661" s="34"/>
      <c r="J661" s="83"/>
      <c r="K661" s="83"/>
      <c r="L661" s="83"/>
      <c r="M661" s="70"/>
      <c r="N661" s="70"/>
      <c r="O661" s="70"/>
      <c r="P661" s="70"/>
      <c r="Q661" s="70"/>
      <c r="R661" s="70"/>
      <c r="S661" s="70"/>
      <c r="T661" s="70"/>
      <c r="U661" s="70"/>
      <c r="V661" s="70"/>
      <c r="W661" s="70"/>
      <c r="X661" s="70"/>
      <c r="Y661" s="70"/>
      <c r="Z661" s="70"/>
    </row>
    <row r="662">
      <c r="A662" s="78"/>
      <c r="B662" s="78"/>
      <c r="C662" s="80"/>
      <c r="D662" s="80"/>
      <c r="E662" s="82"/>
      <c r="F662" s="82"/>
      <c r="G662" s="82"/>
      <c r="H662" s="82"/>
      <c r="I662" s="34"/>
      <c r="J662" s="83"/>
      <c r="K662" s="83"/>
      <c r="L662" s="83"/>
      <c r="M662" s="70"/>
      <c r="N662" s="70"/>
      <c r="O662" s="70"/>
      <c r="P662" s="70"/>
      <c r="Q662" s="70"/>
      <c r="R662" s="70"/>
      <c r="S662" s="70"/>
      <c r="T662" s="70"/>
      <c r="U662" s="70"/>
      <c r="V662" s="70"/>
      <c r="W662" s="70"/>
      <c r="X662" s="70"/>
      <c r="Y662" s="70"/>
      <c r="Z662" s="70"/>
    </row>
    <row r="663">
      <c r="A663" s="78"/>
      <c r="B663" s="78"/>
      <c r="C663" s="80"/>
      <c r="D663" s="80"/>
      <c r="E663" s="82"/>
      <c r="F663" s="82"/>
      <c r="G663" s="82"/>
      <c r="H663" s="82"/>
      <c r="I663" s="34"/>
      <c r="J663" s="83"/>
      <c r="K663" s="83"/>
      <c r="L663" s="83"/>
      <c r="M663" s="70"/>
      <c r="N663" s="70"/>
      <c r="O663" s="70"/>
      <c r="P663" s="70"/>
      <c r="Q663" s="70"/>
      <c r="R663" s="70"/>
      <c r="S663" s="70"/>
      <c r="T663" s="70"/>
      <c r="U663" s="70"/>
      <c r="V663" s="70"/>
      <c r="W663" s="70"/>
      <c r="X663" s="70"/>
      <c r="Y663" s="70"/>
      <c r="Z663" s="70"/>
    </row>
    <row r="664">
      <c r="A664" s="78"/>
      <c r="B664" s="78"/>
      <c r="C664" s="80"/>
      <c r="D664" s="80"/>
      <c r="E664" s="82"/>
      <c r="F664" s="82"/>
      <c r="G664" s="82"/>
      <c r="H664" s="82"/>
      <c r="I664" s="34"/>
      <c r="J664" s="83"/>
      <c r="K664" s="83"/>
      <c r="L664" s="83"/>
      <c r="M664" s="70"/>
      <c r="N664" s="70"/>
      <c r="O664" s="70"/>
      <c r="P664" s="70"/>
      <c r="Q664" s="70"/>
      <c r="R664" s="70"/>
      <c r="S664" s="70"/>
      <c r="T664" s="70"/>
      <c r="U664" s="70"/>
      <c r="V664" s="70"/>
      <c r="W664" s="70"/>
      <c r="X664" s="70"/>
      <c r="Y664" s="70"/>
      <c r="Z664" s="70"/>
    </row>
    <row r="665">
      <c r="A665" s="78"/>
      <c r="B665" s="78"/>
      <c r="C665" s="80"/>
      <c r="D665" s="80"/>
      <c r="E665" s="82"/>
      <c r="F665" s="82"/>
      <c r="G665" s="82"/>
      <c r="H665" s="82"/>
      <c r="I665" s="34"/>
      <c r="J665" s="83"/>
      <c r="K665" s="83"/>
      <c r="L665" s="83"/>
      <c r="M665" s="70"/>
      <c r="N665" s="70"/>
      <c r="O665" s="70"/>
      <c r="P665" s="70"/>
      <c r="Q665" s="70"/>
      <c r="R665" s="70"/>
      <c r="S665" s="70"/>
      <c r="T665" s="70"/>
      <c r="U665" s="70"/>
      <c r="V665" s="70"/>
      <c r="W665" s="70"/>
      <c r="X665" s="70"/>
      <c r="Y665" s="70"/>
      <c r="Z665" s="70"/>
    </row>
    <row r="666">
      <c r="A666" s="78"/>
      <c r="B666" s="78"/>
      <c r="C666" s="80"/>
      <c r="D666" s="80"/>
      <c r="E666" s="82"/>
      <c r="F666" s="82"/>
      <c r="G666" s="82"/>
      <c r="H666" s="82"/>
      <c r="I666" s="34"/>
      <c r="J666" s="83"/>
      <c r="K666" s="83"/>
      <c r="L666" s="83"/>
      <c r="M666" s="70"/>
      <c r="N666" s="70"/>
      <c r="O666" s="70"/>
      <c r="P666" s="70"/>
      <c r="Q666" s="70"/>
      <c r="R666" s="70"/>
      <c r="S666" s="70"/>
      <c r="T666" s="70"/>
      <c r="U666" s="70"/>
      <c r="V666" s="70"/>
      <c r="W666" s="70"/>
      <c r="X666" s="70"/>
      <c r="Y666" s="70"/>
      <c r="Z666" s="70"/>
    </row>
    <row r="667">
      <c r="A667" s="78"/>
      <c r="B667" s="78"/>
      <c r="C667" s="80"/>
      <c r="D667" s="80"/>
      <c r="E667" s="82"/>
      <c r="F667" s="82"/>
      <c r="G667" s="82"/>
      <c r="H667" s="82"/>
      <c r="I667" s="34"/>
      <c r="J667" s="83"/>
      <c r="K667" s="83"/>
      <c r="L667" s="83"/>
      <c r="M667" s="70"/>
      <c r="N667" s="70"/>
      <c r="O667" s="70"/>
      <c r="P667" s="70"/>
      <c r="Q667" s="70"/>
      <c r="R667" s="70"/>
      <c r="S667" s="70"/>
      <c r="T667" s="70"/>
      <c r="U667" s="70"/>
      <c r="V667" s="70"/>
      <c r="W667" s="70"/>
      <c r="X667" s="70"/>
      <c r="Y667" s="70"/>
      <c r="Z667" s="70"/>
    </row>
    <row r="668">
      <c r="A668" s="78"/>
      <c r="B668" s="78"/>
      <c r="C668" s="80"/>
      <c r="D668" s="80"/>
      <c r="E668" s="82"/>
      <c r="F668" s="82"/>
      <c r="G668" s="82"/>
      <c r="H668" s="82"/>
      <c r="I668" s="34"/>
      <c r="J668" s="83"/>
      <c r="K668" s="83"/>
      <c r="L668" s="83"/>
      <c r="M668" s="70"/>
      <c r="N668" s="70"/>
      <c r="O668" s="70"/>
      <c r="P668" s="70"/>
      <c r="Q668" s="70"/>
      <c r="R668" s="70"/>
      <c r="S668" s="70"/>
      <c r="T668" s="70"/>
      <c r="U668" s="70"/>
      <c r="V668" s="70"/>
      <c r="W668" s="70"/>
      <c r="X668" s="70"/>
      <c r="Y668" s="70"/>
      <c r="Z668" s="70"/>
    </row>
    <row r="669">
      <c r="A669" s="78"/>
      <c r="B669" s="78"/>
      <c r="C669" s="80"/>
      <c r="D669" s="80"/>
      <c r="E669" s="82"/>
      <c r="F669" s="82"/>
      <c r="G669" s="82"/>
      <c r="H669" s="82"/>
      <c r="I669" s="34"/>
      <c r="J669" s="83"/>
      <c r="K669" s="83"/>
      <c r="L669" s="83"/>
      <c r="M669" s="70"/>
      <c r="N669" s="70"/>
      <c r="O669" s="70"/>
      <c r="P669" s="70"/>
      <c r="Q669" s="70"/>
      <c r="R669" s="70"/>
      <c r="S669" s="70"/>
      <c r="T669" s="70"/>
      <c r="U669" s="70"/>
      <c r="V669" s="70"/>
      <c r="W669" s="70"/>
      <c r="X669" s="70"/>
      <c r="Y669" s="70"/>
      <c r="Z669" s="70"/>
    </row>
    <row r="670">
      <c r="A670" s="78"/>
      <c r="B670" s="78"/>
      <c r="C670" s="80"/>
      <c r="D670" s="80"/>
      <c r="E670" s="82"/>
      <c r="F670" s="82"/>
      <c r="G670" s="82"/>
      <c r="H670" s="82"/>
      <c r="I670" s="34"/>
      <c r="J670" s="83"/>
      <c r="K670" s="83"/>
      <c r="L670" s="83"/>
      <c r="M670" s="70"/>
      <c r="N670" s="70"/>
      <c r="O670" s="70"/>
      <c r="P670" s="70"/>
      <c r="Q670" s="70"/>
      <c r="R670" s="70"/>
      <c r="S670" s="70"/>
      <c r="T670" s="70"/>
      <c r="U670" s="70"/>
      <c r="V670" s="70"/>
      <c r="W670" s="70"/>
      <c r="X670" s="70"/>
      <c r="Y670" s="70"/>
      <c r="Z670" s="70"/>
    </row>
    <row r="671">
      <c r="A671" s="78"/>
      <c r="B671" s="78"/>
      <c r="C671" s="80"/>
      <c r="D671" s="80"/>
      <c r="E671" s="82"/>
      <c r="F671" s="82"/>
      <c r="G671" s="82"/>
      <c r="H671" s="82"/>
      <c r="I671" s="34"/>
      <c r="J671" s="83"/>
      <c r="K671" s="83"/>
      <c r="L671" s="83"/>
      <c r="M671" s="70"/>
      <c r="N671" s="70"/>
      <c r="O671" s="70"/>
      <c r="P671" s="70"/>
      <c r="Q671" s="70"/>
      <c r="R671" s="70"/>
      <c r="S671" s="70"/>
      <c r="T671" s="70"/>
      <c r="U671" s="70"/>
      <c r="V671" s="70"/>
      <c r="W671" s="70"/>
      <c r="X671" s="70"/>
      <c r="Y671" s="70"/>
      <c r="Z671" s="70"/>
    </row>
    <row r="672">
      <c r="A672" s="78"/>
      <c r="B672" s="78"/>
      <c r="C672" s="80"/>
      <c r="D672" s="80"/>
      <c r="E672" s="82"/>
      <c r="F672" s="82"/>
      <c r="G672" s="82"/>
      <c r="H672" s="82"/>
      <c r="I672" s="34"/>
      <c r="J672" s="83"/>
      <c r="K672" s="83"/>
      <c r="L672" s="83"/>
      <c r="M672" s="70"/>
      <c r="N672" s="70"/>
      <c r="O672" s="70"/>
      <c r="P672" s="70"/>
      <c r="Q672" s="70"/>
      <c r="R672" s="70"/>
      <c r="S672" s="70"/>
      <c r="T672" s="70"/>
      <c r="U672" s="70"/>
      <c r="V672" s="70"/>
      <c r="W672" s="70"/>
      <c r="X672" s="70"/>
      <c r="Y672" s="70"/>
      <c r="Z672" s="70"/>
    </row>
    <row r="673">
      <c r="A673" s="78"/>
      <c r="B673" s="78"/>
      <c r="C673" s="80"/>
      <c r="D673" s="80"/>
      <c r="E673" s="82"/>
      <c r="F673" s="82"/>
      <c r="G673" s="82"/>
      <c r="H673" s="82"/>
      <c r="I673" s="34"/>
      <c r="J673" s="83"/>
      <c r="K673" s="83"/>
      <c r="L673" s="83"/>
      <c r="M673" s="70"/>
      <c r="N673" s="70"/>
      <c r="O673" s="70"/>
      <c r="P673" s="70"/>
      <c r="Q673" s="70"/>
      <c r="R673" s="70"/>
      <c r="S673" s="70"/>
      <c r="T673" s="70"/>
      <c r="U673" s="70"/>
      <c r="V673" s="70"/>
      <c r="W673" s="70"/>
      <c r="X673" s="70"/>
      <c r="Y673" s="70"/>
      <c r="Z673" s="70"/>
    </row>
    <row r="674">
      <c r="A674" s="78"/>
      <c r="B674" s="78"/>
      <c r="C674" s="80"/>
      <c r="D674" s="80"/>
      <c r="E674" s="82"/>
      <c r="F674" s="82"/>
      <c r="G674" s="82"/>
      <c r="H674" s="82"/>
      <c r="I674" s="34"/>
      <c r="J674" s="83"/>
      <c r="K674" s="83"/>
      <c r="L674" s="83"/>
      <c r="M674" s="70"/>
      <c r="N674" s="70"/>
      <c r="O674" s="70"/>
      <c r="P674" s="70"/>
      <c r="Q674" s="70"/>
      <c r="R674" s="70"/>
      <c r="S674" s="70"/>
      <c r="T674" s="70"/>
      <c r="U674" s="70"/>
      <c r="V674" s="70"/>
      <c r="W674" s="70"/>
      <c r="X674" s="70"/>
      <c r="Y674" s="70"/>
      <c r="Z674" s="70"/>
    </row>
    <row r="675">
      <c r="A675" s="78"/>
      <c r="B675" s="78"/>
      <c r="C675" s="80"/>
      <c r="D675" s="80"/>
      <c r="E675" s="82"/>
      <c r="F675" s="82"/>
      <c r="G675" s="82"/>
      <c r="H675" s="82"/>
      <c r="I675" s="34"/>
      <c r="J675" s="83"/>
      <c r="K675" s="83"/>
      <c r="L675" s="83"/>
      <c r="M675" s="70"/>
      <c r="N675" s="70"/>
      <c r="O675" s="70"/>
      <c r="P675" s="70"/>
      <c r="Q675" s="70"/>
      <c r="R675" s="70"/>
      <c r="S675" s="70"/>
      <c r="T675" s="70"/>
      <c r="U675" s="70"/>
      <c r="V675" s="70"/>
      <c r="W675" s="70"/>
      <c r="X675" s="70"/>
      <c r="Y675" s="70"/>
      <c r="Z675" s="70"/>
    </row>
    <row r="676">
      <c r="A676" s="78"/>
      <c r="B676" s="78"/>
      <c r="C676" s="80"/>
      <c r="D676" s="80"/>
      <c r="E676" s="82"/>
      <c r="F676" s="82"/>
      <c r="G676" s="82"/>
      <c r="H676" s="82"/>
      <c r="I676" s="34"/>
      <c r="J676" s="83"/>
      <c r="K676" s="83"/>
      <c r="L676" s="83"/>
      <c r="M676" s="70"/>
      <c r="N676" s="70"/>
      <c r="O676" s="70"/>
      <c r="P676" s="70"/>
      <c r="Q676" s="70"/>
      <c r="R676" s="70"/>
      <c r="S676" s="70"/>
      <c r="T676" s="70"/>
      <c r="U676" s="70"/>
      <c r="V676" s="70"/>
      <c r="W676" s="70"/>
      <c r="X676" s="70"/>
      <c r="Y676" s="70"/>
      <c r="Z676" s="70"/>
    </row>
    <row r="677">
      <c r="A677" s="78"/>
      <c r="B677" s="78"/>
      <c r="C677" s="80"/>
      <c r="D677" s="80"/>
      <c r="E677" s="82"/>
      <c r="F677" s="82"/>
      <c r="G677" s="82"/>
      <c r="H677" s="82"/>
      <c r="I677" s="34"/>
      <c r="J677" s="83"/>
      <c r="K677" s="83"/>
      <c r="L677" s="83"/>
      <c r="M677" s="70"/>
      <c r="N677" s="70"/>
      <c r="O677" s="70"/>
      <c r="P677" s="70"/>
      <c r="Q677" s="70"/>
      <c r="R677" s="70"/>
      <c r="S677" s="70"/>
      <c r="T677" s="70"/>
      <c r="U677" s="70"/>
      <c r="V677" s="70"/>
      <c r="W677" s="70"/>
      <c r="X677" s="70"/>
      <c r="Y677" s="70"/>
      <c r="Z677" s="70"/>
    </row>
    <row r="678">
      <c r="A678" s="78"/>
      <c r="B678" s="78"/>
      <c r="C678" s="80"/>
      <c r="D678" s="80"/>
      <c r="E678" s="82"/>
      <c r="F678" s="82"/>
      <c r="G678" s="82"/>
      <c r="H678" s="82"/>
      <c r="I678" s="34"/>
      <c r="J678" s="83"/>
      <c r="K678" s="83"/>
      <c r="L678" s="83"/>
      <c r="M678" s="70"/>
      <c r="N678" s="70"/>
      <c r="O678" s="70"/>
      <c r="P678" s="70"/>
      <c r="Q678" s="70"/>
      <c r="R678" s="70"/>
      <c r="S678" s="70"/>
      <c r="T678" s="70"/>
      <c r="U678" s="70"/>
      <c r="V678" s="70"/>
      <c r="W678" s="70"/>
      <c r="X678" s="70"/>
      <c r="Y678" s="70"/>
      <c r="Z678" s="70"/>
    </row>
    <row r="679">
      <c r="A679" s="78"/>
      <c r="B679" s="78"/>
      <c r="C679" s="80"/>
      <c r="D679" s="80"/>
      <c r="E679" s="82"/>
      <c r="F679" s="82"/>
      <c r="G679" s="82"/>
      <c r="H679" s="82"/>
      <c r="I679" s="34"/>
      <c r="J679" s="83"/>
      <c r="K679" s="83"/>
      <c r="L679" s="83"/>
      <c r="M679" s="70"/>
      <c r="N679" s="70"/>
      <c r="O679" s="70"/>
      <c r="P679" s="70"/>
      <c r="Q679" s="70"/>
      <c r="R679" s="70"/>
      <c r="S679" s="70"/>
      <c r="T679" s="70"/>
      <c r="U679" s="70"/>
      <c r="V679" s="70"/>
      <c r="W679" s="70"/>
      <c r="X679" s="70"/>
      <c r="Y679" s="70"/>
      <c r="Z679" s="70"/>
    </row>
    <row r="680">
      <c r="A680" s="78"/>
      <c r="B680" s="78"/>
      <c r="C680" s="80"/>
      <c r="D680" s="80"/>
      <c r="E680" s="82"/>
      <c r="F680" s="82"/>
      <c r="G680" s="82"/>
      <c r="H680" s="82"/>
      <c r="I680" s="34"/>
      <c r="J680" s="83"/>
      <c r="K680" s="83"/>
      <c r="L680" s="83"/>
      <c r="M680" s="70"/>
      <c r="N680" s="70"/>
      <c r="O680" s="70"/>
      <c r="P680" s="70"/>
      <c r="Q680" s="70"/>
      <c r="R680" s="70"/>
      <c r="S680" s="70"/>
      <c r="T680" s="70"/>
      <c r="U680" s="70"/>
      <c r="V680" s="70"/>
      <c r="W680" s="70"/>
      <c r="X680" s="70"/>
      <c r="Y680" s="70"/>
      <c r="Z680" s="70"/>
    </row>
    <row r="681">
      <c r="A681" s="78"/>
      <c r="B681" s="78"/>
      <c r="C681" s="80"/>
      <c r="D681" s="80"/>
      <c r="E681" s="82"/>
      <c r="F681" s="82"/>
      <c r="G681" s="82"/>
      <c r="H681" s="82"/>
      <c r="I681" s="34"/>
      <c r="J681" s="83"/>
      <c r="K681" s="83"/>
      <c r="L681" s="83"/>
      <c r="M681" s="70"/>
      <c r="N681" s="70"/>
      <c r="O681" s="70"/>
      <c r="P681" s="70"/>
      <c r="Q681" s="70"/>
      <c r="R681" s="70"/>
      <c r="S681" s="70"/>
      <c r="T681" s="70"/>
      <c r="U681" s="70"/>
      <c r="V681" s="70"/>
      <c r="W681" s="70"/>
      <c r="X681" s="70"/>
      <c r="Y681" s="70"/>
      <c r="Z681" s="70"/>
    </row>
    <row r="682">
      <c r="A682" s="78"/>
      <c r="B682" s="78"/>
      <c r="C682" s="80"/>
      <c r="D682" s="80"/>
      <c r="E682" s="82"/>
      <c r="F682" s="82"/>
      <c r="G682" s="82"/>
      <c r="H682" s="82"/>
      <c r="I682" s="34"/>
      <c r="J682" s="83"/>
      <c r="K682" s="83"/>
      <c r="L682" s="83"/>
      <c r="M682" s="70"/>
      <c r="N682" s="70"/>
      <c r="O682" s="70"/>
      <c r="P682" s="70"/>
      <c r="Q682" s="70"/>
      <c r="R682" s="70"/>
      <c r="S682" s="70"/>
      <c r="T682" s="70"/>
      <c r="U682" s="70"/>
      <c r="V682" s="70"/>
      <c r="W682" s="70"/>
      <c r="X682" s="70"/>
      <c r="Y682" s="70"/>
      <c r="Z682" s="70"/>
    </row>
    <row r="683">
      <c r="A683" s="78"/>
      <c r="B683" s="78"/>
      <c r="C683" s="80"/>
      <c r="D683" s="80"/>
      <c r="E683" s="82"/>
      <c r="F683" s="82"/>
      <c r="G683" s="82"/>
      <c r="H683" s="82"/>
      <c r="I683" s="34"/>
      <c r="J683" s="83"/>
      <c r="K683" s="83"/>
      <c r="L683" s="83"/>
      <c r="M683" s="70"/>
      <c r="N683" s="70"/>
      <c r="O683" s="70"/>
      <c r="P683" s="70"/>
      <c r="Q683" s="70"/>
      <c r="R683" s="70"/>
      <c r="S683" s="70"/>
      <c r="T683" s="70"/>
      <c r="U683" s="70"/>
      <c r="V683" s="70"/>
      <c r="W683" s="70"/>
      <c r="X683" s="70"/>
      <c r="Y683" s="70"/>
      <c r="Z683" s="70"/>
    </row>
    <row r="684">
      <c r="A684" s="78"/>
      <c r="B684" s="78"/>
      <c r="C684" s="80"/>
      <c r="D684" s="80"/>
      <c r="E684" s="82"/>
      <c r="F684" s="82"/>
      <c r="G684" s="82"/>
      <c r="H684" s="82"/>
      <c r="I684" s="34"/>
      <c r="J684" s="83"/>
      <c r="K684" s="83"/>
      <c r="L684" s="83"/>
      <c r="M684" s="70"/>
      <c r="N684" s="70"/>
      <c r="O684" s="70"/>
      <c r="P684" s="70"/>
      <c r="Q684" s="70"/>
      <c r="R684" s="70"/>
      <c r="S684" s="70"/>
      <c r="T684" s="70"/>
      <c r="U684" s="70"/>
      <c r="V684" s="70"/>
      <c r="W684" s="70"/>
      <c r="X684" s="70"/>
      <c r="Y684" s="70"/>
      <c r="Z684" s="70"/>
    </row>
    <row r="685">
      <c r="A685" s="78"/>
      <c r="B685" s="78"/>
      <c r="C685" s="80"/>
      <c r="D685" s="80"/>
      <c r="E685" s="82"/>
      <c r="F685" s="82"/>
      <c r="G685" s="82"/>
      <c r="H685" s="82"/>
      <c r="I685" s="34"/>
      <c r="J685" s="83"/>
      <c r="K685" s="83"/>
      <c r="L685" s="83"/>
      <c r="M685" s="70"/>
      <c r="N685" s="70"/>
      <c r="O685" s="70"/>
      <c r="P685" s="70"/>
      <c r="Q685" s="70"/>
      <c r="R685" s="70"/>
      <c r="S685" s="70"/>
      <c r="T685" s="70"/>
      <c r="U685" s="70"/>
      <c r="V685" s="70"/>
      <c r="W685" s="70"/>
      <c r="X685" s="70"/>
      <c r="Y685" s="70"/>
      <c r="Z685" s="70"/>
    </row>
    <row r="686">
      <c r="A686" s="78"/>
      <c r="B686" s="78"/>
      <c r="C686" s="80"/>
      <c r="D686" s="80"/>
      <c r="E686" s="82"/>
      <c r="F686" s="82"/>
      <c r="G686" s="82"/>
      <c r="H686" s="82"/>
      <c r="I686" s="34"/>
      <c r="J686" s="83"/>
      <c r="K686" s="83"/>
      <c r="L686" s="83"/>
      <c r="M686" s="70"/>
      <c r="N686" s="70"/>
      <c r="O686" s="70"/>
      <c r="P686" s="70"/>
      <c r="Q686" s="70"/>
      <c r="R686" s="70"/>
      <c r="S686" s="70"/>
      <c r="T686" s="70"/>
      <c r="U686" s="70"/>
      <c r="V686" s="70"/>
      <c r="W686" s="70"/>
      <c r="X686" s="70"/>
      <c r="Y686" s="70"/>
      <c r="Z686" s="70"/>
    </row>
    <row r="687">
      <c r="A687" s="78"/>
      <c r="B687" s="78"/>
      <c r="C687" s="80"/>
      <c r="D687" s="80"/>
      <c r="E687" s="82"/>
      <c r="F687" s="82"/>
      <c r="G687" s="82"/>
      <c r="H687" s="82"/>
      <c r="I687" s="34"/>
      <c r="J687" s="83"/>
      <c r="K687" s="83"/>
      <c r="L687" s="83"/>
      <c r="M687" s="70"/>
      <c r="N687" s="70"/>
      <c r="O687" s="70"/>
      <c r="P687" s="70"/>
      <c r="Q687" s="70"/>
      <c r="R687" s="70"/>
      <c r="S687" s="70"/>
      <c r="T687" s="70"/>
      <c r="U687" s="70"/>
      <c r="V687" s="70"/>
      <c r="W687" s="70"/>
      <c r="X687" s="70"/>
      <c r="Y687" s="70"/>
      <c r="Z687" s="70"/>
    </row>
    <row r="688">
      <c r="A688" s="78"/>
      <c r="B688" s="78"/>
      <c r="C688" s="80"/>
      <c r="D688" s="80"/>
      <c r="E688" s="82"/>
      <c r="F688" s="82"/>
      <c r="G688" s="82"/>
      <c r="H688" s="82"/>
      <c r="I688" s="34"/>
      <c r="J688" s="83"/>
      <c r="K688" s="83"/>
      <c r="L688" s="83"/>
      <c r="M688" s="70"/>
      <c r="N688" s="70"/>
      <c r="O688" s="70"/>
      <c r="P688" s="70"/>
      <c r="Q688" s="70"/>
      <c r="R688" s="70"/>
      <c r="S688" s="70"/>
      <c r="T688" s="70"/>
      <c r="U688" s="70"/>
      <c r="V688" s="70"/>
      <c r="W688" s="70"/>
      <c r="X688" s="70"/>
      <c r="Y688" s="70"/>
      <c r="Z688" s="70"/>
    </row>
    <row r="689">
      <c r="A689" s="78"/>
      <c r="B689" s="78"/>
      <c r="C689" s="80"/>
      <c r="D689" s="80"/>
      <c r="E689" s="82"/>
      <c r="F689" s="82"/>
      <c r="G689" s="82"/>
      <c r="H689" s="82"/>
      <c r="I689" s="34"/>
      <c r="J689" s="83"/>
      <c r="K689" s="83"/>
      <c r="L689" s="83"/>
      <c r="M689" s="70"/>
      <c r="N689" s="70"/>
      <c r="O689" s="70"/>
      <c r="P689" s="70"/>
      <c r="Q689" s="70"/>
      <c r="R689" s="70"/>
      <c r="S689" s="70"/>
      <c r="T689" s="70"/>
      <c r="U689" s="70"/>
      <c r="V689" s="70"/>
      <c r="W689" s="70"/>
      <c r="X689" s="70"/>
      <c r="Y689" s="70"/>
      <c r="Z689" s="70"/>
    </row>
    <row r="690">
      <c r="A690" s="78"/>
      <c r="B690" s="78"/>
      <c r="C690" s="80"/>
      <c r="D690" s="80"/>
      <c r="E690" s="82"/>
      <c r="F690" s="82"/>
      <c r="G690" s="82"/>
      <c r="H690" s="82"/>
      <c r="I690" s="34"/>
      <c r="J690" s="83"/>
      <c r="K690" s="83"/>
      <c r="L690" s="83"/>
      <c r="M690" s="70"/>
      <c r="N690" s="70"/>
      <c r="O690" s="70"/>
      <c r="P690" s="70"/>
      <c r="Q690" s="70"/>
      <c r="R690" s="70"/>
      <c r="S690" s="70"/>
      <c r="T690" s="70"/>
      <c r="U690" s="70"/>
      <c r="V690" s="70"/>
      <c r="W690" s="70"/>
      <c r="X690" s="70"/>
      <c r="Y690" s="70"/>
      <c r="Z690" s="70"/>
    </row>
    <row r="691">
      <c r="A691" s="78"/>
      <c r="B691" s="78"/>
      <c r="C691" s="80"/>
      <c r="D691" s="80"/>
      <c r="E691" s="82"/>
      <c r="F691" s="82"/>
      <c r="G691" s="82"/>
      <c r="H691" s="82"/>
      <c r="I691" s="34"/>
      <c r="J691" s="83"/>
      <c r="K691" s="83"/>
      <c r="L691" s="83"/>
      <c r="M691" s="70"/>
      <c r="N691" s="70"/>
      <c r="O691" s="70"/>
      <c r="P691" s="70"/>
      <c r="Q691" s="70"/>
      <c r="R691" s="70"/>
      <c r="S691" s="70"/>
      <c r="T691" s="70"/>
      <c r="U691" s="70"/>
      <c r="V691" s="70"/>
      <c r="W691" s="70"/>
      <c r="X691" s="70"/>
      <c r="Y691" s="70"/>
      <c r="Z691" s="70"/>
    </row>
    <row r="692">
      <c r="A692" s="78"/>
      <c r="B692" s="78"/>
      <c r="C692" s="80"/>
      <c r="D692" s="80"/>
      <c r="E692" s="82"/>
      <c r="F692" s="82"/>
      <c r="G692" s="82"/>
      <c r="H692" s="82"/>
      <c r="I692" s="34"/>
      <c r="J692" s="83"/>
      <c r="K692" s="83"/>
      <c r="L692" s="83"/>
      <c r="M692" s="70"/>
      <c r="N692" s="70"/>
      <c r="O692" s="70"/>
      <c r="P692" s="70"/>
      <c r="Q692" s="70"/>
      <c r="R692" s="70"/>
      <c r="S692" s="70"/>
      <c r="T692" s="70"/>
      <c r="U692" s="70"/>
      <c r="V692" s="70"/>
      <c r="W692" s="70"/>
      <c r="X692" s="70"/>
      <c r="Y692" s="70"/>
      <c r="Z692" s="70"/>
    </row>
    <row r="693">
      <c r="A693" s="78"/>
      <c r="B693" s="78"/>
      <c r="C693" s="80"/>
      <c r="D693" s="80"/>
      <c r="E693" s="82"/>
      <c r="F693" s="82"/>
      <c r="G693" s="82"/>
      <c r="H693" s="82"/>
      <c r="I693" s="34"/>
      <c r="J693" s="83"/>
      <c r="K693" s="83"/>
      <c r="L693" s="83"/>
      <c r="M693" s="70"/>
      <c r="N693" s="70"/>
      <c r="O693" s="70"/>
      <c r="P693" s="70"/>
      <c r="Q693" s="70"/>
      <c r="R693" s="70"/>
      <c r="S693" s="70"/>
      <c r="T693" s="70"/>
      <c r="U693" s="70"/>
      <c r="V693" s="70"/>
      <c r="W693" s="70"/>
      <c r="X693" s="70"/>
      <c r="Y693" s="70"/>
      <c r="Z693" s="70"/>
    </row>
    <row r="694">
      <c r="A694" s="78"/>
      <c r="B694" s="78"/>
      <c r="C694" s="80"/>
      <c r="D694" s="80"/>
      <c r="E694" s="82"/>
      <c r="F694" s="82"/>
      <c r="G694" s="82"/>
      <c r="H694" s="82"/>
      <c r="I694" s="34"/>
      <c r="J694" s="83"/>
      <c r="K694" s="83"/>
      <c r="L694" s="83"/>
      <c r="M694" s="70"/>
      <c r="N694" s="70"/>
      <c r="O694" s="70"/>
      <c r="P694" s="70"/>
      <c r="Q694" s="70"/>
      <c r="R694" s="70"/>
      <c r="S694" s="70"/>
      <c r="T694" s="70"/>
      <c r="U694" s="70"/>
      <c r="V694" s="70"/>
      <c r="W694" s="70"/>
      <c r="X694" s="70"/>
      <c r="Y694" s="70"/>
      <c r="Z694" s="70"/>
    </row>
    <row r="695">
      <c r="A695" s="78"/>
      <c r="B695" s="78"/>
      <c r="C695" s="80"/>
      <c r="D695" s="80"/>
      <c r="E695" s="82"/>
      <c r="F695" s="82"/>
      <c r="G695" s="82"/>
      <c r="H695" s="82"/>
      <c r="I695" s="34"/>
      <c r="J695" s="83"/>
      <c r="K695" s="83"/>
      <c r="L695" s="83"/>
      <c r="M695" s="70"/>
      <c r="N695" s="70"/>
      <c r="O695" s="70"/>
      <c r="P695" s="70"/>
      <c r="Q695" s="70"/>
      <c r="R695" s="70"/>
      <c r="S695" s="70"/>
      <c r="T695" s="70"/>
      <c r="U695" s="70"/>
      <c r="V695" s="70"/>
      <c r="W695" s="70"/>
      <c r="X695" s="70"/>
      <c r="Y695" s="70"/>
      <c r="Z695" s="70"/>
    </row>
    <row r="696">
      <c r="A696" s="78"/>
      <c r="B696" s="78"/>
      <c r="C696" s="80"/>
      <c r="D696" s="80"/>
      <c r="E696" s="82"/>
      <c r="F696" s="82"/>
      <c r="G696" s="82"/>
      <c r="H696" s="82"/>
      <c r="I696" s="34"/>
      <c r="J696" s="83"/>
      <c r="K696" s="83"/>
      <c r="L696" s="83"/>
      <c r="M696" s="70"/>
      <c r="N696" s="70"/>
      <c r="O696" s="70"/>
      <c r="P696" s="70"/>
      <c r="Q696" s="70"/>
      <c r="R696" s="70"/>
      <c r="S696" s="70"/>
      <c r="T696" s="70"/>
      <c r="U696" s="70"/>
      <c r="V696" s="70"/>
      <c r="W696" s="70"/>
      <c r="X696" s="70"/>
      <c r="Y696" s="70"/>
      <c r="Z696" s="70"/>
    </row>
    <row r="697">
      <c r="A697" s="78"/>
      <c r="B697" s="78"/>
      <c r="C697" s="80"/>
      <c r="D697" s="80"/>
      <c r="E697" s="82"/>
      <c r="F697" s="82"/>
      <c r="G697" s="82"/>
      <c r="H697" s="82"/>
      <c r="I697" s="34"/>
      <c r="J697" s="83"/>
      <c r="K697" s="83"/>
      <c r="L697" s="83"/>
      <c r="M697" s="70"/>
      <c r="N697" s="70"/>
      <c r="O697" s="70"/>
      <c r="P697" s="70"/>
      <c r="Q697" s="70"/>
      <c r="R697" s="70"/>
      <c r="S697" s="70"/>
      <c r="T697" s="70"/>
      <c r="U697" s="70"/>
      <c r="V697" s="70"/>
      <c r="W697" s="70"/>
      <c r="X697" s="70"/>
      <c r="Y697" s="70"/>
      <c r="Z697" s="70"/>
    </row>
    <row r="698">
      <c r="A698" s="78"/>
      <c r="B698" s="78"/>
      <c r="C698" s="80"/>
      <c r="D698" s="80"/>
      <c r="E698" s="82"/>
      <c r="F698" s="82"/>
      <c r="G698" s="82"/>
      <c r="H698" s="82"/>
      <c r="I698" s="34"/>
      <c r="J698" s="83"/>
      <c r="K698" s="83"/>
      <c r="L698" s="83"/>
      <c r="M698" s="70"/>
      <c r="N698" s="70"/>
      <c r="O698" s="70"/>
      <c r="P698" s="70"/>
      <c r="Q698" s="70"/>
      <c r="R698" s="70"/>
      <c r="S698" s="70"/>
      <c r="T698" s="70"/>
      <c r="U698" s="70"/>
      <c r="V698" s="70"/>
      <c r="W698" s="70"/>
      <c r="X698" s="70"/>
      <c r="Y698" s="70"/>
      <c r="Z698" s="70"/>
    </row>
    <row r="699">
      <c r="A699" s="78"/>
      <c r="B699" s="78"/>
      <c r="C699" s="80"/>
      <c r="D699" s="80"/>
      <c r="E699" s="82"/>
      <c r="F699" s="82"/>
      <c r="G699" s="82"/>
      <c r="H699" s="82"/>
      <c r="I699" s="34"/>
      <c r="J699" s="83"/>
      <c r="K699" s="83"/>
      <c r="L699" s="83"/>
      <c r="M699" s="70"/>
      <c r="N699" s="70"/>
      <c r="O699" s="70"/>
      <c r="P699" s="70"/>
      <c r="Q699" s="70"/>
      <c r="R699" s="70"/>
      <c r="S699" s="70"/>
      <c r="T699" s="70"/>
      <c r="U699" s="70"/>
      <c r="V699" s="70"/>
      <c r="W699" s="70"/>
      <c r="X699" s="70"/>
      <c r="Y699" s="70"/>
      <c r="Z699" s="70"/>
    </row>
    <row r="700">
      <c r="A700" s="78"/>
      <c r="B700" s="78"/>
      <c r="C700" s="80"/>
      <c r="D700" s="80"/>
      <c r="E700" s="82"/>
      <c r="F700" s="82"/>
      <c r="G700" s="82"/>
      <c r="H700" s="82"/>
      <c r="I700" s="34"/>
      <c r="J700" s="83"/>
      <c r="K700" s="83"/>
      <c r="L700" s="83"/>
      <c r="M700" s="70"/>
      <c r="N700" s="70"/>
      <c r="O700" s="70"/>
      <c r="P700" s="70"/>
      <c r="Q700" s="70"/>
      <c r="R700" s="70"/>
      <c r="S700" s="70"/>
      <c r="T700" s="70"/>
      <c r="U700" s="70"/>
      <c r="V700" s="70"/>
      <c r="W700" s="70"/>
      <c r="X700" s="70"/>
      <c r="Y700" s="70"/>
      <c r="Z700" s="70"/>
    </row>
    <row r="701">
      <c r="A701" s="78"/>
      <c r="B701" s="78"/>
      <c r="C701" s="80"/>
      <c r="D701" s="80"/>
      <c r="E701" s="82"/>
      <c r="F701" s="82"/>
      <c r="G701" s="82"/>
      <c r="H701" s="82"/>
      <c r="I701" s="34"/>
      <c r="J701" s="83"/>
      <c r="K701" s="83"/>
      <c r="L701" s="83"/>
      <c r="M701" s="70"/>
      <c r="N701" s="70"/>
      <c r="O701" s="70"/>
      <c r="P701" s="70"/>
      <c r="Q701" s="70"/>
      <c r="R701" s="70"/>
      <c r="S701" s="70"/>
      <c r="T701" s="70"/>
      <c r="U701" s="70"/>
      <c r="V701" s="70"/>
      <c r="W701" s="70"/>
      <c r="X701" s="70"/>
      <c r="Y701" s="70"/>
      <c r="Z701" s="70"/>
    </row>
    <row r="702">
      <c r="A702" s="78"/>
      <c r="B702" s="78"/>
      <c r="C702" s="80"/>
      <c r="D702" s="80"/>
      <c r="E702" s="82"/>
      <c r="F702" s="82"/>
      <c r="G702" s="82"/>
      <c r="H702" s="82"/>
      <c r="I702" s="34"/>
      <c r="J702" s="83"/>
      <c r="K702" s="83"/>
      <c r="L702" s="83"/>
      <c r="M702" s="70"/>
      <c r="N702" s="70"/>
      <c r="O702" s="70"/>
      <c r="P702" s="70"/>
      <c r="Q702" s="70"/>
      <c r="R702" s="70"/>
      <c r="S702" s="70"/>
      <c r="T702" s="70"/>
      <c r="U702" s="70"/>
      <c r="V702" s="70"/>
      <c r="W702" s="70"/>
      <c r="X702" s="70"/>
      <c r="Y702" s="70"/>
      <c r="Z702" s="70"/>
    </row>
    <row r="703">
      <c r="A703" s="78"/>
      <c r="B703" s="78"/>
      <c r="C703" s="80"/>
      <c r="D703" s="80"/>
      <c r="E703" s="82"/>
      <c r="F703" s="82"/>
      <c r="G703" s="82"/>
      <c r="H703" s="82"/>
      <c r="I703" s="34"/>
      <c r="J703" s="83"/>
      <c r="K703" s="83"/>
      <c r="L703" s="83"/>
      <c r="M703" s="70"/>
      <c r="N703" s="70"/>
      <c r="O703" s="70"/>
      <c r="P703" s="70"/>
      <c r="Q703" s="70"/>
      <c r="R703" s="70"/>
      <c r="S703" s="70"/>
      <c r="T703" s="70"/>
      <c r="U703" s="70"/>
      <c r="V703" s="70"/>
      <c r="W703" s="70"/>
      <c r="X703" s="70"/>
      <c r="Y703" s="70"/>
      <c r="Z703" s="70"/>
    </row>
    <row r="704">
      <c r="A704" s="78"/>
      <c r="B704" s="78"/>
      <c r="C704" s="80"/>
      <c r="D704" s="80"/>
      <c r="E704" s="82"/>
      <c r="F704" s="82"/>
      <c r="G704" s="82"/>
      <c r="H704" s="82"/>
      <c r="I704" s="34"/>
      <c r="J704" s="83"/>
      <c r="K704" s="83"/>
      <c r="L704" s="83"/>
      <c r="M704" s="70"/>
      <c r="N704" s="70"/>
      <c r="O704" s="70"/>
      <c r="P704" s="70"/>
      <c r="Q704" s="70"/>
      <c r="R704" s="70"/>
      <c r="S704" s="70"/>
      <c r="T704" s="70"/>
      <c r="U704" s="70"/>
      <c r="V704" s="70"/>
      <c r="W704" s="70"/>
      <c r="X704" s="70"/>
      <c r="Y704" s="70"/>
      <c r="Z704" s="70"/>
    </row>
    <row r="705">
      <c r="A705" s="78"/>
      <c r="B705" s="78"/>
      <c r="C705" s="80"/>
      <c r="D705" s="80"/>
      <c r="E705" s="82"/>
      <c r="F705" s="82"/>
      <c r="G705" s="82"/>
      <c r="H705" s="82"/>
      <c r="I705" s="34"/>
      <c r="J705" s="83"/>
      <c r="K705" s="83"/>
      <c r="L705" s="83"/>
      <c r="M705" s="70"/>
      <c r="N705" s="70"/>
      <c r="O705" s="70"/>
      <c r="P705" s="70"/>
      <c r="Q705" s="70"/>
      <c r="R705" s="70"/>
      <c r="S705" s="70"/>
      <c r="T705" s="70"/>
      <c r="U705" s="70"/>
      <c r="V705" s="70"/>
      <c r="W705" s="70"/>
      <c r="X705" s="70"/>
      <c r="Y705" s="70"/>
      <c r="Z705" s="70"/>
    </row>
    <row r="706">
      <c r="A706" s="78"/>
      <c r="B706" s="78"/>
      <c r="C706" s="80"/>
      <c r="D706" s="80"/>
      <c r="E706" s="82"/>
      <c r="F706" s="82"/>
      <c r="G706" s="82"/>
      <c r="H706" s="82"/>
      <c r="I706" s="34"/>
      <c r="J706" s="83"/>
      <c r="K706" s="83"/>
      <c r="L706" s="83"/>
      <c r="M706" s="70"/>
      <c r="N706" s="70"/>
      <c r="O706" s="70"/>
      <c r="P706" s="70"/>
      <c r="Q706" s="70"/>
      <c r="R706" s="70"/>
      <c r="S706" s="70"/>
      <c r="T706" s="70"/>
      <c r="U706" s="70"/>
      <c r="V706" s="70"/>
      <c r="W706" s="70"/>
      <c r="X706" s="70"/>
      <c r="Y706" s="70"/>
      <c r="Z706" s="70"/>
    </row>
    <row r="707">
      <c r="A707" s="78"/>
      <c r="B707" s="78"/>
      <c r="C707" s="80"/>
      <c r="D707" s="80"/>
      <c r="E707" s="82"/>
      <c r="F707" s="82"/>
      <c r="G707" s="82"/>
      <c r="H707" s="82"/>
      <c r="I707" s="34"/>
      <c r="J707" s="83"/>
      <c r="K707" s="83"/>
      <c r="L707" s="83"/>
      <c r="M707" s="70"/>
      <c r="N707" s="70"/>
      <c r="O707" s="70"/>
      <c r="P707" s="70"/>
      <c r="Q707" s="70"/>
      <c r="R707" s="70"/>
      <c r="S707" s="70"/>
      <c r="T707" s="70"/>
      <c r="U707" s="70"/>
      <c r="V707" s="70"/>
      <c r="W707" s="70"/>
      <c r="X707" s="70"/>
      <c r="Y707" s="70"/>
      <c r="Z707" s="70"/>
    </row>
    <row r="708">
      <c r="A708" s="78"/>
      <c r="B708" s="78"/>
      <c r="C708" s="80"/>
      <c r="D708" s="80"/>
      <c r="E708" s="82"/>
      <c r="F708" s="82"/>
      <c r="G708" s="82"/>
      <c r="H708" s="82"/>
      <c r="I708" s="34"/>
      <c r="J708" s="83"/>
      <c r="K708" s="83"/>
      <c r="L708" s="83"/>
      <c r="M708" s="70"/>
      <c r="N708" s="70"/>
      <c r="O708" s="70"/>
      <c r="P708" s="70"/>
      <c r="Q708" s="70"/>
      <c r="R708" s="70"/>
      <c r="S708" s="70"/>
      <c r="T708" s="70"/>
      <c r="U708" s="70"/>
      <c r="V708" s="70"/>
      <c r="W708" s="70"/>
      <c r="X708" s="70"/>
      <c r="Y708" s="70"/>
      <c r="Z708" s="70"/>
    </row>
    <row r="709">
      <c r="A709" s="78"/>
      <c r="B709" s="78"/>
      <c r="C709" s="80"/>
      <c r="D709" s="80"/>
      <c r="E709" s="82"/>
      <c r="F709" s="82"/>
      <c r="G709" s="82"/>
      <c r="H709" s="82"/>
      <c r="I709" s="34"/>
      <c r="J709" s="83"/>
      <c r="K709" s="83"/>
      <c r="L709" s="83"/>
      <c r="M709" s="70"/>
      <c r="N709" s="70"/>
      <c r="O709" s="70"/>
      <c r="P709" s="70"/>
      <c r="Q709" s="70"/>
      <c r="R709" s="70"/>
      <c r="S709" s="70"/>
      <c r="T709" s="70"/>
      <c r="U709" s="70"/>
      <c r="V709" s="70"/>
      <c r="W709" s="70"/>
      <c r="X709" s="70"/>
      <c r="Y709" s="70"/>
      <c r="Z709" s="70"/>
    </row>
    <row r="710">
      <c r="A710" s="78"/>
      <c r="B710" s="78"/>
      <c r="C710" s="80"/>
      <c r="D710" s="80"/>
      <c r="E710" s="82"/>
      <c r="F710" s="82"/>
      <c r="G710" s="82"/>
      <c r="H710" s="82"/>
      <c r="I710" s="34"/>
      <c r="J710" s="83"/>
      <c r="K710" s="83"/>
      <c r="L710" s="83"/>
      <c r="M710" s="70"/>
      <c r="N710" s="70"/>
      <c r="O710" s="70"/>
      <c r="P710" s="70"/>
      <c r="Q710" s="70"/>
      <c r="R710" s="70"/>
      <c r="S710" s="70"/>
      <c r="T710" s="70"/>
      <c r="U710" s="70"/>
      <c r="V710" s="70"/>
      <c r="W710" s="70"/>
      <c r="X710" s="70"/>
      <c r="Y710" s="70"/>
      <c r="Z710" s="70"/>
    </row>
    <row r="711">
      <c r="A711" s="78"/>
      <c r="B711" s="78"/>
      <c r="C711" s="80"/>
      <c r="D711" s="80"/>
      <c r="E711" s="82"/>
      <c r="F711" s="82"/>
      <c r="G711" s="82"/>
      <c r="H711" s="82"/>
      <c r="I711" s="34"/>
      <c r="J711" s="83"/>
      <c r="K711" s="83"/>
      <c r="L711" s="83"/>
      <c r="M711" s="70"/>
      <c r="N711" s="70"/>
      <c r="O711" s="70"/>
      <c r="P711" s="70"/>
      <c r="Q711" s="70"/>
      <c r="R711" s="70"/>
      <c r="S711" s="70"/>
      <c r="T711" s="70"/>
      <c r="U711" s="70"/>
      <c r="V711" s="70"/>
      <c r="W711" s="70"/>
      <c r="X711" s="70"/>
      <c r="Y711" s="70"/>
      <c r="Z711" s="70"/>
    </row>
    <row r="712">
      <c r="A712" s="78"/>
      <c r="B712" s="78"/>
      <c r="C712" s="80"/>
      <c r="D712" s="80"/>
      <c r="E712" s="82"/>
      <c r="F712" s="82"/>
      <c r="G712" s="82"/>
      <c r="H712" s="82"/>
      <c r="I712" s="34"/>
      <c r="J712" s="83"/>
      <c r="K712" s="83"/>
      <c r="L712" s="83"/>
      <c r="M712" s="70"/>
      <c r="N712" s="70"/>
      <c r="O712" s="70"/>
      <c r="P712" s="70"/>
      <c r="Q712" s="70"/>
      <c r="R712" s="70"/>
      <c r="S712" s="70"/>
      <c r="T712" s="70"/>
      <c r="U712" s="70"/>
      <c r="V712" s="70"/>
      <c r="W712" s="70"/>
      <c r="X712" s="70"/>
      <c r="Y712" s="70"/>
      <c r="Z712" s="70"/>
    </row>
    <row r="713">
      <c r="A713" s="78"/>
      <c r="B713" s="78"/>
      <c r="C713" s="80"/>
      <c r="D713" s="80"/>
      <c r="E713" s="82"/>
      <c r="F713" s="82"/>
      <c r="G713" s="82"/>
      <c r="H713" s="82"/>
      <c r="I713" s="34"/>
      <c r="J713" s="83"/>
      <c r="K713" s="83"/>
      <c r="L713" s="83"/>
      <c r="M713" s="70"/>
      <c r="N713" s="70"/>
      <c r="O713" s="70"/>
      <c r="P713" s="70"/>
      <c r="Q713" s="70"/>
      <c r="R713" s="70"/>
      <c r="S713" s="70"/>
      <c r="T713" s="70"/>
      <c r="U713" s="70"/>
      <c r="V713" s="70"/>
      <c r="W713" s="70"/>
      <c r="X713" s="70"/>
      <c r="Y713" s="70"/>
      <c r="Z713" s="70"/>
    </row>
    <row r="714">
      <c r="A714" s="78"/>
      <c r="B714" s="78"/>
      <c r="C714" s="80"/>
      <c r="D714" s="80"/>
      <c r="E714" s="82"/>
      <c r="F714" s="82"/>
      <c r="G714" s="82"/>
      <c r="H714" s="82"/>
      <c r="I714" s="34"/>
      <c r="J714" s="83"/>
      <c r="K714" s="83"/>
      <c r="L714" s="83"/>
      <c r="M714" s="70"/>
      <c r="N714" s="70"/>
      <c r="O714" s="70"/>
      <c r="P714" s="70"/>
      <c r="Q714" s="70"/>
      <c r="R714" s="70"/>
      <c r="S714" s="70"/>
      <c r="T714" s="70"/>
      <c r="U714" s="70"/>
      <c r="V714" s="70"/>
      <c r="W714" s="70"/>
      <c r="X714" s="70"/>
      <c r="Y714" s="70"/>
      <c r="Z714" s="70"/>
    </row>
    <row r="715">
      <c r="A715" s="78"/>
      <c r="B715" s="78"/>
      <c r="C715" s="80"/>
      <c r="D715" s="80"/>
      <c r="E715" s="82"/>
      <c r="F715" s="82"/>
      <c r="G715" s="82"/>
      <c r="H715" s="82"/>
      <c r="I715" s="34"/>
      <c r="J715" s="83"/>
      <c r="K715" s="83"/>
      <c r="L715" s="83"/>
      <c r="M715" s="70"/>
      <c r="N715" s="70"/>
      <c r="O715" s="70"/>
      <c r="P715" s="70"/>
      <c r="Q715" s="70"/>
      <c r="R715" s="70"/>
      <c r="S715" s="70"/>
      <c r="T715" s="70"/>
      <c r="U715" s="70"/>
      <c r="V715" s="70"/>
      <c r="W715" s="70"/>
      <c r="X715" s="70"/>
      <c r="Y715" s="70"/>
      <c r="Z715" s="70"/>
    </row>
    <row r="716">
      <c r="A716" s="78"/>
      <c r="B716" s="78"/>
      <c r="C716" s="80"/>
      <c r="D716" s="80"/>
      <c r="E716" s="82"/>
      <c r="F716" s="82"/>
      <c r="G716" s="82"/>
      <c r="H716" s="82"/>
      <c r="I716" s="34"/>
      <c r="J716" s="83"/>
      <c r="K716" s="83"/>
      <c r="L716" s="83"/>
      <c r="M716" s="70"/>
      <c r="N716" s="70"/>
      <c r="O716" s="70"/>
      <c r="P716" s="70"/>
      <c r="Q716" s="70"/>
      <c r="R716" s="70"/>
      <c r="S716" s="70"/>
      <c r="T716" s="70"/>
      <c r="U716" s="70"/>
      <c r="V716" s="70"/>
      <c r="W716" s="70"/>
      <c r="X716" s="70"/>
      <c r="Y716" s="70"/>
      <c r="Z716" s="70"/>
    </row>
    <row r="717">
      <c r="A717" s="78"/>
      <c r="B717" s="78"/>
      <c r="C717" s="80"/>
      <c r="D717" s="80"/>
      <c r="E717" s="82"/>
      <c r="F717" s="82"/>
      <c r="G717" s="82"/>
      <c r="H717" s="82"/>
      <c r="I717" s="34"/>
      <c r="J717" s="83"/>
      <c r="K717" s="83"/>
      <c r="L717" s="83"/>
      <c r="M717" s="70"/>
      <c r="N717" s="70"/>
      <c r="O717" s="70"/>
      <c r="P717" s="70"/>
      <c r="Q717" s="70"/>
      <c r="R717" s="70"/>
      <c r="S717" s="70"/>
      <c r="T717" s="70"/>
      <c r="U717" s="70"/>
      <c r="V717" s="70"/>
      <c r="W717" s="70"/>
      <c r="X717" s="70"/>
      <c r="Y717" s="70"/>
      <c r="Z717" s="70"/>
    </row>
    <row r="718">
      <c r="A718" s="78"/>
      <c r="B718" s="78"/>
      <c r="C718" s="80"/>
      <c r="D718" s="80"/>
      <c r="E718" s="82"/>
      <c r="F718" s="82"/>
      <c r="G718" s="82"/>
      <c r="H718" s="82"/>
      <c r="I718" s="34"/>
      <c r="J718" s="83"/>
      <c r="K718" s="83"/>
      <c r="L718" s="83"/>
      <c r="M718" s="70"/>
      <c r="N718" s="70"/>
      <c r="O718" s="70"/>
      <c r="P718" s="70"/>
      <c r="Q718" s="70"/>
      <c r="R718" s="70"/>
      <c r="S718" s="70"/>
      <c r="T718" s="70"/>
      <c r="U718" s="70"/>
      <c r="V718" s="70"/>
      <c r="W718" s="70"/>
      <c r="X718" s="70"/>
      <c r="Y718" s="70"/>
      <c r="Z718" s="70"/>
    </row>
    <row r="719">
      <c r="A719" s="78"/>
      <c r="B719" s="78"/>
      <c r="C719" s="80"/>
      <c r="D719" s="80"/>
      <c r="E719" s="82"/>
      <c r="F719" s="82"/>
      <c r="G719" s="82"/>
      <c r="H719" s="82"/>
      <c r="I719" s="34"/>
      <c r="J719" s="83"/>
      <c r="K719" s="83"/>
      <c r="L719" s="83"/>
      <c r="M719" s="70"/>
      <c r="N719" s="70"/>
      <c r="O719" s="70"/>
      <c r="P719" s="70"/>
      <c r="Q719" s="70"/>
      <c r="R719" s="70"/>
      <c r="S719" s="70"/>
      <c r="T719" s="70"/>
      <c r="U719" s="70"/>
      <c r="V719" s="70"/>
      <c r="W719" s="70"/>
      <c r="X719" s="70"/>
      <c r="Y719" s="70"/>
      <c r="Z719" s="70"/>
    </row>
    <row r="720">
      <c r="A720" s="78"/>
      <c r="B720" s="78"/>
      <c r="C720" s="80"/>
      <c r="D720" s="80"/>
      <c r="E720" s="82"/>
      <c r="F720" s="82"/>
      <c r="G720" s="82"/>
      <c r="H720" s="82"/>
      <c r="I720" s="34"/>
      <c r="J720" s="83"/>
      <c r="K720" s="83"/>
      <c r="L720" s="83"/>
      <c r="M720" s="70"/>
      <c r="N720" s="70"/>
      <c r="O720" s="70"/>
      <c r="P720" s="70"/>
      <c r="Q720" s="70"/>
      <c r="R720" s="70"/>
      <c r="S720" s="70"/>
      <c r="T720" s="70"/>
      <c r="U720" s="70"/>
      <c r="V720" s="70"/>
      <c r="W720" s="70"/>
      <c r="X720" s="70"/>
      <c r="Y720" s="70"/>
      <c r="Z720" s="70"/>
    </row>
    <row r="721">
      <c r="A721" s="78"/>
      <c r="B721" s="78"/>
      <c r="C721" s="80"/>
      <c r="D721" s="80"/>
      <c r="E721" s="82"/>
      <c r="F721" s="82"/>
      <c r="G721" s="82"/>
      <c r="H721" s="82"/>
      <c r="I721" s="34"/>
      <c r="J721" s="83"/>
      <c r="K721" s="83"/>
      <c r="L721" s="83"/>
      <c r="M721" s="70"/>
      <c r="N721" s="70"/>
      <c r="O721" s="70"/>
      <c r="P721" s="70"/>
      <c r="Q721" s="70"/>
      <c r="R721" s="70"/>
      <c r="S721" s="70"/>
      <c r="T721" s="70"/>
      <c r="U721" s="70"/>
      <c r="V721" s="70"/>
      <c r="W721" s="70"/>
      <c r="X721" s="70"/>
      <c r="Y721" s="70"/>
      <c r="Z721" s="70"/>
    </row>
    <row r="722">
      <c r="A722" s="78"/>
      <c r="B722" s="78"/>
      <c r="C722" s="80"/>
      <c r="D722" s="80"/>
      <c r="E722" s="82"/>
      <c r="F722" s="82"/>
      <c r="G722" s="82"/>
      <c r="H722" s="82"/>
      <c r="I722" s="34"/>
      <c r="J722" s="83"/>
      <c r="K722" s="83"/>
      <c r="L722" s="83"/>
      <c r="M722" s="70"/>
      <c r="N722" s="70"/>
      <c r="O722" s="70"/>
      <c r="P722" s="70"/>
      <c r="Q722" s="70"/>
      <c r="R722" s="70"/>
      <c r="S722" s="70"/>
      <c r="T722" s="70"/>
      <c r="U722" s="70"/>
      <c r="V722" s="70"/>
      <c r="W722" s="70"/>
      <c r="X722" s="70"/>
      <c r="Y722" s="70"/>
      <c r="Z722" s="70"/>
    </row>
    <row r="723">
      <c r="A723" s="78"/>
      <c r="B723" s="78"/>
      <c r="C723" s="80"/>
      <c r="D723" s="80"/>
      <c r="E723" s="82"/>
      <c r="F723" s="82"/>
      <c r="G723" s="82"/>
      <c r="H723" s="82"/>
      <c r="I723" s="34"/>
      <c r="J723" s="83"/>
      <c r="K723" s="83"/>
      <c r="L723" s="83"/>
      <c r="M723" s="70"/>
      <c r="N723" s="70"/>
      <c r="O723" s="70"/>
      <c r="P723" s="70"/>
      <c r="Q723" s="70"/>
      <c r="R723" s="70"/>
      <c r="S723" s="70"/>
      <c r="T723" s="70"/>
      <c r="U723" s="70"/>
      <c r="V723" s="70"/>
      <c r="W723" s="70"/>
      <c r="X723" s="70"/>
      <c r="Y723" s="70"/>
      <c r="Z723" s="70"/>
    </row>
    <row r="724">
      <c r="A724" s="78"/>
      <c r="B724" s="78"/>
      <c r="C724" s="80"/>
      <c r="D724" s="80"/>
      <c r="E724" s="82"/>
      <c r="F724" s="82"/>
      <c r="G724" s="82"/>
      <c r="H724" s="82"/>
      <c r="I724" s="34"/>
      <c r="J724" s="83"/>
      <c r="K724" s="83"/>
      <c r="L724" s="83"/>
      <c r="M724" s="70"/>
      <c r="N724" s="70"/>
      <c r="O724" s="70"/>
      <c r="P724" s="70"/>
      <c r="Q724" s="70"/>
      <c r="R724" s="70"/>
      <c r="S724" s="70"/>
      <c r="T724" s="70"/>
      <c r="U724" s="70"/>
      <c r="V724" s="70"/>
      <c r="W724" s="70"/>
      <c r="X724" s="70"/>
      <c r="Y724" s="70"/>
      <c r="Z724" s="70"/>
    </row>
    <row r="725">
      <c r="A725" s="78"/>
      <c r="B725" s="78"/>
      <c r="C725" s="80"/>
      <c r="D725" s="80"/>
      <c r="E725" s="82"/>
      <c r="F725" s="82"/>
      <c r="G725" s="82"/>
      <c r="H725" s="82"/>
      <c r="I725" s="34"/>
      <c r="J725" s="83"/>
      <c r="K725" s="83"/>
      <c r="L725" s="83"/>
      <c r="M725" s="70"/>
      <c r="N725" s="70"/>
      <c r="O725" s="70"/>
      <c r="P725" s="70"/>
      <c r="Q725" s="70"/>
      <c r="R725" s="70"/>
      <c r="S725" s="70"/>
      <c r="T725" s="70"/>
      <c r="U725" s="70"/>
      <c r="V725" s="70"/>
      <c r="W725" s="70"/>
      <c r="X725" s="70"/>
      <c r="Y725" s="70"/>
      <c r="Z725" s="70"/>
    </row>
    <row r="726">
      <c r="A726" s="78"/>
      <c r="B726" s="78"/>
      <c r="C726" s="80"/>
      <c r="D726" s="80"/>
      <c r="E726" s="82"/>
      <c r="F726" s="82"/>
      <c r="G726" s="82"/>
      <c r="H726" s="82"/>
      <c r="I726" s="34"/>
      <c r="J726" s="83"/>
      <c r="K726" s="83"/>
      <c r="L726" s="83"/>
      <c r="M726" s="70"/>
      <c r="N726" s="70"/>
      <c r="O726" s="70"/>
      <c r="P726" s="70"/>
      <c r="Q726" s="70"/>
      <c r="R726" s="70"/>
      <c r="S726" s="70"/>
      <c r="T726" s="70"/>
      <c r="U726" s="70"/>
      <c r="V726" s="70"/>
      <c r="W726" s="70"/>
      <c r="X726" s="70"/>
      <c r="Y726" s="70"/>
      <c r="Z726" s="70"/>
    </row>
    <row r="727">
      <c r="A727" s="78"/>
      <c r="B727" s="78"/>
      <c r="C727" s="80"/>
      <c r="D727" s="80"/>
      <c r="E727" s="82"/>
      <c r="F727" s="82"/>
      <c r="G727" s="82"/>
      <c r="H727" s="82"/>
      <c r="I727" s="34"/>
      <c r="J727" s="83"/>
      <c r="K727" s="83"/>
      <c r="L727" s="83"/>
      <c r="M727" s="70"/>
      <c r="N727" s="70"/>
      <c r="O727" s="70"/>
      <c r="P727" s="70"/>
      <c r="Q727" s="70"/>
      <c r="R727" s="70"/>
      <c r="S727" s="70"/>
      <c r="T727" s="70"/>
      <c r="U727" s="70"/>
      <c r="V727" s="70"/>
      <c r="W727" s="70"/>
      <c r="X727" s="70"/>
      <c r="Y727" s="70"/>
      <c r="Z727" s="70"/>
    </row>
    <row r="728">
      <c r="A728" s="78"/>
      <c r="B728" s="78"/>
      <c r="C728" s="80"/>
      <c r="D728" s="80"/>
      <c r="E728" s="82"/>
      <c r="F728" s="82"/>
      <c r="G728" s="82"/>
      <c r="H728" s="82"/>
      <c r="I728" s="34"/>
      <c r="J728" s="83"/>
      <c r="K728" s="83"/>
      <c r="L728" s="83"/>
      <c r="M728" s="70"/>
      <c r="N728" s="70"/>
      <c r="O728" s="70"/>
      <c r="P728" s="70"/>
      <c r="Q728" s="70"/>
      <c r="R728" s="70"/>
      <c r="S728" s="70"/>
      <c r="T728" s="70"/>
      <c r="U728" s="70"/>
      <c r="V728" s="70"/>
      <c r="W728" s="70"/>
      <c r="X728" s="70"/>
      <c r="Y728" s="70"/>
      <c r="Z728" s="70"/>
    </row>
    <row r="729">
      <c r="A729" s="78"/>
      <c r="B729" s="78"/>
      <c r="C729" s="80"/>
      <c r="D729" s="80"/>
      <c r="E729" s="82"/>
      <c r="F729" s="82"/>
      <c r="G729" s="82"/>
      <c r="H729" s="82"/>
      <c r="I729" s="34"/>
      <c r="J729" s="83"/>
      <c r="K729" s="83"/>
      <c r="L729" s="83"/>
      <c r="M729" s="70"/>
      <c r="N729" s="70"/>
      <c r="O729" s="70"/>
      <c r="P729" s="70"/>
      <c r="Q729" s="70"/>
      <c r="R729" s="70"/>
      <c r="S729" s="70"/>
      <c r="T729" s="70"/>
      <c r="U729" s="70"/>
      <c r="V729" s="70"/>
      <c r="W729" s="70"/>
      <c r="X729" s="70"/>
      <c r="Y729" s="70"/>
      <c r="Z729" s="70"/>
    </row>
    <row r="730">
      <c r="A730" s="78"/>
      <c r="B730" s="78"/>
      <c r="C730" s="80"/>
      <c r="D730" s="80"/>
      <c r="E730" s="82"/>
      <c r="F730" s="82"/>
      <c r="G730" s="82"/>
      <c r="H730" s="82"/>
      <c r="I730" s="34"/>
      <c r="J730" s="83"/>
      <c r="K730" s="83"/>
      <c r="L730" s="83"/>
      <c r="M730" s="70"/>
      <c r="N730" s="70"/>
      <c r="O730" s="70"/>
      <c r="P730" s="70"/>
      <c r="Q730" s="70"/>
      <c r="R730" s="70"/>
      <c r="S730" s="70"/>
      <c r="T730" s="70"/>
      <c r="U730" s="70"/>
      <c r="V730" s="70"/>
      <c r="W730" s="70"/>
      <c r="X730" s="70"/>
      <c r="Y730" s="70"/>
      <c r="Z730" s="70"/>
    </row>
    <row r="731">
      <c r="A731" s="78"/>
      <c r="B731" s="78"/>
      <c r="C731" s="80"/>
      <c r="D731" s="80"/>
      <c r="E731" s="82"/>
      <c r="F731" s="82"/>
      <c r="G731" s="82"/>
      <c r="H731" s="82"/>
      <c r="I731" s="34"/>
      <c r="J731" s="83"/>
      <c r="K731" s="83"/>
      <c r="L731" s="83"/>
      <c r="M731" s="70"/>
      <c r="N731" s="70"/>
      <c r="O731" s="70"/>
      <c r="P731" s="70"/>
      <c r="Q731" s="70"/>
      <c r="R731" s="70"/>
      <c r="S731" s="70"/>
      <c r="T731" s="70"/>
      <c r="U731" s="70"/>
      <c r="V731" s="70"/>
      <c r="W731" s="70"/>
      <c r="X731" s="70"/>
      <c r="Y731" s="70"/>
      <c r="Z731" s="70"/>
    </row>
    <row r="732">
      <c r="A732" s="78"/>
      <c r="B732" s="78"/>
      <c r="C732" s="80"/>
      <c r="D732" s="80"/>
      <c r="E732" s="82"/>
      <c r="F732" s="82"/>
      <c r="G732" s="82"/>
      <c r="H732" s="82"/>
      <c r="I732" s="34"/>
      <c r="J732" s="83"/>
      <c r="K732" s="83"/>
      <c r="L732" s="83"/>
      <c r="M732" s="70"/>
      <c r="N732" s="70"/>
      <c r="O732" s="70"/>
      <c r="P732" s="70"/>
      <c r="Q732" s="70"/>
      <c r="R732" s="70"/>
      <c r="S732" s="70"/>
      <c r="T732" s="70"/>
      <c r="U732" s="70"/>
      <c r="V732" s="70"/>
      <c r="W732" s="70"/>
      <c r="X732" s="70"/>
      <c r="Y732" s="70"/>
      <c r="Z732" s="70"/>
    </row>
    <row r="733">
      <c r="A733" s="78"/>
      <c r="B733" s="78"/>
      <c r="C733" s="80"/>
      <c r="D733" s="80"/>
      <c r="E733" s="82"/>
      <c r="F733" s="82"/>
      <c r="G733" s="82"/>
      <c r="H733" s="82"/>
      <c r="I733" s="34"/>
      <c r="J733" s="83"/>
      <c r="K733" s="83"/>
      <c r="L733" s="83"/>
      <c r="M733" s="70"/>
      <c r="N733" s="70"/>
      <c r="O733" s="70"/>
      <c r="P733" s="70"/>
      <c r="Q733" s="70"/>
      <c r="R733" s="70"/>
      <c r="S733" s="70"/>
      <c r="T733" s="70"/>
      <c r="U733" s="70"/>
      <c r="V733" s="70"/>
      <c r="W733" s="70"/>
      <c r="X733" s="70"/>
      <c r="Y733" s="70"/>
      <c r="Z733" s="70"/>
    </row>
    <row r="734">
      <c r="A734" s="78"/>
      <c r="B734" s="78"/>
      <c r="C734" s="80"/>
      <c r="D734" s="80"/>
      <c r="E734" s="82"/>
      <c r="F734" s="82"/>
      <c r="G734" s="82"/>
      <c r="H734" s="82"/>
      <c r="I734" s="34"/>
      <c r="J734" s="83"/>
      <c r="K734" s="83"/>
      <c r="L734" s="83"/>
      <c r="M734" s="70"/>
      <c r="N734" s="70"/>
      <c r="O734" s="70"/>
      <c r="P734" s="70"/>
      <c r="Q734" s="70"/>
      <c r="R734" s="70"/>
      <c r="S734" s="70"/>
      <c r="T734" s="70"/>
      <c r="U734" s="70"/>
      <c r="V734" s="70"/>
      <c r="W734" s="70"/>
      <c r="X734" s="70"/>
      <c r="Y734" s="70"/>
      <c r="Z734" s="70"/>
    </row>
    <row r="735">
      <c r="A735" s="78"/>
      <c r="B735" s="78"/>
      <c r="C735" s="80"/>
      <c r="D735" s="80"/>
      <c r="E735" s="82"/>
      <c r="F735" s="82"/>
      <c r="G735" s="82"/>
      <c r="H735" s="82"/>
      <c r="I735" s="34"/>
      <c r="J735" s="83"/>
      <c r="K735" s="83"/>
      <c r="L735" s="83"/>
      <c r="M735" s="70"/>
      <c r="N735" s="70"/>
      <c r="O735" s="70"/>
      <c r="P735" s="70"/>
      <c r="Q735" s="70"/>
      <c r="R735" s="70"/>
      <c r="S735" s="70"/>
      <c r="T735" s="70"/>
      <c r="U735" s="70"/>
      <c r="V735" s="70"/>
      <c r="W735" s="70"/>
      <c r="X735" s="70"/>
      <c r="Y735" s="70"/>
      <c r="Z735" s="70"/>
    </row>
    <row r="736">
      <c r="A736" s="78"/>
      <c r="B736" s="78"/>
      <c r="C736" s="80"/>
      <c r="D736" s="80"/>
      <c r="E736" s="82"/>
      <c r="F736" s="82"/>
      <c r="G736" s="82"/>
      <c r="H736" s="82"/>
      <c r="I736" s="34"/>
      <c r="J736" s="83"/>
      <c r="K736" s="83"/>
      <c r="L736" s="83"/>
      <c r="M736" s="70"/>
      <c r="N736" s="70"/>
      <c r="O736" s="70"/>
      <c r="P736" s="70"/>
      <c r="Q736" s="70"/>
      <c r="R736" s="70"/>
      <c r="S736" s="70"/>
      <c r="T736" s="70"/>
      <c r="U736" s="70"/>
      <c r="V736" s="70"/>
      <c r="W736" s="70"/>
      <c r="X736" s="70"/>
      <c r="Y736" s="70"/>
      <c r="Z736" s="70"/>
    </row>
    <row r="737">
      <c r="A737" s="78"/>
      <c r="B737" s="78"/>
      <c r="C737" s="80"/>
      <c r="D737" s="80"/>
      <c r="E737" s="82"/>
      <c r="F737" s="82"/>
      <c r="G737" s="82"/>
      <c r="H737" s="82"/>
      <c r="I737" s="34"/>
      <c r="J737" s="83"/>
      <c r="K737" s="83"/>
      <c r="L737" s="83"/>
      <c r="M737" s="70"/>
      <c r="N737" s="70"/>
      <c r="O737" s="70"/>
      <c r="P737" s="70"/>
      <c r="Q737" s="70"/>
      <c r="R737" s="70"/>
      <c r="S737" s="70"/>
      <c r="T737" s="70"/>
      <c r="U737" s="70"/>
      <c r="V737" s="70"/>
      <c r="W737" s="70"/>
      <c r="X737" s="70"/>
      <c r="Y737" s="70"/>
      <c r="Z737" s="70"/>
    </row>
    <row r="738">
      <c r="A738" s="78"/>
      <c r="B738" s="78"/>
      <c r="C738" s="80"/>
      <c r="D738" s="80"/>
      <c r="E738" s="82"/>
      <c r="F738" s="82"/>
      <c r="G738" s="82"/>
      <c r="H738" s="82"/>
      <c r="I738" s="34"/>
      <c r="J738" s="83"/>
      <c r="K738" s="83"/>
      <c r="L738" s="83"/>
      <c r="M738" s="70"/>
      <c r="N738" s="70"/>
      <c r="O738" s="70"/>
      <c r="P738" s="70"/>
      <c r="Q738" s="70"/>
      <c r="R738" s="70"/>
      <c r="S738" s="70"/>
      <c r="T738" s="70"/>
      <c r="U738" s="70"/>
      <c r="V738" s="70"/>
      <c r="W738" s="70"/>
      <c r="X738" s="70"/>
      <c r="Y738" s="70"/>
      <c r="Z738" s="70"/>
    </row>
    <row r="739">
      <c r="A739" s="78"/>
      <c r="B739" s="78"/>
      <c r="C739" s="80"/>
      <c r="D739" s="80"/>
      <c r="E739" s="82"/>
      <c r="F739" s="82"/>
      <c r="G739" s="82"/>
      <c r="H739" s="82"/>
      <c r="I739" s="34"/>
      <c r="J739" s="83"/>
      <c r="K739" s="83"/>
      <c r="L739" s="83"/>
      <c r="M739" s="70"/>
      <c r="N739" s="70"/>
      <c r="O739" s="70"/>
      <c r="P739" s="70"/>
      <c r="Q739" s="70"/>
      <c r="R739" s="70"/>
      <c r="S739" s="70"/>
      <c r="T739" s="70"/>
      <c r="U739" s="70"/>
      <c r="V739" s="70"/>
      <c r="W739" s="70"/>
      <c r="X739" s="70"/>
      <c r="Y739" s="70"/>
      <c r="Z739" s="70"/>
    </row>
    <row r="740">
      <c r="A740" s="78"/>
      <c r="B740" s="78"/>
      <c r="C740" s="80"/>
      <c r="D740" s="80"/>
      <c r="E740" s="82"/>
      <c r="F740" s="82"/>
      <c r="G740" s="82"/>
      <c r="H740" s="82"/>
      <c r="I740" s="34"/>
      <c r="J740" s="83"/>
      <c r="K740" s="83"/>
      <c r="L740" s="83"/>
      <c r="M740" s="70"/>
      <c r="N740" s="70"/>
      <c r="O740" s="70"/>
      <c r="P740" s="70"/>
      <c r="Q740" s="70"/>
      <c r="R740" s="70"/>
      <c r="S740" s="70"/>
      <c r="T740" s="70"/>
      <c r="U740" s="70"/>
      <c r="V740" s="70"/>
      <c r="W740" s="70"/>
      <c r="X740" s="70"/>
      <c r="Y740" s="70"/>
      <c r="Z740" s="70"/>
    </row>
    <row r="741">
      <c r="A741" s="78"/>
      <c r="B741" s="78"/>
      <c r="C741" s="80"/>
      <c r="D741" s="80"/>
      <c r="E741" s="82"/>
      <c r="F741" s="82"/>
      <c r="G741" s="82"/>
      <c r="H741" s="82"/>
      <c r="I741" s="34"/>
      <c r="J741" s="83"/>
      <c r="K741" s="83"/>
      <c r="L741" s="83"/>
      <c r="M741" s="70"/>
      <c r="N741" s="70"/>
      <c r="O741" s="70"/>
      <c r="P741" s="70"/>
      <c r="Q741" s="70"/>
      <c r="R741" s="70"/>
      <c r="S741" s="70"/>
      <c r="T741" s="70"/>
      <c r="U741" s="70"/>
      <c r="V741" s="70"/>
      <c r="W741" s="70"/>
      <c r="X741" s="70"/>
      <c r="Y741" s="70"/>
      <c r="Z741" s="70"/>
    </row>
    <row r="742">
      <c r="A742" s="78"/>
      <c r="B742" s="78"/>
      <c r="C742" s="80"/>
      <c r="D742" s="80"/>
      <c r="E742" s="82"/>
      <c r="F742" s="82"/>
      <c r="G742" s="82"/>
      <c r="H742" s="82"/>
      <c r="I742" s="34"/>
      <c r="J742" s="83"/>
      <c r="K742" s="83"/>
      <c r="L742" s="83"/>
      <c r="M742" s="70"/>
      <c r="N742" s="70"/>
      <c r="O742" s="70"/>
      <c r="P742" s="70"/>
      <c r="Q742" s="70"/>
      <c r="R742" s="70"/>
      <c r="S742" s="70"/>
      <c r="T742" s="70"/>
      <c r="U742" s="70"/>
      <c r="V742" s="70"/>
      <c r="W742" s="70"/>
      <c r="X742" s="70"/>
      <c r="Y742" s="70"/>
      <c r="Z742" s="70"/>
    </row>
    <row r="743">
      <c r="A743" s="78"/>
      <c r="B743" s="78"/>
      <c r="C743" s="80"/>
      <c r="D743" s="80"/>
      <c r="E743" s="82"/>
      <c r="F743" s="82"/>
      <c r="G743" s="82"/>
      <c r="H743" s="82"/>
      <c r="I743" s="34"/>
      <c r="J743" s="83"/>
      <c r="K743" s="83"/>
      <c r="L743" s="83"/>
      <c r="M743" s="70"/>
      <c r="N743" s="70"/>
      <c r="O743" s="70"/>
      <c r="P743" s="70"/>
      <c r="Q743" s="70"/>
      <c r="R743" s="70"/>
      <c r="S743" s="70"/>
      <c r="T743" s="70"/>
      <c r="U743" s="70"/>
      <c r="V743" s="70"/>
      <c r="W743" s="70"/>
      <c r="X743" s="70"/>
      <c r="Y743" s="70"/>
      <c r="Z743" s="70"/>
    </row>
    <row r="744">
      <c r="A744" s="78"/>
      <c r="B744" s="78"/>
      <c r="C744" s="80"/>
      <c r="D744" s="80"/>
      <c r="E744" s="82"/>
      <c r="F744" s="82"/>
      <c r="G744" s="82"/>
      <c r="H744" s="82"/>
      <c r="I744" s="34"/>
      <c r="J744" s="83"/>
      <c r="K744" s="83"/>
      <c r="L744" s="83"/>
      <c r="M744" s="70"/>
      <c r="N744" s="70"/>
      <c r="O744" s="70"/>
      <c r="P744" s="70"/>
      <c r="Q744" s="70"/>
      <c r="R744" s="70"/>
      <c r="S744" s="70"/>
      <c r="T744" s="70"/>
      <c r="U744" s="70"/>
      <c r="V744" s="70"/>
      <c r="W744" s="70"/>
      <c r="X744" s="70"/>
      <c r="Y744" s="70"/>
      <c r="Z744" s="70"/>
    </row>
    <row r="745">
      <c r="A745" s="78"/>
      <c r="B745" s="78"/>
      <c r="C745" s="80"/>
      <c r="D745" s="80"/>
      <c r="E745" s="82"/>
      <c r="F745" s="82"/>
      <c r="G745" s="82"/>
      <c r="H745" s="82"/>
      <c r="I745" s="34"/>
      <c r="J745" s="83"/>
      <c r="K745" s="83"/>
      <c r="L745" s="83"/>
      <c r="M745" s="70"/>
      <c r="N745" s="70"/>
      <c r="O745" s="70"/>
      <c r="P745" s="70"/>
      <c r="Q745" s="70"/>
      <c r="R745" s="70"/>
      <c r="S745" s="70"/>
      <c r="T745" s="70"/>
      <c r="U745" s="70"/>
      <c r="V745" s="70"/>
      <c r="W745" s="70"/>
      <c r="X745" s="70"/>
      <c r="Y745" s="70"/>
      <c r="Z745" s="70"/>
    </row>
    <row r="746">
      <c r="A746" s="78"/>
      <c r="B746" s="78"/>
      <c r="C746" s="80"/>
      <c r="D746" s="80"/>
      <c r="E746" s="82"/>
      <c r="F746" s="82"/>
      <c r="G746" s="82"/>
      <c r="H746" s="82"/>
      <c r="I746" s="34"/>
      <c r="J746" s="83"/>
      <c r="K746" s="83"/>
      <c r="L746" s="83"/>
      <c r="M746" s="70"/>
      <c r="N746" s="70"/>
      <c r="O746" s="70"/>
      <c r="P746" s="70"/>
      <c r="Q746" s="70"/>
      <c r="R746" s="70"/>
      <c r="S746" s="70"/>
      <c r="T746" s="70"/>
      <c r="U746" s="70"/>
      <c r="V746" s="70"/>
      <c r="W746" s="70"/>
      <c r="X746" s="70"/>
      <c r="Y746" s="70"/>
      <c r="Z746" s="70"/>
    </row>
    <row r="747">
      <c r="A747" s="78"/>
      <c r="B747" s="78"/>
      <c r="C747" s="80"/>
      <c r="D747" s="80"/>
      <c r="E747" s="82"/>
      <c r="F747" s="82"/>
      <c r="G747" s="82"/>
      <c r="H747" s="82"/>
      <c r="I747" s="34"/>
      <c r="J747" s="83"/>
      <c r="K747" s="83"/>
      <c r="L747" s="83"/>
      <c r="M747" s="70"/>
      <c r="N747" s="70"/>
      <c r="O747" s="70"/>
      <c r="P747" s="70"/>
      <c r="Q747" s="70"/>
      <c r="R747" s="70"/>
      <c r="S747" s="70"/>
      <c r="T747" s="70"/>
      <c r="U747" s="70"/>
      <c r="V747" s="70"/>
      <c r="W747" s="70"/>
      <c r="X747" s="70"/>
      <c r="Y747" s="70"/>
      <c r="Z747" s="70"/>
    </row>
    <row r="748">
      <c r="A748" s="78"/>
      <c r="B748" s="78"/>
      <c r="C748" s="80"/>
      <c r="D748" s="80"/>
      <c r="E748" s="82"/>
      <c r="F748" s="82"/>
      <c r="G748" s="82"/>
      <c r="H748" s="82"/>
      <c r="I748" s="34"/>
      <c r="J748" s="83"/>
      <c r="K748" s="83"/>
      <c r="L748" s="83"/>
      <c r="M748" s="70"/>
      <c r="N748" s="70"/>
      <c r="O748" s="70"/>
      <c r="P748" s="70"/>
      <c r="Q748" s="70"/>
      <c r="R748" s="70"/>
      <c r="S748" s="70"/>
      <c r="T748" s="70"/>
      <c r="U748" s="70"/>
      <c r="V748" s="70"/>
      <c r="W748" s="70"/>
      <c r="X748" s="70"/>
      <c r="Y748" s="70"/>
      <c r="Z748" s="70"/>
    </row>
    <row r="749">
      <c r="A749" s="78"/>
      <c r="B749" s="78"/>
      <c r="C749" s="80"/>
      <c r="D749" s="80"/>
      <c r="E749" s="82"/>
      <c r="F749" s="82"/>
      <c r="G749" s="82"/>
      <c r="H749" s="82"/>
      <c r="I749" s="34"/>
      <c r="J749" s="83"/>
      <c r="K749" s="83"/>
      <c r="L749" s="83"/>
      <c r="M749" s="70"/>
      <c r="N749" s="70"/>
      <c r="O749" s="70"/>
      <c r="P749" s="70"/>
      <c r="Q749" s="70"/>
      <c r="R749" s="70"/>
      <c r="S749" s="70"/>
      <c r="T749" s="70"/>
      <c r="U749" s="70"/>
      <c r="V749" s="70"/>
      <c r="W749" s="70"/>
      <c r="X749" s="70"/>
      <c r="Y749" s="70"/>
      <c r="Z749" s="70"/>
    </row>
    <row r="750">
      <c r="A750" s="78"/>
      <c r="B750" s="78"/>
      <c r="C750" s="80"/>
      <c r="D750" s="80"/>
      <c r="E750" s="82"/>
      <c r="F750" s="82"/>
      <c r="G750" s="82"/>
      <c r="H750" s="82"/>
      <c r="I750" s="34"/>
      <c r="J750" s="83"/>
      <c r="K750" s="83"/>
      <c r="L750" s="83"/>
      <c r="M750" s="70"/>
      <c r="N750" s="70"/>
      <c r="O750" s="70"/>
      <c r="P750" s="70"/>
      <c r="Q750" s="70"/>
      <c r="R750" s="70"/>
      <c r="S750" s="70"/>
      <c r="T750" s="70"/>
      <c r="U750" s="70"/>
      <c r="V750" s="70"/>
      <c r="W750" s="70"/>
      <c r="X750" s="70"/>
      <c r="Y750" s="70"/>
      <c r="Z750" s="70"/>
    </row>
    <row r="751">
      <c r="A751" s="78"/>
      <c r="B751" s="78"/>
      <c r="C751" s="80"/>
      <c r="D751" s="80"/>
      <c r="E751" s="82"/>
      <c r="F751" s="82"/>
      <c r="G751" s="82"/>
      <c r="H751" s="82"/>
      <c r="I751" s="34"/>
      <c r="J751" s="83"/>
      <c r="K751" s="83"/>
      <c r="L751" s="83"/>
      <c r="M751" s="70"/>
      <c r="N751" s="70"/>
      <c r="O751" s="70"/>
      <c r="P751" s="70"/>
      <c r="Q751" s="70"/>
      <c r="R751" s="70"/>
      <c r="S751" s="70"/>
      <c r="T751" s="70"/>
      <c r="U751" s="70"/>
      <c r="V751" s="70"/>
      <c r="W751" s="70"/>
      <c r="X751" s="70"/>
      <c r="Y751" s="70"/>
      <c r="Z751" s="70"/>
    </row>
    <row r="752">
      <c r="A752" s="78"/>
      <c r="B752" s="78"/>
      <c r="C752" s="80"/>
      <c r="D752" s="80"/>
      <c r="E752" s="82"/>
      <c r="F752" s="82"/>
      <c r="G752" s="82"/>
      <c r="H752" s="82"/>
      <c r="I752" s="34"/>
      <c r="J752" s="83"/>
      <c r="K752" s="83"/>
      <c r="L752" s="83"/>
      <c r="M752" s="70"/>
      <c r="N752" s="70"/>
      <c r="O752" s="70"/>
      <c r="P752" s="70"/>
      <c r="Q752" s="70"/>
      <c r="R752" s="70"/>
      <c r="S752" s="70"/>
      <c r="T752" s="70"/>
      <c r="U752" s="70"/>
      <c r="V752" s="70"/>
      <c r="W752" s="70"/>
      <c r="X752" s="70"/>
      <c r="Y752" s="70"/>
      <c r="Z752" s="70"/>
    </row>
    <row r="753">
      <c r="A753" s="78"/>
      <c r="B753" s="78"/>
      <c r="C753" s="80"/>
      <c r="D753" s="80"/>
      <c r="E753" s="82"/>
      <c r="F753" s="82"/>
      <c r="G753" s="82"/>
      <c r="H753" s="82"/>
      <c r="I753" s="34"/>
      <c r="J753" s="83"/>
      <c r="K753" s="83"/>
      <c r="L753" s="83"/>
      <c r="M753" s="70"/>
      <c r="N753" s="70"/>
      <c r="O753" s="70"/>
      <c r="P753" s="70"/>
      <c r="Q753" s="70"/>
      <c r="R753" s="70"/>
      <c r="S753" s="70"/>
      <c r="T753" s="70"/>
      <c r="U753" s="70"/>
      <c r="V753" s="70"/>
      <c r="W753" s="70"/>
      <c r="X753" s="70"/>
      <c r="Y753" s="70"/>
      <c r="Z753" s="70"/>
    </row>
    <row r="754">
      <c r="A754" s="78"/>
      <c r="B754" s="78"/>
      <c r="C754" s="80"/>
      <c r="D754" s="80"/>
      <c r="E754" s="82"/>
      <c r="F754" s="82"/>
      <c r="G754" s="82"/>
      <c r="H754" s="82"/>
      <c r="I754" s="34"/>
      <c r="J754" s="83"/>
      <c r="K754" s="83"/>
      <c r="L754" s="83"/>
      <c r="M754" s="70"/>
      <c r="N754" s="70"/>
      <c r="O754" s="70"/>
      <c r="P754" s="70"/>
      <c r="Q754" s="70"/>
      <c r="R754" s="70"/>
      <c r="S754" s="70"/>
      <c r="T754" s="70"/>
      <c r="U754" s="70"/>
      <c r="V754" s="70"/>
      <c r="W754" s="70"/>
      <c r="X754" s="70"/>
      <c r="Y754" s="70"/>
      <c r="Z754" s="70"/>
    </row>
    <row r="755">
      <c r="A755" s="78"/>
      <c r="B755" s="78"/>
      <c r="C755" s="80"/>
      <c r="D755" s="80"/>
      <c r="E755" s="82"/>
      <c r="F755" s="82"/>
      <c r="G755" s="82"/>
      <c r="H755" s="82"/>
      <c r="I755" s="34"/>
      <c r="J755" s="83"/>
      <c r="K755" s="83"/>
      <c r="L755" s="83"/>
      <c r="M755" s="70"/>
      <c r="N755" s="70"/>
      <c r="O755" s="70"/>
      <c r="P755" s="70"/>
      <c r="Q755" s="70"/>
      <c r="R755" s="70"/>
      <c r="S755" s="70"/>
      <c r="T755" s="70"/>
      <c r="U755" s="70"/>
      <c r="V755" s="70"/>
      <c r="W755" s="70"/>
      <c r="X755" s="70"/>
      <c r="Y755" s="70"/>
      <c r="Z755" s="70"/>
    </row>
    <row r="756">
      <c r="A756" s="78"/>
      <c r="B756" s="78"/>
      <c r="C756" s="80"/>
      <c r="D756" s="80"/>
      <c r="E756" s="82"/>
      <c r="F756" s="82"/>
      <c r="G756" s="82"/>
      <c r="H756" s="82"/>
      <c r="I756" s="34"/>
      <c r="J756" s="83"/>
      <c r="K756" s="83"/>
      <c r="L756" s="83"/>
      <c r="M756" s="70"/>
      <c r="N756" s="70"/>
      <c r="O756" s="70"/>
      <c r="P756" s="70"/>
      <c r="Q756" s="70"/>
      <c r="R756" s="70"/>
      <c r="S756" s="70"/>
      <c r="T756" s="70"/>
      <c r="U756" s="70"/>
      <c r="V756" s="70"/>
      <c r="W756" s="70"/>
      <c r="X756" s="70"/>
      <c r="Y756" s="70"/>
      <c r="Z756" s="70"/>
    </row>
    <row r="757">
      <c r="A757" s="78"/>
      <c r="B757" s="78"/>
      <c r="C757" s="80"/>
      <c r="D757" s="80"/>
      <c r="E757" s="82"/>
      <c r="F757" s="82"/>
      <c r="G757" s="82"/>
      <c r="H757" s="82"/>
      <c r="I757" s="34"/>
      <c r="J757" s="83"/>
      <c r="K757" s="83"/>
      <c r="L757" s="83"/>
      <c r="M757" s="70"/>
      <c r="N757" s="70"/>
      <c r="O757" s="70"/>
      <c r="P757" s="70"/>
      <c r="Q757" s="70"/>
      <c r="R757" s="70"/>
      <c r="S757" s="70"/>
      <c r="T757" s="70"/>
      <c r="U757" s="70"/>
      <c r="V757" s="70"/>
      <c r="W757" s="70"/>
      <c r="X757" s="70"/>
      <c r="Y757" s="70"/>
      <c r="Z757" s="70"/>
    </row>
    <row r="758">
      <c r="A758" s="78"/>
      <c r="B758" s="78"/>
      <c r="C758" s="80"/>
      <c r="D758" s="80"/>
      <c r="E758" s="82"/>
      <c r="F758" s="82"/>
      <c r="G758" s="82"/>
      <c r="H758" s="82"/>
      <c r="I758" s="34"/>
      <c r="J758" s="83"/>
      <c r="K758" s="83"/>
      <c r="L758" s="83"/>
      <c r="M758" s="70"/>
      <c r="N758" s="70"/>
      <c r="O758" s="70"/>
      <c r="P758" s="70"/>
      <c r="Q758" s="70"/>
      <c r="R758" s="70"/>
      <c r="S758" s="70"/>
      <c r="T758" s="70"/>
      <c r="U758" s="70"/>
      <c r="V758" s="70"/>
      <c r="W758" s="70"/>
      <c r="X758" s="70"/>
      <c r="Y758" s="70"/>
      <c r="Z758" s="70"/>
    </row>
    <row r="759">
      <c r="A759" s="78"/>
      <c r="B759" s="78"/>
      <c r="C759" s="80"/>
      <c r="D759" s="80"/>
      <c r="E759" s="82"/>
      <c r="F759" s="82"/>
      <c r="G759" s="82"/>
      <c r="H759" s="82"/>
      <c r="I759" s="34"/>
      <c r="J759" s="83"/>
      <c r="K759" s="83"/>
      <c r="L759" s="83"/>
      <c r="M759" s="70"/>
      <c r="N759" s="70"/>
      <c r="O759" s="70"/>
      <c r="P759" s="70"/>
      <c r="Q759" s="70"/>
      <c r="R759" s="70"/>
      <c r="S759" s="70"/>
      <c r="T759" s="70"/>
      <c r="U759" s="70"/>
      <c r="V759" s="70"/>
      <c r="W759" s="70"/>
      <c r="X759" s="70"/>
      <c r="Y759" s="70"/>
      <c r="Z759" s="70"/>
    </row>
    <row r="760">
      <c r="A760" s="78"/>
      <c r="B760" s="78"/>
      <c r="C760" s="80"/>
      <c r="D760" s="80"/>
      <c r="E760" s="82"/>
      <c r="F760" s="82"/>
      <c r="G760" s="82"/>
      <c r="H760" s="82"/>
      <c r="I760" s="34"/>
      <c r="J760" s="83"/>
      <c r="K760" s="83"/>
      <c r="L760" s="83"/>
      <c r="M760" s="70"/>
      <c r="N760" s="70"/>
      <c r="O760" s="70"/>
      <c r="P760" s="70"/>
      <c r="Q760" s="70"/>
      <c r="R760" s="70"/>
      <c r="S760" s="70"/>
      <c r="T760" s="70"/>
      <c r="U760" s="70"/>
      <c r="V760" s="70"/>
      <c r="W760" s="70"/>
      <c r="X760" s="70"/>
      <c r="Y760" s="70"/>
      <c r="Z760" s="70"/>
    </row>
    <row r="761">
      <c r="A761" s="78"/>
      <c r="B761" s="78"/>
      <c r="C761" s="80"/>
      <c r="D761" s="80"/>
      <c r="E761" s="82"/>
      <c r="F761" s="82"/>
      <c r="G761" s="82"/>
      <c r="H761" s="82"/>
      <c r="I761" s="34"/>
      <c r="J761" s="83"/>
      <c r="K761" s="83"/>
      <c r="L761" s="83"/>
      <c r="M761" s="70"/>
      <c r="N761" s="70"/>
      <c r="O761" s="70"/>
      <c r="P761" s="70"/>
      <c r="Q761" s="70"/>
      <c r="R761" s="70"/>
      <c r="S761" s="70"/>
      <c r="T761" s="70"/>
      <c r="U761" s="70"/>
      <c r="V761" s="70"/>
      <c r="W761" s="70"/>
      <c r="X761" s="70"/>
      <c r="Y761" s="70"/>
      <c r="Z761" s="70"/>
    </row>
    <row r="762">
      <c r="A762" s="78"/>
      <c r="B762" s="78"/>
      <c r="C762" s="80"/>
      <c r="D762" s="80"/>
      <c r="E762" s="82"/>
      <c r="F762" s="82"/>
      <c r="G762" s="82"/>
      <c r="H762" s="82"/>
      <c r="I762" s="34"/>
      <c r="J762" s="83"/>
      <c r="K762" s="83"/>
      <c r="L762" s="83"/>
      <c r="M762" s="70"/>
      <c r="N762" s="70"/>
      <c r="O762" s="70"/>
      <c r="P762" s="70"/>
      <c r="Q762" s="70"/>
      <c r="R762" s="70"/>
      <c r="S762" s="70"/>
      <c r="T762" s="70"/>
      <c r="U762" s="70"/>
      <c r="V762" s="70"/>
      <c r="W762" s="70"/>
      <c r="X762" s="70"/>
      <c r="Y762" s="70"/>
      <c r="Z762" s="70"/>
    </row>
    <row r="763">
      <c r="A763" s="78"/>
      <c r="B763" s="78"/>
      <c r="C763" s="80"/>
      <c r="D763" s="80"/>
      <c r="E763" s="82"/>
      <c r="F763" s="82"/>
      <c r="G763" s="82"/>
      <c r="H763" s="82"/>
      <c r="I763" s="34"/>
      <c r="J763" s="83"/>
      <c r="K763" s="83"/>
      <c r="L763" s="83"/>
      <c r="M763" s="70"/>
      <c r="N763" s="70"/>
      <c r="O763" s="70"/>
      <c r="P763" s="70"/>
      <c r="Q763" s="70"/>
      <c r="R763" s="70"/>
      <c r="S763" s="70"/>
      <c r="T763" s="70"/>
      <c r="U763" s="70"/>
      <c r="V763" s="70"/>
      <c r="W763" s="70"/>
      <c r="X763" s="70"/>
      <c r="Y763" s="70"/>
      <c r="Z763" s="70"/>
    </row>
    <row r="764">
      <c r="A764" s="78"/>
      <c r="B764" s="78"/>
      <c r="C764" s="80"/>
      <c r="D764" s="80"/>
      <c r="E764" s="82"/>
      <c r="F764" s="82"/>
      <c r="G764" s="82"/>
      <c r="H764" s="82"/>
      <c r="I764" s="34"/>
      <c r="J764" s="83"/>
      <c r="K764" s="83"/>
      <c r="L764" s="83"/>
      <c r="M764" s="70"/>
      <c r="N764" s="70"/>
      <c r="O764" s="70"/>
      <c r="P764" s="70"/>
      <c r="Q764" s="70"/>
      <c r="R764" s="70"/>
      <c r="S764" s="70"/>
      <c r="T764" s="70"/>
      <c r="U764" s="70"/>
      <c r="V764" s="70"/>
      <c r="W764" s="70"/>
      <c r="X764" s="70"/>
      <c r="Y764" s="70"/>
      <c r="Z764" s="70"/>
    </row>
    <row r="765">
      <c r="A765" s="78"/>
      <c r="B765" s="78"/>
      <c r="C765" s="80"/>
      <c r="D765" s="80"/>
      <c r="E765" s="82"/>
      <c r="F765" s="82"/>
      <c r="G765" s="82"/>
      <c r="H765" s="82"/>
      <c r="I765" s="34"/>
      <c r="J765" s="83"/>
      <c r="K765" s="83"/>
      <c r="L765" s="83"/>
      <c r="M765" s="70"/>
      <c r="N765" s="70"/>
      <c r="O765" s="70"/>
      <c r="P765" s="70"/>
      <c r="Q765" s="70"/>
      <c r="R765" s="70"/>
      <c r="S765" s="70"/>
      <c r="T765" s="70"/>
      <c r="U765" s="70"/>
      <c r="V765" s="70"/>
      <c r="W765" s="70"/>
      <c r="X765" s="70"/>
      <c r="Y765" s="70"/>
      <c r="Z765" s="70"/>
    </row>
    <row r="766">
      <c r="A766" s="78"/>
      <c r="B766" s="78"/>
      <c r="C766" s="80"/>
      <c r="D766" s="80"/>
      <c r="E766" s="82"/>
      <c r="F766" s="82"/>
      <c r="G766" s="82"/>
      <c r="H766" s="82"/>
      <c r="I766" s="34"/>
      <c r="J766" s="83"/>
      <c r="K766" s="83"/>
      <c r="L766" s="83"/>
      <c r="M766" s="70"/>
      <c r="N766" s="70"/>
      <c r="O766" s="70"/>
      <c r="P766" s="70"/>
      <c r="Q766" s="70"/>
      <c r="R766" s="70"/>
      <c r="S766" s="70"/>
      <c r="T766" s="70"/>
      <c r="U766" s="70"/>
      <c r="V766" s="70"/>
      <c r="W766" s="70"/>
      <c r="X766" s="70"/>
      <c r="Y766" s="70"/>
      <c r="Z766" s="70"/>
    </row>
    <row r="767">
      <c r="A767" s="78"/>
      <c r="B767" s="78"/>
      <c r="C767" s="80"/>
      <c r="D767" s="80"/>
      <c r="E767" s="82"/>
      <c r="F767" s="82"/>
      <c r="G767" s="82"/>
      <c r="H767" s="82"/>
      <c r="I767" s="34"/>
      <c r="J767" s="83"/>
      <c r="K767" s="83"/>
      <c r="L767" s="83"/>
      <c r="M767" s="70"/>
      <c r="N767" s="70"/>
      <c r="O767" s="70"/>
      <c r="P767" s="70"/>
      <c r="Q767" s="70"/>
      <c r="R767" s="70"/>
      <c r="S767" s="70"/>
      <c r="T767" s="70"/>
      <c r="U767" s="70"/>
      <c r="V767" s="70"/>
      <c r="W767" s="70"/>
      <c r="X767" s="70"/>
      <c r="Y767" s="70"/>
      <c r="Z767" s="70"/>
    </row>
    <row r="768">
      <c r="A768" s="78"/>
      <c r="B768" s="78"/>
      <c r="C768" s="80"/>
      <c r="D768" s="80"/>
      <c r="E768" s="82"/>
      <c r="F768" s="82"/>
      <c r="G768" s="82"/>
      <c r="H768" s="82"/>
      <c r="I768" s="34"/>
      <c r="J768" s="83"/>
      <c r="K768" s="83"/>
      <c r="L768" s="83"/>
      <c r="M768" s="70"/>
      <c r="N768" s="70"/>
      <c r="O768" s="70"/>
      <c r="P768" s="70"/>
      <c r="Q768" s="70"/>
      <c r="R768" s="70"/>
      <c r="S768" s="70"/>
      <c r="T768" s="70"/>
      <c r="U768" s="70"/>
      <c r="V768" s="70"/>
      <c r="W768" s="70"/>
      <c r="X768" s="70"/>
      <c r="Y768" s="70"/>
      <c r="Z768" s="70"/>
    </row>
    <row r="769">
      <c r="A769" s="78"/>
      <c r="B769" s="78"/>
      <c r="C769" s="80"/>
      <c r="D769" s="80"/>
      <c r="E769" s="82"/>
      <c r="F769" s="82"/>
      <c r="G769" s="82"/>
      <c r="H769" s="82"/>
      <c r="I769" s="34"/>
      <c r="J769" s="83"/>
      <c r="K769" s="83"/>
      <c r="L769" s="83"/>
      <c r="M769" s="70"/>
      <c r="N769" s="70"/>
      <c r="O769" s="70"/>
      <c r="P769" s="70"/>
      <c r="Q769" s="70"/>
      <c r="R769" s="70"/>
      <c r="S769" s="70"/>
      <c r="T769" s="70"/>
      <c r="U769" s="70"/>
      <c r="V769" s="70"/>
      <c r="W769" s="70"/>
      <c r="X769" s="70"/>
      <c r="Y769" s="70"/>
      <c r="Z769" s="70"/>
    </row>
    <row r="770">
      <c r="A770" s="78"/>
      <c r="B770" s="78"/>
      <c r="C770" s="80"/>
      <c r="D770" s="80"/>
      <c r="E770" s="82"/>
      <c r="F770" s="82"/>
      <c r="G770" s="82"/>
      <c r="H770" s="82"/>
      <c r="I770" s="34"/>
      <c r="J770" s="83"/>
      <c r="K770" s="83"/>
      <c r="L770" s="83"/>
      <c r="M770" s="70"/>
      <c r="N770" s="70"/>
      <c r="O770" s="70"/>
      <c r="P770" s="70"/>
      <c r="Q770" s="70"/>
      <c r="R770" s="70"/>
      <c r="S770" s="70"/>
      <c r="T770" s="70"/>
      <c r="U770" s="70"/>
      <c r="V770" s="70"/>
      <c r="W770" s="70"/>
      <c r="X770" s="70"/>
      <c r="Y770" s="70"/>
      <c r="Z770" s="70"/>
    </row>
    <row r="771">
      <c r="A771" s="78"/>
      <c r="B771" s="78"/>
      <c r="C771" s="80"/>
      <c r="D771" s="80"/>
      <c r="E771" s="82"/>
      <c r="F771" s="82"/>
      <c r="G771" s="82"/>
      <c r="H771" s="82"/>
      <c r="I771" s="34"/>
      <c r="J771" s="83"/>
      <c r="K771" s="83"/>
      <c r="L771" s="83"/>
      <c r="M771" s="70"/>
      <c r="N771" s="70"/>
      <c r="O771" s="70"/>
      <c r="P771" s="70"/>
      <c r="Q771" s="70"/>
      <c r="R771" s="70"/>
      <c r="S771" s="70"/>
      <c r="T771" s="70"/>
      <c r="U771" s="70"/>
      <c r="V771" s="70"/>
      <c r="W771" s="70"/>
      <c r="X771" s="70"/>
      <c r="Y771" s="70"/>
      <c r="Z771" s="70"/>
    </row>
    <row r="772">
      <c r="A772" s="78"/>
      <c r="B772" s="78"/>
      <c r="C772" s="80"/>
      <c r="D772" s="80"/>
      <c r="E772" s="82"/>
      <c r="F772" s="82"/>
      <c r="G772" s="82"/>
      <c r="H772" s="82"/>
      <c r="I772" s="34"/>
      <c r="J772" s="83"/>
      <c r="K772" s="83"/>
      <c r="L772" s="83"/>
      <c r="M772" s="70"/>
      <c r="N772" s="70"/>
      <c r="O772" s="70"/>
      <c r="P772" s="70"/>
      <c r="Q772" s="70"/>
      <c r="R772" s="70"/>
      <c r="S772" s="70"/>
      <c r="T772" s="70"/>
      <c r="U772" s="70"/>
      <c r="V772" s="70"/>
      <c r="W772" s="70"/>
      <c r="X772" s="70"/>
      <c r="Y772" s="70"/>
      <c r="Z772" s="70"/>
    </row>
    <row r="773">
      <c r="A773" s="78"/>
      <c r="B773" s="78"/>
      <c r="C773" s="80"/>
      <c r="D773" s="80"/>
      <c r="E773" s="82"/>
      <c r="F773" s="82"/>
      <c r="G773" s="82"/>
      <c r="H773" s="82"/>
      <c r="I773" s="34"/>
      <c r="J773" s="83"/>
      <c r="K773" s="83"/>
      <c r="L773" s="83"/>
      <c r="M773" s="70"/>
      <c r="N773" s="70"/>
      <c r="O773" s="70"/>
      <c r="P773" s="70"/>
      <c r="Q773" s="70"/>
      <c r="R773" s="70"/>
      <c r="S773" s="70"/>
      <c r="T773" s="70"/>
      <c r="U773" s="70"/>
      <c r="V773" s="70"/>
      <c r="W773" s="70"/>
      <c r="X773" s="70"/>
      <c r="Y773" s="70"/>
      <c r="Z773" s="70"/>
    </row>
    <row r="774">
      <c r="A774" s="78"/>
      <c r="B774" s="78"/>
      <c r="C774" s="80"/>
      <c r="D774" s="80"/>
      <c r="E774" s="82"/>
      <c r="F774" s="82"/>
      <c r="G774" s="82"/>
      <c r="H774" s="82"/>
      <c r="I774" s="34"/>
      <c r="J774" s="83"/>
      <c r="K774" s="83"/>
      <c r="L774" s="83"/>
      <c r="M774" s="70"/>
      <c r="N774" s="70"/>
      <c r="O774" s="70"/>
      <c r="P774" s="70"/>
      <c r="Q774" s="70"/>
      <c r="R774" s="70"/>
      <c r="S774" s="70"/>
      <c r="T774" s="70"/>
      <c r="U774" s="70"/>
      <c r="V774" s="70"/>
      <c r="W774" s="70"/>
      <c r="X774" s="70"/>
      <c r="Y774" s="70"/>
      <c r="Z774" s="70"/>
    </row>
    <row r="775">
      <c r="A775" s="78"/>
      <c r="B775" s="78"/>
      <c r="C775" s="80"/>
      <c r="D775" s="80"/>
      <c r="E775" s="82"/>
      <c r="F775" s="82"/>
      <c r="G775" s="82"/>
      <c r="H775" s="82"/>
      <c r="I775" s="34"/>
      <c r="J775" s="83"/>
      <c r="K775" s="83"/>
      <c r="L775" s="83"/>
      <c r="M775" s="70"/>
      <c r="N775" s="70"/>
      <c r="O775" s="70"/>
      <c r="P775" s="70"/>
      <c r="Q775" s="70"/>
      <c r="R775" s="70"/>
      <c r="S775" s="70"/>
      <c r="T775" s="70"/>
      <c r="U775" s="70"/>
      <c r="V775" s="70"/>
      <c r="W775" s="70"/>
      <c r="X775" s="70"/>
      <c r="Y775" s="70"/>
      <c r="Z775" s="70"/>
    </row>
    <row r="776">
      <c r="A776" s="78"/>
      <c r="B776" s="78"/>
      <c r="C776" s="80"/>
      <c r="D776" s="80"/>
      <c r="E776" s="82"/>
      <c r="F776" s="82"/>
      <c r="G776" s="82"/>
      <c r="H776" s="82"/>
      <c r="I776" s="34"/>
      <c r="J776" s="83"/>
      <c r="K776" s="83"/>
      <c r="L776" s="83"/>
      <c r="M776" s="70"/>
      <c r="N776" s="70"/>
      <c r="O776" s="70"/>
      <c r="P776" s="70"/>
      <c r="Q776" s="70"/>
      <c r="R776" s="70"/>
      <c r="S776" s="70"/>
      <c r="T776" s="70"/>
      <c r="U776" s="70"/>
      <c r="V776" s="70"/>
      <c r="W776" s="70"/>
      <c r="X776" s="70"/>
      <c r="Y776" s="70"/>
      <c r="Z776" s="70"/>
    </row>
    <row r="777">
      <c r="A777" s="78"/>
      <c r="B777" s="78"/>
      <c r="C777" s="80"/>
      <c r="D777" s="80"/>
      <c r="E777" s="82"/>
      <c r="F777" s="82"/>
      <c r="G777" s="82"/>
      <c r="H777" s="82"/>
      <c r="I777" s="34"/>
      <c r="J777" s="83"/>
      <c r="K777" s="83"/>
      <c r="L777" s="83"/>
      <c r="M777" s="70"/>
      <c r="N777" s="70"/>
      <c r="O777" s="70"/>
      <c r="P777" s="70"/>
      <c r="Q777" s="70"/>
      <c r="R777" s="70"/>
      <c r="S777" s="70"/>
      <c r="T777" s="70"/>
      <c r="U777" s="70"/>
      <c r="V777" s="70"/>
      <c r="W777" s="70"/>
      <c r="X777" s="70"/>
      <c r="Y777" s="70"/>
      <c r="Z777" s="70"/>
    </row>
    <row r="778">
      <c r="A778" s="78"/>
      <c r="B778" s="78"/>
      <c r="C778" s="80"/>
      <c r="D778" s="80"/>
      <c r="E778" s="82"/>
      <c r="F778" s="82"/>
      <c r="G778" s="82"/>
      <c r="H778" s="82"/>
      <c r="I778" s="34"/>
      <c r="J778" s="83"/>
      <c r="K778" s="83"/>
      <c r="L778" s="83"/>
      <c r="M778" s="70"/>
      <c r="N778" s="70"/>
      <c r="O778" s="70"/>
      <c r="P778" s="70"/>
      <c r="Q778" s="70"/>
      <c r="R778" s="70"/>
      <c r="S778" s="70"/>
      <c r="T778" s="70"/>
      <c r="U778" s="70"/>
      <c r="V778" s="70"/>
      <c r="W778" s="70"/>
      <c r="X778" s="70"/>
      <c r="Y778" s="70"/>
      <c r="Z778" s="70"/>
    </row>
    <row r="779">
      <c r="A779" s="78"/>
      <c r="B779" s="78"/>
      <c r="C779" s="80"/>
      <c r="D779" s="80"/>
      <c r="E779" s="82"/>
      <c r="F779" s="82"/>
      <c r="G779" s="82"/>
      <c r="H779" s="82"/>
      <c r="I779" s="34"/>
      <c r="J779" s="83"/>
      <c r="K779" s="83"/>
      <c r="L779" s="83"/>
      <c r="M779" s="70"/>
      <c r="N779" s="70"/>
      <c r="O779" s="70"/>
      <c r="P779" s="70"/>
      <c r="Q779" s="70"/>
      <c r="R779" s="70"/>
      <c r="S779" s="70"/>
      <c r="T779" s="70"/>
      <c r="U779" s="70"/>
      <c r="V779" s="70"/>
      <c r="W779" s="70"/>
      <c r="X779" s="70"/>
      <c r="Y779" s="70"/>
      <c r="Z779" s="70"/>
    </row>
    <row r="780">
      <c r="A780" s="78"/>
      <c r="B780" s="78"/>
      <c r="C780" s="80"/>
      <c r="D780" s="80"/>
      <c r="E780" s="82"/>
      <c r="F780" s="82"/>
      <c r="G780" s="82"/>
      <c r="H780" s="82"/>
      <c r="I780" s="34"/>
      <c r="J780" s="83"/>
      <c r="K780" s="83"/>
      <c r="L780" s="83"/>
      <c r="M780" s="70"/>
      <c r="N780" s="70"/>
      <c r="O780" s="70"/>
      <c r="P780" s="70"/>
      <c r="Q780" s="70"/>
      <c r="R780" s="70"/>
      <c r="S780" s="70"/>
      <c r="T780" s="70"/>
      <c r="U780" s="70"/>
      <c r="V780" s="70"/>
      <c r="W780" s="70"/>
      <c r="X780" s="70"/>
      <c r="Y780" s="70"/>
      <c r="Z780" s="70"/>
    </row>
    <row r="781">
      <c r="A781" s="78"/>
      <c r="B781" s="78"/>
      <c r="C781" s="80"/>
      <c r="D781" s="80"/>
      <c r="E781" s="82"/>
      <c r="F781" s="82"/>
      <c r="G781" s="82"/>
      <c r="H781" s="82"/>
      <c r="I781" s="34"/>
      <c r="J781" s="83"/>
      <c r="K781" s="83"/>
      <c r="L781" s="83"/>
      <c r="M781" s="70"/>
      <c r="N781" s="70"/>
      <c r="O781" s="70"/>
      <c r="P781" s="70"/>
      <c r="Q781" s="70"/>
      <c r="R781" s="70"/>
      <c r="S781" s="70"/>
      <c r="T781" s="70"/>
      <c r="U781" s="70"/>
      <c r="V781" s="70"/>
      <c r="W781" s="70"/>
      <c r="X781" s="70"/>
      <c r="Y781" s="70"/>
      <c r="Z781" s="70"/>
    </row>
    <row r="782">
      <c r="A782" s="78"/>
      <c r="B782" s="78"/>
      <c r="C782" s="80"/>
      <c r="D782" s="80"/>
      <c r="E782" s="82"/>
      <c r="F782" s="82"/>
      <c r="G782" s="82"/>
      <c r="H782" s="82"/>
      <c r="I782" s="34"/>
      <c r="J782" s="83"/>
      <c r="K782" s="83"/>
      <c r="L782" s="83"/>
      <c r="M782" s="70"/>
      <c r="N782" s="70"/>
      <c r="O782" s="70"/>
      <c r="P782" s="70"/>
      <c r="Q782" s="70"/>
      <c r="R782" s="70"/>
      <c r="S782" s="70"/>
      <c r="T782" s="70"/>
      <c r="U782" s="70"/>
      <c r="V782" s="70"/>
      <c r="W782" s="70"/>
      <c r="X782" s="70"/>
      <c r="Y782" s="70"/>
      <c r="Z782" s="70"/>
    </row>
    <row r="783">
      <c r="A783" s="78"/>
      <c r="B783" s="78"/>
      <c r="C783" s="80"/>
      <c r="D783" s="80"/>
      <c r="E783" s="82"/>
      <c r="F783" s="82"/>
      <c r="G783" s="82"/>
      <c r="H783" s="82"/>
      <c r="I783" s="34"/>
      <c r="J783" s="83"/>
      <c r="K783" s="83"/>
      <c r="L783" s="83"/>
      <c r="M783" s="70"/>
      <c r="N783" s="70"/>
      <c r="O783" s="70"/>
      <c r="P783" s="70"/>
      <c r="Q783" s="70"/>
      <c r="R783" s="70"/>
      <c r="S783" s="70"/>
      <c r="T783" s="70"/>
      <c r="U783" s="70"/>
      <c r="V783" s="70"/>
      <c r="W783" s="70"/>
      <c r="X783" s="70"/>
      <c r="Y783" s="70"/>
      <c r="Z783" s="70"/>
    </row>
    <row r="784">
      <c r="A784" s="78"/>
      <c r="B784" s="78"/>
      <c r="C784" s="80"/>
      <c r="D784" s="80"/>
      <c r="E784" s="82"/>
      <c r="F784" s="82"/>
      <c r="G784" s="82"/>
      <c r="H784" s="82"/>
      <c r="I784" s="34"/>
      <c r="J784" s="83"/>
      <c r="K784" s="83"/>
      <c r="L784" s="83"/>
      <c r="M784" s="70"/>
      <c r="N784" s="70"/>
      <c r="O784" s="70"/>
      <c r="P784" s="70"/>
      <c r="Q784" s="70"/>
      <c r="R784" s="70"/>
      <c r="S784" s="70"/>
      <c r="T784" s="70"/>
      <c r="U784" s="70"/>
      <c r="V784" s="70"/>
      <c r="W784" s="70"/>
      <c r="X784" s="70"/>
      <c r="Y784" s="70"/>
      <c r="Z784" s="70"/>
    </row>
    <row r="785">
      <c r="A785" s="78"/>
      <c r="B785" s="78"/>
      <c r="C785" s="80"/>
      <c r="D785" s="80"/>
      <c r="E785" s="82"/>
      <c r="F785" s="82"/>
      <c r="G785" s="82"/>
      <c r="H785" s="82"/>
      <c r="I785" s="34"/>
      <c r="J785" s="83"/>
      <c r="K785" s="83"/>
      <c r="L785" s="83"/>
      <c r="M785" s="70"/>
      <c r="N785" s="70"/>
      <c r="O785" s="70"/>
      <c r="P785" s="70"/>
      <c r="Q785" s="70"/>
      <c r="R785" s="70"/>
      <c r="S785" s="70"/>
      <c r="T785" s="70"/>
      <c r="U785" s="70"/>
      <c r="V785" s="70"/>
      <c r="W785" s="70"/>
      <c r="X785" s="70"/>
      <c r="Y785" s="70"/>
      <c r="Z785" s="70"/>
    </row>
    <row r="786">
      <c r="A786" s="78"/>
      <c r="B786" s="78"/>
      <c r="C786" s="80"/>
      <c r="D786" s="80"/>
      <c r="E786" s="82"/>
      <c r="F786" s="82"/>
      <c r="G786" s="82"/>
      <c r="H786" s="82"/>
      <c r="I786" s="34"/>
      <c r="J786" s="83"/>
      <c r="K786" s="83"/>
      <c r="L786" s="83"/>
      <c r="M786" s="70"/>
      <c r="N786" s="70"/>
      <c r="O786" s="70"/>
      <c r="P786" s="70"/>
      <c r="Q786" s="70"/>
      <c r="R786" s="70"/>
      <c r="S786" s="70"/>
      <c r="T786" s="70"/>
      <c r="U786" s="70"/>
      <c r="V786" s="70"/>
      <c r="W786" s="70"/>
      <c r="X786" s="70"/>
      <c r="Y786" s="70"/>
      <c r="Z786" s="70"/>
    </row>
    <row r="787">
      <c r="A787" s="78"/>
      <c r="B787" s="78"/>
      <c r="C787" s="80"/>
      <c r="D787" s="80"/>
      <c r="E787" s="82"/>
      <c r="F787" s="82"/>
      <c r="G787" s="82"/>
      <c r="H787" s="82"/>
      <c r="I787" s="34"/>
      <c r="J787" s="83"/>
      <c r="K787" s="83"/>
      <c r="L787" s="83"/>
      <c r="M787" s="70"/>
      <c r="N787" s="70"/>
      <c r="O787" s="70"/>
      <c r="P787" s="70"/>
      <c r="Q787" s="70"/>
      <c r="R787" s="70"/>
      <c r="S787" s="70"/>
      <c r="T787" s="70"/>
      <c r="U787" s="70"/>
      <c r="V787" s="70"/>
      <c r="W787" s="70"/>
      <c r="X787" s="70"/>
      <c r="Y787" s="70"/>
      <c r="Z787" s="70"/>
    </row>
    <row r="788">
      <c r="A788" s="78"/>
      <c r="B788" s="78"/>
      <c r="C788" s="80"/>
      <c r="D788" s="80"/>
      <c r="E788" s="82"/>
      <c r="F788" s="82"/>
      <c r="G788" s="82"/>
      <c r="H788" s="82"/>
      <c r="I788" s="34"/>
      <c r="J788" s="83"/>
      <c r="K788" s="83"/>
      <c r="L788" s="83"/>
      <c r="M788" s="70"/>
      <c r="N788" s="70"/>
      <c r="O788" s="70"/>
      <c r="P788" s="70"/>
      <c r="Q788" s="70"/>
      <c r="R788" s="70"/>
      <c r="S788" s="70"/>
      <c r="T788" s="70"/>
      <c r="U788" s="70"/>
      <c r="V788" s="70"/>
      <c r="W788" s="70"/>
      <c r="X788" s="70"/>
      <c r="Y788" s="70"/>
      <c r="Z788" s="70"/>
    </row>
    <row r="789">
      <c r="A789" s="78"/>
      <c r="B789" s="78"/>
      <c r="C789" s="80"/>
      <c r="D789" s="80"/>
      <c r="E789" s="82"/>
      <c r="F789" s="82"/>
      <c r="G789" s="82"/>
      <c r="H789" s="82"/>
      <c r="I789" s="34"/>
      <c r="J789" s="83"/>
      <c r="K789" s="83"/>
      <c r="L789" s="83"/>
      <c r="M789" s="70"/>
      <c r="N789" s="70"/>
      <c r="O789" s="70"/>
      <c r="P789" s="70"/>
      <c r="Q789" s="70"/>
      <c r="R789" s="70"/>
      <c r="S789" s="70"/>
      <c r="T789" s="70"/>
      <c r="U789" s="70"/>
      <c r="V789" s="70"/>
      <c r="W789" s="70"/>
      <c r="X789" s="70"/>
      <c r="Y789" s="70"/>
      <c r="Z789" s="70"/>
    </row>
    <row r="790">
      <c r="A790" s="78"/>
      <c r="B790" s="78"/>
      <c r="C790" s="80"/>
      <c r="D790" s="80"/>
      <c r="E790" s="82"/>
      <c r="F790" s="82"/>
      <c r="G790" s="82"/>
      <c r="H790" s="82"/>
      <c r="I790" s="34"/>
      <c r="J790" s="83"/>
      <c r="K790" s="83"/>
      <c r="L790" s="83"/>
      <c r="M790" s="70"/>
      <c r="N790" s="70"/>
      <c r="O790" s="70"/>
      <c r="P790" s="70"/>
      <c r="Q790" s="70"/>
      <c r="R790" s="70"/>
      <c r="S790" s="70"/>
      <c r="T790" s="70"/>
      <c r="U790" s="70"/>
      <c r="V790" s="70"/>
      <c r="W790" s="70"/>
      <c r="X790" s="70"/>
      <c r="Y790" s="70"/>
      <c r="Z790" s="70"/>
    </row>
    <row r="791">
      <c r="A791" s="78"/>
      <c r="B791" s="78"/>
      <c r="C791" s="80"/>
      <c r="D791" s="80"/>
      <c r="E791" s="82"/>
      <c r="F791" s="82"/>
      <c r="G791" s="82"/>
      <c r="H791" s="82"/>
      <c r="I791" s="34"/>
      <c r="J791" s="83"/>
      <c r="K791" s="83"/>
      <c r="L791" s="83"/>
      <c r="M791" s="70"/>
      <c r="N791" s="70"/>
      <c r="O791" s="70"/>
      <c r="P791" s="70"/>
      <c r="Q791" s="70"/>
      <c r="R791" s="70"/>
      <c r="S791" s="70"/>
      <c r="T791" s="70"/>
      <c r="U791" s="70"/>
      <c r="V791" s="70"/>
      <c r="W791" s="70"/>
      <c r="X791" s="70"/>
      <c r="Y791" s="70"/>
      <c r="Z791" s="70"/>
    </row>
    <row r="792">
      <c r="A792" s="78"/>
      <c r="B792" s="78"/>
      <c r="C792" s="80"/>
      <c r="D792" s="80"/>
      <c r="E792" s="82"/>
      <c r="F792" s="82"/>
      <c r="G792" s="82"/>
      <c r="H792" s="82"/>
      <c r="I792" s="34"/>
      <c r="J792" s="83"/>
      <c r="K792" s="83"/>
      <c r="L792" s="83"/>
      <c r="M792" s="70"/>
      <c r="N792" s="70"/>
      <c r="O792" s="70"/>
      <c r="P792" s="70"/>
      <c r="Q792" s="70"/>
      <c r="R792" s="70"/>
      <c r="S792" s="70"/>
      <c r="T792" s="70"/>
      <c r="U792" s="70"/>
      <c r="V792" s="70"/>
      <c r="W792" s="70"/>
      <c r="X792" s="70"/>
      <c r="Y792" s="70"/>
      <c r="Z792" s="70"/>
    </row>
    <row r="793">
      <c r="A793" s="78"/>
      <c r="B793" s="78"/>
      <c r="C793" s="80"/>
      <c r="D793" s="80"/>
      <c r="E793" s="82"/>
      <c r="F793" s="82"/>
      <c r="G793" s="82"/>
      <c r="H793" s="82"/>
      <c r="I793" s="34"/>
      <c r="J793" s="83"/>
      <c r="K793" s="83"/>
      <c r="L793" s="83"/>
      <c r="M793" s="70"/>
      <c r="N793" s="70"/>
      <c r="O793" s="70"/>
      <c r="P793" s="70"/>
      <c r="Q793" s="70"/>
      <c r="R793" s="70"/>
      <c r="S793" s="70"/>
      <c r="T793" s="70"/>
      <c r="U793" s="70"/>
      <c r="V793" s="70"/>
      <c r="W793" s="70"/>
      <c r="X793" s="70"/>
      <c r="Y793" s="70"/>
      <c r="Z793" s="70"/>
    </row>
    <row r="794">
      <c r="A794" s="78"/>
      <c r="B794" s="78"/>
      <c r="C794" s="80"/>
      <c r="D794" s="80"/>
      <c r="E794" s="82"/>
      <c r="F794" s="82"/>
      <c r="G794" s="82"/>
      <c r="H794" s="82"/>
      <c r="I794" s="34"/>
      <c r="J794" s="83"/>
      <c r="K794" s="83"/>
      <c r="L794" s="83"/>
      <c r="M794" s="70"/>
      <c r="N794" s="70"/>
      <c r="O794" s="70"/>
      <c r="P794" s="70"/>
      <c r="Q794" s="70"/>
      <c r="R794" s="70"/>
      <c r="S794" s="70"/>
      <c r="T794" s="70"/>
      <c r="U794" s="70"/>
      <c r="V794" s="70"/>
      <c r="W794" s="70"/>
      <c r="X794" s="70"/>
      <c r="Y794" s="70"/>
      <c r="Z794" s="70"/>
    </row>
    <row r="795">
      <c r="A795" s="78"/>
      <c r="B795" s="78"/>
      <c r="C795" s="80"/>
      <c r="D795" s="80"/>
      <c r="E795" s="82"/>
      <c r="F795" s="82"/>
      <c r="G795" s="82"/>
      <c r="H795" s="82"/>
      <c r="I795" s="34"/>
      <c r="J795" s="83"/>
      <c r="K795" s="83"/>
      <c r="L795" s="83"/>
      <c r="M795" s="70"/>
      <c r="N795" s="70"/>
      <c r="O795" s="70"/>
      <c r="P795" s="70"/>
      <c r="Q795" s="70"/>
      <c r="R795" s="70"/>
      <c r="S795" s="70"/>
      <c r="T795" s="70"/>
      <c r="U795" s="70"/>
      <c r="V795" s="70"/>
      <c r="W795" s="70"/>
      <c r="X795" s="70"/>
      <c r="Y795" s="70"/>
      <c r="Z795" s="70"/>
    </row>
    <row r="796">
      <c r="A796" s="78"/>
      <c r="B796" s="78"/>
      <c r="C796" s="80"/>
      <c r="D796" s="80"/>
      <c r="E796" s="82"/>
      <c r="F796" s="82"/>
      <c r="G796" s="82"/>
      <c r="H796" s="82"/>
      <c r="I796" s="34"/>
      <c r="J796" s="83"/>
      <c r="K796" s="83"/>
      <c r="L796" s="83"/>
      <c r="M796" s="70"/>
      <c r="N796" s="70"/>
      <c r="O796" s="70"/>
      <c r="P796" s="70"/>
      <c r="Q796" s="70"/>
      <c r="R796" s="70"/>
      <c r="S796" s="70"/>
      <c r="T796" s="70"/>
      <c r="U796" s="70"/>
      <c r="V796" s="70"/>
      <c r="W796" s="70"/>
      <c r="X796" s="70"/>
      <c r="Y796" s="70"/>
      <c r="Z796" s="70"/>
    </row>
    <row r="797">
      <c r="A797" s="78"/>
      <c r="B797" s="78"/>
      <c r="C797" s="80"/>
      <c r="D797" s="80"/>
      <c r="E797" s="82"/>
      <c r="F797" s="82"/>
      <c r="G797" s="82"/>
      <c r="H797" s="82"/>
      <c r="I797" s="34"/>
      <c r="J797" s="83"/>
      <c r="K797" s="83"/>
      <c r="L797" s="83"/>
      <c r="M797" s="70"/>
      <c r="N797" s="70"/>
      <c r="O797" s="70"/>
      <c r="P797" s="70"/>
      <c r="Q797" s="70"/>
      <c r="R797" s="70"/>
      <c r="S797" s="70"/>
      <c r="T797" s="70"/>
      <c r="U797" s="70"/>
      <c r="V797" s="70"/>
      <c r="W797" s="70"/>
      <c r="X797" s="70"/>
      <c r="Y797" s="70"/>
      <c r="Z797" s="70"/>
    </row>
    <row r="798">
      <c r="A798" s="78"/>
      <c r="B798" s="78"/>
      <c r="C798" s="80"/>
      <c r="D798" s="80"/>
      <c r="E798" s="82"/>
      <c r="F798" s="82"/>
      <c r="G798" s="82"/>
      <c r="H798" s="82"/>
      <c r="I798" s="34"/>
      <c r="J798" s="83"/>
      <c r="K798" s="83"/>
      <c r="L798" s="83"/>
      <c r="M798" s="70"/>
      <c r="N798" s="70"/>
      <c r="O798" s="70"/>
      <c r="P798" s="70"/>
      <c r="Q798" s="70"/>
      <c r="R798" s="70"/>
      <c r="S798" s="70"/>
      <c r="T798" s="70"/>
      <c r="U798" s="70"/>
      <c r="V798" s="70"/>
      <c r="W798" s="70"/>
      <c r="X798" s="70"/>
      <c r="Y798" s="70"/>
      <c r="Z798" s="70"/>
    </row>
    <row r="799">
      <c r="A799" s="78"/>
      <c r="B799" s="78"/>
      <c r="C799" s="80"/>
      <c r="D799" s="80"/>
      <c r="E799" s="82"/>
      <c r="F799" s="82"/>
      <c r="G799" s="82"/>
      <c r="H799" s="82"/>
      <c r="I799" s="34"/>
      <c r="J799" s="83"/>
      <c r="K799" s="83"/>
      <c r="L799" s="83"/>
      <c r="M799" s="70"/>
      <c r="N799" s="70"/>
      <c r="O799" s="70"/>
      <c r="P799" s="70"/>
      <c r="Q799" s="70"/>
      <c r="R799" s="70"/>
      <c r="S799" s="70"/>
      <c r="T799" s="70"/>
      <c r="U799" s="70"/>
      <c r="V799" s="70"/>
      <c r="W799" s="70"/>
      <c r="X799" s="70"/>
      <c r="Y799" s="70"/>
      <c r="Z799" s="70"/>
    </row>
    <row r="800">
      <c r="A800" s="78"/>
      <c r="B800" s="78"/>
      <c r="C800" s="80"/>
      <c r="D800" s="80"/>
      <c r="E800" s="82"/>
      <c r="F800" s="82"/>
      <c r="G800" s="82"/>
      <c r="H800" s="82"/>
      <c r="I800" s="34"/>
      <c r="J800" s="83"/>
      <c r="K800" s="83"/>
      <c r="L800" s="83"/>
      <c r="M800" s="70"/>
      <c r="N800" s="70"/>
      <c r="O800" s="70"/>
      <c r="P800" s="70"/>
      <c r="Q800" s="70"/>
      <c r="R800" s="70"/>
      <c r="S800" s="70"/>
      <c r="T800" s="70"/>
      <c r="U800" s="70"/>
      <c r="V800" s="70"/>
      <c r="W800" s="70"/>
      <c r="X800" s="70"/>
      <c r="Y800" s="70"/>
      <c r="Z800" s="70"/>
    </row>
    <row r="801">
      <c r="A801" s="78"/>
      <c r="B801" s="78"/>
      <c r="C801" s="80"/>
      <c r="D801" s="80"/>
      <c r="E801" s="82"/>
      <c r="F801" s="82"/>
      <c r="G801" s="82"/>
      <c r="H801" s="82"/>
      <c r="I801" s="34"/>
      <c r="J801" s="83"/>
      <c r="K801" s="83"/>
      <c r="L801" s="83"/>
      <c r="M801" s="70"/>
      <c r="N801" s="70"/>
      <c r="O801" s="70"/>
      <c r="P801" s="70"/>
      <c r="Q801" s="70"/>
      <c r="R801" s="70"/>
      <c r="S801" s="70"/>
      <c r="T801" s="70"/>
      <c r="U801" s="70"/>
      <c r="V801" s="70"/>
      <c r="W801" s="70"/>
      <c r="X801" s="70"/>
      <c r="Y801" s="70"/>
      <c r="Z801" s="70"/>
    </row>
    <row r="802">
      <c r="A802" s="78"/>
      <c r="B802" s="78"/>
      <c r="C802" s="80"/>
      <c r="D802" s="80"/>
      <c r="E802" s="82"/>
      <c r="F802" s="82"/>
      <c r="G802" s="82"/>
      <c r="H802" s="82"/>
      <c r="I802" s="34"/>
      <c r="J802" s="83"/>
      <c r="K802" s="83"/>
      <c r="L802" s="83"/>
      <c r="M802" s="70"/>
      <c r="N802" s="70"/>
      <c r="O802" s="70"/>
      <c r="P802" s="70"/>
      <c r="Q802" s="70"/>
      <c r="R802" s="70"/>
      <c r="S802" s="70"/>
      <c r="T802" s="70"/>
      <c r="U802" s="70"/>
      <c r="V802" s="70"/>
      <c r="W802" s="70"/>
      <c r="X802" s="70"/>
      <c r="Y802" s="70"/>
      <c r="Z802" s="70"/>
    </row>
    <row r="803">
      <c r="A803" s="78"/>
      <c r="B803" s="78"/>
      <c r="C803" s="80"/>
      <c r="D803" s="80"/>
      <c r="E803" s="82"/>
      <c r="F803" s="82"/>
      <c r="G803" s="82"/>
      <c r="H803" s="82"/>
      <c r="I803" s="34"/>
      <c r="J803" s="83"/>
      <c r="K803" s="83"/>
      <c r="L803" s="83"/>
      <c r="M803" s="70"/>
      <c r="N803" s="70"/>
      <c r="O803" s="70"/>
      <c r="P803" s="70"/>
      <c r="Q803" s="70"/>
      <c r="R803" s="70"/>
      <c r="S803" s="70"/>
      <c r="T803" s="70"/>
      <c r="U803" s="70"/>
      <c r="V803" s="70"/>
      <c r="W803" s="70"/>
      <c r="X803" s="70"/>
      <c r="Y803" s="70"/>
      <c r="Z803" s="70"/>
    </row>
    <row r="804">
      <c r="A804" s="78"/>
      <c r="B804" s="78"/>
      <c r="C804" s="80"/>
      <c r="D804" s="80"/>
      <c r="E804" s="82"/>
      <c r="F804" s="82"/>
      <c r="G804" s="82"/>
      <c r="H804" s="82"/>
      <c r="I804" s="34"/>
      <c r="J804" s="83"/>
      <c r="K804" s="83"/>
      <c r="L804" s="83"/>
      <c r="M804" s="70"/>
      <c r="N804" s="70"/>
      <c r="O804" s="70"/>
      <c r="P804" s="70"/>
      <c r="Q804" s="70"/>
      <c r="R804" s="70"/>
      <c r="S804" s="70"/>
      <c r="T804" s="70"/>
      <c r="U804" s="70"/>
      <c r="V804" s="70"/>
      <c r="W804" s="70"/>
      <c r="X804" s="70"/>
      <c r="Y804" s="70"/>
      <c r="Z804" s="70"/>
    </row>
    <row r="805">
      <c r="A805" s="78"/>
      <c r="B805" s="78"/>
      <c r="C805" s="80"/>
      <c r="D805" s="80"/>
      <c r="E805" s="82"/>
      <c r="F805" s="82"/>
      <c r="G805" s="82"/>
      <c r="H805" s="82"/>
      <c r="I805" s="34"/>
      <c r="J805" s="83"/>
      <c r="K805" s="83"/>
      <c r="L805" s="83"/>
      <c r="M805" s="70"/>
      <c r="N805" s="70"/>
      <c r="O805" s="70"/>
      <c r="P805" s="70"/>
      <c r="Q805" s="70"/>
      <c r="R805" s="70"/>
      <c r="S805" s="70"/>
      <c r="T805" s="70"/>
      <c r="U805" s="70"/>
      <c r="V805" s="70"/>
      <c r="W805" s="70"/>
      <c r="X805" s="70"/>
      <c r="Y805" s="70"/>
      <c r="Z805" s="70"/>
    </row>
    <row r="806">
      <c r="A806" s="78"/>
      <c r="B806" s="78"/>
      <c r="C806" s="80"/>
      <c r="D806" s="80"/>
      <c r="E806" s="82"/>
      <c r="F806" s="82"/>
      <c r="G806" s="82"/>
      <c r="H806" s="82"/>
      <c r="I806" s="34"/>
      <c r="J806" s="83"/>
      <c r="K806" s="83"/>
      <c r="L806" s="83"/>
      <c r="M806" s="70"/>
      <c r="N806" s="70"/>
      <c r="O806" s="70"/>
      <c r="P806" s="70"/>
      <c r="Q806" s="70"/>
      <c r="R806" s="70"/>
      <c r="S806" s="70"/>
      <c r="T806" s="70"/>
      <c r="U806" s="70"/>
      <c r="V806" s="70"/>
      <c r="W806" s="70"/>
      <c r="X806" s="70"/>
      <c r="Y806" s="70"/>
      <c r="Z806" s="70"/>
    </row>
    <row r="807">
      <c r="A807" s="78"/>
      <c r="B807" s="78"/>
      <c r="C807" s="80"/>
      <c r="D807" s="80"/>
      <c r="E807" s="82"/>
      <c r="F807" s="82"/>
      <c r="G807" s="82"/>
      <c r="H807" s="82"/>
      <c r="I807" s="34"/>
      <c r="J807" s="83"/>
      <c r="K807" s="83"/>
      <c r="L807" s="83"/>
      <c r="M807" s="70"/>
      <c r="N807" s="70"/>
      <c r="O807" s="70"/>
      <c r="P807" s="70"/>
      <c r="Q807" s="70"/>
      <c r="R807" s="70"/>
      <c r="S807" s="70"/>
      <c r="T807" s="70"/>
      <c r="U807" s="70"/>
      <c r="V807" s="70"/>
      <c r="W807" s="70"/>
      <c r="X807" s="70"/>
      <c r="Y807" s="70"/>
      <c r="Z807" s="70"/>
    </row>
    <row r="808">
      <c r="A808" s="78"/>
      <c r="B808" s="78"/>
      <c r="C808" s="80"/>
      <c r="D808" s="80"/>
      <c r="E808" s="82"/>
      <c r="F808" s="82"/>
      <c r="G808" s="82"/>
      <c r="H808" s="82"/>
      <c r="I808" s="34"/>
      <c r="J808" s="83"/>
      <c r="K808" s="83"/>
      <c r="L808" s="83"/>
      <c r="M808" s="70"/>
      <c r="N808" s="70"/>
      <c r="O808" s="70"/>
      <c r="P808" s="70"/>
      <c r="Q808" s="70"/>
      <c r="R808" s="70"/>
      <c r="S808" s="70"/>
      <c r="T808" s="70"/>
      <c r="U808" s="70"/>
      <c r="V808" s="70"/>
      <c r="W808" s="70"/>
      <c r="X808" s="70"/>
      <c r="Y808" s="70"/>
      <c r="Z808" s="70"/>
    </row>
    <row r="809">
      <c r="A809" s="78"/>
      <c r="B809" s="78"/>
      <c r="C809" s="80"/>
      <c r="D809" s="80"/>
      <c r="E809" s="82"/>
      <c r="F809" s="82"/>
      <c r="G809" s="82"/>
      <c r="H809" s="82"/>
      <c r="I809" s="34"/>
      <c r="J809" s="83"/>
      <c r="K809" s="83"/>
      <c r="L809" s="83"/>
      <c r="M809" s="70"/>
      <c r="N809" s="70"/>
      <c r="O809" s="70"/>
      <c r="P809" s="70"/>
      <c r="Q809" s="70"/>
      <c r="R809" s="70"/>
      <c r="S809" s="70"/>
      <c r="T809" s="70"/>
      <c r="U809" s="70"/>
      <c r="V809" s="70"/>
      <c r="W809" s="70"/>
      <c r="X809" s="70"/>
      <c r="Y809" s="70"/>
      <c r="Z809" s="70"/>
    </row>
    <row r="810">
      <c r="A810" s="78"/>
      <c r="B810" s="78"/>
      <c r="C810" s="80"/>
      <c r="D810" s="80"/>
      <c r="E810" s="82"/>
      <c r="F810" s="82"/>
      <c r="G810" s="82"/>
      <c r="H810" s="82"/>
      <c r="I810" s="34"/>
      <c r="J810" s="83"/>
      <c r="K810" s="83"/>
      <c r="L810" s="83"/>
      <c r="M810" s="70"/>
      <c r="N810" s="70"/>
      <c r="O810" s="70"/>
      <c r="P810" s="70"/>
      <c r="Q810" s="70"/>
      <c r="R810" s="70"/>
      <c r="S810" s="70"/>
      <c r="T810" s="70"/>
      <c r="U810" s="70"/>
      <c r="V810" s="70"/>
      <c r="W810" s="70"/>
      <c r="X810" s="70"/>
      <c r="Y810" s="70"/>
      <c r="Z810" s="70"/>
    </row>
    <row r="811">
      <c r="A811" s="78"/>
      <c r="B811" s="78"/>
      <c r="C811" s="80"/>
      <c r="D811" s="80"/>
      <c r="E811" s="82"/>
      <c r="F811" s="82"/>
      <c r="G811" s="82"/>
      <c r="H811" s="82"/>
      <c r="I811" s="34"/>
      <c r="J811" s="83"/>
      <c r="K811" s="83"/>
      <c r="L811" s="83"/>
      <c r="M811" s="70"/>
      <c r="N811" s="70"/>
      <c r="O811" s="70"/>
      <c r="P811" s="70"/>
      <c r="Q811" s="70"/>
      <c r="R811" s="70"/>
      <c r="S811" s="70"/>
      <c r="T811" s="70"/>
      <c r="U811" s="70"/>
      <c r="V811" s="70"/>
      <c r="W811" s="70"/>
      <c r="X811" s="70"/>
      <c r="Y811" s="70"/>
      <c r="Z811" s="70"/>
    </row>
    <row r="812">
      <c r="A812" s="78"/>
      <c r="B812" s="78"/>
      <c r="C812" s="80"/>
      <c r="D812" s="80"/>
      <c r="E812" s="82"/>
      <c r="F812" s="82"/>
      <c r="G812" s="82"/>
      <c r="H812" s="82"/>
      <c r="I812" s="34"/>
      <c r="J812" s="83"/>
      <c r="K812" s="83"/>
      <c r="L812" s="83"/>
      <c r="M812" s="70"/>
      <c r="N812" s="70"/>
      <c r="O812" s="70"/>
      <c r="P812" s="70"/>
      <c r="Q812" s="70"/>
      <c r="R812" s="70"/>
      <c r="S812" s="70"/>
      <c r="T812" s="70"/>
      <c r="U812" s="70"/>
      <c r="V812" s="70"/>
      <c r="W812" s="70"/>
      <c r="X812" s="70"/>
      <c r="Y812" s="70"/>
      <c r="Z812" s="70"/>
    </row>
    <row r="813">
      <c r="A813" s="78"/>
      <c r="B813" s="78"/>
      <c r="C813" s="80"/>
      <c r="D813" s="80"/>
      <c r="E813" s="82"/>
      <c r="F813" s="82"/>
      <c r="G813" s="82"/>
      <c r="H813" s="82"/>
      <c r="I813" s="34"/>
      <c r="J813" s="83"/>
      <c r="K813" s="83"/>
      <c r="L813" s="83"/>
      <c r="M813" s="70"/>
      <c r="N813" s="70"/>
      <c r="O813" s="70"/>
      <c r="P813" s="70"/>
      <c r="Q813" s="70"/>
      <c r="R813" s="70"/>
      <c r="S813" s="70"/>
      <c r="T813" s="70"/>
      <c r="U813" s="70"/>
      <c r="V813" s="70"/>
      <c r="W813" s="70"/>
      <c r="X813" s="70"/>
      <c r="Y813" s="70"/>
      <c r="Z813" s="70"/>
    </row>
    <row r="814">
      <c r="A814" s="78"/>
      <c r="B814" s="78"/>
      <c r="C814" s="80"/>
      <c r="D814" s="80"/>
      <c r="E814" s="82"/>
      <c r="F814" s="82"/>
      <c r="G814" s="82"/>
      <c r="H814" s="82"/>
      <c r="I814" s="34"/>
      <c r="J814" s="83"/>
      <c r="K814" s="83"/>
      <c r="L814" s="83"/>
      <c r="M814" s="70"/>
      <c r="N814" s="70"/>
      <c r="O814" s="70"/>
      <c r="P814" s="70"/>
      <c r="Q814" s="70"/>
      <c r="R814" s="70"/>
      <c r="S814" s="70"/>
      <c r="T814" s="70"/>
      <c r="U814" s="70"/>
      <c r="V814" s="70"/>
      <c r="W814" s="70"/>
      <c r="X814" s="70"/>
      <c r="Y814" s="70"/>
      <c r="Z814" s="70"/>
    </row>
    <row r="815">
      <c r="A815" s="78"/>
      <c r="B815" s="78"/>
      <c r="C815" s="80"/>
      <c r="D815" s="80"/>
      <c r="E815" s="82"/>
      <c r="F815" s="82"/>
      <c r="G815" s="82"/>
      <c r="H815" s="82"/>
      <c r="I815" s="34"/>
      <c r="J815" s="83"/>
      <c r="K815" s="83"/>
      <c r="L815" s="83"/>
      <c r="M815" s="70"/>
      <c r="N815" s="70"/>
      <c r="O815" s="70"/>
      <c r="P815" s="70"/>
      <c r="Q815" s="70"/>
      <c r="R815" s="70"/>
      <c r="S815" s="70"/>
      <c r="T815" s="70"/>
      <c r="U815" s="70"/>
      <c r="V815" s="70"/>
      <c r="W815" s="70"/>
      <c r="X815" s="70"/>
      <c r="Y815" s="70"/>
      <c r="Z815" s="70"/>
    </row>
    <row r="816">
      <c r="A816" s="78"/>
      <c r="B816" s="78"/>
      <c r="C816" s="80"/>
      <c r="D816" s="80"/>
      <c r="E816" s="82"/>
      <c r="F816" s="82"/>
      <c r="G816" s="82"/>
      <c r="H816" s="82"/>
      <c r="I816" s="34"/>
      <c r="J816" s="83"/>
      <c r="K816" s="83"/>
      <c r="L816" s="83"/>
      <c r="M816" s="70"/>
      <c r="N816" s="70"/>
      <c r="O816" s="70"/>
      <c r="P816" s="70"/>
      <c r="Q816" s="70"/>
      <c r="R816" s="70"/>
      <c r="S816" s="70"/>
      <c r="T816" s="70"/>
      <c r="U816" s="70"/>
      <c r="V816" s="70"/>
      <c r="W816" s="70"/>
      <c r="X816" s="70"/>
      <c r="Y816" s="70"/>
      <c r="Z816" s="70"/>
    </row>
    <row r="817">
      <c r="A817" s="78"/>
      <c r="B817" s="78"/>
      <c r="C817" s="80"/>
      <c r="D817" s="80"/>
      <c r="E817" s="82"/>
      <c r="F817" s="82"/>
      <c r="G817" s="82"/>
      <c r="H817" s="82"/>
      <c r="I817" s="34"/>
      <c r="J817" s="83"/>
      <c r="K817" s="83"/>
      <c r="L817" s="83"/>
      <c r="M817" s="70"/>
      <c r="N817" s="70"/>
      <c r="O817" s="70"/>
      <c r="P817" s="70"/>
      <c r="Q817" s="70"/>
      <c r="R817" s="70"/>
      <c r="S817" s="70"/>
      <c r="T817" s="70"/>
      <c r="U817" s="70"/>
      <c r="V817" s="70"/>
      <c r="W817" s="70"/>
      <c r="X817" s="70"/>
      <c r="Y817" s="70"/>
      <c r="Z817" s="70"/>
    </row>
    <row r="818">
      <c r="A818" s="78"/>
      <c r="B818" s="78"/>
      <c r="C818" s="80"/>
      <c r="D818" s="80"/>
      <c r="E818" s="82"/>
      <c r="F818" s="82"/>
      <c r="G818" s="82"/>
      <c r="H818" s="82"/>
      <c r="I818" s="34"/>
      <c r="J818" s="83"/>
      <c r="K818" s="83"/>
      <c r="L818" s="83"/>
      <c r="M818" s="70"/>
      <c r="N818" s="70"/>
      <c r="O818" s="70"/>
      <c r="P818" s="70"/>
      <c r="Q818" s="70"/>
      <c r="R818" s="70"/>
      <c r="S818" s="70"/>
      <c r="T818" s="70"/>
      <c r="U818" s="70"/>
      <c r="V818" s="70"/>
      <c r="W818" s="70"/>
      <c r="X818" s="70"/>
      <c r="Y818" s="70"/>
      <c r="Z818" s="70"/>
    </row>
    <row r="819">
      <c r="A819" s="78"/>
      <c r="B819" s="78"/>
      <c r="C819" s="80"/>
      <c r="D819" s="80"/>
      <c r="E819" s="82"/>
      <c r="F819" s="82"/>
      <c r="G819" s="82"/>
      <c r="H819" s="82"/>
      <c r="I819" s="34"/>
      <c r="J819" s="83"/>
      <c r="K819" s="83"/>
      <c r="L819" s="83"/>
      <c r="M819" s="70"/>
      <c r="N819" s="70"/>
      <c r="O819" s="70"/>
      <c r="P819" s="70"/>
      <c r="Q819" s="70"/>
      <c r="R819" s="70"/>
      <c r="S819" s="70"/>
      <c r="T819" s="70"/>
      <c r="U819" s="70"/>
      <c r="V819" s="70"/>
      <c r="W819" s="70"/>
      <c r="X819" s="70"/>
      <c r="Y819" s="70"/>
      <c r="Z819" s="70"/>
    </row>
    <row r="820">
      <c r="A820" s="78"/>
      <c r="B820" s="78"/>
      <c r="C820" s="80"/>
      <c r="D820" s="80"/>
      <c r="E820" s="82"/>
      <c r="F820" s="82"/>
      <c r="G820" s="82"/>
      <c r="H820" s="82"/>
      <c r="I820" s="34"/>
      <c r="J820" s="83"/>
      <c r="K820" s="83"/>
      <c r="L820" s="83"/>
      <c r="M820" s="70"/>
      <c r="N820" s="70"/>
      <c r="O820" s="70"/>
      <c r="P820" s="70"/>
      <c r="Q820" s="70"/>
      <c r="R820" s="70"/>
      <c r="S820" s="70"/>
      <c r="T820" s="70"/>
      <c r="U820" s="70"/>
      <c r="V820" s="70"/>
      <c r="W820" s="70"/>
      <c r="X820" s="70"/>
      <c r="Y820" s="70"/>
      <c r="Z820" s="70"/>
    </row>
    <row r="821">
      <c r="A821" s="78"/>
      <c r="B821" s="78"/>
      <c r="C821" s="80"/>
      <c r="D821" s="80"/>
      <c r="E821" s="82"/>
      <c r="F821" s="82"/>
      <c r="G821" s="82"/>
      <c r="H821" s="82"/>
      <c r="I821" s="34"/>
      <c r="J821" s="83"/>
      <c r="K821" s="83"/>
      <c r="L821" s="83"/>
      <c r="M821" s="70"/>
      <c r="N821" s="70"/>
      <c r="O821" s="70"/>
      <c r="P821" s="70"/>
      <c r="Q821" s="70"/>
      <c r="R821" s="70"/>
      <c r="S821" s="70"/>
      <c r="T821" s="70"/>
      <c r="U821" s="70"/>
      <c r="V821" s="70"/>
      <c r="W821" s="70"/>
      <c r="X821" s="70"/>
      <c r="Y821" s="70"/>
      <c r="Z821" s="70"/>
    </row>
    <row r="822">
      <c r="A822" s="78"/>
      <c r="B822" s="78"/>
      <c r="C822" s="80"/>
      <c r="D822" s="80"/>
      <c r="E822" s="82"/>
      <c r="F822" s="82"/>
      <c r="G822" s="82"/>
      <c r="H822" s="82"/>
      <c r="I822" s="34"/>
      <c r="J822" s="83"/>
      <c r="K822" s="83"/>
      <c r="L822" s="83"/>
      <c r="M822" s="70"/>
      <c r="N822" s="70"/>
      <c r="O822" s="70"/>
      <c r="P822" s="70"/>
      <c r="Q822" s="70"/>
      <c r="R822" s="70"/>
      <c r="S822" s="70"/>
      <c r="T822" s="70"/>
      <c r="U822" s="70"/>
      <c r="V822" s="70"/>
      <c r="W822" s="70"/>
      <c r="X822" s="70"/>
      <c r="Y822" s="70"/>
      <c r="Z822" s="70"/>
    </row>
    <row r="823">
      <c r="A823" s="78"/>
      <c r="B823" s="78"/>
      <c r="C823" s="80"/>
      <c r="D823" s="80"/>
      <c r="E823" s="82"/>
      <c r="F823" s="82"/>
      <c r="G823" s="82"/>
      <c r="H823" s="82"/>
      <c r="I823" s="34"/>
      <c r="J823" s="83"/>
      <c r="K823" s="83"/>
      <c r="L823" s="83"/>
      <c r="M823" s="70"/>
      <c r="N823" s="70"/>
      <c r="O823" s="70"/>
      <c r="P823" s="70"/>
      <c r="Q823" s="70"/>
      <c r="R823" s="70"/>
      <c r="S823" s="70"/>
      <c r="T823" s="70"/>
      <c r="U823" s="70"/>
      <c r="V823" s="70"/>
      <c r="W823" s="70"/>
      <c r="X823" s="70"/>
      <c r="Y823" s="70"/>
      <c r="Z823" s="70"/>
    </row>
    <row r="824">
      <c r="A824" s="78"/>
      <c r="B824" s="78"/>
      <c r="C824" s="80"/>
      <c r="D824" s="80"/>
      <c r="E824" s="82"/>
      <c r="F824" s="82"/>
      <c r="G824" s="82"/>
      <c r="H824" s="82"/>
      <c r="I824" s="34"/>
      <c r="J824" s="83"/>
      <c r="K824" s="83"/>
      <c r="L824" s="83"/>
      <c r="M824" s="70"/>
      <c r="N824" s="70"/>
      <c r="O824" s="70"/>
      <c r="P824" s="70"/>
      <c r="Q824" s="70"/>
      <c r="R824" s="70"/>
      <c r="S824" s="70"/>
      <c r="T824" s="70"/>
      <c r="U824" s="70"/>
      <c r="V824" s="70"/>
      <c r="W824" s="70"/>
      <c r="X824" s="70"/>
      <c r="Y824" s="70"/>
      <c r="Z824" s="70"/>
    </row>
    <row r="825">
      <c r="A825" s="78"/>
      <c r="B825" s="78"/>
      <c r="C825" s="80"/>
      <c r="D825" s="80"/>
      <c r="E825" s="82"/>
      <c r="F825" s="82"/>
      <c r="G825" s="82"/>
      <c r="H825" s="82"/>
      <c r="I825" s="34"/>
      <c r="J825" s="83"/>
      <c r="K825" s="83"/>
      <c r="L825" s="83"/>
      <c r="M825" s="70"/>
      <c r="N825" s="70"/>
      <c r="O825" s="70"/>
      <c r="P825" s="70"/>
      <c r="Q825" s="70"/>
      <c r="R825" s="70"/>
      <c r="S825" s="70"/>
      <c r="T825" s="70"/>
      <c r="U825" s="70"/>
      <c r="V825" s="70"/>
      <c r="W825" s="70"/>
      <c r="X825" s="70"/>
      <c r="Y825" s="70"/>
      <c r="Z825" s="70"/>
    </row>
    <row r="826">
      <c r="A826" s="78"/>
      <c r="B826" s="78"/>
      <c r="C826" s="80"/>
      <c r="D826" s="80"/>
      <c r="E826" s="82"/>
      <c r="F826" s="82"/>
      <c r="G826" s="82"/>
      <c r="H826" s="82"/>
      <c r="I826" s="34"/>
      <c r="J826" s="83"/>
      <c r="K826" s="83"/>
      <c r="L826" s="83"/>
      <c r="M826" s="70"/>
      <c r="N826" s="70"/>
      <c r="O826" s="70"/>
      <c r="P826" s="70"/>
      <c r="Q826" s="70"/>
      <c r="R826" s="70"/>
      <c r="S826" s="70"/>
      <c r="T826" s="70"/>
      <c r="U826" s="70"/>
      <c r="V826" s="70"/>
      <c r="W826" s="70"/>
      <c r="X826" s="70"/>
      <c r="Y826" s="70"/>
      <c r="Z826" s="70"/>
    </row>
    <row r="827">
      <c r="A827" s="78"/>
      <c r="B827" s="78"/>
      <c r="C827" s="80"/>
      <c r="D827" s="80"/>
      <c r="E827" s="82"/>
      <c r="F827" s="82"/>
      <c r="G827" s="82"/>
      <c r="H827" s="82"/>
      <c r="I827" s="34"/>
      <c r="J827" s="83"/>
      <c r="K827" s="83"/>
      <c r="L827" s="83"/>
      <c r="M827" s="70"/>
      <c r="N827" s="70"/>
      <c r="O827" s="70"/>
      <c r="P827" s="70"/>
      <c r="Q827" s="70"/>
      <c r="R827" s="70"/>
      <c r="S827" s="70"/>
      <c r="T827" s="70"/>
      <c r="U827" s="70"/>
      <c r="V827" s="70"/>
      <c r="W827" s="70"/>
      <c r="X827" s="70"/>
      <c r="Y827" s="70"/>
      <c r="Z827" s="70"/>
    </row>
    <row r="828">
      <c r="A828" s="78"/>
      <c r="B828" s="78"/>
      <c r="C828" s="80"/>
      <c r="D828" s="80"/>
      <c r="E828" s="82"/>
      <c r="F828" s="82"/>
      <c r="G828" s="82"/>
      <c r="H828" s="82"/>
      <c r="I828" s="34"/>
      <c r="J828" s="83"/>
      <c r="K828" s="83"/>
      <c r="L828" s="83"/>
      <c r="M828" s="70"/>
      <c r="N828" s="70"/>
      <c r="O828" s="70"/>
      <c r="P828" s="70"/>
      <c r="Q828" s="70"/>
      <c r="R828" s="70"/>
      <c r="S828" s="70"/>
      <c r="T828" s="70"/>
      <c r="U828" s="70"/>
      <c r="V828" s="70"/>
      <c r="W828" s="70"/>
      <c r="X828" s="70"/>
      <c r="Y828" s="70"/>
      <c r="Z828" s="70"/>
    </row>
    <row r="829">
      <c r="A829" s="78"/>
      <c r="B829" s="78"/>
      <c r="C829" s="80"/>
      <c r="D829" s="80"/>
      <c r="E829" s="82"/>
      <c r="F829" s="82"/>
      <c r="G829" s="82"/>
      <c r="H829" s="82"/>
      <c r="I829" s="34"/>
      <c r="J829" s="83"/>
      <c r="K829" s="83"/>
      <c r="L829" s="83"/>
      <c r="M829" s="70"/>
      <c r="N829" s="70"/>
      <c r="O829" s="70"/>
      <c r="P829" s="70"/>
      <c r="Q829" s="70"/>
      <c r="R829" s="70"/>
      <c r="S829" s="70"/>
      <c r="T829" s="70"/>
      <c r="U829" s="70"/>
      <c r="V829" s="70"/>
      <c r="W829" s="70"/>
      <c r="X829" s="70"/>
      <c r="Y829" s="70"/>
      <c r="Z829" s="70"/>
    </row>
    <row r="830">
      <c r="A830" s="78"/>
      <c r="B830" s="78"/>
      <c r="C830" s="80"/>
      <c r="D830" s="80"/>
      <c r="E830" s="82"/>
      <c r="F830" s="82"/>
      <c r="G830" s="82"/>
      <c r="H830" s="82"/>
      <c r="I830" s="34"/>
      <c r="J830" s="83"/>
      <c r="K830" s="83"/>
      <c r="L830" s="83"/>
      <c r="M830" s="70"/>
      <c r="N830" s="70"/>
      <c r="O830" s="70"/>
      <c r="P830" s="70"/>
      <c r="Q830" s="70"/>
      <c r="R830" s="70"/>
      <c r="S830" s="70"/>
      <c r="T830" s="70"/>
      <c r="U830" s="70"/>
      <c r="V830" s="70"/>
      <c r="W830" s="70"/>
      <c r="X830" s="70"/>
      <c r="Y830" s="70"/>
      <c r="Z830" s="70"/>
    </row>
    <row r="831">
      <c r="A831" s="78"/>
      <c r="B831" s="78"/>
      <c r="C831" s="80"/>
      <c r="D831" s="80"/>
      <c r="E831" s="82"/>
      <c r="F831" s="82"/>
      <c r="G831" s="82"/>
      <c r="H831" s="82"/>
      <c r="I831" s="34"/>
      <c r="J831" s="83"/>
      <c r="K831" s="83"/>
      <c r="L831" s="83"/>
      <c r="M831" s="70"/>
      <c r="N831" s="70"/>
      <c r="O831" s="70"/>
      <c r="P831" s="70"/>
      <c r="Q831" s="70"/>
      <c r="R831" s="70"/>
      <c r="S831" s="70"/>
      <c r="T831" s="70"/>
      <c r="U831" s="70"/>
      <c r="V831" s="70"/>
      <c r="W831" s="70"/>
      <c r="X831" s="70"/>
      <c r="Y831" s="70"/>
      <c r="Z831" s="70"/>
    </row>
    <row r="832">
      <c r="A832" s="78"/>
      <c r="B832" s="78"/>
      <c r="C832" s="80"/>
      <c r="D832" s="80"/>
      <c r="E832" s="82"/>
      <c r="F832" s="82"/>
      <c r="G832" s="82"/>
      <c r="H832" s="82"/>
      <c r="I832" s="34"/>
      <c r="J832" s="83"/>
      <c r="K832" s="83"/>
      <c r="L832" s="83"/>
      <c r="M832" s="70"/>
      <c r="N832" s="70"/>
      <c r="O832" s="70"/>
      <c r="P832" s="70"/>
      <c r="Q832" s="70"/>
      <c r="R832" s="70"/>
      <c r="S832" s="70"/>
      <c r="T832" s="70"/>
      <c r="U832" s="70"/>
      <c r="V832" s="70"/>
      <c r="W832" s="70"/>
      <c r="X832" s="70"/>
      <c r="Y832" s="70"/>
      <c r="Z832" s="70"/>
    </row>
    <row r="833">
      <c r="A833" s="78"/>
      <c r="B833" s="78"/>
      <c r="C833" s="80"/>
      <c r="D833" s="80"/>
      <c r="E833" s="82"/>
      <c r="F833" s="82"/>
      <c r="G833" s="82"/>
      <c r="H833" s="82"/>
      <c r="I833" s="34"/>
      <c r="J833" s="83"/>
      <c r="K833" s="83"/>
      <c r="L833" s="83"/>
      <c r="M833" s="70"/>
      <c r="N833" s="70"/>
      <c r="O833" s="70"/>
      <c r="P833" s="70"/>
      <c r="Q833" s="70"/>
      <c r="R833" s="70"/>
      <c r="S833" s="70"/>
      <c r="T833" s="70"/>
      <c r="U833" s="70"/>
      <c r="V833" s="70"/>
      <c r="W833" s="70"/>
      <c r="X833" s="70"/>
      <c r="Y833" s="70"/>
      <c r="Z833" s="70"/>
    </row>
    <row r="834">
      <c r="A834" s="78"/>
      <c r="B834" s="78"/>
      <c r="C834" s="80"/>
      <c r="D834" s="80"/>
      <c r="E834" s="82"/>
      <c r="F834" s="82"/>
      <c r="G834" s="82"/>
      <c r="H834" s="82"/>
      <c r="I834" s="34"/>
      <c r="J834" s="83"/>
      <c r="K834" s="83"/>
      <c r="L834" s="83"/>
      <c r="M834" s="70"/>
      <c r="N834" s="70"/>
      <c r="O834" s="70"/>
      <c r="P834" s="70"/>
      <c r="Q834" s="70"/>
      <c r="R834" s="70"/>
      <c r="S834" s="70"/>
      <c r="T834" s="70"/>
      <c r="U834" s="70"/>
      <c r="V834" s="70"/>
      <c r="W834" s="70"/>
      <c r="X834" s="70"/>
      <c r="Y834" s="70"/>
      <c r="Z834" s="70"/>
    </row>
    <row r="835">
      <c r="A835" s="78"/>
      <c r="B835" s="78"/>
      <c r="C835" s="80"/>
      <c r="D835" s="80"/>
      <c r="E835" s="82"/>
      <c r="F835" s="82"/>
      <c r="G835" s="82"/>
      <c r="H835" s="82"/>
      <c r="I835" s="34"/>
      <c r="J835" s="83"/>
      <c r="K835" s="83"/>
      <c r="L835" s="83"/>
      <c r="M835" s="70"/>
      <c r="N835" s="70"/>
      <c r="O835" s="70"/>
      <c r="P835" s="70"/>
      <c r="Q835" s="70"/>
      <c r="R835" s="70"/>
      <c r="S835" s="70"/>
      <c r="T835" s="70"/>
      <c r="U835" s="70"/>
      <c r="V835" s="70"/>
      <c r="W835" s="70"/>
      <c r="X835" s="70"/>
      <c r="Y835" s="70"/>
      <c r="Z835" s="70"/>
    </row>
    <row r="836">
      <c r="A836" s="78"/>
      <c r="B836" s="78"/>
      <c r="C836" s="80"/>
      <c r="D836" s="80"/>
      <c r="E836" s="82"/>
      <c r="F836" s="82"/>
      <c r="G836" s="82"/>
      <c r="H836" s="82"/>
      <c r="I836" s="34"/>
      <c r="J836" s="83"/>
      <c r="K836" s="83"/>
      <c r="L836" s="83"/>
      <c r="M836" s="70"/>
      <c r="N836" s="70"/>
      <c r="O836" s="70"/>
      <c r="P836" s="70"/>
      <c r="Q836" s="70"/>
      <c r="R836" s="70"/>
      <c r="S836" s="70"/>
      <c r="T836" s="70"/>
      <c r="U836" s="70"/>
      <c r="V836" s="70"/>
      <c r="W836" s="70"/>
      <c r="X836" s="70"/>
      <c r="Y836" s="70"/>
      <c r="Z836" s="70"/>
    </row>
    <row r="837">
      <c r="A837" s="78"/>
      <c r="B837" s="78"/>
      <c r="C837" s="80"/>
      <c r="D837" s="80"/>
      <c r="E837" s="82"/>
      <c r="F837" s="82"/>
      <c r="G837" s="82"/>
      <c r="H837" s="82"/>
      <c r="I837" s="34"/>
      <c r="J837" s="83"/>
      <c r="K837" s="83"/>
      <c r="L837" s="83"/>
      <c r="M837" s="70"/>
      <c r="N837" s="70"/>
      <c r="O837" s="70"/>
      <c r="P837" s="70"/>
      <c r="Q837" s="70"/>
      <c r="R837" s="70"/>
      <c r="S837" s="70"/>
      <c r="T837" s="70"/>
      <c r="U837" s="70"/>
      <c r="V837" s="70"/>
      <c r="W837" s="70"/>
      <c r="X837" s="70"/>
      <c r="Y837" s="70"/>
      <c r="Z837" s="70"/>
    </row>
    <row r="838">
      <c r="A838" s="78"/>
      <c r="B838" s="78"/>
      <c r="C838" s="80"/>
      <c r="D838" s="80"/>
      <c r="E838" s="82"/>
      <c r="F838" s="82"/>
      <c r="G838" s="82"/>
      <c r="H838" s="82"/>
      <c r="I838" s="34"/>
      <c r="J838" s="83"/>
      <c r="K838" s="83"/>
      <c r="L838" s="83"/>
      <c r="M838" s="70"/>
      <c r="N838" s="70"/>
      <c r="O838" s="70"/>
      <c r="P838" s="70"/>
      <c r="Q838" s="70"/>
      <c r="R838" s="70"/>
      <c r="S838" s="70"/>
      <c r="T838" s="70"/>
      <c r="U838" s="70"/>
      <c r="V838" s="70"/>
      <c r="W838" s="70"/>
      <c r="X838" s="70"/>
      <c r="Y838" s="70"/>
      <c r="Z838" s="70"/>
    </row>
    <row r="839">
      <c r="A839" s="78"/>
      <c r="B839" s="78"/>
      <c r="C839" s="80"/>
      <c r="D839" s="80"/>
      <c r="E839" s="82"/>
      <c r="F839" s="82"/>
      <c r="G839" s="82"/>
      <c r="H839" s="82"/>
      <c r="I839" s="34"/>
      <c r="J839" s="83"/>
      <c r="K839" s="83"/>
      <c r="L839" s="83"/>
      <c r="M839" s="70"/>
      <c r="N839" s="70"/>
      <c r="O839" s="70"/>
      <c r="P839" s="70"/>
      <c r="Q839" s="70"/>
      <c r="R839" s="70"/>
      <c r="S839" s="70"/>
      <c r="T839" s="70"/>
      <c r="U839" s="70"/>
      <c r="V839" s="70"/>
      <c r="W839" s="70"/>
      <c r="X839" s="70"/>
      <c r="Y839" s="70"/>
      <c r="Z839" s="70"/>
    </row>
    <row r="840">
      <c r="A840" s="78"/>
      <c r="B840" s="78"/>
      <c r="C840" s="80"/>
      <c r="D840" s="80"/>
      <c r="E840" s="82"/>
      <c r="F840" s="82"/>
      <c r="G840" s="82"/>
      <c r="H840" s="82"/>
      <c r="I840" s="34"/>
      <c r="J840" s="83"/>
      <c r="K840" s="83"/>
      <c r="L840" s="83"/>
      <c r="M840" s="70"/>
      <c r="N840" s="70"/>
      <c r="O840" s="70"/>
      <c r="P840" s="70"/>
      <c r="Q840" s="70"/>
      <c r="R840" s="70"/>
      <c r="S840" s="70"/>
      <c r="T840" s="70"/>
      <c r="U840" s="70"/>
      <c r="V840" s="70"/>
      <c r="W840" s="70"/>
      <c r="X840" s="70"/>
      <c r="Y840" s="70"/>
      <c r="Z840" s="70"/>
    </row>
    <row r="841">
      <c r="A841" s="78"/>
      <c r="B841" s="78"/>
      <c r="C841" s="80"/>
      <c r="D841" s="80"/>
      <c r="E841" s="82"/>
      <c r="F841" s="82"/>
      <c r="G841" s="82"/>
      <c r="H841" s="82"/>
      <c r="I841" s="34"/>
      <c r="J841" s="83"/>
      <c r="K841" s="83"/>
      <c r="L841" s="83"/>
      <c r="M841" s="70"/>
      <c r="N841" s="70"/>
      <c r="O841" s="70"/>
      <c r="P841" s="70"/>
      <c r="Q841" s="70"/>
      <c r="R841" s="70"/>
      <c r="S841" s="70"/>
      <c r="T841" s="70"/>
      <c r="U841" s="70"/>
      <c r="V841" s="70"/>
      <c r="W841" s="70"/>
      <c r="X841" s="70"/>
      <c r="Y841" s="70"/>
      <c r="Z841" s="70"/>
    </row>
    <row r="842">
      <c r="A842" s="78"/>
      <c r="B842" s="78"/>
      <c r="C842" s="80"/>
      <c r="D842" s="80"/>
      <c r="E842" s="82"/>
      <c r="F842" s="82"/>
      <c r="G842" s="82"/>
      <c r="H842" s="82"/>
      <c r="I842" s="34"/>
      <c r="J842" s="83"/>
      <c r="K842" s="83"/>
      <c r="L842" s="83"/>
      <c r="M842" s="70"/>
      <c r="N842" s="70"/>
      <c r="O842" s="70"/>
      <c r="P842" s="70"/>
      <c r="Q842" s="70"/>
      <c r="R842" s="70"/>
      <c r="S842" s="70"/>
      <c r="T842" s="70"/>
      <c r="U842" s="70"/>
      <c r="V842" s="70"/>
      <c r="W842" s="70"/>
      <c r="X842" s="70"/>
      <c r="Y842" s="70"/>
      <c r="Z842" s="70"/>
    </row>
    <row r="843">
      <c r="A843" s="78"/>
      <c r="B843" s="78"/>
      <c r="C843" s="80"/>
      <c r="D843" s="80"/>
      <c r="E843" s="82"/>
      <c r="F843" s="82"/>
      <c r="G843" s="82"/>
      <c r="H843" s="82"/>
      <c r="I843" s="34"/>
      <c r="J843" s="83"/>
      <c r="K843" s="83"/>
      <c r="L843" s="83"/>
      <c r="M843" s="70"/>
      <c r="N843" s="70"/>
      <c r="O843" s="70"/>
      <c r="P843" s="70"/>
      <c r="Q843" s="70"/>
      <c r="R843" s="70"/>
      <c r="S843" s="70"/>
      <c r="T843" s="70"/>
      <c r="U843" s="70"/>
      <c r="V843" s="70"/>
      <c r="W843" s="70"/>
      <c r="X843" s="70"/>
      <c r="Y843" s="70"/>
      <c r="Z843" s="70"/>
    </row>
    <row r="844">
      <c r="A844" s="78"/>
      <c r="B844" s="78"/>
      <c r="C844" s="80"/>
      <c r="D844" s="80"/>
      <c r="E844" s="82"/>
      <c r="F844" s="82"/>
      <c r="G844" s="82"/>
      <c r="H844" s="82"/>
      <c r="I844" s="34"/>
      <c r="J844" s="83"/>
      <c r="K844" s="83"/>
      <c r="L844" s="83"/>
      <c r="M844" s="70"/>
      <c r="N844" s="70"/>
      <c r="O844" s="70"/>
      <c r="P844" s="70"/>
      <c r="Q844" s="70"/>
      <c r="R844" s="70"/>
      <c r="S844" s="70"/>
      <c r="T844" s="70"/>
      <c r="U844" s="70"/>
      <c r="V844" s="70"/>
      <c r="W844" s="70"/>
      <c r="X844" s="70"/>
      <c r="Y844" s="70"/>
      <c r="Z844" s="70"/>
    </row>
    <row r="845">
      <c r="A845" s="78"/>
      <c r="B845" s="78"/>
      <c r="C845" s="80"/>
      <c r="D845" s="80"/>
      <c r="E845" s="82"/>
      <c r="F845" s="82"/>
      <c r="G845" s="82"/>
      <c r="H845" s="82"/>
      <c r="I845" s="34"/>
      <c r="J845" s="83"/>
      <c r="K845" s="83"/>
      <c r="L845" s="83"/>
      <c r="M845" s="70"/>
      <c r="N845" s="70"/>
      <c r="O845" s="70"/>
      <c r="P845" s="70"/>
      <c r="Q845" s="70"/>
      <c r="R845" s="70"/>
      <c r="S845" s="70"/>
      <c r="T845" s="70"/>
      <c r="U845" s="70"/>
      <c r="V845" s="70"/>
      <c r="W845" s="70"/>
      <c r="X845" s="70"/>
      <c r="Y845" s="70"/>
      <c r="Z845" s="70"/>
    </row>
    <row r="846">
      <c r="A846" s="78"/>
      <c r="B846" s="78"/>
      <c r="C846" s="80"/>
      <c r="D846" s="80"/>
      <c r="E846" s="82"/>
      <c r="F846" s="82"/>
      <c r="G846" s="82"/>
      <c r="H846" s="82"/>
      <c r="I846" s="34"/>
      <c r="J846" s="83"/>
      <c r="K846" s="83"/>
      <c r="L846" s="83"/>
      <c r="M846" s="70"/>
      <c r="N846" s="70"/>
      <c r="O846" s="70"/>
      <c r="P846" s="70"/>
      <c r="Q846" s="70"/>
      <c r="R846" s="70"/>
      <c r="S846" s="70"/>
      <c r="T846" s="70"/>
      <c r="U846" s="70"/>
      <c r="V846" s="70"/>
      <c r="W846" s="70"/>
      <c r="X846" s="70"/>
      <c r="Y846" s="70"/>
      <c r="Z846" s="70"/>
    </row>
    <row r="847">
      <c r="A847" s="78"/>
      <c r="B847" s="78"/>
      <c r="C847" s="80"/>
      <c r="D847" s="80"/>
      <c r="E847" s="82"/>
      <c r="F847" s="82"/>
      <c r="G847" s="82"/>
      <c r="H847" s="82"/>
      <c r="I847" s="34"/>
      <c r="J847" s="83"/>
      <c r="K847" s="83"/>
      <c r="L847" s="83"/>
      <c r="M847" s="70"/>
      <c r="N847" s="70"/>
      <c r="O847" s="70"/>
      <c r="P847" s="70"/>
      <c r="Q847" s="70"/>
      <c r="R847" s="70"/>
      <c r="S847" s="70"/>
      <c r="T847" s="70"/>
      <c r="U847" s="70"/>
      <c r="V847" s="70"/>
      <c r="W847" s="70"/>
      <c r="X847" s="70"/>
      <c r="Y847" s="70"/>
      <c r="Z847" s="70"/>
    </row>
    <row r="848">
      <c r="A848" s="78"/>
      <c r="B848" s="78"/>
      <c r="C848" s="80"/>
      <c r="D848" s="80"/>
      <c r="E848" s="82"/>
      <c r="F848" s="82"/>
      <c r="G848" s="82"/>
      <c r="H848" s="82"/>
      <c r="I848" s="34"/>
      <c r="J848" s="83"/>
      <c r="K848" s="83"/>
      <c r="L848" s="83"/>
      <c r="M848" s="70"/>
      <c r="N848" s="70"/>
      <c r="O848" s="70"/>
      <c r="P848" s="70"/>
      <c r="Q848" s="70"/>
      <c r="R848" s="70"/>
      <c r="S848" s="70"/>
      <c r="T848" s="70"/>
      <c r="U848" s="70"/>
      <c r="V848" s="70"/>
      <c r="W848" s="70"/>
      <c r="X848" s="70"/>
      <c r="Y848" s="70"/>
      <c r="Z848" s="70"/>
    </row>
    <row r="849">
      <c r="A849" s="78"/>
      <c r="B849" s="78"/>
      <c r="C849" s="80"/>
      <c r="D849" s="80"/>
      <c r="E849" s="82"/>
      <c r="F849" s="82"/>
      <c r="G849" s="82"/>
      <c r="H849" s="82"/>
      <c r="I849" s="34"/>
      <c r="J849" s="83"/>
      <c r="K849" s="83"/>
      <c r="L849" s="83"/>
      <c r="M849" s="70"/>
      <c r="N849" s="70"/>
      <c r="O849" s="70"/>
      <c r="P849" s="70"/>
      <c r="Q849" s="70"/>
      <c r="R849" s="70"/>
      <c r="S849" s="70"/>
      <c r="T849" s="70"/>
      <c r="U849" s="70"/>
      <c r="V849" s="70"/>
      <c r="W849" s="70"/>
      <c r="X849" s="70"/>
      <c r="Y849" s="70"/>
      <c r="Z849" s="70"/>
    </row>
    <row r="850">
      <c r="A850" s="78"/>
      <c r="B850" s="78"/>
      <c r="C850" s="80"/>
      <c r="D850" s="80"/>
      <c r="E850" s="82"/>
      <c r="F850" s="82"/>
      <c r="G850" s="82"/>
      <c r="H850" s="82"/>
      <c r="I850" s="34"/>
      <c r="J850" s="83"/>
      <c r="K850" s="83"/>
      <c r="L850" s="83"/>
      <c r="M850" s="70"/>
      <c r="N850" s="70"/>
      <c r="O850" s="70"/>
      <c r="P850" s="70"/>
      <c r="Q850" s="70"/>
      <c r="R850" s="70"/>
      <c r="S850" s="70"/>
      <c r="T850" s="70"/>
      <c r="U850" s="70"/>
      <c r="V850" s="70"/>
      <c r="W850" s="70"/>
      <c r="X850" s="70"/>
      <c r="Y850" s="70"/>
      <c r="Z850" s="70"/>
    </row>
    <row r="851">
      <c r="A851" s="78"/>
      <c r="B851" s="78"/>
      <c r="C851" s="80"/>
      <c r="D851" s="80"/>
      <c r="E851" s="82"/>
      <c r="F851" s="82"/>
      <c r="G851" s="82"/>
      <c r="H851" s="82"/>
      <c r="I851" s="34"/>
      <c r="J851" s="83"/>
      <c r="K851" s="83"/>
      <c r="L851" s="83"/>
      <c r="M851" s="70"/>
      <c r="N851" s="70"/>
      <c r="O851" s="70"/>
      <c r="P851" s="70"/>
      <c r="Q851" s="70"/>
      <c r="R851" s="70"/>
      <c r="S851" s="70"/>
      <c r="T851" s="70"/>
      <c r="U851" s="70"/>
      <c r="V851" s="70"/>
      <c r="W851" s="70"/>
      <c r="X851" s="70"/>
      <c r="Y851" s="70"/>
      <c r="Z851" s="70"/>
    </row>
    <row r="852">
      <c r="A852" s="78"/>
      <c r="B852" s="78"/>
      <c r="C852" s="80"/>
      <c r="D852" s="80"/>
      <c r="E852" s="82"/>
      <c r="F852" s="82"/>
      <c r="G852" s="82"/>
      <c r="H852" s="82"/>
      <c r="I852" s="34"/>
      <c r="J852" s="83"/>
      <c r="K852" s="83"/>
      <c r="L852" s="83"/>
      <c r="M852" s="70"/>
      <c r="N852" s="70"/>
      <c r="O852" s="70"/>
      <c r="P852" s="70"/>
      <c r="Q852" s="70"/>
      <c r="R852" s="70"/>
      <c r="S852" s="70"/>
      <c r="T852" s="70"/>
      <c r="U852" s="70"/>
      <c r="V852" s="70"/>
      <c r="W852" s="70"/>
      <c r="X852" s="70"/>
      <c r="Y852" s="70"/>
      <c r="Z852" s="70"/>
    </row>
    <row r="853">
      <c r="A853" s="78"/>
      <c r="B853" s="78"/>
      <c r="C853" s="80"/>
      <c r="D853" s="80"/>
      <c r="E853" s="82"/>
      <c r="F853" s="82"/>
      <c r="G853" s="82"/>
      <c r="H853" s="82"/>
      <c r="I853" s="34"/>
      <c r="J853" s="83"/>
      <c r="K853" s="83"/>
      <c r="L853" s="83"/>
      <c r="M853" s="70"/>
      <c r="N853" s="70"/>
      <c r="O853" s="70"/>
      <c r="P853" s="70"/>
      <c r="Q853" s="70"/>
      <c r="R853" s="70"/>
      <c r="S853" s="70"/>
      <c r="T853" s="70"/>
      <c r="U853" s="70"/>
      <c r="V853" s="70"/>
      <c r="W853" s="70"/>
      <c r="X853" s="70"/>
      <c r="Y853" s="70"/>
      <c r="Z853" s="70"/>
    </row>
    <row r="854">
      <c r="A854" s="78"/>
      <c r="B854" s="78"/>
      <c r="C854" s="80"/>
      <c r="D854" s="80"/>
      <c r="E854" s="82"/>
      <c r="F854" s="82"/>
      <c r="G854" s="82"/>
      <c r="H854" s="82"/>
      <c r="I854" s="34"/>
      <c r="J854" s="83"/>
      <c r="K854" s="83"/>
      <c r="L854" s="83"/>
      <c r="M854" s="70"/>
      <c r="N854" s="70"/>
      <c r="O854" s="70"/>
      <c r="P854" s="70"/>
      <c r="Q854" s="70"/>
      <c r="R854" s="70"/>
      <c r="S854" s="70"/>
      <c r="T854" s="70"/>
      <c r="U854" s="70"/>
      <c r="V854" s="70"/>
      <c r="W854" s="70"/>
      <c r="X854" s="70"/>
      <c r="Y854" s="70"/>
      <c r="Z854" s="70"/>
    </row>
    <row r="855">
      <c r="A855" s="78"/>
      <c r="B855" s="78"/>
      <c r="C855" s="80"/>
      <c r="D855" s="80"/>
      <c r="E855" s="82"/>
      <c r="F855" s="82"/>
      <c r="G855" s="82"/>
      <c r="H855" s="82"/>
      <c r="I855" s="34"/>
      <c r="J855" s="83"/>
      <c r="K855" s="83"/>
      <c r="L855" s="83"/>
      <c r="M855" s="70"/>
      <c r="N855" s="70"/>
      <c r="O855" s="70"/>
      <c r="P855" s="70"/>
      <c r="Q855" s="70"/>
      <c r="R855" s="70"/>
      <c r="S855" s="70"/>
      <c r="T855" s="70"/>
      <c r="U855" s="70"/>
      <c r="V855" s="70"/>
      <c r="W855" s="70"/>
      <c r="X855" s="70"/>
      <c r="Y855" s="70"/>
      <c r="Z855" s="70"/>
    </row>
    <row r="856">
      <c r="A856" s="78"/>
      <c r="B856" s="78"/>
      <c r="C856" s="80"/>
      <c r="D856" s="80"/>
      <c r="E856" s="82"/>
      <c r="F856" s="82"/>
      <c r="G856" s="82"/>
      <c r="H856" s="82"/>
      <c r="I856" s="34"/>
      <c r="J856" s="83"/>
      <c r="K856" s="83"/>
      <c r="L856" s="83"/>
      <c r="M856" s="70"/>
      <c r="N856" s="70"/>
      <c r="O856" s="70"/>
      <c r="P856" s="70"/>
      <c r="Q856" s="70"/>
      <c r="R856" s="70"/>
      <c r="S856" s="70"/>
      <c r="T856" s="70"/>
      <c r="U856" s="70"/>
      <c r="V856" s="70"/>
      <c r="W856" s="70"/>
      <c r="X856" s="70"/>
      <c r="Y856" s="70"/>
      <c r="Z856" s="70"/>
    </row>
    <row r="857">
      <c r="A857" s="78"/>
      <c r="B857" s="78"/>
      <c r="C857" s="80"/>
      <c r="D857" s="80"/>
      <c r="E857" s="82"/>
      <c r="F857" s="82"/>
      <c r="G857" s="82"/>
      <c r="H857" s="82"/>
      <c r="I857" s="34"/>
      <c r="J857" s="83"/>
      <c r="K857" s="83"/>
      <c r="L857" s="83"/>
      <c r="M857" s="70"/>
      <c r="N857" s="70"/>
      <c r="O857" s="70"/>
      <c r="P857" s="70"/>
      <c r="Q857" s="70"/>
      <c r="R857" s="70"/>
      <c r="S857" s="70"/>
      <c r="T857" s="70"/>
      <c r="U857" s="70"/>
      <c r="V857" s="70"/>
      <c r="W857" s="70"/>
      <c r="X857" s="70"/>
      <c r="Y857" s="70"/>
      <c r="Z857" s="70"/>
    </row>
    <row r="858">
      <c r="A858" s="78"/>
      <c r="B858" s="78"/>
      <c r="C858" s="80"/>
      <c r="D858" s="80"/>
      <c r="E858" s="82"/>
      <c r="F858" s="82"/>
      <c r="G858" s="82"/>
      <c r="H858" s="82"/>
      <c r="I858" s="34"/>
      <c r="J858" s="83"/>
      <c r="K858" s="83"/>
      <c r="L858" s="83"/>
      <c r="M858" s="70"/>
      <c r="N858" s="70"/>
      <c r="O858" s="70"/>
      <c r="P858" s="70"/>
      <c r="Q858" s="70"/>
      <c r="R858" s="70"/>
      <c r="S858" s="70"/>
      <c r="T858" s="70"/>
      <c r="U858" s="70"/>
      <c r="V858" s="70"/>
      <c r="W858" s="70"/>
      <c r="X858" s="70"/>
      <c r="Y858" s="70"/>
      <c r="Z858" s="70"/>
    </row>
    <row r="859">
      <c r="A859" s="78"/>
      <c r="B859" s="78"/>
      <c r="C859" s="80"/>
      <c r="D859" s="80"/>
      <c r="E859" s="82"/>
      <c r="F859" s="82"/>
      <c r="G859" s="82"/>
      <c r="H859" s="82"/>
      <c r="I859" s="34"/>
      <c r="J859" s="83"/>
      <c r="K859" s="83"/>
      <c r="L859" s="83"/>
      <c r="M859" s="70"/>
      <c r="N859" s="70"/>
      <c r="O859" s="70"/>
      <c r="P859" s="70"/>
      <c r="Q859" s="70"/>
      <c r="R859" s="70"/>
      <c r="S859" s="70"/>
      <c r="T859" s="70"/>
      <c r="U859" s="70"/>
      <c r="V859" s="70"/>
      <c r="W859" s="70"/>
      <c r="X859" s="70"/>
      <c r="Y859" s="70"/>
      <c r="Z859" s="70"/>
    </row>
    <row r="860">
      <c r="A860" s="78"/>
      <c r="B860" s="78"/>
      <c r="C860" s="80"/>
      <c r="D860" s="80"/>
      <c r="E860" s="82"/>
      <c r="F860" s="82"/>
      <c r="G860" s="82"/>
      <c r="H860" s="82"/>
      <c r="I860" s="34"/>
      <c r="J860" s="83"/>
      <c r="K860" s="83"/>
      <c r="L860" s="83"/>
      <c r="M860" s="70"/>
      <c r="N860" s="70"/>
      <c r="O860" s="70"/>
      <c r="P860" s="70"/>
      <c r="Q860" s="70"/>
      <c r="R860" s="70"/>
      <c r="S860" s="70"/>
      <c r="T860" s="70"/>
      <c r="U860" s="70"/>
      <c r="V860" s="70"/>
      <c r="W860" s="70"/>
      <c r="X860" s="70"/>
      <c r="Y860" s="70"/>
      <c r="Z860" s="70"/>
    </row>
    <row r="861">
      <c r="A861" s="78"/>
      <c r="B861" s="78"/>
      <c r="C861" s="80"/>
      <c r="D861" s="80"/>
      <c r="E861" s="82"/>
      <c r="F861" s="82"/>
      <c r="G861" s="82"/>
      <c r="H861" s="82"/>
      <c r="I861" s="34"/>
      <c r="J861" s="83"/>
      <c r="K861" s="83"/>
      <c r="L861" s="83"/>
      <c r="M861" s="70"/>
      <c r="N861" s="70"/>
      <c r="O861" s="70"/>
      <c r="P861" s="70"/>
      <c r="Q861" s="70"/>
      <c r="R861" s="70"/>
      <c r="S861" s="70"/>
      <c r="T861" s="70"/>
      <c r="U861" s="70"/>
      <c r="V861" s="70"/>
      <c r="W861" s="70"/>
      <c r="X861" s="70"/>
      <c r="Y861" s="70"/>
      <c r="Z861" s="70"/>
    </row>
    <row r="862">
      <c r="A862" s="78"/>
      <c r="B862" s="78"/>
      <c r="C862" s="80"/>
      <c r="D862" s="80"/>
      <c r="E862" s="82"/>
      <c r="F862" s="82"/>
      <c r="G862" s="82"/>
      <c r="H862" s="82"/>
      <c r="I862" s="34"/>
      <c r="J862" s="83"/>
      <c r="K862" s="83"/>
      <c r="L862" s="83"/>
      <c r="M862" s="70"/>
      <c r="N862" s="70"/>
      <c r="O862" s="70"/>
      <c r="P862" s="70"/>
      <c r="Q862" s="70"/>
      <c r="R862" s="70"/>
      <c r="S862" s="70"/>
      <c r="T862" s="70"/>
      <c r="U862" s="70"/>
      <c r="V862" s="70"/>
      <c r="W862" s="70"/>
      <c r="X862" s="70"/>
      <c r="Y862" s="70"/>
      <c r="Z862" s="70"/>
    </row>
    <row r="863">
      <c r="A863" s="78"/>
      <c r="B863" s="78"/>
      <c r="C863" s="80"/>
      <c r="D863" s="80"/>
      <c r="E863" s="82"/>
      <c r="F863" s="82"/>
      <c r="G863" s="82"/>
      <c r="H863" s="82"/>
      <c r="I863" s="34"/>
      <c r="J863" s="83"/>
      <c r="K863" s="83"/>
      <c r="L863" s="83"/>
      <c r="M863" s="70"/>
      <c r="N863" s="70"/>
      <c r="O863" s="70"/>
      <c r="P863" s="70"/>
      <c r="Q863" s="70"/>
      <c r="R863" s="70"/>
      <c r="S863" s="70"/>
      <c r="T863" s="70"/>
      <c r="U863" s="70"/>
      <c r="V863" s="70"/>
      <c r="W863" s="70"/>
      <c r="X863" s="70"/>
      <c r="Y863" s="70"/>
      <c r="Z863" s="70"/>
    </row>
    <row r="864">
      <c r="A864" s="78"/>
      <c r="B864" s="78"/>
      <c r="C864" s="80"/>
      <c r="D864" s="80"/>
      <c r="E864" s="82"/>
      <c r="F864" s="82"/>
      <c r="G864" s="82"/>
      <c r="H864" s="82"/>
      <c r="I864" s="34"/>
      <c r="J864" s="83"/>
      <c r="K864" s="83"/>
      <c r="L864" s="83"/>
      <c r="M864" s="70"/>
      <c r="N864" s="70"/>
      <c r="O864" s="70"/>
      <c r="P864" s="70"/>
      <c r="Q864" s="70"/>
      <c r="R864" s="70"/>
      <c r="S864" s="70"/>
      <c r="T864" s="70"/>
      <c r="U864" s="70"/>
      <c r="V864" s="70"/>
      <c r="W864" s="70"/>
      <c r="X864" s="70"/>
      <c r="Y864" s="70"/>
      <c r="Z864" s="70"/>
    </row>
    <row r="865">
      <c r="A865" s="78"/>
      <c r="B865" s="78"/>
      <c r="C865" s="80"/>
      <c r="D865" s="80"/>
      <c r="E865" s="82"/>
      <c r="F865" s="82"/>
      <c r="G865" s="82"/>
      <c r="H865" s="82"/>
      <c r="I865" s="34"/>
      <c r="J865" s="83"/>
      <c r="K865" s="83"/>
      <c r="L865" s="83"/>
      <c r="M865" s="70"/>
      <c r="N865" s="70"/>
      <c r="O865" s="70"/>
      <c r="P865" s="70"/>
      <c r="Q865" s="70"/>
      <c r="R865" s="70"/>
      <c r="S865" s="70"/>
      <c r="T865" s="70"/>
      <c r="U865" s="70"/>
      <c r="V865" s="70"/>
      <c r="W865" s="70"/>
      <c r="X865" s="70"/>
      <c r="Y865" s="70"/>
      <c r="Z865" s="70"/>
    </row>
    <row r="866">
      <c r="A866" s="78"/>
      <c r="B866" s="78"/>
      <c r="C866" s="80"/>
      <c r="D866" s="80"/>
      <c r="E866" s="82"/>
      <c r="F866" s="82"/>
      <c r="G866" s="82"/>
      <c r="H866" s="82"/>
      <c r="I866" s="34"/>
      <c r="J866" s="83"/>
      <c r="K866" s="83"/>
      <c r="L866" s="83"/>
      <c r="M866" s="70"/>
      <c r="N866" s="70"/>
      <c r="O866" s="70"/>
      <c r="P866" s="70"/>
      <c r="Q866" s="70"/>
      <c r="R866" s="70"/>
      <c r="S866" s="70"/>
      <c r="T866" s="70"/>
      <c r="U866" s="70"/>
      <c r="V866" s="70"/>
      <c r="W866" s="70"/>
      <c r="X866" s="70"/>
      <c r="Y866" s="70"/>
      <c r="Z866" s="70"/>
    </row>
    <row r="867">
      <c r="A867" s="78"/>
      <c r="B867" s="78"/>
      <c r="C867" s="80"/>
      <c r="D867" s="80"/>
      <c r="E867" s="82"/>
      <c r="F867" s="82"/>
      <c r="G867" s="82"/>
      <c r="H867" s="82"/>
      <c r="I867" s="34"/>
      <c r="J867" s="83"/>
      <c r="K867" s="83"/>
      <c r="L867" s="83"/>
      <c r="M867" s="70"/>
      <c r="N867" s="70"/>
      <c r="O867" s="70"/>
      <c r="P867" s="70"/>
      <c r="Q867" s="70"/>
      <c r="R867" s="70"/>
      <c r="S867" s="70"/>
      <c r="T867" s="70"/>
      <c r="U867" s="70"/>
      <c r="V867" s="70"/>
      <c r="W867" s="70"/>
      <c r="X867" s="70"/>
      <c r="Y867" s="70"/>
      <c r="Z867" s="70"/>
    </row>
    <row r="868">
      <c r="A868" s="78"/>
      <c r="B868" s="78"/>
      <c r="C868" s="80"/>
      <c r="D868" s="80"/>
      <c r="E868" s="82"/>
      <c r="F868" s="82"/>
      <c r="G868" s="82"/>
      <c r="H868" s="82"/>
      <c r="I868" s="34"/>
      <c r="J868" s="83"/>
      <c r="K868" s="83"/>
      <c r="L868" s="83"/>
      <c r="M868" s="70"/>
      <c r="N868" s="70"/>
      <c r="O868" s="70"/>
      <c r="P868" s="70"/>
      <c r="Q868" s="70"/>
      <c r="R868" s="70"/>
      <c r="S868" s="70"/>
      <c r="T868" s="70"/>
      <c r="U868" s="70"/>
      <c r="V868" s="70"/>
      <c r="W868" s="70"/>
      <c r="X868" s="70"/>
      <c r="Y868" s="70"/>
      <c r="Z868" s="70"/>
    </row>
    <row r="869">
      <c r="A869" s="78"/>
      <c r="B869" s="78"/>
      <c r="C869" s="80"/>
      <c r="D869" s="80"/>
      <c r="E869" s="82"/>
      <c r="F869" s="82"/>
      <c r="G869" s="82"/>
      <c r="H869" s="82"/>
      <c r="I869" s="34"/>
      <c r="J869" s="83"/>
      <c r="K869" s="83"/>
      <c r="L869" s="83"/>
      <c r="M869" s="70"/>
      <c r="N869" s="70"/>
      <c r="O869" s="70"/>
      <c r="P869" s="70"/>
      <c r="Q869" s="70"/>
      <c r="R869" s="70"/>
      <c r="S869" s="70"/>
      <c r="T869" s="70"/>
      <c r="U869" s="70"/>
      <c r="V869" s="70"/>
      <c r="W869" s="70"/>
      <c r="X869" s="70"/>
      <c r="Y869" s="70"/>
      <c r="Z869" s="70"/>
    </row>
    <row r="870">
      <c r="A870" s="78"/>
      <c r="B870" s="78"/>
      <c r="C870" s="80"/>
      <c r="D870" s="80"/>
      <c r="E870" s="82"/>
      <c r="F870" s="82"/>
      <c r="G870" s="82"/>
      <c r="H870" s="82"/>
      <c r="I870" s="34"/>
      <c r="J870" s="83"/>
      <c r="K870" s="83"/>
      <c r="L870" s="83"/>
      <c r="M870" s="70"/>
      <c r="N870" s="70"/>
      <c r="O870" s="70"/>
      <c r="P870" s="70"/>
      <c r="Q870" s="70"/>
      <c r="R870" s="70"/>
      <c r="S870" s="70"/>
      <c r="T870" s="70"/>
      <c r="U870" s="70"/>
      <c r="V870" s="70"/>
      <c r="W870" s="70"/>
      <c r="X870" s="70"/>
      <c r="Y870" s="70"/>
      <c r="Z870" s="70"/>
    </row>
    <row r="871">
      <c r="A871" s="78"/>
      <c r="B871" s="78"/>
      <c r="C871" s="80"/>
      <c r="D871" s="80"/>
      <c r="E871" s="82"/>
      <c r="F871" s="82"/>
      <c r="G871" s="82"/>
      <c r="H871" s="82"/>
      <c r="I871" s="34"/>
      <c r="J871" s="83"/>
      <c r="K871" s="83"/>
      <c r="L871" s="83"/>
      <c r="M871" s="70"/>
      <c r="N871" s="70"/>
      <c r="O871" s="70"/>
      <c r="P871" s="70"/>
      <c r="Q871" s="70"/>
      <c r="R871" s="70"/>
      <c r="S871" s="70"/>
      <c r="T871" s="70"/>
      <c r="U871" s="70"/>
      <c r="V871" s="70"/>
      <c r="W871" s="70"/>
      <c r="X871" s="70"/>
      <c r="Y871" s="70"/>
      <c r="Z871" s="70"/>
    </row>
    <row r="872">
      <c r="A872" s="78"/>
      <c r="B872" s="78"/>
      <c r="C872" s="80"/>
      <c r="D872" s="80"/>
      <c r="E872" s="82"/>
      <c r="F872" s="82"/>
      <c r="G872" s="82"/>
      <c r="H872" s="82"/>
      <c r="I872" s="34"/>
      <c r="J872" s="83"/>
      <c r="K872" s="83"/>
      <c r="L872" s="83"/>
      <c r="M872" s="70"/>
      <c r="N872" s="70"/>
      <c r="O872" s="70"/>
      <c r="P872" s="70"/>
      <c r="Q872" s="70"/>
      <c r="R872" s="70"/>
      <c r="S872" s="70"/>
      <c r="T872" s="70"/>
      <c r="U872" s="70"/>
      <c r="V872" s="70"/>
      <c r="W872" s="70"/>
      <c r="X872" s="70"/>
      <c r="Y872" s="70"/>
      <c r="Z872" s="70"/>
    </row>
    <row r="873">
      <c r="A873" s="78"/>
      <c r="B873" s="78"/>
      <c r="C873" s="80"/>
      <c r="D873" s="80"/>
      <c r="E873" s="82"/>
      <c r="F873" s="82"/>
      <c r="G873" s="82"/>
      <c r="H873" s="82"/>
      <c r="I873" s="34"/>
      <c r="J873" s="83"/>
      <c r="K873" s="83"/>
      <c r="L873" s="83"/>
      <c r="M873" s="70"/>
      <c r="N873" s="70"/>
      <c r="O873" s="70"/>
      <c r="P873" s="70"/>
      <c r="Q873" s="70"/>
      <c r="R873" s="70"/>
      <c r="S873" s="70"/>
      <c r="T873" s="70"/>
      <c r="U873" s="70"/>
      <c r="V873" s="70"/>
      <c r="W873" s="70"/>
      <c r="X873" s="70"/>
      <c r="Y873" s="70"/>
      <c r="Z873" s="70"/>
    </row>
    <row r="874">
      <c r="A874" s="78"/>
      <c r="B874" s="78"/>
      <c r="C874" s="80"/>
      <c r="D874" s="80"/>
      <c r="E874" s="82"/>
      <c r="F874" s="82"/>
      <c r="G874" s="82"/>
      <c r="H874" s="82"/>
      <c r="I874" s="34"/>
      <c r="J874" s="83"/>
      <c r="K874" s="83"/>
      <c r="L874" s="83"/>
      <c r="M874" s="70"/>
      <c r="N874" s="70"/>
      <c r="O874" s="70"/>
      <c r="P874" s="70"/>
      <c r="Q874" s="70"/>
      <c r="R874" s="70"/>
      <c r="S874" s="70"/>
      <c r="T874" s="70"/>
      <c r="U874" s="70"/>
      <c r="V874" s="70"/>
      <c r="W874" s="70"/>
      <c r="X874" s="70"/>
      <c r="Y874" s="70"/>
      <c r="Z874" s="70"/>
    </row>
    <row r="875">
      <c r="A875" s="78"/>
      <c r="B875" s="78"/>
      <c r="C875" s="80"/>
      <c r="D875" s="80"/>
      <c r="E875" s="82"/>
      <c r="F875" s="82"/>
      <c r="G875" s="82"/>
      <c r="H875" s="82"/>
      <c r="I875" s="34"/>
      <c r="J875" s="83"/>
      <c r="K875" s="83"/>
      <c r="L875" s="83"/>
      <c r="M875" s="70"/>
      <c r="N875" s="70"/>
      <c r="O875" s="70"/>
      <c r="P875" s="70"/>
      <c r="Q875" s="70"/>
      <c r="R875" s="70"/>
      <c r="S875" s="70"/>
      <c r="T875" s="70"/>
      <c r="U875" s="70"/>
      <c r="V875" s="70"/>
      <c r="W875" s="70"/>
      <c r="X875" s="70"/>
      <c r="Y875" s="70"/>
      <c r="Z875" s="70"/>
    </row>
    <row r="876">
      <c r="A876" s="78"/>
      <c r="B876" s="78"/>
      <c r="C876" s="80"/>
      <c r="D876" s="80"/>
      <c r="E876" s="82"/>
      <c r="F876" s="82"/>
      <c r="G876" s="82"/>
      <c r="H876" s="82"/>
      <c r="I876" s="34"/>
      <c r="J876" s="83"/>
      <c r="K876" s="83"/>
      <c r="L876" s="83"/>
      <c r="M876" s="70"/>
      <c r="N876" s="70"/>
      <c r="O876" s="70"/>
      <c r="P876" s="70"/>
      <c r="Q876" s="70"/>
      <c r="R876" s="70"/>
      <c r="S876" s="70"/>
      <c r="T876" s="70"/>
      <c r="U876" s="70"/>
      <c r="V876" s="70"/>
      <c r="W876" s="70"/>
      <c r="X876" s="70"/>
      <c r="Y876" s="70"/>
      <c r="Z876" s="70"/>
    </row>
    <row r="877">
      <c r="A877" s="78"/>
      <c r="B877" s="78"/>
      <c r="C877" s="80"/>
      <c r="D877" s="80"/>
      <c r="E877" s="82"/>
      <c r="F877" s="82"/>
      <c r="G877" s="82"/>
      <c r="H877" s="82"/>
      <c r="I877" s="34"/>
      <c r="J877" s="83"/>
      <c r="K877" s="83"/>
      <c r="L877" s="83"/>
      <c r="M877" s="70"/>
      <c r="N877" s="70"/>
      <c r="O877" s="70"/>
      <c r="P877" s="70"/>
      <c r="Q877" s="70"/>
      <c r="R877" s="70"/>
      <c r="S877" s="70"/>
      <c r="T877" s="70"/>
      <c r="U877" s="70"/>
      <c r="V877" s="70"/>
      <c r="W877" s="70"/>
      <c r="X877" s="70"/>
      <c r="Y877" s="70"/>
      <c r="Z877" s="70"/>
    </row>
    <row r="878">
      <c r="A878" s="78"/>
      <c r="B878" s="78"/>
      <c r="C878" s="80"/>
      <c r="D878" s="80"/>
      <c r="E878" s="82"/>
      <c r="F878" s="82"/>
      <c r="G878" s="82"/>
      <c r="H878" s="82"/>
      <c r="I878" s="34"/>
      <c r="J878" s="83"/>
      <c r="K878" s="83"/>
      <c r="L878" s="83"/>
      <c r="M878" s="70"/>
      <c r="N878" s="70"/>
      <c r="O878" s="70"/>
      <c r="P878" s="70"/>
      <c r="Q878" s="70"/>
      <c r="R878" s="70"/>
      <c r="S878" s="70"/>
      <c r="T878" s="70"/>
      <c r="U878" s="70"/>
      <c r="V878" s="70"/>
      <c r="W878" s="70"/>
      <c r="X878" s="70"/>
      <c r="Y878" s="70"/>
      <c r="Z878" s="70"/>
    </row>
    <row r="879">
      <c r="A879" s="78"/>
      <c r="B879" s="78"/>
      <c r="C879" s="80"/>
      <c r="D879" s="80"/>
      <c r="E879" s="82"/>
      <c r="F879" s="82"/>
      <c r="G879" s="82"/>
      <c r="H879" s="82"/>
      <c r="I879" s="34"/>
      <c r="J879" s="83"/>
      <c r="K879" s="83"/>
      <c r="L879" s="83"/>
      <c r="M879" s="70"/>
      <c r="N879" s="70"/>
      <c r="O879" s="70"/>
      <c r="P879" s="70"/>
      <c r="Q879" s="70"/>
      <c r="R879" s="70"/>
      <c r="S879" s="70"/>
      <c r="T879" s="70"/>
      <c r="U879" s="70"/>
      <c r="V879" s="70"/>
      <c r="W879" s="70"/>
      <c r="X879" s="70"/>
      <c r="Y879" s="70"/>
      <c r="Z879" s="70"/>
    </row>
    <row r="880">
      <c r="A880" s="78"/>
      <c r="B880" s="78"/>
      <c r="C880" s="80"/>
      <c r="D880" s="80"/>
      <c r="E880" s="82"/>
      <c r="F880" s="82"/>
      <c r="G880" s="82"/>
      <c r="H880" s="82"/>
      <c r="I880" s="34"/>
      <c r="J880" s="83"/>
      <c r="K880" s="83"/>
      <c r="L880" s="83"/>
      <c r="M880" s="70"/>
      <c r="N880" s="70"/>
      <c r="O880" s="70"/>
      <c r="P880" s="70"/>
      <c r="Q880" s="70"/>
      <c r="R880" s="70"/>
      <c r="S880" s="70"/>
      <c r="T880" s="70"/>
      <c r="U880" s="70"/>
      <c r="V880" s="70"/>
      <c r="W880" s="70"/>
      <c r="X880" s="70"/>
      <c r="Y880" s="70"/>
      <c r="Z880" s="70"/>
    </row>
    <row r="881">
      <c r="A881" s="78"/>
      <c r="B881" s="78"/>
      <c r="C881" s="80"/>
      <c r="D881" s="80"/>
      <c r="E881" s="82"/>
      <c r="F881" s="82"/>
      <c r="G881" s="82"/>
      <c r="H881" s="82"/>
      <c r="I881" s="34"/>
      <c r="J881" s="83"/>
      <c r="K881" s="83"/>
      <c r="L881" s="83"/>
      <c r="M881" s="70"/>
      <c r="N881" s="70"/>
      <c r="O881" s="70"/>
      <c r="P881" s="70"/>
      <c r="Q881" s="70"/>
      <c r="R881" s="70"/>
      <c r="S881" s="70"/>
      <c r="T881" s="70"/>
      <c r="U881" s="70"/>
      <c r="V881" s="70"/>
      <c r="W881" s="70"/>
      <c r="X881" s="70"/>
      <c r="Y881" s="70"/>
      <c r="Z881" s="70"/>
    </row>
    <row r="882">
      <c r="A882" s="78"/>
      <c r="B882" s="78"/>
      <c r="C882" s="80"/>
      <c r="D882" s="80"/>
      <c r="E882" s="82"/>
      <c r="F882" s="82"/>
      <c r="G882" s="82"/>
      <c r="H882" s="82"/>
      <c r="I882" s="34"/>
      <c r="J882" s="83"/>
      <c r="K882" s="83"/>
      <c r="L882" s="83"/>
      <c r="M882" s="70"/>
      <c r="N882" s="70"/>
      <c r="O882" s="70"/>
      <c r="P882" s="70"/>
      <c r="Q882" s="70"/>
      <c r="R882" s="70"/>
      <c r="S882" s="70"/>
      <c r="T882" s="70"/>
      <c r="U882" s="70"/>
      <c r="V882" s="70"/>
      <c r="W882" s="70"/>
      <c r="X882" s="70"/>
      <c r="Y882" s="70"/>
      <c r="Z882" s="70"/>
    </row>
    <row r="883">
      <c r="A883" s="78"/>
      <c r="B883" s="78"/>
      <c r="C883" s="80"/>
      <c r="D883" s="80"/>
      <c r="E883" s="82"/>
      <c r="F883" s="82"/>
      <c r="G883" s="82"/>
      <c r="H883" s="82"/>
      <c r="I883" s="34"/>
      <c r="J883" s="83"/>
      <c r="K883" s="83"/>
      <c r="L883" s="83"/>
      <c r="M883" s="70"/>
      <c r="N883" s="70"/>
      <c r="O883" s="70"/>
      <c r="P883" s="70"/>
      <c r="Q883" s="70"/>
      <c r="R883" s="70"/>
      <c r="S883" s="70"/>
      <c r="T883" s="70"/>
      <c r="U883" s="70"/>
      <c r="V883" s="70"/>
      <c r="W883" s="70"/>
      <c r="X883" s="70"/>
      <c r="Y883" s="70"/>
      <c r="Z883" s="70"/>
    </row>
    <row r="884">
      <c r="A884" s="78"/>
      <c r="B884" s="78"/>
      <c r="C884" s="80"/>
      <c r="D884" s="80"/>
      <c r="E884" s="82"/>
      <c r="F884" s="82"/>
      <c r="G884" s="82"/>
      <c r="H884" s="82"/>
      <c r="I884" s="34"/>
      <c r="J884" s="83"/>
      <c r="K884" s="83"/>
      <c r="L884" s="83"/>
      <c r="M884" s="70"/>
      <c r="N884" s="70"/>
      <c r="O884" s="70"/>
      <c r="P884" s="70"/>
      <c r="Q884" s="70"/>
      <c r="R884" s="70"/>
      <c r="S884" s="70"/>
      <c r="T884" s="70"/>
      <c r="U884" s="70"/>
      <c r="V884" s="70"/>
      <c r="W884" s="70"/>
      <c r="X884" s="70"/>
      <c r="Y884" s="70"/>
      <c r="Z884" s="70"/>
    </row>
    <row r="885">
      <c r="A885" s="78"/>
      <c r="B885" s="78"/>
      <c r="C885" s="80"/>
      <c r="D885" s="80"/>
      <c r="E885" s="82"/>
      <c r="F885" s="82"/>
      <c r="G885" s="82"/>
      <c r="H885" s="82"/>
      <c r="I885" s="34"/>
      <c r="J885" s="83"/>
      <c r="K885" s="83"/>
      <c r="L885" s="83"/>
      <c r="M885" s="70"/>
      <c r="N885" s="70"/>
      <c r="O885" s="70"/>
      <c r="P885" s="70"/>
      <c r="Q885" s="70"/>
      <c r="R885" s="70"/>
      <c r="S885" s="70"/>
      <c r="T885" s="70"/>
      <c r="U885" s="70"/>
      <c r="V885" s="70"/>
      <c r="W885" s="70"/>
      <c r="X885" s="70"/>
      <c r="Y885" s="70"/>
      <c r="Z885" s="70"/>
    </row>
    <row r="886">
      <c r="A886" s="78"/>
      <c r="B886" s="78"/>
      <c r="C886" s="80"/>
      <c r="D886" s="80"/>
      <c r="E886" s="82"/>
      <c r="F886" s="82"/>
      <c r="G886" s="82"/>
      <c r="H886" s="82"/>
      <c r="I886" s="34"/>
      <c r="J886" s="83"/>
      <c r="K886" s="83"/>
      <c r="L886" s="83"/>
      <c r="M886" s="70"/>
      <c r="N886" s="70"/>
      <c r="O886" s="70"/>
      <c r="P886" s="70"/>
      <c r="Q886" s="70"/>
      <c r="R886" s="70"/>
      <c r="S886" s="70"/>
      <c r="T886" s="70"/>
      <c r="U886" s="70"/>
      <c r="V886" s="70"/>
      <c r="W886" s="70"/>
      <c r="X886" s="70"/>
      <c r="Y886" s="70"/>
      <c r="Z886" s="70"/>
    </row>
    <row r="887">
      <c r="A887" s="78"/>
      <c r="B887" s="78"/>
      <c r="C887" s="80"/>
      <c r="D887" s="80"/>
      <c r="E887" s="82"/>
      <c r="F887" s="82"/>
      <c r="G887" s="82"/>
      <c r="H887" s="82"/>
      <c r="I887" s="34"/>
      <c r="J887" s="83"/>
      <c r="K887" s="83"/>
      <c r="L887" s="83"/>
      <c r="M887" s="70"/>
      <c r="N887" s="70"/>
      <c r="O887" s="70"/>
      <c r="P887" s="70"/>
      <c r="Q887" s="70"/>
      <c r="R887" s="70"/>
      <c r="S887" s="70"/>
      <c r="T887" s="70"/>
      <c r="U887" s="70"/>
      <c r="V887" s="70"/>
      <c r="W887" s="70"/>
      <c r="X887" s="70"/>
      <c r="Y887" s="70"/>
      <c r="Z887" s="70"/>
    </row>
    <row r="888">
      <c r="A888" s="78"/>
      <c r="B888" s="78"/>
      <c r="C888" s="80"/>
      <c r="D888" s="80"/>
      <c r="E888" s="82"/>
      <c r="F888" s="82"/>
      <c r="G888" s="82"/>
      <c r="H888" s="82"/>
      <c r="I888" s="34"/>
      <c r="J888" s="83"/>
      <c r="K888" s="83"/>
      <c r="L888" s="83"/>
      <c r="M888" s="70"/>
      <c r="N888" s="70"/>
      <c r="O888" s="70"/>
      <c r="P888" s="70"/>
      <c r="Q888" s="70"/>
      <c r="R888" s="70"/>
      <c r="S888" s="70"/>
      <c r="T888" s="70"/>
      <c r="U888" s="70"/>
      <c r="V888" s="70"/>
      <c r="W888" s="70"/>
      <c r="X888" s="70"/>
      <c r="Y888" s="70"/>
      <c r="Z888" s="70"/>
    </row>
    <row r="889">
      <c r="A889" s="78"/>
      <c r="B889" s="78"/>
      <c r="C889" s="80"/>
      <c r="D889" s="80"/>
      <c r="E889" s="82"/>
      <c r="F889" s="82"/>
      <c r="G889" s="82"/>
      <c r="H889" s="82"/>
      <c r="I889" s="34"/>
      <c r="J889" s="83"/>
      <c r="K889" s="83"/>
      <c r="L889" s="83"/>
      <c r="M889" s="70"/>
      <c r="N889" s="70"/>
      <c r="O889" s="70"/>
      <c r="P889" s="70"/>
      <c r="Q889" s="70"/>
      <c r="R889" s="70"/>
      <c r="S889" s="70"/>
      <c r="T889" s="70"/>
      <c r="U889" s="70"/>
      <c r="V889" s="70"/>
      <c r="W889" s="70"/>
      <c r="X889" s="70"/>
      <c r="Y889" s="70"/>
      <c r="Z889" s="70"/>
    </row>
    <row r="890">
      <c r="A890" s="78"/>
      <c r="B890" s="78"/>
      <c r="C890" s="80"/>
      <c r="D890" s="80"/>
      <c r="E890" s="82"/>
      <c r="F890" s="82"/>
      <c r="G890" s="82"/>
      <c r="H890" s="82"/>
      <c r="I890" s="34"/>
      <c r="J890" s="83"/>
      <c r="K890" s="83"/>
      <c r="L890" s="83"/>
      <c r="M890" s="70"/>
      <c r="N890" s="70"/>
      <c r="O890" s="70"/>
      <c r="P890" s="70"/>
      <c r="Q890" s="70"/>
      <c r="R890" s="70"/>
      <c r="S890" s="70"/>
      <c r="T890" s="70"/>
      <c r="U890" s="70"/>
      <c r="V890" s="70"/>
      <c r="W890" s="70"/>
      <c r="X890" s="70"/>
      <c r="Y890" s="70"/>
      <c r="Z890" s="70"/>
    </row>
    <row r="891">
      <c r="A891" s="78"/>
      <c r="B891" s="78"/>
      <c r="C891" s="80"/>
      <c r="D891" s="80"/>
      <c r="E891" s="82"/>
      <c r="F891" s="82"/>
      <c r="G891" s="82"/>
      <c r="H891" s="82"/>
      <c r="I891" s="34"/>
      <c r="J891" s="83"/>
      <c r="K891" s="83"/>
      <c r="L891" s="83"/>
      <c r="M891" s="70"/>
      <c r="N891" s="70"/>
      <c r="O891" s="70"/>
      <c r="P891" s="70"/>
      <c r="Q891" s="70"/>
      <c r="R891" s="70"/>
      <c r="S891" s="70"/>
      <c r="T891" s="70"/>
      <c r="U891" s="70"/>
      <c r="V891" s="70"/>
      <c r="W891" s="70"/>
      <c r="X891" s="70"/>
      <c r="Y891" s="70"/>
      <c r="Z891" s="70"/>
    </row>
    <row r="892">
      <c r="A892" s="78"/>
      <c r="B892" s="78"/>
      <c r="C892" s="80"/>
      <c r="D892" s="80"/>
      <c r="E892" s="82"/>
      <c r="F892" s="82"/>
      <c r="G892" s="82"/>
      <c r="H892" s="82"/>
      <c r="I892" s="34"/>
      <c r="J892" s="83"/>
      <c r="K892" s="83"/>
      <c r="L892" s="83"/>
      <c r="M892" s="70"/>
      <c r="N892" s="70"/>
      <c r="O892" s="70"/>
      <c r="P892" s="70"/>
      <c r="Q892" s="70"/>
      <c r="R892" s="70"/>
      <c r="S892" s="70"/>
      <c r="T892" s="70"/>
      <c r="U892" s="70"/>
      <c r="V892" s="70"/>
      <c r="W892" s="70"/>
      <c r="X892" s="70"/>
      <c r="Y892" s="70"/>
      <c r="Z892" s="70"/>
    </row>
    <row r="893">
      <c r="A893" s="78"/>
      <c r="B893" s="78"/>
      <c r="C893" s="80"/>
      <c r="D893" s="80"/>
      <c r="E893" s="82"/>
      <c r="F893" s="82"/>
      <c r="G893" s="82"/>
      <c r="H893" s="82"/>
      <c r="I893" s="34"/>
      <c r="J893" s="83"/>
      <c r="K893" s="83"/>
      <c r="L893" s="83"/>
      <c r="M893" s="70"/>
      <c r="N893" s="70"/>
      <c r="O893" s="70"/>
      <c r="P893" s="70"/>
      <c r="Q893" s="70"/>
      <c r="R893" s="70"/>
      <c r="S893" s="70"/>
      <c r="T893" s="70"/>
      <c r="U893" s="70"/>
      <c r="V893" s="70"/>
      <c r="W893" s="70"/>
      <c r="X893" s="70"/>
      <c r="Y893" s="70"/>
      <c r="Z893" s="70"/>
    </row>
    <row r="894">
      <c r="A894" s="78"/>
      <c r="B894" s="78"/>
      <c r="C894" s="80"/>
      <c r="D894" s="80"/>
      <c r="E894" s="82"/>
      <c r="F894" s="82"/>
      <c r="G894" s="82"/>
      <c r="H894" s="82"/>
      <c r="I894" s="34"/>
      <c r="J894" s="83"/>
      <c r="K894" s="83"/>
      <c r="L894" s="83"/>
      <c r="M894" s="70"/>
      <c r="N894" s="70"/>
      <c r="O894" s="70"/>
      <c r="P894" s="70"/>
      <c r="Q894" s="70"/>
      <c r="R894" s="70"/>
      <c r="S894" s="70"/>
      <c r="T894" s="70"/>
      <c r="U894" s="70"/>
      <c r="V894" s="70"/>
      <c r="W894" s="70"/>
      <c r="X894" s="70"/>
      <c r="Y894" s="70"/>
      <c r="Z894" s="70"/>
    </row>
    <row r="895">
      <c r="A895" s="78"/>
      <c r="B895" s="78"/>
      <c r="C895" s="80"/>
      <c r="D895" s="80"/>
      <c r="E895" s="82"/>
      <c r="F895" s="82"/>
      <c r="G895" s="82"/>
      <c r="H895" s="82"/>
      <c r="I895" s="34"/>
      <c r="J895" s="83"/>
      <c r="K895" s="83"/>
      <c r="L895" s="83"/>
      <c r="M895" s="70"/>
      <c r="N895" s="70"/>
      <c r="O895" s="70"/>
      <c r="P895" s="70"/>
      <c r="Q895" s="70"/>
      <c r="R895" s="70"/>
      <c r="S895" s="70"/>
      <c r="T895" s="70"/>
      <c r="U895" s="70"/>
      <c r="V895" s="70"/>
      <c r="W895" s="70"/>
      <c r="X895" s="70"/>
      <c r="Y895" s="70"/>
      <c r="Z895" s="70"/>
    </row>
    <row r="896">
      <c r="A896" s="78"/>
      <c r="B896" s="78"/>
      <c r="C896" s="80"/>
      <c r="D896" s="80"/>
      <c r="E896" s="82"/>
      <c r="F896" s="82"/>
      <c r="G896" s="82"/>
      <c r="H896" s="82"/>
      <c r="I896" s="34"/>
      <c r="J896" s="83"/>
      <c r="K896" s="83"/>
      <c r="L896" s="83"/>
      <c r="M896" s="70"/>
      <c r="N896" s="70"/>
      <c r="O896" s="70"/>
      <c r="P896" s="70"/>
      <c r="Q896" s="70"/>
      <c r="R896" s="70"/>
      <c r="S896" s="70"/>
      <c r="T896" s="70"/>
      <c r="U896" s="70"/>
      <c r="V896" s="70"/>
      <c r="W896" s="70"/>
      <c r="X896" s="70"/>
      <c r="Y896" s="70"/>
      <c r="Z896" s="70"/>
    </row>
    <row r="897">
      <c r="A897" s="78"/>
      <c r="B897" s="78"/>
      <c r="C897" s="80"/>
      <c r="D897" s="80"/>
      <c r="E897" s="82"/>
      <c r="F897" s="82"/>
      <c r="G897" s="82"/>
      <c r="H897" s="82"/>
      <c r="I897" s="34"/>
      <c r="J897" s="83"/>
      <c r="K897" s="83"/>
      <c r="L897" s="83"/>
      <c r="M897" s="70"/>
      <c r="N897" s="70"/>
      <c r="O897" s="70"/>
      <c r="P897" s="70"/>
      <c r="Q897" s="70"/>
      <c r="R897" s="70"/>
      <c r="S897" s="70"/>
      <c r="T897" s="70"/>
      <c r="U897" s="70"/>
      <c r="V897" s="70"/>
      <c r="W897" s="70"/>
      <c r="X897" s="70"/>
      <c r="Y897" s="70"/>
      <c r="Z897" s="70"/>
    </row>
    <row r="898">
      <c r="A898" s="78"/>
      <c r="B898" s="78"/>
      <c r="C898" s="80"/>
      <c r="D898" s="80"/>
      <c r="E898" s="82"/>
      <c r="F898" s="82"/>
      <c r="G898" s="82"/>
      <c r="H898" s="82"/>
      <c r="I898" s="34"/>
      <c r="J898" s="83"/>
      <c r="K898" s="83"/>
      <c r="L898" s="83"/>
      <c r="M898" s="70"/>
      <c r="N898" s="70"/>
      <c r="O898" s="70"/>
      <c r="P898" s="70"/>
      <c r="Q898" s="70"/>
      <c r="R898" s="70"/>
      <c r="S898" s="70"/>
      <c r="T898" s="70"/>
      <c r="U898" s="70"/>
      <c r="V898" s="70"/>
      <c r="W898" s="70"/>
      <c r="X898" s="70"/>
      <c r="Y898" s="70"/>
      <c r="Z898" s="70"/>
    </row>
    <row r="899">
      <c r="A899" s="78"/>
      <c r="B899" s="78"/>
      <c r="C899" s="80"/>
      <c r="D899" s="80"/>
      <c r="E899" s="82"/>
      <c r="F899" s="82"/>
      <c r="G899" s="82"/>
      <c r="H899" s="82"/>
      <c r="I899" s="34"/>
      <c r="J899" s="83"/>
      <c r="K899" s="83"/>
      <c r="L899" s="83"/>
      <c r="M899" s="70"/>
      <c r="N899" s="70"/>
      <c r="O899" s="70"/>
      <c r="P899" s="70"/>
      <c r="Q899" s="70"/>
      <c r="R899" s="70"/>
      <c r="S899" s="70"/>
      <c r="T899" s="70"/>
      <c r="U899" s="70"/>
      <c r="V899" s="70"/>
      <c r="W899" s="70"/>
      <c r="X899" s="70"/>
      <c r="Y899" s="70"/>
      <c r="Z899" s="70"/>
    </row>
    <row r="900">
      <c r="A900" s="78"/>
      <c r="B900" s="78"/>
      <c r="C900" s="80"/>
      <c r="D900" s="80"/>
      <c r="E900" s="82"/>
      <c r="F900" s="82"/>
      <c r="G900" s="82"/>
      <c r="H900" s="82"/>
      <c r="I900" s="34"/>
      <c r="J900" s="83"/>
      <c r="K900" s="83"/>
      <c r="L900" s="83"/>
      <c r="M900" s="70"/>
      <c r="N900" s="70"/>
      <c r="O900" s="70"/>
      <c r="P900" s="70"/>
      <c r="Q900" s="70"/>
      <c r="R900" s="70"/>
      <c r="S900" s="70"/>
      <c r="T900" s="70"/>
      <c r="U900" s="70"/>
      <c r="V900" s="70"/>
      <c r="W900" s="70"/>
      <c r="X900" s="70"/>
      <c r="Y900" s="70"/>
      <c r="Z900" s="70"/>
    </row>
    <row r="901">
      <c r="A901" s="78"/>
      <c r="B901" s="78"/>
      <c r="C901" s="80"/>
      <c r="D901" s="80"/>
      <c r="E901" s="82"/>
      <c r="F901" s="82"/>
      <c r="G901" s="82"/>
      <c r="H901" s="82"/>
      <c r="I901" s="34"/>
      <c r="J901" s="83"/>
      <c r="K901" s="83"/>
      <c r="L901" s="83"/>
      <c r="M901" s="70"/>
      <c r="N901" s="70"/>
      <c r="O901" s="70"/>
      <c r="P901" s="70"/>
      <c r="Q901" s="70"/>
      <c r="R901" s="70"/>
      <c r="S901" s="70"/>
      <c r="T901" s="70"/>
      <c r="U901" s="70"/>
      <c r="V901" s="70"/>
      <c r="W901" s="70"/>
      <c r="X901" s="70"/>
      <c r="Y901" s="70"/>
      <c r="Z901" s="70"/>
    </row>
    <row r="902">
      <c r="A902" s="78"/>
      <c r="B902" s="78"/>
      <c r="C902" s="80"/>
      <c r="D902" s="80"/>
      <c r="E902" s="82"/>
      <c r="F902" s="82"/>
      <c r="G902" s="82"/>
      <c r="H902" s="82"/>
      <c r="I902" s="34"/>
      <c r="J902" s="83"/>
      <c r="K902" s="83"/>
      <c r="L902" s="83"/>
      <c r="M902" s="70"/>
      <c r="N902" s="70"/>
      <c r="O902" s="70"/>
      <c r="P902" s="70"/>
      <c r="Q902" s="70"/>
      <c r="R902" s="70"/>
      <c r="S902" s="70"/>
      <c r="T902" s="70"/>
      <c r="U902" s="70"/>
      <c r="V902" s="70"/>
      <c r="W902" s="70"/>
      <c r="X902" s="70"/>
      <c r="Y902" s="70"/>
      <c r="Z902" s="70"/>
    </row>
    <row r="903">
      <c r="A903" s="78"/>
      <c r="B903" s="78"/>
      <c r="C903" s="80"/>
      <c r="D903" s="80"/>
      <c r="E903" s="82"/>
      <c r="F903" s="82"/>
      <c r="G903" s="82"/>
      <c r="H903" s="82"/>
      <c r="I903" s="34"/>
      <c r="J903" s="83"/>
      <c r="K903" s="83"/>
      <c r="L903" s="83"/>
      <c r="M903" s="70"/>
      <c r="N903" s="70"/>
      <c r="O903" s="70"/>
      <c r="P903" s="70"/>
      <c r="Q903" s="70"/>
      <c r="R903" s="70"/>
      <c r="S903" s="70"/>
      <c r="T903" s="70"/>
      <c r="U903" s="70"/>
      <c r="V903" s="70"/>
      <c r="W903" s="70"/>
      <c r="X903" s="70"/>
      <c r="Y903" s="70"/>
      <c r="Z903" s="70"/>
    </row>
    <row r="904">
      <c r="A904" s="78"/>
      <c r="B904" s="78"/>
      <c r="C904" s="80"/>
      <c r="D904" s="80"/>
      <c r="E904" s="82"/>
      <c r="F904" s="82"/>
      <c r="G904" s="82"/>
      <c r="H904" s="82"/>
      <c r="I904" s="34"/>
      <c r="J904" s="83"/>
      <c r="K904" s="83"/>
      <c r="L904" s="83"/>
      <c r="M904" s="70"/>
      <c r="N904" s="70"/>
      <c r="O904" s="70"/>
      <c r="P904" s="70"/>
      <c r="Q904" s="70"/>
      <c r="R904" s="70"/>
      <c r="S904" s="70"/>
      <c r="T904" s="70"/>
      <c r="U904" s="70"/>
      <c r="V904" s="70"/>
      <c r="W904" s="70"/>
      <c r="X904" s="70"/>
      <c r="Y904" s="70"/>
      <c r="Z904" s="70"/>
    </row>
    <row r="905">
      <c r="A905" s="78"/>
      <c r="B905" s="78"/>
      <c r="C905" s="80"/>
      <c r="D905" s="80"/>
      <c r="E905" s="82"/>
      <c r="F905" s="82"/>
      <c r="G905" s="82"/>
      <c r="H905" s="82"/>
      <c r="I905" s="34"/>
      <c r="J905" s="83"/>
      <c r="K905" s="83"/>
      <c r="L905" s="83"/>
      <c r="M905" s="70"/>
      <c r="N905" s="70"/>
      <c r="O905" s="70"/>
      <c r="P905" s="70"/>
      <c r="Q905" s="70"/>
      <c r="R905" s="70"/>
      <c r="S905" s="70"/>
      <c r="T905" s="70"/>
      <c r="U905" s="70"/>
      <c r="V905" s="70"/>
      <c r="W905" s="70"/>
      <c r="X905" s="70"/>
      <c r="Y905" s="70"/>
      <c r="Z905" s="70"/>
    </row>
    <row r="906">
      <c r="A906" s="78"/>
      <c r="B906" s="78"/>
      <c r="C906" s="80"/>
      <c r="D906" s="80"/>
      <c r="E906" s="82"/>
      <c r="F906" s="82"/>
      <c r="G906" s="82"/>
      <c r="H906" s="82"/>
      <c r="I906" s="34"/>
      <c r="J906" s="83"/>
      <c r="K906" s="83"/>
      <c r="L906" s="83"/>
      <c r="M906" s="70"/>
      <c r="N906" s="70"/>
      <c r="O906" s="70"/>
      <c r="P906" s="70"/>
      <c r="Q906" s="70"/>
      <c r="R906" s="70"/>
      <c r="S906" s="70"/>
      <c r="T906" s="70"/>
      <c r="U906" s="70"/>
      <c r="V906" s="70"/>
      <c r="W906" s="70"/>
      <c r="X906" s="70"/>
      <c r="Y906" s="70"/>
      <c r="Z906" s="70"/>
    </row>
    <row r="907">
      <c r="A907" s="78"/>
      <c r="B907" s="78"/>
      <c r="C907" s="80"/>
      <c r="D907" s="80"/>
      <c r="E907" s="82"/>
      <c r="F907" s="82"/>
      <c r="G907" s="82"/>
      <c r="H907" s="82"/>
      <c r="I907" s="34"/>
      <c r="J907" s="83"/>
      <c r="K907" s="83"/>
      <c r="L907" s="83"/>
      <c r="M907" s="70"/>
      <c r="N907" s="70"/>
      <c r="O907" s="70"/>
      <c r="P907" s="70"/>
      <c r="Q907" s="70"/>
      <c r="R907" s="70"/>
      <c r="S907" s="70"/>
      <c r="T907" s="70"/>
      <c r="U907" s="70"/>
      <c r="V907" s="70"/>
      <c r="W907" s="70"/>
      <c r="X907" s="70"/>
      <c r="Y907" s="70"/>
      <c r="Z907" s="70"/>
    </row>
    <row r="908">
      <c r="A908" s="78"/>
      <c r="B908" s="78"/>
      <c r="C908" s="80"/>
      <c r="D908" s="80"/>
      <c r="E908" s="82"/>
      <c r="F908" s="82"/>
      <c r="G908" s="82"/>
      <c r="H908" s="82"/>
      <c r="I908" s="34"/>
      <c r="J908" s="83"/>
      <c r="K908" s="83"/>
      <c r="L908" s="83"/>
      <c r="M908" s="70"/>
      <c r="N908" s="70"/>
      <c r="O908" s="70"/>
      <c r="P908" s="70"/>
      <c r="Q908" s="70"/>
      <c r="R908" s="70"/>
      <c r="S908" s="70"/>
      <c r="T908" s="70"/>
      <c r="U908" s="70"/>
      <c r="V908" s="70"/>
      <c r="W908" s="70"/>
      <c r="X908" s="70"/>
      <c r="Y908" s="70"/>
      <c r="Z908" s="70"/>
    </row>
    <row r="909">
      <c r="A909" s="78"/>
      <c r="B909" s="78"/>
      <c r="C909" s="80"/>
      <c r="D909" s="80"/>
      <c r="E909" s="82"/>
      <c r="F909" s="82"/>
      <c r="G909" s="82"/>
      <c r="H909" s="82"/>
      <c r="I909" s="34"/>
      <c r="J909" s="83"/>
      <c r="K909" s="83"/>
      <c r="L909" s="83"/>
      <c r="M909" s="70"/>
      <c r="N909" s="70"/>
      <c r="O909" s="70"/>
      <c r="P909" s="70"/>
      <c r="Q909" s="70"/>
      <c r="R909" s="70"/>
      <c r="S909" s="70"/>
      <c r="T909" s="70"/>
      <c r="U909" s="70"/>
      <c r="V909" s="70"/>
      <c r="W909" s="70"/>
      <c r="X909" s="70"/>
      <c r="Y909" s="70"/>
      <c r="Z909" s="70"/>
    </row>
    <row r="910">
      <c r="A910" s="78"/>
      <c r="B910" s="78"/>
      <c r="C910" s="80"/>
      <c r="D910" s="80"/>
      <c r="E910" s="82"/>
      <c r="F910" s="82"/>
      <c r="G910" s="82"/>
      <c r="H910" s="82"/>
      <c r="I910" s="34"/>
      <c r="J910" s="83"/>
      <c r="K910" s="83"/>
      <c r="L910" s="83"/>
      <c r="M910" s="70"/>
      <c r="N910" s="70"/>
      <c r="O910" s="70"/>
      <c r="P910" s="70"/>
      <c r="Q910" s="70"/>
      <c r="R910" s="70"/>
      <c r="S910" s="70"/>
      <c r="T910" s="70"/>
      <c r="U910" s="70"/>
      <c r="V910" s="70"/>
      <c r="W910" s="70"/>
      <c r="X910" s="70"/>
      <c r="Y910" s="70"/>
      <c r="Z910" s="70"/>
    </row>
    <row r="911">
      <c r="A911" s="78"/>
      <c r="B911" s="78"/>
      <c r="C911" s="80"/>
      <c r="D911" s="80"/>
      <c r="E911" s="82"/>
      <c r="F911" s="82"/>
      <c r="G911" s="82"/>
      <c r="H911" s="82"/>
      <c r="I911" s="34"/>
      <c r="J911" s="83"/>
      <c r="K911" s="83"/>
      <c r="L911" s="83"/>
      <c r="M911" s="70"/>
      <c r="N911" s="70"/>
      <c r="O911" s="70"/>
      <c r="P911" s="70"/>
      <c r="Q911" s="70"/>
      <c r="R911" s="70"/>
      <c r="S911" s="70"/>
      <c r="T911" s="70"/>
      <c r="U911" s="70"/>
      <c r="V911" s="70"/>
      <c r="W911" s="70"/>
      <c r="X911" s="70"/>
      <c r="Y911" s="70"/>
      <c r="Z911" s="70"/>
    </row>
    <row r="912">
      <c r="A912" s="78"/>
      <c r="B912" s="78"/>
      <c r="C912" s="80"/>
      <c r="D912" s="80"/>
      <c r="E912" s="82"/>
      <c r="F912" s="82"/>
      <c r="G912" s="82"/>
      <c r="H912" s="82"/>
      <c r="I912" s="34"/>
      <c r="J912" s="83"/>
      <c r="K912" s="83"/>
      <c r="L912" s="83"/>
      <c r="M912" s="70"/>
      <c r="N912" s="70"/>
      <c r="O912" s="70"/>
      <c r="P912" s="70"/>
      <c r="Q912" s="70"/>
      <c r="R912" s="70"/>
      <c r="S912" s="70"/>
      <c r="T912" s="70"/>
      <c r="U912" s="70"/>
      <c r="V912" s="70"/>
      <c r="W912" s="70"/>
      <c r="X912" s="70"/>
      <c r="Y912" s="70"/>
      <c r="Z912" s="70"/>
    </row>
    <row r="913">
      <c r="A913" s="78"/>
      <c r="B913" s="78"/>
      <c r="C913" s="80"/>
      <c r="D913" s="80"/>
      <c r="E913" s="82"/>
      <c r="F913" s="82"/>
      <c r="G913" s="82"/>
      <c r="H913" s="82"/>
      <c r="I913" s="34"/>
      <c r="J913" s="83"/>
      <c r="K913" s="83"/>
      <c r="L913" s="83"/>
      <c r="M913" s="70"/>
      <c r="N913" s="70"/>
      <c r="O913" s="70"/>
      <c r="P913" s="70"/>
      <c r="Q913" s="70"/>
      <c r="R913" s="70"/>
      <c r="S913" s="70"/>
      <c r="T913" s="70"/>
      <c r="U913" s="70"/>
      <c r="V913" s="70"/>
      <c r="W913" s="70"/>
      <c r="X913" s="70"/>
      <c r="Y913" s="70"/>
      <c r="Z913" s="70"/>
    </row>
    <row r="914">
      <c r="A914" s="78"/>
      <c r="B914" s="78"/>
      <c r="C914" s="80"/>
      <c r="D914" s="80"/>
      <c r="E914" s="82"/>
      <c r="F914" s="82"/>
      <c r="G914" s="82"/>
      <c r="H914" s="82"/>
      <c r="I914" s="34"/>
      <c r="J914" s="83"/>
      <c r="K914" s="83"/>
      <c r="L914" s="83"/>
      <c r="M914" s="70"/>
      <c r="N914" s="70"/>
      <c r="O914" s="70"/>
      <c r="P914" s="70"/>
      <c r="Q914" s="70"/>
      <c r="R914" s="70"/>
      <c r="S914" s="70"/>
      <c r="T914" s="70"/>
      <c r="U914" s="70"/>
      <c r="V914" s="70"/>
      <c r="W914" s="70"/>
      <c r="X914" s="70"/>
      <c r="Y914" s="70"/>
      <c r="Z914" s="70"/>
    </row>
    <row r="915">
      <c r="A915" s="78"/>
      <c r="B915" s="78"/>
      <c r="C915" s="80"/>
      <c r="D915" s="80"/>
      <c r="E915" s="82"/>
      <c r="F915" s="82"/>
      <c r="G915" s="82"/>
      <c r="H915" s="82"/>
      <c r="I915" s="34"/>
      <c r="J915" s="83"/>
      <c r="K915" s="83"/>
      <c r="L915" s="83"/>
      <c r="M915" s="70"/>
      <c r="N915" s="70"/>
      <c r="O915" s="70"/>
      <c r="P915" s="70"/>
      <c r="Q915" s="70"/>
      <c r="R915" s="70"/>
      <c r="S915" s="70"/>
      <c r="T915" s="70"/>
      <c r="U915" s="70"/>
      <c r="V915" s="70"/>
      <c r="W915" s="70"/>
      <c r="X915" s="70"/>
      <c r="Y915" s="70"/>
      <c r="Z915" s="70"/>
    </row>
    <row r="916">
      <c r="A916" s="78"/>
      <c r="B916" s="78"/>
      <c r="C916" s="80"/>
      <c r="D916" s="80"/>
      <c r="E916" s="82"/>
      <c r="F916" s="82"/>
      <c r="G916" s="82"/>
      <c r="H916" s="82"/>
      <c r="I916" s="34"/>
      <c r="J916" s="83"/>
      <c r="K916" s="83"/>
      <c r="L916" s="83"/>
      <c r="M916" s="70"/>
      <c r="N916" s="70"/>
      <c r="O916" s="70"/>
      <c r="P916" s="70"/>
      <c r="Q916" s="70"/>
      <c r="R916" s="70"/>
      <c r="S916" s="70"/>
      <c r="T916" s="70"/>
      <c r="U916" s="70"/>
      <c r="V916" s="70"/>
      <c r="W916" s="70"/>
      <c r="X916" s="70"/>
      <c r="Y916" s="70"/>
      <c r="Z916" s="70"/>
    </row>
    <row r="917">
      <c r="A917" s="78"/>
      <c r="B917" s="78"/>
      <c r="C917" s="80"/>
      <c r="D917" s="80"/>
      <c r="E917" s="82"/>
      <c r="F917" s="82"/>
      <c r="G917" s="82"/>
      <c r="H917" s="82"/>
      <c r="I917" s="34"/>
      <c r="J917" s="83"/>
      <c r="K917" s="83"/>
      <c r="L917" s="83"/>
      <c r="M917" s="70"/>
      <c r="N917" s="70"/>
      <c r="O917" s="70"/>
      <c r="P917" s="70"/>
      <c r="Q917" s="70"/>
      <c r="R917" s="70"/>
      <c r="S917" s="70"/>
      <c r="T917" s="70"/>
      <c r="U917" s="70"/>
      <c r="V917" s="70"/>
      <c r="W917" s="70"/>
      <c r="X917" s="70"/>
      <c r="Y917" s="70"/>
      <c r="Z917" s="70"/>
    </row>
    <row r="918">
      <c r="A918" s="78"/>
      <c r="B918" s="78"/>
      <c r="C918" s="80"/>
      <c r="D918" s="80"/>
      <c r="E918" s="82"/>
      <c r="F918" s="82"/>
      <c r="G918" s="82"/>
      <c r="H918" s="82"/>
      <c r="I918" s="34"/>
      <c r="J918" s="83"/>
      <c r="K918" s="83"/>
      <c r="L918" s="83"/>
      <c r="M918" s="70"/>
      <c r="N918" s="70"/>
      <c r="O918" s="70"/>
      <c r="P918" s="70"/>
      <c r="Q918" s="70"/>
      <c r="R918" s="70"/>
      <c r="S918" s="70"/>
      <c r="T918" s="70"/>
      <c r="U918" s="70"/>
      <c r="V918" s="70"/>
      <c r="W918" s="70"/>
      <c r="X918" s="70"/>
      <c r="Y918" s="70"/>
      <c r="Z918" s="70"/>
    </row>
    <row r="919">
      <c r="A919" s="78"/>
      <c r="B919" s="78"/>
      <c r="C919" s="80"/>
      <c r="D919" s="80"/>
      <c r="E919" s="82"/>
      <c r="F919" s="82"/>
      <c r="G919" s="82"/>
      <c r="H919" s="82"/>
      <c r="I919" s="34"/>
      <c r="J919" s="83"/>
      <c r="K919" s="83"/>
      <c r="L919" s="83"/>
      <c r="M919" s="70"/>
      <c r="N919" s="70"/>
      <c r="O919" s="70"/>
      <c r="P919" s="70"/>
      <c r="Q919" s="70"/>
      <c r="R919" s="70"/>
      <c r="S919" s="70"/>
      <c r="T919" s="70"/>
      <c r="U919" s="70"/>
      <c r="V919" s="70"/>
      <c r="W919" s="70"/>
      <c r="X919" s="70"/>
      <c r="Y919" s="70"/>
      <c r="Z919" s="70"/>
    </row>
    <row r="920">
      <c r="A920" s="78"/>
      <c r="B920" s="78"/>
      <c r="C920" s="80"/>
      <c r="D920" s="80"/>
      <c r="E920" s="82"/>
      <c r="F920" s="82"/>
      <c r="G920" s="82"/>
      <c r="H920" s="82"/>
      <c r="I920" s="34"/>
      <c r="J920" s="83"/>
      <c r="K920" s="83"/>
      <c r="L920" s="83"/>
      <c r="M920" s="70"/>
      <c r="N920" s="70"/>
      <c r="O920" s="70"/>
      <c r="P920" s="70"/>
      <c r="Q920" s="70"/>
      <c r="R920" s="70"/>
      <c r="S920" s="70"/>
      <c r="T920" s="70"/>
      <c r="U920" s="70"/>
      <c r="V920" s="70"/>
      <c r="W920" s="70"/>
      <c r="X920" s="70"/>
      <c r="Y920" s="70"/>
      <c r="Z920" s="70"/>
    </row>
    <row r="921">
      <c r="A921" s="78"/>
      <c r="B921" s="78"/>
      <c r="C921" s="80"/>
      <c r="D921" s="80"/>
      <c r="E921" s="82"/>
      <c r="F921" s="82"/>
      <c r="G921" s="82"/>
      <c r="H921" s="82"/>
      <c r="I921" s="34"/>
      <c r="J921" s="83"/>
      <c r="K921" s="83"/>
      <c r="L921" s="83"/>
      <c r="M921" s="70"/>
      <c r="N921" s="70"/>
      <c r="O921" s="70"/>
      <c r="P921" s="70"/>
      <c r="Q921" s="70"/>
      <c r="R921" s="70"/>
      <c r="S921" s="70"/>
      <c r="T921" s="70"/>
      <c r="U921" s="70"/>
      <c r="V921" s="70"/>
      <c r="W921" s="70"/>
      <c r="X921" s="70"/>
      <c r="Y921" s="70"/>
      <c r="Z921" s="70"/>
    </row>
    <row r="922">
      <c r="A922" s="78"/>
      <c r="B922" s="78"/>
      <c r="C922" s="80"/>
      <c r="D922" s="80"/>
      <c r="E922" s="82"/>
      <c r="F922" s="82"/>
      <c r="G922" s="82"/>
      <c r="H922" s="82"/>
      <c r="I922" s="34"/>
      <c r="J922" s="83"/>
      <c r="K922" s="83"/>
      <c r="L922" s="83"/>
      <c r="M922" s="70"/>
      <c r="N922" s="70"/>
      <c r="O922" s="70"/>
      <c r="P922" s="70"/>
      <c r="Q922" s="70"/>
      <c r="R922" s="70"/>
      <c r="S922" s="70"/>
      <c r="T922" s="70"/>
      <c r="U922" s="70"/>
      <c r="V922" s="70"/>
      <c r="W922" s="70"/>
      <c r="X922" s="70"/>
      <c r="Y922" s="70"/>
      <c r="Z922" s="70"/>
    </row>
    <row r="923">
      <c r="A923" s="78"/>
      <c r="B923" s="78"/>
      <c r="C923" s="80"/>
      <c r="D923" s="80"/>
      <c r="E923" s="82"/>
      <c r="F923" s="82"/>
      <c r="G923" s="82"/>
      <c r="H923" s="82"/>
      <c r="I923" s="34"/>
      <c r="J923" s="83"/>
      <c r="K923" s="83"/>
      <c r="L923" s="83"/>
      <c r="M923" s="70"/>
      <c r="N923" s="70"/>
      <c r="O923" s="70"/>
      <c r="P923" s="70"/>
      <c r="Q923" s="70"/>
      <c r="R923" s="70"/>
      <c r="S923" s="70"/>
      <c r="T923" s="70"/>
      <c r="U923" s="70"/>
      <c r="V923" s="70"/>
      <c r="W923" s="70"/>
      <c r="X923" s="70"/>
      <c r="Y923" s="70"/>
      <c r="Z923" s="70"/>
    </row>
    <row r="924">
      <c r="A924" s="78"/>
      <c r="B924" s="78"/>
      <c r="C924" s="80"/>
      <c r="D924" s="80"/>
      <c r="E924" s="82"/>
      <c r="F924" s="82"/>
      <c r="G924" s="82"/>
      <c r="H924" s="82"/>
      <c r="I924" s="34"/>
      <c r="J924" s="83"/>
      <c r="K924" s="83"/>
      <c r="L924" s="83"/>
      <c r="M924" s="70"/>
      <c r="N924" s="70"/>
      <c r="O924" s="70"/>
      <c r="P924" s="70"/>
      <c r="Q924" s="70"/>
      <c r="R924" s="70"/>
      <c r="S924" s="70"/>
      <c r="T924" s="70"/>
      <c r="U924" s="70"/>
      <c r="V924" s="70"/>
      <c r="W924" s="70"/>
      <c r="X924" s="70"/>
      <c r="Y924" s="70"/>
      <c r="Z924" s="70"/>
    </row>
    <row r="925">
      <c r="A925" s="78"/>
      <c r="B925" s="78"/>
      <c r="C925" s="80"/>
      <c r="D925" s="80"/>
      <c r="E925" s="82"/>
      <c r="F925" s="82"/>
      <c r="G925" s="82"/>
      <c r="H925" s="82"/>
      <c r="I925" s="34"/>
      <c r="J925" s="83"/>
      <c r="K925" s="83"/>
      <c r="L925" s="83"/>
      <c r="M925" s="70"/>
      <c r="N925" s="70"/>
      <c r="O925" s="70"/>
      <c r="P925" s="70"/>
      <c r="Q925" s="70"/>
      <c r="R925" s="70"/>
      <c r="S925" s="70"/>
      <c r="T925" s="70"/>
      <c r="U925" s="70"/>
      <c r="V925" s="70"/>
      <c r="W925" s="70"/>
      <c r="X925" s="70"/>
      <c r="Y925" s="70"/>
      <c r="Z925" s="70"/>
    </row>
    <row r="926">
      <c r="A926" s="78"/>
      <c r="B926" s="78"/>
      <c r="C926" s="80"/>
      <c r="D926" s="80"/>
      <c r="E926" s="82"/>
      <c r="F926" s="82"/>
      <c r="G926" s="82"/>
      <c r="H926" s="82"/>
      <c r="I926" s="34"/>
      <c r="J926" s="83"/>
      <c r="K926" s="83"/>
      <c r="L926" s="83"/>
      <c r="M926" s="70"/>
      <c r="N926" s="70"/>
      <c r="O926" s="70"/>
      <c r="P926" s="70"/>
      <c r="Q926" s="70"/>
      <c r="R926" s="70"/>
      <c r="S926" s="70"/>
      <c r="T926" s="70"/>
      <c r="U926" s="70"/>
      <c r="V926" s="70"/>
      <c r="W926" s="70"/>
      <c r="X926" s="70"/>
      <c r="Y926" s="70"/>
      <c r="Z926" s="70"/>
    </row>
    <row r="927">
      <c r="A927" s="78"/>
      <c r="B927" s="78"/>
      <c r="C927" s="80"/>
      <c r="D927" s="80"/>
      <c r="E927" s="82"/>
      <c r="F927" s="82"/>
      <c r="G927" s="82"/>
      <c r="H927" s="82"/>
      <c r="I927" s="34"/>
      <c r="J927" s="83"/>
      <c r="K927" s="83"/>
      <c r="L927" s="83"/>
      <c r="M927" s="70"/>
      <c r="N927" s="70"/>
      <c r="O927" s="70"/>
      <c r="P927" s="70"/>
      <c r="Q927" s="70"/>
      <c r="R927" s="70"/>
      <c r="S927" s="70"/>
      <c r="T927" s="70"/>
      <c r="U927" s="70"/>
      <c r="V927" s="70"/>
      <c r="W927" s="70"/>
      <c r="X927" s="70"/>
      <c r="Y927" s="70"/>
      <c r="Z927" s="70"/>
    </row>
    <row r="928">
      <c r="A928" s="78"/>
      <c r="B928" s="78"/>
      <c r="C928" s="80"/>
      <c r="D928" s="80"/>
      <c r="E928" s="82"/>
      <c r="F928" s="82"/>
      <c r="G928" s="82"/>
      <c r="H928" s="82"/>
      <c r="I928" s="34"/>
      <c r="J928" s="83"/>
      <c r="K928" s="83"/>
      <c r="L928" s="83"/>
      <c r="M928" s="70"/>
      <c r="N928" s="70"/>
      <c r="O928" s="70"/>
      <c r="P928" s="70"/>
      <c r="Q928" s="70"/>
      <c r="R928" s="70"/>
      <c r="S928" s="70"/>
      <c r="T928" s="70"/>
      <c r="U928" s="70"/>
      <c r="V928" s="70"/>
      <c r="W928" s="70"/>
      <c r="X928" s="70"/>
      <c r="Y928" s="70"/>
      <c r="Z928" s="70"/>
    </row>
    <row r="929">
      <c r="A929" s="78"/>
      <c r="B929" s="78"/>
      <c r="C929" s="80"/>
      <c r="D929" s="80"/>
      <c r="E929" s="82"/>
      <c r="F929" s="82"/>
      <c r="G929" s="82"/>
      <c r="H929" s="82"/>
      <c r="I929" s="34"/>
      <c r="J929" s="83"/>
      <c r="K929" s="83"/>
      <c r="L929" s="83"/>
      <c r="M929" s="70"/>
      <c r="N929" s="70"/>
      <c r="O929" s="70"/>
      <c r="P929" s="70"/>
      <c r="Q929" s="70"/>
      <c r="R929" s="70"/>
      <c r="S929" s="70"/>
      <c r="T929" s="70"/>
      <c r="U929" s="70"/>
      <c r="V929" s="70"/>
      <c r="W929" s="70"/>
      <c r="X929" s="70"/>
      <c r="Y929" s="70"/>
      <c r="Z929" s="70"/>
    </row>
    <row r="930">
      <c r="A930" s="78"/>
      <c r="B930" s="78"/>
      <c r="C930" s="80"/>
      <c r="D930" s="80"/>
      <c r="E930" s="82"/>
      <c r="F930" s="82"/>
      <c r="G930" s="82"/>
      <c r="H930" s="82"/>
      <c r="I930" s="34"/>
      <c r="J930" s="83"/>
      <c r="K930" s="83"/>
      <c r="L930" s="83"/>
      <c r="M930" s="70"/>
      <c r="N930" s="70"/>
      <c r="O930" s="70"/>
      <c r="P930" s="70"/>
      <c r="Q930" s="70"/>
      <c r="R930" s="70"/>
      <c r="S930" s="70"/>
      <c r="T930" s="70"/>
      <c r="U930" s="70"/>
      <c r="V930" s="70"/>
      <c r="W930" s="70"/>
      <c r="X930" s="70"/>
      <c r="Y930" s="70"/>
      <c r="Z930" s="70"/>
    </row>
    <row r="931">
      <c r="A931" s="78"/>
      <c r="B931" s="78"/>
      <c r="C931" s="80"/>
      <c r="D931" s="80"/>
      <c r="E931" s="82"/>
      <c r="F931" s="82"/>
      <c r="G931" s="82"/>
      <c r="H931" s="82"/>
      <c r="I931" s="34"/>
      <c r="J931" s="83"/>
      <c r="K931" s="83"/>
      <c r="L931" s="83"/>
      <c r="M931" s="70"/>
      <c r="N931" s="70"/>
      <c r="O931" s="70"/>
      <c r="P931" s="70"/>
      <c r="Q931" s="70"/>
      <c r="R931" s="70"/>
      <c r="S931" s="70"/>
      <c r="T931" s="70"/>
      <c r="U931" s="70"/>
      <c r="V931" s="70"/>
      <c r="W931" s="70"/>
      <c r="X931" s="70"/>
      <c r="Y931" s="70"/>
      <c r="Z931" s="70"/>
    </row>
    <row r="932">
      <c r="A932" s="78"/>
      <c r="B932" s="78"/>
      <c r="C932" s="80"/>
      <c r="D932" s="80"/>
      <c r="E932" s="82"/>
      <c r="F932" s="82"/>
      <c r="G932" s="82"/>
      <c r="H932" s="82"/>
      <c r="I932" s="34"/>
      <c r="J932" s="83"/>
      <c r="K932" s="83"/>
      <c r="L932" s="83"/>
      <c r="M932" s="70"/>
      <c r="N932" s="70"/>
      <c r="O932" s="70"/>
      <c r="P932" s="70"/>
      <c r="Q932" s="70"/>
      <c r="R932" s="70"/>
      <c r="S932" s="70"/>
      <c r="T932" s="70"/>
      <c r="U932" s="70"/>
      <c r="V932" s="70"/>
      <c r="W932" s="70"/>
      <c r="X932" s="70"/>
      <c r="Y932" s="70"/>
      <c r="Z932" s="70"/>
    </row>
    <row r="933">
      <c r="A933" s="78"/>
      <c r="B933" s="78"/>
      <c r="C933" s="80"/>
      <c r="D933" s="80"/>
      <c r="E933" s="82"/>
      <c r="F933" s="82"/>
      <c r="G933" s="82"/>
      <c r="H933" s="82"/>
      <c r="I933" s="34"/>
      <c r="J933" s="83"/>
      <c r="K933" s="83"/>
      <c r="L933" s="83"/>
      <c r="M933" s="70"/>
      <c r="N933" s="70"/>
      <c r="O933" s="70"/>
      <c r="P933" s="70"/>
      <c r="Q933" s="70"/>
      <c r="R933" s="70"/>
      <c r="S933" s="70"/>
      <c r="T933" s="70"/>
      <c r="U933" s="70"/>
      <c r="V933" s="70"/>
      <c r="W933" s="70"/>
      <c r="X933" s="70"/>
      <c r="Y933" s="70"/>
      <c r="Z933" s="70"/>
    </row>
    <row r="934">
      <c r="A934" s="78"/>
      <c r="B934" s="78"/>
      <c r="C934" s="80"/>
      <c r="D934" s="80"/>
      <c r="E934" s="82"/>
      <c r="F934" s="82"/>
      <c r="G934" s="82"/>
      <c r="H934" s="82"/>
      <c r="I934" s="34"/>
      <c r="J934" s="83"/>
      <c r="K934" s="83"/>
      <c r="L934" s="83"/>
      <c r="M934" s="70"/>
      <c r="N934" s="70"/>
      <c r="O934" s="70"/>
      <c r="P934" s="70"/>
      <c r="Q934" s="70"/>
      <c r="R934" s="70"/>
      <c r="S934" s="70"/>
      <c r="T934" s="70"/>
      <c r="U934" s="70"/>
      <c r="V934" s="70"/>
      <c r="W934" s="70"/>
      <c r="X934" s="70"/>
      <c r="Y934" s="70"/>
      <c r="Z934" s="70"/>
    </row>
    <row r="935">
      <c r="A935" s="78"/>
      <c r="B935" s="78"/>
      <c r="C935" s="80"/>
      <c r="D935" s="80"/>
      <c r="E935" s="82"/>
      <c r="F935" s="82"/>
      <c r="G935" s="82"/>
      <c r="H935" s="82"/>
      <c r="I935" s="34"/>
      <c r="J935" s="83"/>
      <c r="K935" s="83"/>
      <c r="L935" s="83"/>
      <c r="M935" s="70"/>
      <c r="N935" s="70"/>
      <c r="O935" s="70"/>
      <c r="P935" s="70"/>
      <c r="Q935" s="70"/>
      <c r="R935" s="70"/>
      <c r="S935" s="70"/>
      <c r="T935" s="70"/>
      <c r="U935" s="70"/>
      <c r="V935" s="70"/>
      <c r="W935" s="70"/>
      <c r="X935" s="70"/>
      <c r="Y935" s="70"/>
      <c r="Z935" s="70"/>
    </row>
    <row r="936">
      <c r="A936" s="78"/>
      <c r="B936" s="78"/>
      <c r="C936" s="80"/>
      <c r="D936" s="80"/>
      <c r="E936" s="82"/>
      <c r="F936" s="82"/>
      <c r="G936" s="82"/>
      <c r="H936" s="82"/>
      <c r="I936" s="34"/>
      <c r="J936" s="83"/>
      <c r="K936" s="83"/>
      <c r="L936" s="83"/>
      <c r="M936" s="70"/>
      <c r="N936" s="70"/>
      <c r="O936" s="70"/>
      <c r="P936" s="70"/>
      <c r="Q936" s="70"/>
      <c r="R936" s="70"/>
      <c r="S936" s="70"/>
      <c r="T936" s="70"/>
      <c r="U936" s="70"/>
      <c r="V936" s="70"/>
      <c r="W936" s="70"/>
      <c r="X936" s="70"/>
      <c r="Y936" s="70"/>
      <c r="Z936" s="70"/>
    </row>
    <row r="937">
      <c r="A937" s="78"/>
      <c r="B937" s="78"/>
      <c r="C937" s="80"/>
      <c r="D937" s="80"/>
      <c r="E937" s="82"/>
      <c r="F937" s="82"/>
      <c r="G937" s="82"/>
      <c r="H937" s="82"/>
      <c r="I937" s="34"/>
      <c r="J937" s="83"/>
      <c r="K937" s="83"/>
      <c r="L937" s="83"/>
      <c r="M937" s="70"/>
      <c r="N937" s="70"/>
      <c r="O937" s="70"/>
      <c r="P937" s="70"/>
      <c r="Q937" s="70"/>
      <c r="R937" s="70"/>
      <c r="S937" s="70"/>
      <c r="T937" s="70"/>
      <c r="U937" s="70"/>
      <c r="V937" s="70"/>
      <c r="W937" s="70"/>
      <c r="X937" s="70"/>
      <c r="Y937" s="70"/>
      <c r="Z937" s="70"/>
    </row>
    <row r="938">
      <c r="A938" s="78"/>
      <c r="B938" s="78"/>
      <c r="C938" s="80"/>
      <c r="D938" s="80"/>
      <c r="E938" s="82"/>
      <c r="F938" s="82"/>
      <c r="G938" s="82"/>
      <c r="H938" s="82"/>
      <c r="I938" s="34"/>
      <c r="J938" s="83"/>
      <c r="K938" s="83"/>
      <c r="L938" s="83"/>
      <c r="M938" s="70"/>
      <c r="N938" s="70"/>
      <c r="O938" s="70"/>
      <c r="P938" s="70"/>
      <c r="Q938" s="70"/>
      <c r="R938" s="70"/>
      <c r="S938" s="70"/>
      <c r="T938" s="70"/>
      <c r="U938" s="70"/>
      <c r="V938" s="70"/>
      <c r="W938" s="70"/>
      <c r="X938" s="70"/>
      <c r="Y938" s="70"/>
      <c r="Z938" s="70"/>
    </row>
    <row r="939">
      <c r="A939" s="78"/>
      <c r="B939" s="78"/>
      <c r="C939" s="80"/>
      <c r="D939" s="80"/>
      <c r="E939" s="82"/>
      <c r="F939" s="82"/>
      <c r="G939" s="82"/>
      <c r="H939" s="82"/>
      <c r="I939" s="34"/>
      <c r="J939" s="83"/>
      <c r="K939" s="83"/>
      <c r="L939" s="83"/>
      <c r="M939" s="70"/>
      <c r="N939" s="70"/>
      <c r="O939" s="70"/>
      <c r="P939" s="70"/>
      <c r="Q939" s="70"/>
      <c r="R939" s="70"/>
      <c r="S939" s="70"/>
      <c r="T939" s="70"/>
      <c r="U939" s="70"/>
      <c r="V939" s="70"/>
      <c r="W939" s="70"/>
      <c r="X939" s="70"/>
      <c r="Y939" s="70"/>
      <c r="Z939" s="70"/>
    </row>
    <row r="940">
      <c r="A940" s="78"/>
      <c r="B940" s="78"/>
      <c r="C940" s="80"/>
      <c r="D940" s="80"/>
      <c r="E940" s="82"/>
      <c r="F940" s="82"/>
      <c r="G940" s="82"/>
      <c r="H940" s="82"/>
      <c r="I940" s="34"/>
      <c r="J940" s="83"/>
      <c r="K940" s="83"/>
      <c r="L940" s="83"/>
      <c r="M940" s="70"/>
      <c r="N940" s="70"/>
      <c r="O940" s="70"/>
      <c r="P940" s="70"/>
      <c r="Q940" s="70"/>
      <c r="R940" s="70"/>
      <c r="S940" s="70"/>
      <c r="T940" s="70"/>
      <c r="U940" s="70"/>
      <c r="V940" s="70"/>
      <c r="W940" s="70"/>
      <c r="X940" s="70"/>
      <c r="Y940" s="70"/>
      <c r="Z940" s="70"/>
    </row>
    <row r="941">
      <c r="A941" s="78"/>
      <c r="B941" s="78"/>
      <c r="C941" s="80"/>
      <c r="D941" s="80"/>
      <c r="E941" s="82"/>
      <c r="F941" s="82"/>
      <c r="G941" s="82"/>
      <c r="H941" s="82"/>
      <c r="I941" s="34"/>
      <c r="J941" s="83"/>
      <c r="K941" s="83"/>
      <c r="L941" s="83"/>
      <c r="M941" s="70"/>
      <c r="N941" s="70"/>
      <c r="O941" s="70"/>
      <c r="P941" s="70"/>
      <c r="Q941" s="70"/>
      <c r="R941" s="70"/>
      <c r="S941" s="70"/>
      <c r="T941" s="70"/>
      <c r="U941" s="70"/>
      <c r="V941" s="70"/>
      <c r="W941" s="70"/>
      <c r="X941" s="70"/>
      <c r="Y941" s="70"/>
      <c r="Z941" s="70"/>
    </row>
    <row r="942">
      <c r="A942" s="78"/>
      <c r="B942" s="78"/>
      <c r="C942" s="80"/>
      <c r="D942" s="80"/>
      <c r="E942" s="82"/>
      <c r="F942" s="82"/>
      <c r="G942" s="82"/>
      <c r="H942" s="82"/>
      <c r="I942" s="34"/>
      <c r="J942" s="83"/>
      <c r="K942" s="83"/>
      <c r="L942" s="83"/>
      <c r="M942" s="70"/>
      <c r="N942" s="70"/>
      <c r="O942" s="70"/>
      <c r="P942" s="70"/>
      <c r="Q942" s="70"/>
      <c r="R942" s="70"/>
      <c r="S942" s="70"/>
      <c r="T942" s="70"/>
      <c r="U942" s="70"/>
      <c r="V942" s="70"/>
      <c r="W942" s="70"/>
      <c r="X942" s="70"/>
      <c r="Y942" s="70"/>
      <c r="Z942" s="70"/>
    </row>
    <row r="943">
      <c r="A943" s="78"/>
      <c r="B943" s="78"/>
      <c r="C943" s="80"/>
      <c r="D943" s="80"/>
      <c r="E943" s="82"/>
      <c r="F943" s="82"/>
      <c r="G943" s="82"/>
      <c r="H943" s="82"/>
      <c r="I943" s="34"/>
      <c r="J943" s="83"/>
      <c r="K943" s="83"/>
      <c r="L943" s="83"/>
      <c r="M943" s="70"/>
      <c r="N943" s="70"/>
      <c r="O943" s="70"/>
      <c r="P943" s="70"/>
      <c r="Q943" s="70"/>
      <c r="R943" s="70"/>
      <c r="S943" s="70"/>
      <c r="T943" s="70"/>
      <c r="U943" s="70"/>
      <c r="V943" s="70"/>
      <c r="W943" s="70"/>
      <c r="X943" s="70"/>
      <c r="Y943" s="70"/>
      <c r="Z943" s="70"/>
    </row>
    <row r="944">
      <c r="A944" s="78"/>
      <c r="B944" s="78"/>
      <c r="C944" s="80"/>
      <c r="D944" s="80"/>
      <c r="E944" s="82"/>
      <c r="F944" s="82"/>
      <c r="G944" s="82"/>
      <c r="H944" s="82"/>
      <c r="I944" s="34"/>
      <c r="J944" s="83"/>
      <c r="K944" s="83"/>
      <c r="L944" s="83"/>
      <c r="M944" s="70"/>
      <c r="N944" s="70"/>
      <c r="O944" s="70"/>
      <c r="P944" s="70"/>
      <c r="Q944" s="70"/>
      <c r="R944" s="70"/>
      <c r="S944" s="70"/>
      <c r="T944" s="70"/>
      <c r="U944" s="70"/>
      <c r="V944" s="70"/>
      <c r="W944" s="70"/>
      <c r="X944" s="70"/>
      <c r="Y944" s="70"/>
      <c r="Z944" s="70"/>
    </row>
    <row r="945">
      <c r="A945" s="78"/>
      <c r="B945" s="78"/>
      <c r="C945" s="80"/>
      <c r="D945" s="80"/>
      <c r="E945" s="82"/>
      <c r="F945" s="82"/>
      <c r="G945" s="82"/>
      <c r="H945" s="82"/>
      <c r="I945" s="34"/>
      <c r="J945" s="83"/>
      <c r="K945" s="83"/>
      <c r="L945" s="83"/>
      <c r="M945" s="70"/>
      <c r="N945" s="70"/>
      <c r="O945" s="70"/>
      <c r="P945" s="70"/>
      <c r="Q945" s="70"/>
      <c r="R945" s="70"/>
      <c r="S945" s="70"/>
      <c r="T945" s="70"/>
      <c r="U945" s="70"/>
      <c r="V945" s="70"/>
      <c r="W945" s="70"/>
      <c r="X945" s="70"/>
      <c r="Y945" s="70"/>
      <c r="Z945" s="70"/>
    </row>
    <row r="946">
      <c r="A946" s="78"/>
      <c r="B946" s="78"/>
      <c r="C946" s="80"/>
      <c r="D946" s="80"/>
      <c r="E946" s="82"/>
      <c r="F946" s="82"/>
      <c r="G946" s="82"/>
      <c r="H946" s="82"/>
      <c r="I946" s="34"/>
      <c r="J946" s="83"/>
      <c r="K946" s="83"/>
      <c r="L946" s="83"/>
      <c r="M946" s="70"/>
      <c r="N946" s="70"/>
      <c r="O946" s="70"/>
      <c r="P946" s="70"/>
      <c r="Q946" s="70"/>
      <c r="R946" s="70"/>
      <c r="S946" s="70"/>
      <c r="T946" s="70"/>
      <c r="U946" s="70"/>
      <c r="V946" s="70"/>
      <c r="W946" s="70"/>
      <c r="X946" s="70"/>
      <c r="Y946" s="70"/>
      <c r="Z946" s="70"/>
    </row>
    <row r="947">
      <c r="A947" s="78"/>
      <c r="B947" s="78"/>
      <c r="C947" s="80"/>
      <c r="D947" s="80"/>
      <c r="E947" s="82"/>
      <c r="F947" s="82"/>
      <c r="G947" s="82"/>
      <c r="H947" s="82"/>
      <c r="I947" s="34"/>
      <c r="J947" s="83"/>
      <c r="K947" s="83"/>
      <c r="L947" s="83"/>
      <c r="M947" s="70"/>
      <c r="N947" s="70"/>
      <c r="O947" s="70"/>
      <c r="P947" s="70"/>
      <c r="Q947" s="70"/>
      <c r="R947" s="70"/>
      <c r="S947" s="70"/>
      <c r="T947" s="70"/>
      <c r="U947" s="70"/>
      <c r="V947" s="70"/>
      <c r="W947" s="70"/>
      <c r="X947" s="70"/>
      <c r="Y947" s="70"/>
      <c r="Z947" s="70"/>
    </row>
    <row r="948">
      <c r="A948" s="78"/>
      <c r="B948" s="78"/>
      <c r="C948" s="80"/>
      <c r="D948" s="80"/>
      <c r="E948" s="82"/>
      <c r="F948" s="82"/>
      <c r="G948" s="82"/>
      <c r="H948" s="82"/>
      <c r="I948" s="34"/>
      <c r="J948" s="83"/>
      <c r="K948" s="83"/>
      <c r="L948" s="83"/>
      <c r="M948" s="70"/>
      <c r="N948" s="70"/>
      <c r="O948" s="70"/>
      <c r="P948" s="70"/>
      <c r="Q948" s="70"/>
      <c r="R948" s="70"/>
      <c r="S948" s="70"/>
      <c r="T948" s="70"/>
      <c r="U948" s="70"/>
      <c r="V948" s="70"/>
      <c r="W948" s="70"/>
      <c r="X948" s="70"/>
      <c r="Y948" s="70"/>
      <c r="Z948" s="70"/>
    </row>
    <row r="949">
      <c r="A949" s="78"/>
      <c r="B949" s="78"/>
      <c r="C949" s="80"/>
      <c r="D949" s="80"/>
      <c r="E949" s="82"/>
      <c r="F949" s="82"/>
      <c r="G949" s="82"/>
      <c r="H949" s="82"/>
      <c r="I949" s="34"/>
      <c r="J949" s="83"/>
      <c r="K949" s="83"/>
      <c r="L949" s="83"/>
      <c r="M949" s="70"/>
      <c r="N949" s="70"/>
      <c r="O949" s="70"/>
      <c r="P949" s="70"/>
      <c r="Q949" s="70"/>
      <c r="R949" s="70"/>
      <c r="S949" s="70"/>
      <c r="T949" s="70"/>
      <c r="U949" s="70"/>
      <c r="V949" s="70"/>
      <c r="W949" s="70"/>
      <c r="X949" s="70"/>
      <c r="Y949" s="70"/>
      <c r="Z949" s="70"/>
    </row>
    <row r="950">
      <c r="A950" s="78"/>
      <c r="B950" s="78"/>
      <c r="C950" s="80"/>
      <c r="D950" s="80"/>
      <c r="E950" s="82"/>
      <c r="F950" s="82"/>
      <c r="G950" s="82"/>
      <c r="H950" s="82"/>
      <c r="I950" s="34"/>
      <c r="J950" s="83"/>
      <c r="K950" s="83"/>
      <c r="L950" s="83"/>
      <c r="M950" s="70"/>
      <c r="N950" s="70"/>
      <c r="O950" s="70"/>
      <c r="P950" s="70"/>
      <c r="Q950" s="70"/>
      <c r="R950" s="70"/>
      <c r="S950" s="70"/>
      <c r="T950" s="70"/>
      <c r="U950" s="70"/>
      <c r="V950" s="70"/>
      <c r="W950" s="70"/>
      <c r="X950" s="70"/>
      <c r="Y950" s="70"/>
      <c r="Z950" s="70"/>
    </row>
    <row r="951">
      <c r="A951" s="78"/>
      <c r="B951" s="78"/>
      <c r="C951" s="80"/>
      <c r="D951" s="80"/>
      <c r="E951" s="82"/>
      <c r="F951" s="82"/>
      <c r="G951" s="82"/>
      <c r="H951" s="82"/>
      <c r="I951" s="34"/>
      <c r="J951" s="83"/>
      <c r="K951" s="83"/>
      <c r="L951" s="83"/>
      <c r="M951" s="70"/>
      <c r="N951" s="70"/>
      <c r="O951" s="70"/>
      <c r="P951" s="70"/>
      <c r="Q951" s="70"/>
      <c r="R951" s="70"/>
      <c r="S951" s="70"/>
      <c r="T951" s="70"/>
      <c r="U951" s="70"/>
      <c r="V951" s="70"/>
      <c r="W951" s="70"/>
      <c r="X951" s="70"/>
      <c r="Y951" s="70"/>
      <c r="Z951" s="70"/>
    </row>
    <row r="952">
      <c r="A952" s="78"/>
      <c r="B952" s="78"/>
      <c r="C952" s="80"/>
      <c r="D952" s="80"/>
      <c r="E952" s="82"/>
      <c r="F952" s="82"/>
      <c r="G952" s="82"/>
      <c r="H952" s="82"/>
      <c r="I952" s="34"/>
      <c r="J952" s="83"/>
      <c r="K952" s="83"/>
      <c r="L952" s="83"/>
      <c r="M952" s="70"/>
      <c r="N952" s="70"/>
      <c r="O952" s="70"/>
      <c r="P952" s="70"/>
      <c r="Q952" s="70"/>
      <c r="R952" s="70"/>
      <c r="S952" s="70"/>
      <c r="T952" s="70"/>
      <c r="U952" s="70"/>
      <c r="V952" s="70"/>
      <c r="W952" s="70"/>
      <c r="X952" s="70"/>
      <c r="Y952" s="70"/>
      <c r="Z952" s="70"/>
    </row>
    <row r="953">
      <c r="A953" s="78"/>
      <c r="B953" s="78"/>
      <c r="C953" s="80"/>
      <c r="D953" s="80"/>
      <c r="E953" s="82"/>
      <c r="F953" s="82"/>
      <c r="G953" s="82"/>
      <c r="H953" s="82"/>
      <c r="I953" s="34"/>
      <c r="J953" s="83"/>
      <c r="K953" s="83"/>
      <c r="L953" s="83"/>
      <c r="M953" s="70"/>
      <c r="N953" s="70"/>
      <c r="O953" s="70"/>
      <c r="P953" s="70"/>
      <c r="Q953" s="70"/>
      <c r="R953" s="70"/>
      <c r="S953" s="70"/>
      <c r="T953" s="70"/>
      <c r="U953" s="70"/>
      <c r="V953" s="70"/>
      <c r="W953" s="70"/>
      <c r="X953" s="70"/>
      <c r="Y953" s="70"/>
      <c r="Z953" s="70"/>
    </row>
    <row r="954">
      <c r="A954" s="78"/>
      <c r="B954" s="78"/>
      <c r="C954" s="80"/>
      <c r="D954" s="80"/>
      <c r="E954" s="82"/>
      <c r="F954" s="82"/>
      <c r="G954" s="82"/>
      <c r="H954" s="82"/>
      <c r="I954" s="34"/>
      <c r="J954" s="83"/>
      <c r="K954" s="83"/>
      <c r="L954" s="83"/>
      <c r="M954" s="70"/>
      <c r="N954" s="70"/>
      <c r="O954" s="70"/>
      <c r="P954" s="70"/>
      <c r="Q954" s="70"/>
      <c r="R954" s="70"/>
      <c r="S954" s="70"/>
      <c r="T954" s="70"/>
      <c r="U954" s="70"/>
      <c r="V954" s="70"/>
      <c r="W954" s="70"/>
      <c r="X954" s="70"/>
      <c r="Y954" s="70"/>
      <c r="Z954" s="70"/>
    </row>
    <row r="955">
      <c r="A955" s="78"/>
      <c r="B955" s="78"/>
      <c r="C955" s="80"/>
      <c r="D955" s="80"/>
      <c r="E955" s="82"/>
      <c r="F955" s="82"/>
      <c r="G955" s="82"/>
      <c r="H955" s="82"/>
      <c r="I955" s="34"/>
      <c r="J955" s="83"/>
      <c r="K955" s="83"/>
      <c r="L955" s="83"/>
      <c r="M955" s="70"/>
      <c r="N955" s="70"/>
      <c r="O955" s="70"/>
      <c r="P955" s="70"/>
      <c r="Q955" s="70"/>
      <c r="R955" s="70"/>
      <c r="S955" s="70"/>
      <c r="T955" s="70"/>
      <c r="U955" s="70"/>
      <c r="V955" s="70"/>
      <c r="W955" s="70"/>
      <c r="X955" s="70"/>
      <c r="Y955" s="70"/>
      <c r="Z955" s="70"/>
    </row>
    <row r="956">
      <c r="A956" s="78"/>
      <c r="B956" s="78"/>
      <c r="C956" s="80"/>
      <c r="D956" s="80"/>
      <c r="E956" s="82"/>
      <c r="F956" s="82"/>
      <c r="G956" s="82"/>
      <c r="H956" s="82"/>
      <c r="I956" s="34"/>
      <c r="J956" s="83"/>
      <c r="K956" s="83"/>
      <c r="L956" s="83"/>
      <c r="M956" s="70"/>
      <c r="N956" s="70"/>
      <c r="O956" s="70"/>
      <c r="P956" s="70"/>
      <c r="Q956" s="70"/>
      <c r="R956" s="70"/>
      <c r="S956" s="70"/>
      <c r="T956" s="70"/>
      <c r="U956" s="70"/>
      <c r="V956" s="70"/>
      <c r="W956" s="70"/>
      <c r="X956" s="70"/>
      <c r="Y956" s="70"/>
      <c r="Z956" s="70"/>
    </row>
    <row r="957">
      <c r="A957" s="78"/>
      <c r="B957" s="78"/>
      <c r="C957" s="80"/>
      <c r="D957" s="80"/>
      <c r="E957" s="82"/>
      <c r="F957" s="82"/>
      <c r="G957" s="82"/>
      <c r="H957" s="82"/>
      <c r="I957" s="34"/>
      <c r="J957" s="83"/>
      <c r="K957" s="83"/>
      <c r="L957" s="83"/>
      <c r="M957" s="70"/>
      <c r="N957" s="70"/>
      <c r="O957" s="70"/>
      <c r="P957" s="70"/>
      <c r="Q957" s="70"/>
      <c r="R957" s="70"/>
      <c r="S957" s="70"/>
      <c r="T957" s="70"/>
      <c r="U957" s="70"/>
      <c r="V957" s="70"/>
      <c r="W957" s="70"/>
      <c r="X957" s="70"/>
      <c r="Y957" s="70"/>
      <c r="Z957" s="70"/>
    </row>
    <row r="958">
      <c r="A958" s="78"/>
      <c r="B958" s="78"/>
      <c r="C958" s="80"/>
      <c r="D958" s="80"/>
      <c r="E958" s="82"/>
      <c r="F958" s="82"/>
      <c r="G958" s="82"/>
      <c r="H958" s="82"/>
      <c r="I958" s="34"/>
      <c r="J958" s="83"/>
      <c r="K958" s="83"/>
      <c r="L958" s="83"/>
      <c r="M958" s="70"/>
      <c r="N958" s="70"/>
      <c r="O958" s="70"/>
      <c r="P958" s="70"/>
      <c r="Q958" s="70"/>
      <c r="R958" s="70"/>
      <c r="S958" s="70"/>
      <c r="T958" s="70"/>
      <c r="U958" s="70"/>
      <c r="V958" s="70"/>
      <c r="W958" s="70"/>
      <c r="X958" s="70"/>
      <c r="Y958" s="70"/>
      <c r="Z958" s="70"/>
    </row>
    <row r="959">
      <c r="A959" s="78"/>
      <c r="B959" s="78"/>
      <c r="C959" s="80"/>
      <c r="D959" s="80"/>
      <c r="E959" s="82"/>
      <c r="F959" s="82"/>
      <c r="G959" s="82"/>
      <c r="H959" s="82"/>
      <c r="I959" s="34"/>
      <c r="J959" s="83"/>
      <c r="K959" s="83"/>
      <c r="L959" s="83"/>
      <c r="M959" s="70"/>
      <c r="N959" s="70"/>
      <c r="O959" s="70"/>
      <c r="P959" s="70"/>
      <c r="Q959" s="70"/>
      <c r="R959" s="70"/>
      <c r="S959" s="70"/>
      <c r="T959" s="70"/>
      <c r="U959" s="70"/>
      <c r="V959" s="70"/>
      <c r="W959" s="70"/>
      <c r="X959" s="70"/>
      <c r="Y959" s="70"/>
      <c r="Z959" s="70"/>
    </row>
    <row r="960">
      <c r="A960" s="78"/>
      <c r="B960" s="78"/>
      <c r="C960" s="80"/>
      <c r="D960" s="80"/>
      <c r="E960" s="82"/>
      <c r="F960" s="82"/>
      <c r="G960" s="82"/>
      <c r="H960" s="82"/>
      <c r="I960" s="34"/>
      <c r="J960" s="83"/>
      <c r="K960" s="83"/>
      <c r="L960" s="83"/>
      <c r="M960" s="70"/>
      <c r="N960" s="70"/>
      <c r="O960" s="70"/>
      <c r="P960" s="70"/>
      <c r="Q960" s="70"/>
      <c r="R960" s="70"/>
      <c r="S960" s="70"/>
      <c r="T960" s="70"/>
      <c r="U960" s="70"/>
      <c r="V960" s="70"/>
      <c r="W960" s="70"/>
      <c r="X960" s="70"/>
      <c r="Y960" s="70"/>
      <c r="Z960" s="70"/>
    </row>
    <row r="961">
      <c r="A961" s="78"/>
      <c r="B961" s="78"/>
      <c r="C961" s="80"/>
      <c r="D961" s="80"/>
      <c r="E961" s="82"/>
      <c r="F961" s="82"/>
      <c r="G961" s="82"/>
      <c r="H961" s="82"/>
      <c r="I961" s="34"/>
      <c r="J961" s="83"/>
      <c r="K961" s="83"/>
      <c r="L961" s="83"/>
      <c r="M961" s="70"/>
      <c r="N961" s="70"/>
      <c r="O961" s="70"/>
      <c r="P961" s="70"/>
      <c r="Q961" s="70"/>
      <c r="R961" s="70"/>
      <c r="S961" s="70"/>
      <c r="T961" s="70"/>
      <c r="U961" s="70"/>
      <c r="V961" s="70"/>
      <c r="W961" s="70"/>
      <c r="X961" s="70"/>
      <c r="Y961" s="70"/>
      <c r="Z961" s="70"/>
    </row>
    <row r="962">
      <c r="A962" s="78"/>
      <c r="B962" s="78"/>
      <c r="C962" s="80"/>
      <c r="D962" s="80"/>
      <c r="E962" s="82"/>
      <c r="F962" s="82"/>
      <c r="G962" s="82"/>
      <c r="H962" s="82"/>
      <c r="I962" s="34"/>
      <c r="J962" s="83"/>
      <c r="K962" s="83"/>
      <c r="L962" s="83"/>
      <c r="M962" s="70"/>
      <c r="N962" s="70"/>
      <c r="O962" s="70"/>
      <c r="P962" s="70"/>
      <c r="Q962" s="70"/>
      <c r="R962" s="70"/>
      <c r="S962" s="70"/>
      <c r="T962" s="70"/>
      <c r="U962" s="70"/>
      <c r="V962" s="70"/>
      <c r="W962" s="70"/>
      <c r="X962" s="70"/>
      <c r="Y962" s="70"/>
      <c r="Z962" s="70"/>
    </row>
    <row r="963">
      <c r="A963" s="78"/>
      <c r="B963" s="78"/>
      <c r="C963" s="80"/>
      <c r="D963" s="80"/>
      <c r="E963" s="82"/>
      <c r="F963" s="82"/>
      <c r="G963" s="82"/>
      <c r="H963" s="82"/>
      <c r="I963" s="34"/>
      <c r="J963" s="83"/>
      <c r="K963" s="83"/>
      <c r="L963" s="83"/>
      <c r="M963" s="70"/>
      <c r="N963" s="70"/>
      <c r="O963" s="70"/>
      <c r="P963" s="70"/>
      <c r="Q963" s="70"/>
      <c r="R963" s="70"/>
      <c r="S963" s="70"/>
      <c r="T963" s="70"/>
      <c r="U963" s="70"/>
      <c r="V963" s="70"/>
      <c r="W963" s="70"/>
      <c r="X963" s="70"/>
      <c r="Y963" s="70"/>
      <c r="Z963" s="70"/>
    </row>
    <row r="964">
      <c r="A964" s="78"/>
      <c r="B964" s="78"/>
      <c r="C964" s="80"/>
      <c r="D964" s="80"/>
      <c r="E964" s="82"/>
      <c r="F964" s="82"/>
      <c r="G964" s="82"/>
      <c r="H964" s="82"/>
      <c r="I964" s="34"/>
      <c r="J964" s="83"/>
      <c r="K964" s="83"/>
      <c r="L964" s="83"/>
      <c r="M964" s="70"/>
      <c r="N964" s="70"/>
      <c r="O964" s="70"/>
      <c r="P964" s="70"/>
      <c r="Q964" s="70"/>
      <c r="R964" s="70"/>
      <c r="S964" s="70"/>
      <c r="T964" s="70"/>
      <c r="U964" s="70"/>
      <c r="V964" s="70"/>
      <c r="W964" s="70"/>
      <c r="X964" s="70"/>
      <c r="Y964" s="70"/>
      <c r="Z964" s="70"/>
    </row>
    <row r="965">
      <c r="A965" s="78"/>
      <c r="B965" s="78"/>
      <c r="C965" s="80"/>
      <c r="D965" s="80"/>
      <c r="E965" s="82"/>
      <c r="F965" s="82"/>
      <c r="G965" s="82"/>
      <c r="H965" s="82"/>
      <c r="I965" s="34"/>
      <c r="J965" s="83"/>
      <c r="K965" s="83"/>
      <c r="L965" s="83"/>
      <c r="M965" s="70"/>
      <c r="N965" s="70"/>
      <c r="O965" s="70"/>
      <c r="P965" s="70"/>
      <c r="Q965" s="70"/>
      <c r="R965" s="70"/>
      <c r="S965" s="70"/>
      <c r="T965" s="70"/>
      <c r="U965" s="70"/>
      <c r="V965" s="70"/>
      <c r="W965" s="70"/>
      <c r="X965" s="70"/>
      <c r="Y965" s="70"/>
      <c r="Z965" s="70"/>
    </row>
    <row r="966">
      <c r="A966" s="78"/>
      <c r="B966" s="78"/>
      <c r="C966" s="80"/>
      <c r="D966" s="80"/>
      <c r="E966" s="82"/>
      <c r="F966" s="82"/>
      <c r="G966" s="82"/>
      <c r="H966" s="82"/>
      <c r="I966" s="34"/>
      <c r="J966" s="83"/>
      <c r="K966" s="83"/>
      <c r="L966" s="83"/>
      <c r="M966" s="70"/>
      <c r="N966" s="70"/>
      <c r="O966" s="70"/>
      <c r="P966" s="70"/>
      <c r="Q966" s="70"/>
      <c r="R966" s="70"/>
      <c r="S966" s="70"/>
      <c r="T966" s="70"/>
      <c r="U966" s="70"/>
      <c r="V966" s="70"/>
      <c r="W966" s="70"/>
      <c r="X966" s="70"/>
      <c r="Y966" s="70"/>
      <c r="Z966" s="70"/>
    </row>
    <row r="967">
      <c r="A967" s="78"/>
      <c r="B967" s="78"/>
      <c r="C967" s="80"/>
      <c r="D967" s="80"/>
      <c r="E967" s="82"/>
      <c r="F967" s="82"/>
      <c r="G967" s="82"/>
      <c r="H967" s="82"/>
      <c r="I967" s="34"/>
      <c r="J967" s="83"/>
      <c r="K967" s="83"/>
      <c r="L967" s="83"/>
      <c r="M967" s="70"/>
      <c r="N967" s="70"/>
      <c r="O967" s="70"/>
      <c r="P967" s="70"/>
      <c r="Q967" s="70"/>
      <c r="R967" s="70"/>
      <c r="S967" s="70"/>
      <c r="T967" s="70"/>
      <c r="U967" s="70"/>
      <c r="V967" s="70"/>
      <c r="W967" s="70"/>
      <c r="X967" s="70"/>
      <c r="Y967" s="70"/>
      <c r="Z967" s="70"/>
    </row>
    <row r="968">
      <c r="A968" s="78"/>
      <c r="B968" s="78"/>
      <c r="C968" s="80"/>
      <c r="D968" s="80"/>
      <c r="E968" s="82"/>
      <c r="F968" s="82"/>
      <c r="G968" s="82"/>
      <c r="H968" s="82"/>
      <c r="I968" s="34"/>
      <c r="J968" s="83"/>
      <c r="K968" s="83"/>
      <c r="L968" s="83"/>
      <c r="M968" s="70"/>
      <c r="N968" s="70"/>
      <c r="O968" s="70"/>
      <c r="P968" s="70"/>
      <c r="Q968" s="70"/>
      <c r="R968" s="70"/>
      <c r="S968" s="70"/>
      <c r="T968" s="70"/>
      <c r="U968" s="70"/>
      <c r="V968" s="70"/>
      <c r="W968" s="70"/>
      <c r="X968" s="70"/>
      <c r="Y968" s="70"/>
      <c r="Z968" s="70"/>
    </row>
    <row r="969">
      <c r="A969" s="78"/>
      <c r="B969" s="78"/>
      <c r="C969" s="80"/>
      <c r="D969" s="80"/>
      <c r="E969" s="82"/>
      <c r="F969" s="82"/>
      <c r="G969" s="82"/>
      <c r="H969" s="82"/>
      <c r="I969" s="34"/>
      <c r="J969" s="83"/>
      <c r="K969" s="83"/>
      <c r="L969" s="83"/>
      <c r="M969" s="70"/>
      <c r="N969" s="70"/>
      <c r="O969" s="70"/>
      <c r="P969" s="70"/>
      <c r="Q969" s="70"/>
      <c r="R969" s="70"/>
      <c r="S969" s="70"/>
      <c r="T969" s="70"/>
      <c r="U969" s="70"/>
      <c r="V969" s="70"/>
      <c r="W969" s="70"/>
      <c r="X969" s="70"/>
      <c r="Y969" s="70"/>
      <c r="Z969" s="70"/>
    </row>
    <row r="970">
      <c r="A970" s="78"/>
      <c r="B970" s="78"/>
      <c r="C970" s="80"/>
      <c r="D970" s="80"/>
      <c r="E970" s="82"/>
      <c r="F970" s="82"/>
      <c r="G970" s="82"/>
      <c r="H970" s="82"/>
      <c r="I970" s="34"/>
      <c r="J970" s="83"/>
      <c r="K970" s="83"/>
      <c r="L970" s="83"/>
      <c r="M970" s="70"/>
      <c r="N970" s="70"/>
      <c r="O970" s="70"/>
      <c r="P970" s="70"/>
      <c r="Q970" s="70"/>
      <c r="R970" s="70"/>
      <c r="S970" s="70"/>
      <c r="T970" s="70"/>
      <c r="U970" s="70"/>
      <c r="V970" s="70"/>
      <c r="W970" s="70"/>
      <c r="X970" s="70"/>
      <c r="Y970" s="70"/>
      <c r="Z970" s="70"/>
    </row>
    <row r="971">
      <c r="A971" s="78"/>
      <c r="B971" s="78"/>
      <c r="C971" s="80"/>
      <c r="D971" s="80"/>
      <c r="E971" s="82"/>
      <c r="F971" s="82"/>
      <c r="G971" s="82"/>
      <c r="H971" s="82"/>
      <c r="I971" s="34"/>
      <c r="J971" s="83"/>
      <c r="K971" s="83"/>
      <c r="L971" s="83"/>
      <c r="M971" s="70"/>
      <c r="N971" s="70"/>
      <c r="O971" s="70"/>
      <c r="P971" s="70"/>
      <c r="Q971" s="70"/>
      <c r="R971" s="70"/>
      <c r="S971" s="70"/>
      <c r="T971" s="70"/>
      <c r="U971" s="70"/>
      <c r="V971" s="70"/>
      <c r="W971" s="70"/>
      <c r="X971" s="70"/>
      <c r="Y971" s="70"/>
      <c r="Z971" s="70"/>
    </row>
    <row r="972">
      <c r="A972" s="78"/>
      <c r="B972" s="78"/>
      <c r="C972" s="80"/>
      <c r="D972" s="80"/>
      <c r="E972" s="82"/>
      <c r="F972" s="82"/>
      <c r="G972" s="82"/>
      <c r="H972" s="82"/>
      <c r="I972" s="34"/>
      <c r="J972" s="83"/>
      <c r="K972" s="83"/>
      <c r="L972" s="83"/>
      <c r="M972" s="70"/>
      <c r="N972" s="70"/>
      <c r="O972" s="70"/>
      <c r="P972" s="70"/>
      <c r="Q972" s="70"/>
      <c r="R972" s="70"/>
      <c r="S972" s="70"/>
      <c r="T972" s="70"/>
      <c r="U972" s="70"/>
      <c r="V972" s="70"/>
      <c r="W972" s="70"/>
      <c r="X972" s="70"/>
      <c r="Y972" s="70"/>
      <c r="Z972" s="70"/>
    </row>
    <row r="973">
      <c r="A973" s="78"/>
      <c r="B973" s="78"/>
      <c r="C973" s="80"/>
      <c r="D973" s="80"/>
      <c r="E973" s="82"/>
      <c r="F973" s="82"/>
      <c r="G973" s="82"/>
      <c r="H973" s="82"/>
      <c r="I973" s="34"/>
      <c r="J973" s="83"/>
      <c r="K973" s="83"/>
      <c r="L973" s="83"/>
      <c r="M973" s="70"/>
      <c r="N973" s="70"/>
      <c r="O973" s="70"/>
      <c r="P973" s="70"/>
      <c r="Q973" s="70"/>
      <c r="R973" s="70"/>
      <c r="S973" s="70"/>
      <c r="T973" s="70"/>
      <c r="U973" s="70"/>
      <c r="V973" s="70"/>
      <c r="W973" s="70"/>
      <c r="X973" s="70"/>
      <c r="Y973" s="70"/>
      <c r="Z973" s="70"/>
    </row>
    <row r="974">
      <c r="A974" s="78"/>
      <c r="B974" s="78"/>
      <c r="C974" s="80"/>
      <c r="D974" s="80"/>
      <c r="E974" s="82"/>
      <c r="F974" s="82"/>
      <c r="G974" s="82"/>
      <c r="H974" s="82"/>
      <c r="I974" s="34"/>
      <c r="J974" s="83"/>
      <c r="K974" s="83"/>
      <c r="L974" s="83"/>
      <c r="M974" s="70"/>
      <c r="N974" s="70"/>
      <c r="O974" s="70"/>
      <c r="P974" s="70"/>
      <c r="Q974" s="70"/>
      <c r="R974" s="70"/>
      <c r="S974" s="70"/>
      <c r="T974" s="70"/>
      <c r="U974" s="70"/>
      <c r="V974" s="70"/>
      <c r="W974" s="70"/>
      <c r="X974" s="70"/>
      <c r="Y974" s="70"/>
      <c r="Z974" s="70"/>
    </row>
    <row r="975">
      <c r="A975" s="78"/>
      <c r="B975" s="78"/>
      <c r="C975" s="80"/>
      <c r="D975" s="80"/>
      <c r="E975" s="82"/>
      <c r="F975" s="82"/>
      <c r="G975" s="82"/>
      <c r="H975" s="82"/>
      <c r="I975" s="34"/>
      <c r="J975" s="83"/>
      <c r="K975" s="83"/>
      <c r="L975" s="83"/>
      <c r="M975" s="70"/>
      <c r="N975" s="70"/>
      <c r="O975" s="70"/>
      <c r="P975" s="70"/>
      <c r="Q975" s="70"/>
      <c r="R975" s="70"/>
      <c r="S975" s="70"/>
      <c r="T975" s="70"/>
      <c r="U975" s="70"/>
      <c r="V975" s="70"/>
      <c r="W975" s="70"/>
      <c r="X975" s="70"/>
      <c r="Y975" s="70"/>
      <c r="Z975" s="70"/>
    </row>
    <row r="976">
      <c r="A976" s="78"/>
      <c r="B976" s="78"/>
      <c r="C976" s="80"/>
      <c r="D976" s="80"/>
      <c r="E976" s="82"/>
      <c r="F976" s="82"/>
      <c r="G976" s="82"/>
      <c r="H976" s="82"/>
      <c r="I976" s="34"/>
      <c r="J976" s="83"/>
      <c r="K976" s="83"/>
      <c r="L976" s="83"/>
      <c r="M976" s="70"/>
      <c r="N976" s="70"/>
      <c r="O976" s="70"/>
      <c r="P976" s="70"/>
      <c r="Q976" s="70"/>
      <c r="R976" s="70"/>
      <c r="S976" s="70"/>
      <c r="T976" s="70"/>
      <c r="U976" s="70"/>
      <c r="V976" s="70"/>
      <c r="W976" s="70"/>
      <c r="X976" s="70"/>
      <c r="Y976" s="70"/>
      <c r="Z976" s="70"/>
    </row>
    <row r="977">
      <c r="A977" s="78"/>
      <c r="B977" s="78"/>
      <c r="C977" s="80"/>
      <c r="D977" s="80"/>
      <c r="E977" s="82"/>
      <c r="F977" s="82"/>
      <c r="G977" s="82"/>
      <c r="H977" s="82"/>
      <c r="I977" s="34"/>
      <c r="J977" s="83"/>
      <c r="K977" s="83"/>
      <c r="L977" s="83"/>
      <c r="M977" s="70"/>
      <c r="N977" s="70"/>
      <c r="O977" s="70"/>
      <c r="P977" s="70"/>
      <c r="Q977" s="70"/>
      <c r="R977" s="70"/>
      <c r="S977" s="70"/>
      <c r="T977" s="70"/>
      <c r="U977" s="70"/>
      <c r="V977" s="70"/>
      <c r="W977" s="70"/>
      <c r="X977" s="70"/>
      <c r="Y977" s="70"/>
      <c r="Z977" s="70"/>
    </row>
    <row r="978">
      <c r="A978" s="78"/>
      <c r="B978" s="78"/>
      <c r="C978" s="80"/>
      <c r="D978" s="80"/>
      <c r="E978" s="82"/>
      <c r="F978" s="82"/>
      <c r="G978" s="82"/>
      <c r="H978" s="82"/>
      <c r="I978" s="34"/>
      <c r="J978" s="83"/>
      <c r="K978" s="83"/>
      <c r="L978" s="83"/>
      <c r="M978" s="70"/>
      <c r="N978" s="70"/>
      <c r="O978" s="70"/>
      <c r="P978" s="70"/>
      <c r="Q978" s="70"/>
      <c r="R978" s="70"/>
      <c r="S978" s="70"/>
      <c r="T978" s="70"/>
      <c r="U978" s="70"/>
      <c r="V978" s="70"/>
      <c r="W978" s="70"/>
      <c r="X978" s="70"/>
      <c r="Y978" s="70"/>
      <c r="Z978" s="70"/>
    </row>
    <row r="979">
      <c r="A979" s="78"/>
      <c r="B979" s="78"/>
      <c r="C979" s="80"/>
      <c r="D979" s="80"/>
      <c r="E979" s="82"/>
      <c r="F979" s="82"/>
      <c r="G979" s="82"/>
      <c r="H979" s="82"/>
      <c r="I979" s="34"/>
      <c r="J979" s="83"/>
      <c r="K979" s="83"/>
      <c r="L979" s="83"/>
      <c r="M979" s="70"/>
      <c r="N979" s="70"/>
      <c r="O979" s="70"/>
      <c r="P979" s="70"/>
      <c r="Q979" s="70"/>
      <c r="R979" s="70"/>
      <c r="S979" s="70"/>
      <c r="T979" s="70"/>
      <c r="U979" s="70"/>
      <c r="V979" s="70"/>
      <c r="W979" s="70"/>
      <c r="X979" s="70"/>
      <c r="Y979" s="70"/>
      <c r="Z979" s="70"/>
    </row>
    <row r="980">
      <c r="A980" s="78"/>
      <c r="B980" s="78"/>
      <c r="C980" s="80"/>
      <c r="D980" s="80"/>
      <c r="E980" s="82"/>
      <c r="F980" s="82"/>
      <c r="G980" s="82"/>
      <c r="H980" s="82"/>
      <c r="I980" s="34"/>
      <c r="J980" s="83"/>
      <c r="K980" s="83"/>
      <c r="L980" s="83"/>
      <c r="M980" s="70"/>
      <c r="N980" s="70"/>
      <c r="O980" s="70"/>
      <c r="P980" s="70"/>
      <c r="Q980" s="70"/>
      <c r="R980" s="70"/>
      <c r="S980" s="70"/>
      <c r="T980" s="70"/>
      <c r="U980" s="70"/>
      <c r="V980" s="70"/>
      <c r="W980" s="70"/>
      <c r="X980" s="70"/>
      <c r="Y980" s="70"/>
      <c r="Z980" s="70"/>
    </row>
    <row r="981">
      <c r="A981" s="78"/>
      <c r="B981" s="78"/>
      <c r="C981" s="80"/>
      <c r="D981" s="80"/>
      <c r="E981" s="82"/>
      <c r="F981" s="82"/>
      <c r="G981" s="82"/>
      <c r="H981" s="82"/>
      <c r="I981" s="34"/>
      <c r="J981" s="83"/>
      <c r="K981" s="83"/>
      <c r="L981" s="83"/>
      <c r="M981" s="70"/>
      <c r="N981" s="70"/>
      <c r="O981" s="70"/>
      <c r="P981" s="70"/>
      <c r="Q981" s="70"/>
      <c r="R981" s="70"/>
      <c r="S981" s="70"/>
      <c r="T981" s="70"/>
      <c r="U981" s="70"/>
      <c r="V981" s="70"/>
      <c r="W981" s="70"/>
      <c r="X981" s="70"/>
      <c r="Y981" s="70"/>
      <c r="Z981" s="70"/>
    </row>
    <row r="982">
      <c r="A982" s="78"/>
      <c r="B982" s="78"/>
      <c r="C982" s="80"/>
      <c r="D982" s="80"/>
      <c r="E982" s="82"/>
      <c r="F982" s="82"/>
      <c r="G982" s="82"/>
      <c r="H982" s="82"/>
      <c r="I982" s="34"/>
      <c r="J982" s="83"/>
      <c r="K982" s="83"/>
      <c r="L982" s="83"/>
      <c r="M982" s="70"/>
      <c r="N982" s="70"/>
      <c r="O982" s="70"/>
      <c r="P982" s="70"/>
      <c r="Q982" s="70"/>
      <c r="R982" s="70"/>
      <c r="S982" s="70"/>
      <c r="T982" s="70"/>
      <c r="U982" s="70"/>
      <c r="V982" s="70"/>
      <c r="W982" s="70"/>
      <c r="X982" s="70"/>
      <c r="Y982" s="70"/>
      <c r="Z982" s="70"/>
    </row>
    <row r="983">
      <c r="A983" s="78"/>
      <c r="B983" s="78"/>
      <c r="C983" s="80"/>
      <c r="D983" s="80"/>
      <c r="E983" s="82"/>
      <c r="F983" s="82"/>
      <c r="G983" s="82"/>
      <c r="H983" s="82"/>
      <c r="I983" s="34"/>
      <c r="J983" s="83"/>
      <c r="K983" s="83"/>
      <c r="L983" s="83"/>
      <c r="M983" s="70"/>
      <c r="N983" s="70"/>
      <c r="O983" s="70"/>
      <c r="P983" s="70"/>
      <c r="Q983" s="70"/>
      <c r="R983" s="70"/>
      <c r="S983" s="70"/>
      <c r="T983" s="70"/>
      <c r="U983" s="70"/>
      <c r="V983" s="70"/>
      <c r="W983" s="70"/>
      <c r="X983" s="70"/>
      <c r="Y983" s="70"/>
      <c r="Z983" s="70"/>
    </row>
    <row r="984">
      <c r="A984" s="78"/>
      <c r="B984" s="78"/>
      <c r="C984" s="80"/>
      <c r="D984" s="80"/>
      <c r="E984" s="82"/>
      <c r="F984" s="82"/>
      <c r="G984" s="82"/>
      <c r="H984" s="82"/>
      <c r="I984" s="34"/>
      <c r="J984" s="83"/>
      <c r="K984" s="83"/>
      <c r="L984" s="83"/>
      <c r="M984" s="70"/>
      <c r="N984" s="70"/>
      <c r="O984" s="70"/>
      <c r="P984" s="70"/>
      <c r="Q984" s="70"/>
      <c r="R984" s="70"/>
      <c r="S984" s="70"/>
      <c r="T984" s="70"/>
      <c r="U984" s="70"/>
      <c r="V984" s="70"/>
      <c r="W984" s="70"/>
      <c r="X984" s="70"/>
      <c r="Y984" s="70"/>
      <c r="Z984" s="70"/>
    </row>
    <row r="985">
      <c r="A985" s="78"/>
      <c r="B985" s="78"/>
      <c r="C985" s="80"/>
      <c r="D985" s="80"/>
      <c r="E985" s="82"/>
      <c r="F985" s="82"/>
      <c r="G985" s="82"/>
      <c r="H985" s="82"/>
      <c r="I985" s="34"/>
      <c r="J985" s="83"/>
      <c r="K985" s="83"/>
      <c r="L985" s="83"/>
      <c r="M985" s="70"/>
      <c r="N985" s="70"/>
      <c r="O985" s="70"/>
      <c r="P985" s="70"/>
      <c r="Q985" s="70"/>
      <c r="R985" s="70"/>
      <c r="S985" s="70"/>
      <c r="T985" s="70"/>
      <c r="U985" s="70"/>
      <c r="V985" s="70"/>
      <c r="W985" s="70"/>
      <c r="X985" s="70"/>
      <c r="Y985" s="70"/>
      <c r="Z985" s="70"/>
    </row>
    <row r="986">
      <c r="A986" s="78"/>
      <c r="B986" s="78"/>
      <c r="C986" s="80"/>
      <c r="D986" s="80"/>
      <c r="E986" s="82"/>
      <c r="F986" s="82"/>
      <c r="G986" s="82"/>
      <c r="H986" s="82"/>
      <c r="I986" s="34"/>
      <c r="J986" s="83"/>
      <c r="K986" s="83"/>
      <c r="L986" s="83"/>
      <c r="M986" s="70"/>
      <c r="N986" s="70"/>
      <c r="O986" s="70"/>
      <c r="P986" s="70"/>
      <c r="Q986" s="70"/>
      <c r="R986" s="70"/>
      <c r="S986" s="70"/>
      <c r="T986" s="70"/>
      <c r="U986" s="70"/>
      <c r="V986" s="70"/>
      <c r="W986" s="70"/>
      <c r="X986" s="70"/>
      <c r="Y986" s="70"/>
      <c r="Z986" s="70"/>
    </row>
    <row r="987">
      <c r="A987" s="78"/>
      <c r="B987" s="78"/>
      <c r="C987" s="80"/>
      <c r="D987" s="80"/>
      <c r="E987" s="82"/>
      <c r="F987" s="82"/>
      <c r="G987" s="82"/>
      <c r="H987" s="82"/>
      <c r="I987" s="34"/>
      <c r="J987" s="83"/>
      <c r="K987" s="83"/>
      <c r="L987" s="83"/>
      <c r="M987" s="70"/>
      <c r="N987" s="70"/>
      <c r="O987" s="70"/>
      <c r="P987" s="70"/>
      <c r="Q987" s="70"/>
      <c r="R987" s="70"/>
      <c r="S987" s="70"/>
      <c r="T987" s="70"/>
      <c r="U987" s="70"/>
      <c r="V987" s="70"/>
      <c r="W987" s="70"/>
      <c r="X987" s="70"/>
      <c r="Y987" s="70"/>
      <c r="Z987" s="70"/>
    </row>
    <row r="988">
      <c r="A988" s="78"/>
      <c r="B988" s="78"/>
      <c r="C988" s="80"/>
      <c r="D988" s="80"/>
      <c r="E988" s="82"/>
      <c r="F988" s="82"/>
      <c r="G988" s="82"/>
      <c r="H988" s="82"/>
      <c r="I988" s="34"/>
      <c r="J988" s="83"/>
      <c r="K988" s="83"/>
      <c r="L988" s="83"/>
      <c r="M988" s="70"/>
      <c r="N988" s="70"/>
      <c r="O988" s="70"/>
      <c r="P988" s="70"/>
      <c r="Q988" s="70"/>
      <c r="R988" s="70"/>
      <c r="S988" s="70"/>
      <c r="T988" s="70"/>
      <c r="U988" s="70"/>
      <c r="V988" s="70"/>
      <c r="W988" s="70"/>
      <c r="X988" s="70"/>
      <c r="Y988" s="70"/>
      <c r="Z988" s="70"/>
    </row>
    <row r="989">
      <c r="A989" s="78"/>
      <c r="B989" s="78"/>
      <c r="C989" s="80"/>
      <c r="D989" s="80"/>
      <c r="E989" s="82"/>
      <c r="F989" s="82"/>
      <c r="G989" s="82"/>
      <c r="H989" s="82"/>
      <c r="I989" s="34"/>
      <c r="J989" s="83"/>
      <c r="K989" s="83"/>
      <c r="L989" s="83"/>
      <c r="M989" s="70"/>
      <c r="N989" s="70"/>
      <c r="O989" s="70"/>
      <c r="P989" s="70"/>
      <c r="Q989" s="70"/>
      <c r="R989" s="70"/>
      <c r="S989" s="70"/>
      <c r="T989" s="70"/>
      <c r="U989" s="70"/>
      <c r="V989" s="70"/>
      <c r="W989" s="70"/>
      <c r="X989" s="70"/>
      <c r="Y989" s="70"/>
      <c r="Z989" s="70"/>
    </row>
    <row r="990">
      <c r="A990" s="78"/>
      <c r="B990" s="78"/>
      <c r="C990" s="80"/>
      <c r="D990" s="80"/>
      <c r="E990" s="82"/>
      <c r="F990" s="82"/>
      <c r="G990" s="82"/>
      <c r="H990" s="82"/>
      <c r="I990" s="34"/>
      <c r="J990" s="83"/>
      <c r="K990" s="83"/>
      <c r="L990" s="83"/>
      <c r="M990" s="70"/>
      <c r="N990" s="70"/>
      <c r="O990" s="70"/>
      <c r="P990" s="70"/>
      <c r="Q990" s="70"/>
      <c r="R990" s="70"/>
      <c r="S990" s="70"/>
      <c r="T990" s="70"/>
      <c r="U990" s="70"/>
      <c r="V990" s="70"/>
      <c r="W990" s="70"/>
      <c r="X990" s="70"/>
      <c r="Y990" s="70"/>
      <c r="Z990" s="70"/>
    </row>
    <row r="991">
      <c r="A991" s="78"/>
      <c r="B991" s="78"/>
      <c r="C991" s="80"/>
      <c r="D991" s="80"/>
      <c r="E991" s="82"/>
      <c r="F991" s="82"/>
      <c r="G991" s="82"/>
      <c r="H991" s="82"/>
      <c r="I991" s="34"/>
      <c r="J991" s="83"/>
      <c r="K991" s="83"/>
      <c r="L991" s="83"/>
      <c r="M991" s="70"/>
      <c r="N991" s="70"/>
      <c r="O991" s="70"/>
      <c r="P991" s="70"/>
      <c r="Q991" s="70"/>
      <c r="R991" s="70"/>
      <c r="S991" s="70"/>
      <c r="T991" s="70"/>
      <c r="U991" s="70"/>
      <c r="V991" s="70"/>
      <c r="W991" s="70"/>
      <c r="X991" s="70"/>
      <c r="Y991" s="70"/>
      <c r="Z991" s="70"/>
    </row>
    <row r="992">
      <c r="A992" s="78"/>
      <c r="B992" s="78"/>
      <c r="C992" s="80"/>
      <c r="D992" s="80"/>
      <c r="E992" s="82"/>
      <c r="F992" s="82"/>
      <c r="G992" s="82"/>
      <c r="H992" s="82"/>
      <c r="I992" s="34"/>
      <c r="J992" s="83"/>
      <c r="K992" s="83"/>
      <c r="L992" s="83"/>
      <c r="M992" s="70"/>
      <c r="N992" s="70"/>
      <c r="O992" s="70"/>
      <c r="P992" s="70"/>
      <c r="Q992" s="70"/>
      <c r="R992" s="70"/>
      <c r="S992" s="70"/>
      <c r="T992" s="70"/>
      <c r="U992" s="70"/>
      <c r="V992" s="70"/>
      <c r="W992" s="70"/>
      <c r="X992" s="70"/>
      <c r="Y992" s="70"/>
      <c r="Z992" s="70"/>
    </row>
    <row r="993">
      <c r="A993" s="78"/>
      <c r="B993" s="78"/>
      <c r="C993" s="80"/>
      <c r="D993" s="80"/>
      <c r="E993" s="82"/>
      <c r="F993" s="82"/>
      <c r="G993" s="82"/>
      <c r="H993" s="82"/>
      <c r="I993" s="34"/>
      <c r="J993" s="83"/>
      <c r="K993" s="83"/>
      <c r="L993" s="83"/>
      <c r="M993" s="70"/>
      <c r="N993" s="70"/>
      <c r="O993" s="70"/>
      <c r="P993" s="70"/>
      <c r="Q993" s="70"/>
      <c r="R993" s="70"/>
      <c r="S993" s="70"/>
      <c r="T993" s="70"/>
      <c r="U993" s="70"/>
      <c r="V993" s="70"/>
      <c r="W993" s="70"/>
      <c r="X993" s="70"/>
      <c r="Y993" s="70"/>
      <c r="Z993" s="70"/>
    </row>
    <row r="994">
      <c r="A994" s="78"/>
      <c r="B994" s="78"/>
      <c r="C994" s="80"/>
      <c r="D994" s="80"/>
      <c r="E994" s="82"/>
      <c r="F994" s="82"/>
      <c r="G994" s="82"/>
      <c r="H994" s="82"/>
      <c r="I994" s="34"/>
      <c r="J994" s="83"/>
      <c r="K994" s="83"/>
      <c r="L994" s="83"/>
      <c r="M994" s="70"/>
      <c r="N994" s="70"/>
      <c r="O994" s="70"/>
      <c r="P994" s="70"/>
      <c r="Q994" s="70"/>
      <c r="R994" s="70"/>
      <c r="S994" s="70"/>
      <c r="T994" s="70"/>
      <c r="U994" s="70"/>
      <c r="V994" s="70"/>
      <c r="W994" s="70"/>
      <c r="X994" s="70"/>
      <c r="Y994" s="70"/>
      <c r="Z994" s="70"/>
    </row>
    <row r="995">
      <c r="A995" s="78"/>
      <c r="B995" s="78"/>
      <c r="C995" s="80"/>
      <c r="D995" s="80"/>
      <c r="E995" s="82"/>
      <c r="F995" s="82"/>
      <c r="G995" s="82"/>
      <c r="H995" s="82"/>
      <c r="I995" s="34"/>
      <c r="J995" s="83"/>
      <c r="K995" s="83"/>
      <c r="L995" s="83"/>
      <c r="M995" s="70"/>
      <c r="N995" s="70"/>
      <c r="O995" s="70"/>
      <c r="P995" s="70"/>
      <c r="Q995" s="70"/>
      <c r="R995" s="70"/>
      <c r="S995" s="70"/>
      <c r="T995" s="70"/>
      <c r="U995" s="70"/>
      <c r="V995" s="70"/>
      <c r="W995" s="70"/>
      <c r="X995" s="70"/>
      <c r="Y995" s="70"/>
      <c r="Z995" s="70"/>
    </row>
    <row r="996">
      <c r="A996" s="78"/>
      <c r="B996" s="78"/>
      <c r="C996" s="80"/>
      <c r="D996" s="80"/>
      <c r="E996" s="82"/>
      <c r="F996" s="82"/>
      <c r="G996" s="82"/>
      <c r="H996" s="82"/>
      <c r="I996" s="34"/>
      <c r="J996" s="83"/>
      <c r="K996" s="83"/>
      <c r="L996" s="83"/>
      <c r="M996" s="70"/>
      <c r="N996" s="70"/>
      <c r="O996" s="70"/>
      <c r="P996" s="70"/>
      <c r="Q996" s="70"/>
      <c r="R996" s="70"/>
      <c r="S996" s="70"/>
      <c r="T996" s="70"/>
      <c r="U996" s="70"/>
      <c r="V996" s="70"/>
      <c r="W996" s="70"/>
      <c r="X996" s="70"/>
      <c r="Y996" s="70"/>
      <c r="Z996" s="70"/>
    </row>
    <row r="997">
      <c r="A997" s="78"/>
      <c r="B997" s="78"/>
      <c r="C997" s="80"/>
      <c r="D997" s="80"/>
      <c r="E997" s="82"/>
      <c r="F997" s="82"/>
      <c r="G997" s="82"/>
      <c r="H997" s="82"/>
      <c r="I997" s="34"/>
      <c r="J997" s="83"/>
      <c r="K997" s="83"/>
      <c r="L997" s="83"/>
      <c r="M997" s="70"/>
      <c r="N997" s="70"/>
      <c r="O997" s="70"/>
      <c r="P997" s="70"/>
      <c r="Q997" s="70"/>
      <c r="R997" s="70"/>
      <c r="S997" s="70"/>
      <c r="T997" s="70"/>
      <c r="U997" s="70"/>
      <c r="V997" s="70"/>
      <c r="W997" s="70"/>
      <c r="X997" s="70"/>
      <c r="Y997" s="70"/>
      <c r="Z997" s="70"/>
    </row>
    <row r="998">
      <c r="A998" s="78"/>
      <c r="B998" s="78"/>
      <c r="C998" s="80"/>
      <c r="D998" s="80"/>
      <c r="E998" s="82"/>
      <c r="F998" s="82"/>
      <c r="G998" s="82"/>
      <c r="H998" s="82"/>
      <c r="I998" s="34"/>
      <c r="J998" s="83"/>
      <c r="K998" s="83"/>
      <c r="L998" s="83"/>
      <c r="M998" s="70"/>
      <c r="N998" s="70"/>
      <c r="O998" s="70"/>
      <c r="P998" s="70"/>
      <c r="Q998" s="70"/>
      <c r="R998" s="70"/>
      <c r="S998" s="70"/>
      <c r="T998" s="70"/>
      <c r="U998" s="70"/>
      <c r="V998" s="70"/>
      <c r="W998" s="70"/>
      <c r="X998" s="70"/>
      <c r="Y998" s="70"/>
      <c r="Z998" s="70"/>
    </row>
    <row r="999">
      <c r="A999" s="78"/>
      <c r="B999" s="78"/>
      <c r="C999" s="80"/>
      <c r="D999" s="80"/>
      <c r="E999" s="82"/>
      <c r="F999" s="82"/>
      <c r="G999" s="82"/>
      <c r="H999" s="82"/>
      <c r="I999" s="34"/>
      <c r="J999" s="83"/>
      <c r="K999" s="83"/>
      <c r="L999" s="83"/>
      <c r="M999" s="70"/>
      <c r="N999" s="70"/>
      <c r="O999" s="70"/>
      <c r="P999" s="70"/>
      <c r="Q999" s="70"/>
      <c r="R999" s="70"/>
      <c r="S999" s="70"/>
      <c r="T999" s="70"/>
      <c r="U999" s="70"/>
      <c r="V999" s="70"/>
      <c r="W999" s="70"/>
      <c r="X999" s="70"/>
      <c r="Y999" s="70"/>
      <c r="Z999" s="70"/>
    </row>
    <row r="1000">
      <c r="A1000" s="78"/>
      <c r="B1000" s="78"/>
      <c r="C1000" s="80"/>
      <c r="D1000" s="80"/>
      <c r="E1000" s="82"/>
      <c r="F1000" s="82"/>
      <c r="G1000" s="82"/>
      <c r="H1000" s="82"/>
      <c r="I1000" s="34"/>
      <c r="J1000" s="83"/>
      <c r="K1000" s="83"/>
      <c r="L1000" s="83"/>
      <c r="M1000" s="70"/>
      <c r="N1000" s="70"/>
      <c r="O1000" s="70"/>
      <c r="P1000" s="70"/>
      <c r="Q1000" s="70"/>
      <c r="R1000" s="70"/>
      <c r="S1000" s="70"/>
      <c r="T1000" s="70"/>
      <c r="U1000" s="70"/>
      <c r="V1000" s="70"/>
      <c r="W1000" s="70"/>
      <c r="X1000" s="70"/>
      <c r="Y1000" s="70"/>
      <c r="Z1000" s="70"/>
    </row>
    <row r="1001">
      <c r="A1001" s="78"/>
      <c r="B1001" s="78"/>
      <c r="C1001" s="80"/>
      <c r="D1001" s="80"/>
      <c r="E1001" s="82"/>
      <c r="F1001" s="82"/>
      <c r="G1001" s="82"/>
      <c r="H1001" s="82"/>
      <c r="I1001" s="34"/>
      <c r="J1001" s="83"/>
      <c r="K1001" s="83"/>
      <c r="L1001" s="83"/>
      <c r="M1001" s="70"/>
      <c r="N1001" s="70"/>
      <c r="O1001" s="70"/>
      <c r="P1001" s="70"/>
      <c r="Q1001" s="70"/>
      <c r="R1001" s="70"/>
      <c r="S1001" s="70"/>
      <c r="T1001" s="70"/>
      <c r="U1001" s="70"/>
      <c r="V1001" s="70"/>
      <c r="W1001" s="70"/>
      <c r="X1001" s="70"/>
      <c r="Y1001" s="70"/>
      <c r="Z1001" s="70"/>
    </row>
    <row r="1002">
      <c r="A1002" s="78"/>
      <c r="B1002" s="78"/>
      <c r="C1002" s="80"/>
      <c r="D1002" s="80"/>
      <c r="E1002" s="82"/>
      <c r="F1002" s="82"/>
      <c r="G1002" s="82"/>
      <c r="H1002" s="82"/>
      <c r="I1002" s="34"/>
      <c r="J1002" s="83"/>
      <c r="K1002" s="83"/>
      <c r="L1002" s="83"/>
      <c r="M1002" s="70"/>
      <c r="N1002" s="70"/>
      <c r="O1002" s="70"/>
      <c r="P1002" s="70"/>
      <c r="Q1002" s="70"/>
      <c r="R1002" s="70"/>
      <c r="S1002" s="70"/>
      <c r="T1002" s="70"/>
      <c r="U1002" s="70"/>
      <c r="V1002" s="70"/>
      <c r="W1002" s="70"/>
      <c r="X1002" s="70"/>
      <c r="Y1002" s="70"/>
      <c r="Z1002" s="70"/>
    </row>
    <row r="1003">
      <c r="A1003" s="78"/>
      <c r="B1003" s="78"/>
      <c r="C1003" s="80"/>
      <c r="D1003" s="80"/>
      <c r="E1003" s="82"/>
      <c r="F1003" s="82"/>
      <c r="G1003" s="82"/>
      <c r="H1003" s="82"/>
      <c r="I1003" s="34"/>
      <c r="J1003" s="83"/>
      <c r="K1003" s="83"/>
      <c r="L1003" s="83"/>
      <c r="M1003" s="70"/>
      <c r="N1003" s="70"/>
      <c r="O1003" s="70"/>
      <c r="P1003" s="70"/>
      <c r="Q1003" s="70"/>
      <c r="R1003" s="70"/>
      <c r="S1003" s="70"/>
      <c r="T1003" s="70"/>
      <c r="U1003" s="70"/>
      <c r="V1003" s="70"/>
      <c r="W1003" s="70"/>
      <c r="X1003" s="70"/>
      <c r="Y1003" s="70"/>
      <c r="Z1003" s="70"/>
    </row>
    <row r="1004">
      <c r="A1004" s="78"/>
      <c r="B1004" s="78"/>
      <c r="C1004" s="80"/>
      <c r="D1004" s="80"/>
      <c r="E1004" s="82"/>
      <c r="F1004" s="82"/>
      <c r="G1004" s="82"/>
      <c r="H1004" s="82"/>
      <c r="I1004" s="34"/>
      <c r="J1004" s="83"/>
      <c r="K1004" s="83"/>
      <c r="L1004" s="83"/>
      <c r="M1004" s="70"/>
      <c r="N1004" s="70"/>
      <c r="O1004" s="70"/>
      <c r="P1004" s="70"/>
      <c r="Q1004" s="70"/>
      <c r="R1004" s="70"/>
      <c r="S1004" s="70"/>
      <c r="T1004" s="70"/>
      <c r="U1004" s="70"/>
      <c r="V1004" s="70"/>
      <c r="W1004" s="70"/>
      <c r="X1004" s="70"/>
      <c r="Y1004" s="70"/>
      <c r="Z1004" s="70"/>
    </row>
    <row r="1005">
      <c r="A1005" s="78"/>
      <c r="B1005" s="78"/>
      <c r="C1005" s="80"/>
      <c r="D1005" s="80"/>
      <c r="E1005" s="82"/>
      <c r="F1005" s="82"/>
      <c r="G1005" s="82"/>
      <c r="H1005" s="82"/>
      <c r="I1005" s="34"/>
      <c r="J1005" s="83"/>
      <c r="K1005" s="83"/>
      <c r="L1005" s="83"/>
      <c r="M1005" s="70"/>
      <c r="N1005" s="70"/>
      <c r="O1005" s="70"/>
      <c r="P1005" s="70"/>
      <c r="Q1005" s="70"/>
      <c r="R1005" s="70"/>
      <c r="S1005" s="70"/>
      <c r="T1005" s="70"/>
      <c r="U1005" s="70"/>
      <c r="V1005" s="70"/>
      <c r="W1005" s="70"/>
      <c r="X1005" s="70"/>
      <c r="Y1005" s="70"/>
      <c r="Z1005" s="70"/>
    </row>
    <row r="1006">
      <c r="A1006" s="78"/>
      <c r="B1006" s="78"/>
      <c r="C1006" s="80"/>
      <c r="D1006" s="80"/>
      <c r="E1006" s="82"/>
      <c r="F1006" s="82"/>
      <c r="G1006" s="82"/>
      <c r="H1006" s="82"/>
      <c r="I1006" s="34"/>
      <c r="J1006" s="83"/>
      <c r="K1006" s="83"/>
      <c r="L1006" s="83"/>
      <c r="M1006" s="70"/>
      <c r="N1006" s="70"/>
      <c r="O1006" s="70"/>
      <c r="P1006" s="70"/>
      <c r="Q1006" s="70"/>
      <c r="R1006" s="70"/>
      <c r="S1006" s="70"/>
      <c r="T1006" s="70"/>
      <c r="U1006" s="70"/>
      <c r="V1006" s="70"/>
      <c r="W1006" s="70"/>
      <c r="X1006" s="70"/>
      <c r="Y1006" s="70"/>
      <c r="Z1006" s="70"/>
    </row>
    <row r="1007">
      <c r="A1007" s="78"/>
      <c r="B1007" s="78"/>
      <c r="C1007" s="80"/>
      <c r="D1007" s="80"/>
      <c r="E1007" s="82"/>
      <c r="F1007" s="82"/>
      <c r="G1007" s="82"/>
      <c r="H1007" s="82"/>
      <c r="I1007" s="34"/>
      <c r="J1007" s="83"/>
      <c r="K1007" s="83"/>
      <c r="L1007" s="83"/>
      <c r="M1007" s="70"/>
      <c r="N1007" s="70"/>
      <c r="O1007" s="70"/>
      <c r="P1007" s="70"/>
      <c r="Q1007" s="70"/>
      <c r="R1007" s="70"/>
      <c r="S1007" s="70"/>
      <c r="T1007" s="70"/>
      <c r="U1007" s="70"/>
      <c r="V1007" s="70"/>
      <c r="W1007" s="70"/>
      <c r="X1007" s="70"/>
      <c r="Y1007" s="70"/>
      <c r="Z1007" s="70"/>
    </row>
    <row r="1008">
      <c r="A1008" s="78"/>
      <c r="B1008" s="78"/>
      <c r="C1008" s="80"/>
      <c r="D1008" s="80"/>
      <c r="E1008" s="82"/>
      <c r="F1008" s="82"/>
      <c r="G1008" s="82"/>
      <c r="H1008" s="82"/>
      <c r="I1008" s="34"/>
      <c r="J1008" s="83"/>
      <c r="K1008" s="83"/>
      <c r="L1008" s="83"/>
      <c r="M1008" s="70"/>
      <c r="N1008" s="70"/>
      <c r="O1008" s="70"/>
      <c r="P1008" s="70"/>
      <c r="Q1008" s="70"/>
      <c r="R1008" s="70"/>
      <c r="S1008" s="70"/>
      <c r="T1008" s="70"/>
      <c r="U1008" s="70"/>
      <c r="V1008" s="70"/>
      <c r="W1008" s="70"/>
      <c r="X1008" s="70"/>
      <c r="Y1008" s="70"/>
      <c r="Z1008" s="70"/>
    </row>
    <row r="1009">
      <c r="A1009" s="78"/>
      <c r="B1009" s="78"/>
      <c r="C1009" s="80"/>
      <c r="D1009" s="80"/>
      <c r="E1009" s="82"/>
      <c r="F1009" s="82"/>
      <c r="G1009" s="82"/>
      <c r="H1009" s="82"/>
      <c r="I1009" s="34"/>
      <c r="J1009" s="83"/>
      <c r="K1009" s="83"/>
      <c r="L1009" s="83"/>
      <c r="M1009" s="70"/>
      <c r="N1009" s="70"/>
      <c r="O1009" s="70"/>
      <c r="P1009" s="70"/>
      <c r="Q1009" s="70"/>
      <c r="R1009" s="70"/>
      <c r="S1009" s="70"/>
      <c r="T1009" s="70"/>
      <c r="U1009" s="70"/>
      <c r="V1009" s="70"/>
      <c r="W1009" s="70"/>
      <c r="X1009" s="70"/>
      <c r="Y1009" s="70"/>
      <c r="Z1009" s="70"/>
    </row>
    <row r="1010">
      <c r="A1010" s="78"/>
      <c r="B1010" s="78"/>
      <c r="C1010" s="80"/>
      <c r="D1010" s="80"/>
      <c r="E1010" s="82"/>
      <c r="F1010" s="82"/>
      <c r="G1010" s="82"/>
      <c r="H1010" s="82"/>
      <c r="I1010" s="34"/>
      <c r="J1010" s="83"/>
      <c r="K1010" s="83"/>
      <c r="L1010" s="83"/>
      <c r="M1010" s="70"/>
      <c r="N1010" s="70"/>
      <c r="O1010" s="70"/>
      <c r="P1010" s="70"/>
      <c r="Q1010" s="70"/>
      <c r="R1010" s="70"/>
      <c r="S1010" s="70"/>
      <c r="T1010" s="70"/>
      <c r="U1010" s="70"/>
      <c r="V1010" s="70"/>
      <c r="W1010" s="70"/>
      <c r="X1010" s="70"/>
      <c r="Y1010" s="70"/>
      <c r="Z1010" s="70"/>
    </row>
    <row r="1011">
      <c r="A1011" s="78"/>
      <c r="B1011" s="78"/>
      <c r="C1011" s="80"/>
      <c r="D1011" s="80"/>
      <c r="E1011" s="82"/>
      <c r="F1011" s="82"/>
      <c r="G1011" s="82"/>
      <c r="H1011" s="82"/>
      <c r="I1011" s="34"/>
      <c r="J1011" s="83"/>
      <c r="K1011" s="83"/>
      <c r="L1011" s="83"/>
      <c r="M1011" s="70"/>
      <c r="N1011" s="70"/>
      <c r="O1011" s="70"/>
      <c r="P1011" s="70"/>
      <c r="Q1011" s="70"/>
      <c r="R1011" s="70"/>
      <c r="S1011" s="70"/>
      <c r="T1011" s="70"/>
      <c r="U1011" s="70"/>
      <c r="V1011" s="70"/>
      <c r="W1011" s="70"/>
      <c r="X1011" s="70"/>
      <c r="Y1011" s="70"/>
      <c r="Z1011" s="70"/>
    </row>
    <row r="1012">
      <c r="A1012" s="78"/>
      <c r="B1012" s="78"/>
      <c r="C1012" s="80"/>
      <c r="D1012" s="80"/>
      <c r="E1012" s="82"/>
      <c r="F1012" s="82"/>
      <c r="G1012" s="82"/>
      <c r="H1012" s="82"/>
      <c r="I1012" s="34"/>
      <c r="J1012" s="83"/>
      <c r="K1012" s="83"/>
      <c r="L1012" s="83"/>
      <c r="M1012" s="70"/>
      <c r="N1012" s="70"/>
      <c r="O1012" s="70"/>
      <c r="P1012" s="70"/>
      <c r="Q1012" s="70"/>
      <c r="R1012" s="70"/>
      <c r="S1012" s="70"/>
      <c r="T1012" s="70"/>
      <c r="U1012" s="70"/>
      <c r="V1012" s="70"/>
      <c r="W1012" s="70"/>
      <c r="X1012" s="70"/>
      <c r="Y1012" s="70"/>
      <c r="Z1012" s="70"/>
    </row>
    <row r="1013">
      <c r="A1013" s="78"/>
      <c r="B1013" s="78"/>
      <c r="C1013" s="80"/>
      <c r="D1013" s="80"/>
      <c r="E1013" s="82"/>
      <c r="F1013" s="82"/>
      <c r="G1013" s="82"/>
      <c r="H1013" s="82"/>
      <c r="I1013" s="34"/>
      <c r="J1013" s="83"/>
      <c r="K1013" s="83"/>
      <c r="L1013" s="83"/>
      <c r="M1013" s="70"/>
      <c r="N1013" s="70"/>
      <c r="O1013" s="70"/>
      <c r="P1013" s="70"/>
      <c r="Q1013" s="70"/>
      <c r="R1013" s="70"/>
      <c r="S1013" s="70"/>
      <c r="T1013" s="70"/>
      <c r="U1013" s="70"/>
      <c r="V1013" s="70"/>
      <c r="W1013" s="70"/>
      <c r="X1013" s="70"/>
      <c r="Y1013" s="70"/>
      <c r="Z1013" s="70"/>
    </row>
    <row r="1014">
      <c r="A1014" s="78"/>
      <c r="B1014" s="78"/>
      <c r="C1014" s="80"/>
      <c r="D1014" s="80"/>
      <c r="E1014" s="82"/>
      <c r="F1014" s="82"/>
      <c r="G1014" s="82"/>
      <c r="H1014" s="82"/>
      <c r="I1014" s="34"/>
      <c r="J1014" s="83"/>
      <c r="K1014" s="83"/>
      <c r="L1014" s="83"/>
      <c r="M1014" s="70"/>
      <c r="N1014" s="70"/>
      <c r="O1014" s="70"/>
      <c r="P1014" s="70"/>
      <c r="Q1014" s="70"/>
      <c r="R1014" s="70"/>
      <c r="S1014" s="70"/>
      <c r="T1014" s="70"/>
      <c r="U1014" s="70"/>
      <c r="V1014" s="70"/>
      <c r="W1014" s="70"/>
      <c r="X1014" s="70"/>
      <c r="Y1014" s="70"/>
      <c r="Z1014" s="70"/>
    </row>
    <row r="1015">
      <c r="A1015" s="78"/>
      <c r="B1015" s="78"/>
      <c r="C1015" s="80"/>
      <c r="D1015" s="80"/>
      <c r="E1015" s="82"/>
      <c r="F1015" s="82"/>
      <c r="G1015" s="82"/>
      <c r="H1015" s="82"/>
      <c r="I1015" s="34"/>
      <c r="J1015" s="83"/>
      <c r="K1015" s="83"/>
      <c r="L1015" s="83"/>
      <c r="M1015" s="70"/>
      <c r="N1015" s="70"/>
      <c r="O1015" s="70"/>
      <c r="P1015" s="70"/>
      <c r="Q1015" s="70"/>
      <c r="R1015" s="70"/>
      <c r="S1015" s="70"/>
      <c r="T1015" s="70"/>
      <c r="U1015" s="70"/>
      <c r="V1015" s="70"/>
      <c r="W1015" s="70"/>
      <c r="X1015" s="70"/>
      <c r="Y1015" s="70"/>
      <c r="Z1015" s="70"/>
    </row>
    <row r="1016">
      <c r="A1016" s="78"/>
      <c r="B1016" s="78"/>
      <c r="C1016" s="80"/>
      <c r="D1016" s="80"/>
      <c r="E1016" s="82"/>
      <c r="F1016" s="82"/>
      <c r="G1016" s="82"/>
      <c r="H1016" s="82"/>
      <c r="I1016" s="34"/>
      <c r="J1016" s="83"/>
      <c r="K1016" s="83"/>
      <c r="L1016" s="83"/>
      <c r="M1016" s="70"/>
      <c r="N1016" s="70"/>
      <c r="O1016" s="70"/>
      <c r="P1016" s="70"/>
      <c r="Q1016" s="70"/>
      <c r="R1016" s="70"/>
      <c r="S1016" s="70"/>
      <c r="T1016" s="70"/>
      <c r="U1016" s="70"/>
      <c r="V1016" s="70"/>
      <c r="W1016" s="70"/>
      <c r="X1016" s="70"/>
      <c r="Y1016" s="70"/>
      <c r="Z1016" s="70"/>
    </row>
    <row r="1017">
      <c r="A1017" s="78"/>
      <c r="B1017" s="78"/>
      <c r="C1017" s="80"/>
      <c r="D1017" s="80"/>
      <c r="E1017" s="82"/>
      <c r="F1017" s="82"/>
      <c r="G1017" s="82"/>
      <c r="H1017" s="82"/>
      <c r="I1017" s="34"/>
      <c r="J1017" s="83"/>
      <c r="K1017" s="83"/>
      <c r="L1017" s="83"/>
      <c r="M1017" s="70"/>
      <c r="N1017" s="70"/>
      <c r="O1017" s="70"/>
      <c r="P1017" s="70"/>
      <c r="Q1017" s="70"/>
      <c r="R1017" s="70"/>
      <c r="S1017" s="70"/>
      <c r="T1017" s="70"/>
      <c r="U1017" s="70"/>
      <c r="V1017" s="70"/>
      <c r="W1017" s="70"/>
      <c r="X1017" s="70"/>
      <c r="Y1017" s="70"/>
      <c r="Z1017" s="70"/>
    </row>
    <row r="1018">
      <c r="A1018" s="78"/>
      <c r="B1018" s="78"/>
      <c r="C1018" s="80"/>
      <c r="D1018" s="80"/>
      <c r="E1018" s="82"/>
      <c r="F1018" s="82"/>
      <c r="G1018" s="82"/>
      <c r="H1018" s="82"/>
      <c r="I1018" s="34"/>
      <c r="J1018" s="83"/>
      <c r="K1018" s="83"/>
      <c r="L1018" s="83"/>
      <c r="M1018" s="70"/>
      <c r="N1018" s="70"/>
      <c r="O1018" s="70"/>
      <c r="P1018" s="70"/>
      <c r="Q1018" s="70"/>
      <c r="R1018" s="70"/>
      <c r="S1018" s="70"/>
      <c r="T1018" s="70"/>
      <c r="U1018" s="70"/>
      <c r="V1018" s="70"/>
      <c r="W1018" s="70"/>
      <c r="X1018" s="70"/>
      <c r="Y1018" s="70"/>
      <c r="Z1018" s="70"/>
    </row>
    <row r="1019">
      <c r="A1019" s="78"/>
      <c r="B1019" s="78"/>
      <c r="C1019" s="80"/>
      <c r="D1019" s="80"/>
      <c r="E1019" s="82"/>
      <c r="F1019" s="82"/>
      <c r="G1019" s="82"/>
      <c r="H1019" s="82"/>
      <c r="I1019" s="34"/>
      <c r="J1019" s="83"/>
      <c r="K1019" s="83"/>
      <c r="L1019" s="83"/>
      <c r="M1019" s="70"/>
      <c r="N1019" s="70"/>
      <c r="O1019" s="70"/>
      <c r="P1019" s="70"/>
      <c r="Q1019" s="70"/>
      <c r="R1019" s="70"/>
      <c r="S1019" s="70"/>
      <c r="T1019" s="70"/>
      <c r="U1019" s="70"/>
      <c r="V1019" s="70"/>
      <c r="W1019" s="70"/>
      <c r="X1019" s="70"/>
      <c r="Y1019" s="70"/>
      <c r="Z1019" s="70"/>
    </row>
    <row r="1020">
      <c r="A1020" s="78"/>
      <c r="B1020" s="78"/>
      <c r="C1020" s="80"/>
      <c r="D1020" s="80"/>
      <c r="E1020" s="82"/>
      <c r="F1020" s="82"/>
      <c r="G1020" s="82"/>
      <c r="H1020" s="82"/>
      <c r="I1020" s="34"/>
      <c r="J1020" s="83"/>
      <c r="K1020" s="83"/>
      <c r="L1020" s="83"/>
      <c r="M1020" s="70"/>
      <c r="N1020" s="70"/>
      <c r="O1020" s="70"/>
      <c r="P1020" s="70"/>
      <c r="Q1020" s="70"/>
      <c r="R1020" s="70"/>
      <c r="S1020" s="70"/>
      <c r="T1020" s="70"/>
      <c r="U1020" s="70"/>
      <c r="V1020" s="70"/>
      <c r="W1020" s="70"/>
      <c r="X1020" s="70"/>
      <c r="Y1020" s="70"/>
      <c r="Z1020" s="70"/>
    </row>
    <row r="1021">
      <c r="A1021" s="78"/>
      <c r="B1021" s="78"/>
      <c r="C1021" s="80"/>
      <c r="D1021" s="80"/>
      <c r="E1021" s="82"/>
      <c r="F1021" s="82"/>
      <c r="G1021" s="82"/>
      <c r="H1021" s="82"/>
      <c r="I1021" s="34"/>
      <c r="J1021" s="83"/>
      <c r="K1021" s="83"/>
      <c r="L1021" s="83"/>
      <c r="M1021" s="70"/>
      <c r="N1021" s="70"/>
      <c r="O1021" s="70"/>
      <c r="P1021" s="70"/>
      <c r="Q1021" s="70"/>
      <c r="R1021" s="70"/>
      <c r="S1021" s="70"/>
      <c r="T1021" s="70"/>
      <c r="U1021" s="70"/>
      <c r="V1021" s="70"/>
      <c r="W1021" s="70"/>
      <c r="X1021" s="70"/>
      <c r="Y1021" s="70"/>
      <c r="Z1021" s="70"/>
    </row>
    <row r="1022">
      <c r="A1022" s="78"/>
      <c r="B1022" s="78"/>
      <c r="C1022" s="80"/>
      <c r="D1022" s="80"/>
      <c r="E1022" s="82"/>
      <c r="F1022" s="82"/>
      <c r="G1022" s="82"/>
      <c r="H1022" s="82"/>
      <c r="I1022" s="34"/>
      <c r="J1022" s="83"/>
      <c r="K1022" s="83"/>
      <c r="L1022" s="83"/>
      <c r="M1022" s="70"/>
      <c r="N1022" s="70"/>
      <c r="O1022" s="70"/>
      <c r="P1022" s="70"/>
      <c r="Q1022" s="70"/>
      <c r="R1022" s="70"/>
      <c r="S1022" s="70"/>
      <c r="T1022" s="70"/>
      <c r="U1022" s="70"/>
      <c r="V1022" s="70"/>
      <c r="W1022" s="70"/>
      <c r="X1022" s="70"/>
      <c r="Y1022" s="70"/>
      <c r="Z1022" s="70"/>
    </row>
    <row r="1023">
      <c r="A1023" s="78"/>
      <c r="B1023" s="78"/>
      <c r="C1023" s="80"/>
      <c r="D1023" s="80"/>
      <c r="E1023" s="82"/>
      <c r="F1023" s="82"/>
      <c r="G1023" s="82"/>
      <c r="H1023" s="82"/>
      <c r="I1023" s="34"/>
      <c r="J1023" s="83"/>
      <c r="K1023" s="83"/>
      <c r="L1023" s="83"/>
      <c r="M1023" s="70"/>
      <c r="N1023" s="70"/>
      <c r="O1023" s="70"/>
      <c r="P1023" s="70"/>
      <c r="Q1023" s="70"/>
      <c r="R1023" s="70"/>
      <c r="S1023" s="70"/>
      <c r="T1023" s="70"/>
      <c r="U1023" s="70"/>
      <c r="V1023" s="70"/>
      <c r="W1023" s="70"/>
      <c r="X1023" s="70"/>
      <c r="Y1023" s="70"/>
      <c r="Z1023" s="70"/>
    </row>
    <row r="1024">
      <c r="A1024" s="78"/>
      <c r="B1024" s="78"/>
      <c r="C1024" s="80"/>
      <c r="D1024" s="80"/>
      <c r="E1024" s="82"/>
      <c r="F1024" s="82"/>
      <c r="G1024" s="82"/>
      <c r="H1024" s="82"/>
      <c r="I1024" s="34"/>
      <c r="J1024" s="83"/>
      <c r="K1024" s="83"/>
      <c r="L1024" s="83"/>
      <c r="M1024" s="70"/>
      <c r="N1024" s="70"/>
      <c r="O1024" s="70"/>
      <c r="P1024" s="70"/>
      <c r="Q1024" s="70"/>
      <c r="R1024" s="70"/>
      <c r="S1024" s="70"/>
      <c r="T1024" s="70"/>
      <c r="U1024" s="70"/>
      <c r="V1024" s="70"/>
      <c r="W1024" s="70"/>
      <c r="X1024" s="70"/>
      <c r="Y1024" s="70"/>
      <c r="Z1024" s="70"/>
    </row>
    <row r="1025">
      <c r="A1025" s="78"/>
      <c r="B1025" s="78"/>
      <c r="C1025" s="80"/>
      <c r="D1025" s="80"/>
      <c r="E1025" s="82"/>
      <c r="F1025" s="82"/>
      <c r="G1025" s="82"/>
      <c r="H1025" s="82"/>
      <c r="I1025" s="34"/>
      <c r="J1025" s="83"/>
      <c r="K1025" s="83"/>
      <c r="L1025" s="83"/>
      <c r="M1025" s="70"/>
      <c r="N1025" s="70"/>
      <c r="O1025" s="70"/>
      <c r="P1025" s="70"/>
      <c r="Q1025" s="70"/>
      <c r="R1025" s="70"/>
      <c r="S1025" s="70"/>
      <c r="T1025" s="70"/>
      <c r="U1025" s="70"/>
      <c r="V1025" s="70"/>
      <c r="W1025" s="70"/>
      <c r="X1025" s="70"/>
      <c r="Y1025" s="70"/>
      <c r="Z1025" s="70"/>
    </row>
    <row r="1026">
      <c r="A1026" s="78"/>
      <c r="B1026" s="78"/>
      <c r="C1026" s="80"/>
      <c r="D1026" s="80"/>
      <c r="E1026" s="82"/>
      <c r="F1026" s="82"/>
      <c r="G1026" s="82"/>
      <c r="H1026" s="82"/>
      <c r="I1026" s="34"/>
      <c r="J1026" s="83"/>
      <c r="K1026" s="83"/>
      <c r="L1026" s="83"/>
      <c r="M1026" s="70"/>
      <c r="N1026" s="70"/>
      <c r="O1026" s="70"/>
      <c r="P1026" s="70"/>
      <c r="Q1026" s="70"/>
      <c r="R1026" s="70"/>
      <c r="S1026" s="70"/>
      <c r="T1026" s="70"/>
      <c r="U1026" s="70"/>
      <c r="V1026" s="70"/>
      <c r="W1026" s="70"/>
      <c r="X1026" s="70"/>
      <c r="Y1026" s="70"/>
      <c r="Z1026" s="70"/>
    </row>
    <row r="1027">
      <c r="A1027" s="78"/>
      <c r="B1027" s="78"/>
      <c r="C1027" s="80"/>
      <c r="D1027" s="80"/>
      <c r="E1027" s="82"/>
      <c r="F1027" s="82"/>
      <c r="G1027" s="82"/>
      <c r="H1027" s="82"/>
      <c r="I1027" s="34"/>
      <c r="J1027" s="83"/>
      <c r="K1027" s="83"/>
      <c r="L1027" s="83"/>
      <c r="M1027" s="70"/>
      <c r="N1027" s="70"/>
      <c r="O1027" s="70"/>
      <c r="P1027" s="70"/>
      <c r="Q1027" s="70"/>
      <c r="R1027" s="70"/>
      <c r="S1027" s="70"/>
      <c r="T1027" s="70"/>
      <c r="U1027" s="70"/>
      <c r="V1027" s="70"/>
      <c r="W1027" s="70"/>
      <c r="X1027" s="70"/>
      <c r="Y1027" s="70"/>
      <c r="Z1027" s="70"/>
    </row>
    <row r="1028">
      <c r="A1028" s="78"/>
      <c r="B1028" s="78"/>
      <c r="C1028" s="80"/>
      <c r="D1028" s="80"/>
      <c r="E1028" s="82"/>
      <c r="F1028" s="82"/>
      <c r="G1028" s="82"/>
      <c r="H1028" s="82"/>
      <c r="I1028" s="34"/>
      <c r="J1028" s="83"/>
      <c r="K1028" s="83"/>
      <c r="L1028" s="83"/>
      <c r="M1028" s="70"/>
      <c r="N1028" s="70"/>
      <c r="O1028" s="70"/>
      <c r="P1028" s="70"/>
      <c r="Q1028" s="70"/>
      <c r="R1028" s="70"/>
      <c r="S1028" s="70"/>
      <c r="T1028" s="70"/>
      <c r="U1028" s="70"/>
      <c r="V1028" s="70"/>
      <c r="W1028" s="70"/>
      <c r="X1028" s="70"/>
      <c r="Y1028" s="70"/>
      <c r="Z1028" s="70"/>
    </row>
    <row r="1029">
      <c r="A1029" s="78"/>
      <c r="B1029" s="78"/>
      <c r="C1029" s="80"/>
      <c r="D1029" s="80"/>
      <c r="E1029" s="82"/>
      <c r="F1029" s="82"/>
      <c r="G1029" s="82"/>
      <c r="H1029" s="82"/>
      <c r="I1029" s="34"/>
      <c r="J1029" s="83"/>
      <c r="K1029" s="83"/>
      <c r="L1029" s="83"/>
      <c r="M1029" s="70"/>
      <c r="N1029" s="70"/>
      <c r="O1029" s="70"/>
      <c r="P1029" s="70"/>
      <c r="Q1029" s="70"/>
      <c r="R1029" s="70"/>
      <c r="S1029" s="70"/>
      <c r="T1029" s="70"/>
      <c r="U1029" s="70"/>
      <c r="V1029" s="70"/>
      <c r="W1029" s="70"/>
      <c r="X1029" s="70"/>
      <c r="Y1029" s="70"/>
      <c r="Z1029" s="70"/>
    </row>
    <row r="1030">
      <c r="A1030" s="78"/>
      <c r="B1030" s="78"/>
      <c r="C1030" s="80"/>
      <c r="D1030" s="80"/>
      <c r="E1030" s="82"/>
      <c r="F1030" s="82"/>
      <c r="G1030" s="82"/>
      <c r="H1030" s="82"/>
      <c r="I1030" s="84"/>
      <c r="J1030" s="78"/>
      <c r="K1030" s="78"/>
      <c r="L1030" s="78"/>
      <c r="M1030" s="70"/>
      <c r="N1030" s="70"/>
      <c r="O1030" s="70"/>
      <c r="P1030" s="70"/>
      <c r="Q1030" s="70"/>
      <c r="R1030" s="70"/>
      <c r="S1030" s="70"/>
      <c r="T1030" s="70"/>
      <c r="U1030" s="70"/>
      <c r="V1030" s="70"/>
      <c r="W1030" s="70"/>
      <c r="X1030" s="70"/>
      <c r="Y1030" s="70"/>
      <c r="Z1030" s="70"/>
    </row>
    <row r="1031">
      <c r="A1031" s="78"/>
      <c r="B1031" s="78"/>
      <c r="C1031" s="80"/>
      <c r="D1031" s="80"/>
      <c r="E1031" s="82"/>
      <c r="F1031" s="82"/>
      <c r="G1031" s="82"/>
      <c r="H1031" s="82"/>
      <c r="I1031" s="84"/>
      <c r="J1031" s="78"/>
      <c r="K1031" s="78"/>
      <c r="L1031" s="78"/>
      <c r="M1031" s="70"/>
      <c r="N1031" s="70"/>
      <c r="O1031" s="70"/>
      <c r="P1031" s="70"/>
      <c r="Q1031" s="70"/>
      <c r="R1031" s="70"/>
      <c r="S1031" s="70"/>
      <c r="T1031" s="70"/>
      <c r="U1031" s="70"/>
      <c r="V1031" s="70"/>
      <c r="W1031" s="70"/>
      <c r="X1031" s="70"/>
      <c r="Y1031" s="70"/>
      <c r="Z1031" s="70"/>
    </row>
    <row r="1032">
      <c r="A1032" s="78"/>
      <c r="B1032" s="78"/>
      <c r="C1032" s="80"/>
      <c r="D1032" s="80"/>
      <c r="E1032" s="82"/>
      <c r="F1032" s="82"/>
      <c r="G1032" s="82"/>
      <c r="H1032" s="82"/>
      <c r="I1032" s="84"/>
      <c r="J1032" s="78"/>
      <c r="K1032" s="78"/>
      <c r="L1032" s="78"/>
      <c r="M1032" s="70"/>
      <c r="N1032" s="70"/>
      <c r="O1032" s="70"/>
      <c r="P1032" s="70"/>
      <c r="Q1032" s="70"/>
      <c r="R1032" s="70"/>
      <c r="S1032" s="70"/>
      <c r="T1032" s="70"/>
      <c r="U1032" s="70"/>
      <c r="V1032" s="70"/>
      <c r="W1032" s="70"/>
      <c r="X1032" s="70"/>
      <c r="Y1032" s="70"/>
      <c r="Z1032" s="70"/>
    </row>
    <row r="1033">
      <c r="A1033" s="78"/>
      <c r="B1033" s="78"/>
      <c r="C1033" s="80"/>
      <c r="D1033" s="80"/>
      <c r="E1033" s="82"/>
      <c r="F1033" s="82"/>
      <c r="G1033" s="82"/>
      <c r="H1033" s="82"/>
      <c r="I1033" s="84"/>
      <c r="J1033" s="78"/>
      <c r="K1033" s="78"/>
      <c r="L1033" s="78"/>
      <c r="M1033" s="70"/>
      <c r="N1033" s="70"/>
      <c r="O1033" s="70"/>
      <c r="P1033" s="70"/>
      <c r="Q1033" s="70"/>
      <c r="R1033" s="70"/>
      <c r="S1033" s="70"/>
      <c r="T1033" s="70"/>
      <c r="U1033" s="70"/>
      <c r="V1033" s="70"/>
      <c r="W1033" s="70"/>
      <c r="X1033" s="70"/>
      <c r="Y1033" s="70"/>
      <c r="Z1033" s="70"/>
    </row>
    <row r="1034">
      <c r="A1034" s="78"/>
      <c r="B1034" s="78"/>
      <c r="C1034" s="80"/>
      <c r="D1034" s="80"/>
      <c r="E1034" s="82"/>
      <c r="F1034" s="82"/>
      <c r="G1034" s="82"/>
      <c r="H1034" s="82"/>
      <c r="I1034" s="84"/>
      <c r="J1034" s="78"/>
      <c r="K1034" s="78"/>
      <c r="L1034" s="78"/>
      <c r="M1034" s="70"/>
      <c r="N1034" s="70"/>
      <c r="O1034" s="70"/>
      <c r="P1034" s="70"/>
      <c r="Q1034" s="70"/>
      <c r="R1034" s="70"/>
      <c r="S1034" s="70"/>
      <c r="T1034" s="70"/>
      <c r="U1034" s="70"/>
      <c r="V1034" s="70"/>
      <c r="W1034" s="70"/>
      <c r="X1034" s="70"/>
      <c r="Y1034" s="70"/>
      <c r="Z1034" s="70"/>
    </row>
    <row r="1035">
      <c r="A1035" s="78"/>
      <c r="B1035" s="78"/>
      <c r="C1035" s="80"/>
      <c r="D1035" s="80"/>
      <c r="E1035" s="82"/>
      <c r="F1035" s="82"/>
      <c r="G1035" s="82"/>
      <c r="H1035" s="82"/>
      <c r="I1035" s="84"/>
      <c r="J1035" s="78"/>
      <c r="K1035" s="78"/>
      <c r="L1035" s="78"/>
      <c r="M1035" s="70"/>
      <c r="N1035" s="70"/>
      <c r="O1035" s="70"/>
      <c r="P1035" s="70"/>
      <c r="Q1035" s="70"/>
      <c r="R1035" s="70"/>
      <c r="S1035" s="70"/>
      <c r="T1035" s="70"/>
      <c r="U1035" s="70"/>
      <c r="V1035" s="70"/>
      <c r="W1035" s="70"/>
      <c r="X1035" s="70"/>
      <c r="Y1035" s="70"/>
      <c r="Z1035" s="70"/>
    </row>
    <row r="1036">
      <c r="A1036" s="78"/>
      <c r="B1036" s="78"/>
      <c r="C1036" s="80"/>
      <c r="D1036" s="80"/>
      <c r="E1036" s="82"/>
      <c r="F1036" s="82"/>
      <c r="G1036" s="82"/>
      <c r="H1036" s="82"/>
      <c r="I1036" s="84"/>
      <c r="J1036" s="78"/>
      <c r="K1036" s="78"/>
      <c r="L1036" s="78"/>
      <c r="M1036" s="70"/>
      <c r="N1036" s="70"/>
      <c r="O1036" s="70"/>
      <c r="P1036" s="70"/>
      <c r="Q1036" s="70"/>
      <c r="R1036" s="70"/>
      <c r="S1036" s="70"/>
      <c r="T1036" s="70"/>
      <c r="U1036" s="70"/>
      <c r="V1036" s="70"/>
      <c r="W1036" s="70"/>
      <c r="X1036" s="70"/>
      <c r="Y1036" s="70"/>
      <c r="Z1036" s="70"/>
    </row>
    <row r="1037">
      <c r="A1037" s="78"/>
      <c r="B1037" s="78"/>
      <c r="C1037" s="80"/>
      <c r="D1037" s="80"/>
      <c r="E1037" s="82"/>
      <c r="F1037" s="82"/>
      <c r="G1037" s="82"/>
      <c r="H1037" s="82"/>
      <c r="I1037" s="84"/>
      <c r="J1037" s="78"/>
      <c r="K1037" s="78"/>
      <c r="L1037" s="78"/>
      <c r="M1037" s="70"/>
      <c r="N1037" s="70"/>
      <c r="O1037" s="70"/>
      <c r="P1037" s="70"/>
      <c r="Q1037" s="70"/>
      <c r="R1037" s="70"/>
      <c r="S1037" s="70"/>
      <c r="T1037" s="70"/>
      <c r="U1037" s="70"/>
      <c r="V1037" s="70"/>
      <c r="W1037" s="70"/>
      <c r="X1037" s="70"/>
      <c r="Y1037" s="70"/>
      <c r="Z1037" s="70"/>
    </row>
    <row r="1038">
      <c r="A1038" s="78"/>
      <c r="B1038" s="78"/>
      <c r="C1038" s="80"/>
      <c r="D1038" s="80"/>
      <c r="E1038" s="82"/>
      <c r="F1038" s="82"/>
      <c r="G1038" s="82"/>
      <c r="H1038" s="82"/>
      <c r="I1038" s="84"/>
      <c r="J1038" s="78"/>
      <c r="K1038" s="78"/>
      <c r="L1038" s="78"/>
      <c r="M1038" s="70"/>
      <c r="N1038" s="70"/>
      <c r="O1038" s="70"/>
      <c r="P1038" s="70"/>
      <c r="Q1038" s="70"/>
      <c r="R1038" s="70"/>
      <c r="S1038" s="70"/>
      <c r="T1038" s="70"/>
      <c r="U1038" s="70"/>
      <c r="V1038" s="70"/>
      <c r="W1038" s="70"/>
      <c r="X1038" s="70"/>
      <c r="Y1038" s="70"/>
      <c r="Z1038" s="70"/>
    </row>
    <row r="1039">
      <c r="A1039" s="78"/>
      <c r="B1039" s="78"/>
      <c r="C1039" s="80"/>
      <c r="D1039" s="80"/>
      <c r="E1039" s="82"/>
      <c r="F1039" s="82"/>
      <c r="G1039" s="82"/>
      <c r="H1039" s="82"/>
      <c r="I1039" s="84"/>
      <c r="J1039" s="78"/>
      <c r="K1039" s="78"/>
      <c r="L1039" s="78"/>
      <c r="M1039" s="70"/>
      <c r="N1039" s="70"/>
      <c r="O1039" s="70"/>
      <c r="P1039" s="70"/>
      <c r="Q1039" s="70"/>
      <c r="R1039" s="70"/>
      <c r="S1039" s="70"/>
      <c r="T1039" s="70"/>
      <c r="U1039" s="70"/>
      <c r="V1039" s="70"/>
      <c r="W1039" s="70"/>
      <c r="X1039" s="70"/>
      <c r="Y1039" s="70"/>
      <c r="Z1039" s="70"/>
    </row>
    <row r="1040">
      <c r="A1040" s="78"/>
      <c r="B1040" s="78"/>
      <c r="C1040" s="80"/>
      <c r="D1040" s="80"/>
      <c r="E1040" s="82"/>
      <c r="F1040" s="82"/>
      <c r="G1040" s="82"/>
      <c r="H1040" s="82"/>
      <c r="I1040" s="84"/>
      <c r="J1040" s="78"/>
      <c r="K1040" s="78"/>
      <c r="L1040" s="78"/>
      <c r="M1040" s="70"/>
      <c r="N1040" s="70"/>
      <c r="O1040" s="70"/>
      <c r="P1040" s="70"/>
      <c r="Q1040" s="70"/>
      <c r="R1040" s="70"/>
      <c r="S1040" s="70"/>
      <c r="T1040" s="70"/>
      <c r="U1040" s="70"/>
      <c r="V1040" s="70"/>
      <c r="W1040" s="70"/>
      <c r="X1040" s="70"/>
      <c r="Y1040" s="70"/>
      <c r="Z1040" s="70"/>
    </row>
    <row r="1041">
      <c r="A1041" s="78"/>
      <c r="B1041" s="78"/>
      <c r="C1041" s="80"/>
      <c r="D1041" s="80"/>
      <c r="E1041" s="82"/>
      <c r="F1041" s="82"/>
      <c r="G1041" s="82"/>
      <c r="H1041" s="82"/>
      <c r="I1041" s="84"/>
      <c r="J1041" s="78"/>
      <c r="K1041" s="78"/>
      <c r="L1041" s="78"/>
      <c r="M1041" s="70"/>
      <c r="N1041" s="70"/>
      <c r="O1041" s="70"/>
      <c r="P1041" s="70"/>
      <c r="Q1041" s="70"/>
      <c r="R1041" s="70"/>
      <c r="S1041" s="70"/>
      <c r="T1041" s="70"/>
      <c r="U1041" s="70"/>
      <c r="V1041" s="70"/>
      <c r="W1041" s="70"/>
      <c r="X1041" s="70"/>
      <c r="Y1041" s="70"/>
      <c r="Z1041" s="70"/>
    </row>
    <row r="1042">
      <c r="A1042" s="78"/>
      <c r="B1042" s="78"/>
      <c r="C1042" s="80"/>
      <c r="D1042" s="80"/>
      <c r="E1042" s="82"/>
      <c r="F1042" s="82"/>
      <c r="G1042" s="82"/>
      <c r="H1042" s="82"/>
      <c r="I1042" s="84"/>
      <c r="J1042" s="78"/>
      <c r="K1042" s="78"/>
      <c r="L1042" s="78"/>
      <c r="M1042" s="70"/>
      <c r="N1042" s="70"/>
      <c r="O1042" s="70"/>
      <c r="P1042" s="70"/>
      <c r="Q1042" s="70"/>
      <c r="R1042" s="70"/>
      <c r="S1042" s="70"/>
      <c r="T1042" s="70"/>
      <c r="U1042" s="70"/>
      <c r="V1042" s="70"/>
      <c r="W1042" s="70"/>
      <c r="X1042" s="70"/>
      <c r="Y1042" s="70"/>
      <c r="Z1042" s="70"/>
    </row>
    <row r="1043">
      <c r="A1043" s="78"/>
      <c r="B1043" s="78"/>
      <c r="C1043" s="80"/>
      <c r="D1043" s="80"/>
      <c r="E1043" s="82"/>
      <c r="F1043" s="82"/>
      <c r="G1043" s="82"/>
      <c r="H1043" s="82"/>
      <c r="I1043" s="84"/>
      <c r="J1043" s="78"/>
      <c r="K1043" s="78"/>
      <c r="L1043" s="78"/>
      <c r="M1043" s="70"/>
      <c r="N1043" s="70"/>
      <c r="O1043" s="70"/>
      <c r="P1043" s="70"/>
      <c r="Q1043" s="70"/>
      <c r="R1043" s="70"/>
      <c r="S1043" s="70"/>
      <c r="T1043" s="70"/>
      <c r="U1043" s="70"/>
      <c r="V1043" s="70"/>
      <c r="W1043" s="70"/>
      <c r="X1043" s="70"/>
      <c r="Y1043" s="70"/>
      <c r="Z1043" s="70"/>
    </row>
    <row r="1044">
      <c r="A1044" s="78"/>
      <c r="B1044" s="78"/>
      <c r="C1044" s="80"/>
      <c r="D1044" s="80"/>
      <c r="E1044" s="82"/>
      <c r="F1044" s="82"/>
      <c r="G1044" s="82"/>
      <c r="H1044" s="82"/>
      <c r="I1044" s="84"/>
      <c r="J1044" s="78"/>
      <c r="K1044" s="78"/>
      <c r="L1044" s="78"/>
      <c r="M1044" s="70"/>
      <c r="N1044" s="70"/>
      <c r="O1044" s="70"/>
      <c r="P1044" s="70"/>
      <c r="Q1044" s="70"/>
      <c r="R1044" s="70"/>
      <c r="S1044" s="70"/>
      <c r="T1044" s="70"/>
      <c r="U1044" s="70"/>
      <c r="V1044" s="70"/>
      <c r="W1044" s="70"/>
      <c r="X1044" s="70"/>
      <c r="Y1044" s="70"/>
      <c r="Z1044" s="70"/>
    </row>
    <row r="1045">
      <c r="A1045" s="78"/>
      <c r="B1045" s="78"/>
      <c r="C1045" s="80"/>
      <c r="D1045" s="80"/>
      <c r="E1045" s="82"/>
      <c r="F1045" s="82"/>
      <c r="G1045" s="82"/>
      <c r="H1045" s="82"/>
      <c r="I1045" s="84"/>
      <c r="J1045" s="78"/>
      <c r="K1045" s="78"/>
      <c r="L1045" s="78"/>
      <c r="M1045" s="70"/>
      <c r="N1045" s="70"/>
      <c r="O1045" s="70"/>
      <c r="P1045" s="70"/>
      <c r="Q1045" s="70"/>
      <c r="R1045" s="70"/>
      <c r="S1045" s="70"/>
      <c r="T1045" s="70"/>
      <c r="U1045" s="70"/>
      <c r="V1045" s="70"/>
      <c r="W1045" s="70"/>
      <c r="X1045" s="70"/>
      <c r="Y1045" s="70"/>
      <c r="Z1045" s="70"/>
    </row>
    <row r="1046">
      <c r="A1046" s="78"/>
      <c r="B1046" s="78"/>
      <c r="C1046" s="80"/>
      <c r="D1046" s="80"/>
      <c r="E1046" s="82"/>
      <c r="F1046" s="82"/>
      <c r="G1046" s="82"/>
      <c r="H1046" s="82"/>
      <c r="I1046" s="84"/>
      <c r="J1046" s="78"/>
      <c r="K1046" s="78"/>
      <c r="L1046" s="78"/>
      <c r="M1046" s="70"/>
      <c r="N1046" s="70"/>
      <c r="O1046" s="70"/>
      <c r="P1046" s="70"/>
      <c r="Q1046" s="70"/>
      <c r="R1046" s="70"/>
      <c r="S1046" s="70"/>
      <c r="T1046" s="70"/>
      <c r="U1046" s="70"/>
      <c r="V1046" s="70"/>
      <c r="W1046" s="70"/>
      <c r="X1046" s="70"/>
      <c r="Y1046" s="70"/>
      <c r="Z1046" s="70"/>
    </row>
    <row r="1047">
      <c r="A1047" s="78"/>
      <c r="B1047" s="78"/>
      <c r="C1047" s="80"/>
      <c r="D1047" s="80"/>
      <c r="E1047" s="82"/>
      <c r="F1047" s="82"/>
      <c r="G1047" s="82"/>
      <c r="H1047" s="82"/>
      <c r="I1047" s="84"/>
      <c r="J1047" s="78"/>
      <c r="K1047" s="78"/>
      <c r="L1047" s="78"/>
      <c r="M1047" s="70"/>
      <c r="N1047" s="70"/>
      <c r="O1047" s="70"/>
      <c r="P1047" s="70"/>
      <c r="Q1047" s="70"/>
      <c r="R1047" s="70"/>
      <c r="S1047" s="70"/>
      <c r="T1047" s="70"/>
      <c r="U1047" s="70"/>
      <c r="V1047" s="70"/>
      <c r="W1047" s="70"/>
      <c r="X1047" s="70"/>
      <c r="Y1047" s="70"/>
      <c r="Z1047" s="70"/>
    </row>
    <row r="1048">
      <c r="A1048" s="78"/>
      <c r="B1048" s="78"/>
      <c r="C1048" s="80"/>
      <c r="D1048" s="80"/>
      <c r="E1048" s="82"/>
      <c r="F1048" s="82"/>
      <c r="G1048" s="82"/>
      <c r="H1048" s="82"/>
      <c r="I1048" s="84"/>
      <c r="J1048" s="78"/>
      <c r="K1048" s="78"/>
      <c r="L1048" s="78"/>
      <c r="M1048" s="70"/>
      <c r="N1048" s="70"/>
      <c r="O1048" s="70"/>
      <c r="P1048" s="70"/>
      <c r="Q1048" s="70"/>
      <c r="R1048" s="70"/>
      <c r="S1048" s="70"/>
      <c r="T1048" s="70"/>
      <c r="U1048" s="70"/>
      <c r="V1048" s="70"/>
      <c r="W1048" s="70"/>
      <c r="X1048" s="70"/>
      <c r="Y1048" s="70"/>
      <c r="Z1048" s="70"/>
    </row>
    <row r="1049">
      <c r="A1049" s="78"/>
      <c r="B1049" s="78"/>
      <c r="C1049" s="80"/>
      <c r="D1049" s="80"/>
      <c r="E1049" s="82"/>
      <c r="F1049" s="82"/>
      <c r="G1049" s="82"/>
      <c r="H1049" s="82"/>
      <c r="I1049" s="84"/>
      <c r="J1049" s="78"/>
      <c r="K1049" s="78"/>
      <c r="L1049" s="78"/>
      <c r="M1049" s="70"/>
      <c r="N1049" s="70"/>
      <c r="O1049" s="70"/>
      <c r="P1049" s="70"/>
      <c r="Q1049" s="70"/>
      <c r="R1049" s="70"/>
      <c r="S1049" s="70"/>
      <c r="T1049" s="70"/>
      <c r="U1049" s="70"/>
      <c r="V1049" s="70"/>
      <c r="W1049" s="70"/>
      <c r="X1049" s="70"/>
      <c r="Y1049" s="70"/>
      <c r="Z1049" s="70"/>
    </row>
    <row r="1050">
      <c r="A1050" s="78"/>
      <c r="B1050" s="78"/>
      <c r="C1050" s="80"/>
      <c r="D1050" s="80"/>
      <c r="E1050" s="82"/>
      <c r="F1050" s="82"/>
      <c r="G1050" s="82"/>
      <c r="H1050" s="82"/>
      <c r="I1050" s="84"/>
      <c r="J1050" s="78"/>
      <c r="K1050" s="78"/>
      <c r="L1050" s="78"/>
      <c r="M1050" s="70"/>
      <c r="N1050" s="70"/>
      <c r="O1050" s="70"/>
      <c r="P1050" s="70"/>
      <c r="Q1050" s="70"/>
      <c r="R1050" s="70"/>
      <c r="S1050" s="70"/>
      <c r="T1050" s="70"/>
      <c r="U1050" s="70"/>
      <c r="V1050" s="70"/>
      <c r="W1050" s="70"/>
      <c r="X1050" s="70"/>
      <c r="Y1050" s="70"/>
      <c r="Z1050" s="70"/>
    </row>
    <row r="1051">
      <c r="A1051" s="78"/>
      <c r="B1051" s="78"/>
      <c r="C1051" s="80"/>
      <c r="D1051" s="80"/>
      <c r="E1051" s="82"/>
      <c r="F1051" s="82"/>
      <c r="G1051" s="82"/>
      <c r="H1051" s="82"/>
      <c r="I1051" s="84"/>
      <c r="J1051" s="78"/>
      <c r="K1051" s="78"/>
      <c r="L1051" s="78"/>
      <c r="M1051" s="70"/>
      <c r="N1051" s="70"/>
      <c r="O1051" s="70"/>
      <c r="P1051" s="70"/>
      <c r="Q1051" s="70"/>
      <c r="R1051" s="70"/>
      <c r="S1051" s="70"/>
      <c r="T1051" s="70"/>
      <c r="U1051" s="70"/>
      <c r="V1051" s="70"/>
      <c r="W1051" s="70"/>
      <c r="X1051" s="70"/>
      <c r="Y1051" s="70"/>
      <c r="Z1051" s="70"/>
    </row>
    <row r="1052">
      <c r="A1052" s="78"/>
      <c r="B1052" s="78"/>
      <c r="C1052" s="80"/>
      <c r="D1052" s="80"/>
      <c r="E1052" s="82"/>
      <c r="F1052" s="82"/>
      <c r="G1052" s="82"/>
      <c r="H1052" s="82"/>
      <c r="I1052" s="84"/>
      <c r="J1052" s="78"/>
      <c r="K1052" s="78"/>
      <c r="L1052" s="78"/>
      <c r="M1052" s="70"/>
      <c r="N1052" s="70"/>
      <c r="O1052" s="70"/>
      <c r="P1052" s="70"/>
      <c r="Q1052" s="70"/>
      <c r="R1052" s="70"/>
      <c r="S1052" s="70"/>
      <c r="T1052" s="70"/>
      <c r="U1052" s="70"/>
      <c r="V1052" s="70"/>
      <c r="W1052" s="70"/>
      <c r="X1052" s="70"/>
      <c r="Y1052" s="70"/>
      <c r="Z1052" s="70"/>
    </row>
    <row r="1053">
      <c r="A1053" s="78"/>
      <c r="B1053" s="78"/>
      <c r="C1053" s="80"/>
      <c r="D1053" s="80"/>
      <c r="E1053" s="82"/>
      <c r="F1053" s="82"/>
      <c r="G1053" s="82"/>
      <c r="H1053" s="82"/>
      <c r="I1053" s="84"/>
      <c r="J1053" s="78"/>
      <c r="K1053" s="78"/>
      <c r="L1053" s="78"/>
      <c r="M1053" s="70"/>
      <c r="N1053" s="70"/>
      <c r="O1053" s="70"/>
      <c r="P1053" s="70"/>
      <c r="Q1053" s="70"/>
      <c r="R1053" s="70"/>
      <c r="S1053" s="70"/>
      <c r="T1053" s="70"/>
      <c r="U1053" s="70"/>
      <c r="V1053" s="70"/>
      <c r="W1053" s="70"/>
      <c r="X1053" s="70"/>
      <c r="Y1053" s="70"/>
      <c r="Z1053" s="70"/>
    </row>
    <row r="1054">
      <c r="A1054" s="78"/>
      <c r="B1054" s="78"/>
      <c r="C1054" s="80"/>
      <c r="D1054" s="80"/>
      <c r="E1054" s="82"/>
      <c r="F1054" s="82"/>
      <c r="G1054" s="82"/>
      <c r="H1054" s="82"/>
      <c r="I1054" s="84"/>
      <c r="J1054" s="78"/>
      <c r="K1054" s="78"/>
      <c r="L1054" s="78"/>
      <c r="M1054" s="70"/>
      <c r="N1054" s="70"/>
      <c r="O1054" s="70"/>
      <c r="P1054" s="70"/>
      <c r="Q1054" s="70"/>
      <c r="R1054" s="70"/>
      <c r="S1054" s="70"/>
      <c r="T1054" s="70"/>
      <c r="U1054" s="70"/>
      <c r="V1054" s="70"/>
      <c r="W1054" s="70"/>
      <c r="X1054" s="70"/>
      <c r="Y1054" s="70"/>
      <c r="Z1054" s="70"/>
    </row>
    <row r="1055">
      <c r="A1055" s="78"/>
      <c r="B1055" s="78"/>
      <c r="C1055" s="80"/>
      <c r="D1055" s="80"/>
      <c r="E1055" s="82"/>
      <c r="F1055" s="82"/>
      <c r="G1055" s="82"/>
      <c r="H1055" s="82"/>
      <c r="I1055" s="84"/>
      <c r="J1055" s="78"/>
      <c r="K1055" s="78"/>
      <c r="L1055" s="78"/>
      <c r="M1055" s="70"/>
      <c r="N1055" s="70"/>
      <c r="O1055" s="70"/>
      <c r="P1055" s="70"/>
      <c r="Q1055" s="70"/>
      <c r="R1055" s="70"/>
      <c r="S1055" s="70"/>
      <c r="T1055" s="70"/>
      <c r="U1055" s="70"/>
      <c r="V1055" s="70"/>
      <c r="W1055" s="70"/>
      <c r="X1055" s="70"/>
      <c r="Y1055" s="70"/>
      <c r="Z1055" s="70"/>
    </row>
    <row r="1056">
      <c r="A1056" s="78"/>
      <c r="B1056" s="78"/>
      <c r="C1056" s="80"/>
      <c r="D1056" s="80"/>
      <c r="E1056" s="82"/>
      <c r="F1056" s="82"/>
      <c r="G1056" s="82"/>
      <c r="H1056" s="82"/>
      <c r="I1056" s="84"/>
      <c r="J1056" s="78"/>
      <c r="K1056" s="78"/>
      <c r="L1056" s="78"/>
      <c r="M1056" s="70"/>
      <c r="N1056" s="70"/>
      <c r="O1056" s="70"/>
      <c r="P1056" s="70"/>
      <c r="Q1056" s="70"/>
      <c r="R1056" s="70"/>
      <c r="S1056" s="70"/>
      <c r="T1056" s="70"/>
      <c r="U1056" s="70"/>
      <c r="V1056" s="70"/>
      <c r="W1056" s="70"/>
      <c r="X1056" s="70"/>
      <c r="Y1056" s="70"/>
      <c r="Z1056" s="70"/>
    </row>
    <row r="1057">
      <c r="A1057" s="78"/>
      <c r="B1057" s="78"/>
      <c r="C1057" s="80"/>
      <c r="D1057" s="80"/>
      <c r="E1057" s="82"/>
      <c r="F1057" s="82"/>
      <c r="G1057" s="82"/>
      <c r="H1057" s="82"/>
      <c r="I1057" s="84"/>
      <c r="J1057" s="78"/>
      <c r="K1057" s="78"/>
      <c r="L1057" s="78"/>
      <c r="M1057" s="70"/>
      <c r="N1057" s="70"/>
      <c r="O1057" s="70"/>
      <c r="P1057" s="70"/>
      <c r="Q1057" s="70"/>
      <c r="R1057" s="70"/>
      <c r="S1057" s="70"/>
      <c r="T1057" s="70"/>
      <c r="U1057" s="70"/>
      <c r="V1057" s="70"/>
      <c r="W1057" s="70"/>
      <c r="X1057" s="70"/>
      <c r="Y1057" s="70"/>
      <c r="Z1057" s="70"/>
    </row>
    <row r="1058">
      <c r="A1058" s="78"/>
      <c r="B1058" s="78"/>
      <c r="C1058" s="80"/>
      <c r="D1058" s="80"/>
      <c r="E1058" s="82"/>
      <c r="F1058" s="82"/>
      <c r="G1058" s="82"/>
      <c r="H1058" s="82"/>
      <c r="I1058" s="84"/>
      <c r="J1058" s="78"/>
      <c r="K1058" s="78"/>
      <c r="L1058" s="78"/>
      <c r="M1058" s="70"/>
      <c r="N1058" s="70"/>
      <c r="O1058" s="70"/>
      <c r="P1058" s="70"/>
      <c r="Q1058" s="70"/>
      <c r="R1058" s="70"/>
      <c r="S1058" s="70"/>
      <c r="T1058" s="70"/>
      <c r="U1058" s="70"/>
      <c r="V1058" s="70"/>
      <c r="W1058" s="70"/>
      <c r="X1058" s="70"/>
      <c r="Y1058" s="70"/>
      <c r="Z1058" s="70"/>
    </row>
    <row r="1059">
      <c r="A1059" s="78"/>
      <c r="B1059" s="78"/>
      <c r="C1059" s="80"/>
      <c r="D1059" s="80"/>
      <c r="E1059" s="82"/>
      <c r="F1059" s="82"/>
      <c r="G1059" s="82"/>
      <c r="H1059" s="82"/>
      <c r="I1059" s="84"/>
      <c r="J1059" s="78"/>
      <c r="K1059" s="78"/>
      <c r="L1059" s="78"/>
      <c r="M1059" s="70"/>
      <c r="N1059" s="70"/>
      <c r="O1059" s="70"/>
      <c r="P1059" s="70"/>
      <c r="Q1059" s="70"/>
      <c r="R1059" s="70"/>
      <c r="S1059" s="70"/>
      <c r="T1059" s="70"/>
      <c r="U1059" s="70"/>
      <c r="V1059" s="70"/>
      <c r="W1059" s="70"/>
      <c r="X1059" s="70"/>
      <c r="Y1059" s="70"/>
      <c r="Z1059" s="70"/>
    </row>
    <row r="1060">
      <c r="A1060" s="78"/>
      <c r="B1060" s="78"/>
      <c r="C1060" s="80"/>
      <c r="D1060" s="80"/>
      <c r="E1060" s="82"/>
      <c r="F1060" s="82"/>
      <c r="G1060" s="82"/>
      <c r="H1060" s="82"/>
      <c r="I1060" s="84"/>
      <c r="J1060" s="78"/>
      <c r="K1060" s="78"/>
      <c r="L1060" s="78"/>
      <c r="M1060" s="70"/>
      <c r="N1060" s="70"/>
      <c r="O1060" s="70"/>
      <c r="P1060" s="70"/>
      <c r="Q1060" s="70"/>
      <c r="R1060" s="70"/>
      <c r="S1060" s="70"/>
      <c r="T1060" s="70"/>
      <c r="U1060" s="70"/>
      <c r="V1060" s="70"/>
      <c r="W1060" s="70"/>
      <c r="X1060" s="70"/>
      <c r="Y1060" s="70"/>
      <c r="Z1060" s="70"/>
    </row>
    <row r="1061">
      <c r="A1061" s="78"/>
      <c r="B1061" s="78"/>
      <c r="C1061" s="80"/>
      <c r="D1061" s="80"/>
      <c r="E1061" s="82"/>
      <c r="F1061" s="82"/>
      <c r="G1061" s="82"/>
      <c r="H1061" s="82"/>
      <c r="I1061" s="84"/>
      <c r="J1061" s="78"/>
      <c r="K1061" s="78"/>
      <c r="L1061" s="78"/>
      <c r="M1061" s="70"/>
      <c r="N1061" s="70"/>
      <c r="O1061" s="70"/>
      <c r="P1061" s="70"/>
      <c r="Q1061" s="70"/>
      <c r="R1061" s="70"/>
      <c r="S1061" s="70"/>
      <c r="T1061" s="70"/>
      <c r="U1061" s="70"/>
      <c r="V1061" s="70"/>
      <c r="W1061" s="70"/>
      <c r="X1061" s="70"/>
      <c r="Y1061" s="70"/>
      <c r="Z1061" s="70"/>
    </row>
    <row r="1062">
      <c r="A1062" s="78"/>
      <c r="B1062" s="78"/>
      <c r="C1062" s="80"/>
      <c r="D1062" s="80"/>
      <c r="E1062" s="82"/>
      <c r="F1062" s="82"/>
      <c r="G1062" s="82"/>
      <c r="H1062" s="82"/>
      <c r="I1062" s="84"/>
      <c r="J1062" s="78"/>
      <c r="K1062" s="78"/>
      <c r="L1062" s="78"/>
      <c r="M1062" s="70"/>
      <c r="N1062" s="70"/>
      <c r="O1062" s="70"/>
      <c r="P1062" s="70"/>
      <c r="Q1062" s="70"/>
      <c r="R1062" s="70"/>
      <c r="S1062" s="70"/>
      <c r="T1062" s="70"/>
      <c r="U1062" s="70"/>
      <c r="V1062" s="70"/>
      <c r="W1062" s="70"/>
      <c r="X1062" s="70"/>
      <c r="Y1062" s="70"/>
      <c r="Z1062" s="70"/>
    </row>
    <row r="1063">
      <c r="A1063" s="78"/>
      <c r="B1063" s="78"/>
      <c r="C1063" s="80"/>
      <c r="D1063" s="80"/>
      <c r="E1063" s="82"/>
      <c r="F1063" s="82"/>
      <c r="G1063" s="82"/>
      <c r="H1063" s="82"/>
      <c r="I1063" s="84"/>
      <c r="J1063" s="78"/>
      <c r="K1063" s="78"/>
      <c r="L1063" s="78"/>
      <c r="M1063" s="70"/>
      <c r="N1063" s="70"/>
      <c r="O1063" s="70"/>
      <c r="P1063" s="70"/>
      <c r="Q1063" s="70"/>
      <c r="R1063" s="70"/>
      <c r="S1063" s="70"/>
      <c r="T1063" s="70"/>
      <c r="U1063" s="70"/>
      <c r="V1063" s="70"/>
      <c r="W1063" s="70"/>
      <c r="X1063" s="70"/>
      <c r="Y1063" s="70"/>
      <c r="Z1063" s="70"/>
    </row>
    <row r="1064">
      <c r="A1064" s="78"/>
      <c r="B1064" s="78"/>
      <c r="C1064" s="80"/>
      <c r="D1064" s="80"/>
      <c r="E1064" s="82"/>
      <c r="F1064" s="82"/>
      <c r="G1064" s="82"/>
      <c r="H1064" s="82"/>
      <c r="I1064" s="84"/>
      <c r="J1064" s="78"/>
      <c r="K1064" s="78"/>
      <c r="L1064" s="78"/>
      <c r="M1064" s="70"/>
      <c r="N1064" s="70"/>
      <c r="O1064" s="70"/>
      <c r="P1064" s="70"/>
      <c r="Q1064" s="70"/>
      <c r="R1064" s="70"/>
      <c r="S1064" s="70"/>
      <c r="T1064" s="70"/>
      <c r="U1064" s="70"/>
      <c r="V1064" s="70"/>
      <c r="W1064" s="70"/>
      <c r="X1064" s="70"/>
      <c r="Y1064" s="70"/>
      <c r="Z1064" s="70"/>
    </row>
    <row r="1065">
      <c r="A1065" s="78"/>
      <c r="B1065" s="78"/>
      <c r="C1065" s="80"/>
      <c r="D1065" s="80"/>
      <c r="E1065" s="82"/>
      <c r="F1065" s="82"/>
      <c r="G1065" s="82"/>
      <c r="H1065" s="82"/>
      <c r="I1065" s="84"/>
      <c r="J1065" s="78"/>
      <c r="K1065" s="78"/>
      <c r="L1065" s="78"/>
      <c r="M1065" s="70"/>
      <c r="N1065" s="70"/>
      <c r="O1065" s="70"/>
      <c r="P1065" s="70"/>
      <c r="Q1065" s="70"/>
      <c r="R1065" s="70"/>
      <c r="S1065" s="70"/>
      <c r="T1065" s="70"/>
      <c r="U1065" s="70"/>
      <c r="V1065" s="70"/>
      <c r="W1065" s="70"/>
      <c r="X1065" s="70"/>
      <c r="Y1065" s="70"/>
      <c r="Z1065" s="70"/>
    </row>
    <row r="1066">
      <c r="A1066" s="78"/>
      <c r="B1066" s="78"/>
      <c r="C1066" s="80"/>
      <c r="D1066" s="80"/>
      <c r="E1066" s="82"/>
      <c r="F1066" s="82"/>
      <c r="G1066" s="82"/>
      <c r="H1066" s="82"/>
      <c r="I1066" s="84"/>
      <c r="J1066" s="78"/>
      <c r="K1066" s="78"/>
      <c r="L1066" s="78"/>
      <c r="M1066" s="70"/>
      <c r="N1066" s="70"/>
      <c r="O1066" s="70"/>
      <c r="P1066" s="70"/>
      <c r="Q1066" s="70"/>
      <c r="R1066" s="70"/>
      <c r="S1066" s="70"/>
      <c r="T1066" s="70"/>
      <c r="U1066" s="70"/>
      <c r="V1066" s="70"/>
      <c r="W1066" s="70"/>
      <c r="X1066" s="70"/>
      <c r="Y1066" s="70"/>
      <c r="Z1066" s="70"/>
    </row>
    <row r="1067">
      <c r="A1067" s="78"/>
      <c r="B1067" s="78"/>
      <c r="C1067" s="80"/>
      <c r="D1067" s="80"/>
      <c r="E1067" s="82"/>
      <c r="F1067" s="82"/>
      <c r="G1067" s="82"/>
      <c r="H1067" s="82"/>
      <c r="I1067" s="84"/>
      <c r="J1067" s="78"/>
      <c r="K1067" s="78"/>
      <c r="L1067" s="78"/>
      <c r="M1067" s="70"/>
      <c r="N1067" s="70"/>
      <c r="O1067" s="70"/>
      <c r="P1067" s="70"/>
      <c r="Q1067" s="70"/>
      <c r="R1067" s="70"/>
      <c r="S1067" s="70"/>
      <c r="T1067" s="70"/>
      <c r="U1067" s="70"/>
      <c r="V1067" s="70"/>
      <c r="W1067" s="70"/>
      <c r="X1067" s="70"/>
      <c r="Y1067" s="70"/>
      <c r="Z1067" s="70"/>
    </row>
    <row r="1068">
      <c r="A1068" s="78"/>
      <c r="B1068" s="78"/>
      <c r="C1068" s="80"/>
      <c r="D1068" s="80"/>
      <c r="E1068" s="82"/>
      <c r="F1068" s="82"/>
      <c r="G1068" s="82"/>
      <c r="H1068" s="82"/>
      <c r="I1068" s="84"/>
      <c r="J1068" s="78"/>
      <c r="K1068" s="78"/>
      <c r="L1068" s="78"/>
      <c r="M1068" s="70"/>
      <c r="N1068" s="70"/>
      <c r="O1068" s="70"/>
      <c r="P1068" s="70"/>
      <c r="Q1068" s="70"/>
      <c r="R1068" s="70"/>
      <c r="S1068" s="70"/>
      <c r="T1068" s="70"/>
      <c r="U1068" s="70"/>
      <c r="V1068" s="70"/>
      <c r="W1068" s="70"/>
      <c r="X1068" s="70"/>
      <c r="Y1068" s="70"/>
      <c r="Z1068" s="70"/>
    </row>
    <row r="1069">
      <c r="A1069" s="78"/>
      <c r="B1069" s="78"/>
      <c r="C1069" s="80"/>
      <c r="D1069" s="80"/>
      <c r="E1069" s="82"/>
      <c r="F1069" s="82"/>
      <c r="G1069" s="82"/>
      <c r="H1069" s="82"/>
      <c r="I1069" s="84"/>
      <c r="J1069" s="78"/>
      <c r="K1069" s="78"/>
      <c r="L1069" s="78"/>
      <c r="M1069" s="70"/>
      <c r="N1069" s="70"/>
      <c r="O1069" s="70"/>
      <c r="P1069" s="70"/>
      <c r="Q1069" s="70"/>
      <c r="R1069" s="70"/>
      <c r="S1069" s="70"/>
      <c r="T1069" s="70"/>
      <c r="U1069" s="70"/>
      <c r="V1069" s="70"/>
      <c r="W1069" s="70"/>
      <c r="X1069" s="70"/>
      <c r="Y1069" s="70"/>
      <c r="Z1069" s="70"/>
    </row>
    <row r="1070">
      <c r="A1070" s="78"/>
      <c r="B1070" s="78"/>
      <c r="C1070" s="80"/>
      <c r="D1070" s="80"/>
      <c r="E1070" s="82"/>
      <c r="F1070" s="82"/>
      <c r="G1070" s="82"/>
      <c r="H1070" s="82"/>
      <c r="I1070" s="84"/>
      <c r="J1070" s="78"/>
      <c r="K1070" s="78"/>
      <c r="L1070" s="78"/>
      <c r="M1070" s="70"/>
      <c r="N1070" s="70"/>
      <c r="O1070" s="70"/>
      <c r="P1070" s="70"/>
      <c r="Q1070" s="70"/>
      <c r="R1070" s="70"/>
      <c r="S1070" s="70"/>
      <c r="T1070" s="70"/>
      <c r="U1070" s="70"/>
      <c r="V1070" s="70"/>
      <c r="W1070" s="70"/>
      <c r="X1070" s="70"/>
      <c r="Y1070" s="70"/>
      <c r="Z1070" s="70"/>
    </row>
    <row r="1071">
      <c r="A1071" s="78"/>
      <c r="B1071" s="78"/>
      <c r="C1071" s="80"/>
      <c r="D1071" s="80"/>
      <c r="E1071" s="82"/>
      <c r="F1071" s="82"/>
      <c r="G1071" s="82"/>
      <c r="H1071" s="82"/>
      <c r="I1071" s="84"/>
      <c r="J1071" s="78"/>
      <c r="K1071" s="78"/>
      <c r="L1071" s="78"/>
      <c r="M1071" s="70"/>
      <c r="N1071" s="70"/>
      <c r="O1071" s="70"/>
      <c r="P1071" s="70"/>
      <c r="Q1071" s="70"/>
      <c r="R1071" s="70"/>
      <c r="S1071" s="70"/>
      <c r="T1071" s="70"/>
      <c r="U1071" s="70"/>
      <c r="V1071" s="70"/>
      <c r="W1071" s="70"/>
      <c r="X1071" s="70"/>
      <c r="Y1071" s="70"/>
      <c r="Z1071" s="70"/>
    </row>
    <row r="1072">
      <c r="A1072" s="78"/>
      <c r="B1072" s="78"/>
      <c r="C1072" s="80"/>
      <c r="D1072" s="80"/>
      <c r="E1072" s="82"/>
      <c r="F1072" s="82"/>
      <c r="G1072" s="82"/>
      <c r="H1072" s="82"/>
      <c r="I1072" s="84"/>
      <c r="J1072" s="78"/>
      <c r="K1072" s="78"/>
      <c r="L1072" s="78"/>
      <c r="M1072" s="70"/>
      <c r="N1072" s="70"/>
      <c r="O1072" s="70"/>
      <c r="P1072" s="70"/>
      <c r="Q1072" s="70"/>
      <c r="R1072" s="70"/>
      <c r="S1072" s="70"/>
      <c r="T1072" s="70"/>
      <c r="U1072" s="70"/>
      <c r="V1072" s="70"/>
      <c r="W1072" s="70"/>
      <c r="X1072" s="70"/>
      <c r="Y1072" s="70"/>
      <c r="Z1072" s="70"/>
    </row>
    <row r="1073">
      <c r="A1073" s="78"/>
      <c r="B1073" s="78"/>
      <c r="C1073" s="80"/>
      <c r="D1073" s="80"/>
      <c r="E1073" s="82"/>
      <c r="F1073" s="82"/>
      <c r="G1073" s="82"/>
      <c r="H1073" s="82"/>
      <c r="I1073" s="84"/>
      <c r="J1073" s="78"/>
      <c r="K1073" s="78"/>
      <c r="L1073" s="78"/>
      <c r="M1073" s="70"/>
      <c r="N1073" s="70"/>
      <c r="O1073" s="70"/>
      <c r="P1073" s="70"/>
      <c r="Q1073" s="70"/>
      <c r="R1073" s="70"/>
      <c r="S1073" s="70"/>
      <c r="T1073" s="70"/>
      <c r="U1073" s="70"/>
      <c r="V1073" s="70"/>
      <c r="W1073" s="70"/>
      <c r="X1073" s="70"/>
      <c r="Y1073" s="70"/>
      <c r="Z1073" s="70"/>
    </row>
    <row r="1074">
      <c r="A1074" s="78"/>
      <c r="B1074" s="78"/>
      <c r="C1074" s="80"/>
      <c r="D1074" s="80"/>
      <c r="E1074" s="82"/>
      <c r="F1074" s="82"/>
      <c r="G1074" s="82"/>
      <c r="H1074" s="82"/>
      <c r="I1074" s="84"/>
      <c r="J1074" s="78"/>
      <c r="K1074" s="78"/>
      <c r="L1074" s="78"/>
      <c r="M1074" s="70"/>
      <c r="N1074" s="70"/>
      <c r="O1074" s="70"/>
      <c r="P1074" s="70"/>
      <c r="Q1074" s="70"/>
      <c r="R1074" s="70"/>
      <c r="S1074" s="70"/>
      <c r="T1074" s="70"/>
      <c r="U1074" s="70"/>
      <c r="V1074" s="70"/>
      <c r="W1074" s="70"/>
      <c r="X1074" s="70"/>
      <c r="Y1074" s="70"/>
      <c r="Z1074" s="70"/>
    </row>
    <row r="1075">
      <c r="A1075" s="78"/>
      <c r="B1075" s="78"/>
      <c r="C1075" s="80"/>
      <c r="D1075" s="80"/>
      <c r="E1075" s="82"/>
      <c r="F1075" s="82"/>
      <c r="G1075" s="82"/>
      <c r="H1075" s="82"/>
      <c r="I1075" s="84"/>
      <c r="J1075" s="78"/>
      <c r="K1075" s="78"/>
      <c r="L1075" s="78"/>
      <c r="M1075" s="70"/>
      <c r="N1075" s="70"/>
      <c r="O1075" s="70"/>
      <c r="P1075" s="70"/>
      <c r="Q1075" s="70"/>
      <c r="R1075" s="70"/>
      <c r="S1075" s="70"/>
      <c r="T1075" s="70"/>
      <c r="U1075" s="70"/>
      <c r="V1075" s="70"/>
      <c r="W1075" s="70"/>
      <c r="X1075" s="70"/>
      <c r="Y1075" s="70"/>
      <c r="Z1075" s="70"/>
    </row>
    <row r="1076">
      <c r="A1076" s="78"/>
      <c r="B1076" s="78"/>
      <c r="C1076" s="80"/>
      <c r="D1076" s="80"/>
      <c r="E1076" s="82"/>
      <c r="F1076" s="82"/>
      <c r="G1076" s="82"/>
      <c r="H1076" s="82"/>
      <c r="I1076" s="84"/>
      <c r="J1076" s="78"/>
      <c r="K1076" s="78"/>
      <c r="L1076" s="78"/>
      <c r="M1076" s="70"/>
      <c r="N1076" s="70"/>
      <c r="O1076" s="70"/>
      <c r="P1076" s="70"/>
      <c r="Q1076" s="70"/>
      <c r="R1076" s="70"/>
      <c r="S1076" s="70"/>
      <c r="T1076" s="70"/>
      <c r="U1076" s="70"/>
      <c r="V1076" s="70"/>
      <c r="W1076" s="70"/>
      <c r="X1076" s="70"/>
      <c r="Y1076" s="70"/>
      <c r="Z1076" s="70"/>
    </row>
    <row r="1077">
      <c r="A1077" s="78"/>
      <c r="B1077" s="78"/>
      <c r="C1077" s="80"/>
      <c r="D1077" s="80"/>
      <c r="E1077" s="82"/>
      <c r="F1077" s="82"/>
      <c r="G1077" s="82"/>
      <c r="H1077" s="82"/>
      <c r="I1077" s="84"/>
      <c r="J1077" s="78"/>
      <c r="K1077" s="78"/>
      <c r="L1077" s="78"/>
      <c r="M1077" s="70"/>
      <c r="N1077" s="70"/>
      <c r="O1077" s="70"/>
      <c r="P1077" s="70"/>
      <c r="Q1077" s="70"/>
      <c r="R1077" s="70"/>
      <c r="S1077" s="70"/>
      <c r="T1077" s="70"/>
      <c r="U1077" s="70"/>
      <c r="V1077" s="70"/>
      <c r="W1077" s="70"/>
      <c r="X1077" s="70"/>
      <c r="Y1077" s="70"/>
      <c r="Z1077" s="70"/>
    </row>
    <row r="1078">
      <c r="A1078" s="78"/>
      <c r="B1078" s="78"/>
      <c r="C1078" s="80"/>
      <c r="D1078" s="80"/>
      <c r="E1078" s="82"/>
      <c r="F1078" s="82"/>
      <c r="G1078" s="82"/>
      <c r="H1078" s="82"/>
      <c r="I1078" s="84"/>
      <c r="J1078" s="78"/>
      <c r="K1078" s="78"/>
      <c r="L1078" s="78"/>
      <c r="M1078" s="70"/>
      <c r="N1078" s="70"/>
      <c r="O1078" s="70"/>
      <c r="P1078" s="70"/>
      <c r="Q1078" s="70"/>
      <c r="R1078" s="70"/>
      <c r="S1078" s="70"/>
      <c r="T1078" s="70"/>
      <c r="U1078" s="70"/>
      <c r="V1078" s="70"/>
      <c r="W1078" s="70"/>
      <c r="X1078" s="70"/>
      <c r="Y1078" s="70"/>
      <c r="Z1078" s="70"/>
    </row>
    <row r="1079">
      <c r="A1079" s="78"/>
      <c r="B1079" s="78"/>
      <c r="C1079" s="80"/>
      <c r="D1079" s="80"/>
      <c r="E1079" s="82"/>
      <c r="F1079" s="82"/>
      <c r="G1079" s="82"/>
      <c r="H1079" s="82"/>
      <c r="I1079" s="84"/>
      <c r="J1079" s="78"/>
      <c r="K1079" s="78"/>
      <c r="L1079" s="78"/>
      <c r="M1079" s="70"/>
      <c r="N1079" s="70"/>
      <c r="O1079" s="70"/>
      <c r="P1079" s="70"/>
      <c r="Q1079" s="70"/>
      <c r="R1079" s="70"/>
      <c r="S1079" s="70"/>
      <c r="T1079" s="70"/>
      <c r="U1079" s="70"/>
      <c r="V1079" s="70"/>
      <c r="W1079" s="70"/>
      <c r="X1079" s="70"/>
      <c r="Y1079" s="70"/>
      <c r="Z1079" s="70"/>
    </row>
    <row r="1080">
      <c r="A1080" s="78"/>
      <c r="B1080" s="78"/>
      <c r="C1080" s="80"/>
      <c r="D1080" s="80"/>
      <c r="E1080" s="82"/>
      <c r="F1080" s="82"/>
      <c r="G1080" s="82"/>
      <c r="H1080" s="82"/>
      <c r="I1080" s="84"/>
      <c r="J1080" s="78"/>
      <c r="K1080" s="78"/>
      <c r="L1080" s="78"/>
      <c r="M1080" s="70"/>
      <c r="N1080" s="70"/>
      <c r="O1080" s="70"/>
      <c r="P1080" s="70"/>
      <c r="Q1080" s="70"/>
      <c r="R1080" s="70"/>
      <c r="S1080" s="70"/>
      <c r="T1080" s="70"/>
      <c r="U1080" s="70"/>
      <c r="V1080" s="70"/>
      <c r="W1080" s="70"/>
      <c r="X1080" s="70"/>
      <c r="Y1080" s="70"/>
      <c r="Z1080" s="70"/>
    </row>
    <row r="1081">
      <c r="A1081" s="78"/>
      <c r="B1081" s="78"/>
      <c r="C1081" s="80"/>
      <c r="D1081" s="80"/>
      <c r="E1081" s="82"/>
      <c r="F1081" s="82"/>
      <c r="G1081" s="82"/>
      <c r="H1081" s="82"/>
      <c r="I1081" s="84"/>
      <c r="J1081" s="78"/>
      <c r="K1081" s="78"/>
      <c r="L1081" s="78"/>
      <c r="M1081" s="70"/>
      <c r="N1081" s="70"/>
      <c r="O1081" s="70"/>
      <c r="P1081" s="70"/>
      <c r="Q1081" s="70"/>
      <c r="R1081" s="70"/>
      <c r="S1081" s="70"/>
      <c r="T1081" s="70"/>
      <c r="U1081" s="70"/>
      <c r="V1081" s="70"/>
      <c r="W1081" s="70"/>
      <c r="X1081" s="70"/>
      <c r="Y1081" s="70"/>
      <c r="Z1081" s="70"/>
    </row>
    <row r="1082">
      <c r="A1082" s="78"/>
      <c r="B1082" s="78"/>
      <c r="C1082" s="80"/>
      <c r="D1082" s="80"/>
      <c r="E1082" s="82"/>
      <c r="F1082" s="82"/>
      <c r="G1082" s="82"/>
      <c r="H1082" s="82"/>
      <c r="I1082" s="84"/>
      <c r="J1082" s="78"/>
      <c r="K1082" s="78"/>
      <c r="L1082" s="78"/>
      <c r="M1082" s="70"/>
      <c r="N1082" s="70"/>
      <c r="O1082" s="70"/>
      <c r="P1082" s="70"/>
      <c r="Q1082" s="70"/>
      <c r="R1082" s="70"/>
      <c r="S1082" s="70"/>
      <c r="T1082" s="70"/>
      <c r="U1082" s="70"/>
      <c r="V1082" s="70"/>
      <c r="W1082" s="70"/>
      <c r="X1082" s="70"/>
      <c r="Y1082" s="70"/>
      <c r="Z1082" s="70"/>
    </row>
    <row r="1083">
      <c r="A1083" s="78"/>
      <c r="B1083" s="78"/>
      <c r="C1083" s="80"/>
      <c r="D1083" s="80"/>
      <c r="E1083" s="82"/>
      <c r="F1083" s="82"/>
      <c r="G1083" s="82"/>
      <c r="H1083" s="82"/>
      <c r="I1083" s="84"/>
      <c r="J1083" s="78"/>
      <c r="K1083" s="78"/>
      <c r="L1083" s="78"/>
      <c r="M1083" s="70"/>
      <c r="N1083" s="70"/>
      <c r="O1083" s="70"/>
      <c r="P1083" s="70"/>
      <c r="Q1083" s="70"/>
      <c r="R1083" s="70"/>
      <c r="S1083" s="70"/>
      <c r="T1083" s="70"/>
      <c r="U1083" s="70"/>
      <c r="V1083" s="70"/>
      <c r="W1083" s="70"/>
      <c r="X1083" s="70"/>
      <c r="Y1083" s="70"/>
      <c r="Z1083" s="70"/>
    </row>
    <row r="1084">
      <c r="A1084" s="78"/>
      <c r="B1084" s="78"/>
      <c r="C1084" s="80"/>
      <c r="D1084" s="80"/>
      <c r="E1084" s="82"/>
      <c r="F1084" s="82"/>
      <c r="G1084" s="82"/>
      <c r="H1084" s="82"/>
      <c r="I1084" s="84"/>
      <c r="J1084" s="78"/>
      <c r="K1084" s="78"/>
      <c r="L1084" s="78"/>
      <c r="M1084" s="70"/>
      <c r="N1084" s="70"/>
      <c r="O1084" s="70"/>
      <c r="P1084" s="70"/>
      <c r="Q1084" s="70"/>
      <c r="R1084" s="70"/>
      <c r="S1084" s="70"/>
      <c r="T1084" s="70"/>
      <c r="U1084" s="70"/>
      <c r="V1084" s="70"/>
      <c r="W1084" s="70"/>
      <c r="X1084" s="70"/>
      <c r="Y1084" s="70"/>
      <c r="Z1084" s="70"/>
    </row>
    <row r="1085">
      <c r="A1085" s="78"/>
      <c r="B1085" s="78"/>
      <c r="C1085" s="80"/>
      <c r="D1085" s="80"/>
      <c r="E1085" s="82"/>
      <c r="F1085" s="82"/>
      <c r="G1085" s="82"/>
      <c r="H1085" s="82"/>
      <c r="I1085" s="84"/>
      <c r="J1085" s="78"/>
      <c r="K1085" s="78"/>
      <c r="L1085" s="78"/>
      <c r="M1085" s="70"/>
      <c r="N1085" s="70"/>
      <c r="O1085" s="70"/>
      <c r="P1085" s="70"/>
      <c r="Q1085" s="70"/>
      <c r="R1085" s="70"/>
      <c r="S1085" s="70"/>
      <c r="T1085" s="70"/>
      <c r="U1085" s="70"/>
      <c r="V1085" s="70"/>
      <c r="W1085" s="70"/>
      <c r="X1085" s="70"/>
      <c r="Y1085" s="70"/>
      <c r="Z1085" s="70"/>
    </row>
    <row r="1086">
      <c r="A1086" s="78"/>
      <c r="B1086" s="78"/>
      <c r="C1086" s="80"/>
      <c r="D1086" s="80"/>
      <c r="E1086" s="82"/>
      <c r="F1086" s="82"/>
      <c r="G1086" s="82"/>
      <c r="H1086" s="82"/>
      <c r="I1086" s="84"/>
      <c r="J1086" s="78"/>
      <c r="K1086" s="78"/>
      <c r="L1086" s="78"/>
      <c r="M1086" s="70"/>
      <c r="N1086" s="70"/>
      <c r="O1086" s="70"/>
      <c r="P1086" s="70"/>
      <c r="Q1086" s="70"/>
      <c r="R1086" s="70"/>
      <c r="S1086" s="70"/>
      <c r="T1086" s="70"/>
      <c r="U1086" s="70"/>
      <c r="V1086" s="70"/>
      <c r="W1086" s="70"/>
      <c r="X1086" s="70"/>
      <c r="Y1086" s="70"/>
      <c r="Z1086" s="70"/>
    </row>
    <row r="1087">
      <c r="A1087" s="78"/>
      <c r="B1087" s="78"/>
      <c r="C1087" s="80"/>
      <c r="D1087" s="80"/>
      <c r="E1087" s="82"/>
      <c r="F1087" s="82"/>
      <c r="G1087" s="82"/>
      <c r="H1087" s="82"/>
      <c r="I1087" s="84"/>
      <c r="J1087" s="78"/>
      <c r="K1087" s="78"/>
      <c r="L1087" s="78"/>
      <c r="M1087" s="70"/>
      <c r="N1087" s="70"/>
      <c r="O1087" s="70"/>
      <c r="P1087" s="70"/>
      <c r="Q1087" s="70"/>
      <c r="R1087" s="70"/>
      <c r="S1087" s="70"/>
      <c r="T1087" s="70"/>
      <c r="U1087" s="70"/>
      <c r="V1087" s="70"/>
      <c r="W1087" s="70"/>
      <c r="X1087" s="70"/>
      <c r="Y1087" s="70"/>
      <c r="Z1087" s="70"/>
    </row>
    <row r="1088">
      <c r="A1088" s="78"/>
      <c r="B1088" s="78"/>
      <c r="C1088" s="80"/>
      <c r="D1088" s="80"/>
      <c r="E1088" s="82"/>
      <c r="F1088" s="82"/>
      <c r="G1088" s="82"/>
      <c r="H1088" s="82"/>
      <c r="I1088" s="84"/>
      <c r="J1088" s="78"/>
      <c r="K1088" s="78"/>
      <c r="L1088" s="78"/>
      <c r="M1088" s="70"/>
      <c r="N1088" s="70"/>
      <c r="O1088" s="70"/>
      <c r="P1088" s="70"/>
      <c r="Q1088" s="70"/>
      <c r="R1088" s="70"/>
      <c r="S1088" s="70"/>
      <c r="T1088" s="70"/>
      <c r="U1088" s="70"/>
      <c r="V1088" s="70"/>
      <c r="W1088" s="70"/>
      <c r="X1088" s="70"/>
      <c r="Y1088" s="70"/>
      <c r="Z1088" s="70"/>
    </row>
    <row r="1089">
      <c r="A1089" s="78"/>
      <c r="B1089" s="78"/>
      <c r="C1089" s="80"/>
      <c r="D1089" s="80"/>
      <c r="E1089" s="82"/>
      <c r="F1089" s="82"/>
      <c r="G1089" s="82"/>
      <c r="H1089" s="82"/>
      <c r="I1089" s="84"/>
      <c r="J1089" s="78"/>
      <c r="K1089" s="78"/>
      <c r="L1089" s="78"/>
      <c r="M1089" s="70"/>
      <c r="N1089" s="70"/>
      <c r="O1089" s="70"/>
      <c r="P1089" s="70"/>
      <c r="Q1089" s="70"/>
      <c r="R1089" s="70"/>
      <c r="S1089" s="70"/>
      <c r="T1089" s="70"/>
      <c r="U1089" s="70"/>
      <c r="V1089" s="70"/>
      <c r="W1089" s="70"/>
      <c r="X1089" s="70"/>
      <c r="Y1089" s="70"/>
      <c r="Z1089" s="70"/>
    </row>
    <row r="1090">
      <c r="A1090" s="78"/>
      <c r="B1090" s="78"/>
      <c r="C1090" s="80"/>
      <c r="D1090" s="80"/>
      <c r="E1090" s="82"/>
      <c r="F1090" s="82"/>
      <c r="G1090" s="82"/>
      <c r="H1090" s="82"/>
      <c r="I1090" s="84"/>
      <c r="J1090" s="78"/>
      <c r="K1090" s="78"/>
      <c r="L1090" s="78"/>
      <c r="M1090" s="70"/>
      <c r="N1090" s="70"/>
      <c r="O1090" s="70"/>
      <c r="P1090" s="70"/>
      <c r="Q1090" s="70"/>
      <c r="R1090" s="70"/>
      <c r="S1090" s="70"/>
      <c r="T1090" s="70"/>
      <c r="U1090" s="70"/>
      <c r="V1090" s="70"/>
      <c r="W1090" s="70"/>
      <c r="X1090" s="70"/>
      <c r="Y1090" s="70"/>
      <c r="Z1090" s="70"/>
    </row>
    <row r="1091">
      <c r="A1091" s="78"/>
      <c r="B1091" s="78"/>
      <c r="C1091" s="80"/>
      <c r="D1091" s="80"/>
      <c r="E1091" s="82"/>
      <c r="F1091" s="82"/>
      <c r="G1091" s="82"/>
      <c r="H1091" s="82"/>
      <c r="I1091" s="84"/>
      <c r="J1091" s="78"/>
      <c r="K1091" s="78"/>
      <c r="L1091" s="78"/>
      <c r="M1091" s="70"/>
      <c r="N1091" s="70"/>
      <c r="O1091" s="70"/>
      <c r="P1091" s="70"/>
      <c r="Q1091" s="70"/>
      <c r="R1091" s="70"/>
      <c r="S1091" s="70"/>
      <c r="T1091" s="70"/>
      <c r="U1091" s="70"/>
      <c r="V1091" s="70"/>
      <c r="W1091" s="70"/>
      <c r="X1091" s="70"/>
      <c r="Y1091" s="70"/>
      <c r="Z1091" s="70"/>
    </row>
    <row r="1092">
      <c r="A1092" s="78"/>
      <c r="B1092" s="78"/>
      <c r="C1092" s="80"/>
      <c r="D1092" s="80"/>
      <c r="E1092" s="82"/>
      <c r="F1092" s="82"/>
      <c r="G1092" s="82"/>
      <c r="H1092" s="82"/>
      <c r="I1092" s="84"/>
      <c r="J1092" s="78"/>
      <c r="K1092" s="78"/>
      <c r="L1092" s="78"/>
      <c r="M1092" s="70"/>
      <c r="N1092" s="70"/>
      <c r="O1092" s="70"/>
      <c r="P1092" s="70"/>
      <c r="Q1092" s="70"/>
      <c r="R1092" s="70"/>
      <c r="S1092" s="70"/>
      <c r="T1092" s="70"/>
      <c r="U1092" s="70"/>
      <c r="V1092" s="70"/>
      <c r="W1092" s="70"/>
      <c r="X1092" s="70"/>
      <c r="Y1092" s="70"/>
      <c r="Z1092" s="70"/>
    </row>
    <row r="1093">
      <c r="A1093" s="78"/>
      <c r="B1093" s="78"/>
      <c r="C1093" s="80"/>
      <c r="D1093" s="80"/>
      <c r="E1093" s="82"/>
      <c r="F1093" s="82"/>
      <c r="G1093" s="82"/>
      <c r="H1093" s="82"/>
      <c r="I1093" s="84"/>
      <c r="J1093" s="78"/>
      <c r="K1093" s="78"/>
      <c r="L1093" s="78"/>
      <c r="M1093" s="70"/>
      <c r="N1093" s="70"/>
      <c r="O1093" s="70"/>
      <c r="P1093" s="70"/>
      <c r="Q1093" s="70"/>
      <c r="R1093" s="70"/>
      <c r="S1093" s="70"/>
      <c r="T1093" s="70"/>
      <c r="U1093" s="70"/>
      <c r="V1093" s="70"/>
      <c r="W1093" s="70"/>
      <c r="X1093" s="70"/>
      <c r="Y1093" s="70"/>
      <c r="Z1093" s="70"/>
    </row>
    <row r="1094">
      <c r="A1094" s="78"/>
      <c r="B1094" s="78"/>
      <c r="C1094" s="80"/>
      <c r="D1094" s="80"/>
      <c r="E1094" s="82"/>
      <c r="F1094" s="82"/>
      <c r="G1094" s="82"/>
      <c r="H1094" s="82"/>
      <c r="I1094" s="84"/>
      <c r="J1094" s="78"/>
      <c r="K1094" s="78"/>
      <c r="L1094" s="78"/>
      <c r="M1094" s="70"/>
      <c r="N1094" s="70"/>
      <c r="O1094" s="70"/>
      <c r="P1094" s="70"/>
      <c r="Q1094" s="70"/>
      <c r="R1094" s="70"/>
      <c r="S1094" s="70"/>
      <c r="T1094" s="70"/>
      <c r="U1094" s="70"/>
      <c r="V1094" s="70"/>
      <c r="W1094" s="70"/>
      <c r="X1094" s="70"/>
      <c r="Y1094" s="70"/>
      <c r="Z1094" s="70"/>
    </row>
    <row r="1095">
      <c r="A1095" s="78"/>
      <c r="B1095" s="78"/>
      <c r="C1095" s="80"/>
      <c r="D1095" s="80"/>
      <c r="E1095" s="82"/>
      <c r="F1095" s="82"/>
      <c r="G1095" s="82"/>
      <c r="H1095" s="82"/>
      <c r="I1095" s="84"/>
      <c r="J1095" s="78"/>
      <c r="K1095" s="78"/>
      <c r="L1095" s="78"/>
      <c r="M1095" s="70"/>
      <c r="N1095" s="70"/>
      <c r="O1095" s="70"/>
      <c r="P1095" s="70"/>
      <c r="Q1095" s="70"/>
      <c r="R1095" s="70"/>
      <c r="S1095" s="70"/>
      <c r="T1095" s="70"/>
      <c r="U1095" s="70"/>
      <c r="V1095" s="70"/>
      <c r="W1095" s="70"/>
      <c r="X1095" s="70"/>
      <c r="Y1095" s="70"/>
      <c r="Z1095" s="70"/>
    </row>
    <row r="1096">
      <c r="A1096" s="78"/>
      <c r="B1096" s="78"/>
      <c r="C1096" s="80"/>
      <c r="D1096" s="80"/>
      <c r="E1096" s="82"/>
      <c r="F1096" s="82"/>
      <c r="G1096" s="82"/>
      <c r="H1096" s="82"/>
      <c r="I1096" s="84"/>
      <c r="J1096" s="78"/>
      <c r="K1096" s="78"/>
      <c r="L1096" s="78"/>
      <c r="M1096" s="70"/>
      <c r="N1096" s="70"/>
      <c r="O1096" s="70"/>
      <c r="P1096" s="70"/>
      <c r="Q1096" s="70"/>
      <c r="R1096" s="70"/>
      <c r="S1096" s="70"/>
      <c r="T1096" s="70"/>
      <c r="U1096" s="70"/>
      <c r="V1096" s="70"/>
      <c r="W1096" s="70"/>
      <c r="X1096" s="70"/>
      <c r="Y1096" s="70"/>
      <c r="Z1096" s="70"/>
    </row>
    <row r="1097">
      <c r="A1097" s="78"/>
      <c r="B1097" s="78"/>
      <c r="C1097" s="80"/>
      <c r="D1097" s="80"/>
      <c r="E1097" s="82"/>
      <c r="F1097" s="82"/>
      <c r="G1097" s="82"/>
      <c r="H1097" s="82"/>
      <c r="I1097" s="84"/>
      <c r="J1097" s="78"/>
      <c r="K1097" s="78"/>
      <c r="L1097" s="78"/>
      <c r="M1097" s="70"/>
      <c r="N1097" s="70"/>
      <c r="O1097" s="70"/>
      <c r="P1097" s="70"/>
      <c r="Q1097" s="70"/>
      <c r="R1097" s="70"/>
      <c r="S1097" s="70"/>
      <c r="T1097" s="70"/>
      <c r="U1097" s="70"/>
      <c r="V1097" s="70"/>
      <c r="W1097" s="70"/>
      <c r="X1097" s="70"/>
      <c r="Y1097" s="70"/>
      <c r="Z1097" s="70"/>
    </row>
    <row r="1098">
      <c r="A1098" s="78"/>
      <c r="B1098" s="78"/>
      <c r="C1098" s="80"/>
      <c r="D1098" s="80"/>
      <c r="E1098" s="82"/>
      <c r="F1098" s="82"/>
      <c r="G1098" s="82"/>
      <c r="H1098" s="82"/>
      <c r="I1098" s="84"/>
      <c r="J1098" s="78"/>
      <c r="K1098" s="78"/>
      <c r="L1098" s="78"/>
      <c r="M1098" s="70"/>
      <c r="N1098" s="70"/>
      <c r="O1098" s="70"/>
      <c r="P1098" s="70"/>
      <c r="Q1098" s="70"/>
      <c r="R1098" s="70"/>
      <c r="S1098" s="70"/>
      <c r="T1098" s="70"/>
      <c r="U1098" s="70"/>
      <c r="V1098" s="70"/>
      <c r="W1098" s="70"/>
      <c r="X1098" s="70"/>
      <c r="Y1098" s="70"/>
      <c r="Z1098" s="70"/>
    </row>
    <row r="1099">
      <c r="A1099" s="78"/>
      <c r="B1099" s="78"/>
      <c r="C1099" s="80"/>
      <c r="D1099" s="80"/>
      <c r="E1099" s="82"/>
      <c r="F1099" s="82"/>
      <c r="G1099" s="82"/>
      <c r="H1099" s="82"/>
      <c r="I1099" s="84"/>
      <c r="J1099" s="78"/>
      <c r="K1099" s="78"/>
      <c r="L1099" s="78"/>
      <c r="M1099" s="70"/>
      <c r="N1099" s="70"/>
      <c r="O1099" s="70"/>
      <c r="P1099" s="70"/>
      <c r="Q1099" s="70"/>
      <c r="R1099" s="70"/>
      <c r="S1099" s="70"/>
      <c r="T1099" s="70"/>
      <c r="U1099" s="70"/>
      <c r="V1099" s="70"/>
      <c r="W1099" s="70"/>
      <c r="X1099" s="70"/>
      <c r="Y1099" s="70"/>
      <c r="Z1099" s="70"/>
    </row>
    <row r="1100">
      <c r="A1100" s="78"/>
      <c r="B1100" s="78"/>
      <c r="C1100" s="80"/>
      <c r="D1100" s="80"/>
      <c r="E1100" s="82"/>
      <c r="F1100" s="82"/>
      <c r="G1100" s="82"/>
      <c r="H1100" s="82"/>
      <c r="I1100" s="84"/>
      <c r="J1100" s="78"/>
      <c r="K1100" s="78"/>
      <c r="L1100" s="78"/>
      <c r="M1100" s="70"/>
      <c r="N1100" s="70"/>
      <c r="O1100" s="70"/>
      <c r="P1100" s="70"/>
      <c r="Q1100" s="70"/>
      <c r="R1100" s="70"/>
      <c r="S1100" s="70"/>
      <c r="T1100" s="70"/>
      <c r="U1100" s="70"/>
      <c r="V1100" s="70"/>
      <c r="W1100" s="70"/>
      <c r="X1100" s="70"/>
      <c r="Y1100" s="70"/>
      <c r="Z1100" s="70"/>
    </row>
    <row r="1101">
      <c r="A1101" s="78"/>
      <c r="B1101" s="78"/>
      <c r="C1101" s="80"/>
      <c r="D1101" s="80"/>
      <c r="E1101" s="82"/>
      <c r="F1101" s="82"/>
      <c r="G1101" s="82"/>
      <c r="H1101" s="82"/>
      <c r="I1101" s="84"/>
      <c r="J1101" s="78"/>
      <c r="K1101" s="78"/>
      <c r="L1101" s="78"/>
      <c r="M1101" s="70"/>
      <c r="N1101" s="70"/>
      <c r="O1101" s="70"/>
      <c r="P1101" s="70"/>
      <c r="Q1101" s="70"/>
      <c r="R1101" s="70"/>
      <c r="S1101" s="70"/>
      <c r="T1101" s="70"/>
      <c r="U1101" s="70"/>
      <c r="V1101" s="70"/>
      <c r="W1101" s="70"/>
      <c r="X1101" s="70"/>
      <c r="Y1101" s="70"/>
      <c r="Z1101" s="70"/>
    </row>
    <row r="1102">
      <c r="A1102" s="78"/>
      <c r="B1102" s="78"/>
      <c r="C1102" s="80"/>
      <c r="D1102" s="80"/>
      <c r="E1102" s="82"/>
      <c r="F1102" s="82"/>
      <c r="G1102" s="82"/>
      <c r="H1102" s="82"/>
      <c r="I1102" s="84"/>
      <c r="J1102" s="78"/>
      <c r="K1102" s="78"/>
      <c r="L1102" s="78"/>
      <c r="M1102" s="70"/>
      <c r="N1102" s="70"/>
      <c r="O1102" s="70"/>
      <c r="P1102" s="70"/>
      <c r="Q1102" s="70"/>
      <c r="R1102" s="70"/>
      <c r="S1102" s="70"/>
      <c r="T1102" s="70"/>
      <c r="U1102" s="70"/>
      <c r="V1102" s="70"/>
      <c r="W1102" s="70"/>
      <c r="X1102" s="70"/>
      <c r="Y1102" s="70"/>
      <c r="Z1102" s="70"/>
    </row>
    <row r="1103">
      <c r="A1103" s="78"/>
      <c r="B1103" s="78"/>
      <c r="C1103" s="80"/>
      <c r="D1103" s="80"/>
      <c r="E1103" s="82"/>
      <c r="F1103" s="82"/>
      <c r="G1103" s="82"/>
      <c r="H1103" s="82"/>
      <c r="I1103" s="84"/>
      <c r="J1103" s="78"/>
      <c r="K1103" s="78"/>
      <c r="L1103" s="78"/>
      <c r="M1103" s="70"/>
      <c r="N1103" s="70"/>
      <c r="O1103" s="70"/>
      <c r="P1103" s="70"/>
      <c r="Q1103" s="70"/>
      <c r="R1103" s="70"/>
      <c r="S1103" s="70"/>
      <c r="T1103" s="70"/>
      <c r="U1103" s="70"/>
      <c r="V1103" s="70"/>
      <c r="W1103" s="70"/>
      <c r="X1103" s="70"/>
      <c r="Y1103" s="70"/>
      <c r="Z1103" s="70"/>
    </row>
    <row r="1104">
      <c r="A1104" s="78"/>
      <c r="B1104" s="78"/>
      <c r="C1104" s="80"/>
      <c r="D1104" s="80"/>
      <c r="E1104" s="82"/>
      <c r="F1104" s="82"/>
      <c r="G1104" s="82"/>
      <c r="H1104" s="82"/>
      <c r="I1104" s="84"/>
      <c r="J1104" s="78"/>
      <c r="K1104" s="78"/>
      <c r="L1104" s="78"/>
      <c r="M1104" s="70"/>
      <c r="N1104" s="70"/>
      <c r="O1104" s="70"/>
      <c r="P1104" s="70"/>
      <c r="Q1104" s="70"/>
      <c r="R1104" s="70"/>
      <c r="S1104" s="70"/>
      <c r="T1104" s="70"/>
      <c r="U1104" s="70"/>
      <c r="V1104" s="70"/>
      <c r="W1104" s="70"/>
      <c r="X1104" s="70"/>
      <c r="Y1104" s="70"/>
      <c r="Z1104" s="70"/>
    </row>
    <row r="1105">
      <c r="A1105" s="78"/>
      <c r="B1105" s="78"/>
      <c r="C1105" s="80"/>
      <c r="D1105" s="80"/>
      <c r="E1105" s="82"/>
      <c r="F1105" s="82"/>
      <c r="G1105" s="82"/>
      <c r="H1105" s="82"/>
      <c r="I1105" s="84"/>
      <c r="J1105" s="78"/>
      <c r="K1105" s="78"/>
      <c r="L1105" s="78"/>
      <c r="M1105" s="70"/>
      <c r="N1105" s="70"/>
      <c r="O1105" s="70"/>
      <c r="P1105" s="70"/>
      <c r="Q1105" s="70"/>
      <c r="R1105" s="70"/>
      <c r="S1105" s="70"/>
      <c r="T1105" s="70"/>
      <c r="U1105" s="70"/>
      <c r="V1105" s="70"/>
      <c r="W1105" s="70"/>
      <c r="X1105" s="70"/>
      <c r="Y1105" s="70"/>
      <c r="Z1105" s="70"/>
    </row>
    <row r="1106">
      <c r="A1106" s="78"/>
      <c r="B1106" s="78"/>
      <c r="C1106" s="80"/>
      <c r="D1106" s="80"/>
      <c r="E1106" s="82"/>
      <c r="F1106" s="82"/>
      <c r="G1106" s="82"/>
      <c r="H1106" s="82"/>
      <c r="I1106" s="84"/>
      <c r="J1106" s="78"/>
      <c r="K1106" s="78"/>
      <c r="L1106" s="78"/>
      <c r="M1106" s="70"/>
      <c r="N1106" s="70"/>
      <c r="O1106" s="70"/>
      <c r="P1106" s="70"/>
      <c r="Q1106" s="70"/>
      <c r="R1106" s="70"/>
      <c r="S1106" s="70"/>
      <c r="T1106" s="70"/>
      <c r="U1106" s="70"/>
      <c r="V1106" s="70"/>
      <c r="W1106" s="70"/>
      <c r="X1106" s="70"/>
      <c r="Y1106" s="70"/>
      <c r="Z1106" s="70"/>
    </row>
    <row r="1107">
      <c r="A1107" s="78"/>
      <c r="B1107" s="78"/>
      <c r="C1107" s="80"/>
      <c r="D1107" s="80"/>
      <c r="E1107" s="82"/>
      <c r="F1107" s="82"/>
      <c r="G1107" s="82"/>
      <c r="H1107" s="82"/>
      <c r="I1107" s="84"/>
      <c r="J1107" s="78"/>
      <c r="K1107" s="78"/>
      <c r="L1107" s="78"/>
      <c r="M1107" s="70"/>
      <c r="N1107" s="70"/>
      <c r="O1107" s="70"/>
      <c r="P1107" s="70"/>
      <c r="Q1107" s="70"/>
      <c r="R1107" s="70"/>
      <c r="S1107" s="70"/>
      <c r="T1107" s="70"/>
      <c r="U1107" s="70"/>
      <c r="V1107" s="70"/>
      <c r="W1107" s="70"/>
      <c r="X1107" s="70"/>
      <c r="Y1107" s="70"/>
      <c r="Z1107" s="70"/>
    </row>
    <row r="1108">
      <c r="A1108" s="78"/>
      <c r="B1108" s="78"/>
      <c r="C1108" s="80"/>
      <c r="D1108" s="80"/>
      <c r="E1108" s="82"/>
      <c r="F1108" s="82"/>
      <c r="G1108" s="82"/>
      <c r="H1108" s="82"/>
      <c r="I1108" s="84"/>
      <c r="J1108" s="78"/>
      <c r="K1108" s="78"/>
      <c r="L1108" s="78"/>
      <c r="M1108" s="70"/>
      <c r="N1108" s="70"/>
      <c r="O1108" s="70"/>
      <c r="P1108" s="70"/>
      <c r="Q1108" s="70"/>
      <c r="R1108" s="70"/>
      <c r="S1108" s="70"/>
      <c r="T1108" s="70"/>
      <c r="U1108" s="70"/>
      <c r="V1108" s="70"/>
      <c r="W1108" s="70"/>
      <c r="X1108" s="70"/>
      <c r="Y1108" s="70"/>
      <c r="Z1108" s="70"/>
    </row>
    <row r="1109">
      <c r="A1109" s="78"/>
      <c r="B1109" s="78"/>
      <c r="C1109" s="80"/>
      <c r="D1109" s="80"/>
      <c r="E1109" s="82"/>
      <c r="F1109" s="82"/>
      <c r="G1109" s="82"/>
      <c r="H1109" s="82"/>
      <c r="I1109" s="84"/>
      <c r="J1109" s="78"/>
      <c r="K1109" s="78"/>
      <c r="L1109" s="78"/>
      <c r="M1109" s="70"/>
      <c r="N1109" s="70"/>
      <c r="O1109" s="70"/>
      <c r="P1109" s="70"/>
      <c r="Q1109" s="70"/>
      <c r="R1109" s="70"/>
      <c r="S1109" s="70"/>
      <c r="T1109" s="70"/>
      <c r="U1109" s="70"/>
      <c r="V1109" s="70"/>
      <c r="W1109" s="70"/>
      <c r="X1109" s="70"/>
      <c r="Y1109" s="70"/>
      <c r="Z1109" s="70"/>
    </row>
    <row r="1110">
      <c r="A1110" s="78"/>
      <c r="B1110" s="78"/>
      <c r="C1110" s="80"/>
      <c r="D1110" s="80"/>
      <c r="E1110" s="82"/>
      <c r="F1110" s="82"/>
      <c r="G1110" s="82"/>
      <c r="H1110" s="82"/>
      <c r="I1110" s="84"/>
      <c r="J1110" s="78"/>
      <c r="K1110" s="78"/>
      <c r="L1110" s="78"/>
      <c r="M1110" s="70"/>
      <c r="N1110" s="70"/>
      <c r="O1110" s="70"/>
      <c r="P1110" s="70"/>
      <c r="Q1110" s="70"/>
      <c r="R1110" s="70"/>
      <c r="S1110" s="70"/>
      <c r="T1110" s="70"/>
      <c r="U1110" s="70"/>
      <c r="V1110" s="70"/>
      <c r="W1110" s="70"/>
      <c r="X1110" s="70"/>
      <c r="Y1110" s="70"/>
      <c r="Z1110" s="70"/>
    </row>
    <row r="1111">
      <c r="A1111" s="78"/>
      <c r="B1111" s="78"/>
      <c r="C1111" s="80"/>
      <c r="D1111" s="80"/>
      <c r="E1111" s="82"/>
      <c r="F1111" s="82"/>
      <c r="G1111" s="82"/>
      <c r="H1111" s="82"/>
      <c r="I1111" s="84"/>
      <c r="J1111" s="78"/>
      <c r="K1111" s="78"/>
      <c r="L1111" s="78"/>
      <c r="M1111" s="70"/>
      <c r="N1111" s="70"/>
      <c r="O1111" s="70"/>
      <c r="P1111" s="70"/>
      <c r="Q1111" s="70"/>
      <c r="R1111" s="70"/>
      <c r="S1111" s="70"/>
      <c r="T1111" s="70"/>
      <c r="U1111" s="70"/>
      <c r="V1111" s="70"/>
      <c r="W1111" s="70"/>
      <c r="X1111" s="70"/>
      <c r="Y1111" s="70"/>
      <c r="Z1111" s="70"/>
    </row>
    <row r="1112">
      <c r="A1112" s="78"/>
      <c r="B1112" s="78"/>
      <c r="C1112" s="80"/>
      <c r="D1112" s="80"/>
      <c r="E1112" s="82"/>
      <c r="F1112" s="82"/>
      <c r="G1112" s="82"/>
      <c r="H1112" s="82"/>
      <c r="I1112" s="84"/>
      <c r="J1112" s="78"/>
      <c r="K1112" s="78"/>
      <c r="L1112" s="78"/>
      <c r="M1112" s="70"/>
      <c r="N1112" s="70"/>
      <c r="O1112" s="70"/>
      <c r="P1112" s="70"/>
      <c r="Q1112" s="70"/>
      <c r="R1112" s="70"/>
      <c r="S1112" s="70"/>
      <c r="T1112" s="70"/>
      <c r="U1112" s="70"/>
      <c r="V1112" s="70"/>
      <c r="W1112" s="70"/>
      <c r="X1112" s="70"/>
      <c r="Y1112" s="70"/>
      <c r="Z1112" s="70"/>
    </row>
    <row r="1113">
      <c r="A1113" s="78"/>
      <c r="B1113" s="78"/>
      <c r="C1113" s="80"/>
      <c r="D1113" s="80"/>
      <c r="E1113" s="82"/>
      <c r="F1113" s="82"/>
      <c r="G1113" s="82"/>
      <c r="H1113" s="82"/>
      <c r="I1113" s="84"/>
      <c r="J1113" s="78"/>
      <c r="K1113" s="78"/>
      <c r="L1113" s="78"/>
      <c r="M1113" s="70"/>
      <c r="N1113" s="70"/>
      <c r="O1113" s="70"/>
      <c r="P1113" s="70"/>
      <c r="Q1113" s="70"/>
      <c r="R1113" s="70"/>
      <c r="S1113" s="70"/>
      <c r="T1113" s="70"/>
      <c r="U1113" s="70"/>
      <c r="V1113" s="70"/>
      <c r="W1113" s="70"/>
      <c r="X1113" s="70"/>
      <c r="Y1113" s="70"/>
      <c r="Z1113" s="70"/>
    </row>
    <row r="1114">
      <c r="A1114" s="78"/>
      <c r="B1114" s="78"/>
      <c r="C1114" s="80"/>
      <c r="D1114" s="80"/>
      <c r="E1114" s="82"/>
      <c r="F1114" s="82"/>
      <c r="G1114" s="82"/>
      <c r="H1114" s="82"/>
      <c r="I1114" s="84"/>
      <c r="J1114" s="78"/>
      <c r="K1114" s="78"/>
      <c r="L1114" s="78"/>
      <c r="M1114" s="70"/>
      <c r="N1114" s="70"/>
      <c r="O1114" s="70"/>
      <c r="P1114" s="70"/>
      <c r="Q1114" s="70"/>
      <c r="R1114" s="70"/>
      <c r="S1114" s="70"/>
      <c r="T1114" s="70"/>
      <c r="U1114" s="70"/>
      <c r="V1114" s="70"/>
      <c r="W1114" s="70"/>
      <c r="X1114" s="70"/>
      <c r="Y1114" s="70"/>
      <c r="Z1114" s="70"/>
    </row>
    <row r="1115">
      <c r="A1115" s="78"/>
      <c r="B1115" s="78"/>
      <c r="C1115" s="80"/>
      <c r="D1115" s="80"/>
      <c r="E1115" s="82"/>
      <c r="F1115" s="82"/>
      <c r="G1115" s="82"/>
      <c r="H1115" s="82"/>
      <c r="I1115" s="84"/>
      <c r="J1115" s="78"/>
      <c r="K1115" s="78"/>
      <c r="L1115" s="78"/>
      <c r="M1115" s="70"/>
      <c r="N1115" s="70"/>
      <c r="O1115" s="70"/>
      <c r="P1115" s="70"/>
      <c r="Q1115" s="70"/>
      <c r="R1115" s="70"/>
      <c r="S1115" s="70"/>
      <c r="T1115" s="70"/>
      <c r="U1115" s="70"/>
      <c r="V1115" s="70"/>
      <c r="W1115" s="70"/>
      <c r="X1115" s="70"/>
      <c r="Y1115" s="70"/>
      <c r="Z1115" s="70"/>
    </row>
    <row r="1116">
      <c r="A1116" s="78"/>
      <c r="B1116" s="78"/>
      <c r="C1116" s="80"/>
      <c r="D1116" s="80"/>
      <c r="E1116" s="82"/>
      <c r="F1116" s="82"/>
      <c r="G1116" s="82"/>
      <c r="H1116" s="82"/>
      <c r="I1116" s="84"/>
      <c r="J1116" s="78"/>
      <c r="K1116" s="78"/>
      <c r="L1116" s="78"/>
      <c r="M1116" s="70"/>
      <c r="N1116" s="70"/>
      <c r="O1116" s="70"/>
      <c r="P1116" s="70"/>
      <c r="Q1116" s="70"/>
      <c r="R1116" s="70"/>
      <c r="S1116" s="70"/>
      <c r="T1116" s="70"/>
      <c r="U1116" s="70"/>
      <c r="V1116" s="70"/>
      <c r="W1116" s="70"/>
      <c r="X1116" s="70"/>
      <c r="Y1116" s="70"/>
      <c r="Z1116" s="70"/>
    </row>
    <row r="1117">
      <c r="A1117" s="78"/>
      <c r="B1117" s="78"/>
      <c r="C1117" s="80"/>
      <c r="D1117" s="80"/>
      <c r="E1117" s="82"/>
      <c r="F1117" s="82"/>
      <c r="G1117" s="82"/>
      <c r="H1117" s="82"/>
      <c r="I1117" s="84"/>
      <c r="J1117" s="78"/>
      <c r="K1117" s="78"/>
      <c r="L1117" s="78"/>
      <c r="M1117" s="70"/>
      <c r="N1117" s="70"/>
      <c r="O1117" s="70"/>
      <c r="P1117" s="70"/>
      <c r="Q1117" s="70"/>
      <c r="R1117" s="70"/>
      <c r="S1117" s="70"/>
      <c r="T1117" s="70"/>
      <c r="U1117" s="70"/>
      <c r="V1117" s="70"/>
      <c r="W1117" s="70"/>
      <c r="X1117" s="70"/>
      <c r="Y1117" s="70"/>
      <c r="Z1117" s="70"/>
    </row>
    <row r="1118">
      <c r="A1118" s="78"/>
      <c r="B1118" s="78"/>
      <c r="C1118" s="80"/>
      <c r="D1118" s="80"/>
      <c r="E1118" s="82"/>
      <c r="F1118" s="82"/>
      <c r="G1118" s="82"/>
      <c r="H1118" s="82"/>
      <c r="I1118" s="84"/>
      <c r="J1118" s="78"/>
      <c r="K1118" s="78"/>
      <c r="L1118" s="78"/>
      <c r="M1118" s="70"/>
      <c r="N1118" s="70"/>
      <c r="O1118" s="70"/>
      <c r="P1118" s="70"/>
      <c r="Q1118" s="70"/>
      <c r="R1118" s="70"/>
      <c r="S1118" s="70"/>
      <c r="T1118" s="70"/>
      <c r="U1118" s="70"/>
      <c r="V1118" s="70"/>
      <c r="W1118" s="70"/>
      <c r="X1118" s="70"/>
      <c r="Y1118" s="70"/>
      <c r="Z1118" s="70"/>
    </row>
    <row r="1119">
      <c r="A1119" s="78"/>
      <c r="B1119" s="78"/>
      <c r="C1119" s="80"/>
      <c r="D1119" s="80"/>
      <c r="E1119" s="82"/>
      <c r="F1119" s="82"/>
      <c r="G1119" s="82"/>
      <c r="H1119" s="82"/>
      <c r="I1119" s="84"/>
      <c r="J1119" s="78"/>
      <c r="K1119" s="78"/>
      <c r="L1119" s="78"/>
      <c r="M1119" s="70"/>
      <c r="N1119" s="70"/>
      <c r="O1119" s="70"/>
      <c r="P1119" s="70"/>
      <c r="Q1119" s="70"/>
      <c r="R1119" s="70"/>
      <c r="S1119" s="70"/>
      <c r="T1119" s="70"/>
      <c r="U1119" s="70"/>
      <c r="V1119" s="70"/>
      <c r="W1119" s="70"/>
      <c r="X1119" s="70"/>
      <c r="Y1119" s="70"/>
      <c r="Z1119" s="70"/>
    </row>
    <row r="1120">
      <c r="A1120" s="78"/>
      <c r="B1120" s="78"/>
      <c r="C1120" s="80"/>
      <c r="D1120" s="80"/>
      <c r="E1120" s="82"/>
      <c r="F1120" s="82"/>
      <c r="G1120" s="82"/>
      <c r="H1120" s="82"/>
      <c r="I1120" s="84"/>
      <c r="J1120" s="78"/>
      <c r="K1120" s="78"/>
      <c r="L1120" s="78"/>
      <c r="M1120" s="70"/>
      <c r="N1120" s="70"/>
      <c r="O1120" s="70"/>
      <c r="P1120" s="70"/>
      <c r="Q1120" s="70"/>
      <c r="R1120" s="70"/>
      <c r="S1120" s="70"/>
      <c r="T1120" s="70"/>
      <c r="U1120" s="70"/>
      <c r="V1120" s="70"/>
      <c r="W1120" s="70"/>
      <c r="X1120" s="70"/>
      <c r="Y1120" s="70"/>
      <c r="Z1120" s="70"/>
    </row>
    <row r="1121">
      <c r="A1121" s="78"/>
      <c r="B1121" s="78"/>
      <c r="C1121" s="80"/>
      <c r="D1121" s="80"/>
      <c r="E1121" s="82"/>
      <c r="F1121" s="82"/>
      <c r="G1121" s="82"/>
      <c r="H1121" s="82"/>
      <c r="I1121" s="84"/>
      <c r="J1121" s="78"/>
      <c r="K1121" s="78"/>
      <c r="L1121" s="78"/>
      <c r="M1121" s="70"/>
      <c r="N1121" s="70"/>
      <c r="O1121" s="70"/>
      <c r="P1121" s="70"/>
      <c r="Q1121" s="70"/>
      <c r="R1121" s="70"/>
      <c r="S1121" s="70"/>
      <c r="T1121" s="70"/>
      <c r="U1121" s="70"/>
      <c r="V1121" s="70"/>
      <c r="W1121" s="70"/>
      <c r="X1121" s="70"/>
      <c r="Y1121" s="70"/>
      <c r="Z1121" s="70"/>
    </row>
    <row r="1122">
      <c r="A1122" s="78"/>
      <c r="B1122" s="78"/>
      <c r="C1122" s="80"/>
      <c r="D1122" s="80"/>
      <c r="E1122" s="82"/>
      <c r="F1122" s="82"/>
      <c r="G1122" s="82"/>
      <c r="H1122" s="82"/>
      <c r="I1122" s="84"/>
      <c r="J1122" s="78"/>
      <c r="K1122" s="78"/>
      <c r="L1122" s="78"/>
      <c r="M1122" s="70"/>
      <c r="N1122" s="70"/>
      <c r="O1122" s="70"/>
      <c r="P1122" s="70"/>
      <c r="Q1122" s="70"/>
      <c r="R1122" s="70"/>
      <c r="S1122" s="70"/>
      <c r="T1122" s="70"/>
      <c r="U1122" s="70"/>
      <c r="V1122" s="70"/>
      <c r="W1122" s="70"/>
      <c r="X1122" s="70"/>
      <c r="Y1122" s="70"/>
      <c r="Z1122" s="70"/>
    </row>
    <row r="1123">
      <c r="A1123" s="78"/>
      <c r="B1123" s="78"/>
      <c r="C1123" s="80"/>
      <c r="D1123" s="80"/>
      <c r="E1123" s="82"/>
      <c r="F1123" s="82"/>
      <c r="G1123" s="82"/>
      <c r="H1123" s="82"/>
      <c r="I1123" s="84"/>
      <c r="J1123" s="78"/>
      <c r="K1123" s="78"/>
      <c r="L1123" s="78"/>
      <c r="M1123" s="70"/>
      <c r="N1123" s="70"/>
      <c r="O1123" s="70"/>
      <c r="P1123" s="70"/>
      <c r="Q1123" s="70"/>
      <c r="R1123" s="70"/>
      <c r="S1123" s="70"/>
      <c r="T1123" s="70"/>
      <c r="U1123" s="70"/>
      <c r="V1123" s="70"/>
      <c r="W1123" s="70"/>
      <c r="X1123" s="70"/>
      <c r="Y1123" s="70"/>
      <c r="Z1123" s="70"/>
    </row>
    <row r="1124">
      <c r="A1124" s="78"/>
      <c r="B1124" s="78"/>
      <c r="C1124" s="80"/>
      <c r="D1124" s="80"/>
      <c r="E1124" s="82"/>
      <c r="F1124" s="82"/>
      <c r="G1124" s="82"/>
      <c r="H1124" s="82"/>
      <c r="I1124" s="84"/>
      <c r="J1124" s="78"/>
      <c r="K1124" s="78"/>
      <c r="L1124" s="78"/>
      <c r="M1124" s="70"/>
      <c r="N1124" s="70"/>
      <c r="O1124" s="70"/>
      <c r="P1124" s="70"/>
      <c r="Q1124" s="70"/>
      <c r="R1124" s="70"/>
      <c r="S1124" s="70"/>
      <c r="T1124" s="70"/>
      <c r="U1124" s="70"/>
      <c r="V1124" s="70"/>
      <c r="W1124" s="70"/>
      <c r="X1124" s="70"/>
      <c r="Y1124" s="70"/>
      <c r="Z1124" s="70"/>
    </row>
    <row r="1125">
      <c r="A1125" s="78"/>
      <c r="B1125" s="78"/>
      <c r="C1125" s="80"/>
      <c r="D1125" s="80"/>
      <c r="E1125" s="82"/>
      <c r="F1125" s="82"/>
      <c r="G1125" s="82"/>
      <c r="H1125" s="82"/>
      <c r="I1125" s="84"/>
      <c r="J1125" s="78"/>
      <c r="K1125" s="78"/>
      <c r="L1125" s="78"/>
      <c r="M1125" s="70"/>
      <c r="N1125" s="70"/>
      <c r="O1125" s="70"/>
      <c r="P1125" s="70"/>
      <c r="Q1125" s="70"/>
      <c r="R1125" s="70"/>
      <c r="S1125" s="70"/>
      <c r="T1125" s="70"/>
      <c r="U1125" s="70"/>
      <c r="V1125" s="70"/>
      <c r="W1125" s="70"/>
      <c r="X1125" s="70"/>
      <c r="Y1125" s="70"/>
      <c r="Z1125" s="70"/>
    </row>
    <row r="1126">
      <c r="A1126" s="78"/>
      <c r="B1126" s="78"/>
      <c r="C1126" s="80"/>
      <c r="D1126" s="80"/>
      <c r="E1126" s="82"/>
      <c r="F1126" s="82"/>
      <c r="G1126" s="82"/>
      <c r="H1126" s="82"/>
      <c r="I1126" s="84"/>
      <c r="J1126" s="78"/>
      <c r="K1126" s="78"/>
      <c r="L1126" s="78"/>
      <c r="M1126" s="70"/>
      <c r="N1126" s="70"/>
      <c r="O1126" s="70"/>
      <c r="P1126" s="70"/>
      <c r="Q1126" s="70"/>
      <c r="R1126" s="70"/>
      <c r="S1126" s="70"/>
      <c r="T1126" s="70"/>
      <c r="U1126" s="70"/>
      <c r="V1126" s="70"/>
      <c r="W1126" s="70"/>
      <c r="X1126" s="70"/>
      <c r="Y1126" s="70"/>
      <c r="Z1126" s="70"/>
    </row>
    <row r="1127">
      <c r="A1127" s="78"/>
      <c r="B1127" s="78"/>
      <c r="C1127" s="80"/>
      <c r="D1127" s="80"/>
      <c r="E1127" s="82"/>
      <c r="F1127" s="82"/>
      <c r="G1127" s="82"/>
      <c r="H1127" s="82"/>
      <c r="I1127" s="84"/>
      <c r="J1127" s="78"/>
      <c r="K1127" s="78"/>
      <c r="L1127" s="78"/>
      <c r="M1127" s="70"/>
      <c r="N1127" s="70"/>
      <c r="O1127" s="70"/>
      <c r="P1127" s="70"/>
      <c r="Q1127" s="70"/>
      <c r="R1127" s="70"/>
      <c r="S1127" s="70"/>
      <c r="T1127" s="70"/>
      <c r="U1127" s="70"/>
      <c r="V1127" s="70"/>
      <c r="W1127" s="70"/>
      <c r="X1127" s="70"/>
      <c r="Y1127" s="70"/>
      <c r="Z1127" s="70"/>
    </row>
    <row r="1128">
      <c r="A1128" s="78"/>
      <c r="B1128" s="78"/>
      <c r="C1128" s="80"/>
      <c r="D1128" s="80"/>
      <c r="E1128" s="82"/>
      <c r="F1128" s="82"/>
      <c r="G1128" s="82"/>
      <c r="H1128" s="82"/>
      <c r="I1128" s="84"/>
      <c r="J1128" s="78"/>
      <c r="K1128" s="78"/>
      <c r="L1128" s="78"/>
      <c r="M1128" s="70"/>
      <c r="N1128" s="70"/>
      <c r="O1128" s="70"/>
      <c r="P1128" s="70"/>
      <c r="Q1128" s="70"/>
      <c r="R1128" s="70"/>
      <c r="S1128" s="70"/>
      <c r="T1128" s="70"/>
      <c r="U1128" s="70"/>
      <c r="V1128" s="70"/>
      <c r="W1128" s="70"/>
      <c r="X1128" s="70"/>
      <c r="Y1128" s="70"/>
      <c r="Z1128" s="70"/>
    </row>
    <row r="1129">
      <c r="A1129" s="78"/>
      <c r="B1129" s="78"/>
      <c r="C1129" s="80"/>
      <c r="D1129" s="80"/>
      <c r="E1129" s="82"/>
      <c r="F1129" s="82"/>
      <c r="G1129" s="82"/>
      <c r="H1129" s="82"/>
      <c r="I1129" s="84"/>
      <c r="J1129" s="78"/>
      <c r="K1129" s="78"/>
      <c r="L1129" s="78"/>
      <c r="M1129" s="70"/>
      <c r="N1129" s="70"/>
      <c r="O1129" s="70"/>
      <c r="P1129" s="70"/>
      <c r="Q1129" s="70"/>
      <c r="R1129" s="70"/>
      <c r="S1129" s="70"/>
      <c r="T1129" s="70"/>
      <c r="U1129" s="70"/>
      <c r="V1129" s="70"/>
      <c r="W1129" s="70"/>
      <c r="X1129" s="70"/>
      <c r="Y1129" s="70"/>
      <c r="Z1129" s="70"/>
    </row>
  </sheetData>
  <hyperlinks>
    <hyperlink r:id="rId1" ref="A3"/>
    <hyperlink r:id="rId2" ref="B3"/>
    <hyperlink r:id="rId3" ref="C3"/>
    <hyperlink r:id="rId4" ref="D3"/>
    <hyperlink r:id="rId5" ref="E3"/>
    <hyperlink r:id="rId6" ref="F3"/>
    <hyperlink r:id="rId7" ref="G3"/>
    <hyperlink r:id="rId8" ref="H3"/>
    <hyperlink r:id="rId9" ref="I3"/>
    <hyperlink r:id="rId10" ref="J3"/>
    <hyperlink r:id="rId11" ref="K3"/>
    <hyperlink r:id="rId12" ref="A6"/>
    <hyperlink r:id="rId13" ref="B6"/>
    <hyperlink r:id="rId14" ref="C6"/>
    <hyperlink r:id="rId15" ref="D6"/>
    <hyperlink r:id="rId16" ref="E6"/>
    <hyperlink r:id="rId17" ref="F6"/>
    <hyperlink r:id="rId18" ref="G6"/>
    <hyperlink r:id="rId19" ref="H6"/>
    <hyperlink r:id="rId20" ref="I6"/>
    <hyperlink r:id="rId21" ref="J6"/>
    <hyperlink r:id="rId22" ref="K6"/>
    <hyperlink r:id="rId23" ref="A8"/>
    <hyperlink r:id="rId24" ref="B8"/>
    <hyperlink r:id="rId25" ref="C8"/>
    <hyperlink r:id="rId26" ref="D8"/>
    <hyperlink r:id="rId27" ref="E8"/>
    <hyperlink r:id="rId28" ref="F8"/>
    <hyperlink r:id="rId29" ref="G8"/>
    <hyperlink r:id="rId30" ref="H8"/>
    <hyperlink r:id="rId31" ref="I8"/>
    <hyperlink r:id="rId32" ref="J8"/>
    <hyperlink r:id="rId33" ref="K8"/>
    <hyperlink r:id="rId34" ref="A9"/>
    <hyperlink r:id="rId35" ref="B9"/>
    <hyperlink r:id="rId36" ref="C9"/>
    <hyperlink r:id="rId37" ref="D9"/>
    <hyperlink r:id="rId38" ref="E9"/>
    <hyperlink r:id="rId39" ref="F9"/>
    <hyperlink r:id="rId40" ref="G9"/>
    <hyperlink r:id="rId41" ref="H9"/>
    <hyperlink r:id="rId42" ref="I9"/>
    <hyperlink r:id="rId43" ref="J9"/>
    <hyperlink r:id="rId44" ref="K9"/>
    <hyperlink r:id="rId45" ref="A10"/>
    <hyperlink r:id="rId46" ref="B10"/>
    <hyperlink r:id="rId47" ref="C10"/>
    <hyperlink r:id="rId48" ref="D10"/>
    <hyperlink r:id="rId49" ref="E10"/>
    <hyperlink r:id="rId50" ref="F10"/>
    <hyperlink r:id="rId51" ref="G10"/>
    <hyperlink r:id="rId52" ref="H10"/>
    <hyperlink r:id="rId53" ref="I10"/>
    <hyperlink r:id="rId54" ref="J10"/>
    <hyperlink r:id="rId55" ref="K10"/>
    <hyperlink r:id="rId56" ref="A11"/>
    <hyperlink r:id="rId57" ref="B11"/>
    <hyperlink r:id="rId58" ref="C11"/>
    <hyperlink r:id="rId59" ref="D11"/>
    <hyperlink r:id="rId60" ref="E11"/>
    <hyperlink r:id="rId61" ref="F11"/>
    <hyperlink r:id="rId62" ref="G11"/>
    <hyperlink r:id="rId63" ref="I11"/>
    <hyperlink r:id="rId64" ref="K11"/>
    <hyperlink r:id="rId65" ref="A12"/>
    <hyperlink r:id="rId66" ref="B12"/>
    <hyperlink r:id="rId67" ref="C12"/>
    <hyperlink r:id="rId68" ref="D12"/>
    <hyperlink r:id="rId69" ref="E12"/>
    <hyperlink r:id="rId70" ref="F12"/>
    <hyperlink r:id="rId71" ref="G12"/>
    <hyperlink r:id="rId72" ref="H12"/>
    <hyperlink r:id="rId73" ref="I12"/>
    <hyperlink r:id="rId74" ref="K12"/>
    <hyperlink r:id="rId75" ref="A13"/>
    <hyperlink r:id="rId76" ref="B13"/>
    <hyperlink r:id="rId77" ref="C13"/>
    <hyperlink r:id="rId78" ref="D13"/>
    <hyperlink r:id="rId79" ref="E13"/>
    <hyperlink r:id="rId80" ref="F13"/>
    <hyperlink r:id="rId81" ref="G13"/>
    <hyperlink r:id="rId82" ref="H13"/>
    <hyperlink r:id="rId83" ref="I13"/>
    <hyperlink r:id="rId84" ref="K13"/>
    <hyperlink r:id="rId85" ref="A14"/>
    <hyperlink r:id="rId86" ref="B14"/>
    <hyperlink r:id="rId87" ref="C14"/>
    <hyperlink r:id="rId88" ref="D14"/>
    <hyperlink r:id="rId89" ref="F14"/>
    <hyperlink r:id="rId90" ref="G14"/>
    <hyperlink r:id="rId91" ref="H14"/>
    <hyperlink r:id="rId92" ref="I14"/>
    <hyperlink r:id="rId93" ref="J14"/>
    <hyperlink r:id="rId94" ref="K14"/>
    <hyperlink r:id="rId95" ref="A17"/>
    <hyperlink display="谷歌文件永远是第一时间更新，可以通过梯子进行查询。&#10;腾讯文件仅用在转载，不具有任何的编辑功能。但腾讯文件因需要等转载人空闲时进行转档和网站发布审查，因此不会得到立即更新&#10;谷歌原始文件网址：&#10;https://docs.google.com/spreadsheets/d/e/2PACX-1vSc9bl2zSdkbhz_EeRndV7lSRBVSBtMRUk_rY0O1FQWWw4W0XVm9_ja__2ClO2BMfCJrN-YnlMAd-OL/pubhtml" location="'公告-Notice'!A1" ref="D17"/>
    <hyperlink r:id="rId96" ref="G17"/>
    <hyperlink r:id="rId97" ref="I17"/>
    <hyperlink r:id="rId98" ref="K17"/>
    <hyperlink r:id="rId99" ref="C92"/>
    <hyperlink r:id="rId100" ref="J92"/>
    <hyperlink r:id="rId101" ref="I107"/>
    <hyperlink r:id="rId102" ref="J107"/>
  </hyperlinks>
  <drawing r:id="rId10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38"/>
    <col customWidth="1" min="2" max="2" width="18.5"/>
    <col customWidth="1" min="3" max="3" width="45.63"/>
    <col customWidth="1" min="4" max="4" width="23.75"/>
    <col customWidth="1" min="5" max="5" width="5.38"/>
    <col customWidth="1" min="6" max="6" width="18.5"/>
    <col customWidth="1" min="7" max="7" width="45.63"/>
    <col customWidth="1" min="8" max="8" width="24.88"/>
    <col customWidth="1" min="9" max="9" width="5.38"/>
    <col customWidth="1" min="10" max="10" width="18.5"/>
    <col customWidth="1" min="11" max="11" width="45.63"/>
    <col customWidth="1" min="12" max="12" width="29.63"/>
    <col customWidth="1" min="13" max="13" width="5.38"/>
    <col customWidth="1" min="14" max="14" width="18.5"/>
    <col customWidth="1" min="15" max="15" width="45.63"/>
    <col customWidth="1" min="16" max="16" width="27.63"/>
    <col customWidth="1" min="17" max="17" width="6.0"/>
    <col customWidth="1" min="18" max="18" width="18.5"/>
    <col customWidth="1" min="19" max="19" width="45.63"/>
    <col customWidth="1" min="20" max="20" width="33.63"/>
    <col customWidth="1" min="21" max="21" width="6.0"/>
    <col customWidth="1" min="22" max="22" width="18.5"/>
    <col customWidth="1" min="23" max="23" width="45.63"/>
    <col customWidth="1" min="24" max="24" width="33.63"/>
    <col customWidth="1" min="25" max="25" width="5.38"/>
    <col customWidth="1" min="26" max="26" width="18.5"/>
    <col customWidth="1" min="27" max="27" width="45.63"/>
    <col customWidth="1" min="28" max="28" width="33.63"/>
    <col customWidth="1" min="29" max="29" width="5.38"/>
    <col customWidth="1" min="30" max="30" width="18.5"/>
    <col customWidth="1" min="31" max="31" width="45.63"/>
    <col customWidth="1" min="32" max="32" width="33.63"/>
    <col customWidth="1" min="33" max="33" width="5.38"/>
    <col customWidth="1" min="34" max="34" width="18.5"/>
    <col customWidth="1" min="35" max="35" width="48.75"/>
    <col customWidth="1" min="36" max="36" width="23.75"/>
    <col customWidth="1" min="37" max="37" width="5.25"/>
    <col customWidth="1" min="38" max="38" width="18.38"/>
    <col customWidth="1" min="39" max="39" width="46.13"/>
    <col customWidth="1" min="40" max="40" width="24.25"/>
    <col customWidth="1" min="41" max="41" width="5.25"/>
    <col customWidth="1" min="42" max="42" width="18.38"/>
    <col customWidth="1" min="43" max="43" width="46.13"/>
    <col customWidth="1" min="44" max="44" width="24.25"/>
    <col customWidth="1" min="45" max="45" width="5.25"/>
    <col customWidth="1" min="46" max="46" width="18.38"/>
    <col customWidth="1" min="47" max="47" width="46.13"/>
    <col customWidth="1" min="48" max="48" width="24.25"/>
    <col customWidth="1" min="49" max="50" width="23.75"/>
  </cols>
  <sheetData>
    <row r="1">
      <c r="A1" s="85" t="s">
        <v>594</v>
      </c>
      <c r="B1" s="86" t="s">
        <v>595</v>
      </c>
      <c r="C1" s="87" t="s">
        <v>596</v>
      </c>
      <c r="D1" s="88" t="s">
        <v>597</v>
      </c>
      <c r="E1" s="85" t="s">
        <v>594</v>
      </c>
      <c r="F1" s="89" t="s">
        <v>598</v>
      </c>
      <c r="G1" s="90" t="s">
        <v>599</v>
      </c>
      <c r="H1" s="91" t="s">
        <v>597</v>
      </c>
      <c r="I1" s="85" t="s">
        <v>594</v>
      </c>
      <c r="J1" s="89" t="s">
        <v>600</v>
      </c>
      <c r="K1" s="87" t="s">
        <v>601</v>
      </c>
      <c r="L1" s="88" t="s">
        <v>602</v>
      </c>
      <c r="M1" s="92" t="str">
        <f>IFERROR(__xludf.DUMMYFUNCTION("GOOGLETRANSLATE(E1,""zh-tw"",""en"")"),"NO.")</f>
        <v>NO.</v>
      </c>
      <c r="N1" s="93" t="str">
        <f>IFERROR(__xludf.DUMMYFUNCTION("GOOGLETRANSLATE(B1,""zh-tw"",""zh"")"),"SLG事件")</f>
        <v>SLG事件</v>
      </c>
      <c r="O1" s="94" t="str">
        <f>IFERROR(__xludf.DUMMYFUNCTION("GOOGLETRANSLATE(C1,""zh-tw"",""zh"")"),"说明")</f>
        <v>说明</v>
      </c>
      <c r="P1" s="95" t="str">
        <f>IFERROR(__xludf.DUMMYFUNCTION("GOOGLETRANSLATE(D1,""zh-tw"",""zh"")"),"结果")</f>
        <v>结果</v>
      </c>
      <c r="Q1" s="92" t="s">
        <v>594</v>
      </c>
      <c r="R1" s="89" t="s">
        <v>603</v>
      </c>
      <c r="S1" s="90" t="s">
        <v>604</v>
      </c>
      <c r="T1" s="91" t="s">
        <v>605</v>
      </c>
      <c r="U1" s="92" t="s">
        <v>594</v>
      </c>
      <c r="V1" s="93" t="str">
        <f>IFERROR(__xludf.DUMMYFUNCTION("GOOGLETRANSLATE(B1,""zh-tw"",""KO"")"),"SLG 사건")</f>
        <v>SLG 사건</v>
      </c>
      <c r="W1" s="94" t="str">
        <f>IFERROR(__xludf.DUMMYFUNCTION("GOOGLETRANSLATE(C1,""zh-tw"",""KO"")"),"설명하다")</f>
        <v>설명하다</v>
      </c>
      <c r="X1" s="95" t="str">
        <f>IFERROR(__xludf.DUMMYFUNCTION("GOOGLETRANSLATE(D1,""zh-tw"",""KO"")"),"결과")</f>
        <v>결과</v>
      </c>
      <c r="Y1" s="85" t="s">
        <v>594</v>
      </c>
      <c r="Z1" s="86" t="s">
        <v>606</v>
      </c>
      <c r="AA1" s="87" t="s">
        <v>607</v>
      </c>
      <c r="AB1" s="88" t="s">
        <v>608</v>
      </c>
      <c r="AC1" s="85" t="s">
        <v>594</v>
      </c>
      <c r="AD1" s="96" t="s">
        <v>609</v>
      </c>
      <c r="AE1" s="87" t="s">
        <v>610</v>
      </c>
      <c r="AF1" s="91" t="s">
        <v>611</v>
      </c>
      <c r="AG1" s="97" t="s">
        <v>612</v>
      </c>
      <c r="AH1" s="98" t="s">
        <v>613</v>
      </c>
      <c r="AI1" s="99" t="s">
        <v>614</v>
      </c>
      <c r="AJ1" s="100" t="s">
        <v>615</v>
      </c>
      <c r="AK1" s="85" t="s">
        <v>594</v>
      </c>
      <c r="AL1" s="86" t="s">
        <v>616</v>
      </c>
      <c r="AM1" s="87" t="s">
        <v>617</v>
      </c>
      <c r="AN1" s="88" t="s">
        <v>605</v>
      </c>
      <c r="AO1" s="101" t="s">
        <v>618</v>
      </c>
      <c r="AP1" s="89" t="s">
        <v>619</v>
      </c>
      <c r="AQ1" s="90" t="s">
        <v>620</v>
      </c>
      <c r="AR1" s="91" t="s">
        <v>621</v>
      </c>
      <c r="AS1" s="101"/>
      <c r="AT1" s="89"/>
      <c r="AU1" s="90"/>
      <c r="AV1" s="91"/>
      <c r="AW1" s="88"/>
      <c r="AX1" s="88"/>
    </row>
    <row r="2">
      <c r="A2" s="102"/>
      <c r="B2" s="103"/>
      <c r="C2" s="103"/>
      <c r="D2" s="103"/>
      <c r="E2" s="102"/>
      <c r="F2" s="103"/>
      <c r="G2" s="103"/>
      <c r="H2" s="103"/>
      <c r="I2" s="102"/>
      <c r="J2" s="103"/>
      <c r="K2" s="103"/>
      <c r="L2" s="103"/>
      <c r="M2" s="104"/>
      <c r="N2" s="105"/>
      <c r="O2" s="105"/>
      <c r="P2" s="103"/>
      <c r="Q2" s="104"/>
      <c r="R2" s="103"/>
      <c r="S2" s="105"/>
      <c r="T2" s="105"/>
      <c r="U2" s="104"/>
      <c r="V2" s="103"/>
      <c r="W2" s="103"/>
      <c r="X2" s="103"/>
      <c r="Y2" s="106"/>
      <c r="Z2" s="107"/>
      <c r="AA2" s="107"/>
      <c r="AB2" s="107"/>
      <c r="AC2" s="102"/>
      <c r="AD2" s="103"/>
      <c r="AE2" s="103"/>
      <c r="AF2" s="103"/>
      <c r="AG2" s="108"/>
      <c r="AH2" s="109"/>
      <c r="AI2" s="108"/>
      <c r="AJ2" s="108"/>
      <c r="AK2" s="110"/>
      <c r="AL2" s="110"/>
      <c r="AM2" s="110"/>
      <c r="AN2" s="110"/>
      <c r="AO2" s="110"/>
      <c r="AP2" s="110"/>
      <c r="AQ2" s="110"/>
      <c r="AR2" s="110"/>
      <c r="AS2" s="110"/>
      <c r="AT2" s="110"/>
      <c r="AU2" s="110"/>
      <c r="AV2" s="110"/>
      <c r="AW2" s="103"/>
      <c r="AX2" s="103"/>
    </row>
    <row r="3">
      <c r="A3" s="111" t="s">
        <v>622</v>
      </c>
      <c r="B3" s="111" t="s">
        <v>623</v>
      </c>
      <c r="E3" s="111" t="s">
        <v>622</v>
      </c>
      <c r="F3" s="111" t="s">
        <v>624</v>
      </c>
      <c r="I3" s="111" t="s">
        <v>622</v>
      </c>
      <c r="J3" s="111" t="s">
        <v>625</v>
      </c>
      <c r="M3" s="111" t="s">
        <v>622</v>
      </c>
      <c r="N3" s="112" t="str">
        <f>IFERROR(__xludf.DUMMYFUNCTION("GOOGLETRANSLATE(B3,""zh-tw"",""zh"")"),"平时相关")</f>
        <v>平时相关</v>
      </c>
      <c r="Q3" s="111" t="s">
        <v>622</v>
      </c>
      <c r="R3" s="111" t="s">
        <v>626</v>
      </c>
      <c r="U3" s="111" t="s">
        <v>622</v>
      </c>
      <c r="V3" s="111" t="s">
        <v>627</v>
      </c>
      <c r="Y3" s="112" t="s">
        <v>622</v>
      </c>
      <c r="Z3" s="112" t="s">
        <v>628</v>
      </c>
      <c r="AC3" s="111" t="s">
        <v>622</v>
      </c>
      <c r="AD3" s="111" t="s">
        <v>629</v>
      </c>
      <c r="AG3" s="113" t="s">
        <v>622</v>
      </c>
      <c r="AH3" s="114" t="s">
        <v>630</v>
      </c>
      <c r="AK3" s="112" t="s">
        <v>622</v>
      </c>
      <c r="AL3" s="112" t="s">
        <v>631</v>
      </c>
      <c r="AO3" s="111" t="s">
        <v>622</v>
      </c>
      <c r="AP3" s="111" t="s">
        <v>632</v>
      </c>
      <c r="AS3" s="111"/>
      <c r="AT3" s="111"/>
      <c r="AW3" s="112"/>
      <c r="AX3" s="112"/>
    </row>
    <row r="4">
      <c r="A4" s="115">
        <v>1.0</v>
      </c>
      <c r="B4" s="116" t="s">
        <v>633</v>
      </c>
      <c r="C4" s="117" t="s">
        <v>634</v>
      </c>
      <c r="D4" s="118" t="s">
        <v>635</v>
      </c>
      <c r="E4" s="115">
        <v>1.0</v>
      </c>
      <c r="F4" s="116" t="s">
        <v>636</v>
      </c>
      <c r="G4" s="119" t="s">
        <v>637</v>
      </c>
      <c r="H4" s="118" t="s">
        <v>638</v>
      </c>
      <c r="I4" s="115">
        <v>1.0</v>
      </c>
      <c r="J4" s="116" t="s">
        <v>639</v>
      </c>
      <c r="K4" s="117" t="s">
        <v>640</v>
      </c>
      <c r="L4" s="118" t="s">
        <v>641</v>
      </c>
      <c r="M4" s="115">
        <v>1.0</v>
      </c>
      <c r="N4" s="120" t="s">
        <v>642</v>
      </c>
      <c r="O4" s="119" t="s">
        <v>634</v>
      </c>
      <c r="P4" s="82" t="s">
        <v>643</v>
      </c>
      <c r="Q4" s="115">
        <v>1.0</v>
      </c>
      <c r="R4" s="116" t="s">
        <v>644</v>
      </c>
      <c r="S4" s="121" t="str">
        <f>IFERROR(__xludf.DUMMYFUNCTION("GOOGLETRANSLATE(C4,""zh-tw"",""es-MX"")"),"Abraza a mi hermana")</f>
        <v>Abraza a mi hermana</v>
      </c>
      <c r="T4" s="79" t="s">
        <v>645</v>
      </c>
      <c r="U4" s="115">
        <v>1.0</v>
      </c>
      <c r="V4" s="116" t="s">
        <v>646</v>
      </c>
      <c r="W4" s="117" t="s">
        <v>647</v>
      </c>
      <c r="X4" s="118" t="s">
        <v>648</v>
      </c>
      <c r="Y4" s="115">
        <v>1.0</v>
      </c>
      <c r="Z4" s="122" t="s">
        <v>649</v>
      </c>
      <c r="AA4" s="123" t="s">
        <v>650</v>
      </c>
      <c r="AB4" s="124" t="s">
        <v>651</v>
      </c>
      <c r="AC4" s="115">
        <v>1.0</v>
      </c>
      <c r="AD4" s="116" t="s">
        <v>652</v>
      </c>
      <c r="AE4" s="117" t="s">
        <v>653</v>
      </c>
      <c r="AF4" s="118" t="s">
        <v>654</v>
      </c>
      <c r="AG4" s="125">
        <v>1.0</v>
      </c>
      <c r="AH4" s="126" t="s">
        <v>655</v>
      </c>
      <c r="AI4" s="127" t="s">
        <v>656</v>
      </c>
      <c r="AJ4" s="73" t="s">
        <v>657</v>
      </c>
      <c r="AK4" s="115">
        <v>1.0</v>
      </c>
      <c r="AL4" s="128" t="s">
        <v>658</v>
      </c>
      <c r="AM4" s="129" t="s">
        <v>659</v>
      </c>
      <c r="AN4" s="130" t="s">
        <v>660</v>
      </c>
      <c r="AO4" s="115">
        <v>1.0</v>
      </c>
      <c r="AP4" s="120" t="s">
        <v>661</v>
      </c>
      <c r="AQ4" s="119" t="s">
        <v>662</v>
      </c>
      <c r="AR4" s="79" t="s">
        <v>663</v>
      </c>
      <c r="AS4" s="115"/>
      <c r="AT4" s="120"/>
      <c r="AU4" s="119"/>
      <c r="AV4" s="79"/>
      <c r="AW4" s="118"/>
      <c r="AX4" s="118"/>
    </row>
    <row r="5">
      <c r="C5" s="117" t="s">
        <v>664</v>
      </c>
      <c r="D5" s="118" t="s">
        <v>665</v>
      </c>
      <c r="G5" s="117" t="s">
        <v>666</v>
      </c>
      <c r="H5" s="118" t="s">
        <v>667</v>
      </c>
      <c r="K5" s="117" t="s">
        <v>668</v>
      </c>
      <c r="L5" s="118" t="s">
        <v>669</v>
      </c>
      <c r="O5" s="121" t="str">
        <f>IFERROR(__xludf.DUMMYFUNCTION("GOOGLETRANSLATE(C5,""zh-tw"",""zh"")"),"没事-&gt;小时候")</f>
        <v>没事-&gt;小时候</v>
      </c>
      <c r="P5" s="79" t="s">
        <v>670</v>
      </c>
      <c r="S5" s="121" t="str">
        <f>IFERROR(__xludf.DUMMYFUNCTION("GOOGLETRANSLATE(C5,""zh-tw"",""es-MX"")"),"Está bien -&gt; cuando era niño")</f>
        <v>Está bien -&gt; cuando era niño</v>
      </c>
      <c r="T5" s="79" t="s">
        <v>671</v>
      </c>
      <c r="W5" s="119" t="s">
        <v>672</v>
      </c>
      <c r="X5" s="79" t="s">
        <v>673</v>
      </c>
      <c r="AA5" s="123" t="s">
        <v>674</v>
      </c>
      <c r="AB5" s="124" t="s">
        <v>675</v>
      </c>
      <c r="AE5" s="117" t="s">
        <v>676</v>
      </c>
      <c r="AF5" s="118" t="s">
        <v>677</v>
      </c>
      <c r="AI5" s="127" t="s">
        <v>678</v>
      </c>
      <c r="AJ5" s="73" t="s">
        <v>679</v>
      </c>
      <c r="AM5" s="129" t="s">
        <v>680</v>
      </c>
      <c r="AN5" s="130" t="s">
        <v>681</v>
      </c>
      <c r="AQ5" s="119" t="s">
        <v>682</v>
      </c>
      <c r="AR5" s="79" t="s">
        <v>683</v>
      </c>
      <c r="AU5" s="119"/>
      <c r="AV5" s="79"/>
      <c r="AW5" s="118"/>
      <c r="AX5" s="118"/>
    </row>
    <row r="6">
      <c r="C6" s="117" t="s">
        <v>684</v>
      </c>
      <c r="D6" s="118" t="s">
        <v>685</v>
      </c>
      <c r="G6" s="117" t="s">
        <v>686</v>
      </c>
      <c r="H6" s="118" t="s">
        <v>687</v>
      </c>
      <c r="K6" s="117" t="s">
        <v>688</v>
      </c>
      <c r="L6" s="118" t="s">
        <v>689</v>
      </c>
      <c r="O6" s="121" t="str">
        <f>IFERROR(__xludf.DUMMYFUNCTION("GOOGLETRANSLATE(C6,""zh-tw"",""zh"")"),"没事-&gt;牛排餐")</f>
        <v>没事-&gt;牛排餐</v>
      </c>
      <c r="P6" s="82" t="str">
        <f>IFERROR(__xludf.DUMMYFUNCTION("GOOGLETRANSLATE(D6,""zh-tw"",""zh"")"),"约定:肉料理")</f>
        <v>约定:肉料理</v>
      </c>
      <c r="S6" s="121" t="str">
        <f>IFERROR(__xludf.DUMMYFUNCTION("GOOGLETRANSLATE(C6,""zh-tw"",""es-MX"")"),"Nada -&gt; Comida de bistec")</f>
        <v>Nada -&gt; Comida de bistec</v>
      </c>
      <c r="T6" s="79" t="s">
        <v>690</v>
      </c>
      <c r="W6" s="119" t="s">
        <v>691</v>
      </c>
      <c r="X6" s="79" t="s">
        <v>692</v>
      </c>
      <c r="AA6" s="123" t="s">
        <v>693</v>
      </c>
      <c r="AB6" s="124" t="s">
        <v>694</v>
      </c>
      <c r="AE6" s="117" t="s">
        <v>695</v>
      </c>
      <c r="AF6" s="118" t="s">
        <v>696</v>
      </c>
      <c r="AI6" s="127" t="s">
        <v>697</v>
      </c>
      <c r="AJ6" s="73" t="s">
        <v>698</v>
      </c>
      <c r="AM6" s="129" t="s">
        <v>699</v>
      </c>
      <c r="AN6" s="130" t="s">
        <v>700</v>
      </c>
      <c r="AQ6" s="119" t="s">
        <v>701</v>
      </c>
      <c r="AR6" s="79" t="s">
        <v>702</v>
      </c>
      <c r="AU6" s="119"/>
      <c r="AV6" s="79"/>
      <c r="AW6" s="118"/>
      <c r="AX6" s="118"/>
    </row>
    <row r="7">
      <c r="C7" s="117" t="s">
        <v>703</v>
      </c>
      <c r="D7" s="118" t="s">
        <v>704</v>
      </c>
      <c r="G7" s="117" t="s">
        <v>705</v>
      </c>
      <c r="H7" s="118" t="s">
        <v>706</v>
      </c>
      <c r="K7" s="117" t="s">
        <v>707</v>
      </c>
      <c r="L7" s="118" t="s">
        <v>708</v>
      </c>
      <c r="O7" s="121" t="str">
        <f>IFERROR(__xludf.DUMMYFUNCTION("GOOGLETRANSLATE(C7,""zh-tw"",""zh"")"),"没事-&gt;忘光光")</f>
        <v>没事-&gt;忘光光</v>
      </c>
      <c r="P7" s="118" t="str">
        <f>IFERROR(__xludf.DUMMYFUNCTION("GOOGLETRANSLATE(D7,""zh-tw"",""zh"")"),"获得状态:总有一天会想起")</f>
        <v>获得状态:总有一天会想起</v>
      </c>
      <c r="S7" s="121" t="str">
        <f>IFERROR(__xludf.DUMMYFUNCTION("GOOGLETRANSLATE(C7,""zh-tw"",""es-MX"")"),"No pasó nada -&gt; Lo olvidé todo")</f>
        <v>No pasó nada -&gt; Lo olvidé todo</v>
      </c>
      <c r="T7" s="131" t="s">
        <v>709</v>
      </c>
      <c r="W7" s="119" t="s">
        <v>710</v>
      </c>
      <c r="X7" s="79" t="s">
        <v>711</v>
      </c>
      <c r="AA7" s="123" t="s">
        <v>712</v>
      </c>
      <c r="AB7" s="124" t="s">
        <v>713</v>
      </c>
      <c r="AE7" s="117" t="s">
        <v>714</v>
      </c>
      <c r="AF7" s="118" t="s">
        <v>715</v>
      </c>
      <c r="AI7" s="127" t="s">
        <v>716</v>
      </c>
      <c r="AJ7" s="73" t="s">
        <v>717</v>
      </c>
      <c r="AM7" s="129" t="s">
        <v>718</v>
      </c>
      <c r="AN7" s="130" t="s">
        <v>719</v>
      </c>
      <c r="AQ7" s="119" t="s">
        <v>720</v>
      </c>
      <c r="AR7" s="79" t="s">
        <v>721</v>
      </c>
      <c r="AU7" s="119"/>
      <c r="AV7" s="79"/>
      <c r="AW7" s="118"/>
      <c r="AX7" s="118"/>
    </row>
    <row r="8">
      <c r="A8" s="115">
        <v>2.0</v>
      </c>
      <c r="B8" s="116" t="s">
        <v>722</v>
      </c>
      <c r="C8" s="117" t="s">
        <v>723</v>
      </c>
      <c r="D8" s="118" t="s">
        <v>724</v>
      </c>
      <c r="E8" s="115">
        <v>2.0</v>
      </c>
      <c r="F8" s="116" t="s">
        <v>725</v>
      </c>
      <c r="G8" s="117" t="s">
        <v>726</v>
      </c>
      <c r="H8" s="118" t="s">
        <v>727</v>
      </c>
      <c r="I8" s="115">
        <v>2.0</v>
      </c>
      <c r="J8" s="116" t="s">
        <v>728</v>
      </c>
      <c r="K8" s="117" t="s">
        <v>729</v>
      </c>
      <c r="L8" s="118" t="s">
        <v>730</v>
      </c>
      <c r="M8" s="115">
        <v>2.0</v>
      </c>
      <c r="N8" s="116" t="str">
        <f>IFERROR(__xludf.DUMMYFUNCTION("GOOGLETRANSLATE(B8,""zh-tw"",""zh"")"),"第一次的探险")</f>
        <v>第一次的探险</v>
      </c>
      <c r="O8" s="121" t="str">
        <f>IFERROR(__xludf.DUMMYFUNCTION("GOOGLETRANSLATE(C8,""zh-tw"",""zh"")"),"第一次开始探险时，妹妹会有特殊的对话")</f>
        <v>第一次开始探险时，妹妹会有特殊的对话</v>
      </c>
      <c r="P8" s="82" t="str">
        <f>IFERROR(__xludf.DUMMYFUNCTION("GOOGLETRANSLATE(D8,""zh-tw"",""zh"")"),"特殊对话")</f>
        <v>特殊对话</v>
      </c>
      <c r="Q8" s="115">
        <v>2.0</v>
      </c>
      <c r="R8" s="132" t="str">
        <f>IFERROR(__xludf.DUMMYFUNCTION("GOOGLETRANSLATE(B8,""zh-tw"",""es-MX"")"),"Primera expedición")</f>
        <v>Primera expedición</v>
      </c>
      <c r="S8" s="117" t="str">
        <f>IFERROR(__xludf.DUMMYFUNCTION("GOOGLETRANSLATE(C8,""zh-tw"",""es-MX"")"),"La hermana menor tendrá un diálogo especial cuando comience la aventura por primera vez.")</f>
        <v>La hermana menor tendrá un diálogo especial cuando comience la aventura por primera vez.</v>
      </c>
      <c r="T8" s="79" t="s">
        <v>731</v>
      </c>
      <c r="U8" s="115">
        <v>2.0</v>
      </c>
      <c r="V8" s="132" t="s">
        <v>732</v>
      </c>
      <c r="W8" s="119" t="s">
        <v>733</v>
      </c>
      <c r="X8" s="79" t="s">
        <v>734</v>
      </c>
      <c r="Y8" s="115">
        <v>2.0</v>
      </c>
      <c r="Z8" s="122" t="s">
        <v>735</v>
      </c>
      <c r="AA8" s="123" t="s">
        <v>736</v>
      </c>
      <c r="AB8" s="124" t="s">
        <v>737</v>
      </c>
      <c r="AC8" s="115">
        <v>2.0</v>
      </c>
      <c r="AD8" s="116" t="s">
        <v>738</v>
      </c>
      <c r="AE8" s="117" t="s">
        <v>739</v>
      </c>
      <c r="AF8" s="118" t="s">
        <v>740</v>
      </c>
      <c r="AG8" s="125">
        <v>2.0</v>
      </c>
      <c r="AH8" s="133" t="s">
        <v>741</v>
      </c>
      <c r="AI8" s="134" t="s">
        <v>742</v>
      </c>
      <c r="AJ8" s="135" t="s">
        <v>743</v>
      </c>
      <c r="AK8" s="115">
        <v>2.0</v>
      </c>
      <c r="AL8" s="128" t="s">
        <v>744</v>
      </c>
      <c r="AM8" s="129" t="s">
        <v>745</v>
      </c>
      <c r="AN8" s="130" t="s">
        <v>746</v>
      </c>
      <c r="AO8" s="115">
        <v>2.0</v>
      </c>
      <c r="AP8" s="136" t="s">
        <v>728</v>
      </c>
      <c r="AQ8" s="137" t="s">
        <v>747</v>
      </c>
      <c r="AR8" s="138" t="s">
        <v>748</v>
      </c>
      <c r="AS8" s="115"/>
      <c r="AT8" s="136"/>
      <c r="AU8" s="137"/>
      <c r="AV8" s="138"/>
      <c r="AW8" s="118"/>
      <c r="AX8" s="118"/>
    </row>
    <row r="9">
      <c r="A9" s="115">
        <v>3.0</v>
      </c>
      <c r="B9" s="116" t="s">
        <v>685</v>
      </c>
      <c r="C9" s="117" t="s">
        <v>749</v>
      </c>
      <c r="D9" s="118" t="s">
        <v>750</v>
      </c>
      <c r="E9" s="115">
        <v>3.0</v>
      </c>
      <c r="F9" s="116" t="s">
        <v>751</v>
      </c>
      <c r="G9" s="117" t="s">
        <v>752</v>
      </c>
      <c r="H9" s="118" t="s">
        <v>753</v>
      </c>
      <c r="I9" s="115">
        <v>3.0</v>
      </c>
      <c r="J9" s="116" t="s">
        <v>754</v>
      </c>
      <c r="K9" s="117" t="s">
        <v>755</v>
      </c>
      <c r="L9" s="118" t="s">
        <v>756</v>
      </c>
      <c r="M9" s="115">
        <v>3.0</v>
      </c>
      <c r="N9" s="116" t="str">
        <f>IFERROR(__xludf.DUMMYFUNCTION("GOOGLETRANSLATE(B9,""zh-tw"",""zh"")"),"约定:肉料理")</f>
        <v>约定:肉料理</v>
      </c>
      <c r="O9" s="117" t="str">
        <f>IFERROR(__xludf.DUMMYFUNCTION("GOOGLETRANSLATE(C9,""zh-tw"",""zh"")"),"制作肉料理")</f>
        <v>制作肉料理</v>
      </c>
      <c r="P9" s="82" t="str">
        <f>IFERROR(__xludf.DUMMYFUNCTION("GOOGLETRANSLATE(D9,""zh-tw"",""zh"")"),"获得""少女的笑容""装备")</f>
        <v>获得"少女的笑容"装备</v>
      </c>
      <c r="Q9" s="115">
        <v>3.0</v>
      </c>
      <c r="R9" s="132" t="str">
        <f>IFERROR(__xludf.DUMMYFUNCTION("GOOGLETRANSLATE(B9,""zh-tw"",""es-MX"")"),"Acuerdo: Platos de carne")</f>
        <v>Acuerdo: Platos de carne</v>
      </c>
      <c r="S9" s="121" t="str">
        <f>IFERROR(__xludf.DUMMYFUNCTION("GOOGLETRANSLATE(C9,""zh-tw"",""es-MX"")"),"Preparar platos de carne")</f>
        <v>Preparar platos de carne</v>
      </c>
      <c r="T9" s="79" t="s">
        <v>757</v>
      </c>
      <c r="U9" s="115">
        <v>3.0</v>
      </c>
      <c r="V9" s="120" t="s">
        <v>758</v>
      </c>
      <c r="W9" s="119" t="s">
        <v>759</v>
      </c>
      <c r="X9" s="118" t="s">
        <v>760</v>
      </c>
      <c r="Y9" s="115">
        <v>3.0</v>
      </c>
      <c r="Z9" s="122" t="s">
        <v>761</v>
      </c>
      <c r="AA9" s="123" t="s">
        <v>762</v>
      </c>
      <c r="AB9" s="124" t="s">
        <v>763</v>
      </c>
      <c r="AC9" s="115">
        <v>3.0</v>
      </c>
      <c r="AD9" s="116" t="s">
        <v>764</v>
      </c>
      <c r="AE9" s="117" t="s">
        <v>765</v>
      </c>
      <c r="AF9" s="118" t="s">
        <v>766</v>
      </c>
      <c r="AG9" s="125">
        <v>3.0</v>
      </c>
      <c r="AH9" s="133" t="s">
        <v>767</v>
      </c>
      <c r="AI9" s="139" t="s">
        <v>768</v>
      </c>
      <c r="AJ9" s="135" t="s">
        <v>769</v>
      </c>
      <c r="AK9" s="115">
        <v>3.0</v>
      </c>
      <c r="AL9" s="128" t="s">
        <v>770</v>
      </c>
      <c r="AM9" s="129" t="s">
        <v>771</v>
      </c>
      <c r="AN9" s="140" t="s">
        <v>772</v>
      </c>
      <c r="AO9" s="115">
        <v>3.0</v>
      </c>
      <c r="AP9" s="136" t="s">
        <v>754</v>
      </c>
      <c r="AQ9" s="137" t="s">
        <v>773</v>
      </c>
      <c r="AR9" s="138" t="s">
        <v>774</v>
      </c>
      <c r="AS9" s="115"/>
      <c r="AT9" s="136"/>
      <c r="AU9" s="137"/>
      <c r="AV9" s="138"/>
      <c r="AW9" s="118"/>
      <c r="AX9" s="118"/>
    </row>
    <row r="10">
      <c r="A10" s="115">
        <v>4.0</v>
      </c>
      <c r="B10" s="116" t="s">
        <v>775</v>
      </c>
      <c r="C10" s="117" t="s">
        <v>776</v>
      </c>
      <c r="D10" s="118" t="s">
        <v>777</v>
      </c>
      <c r="E10" s="115">
        <v>4.0</v>
      </c>
      <c r="F10" s="116" t="s">
        <v>778</v>
      </c>
      <c r="G10" s="119" t="s">
        <v>779</v>
      </c>
      <c r="H10" s="118" t="s">
        <v>780</v>
      </c>
      <c r="I10" s="115">
        <v>4.0</v>
      </c>
      <c r="J10" s="116" t="s">
        <v>781</v>
      </c>
      <c r="K10" s="117" t="s">
        <v>782</v>
      </c>
      <c r="L10" s="79" t="s">
        <v>783</v>
      </c>
      <c r="M10" s="115">
        <v>4.0</v>
      </c>
      <c r="N10" s="116" t="str">
        <f>IFERROR(__xludf.DUMMYFUNCTION("GOOGLETRANSLATE(B10,""zh-tw"",""zh"")"),"约定:别受伤")</f>
        <v>约定:别受伤</v>
      </c>
      <c r="O10" s="119" t="s">
        <v>784</v>
      </c>
      <c r="P10" s="118" t="str">
        <f>IFERROR(__xludf.DUMMYFUNCTION("GOOGLETRANSLATE(D10,""zh-tw"",""zh"")"),"获得""什么都行券""道具
后续未实装")</f>
        <v>获得"什么都行券"道具
后续未实装</v>
      </c>
      <c r="Q10" s="115">
        <v>4.0</v>
      </c>
      <c r="R10" s="116" t="str">
        <f>IFERROR(__xludf.DUMMYFUNCTION("GOOGLETRANSLATE(B10,""zh-tw"",""es-MX"")"),"Acuerdo: No te hagas daño")</f>
        <v>Acuerdo: No te hagas daño</v>
      </c>
      <c r="S10" s="121" t="s">
        <v>785</v>
      </c>
      <c r="T10" s="79" t="s">
        <v>786</v>
      </c>
      <c r="U10" s="115">
        <v>4.0</v>
      </c>
      <c r="V10" s="116" t="str">
        <f>IFERROR(__xludf.DUMMYFUNCTION("GOOGLETRANSLATE(B10,""zh-tw"",""KO"")"),"약속: 다치지 말자")</f>
        <v>약속: 다치지 말자</v>
      </c>
      <c r="W10" s="117" t="s">
        <v>787</v>
      </c>
      <c r="X10" s="118" t="s">
        <v>788</v>
      </c>
      <c r="Y10" s="115">
        <v>4.0</v>
      </c>
      <c r="Z10" s="122" t="s">
        <v>789</v>
      </c>
      <c r="AA10" s="123" t="s">
        <v>790</v>
      </c>
      <c r="AB10" s="124" t="s">
        <v>791</v>
      </c>
      <c r="AC10" s="115">
        <v>4.0</v>
      </c>
      <c r="AD10" s="116" t="s">
        <v>792</v>
      </c>
      <c r="AE10" s="117" t="s">
        <v>793</v>
      </c>
      <c r="AF10" s="118" t="s">
        <v>794</v>
      </c>
      <c r="AG10" s="125">
        <v>4.0</v>
      </c>
      <c r="AH10" s="133" t="s">
        <v>795</v>
      </c>
      <c r="AI10" s="134" t="s">
        <v>796</v>
      </c>
      <c r="AJ10" s="135" t="s">
        <v>797</v>
      </c>
      <c r="AK10" s="115">
        <v>4.0</v>
      </c>
      <c r="AL10" s="128" t="s">
        <v>798</v>
      </c>
      <c r="AM10" s="129" t="s">
        <v>799</v>
      </c>
      <c r="AN10" s="130" t="s">
        <v>800</v>
      </c>
      <c r="AO10" s="115">
        <v>4.0</v>
      </c>
      <c r="AP10" s="136" t="s">
        <v>781</v>
      </c>
      <c r="AQ10" s="137" t="s">
        <v>801</v>
      </c>
      <c r="AR10" s="138" t="s">
        <v>802</v>
      </c>
      <c r="AS10" s="115"/>
      <c r="AT10" s="136"/>
      <c r="AU10" s="137"/>
      <c r="AV10" s="138"/>
      <c r="AW10" s="118"/>
      <c r="AX10" s="118"/>
    </row>
    <row r="11">
      <c r="A11" s="115">
        <v>5.0</v>
      </c>
      <c r="B11" s="116" t="s">
        <v>803</v>
      </c>
      <c r="C11" s="117" t="s">
        <v>804</v>
      </c>
      <c r="D11" s="118" t="s">
        <v>805</v>
      </c>
      <c r="E11" s="115">
        <v>5.0</v>
      </c>
      <c r="F11" s="116" t="s">
        <v>806</v>
      </c>
      <c r="G11" s="117" t="s">
        <v>807</v>
      </c>
      <c r="H11" s="118" t="s">
        <v>808</v>
      </c>
      <c r="I11" s="115">
        <v>5.0</v>
      </c>
      <c r="J11" s="116" t="s">
        <v>809</v>
      </c>
      <c r="K11" s="119" t="s">
        <v>810</v>
      </c>
      <c r="L11" s="79" t="s">
        <v>811</v>
      </c>
      <c r="M11" s="115">
        <v>5.0</v>
      </c>
      <c r="N11" s="116" t="str">
        <f>IFERROR(__xludf.DUMMYFUNCTION("GOOGLETRANSLATE(B11,""zh-tw"",""zh"")"),"约定:草莓牛奶")</f>
        <v>约定:草莓牛奶</v>
      </c>
      <c r="O11" s="121" t="str">
        <f>IFERROR(__xludf.DUMMYFUNCTION("GOOGLETRANSLATE(C11,""zh-tw"",""zh"")"),"当想做出某些妹妹不想做的事情时，可以贿络妹妹1、10、100瓶草莓牛奶，数值越高妹妹越容易答应(此约定的机制类似于""什么都行券"")")</f>
        <v>当想做出某些妹妹不想做的事情时，可以贿络妹妹1、10、100瓶草莓牛奶，数值越高妹妹越容易答应(此约定的机制类似于"什么都行券")</v>
      </c>
      <c r="P11" s="118" t="str">
        <f>IFERROR(__xludf.DUMMYFUNCTION("GOOGLETRANSLATE(D11,""zh-tw"",""zh"")"),"需要在一日之内达成约定的承诺，否则妹妹的❤️ 会转为🖤
(未实装)")</f>
        <v>需要在一日之内达成约定的承诺，否则妹妹的❤️ 会转为🖤
(未实装)</v>
      </c>
      <c r="Q11" s="115">
        <v>5.0</v>
      </c>
      <c r="R11" s="116" t="s">
        <v>812</v>
      </c>
      <c r="S11" s="119" t="s">
        <v>813</v>
      </c>
      <c r="T11" s="79" t="s">
        <v>814</v>
      </c>
      <c r="U11" s="115">
        <v>5.0</v>
      </c>
      <c r="V11" s="120" t="s">
        <v>815</v>
      </c>
      <c r="W11" s="119" t="s">
        <v>816</v>
      </c>
      <c r="X11" s="79" t="s">
        <v>817</v>
      </c>
      <c r="Y11" s="115">
        <v>5.0</v>
      </c>
      <c r="Z11" s="122" t="s">
        <v>818</v>
      </c>
      <c r="AA11" s="123" t="s">
        <v>819</v>
      </c>
      <c r="AB11" s="124" t="s">
        <v>820</v>
      </c>
      <c r="AC11" s="115">
        <v>5.0</v>
      </c>
      <c r="AD11" s="116" t="s">
        <v>821</v>
      </c>
      <c r="AE11" s="117" t="s">
        <v>822</v>
      </c>
      <c r="AF11" s="118" t="s">
        <v>823</v>
      </c>
      <c r="AG11" s="125">
        <v>5.0</v>
      </c>
      <c r="AH11" s="133" t="s">
        <v>824</v>
      </c>
      <c r="AI11" s="139" t="s">
        <v>825</v>
      </c>
      <c r="AJ11" s="135" t="s">
        <v>826</v>
      </c>
      <c r="AK11" s="115">
        <v>5.0</v>
      </c>
      <c r="AL11" s="128" t="s">
        <v>827</v>
      </c>
      <c r="AM11" s="141" t="s">
        <v>828</v>
      </c>
      <c r="AN11" s="130" t="s">
        <v>829</v>
      </c>
      <c r="AO11" s="115">
        <v>5.0</v>
      </c>
      <c r="AP11" s="136" t="s">
        <v>830</v>
      </c>
      <c r="AQ11" s="137" t="s">
        <v>831</v>
      </c>
      <c r="AR11" s="138" t="s">
        <v>832</v>
      </c>
      <c r="AS11" s="115"/>
      <c r="AT11" s="136"/>
      <c r="AU11" s="137"/>
      <c r="AV11" s="138"/>
      <c r="AW11" s="118"/>
      <c r="AX11" s="118"/>
    </row>
    <row r="12" ht="69.0" customHeight="1">
      <c r="A12" s="115">
        <v>6.0</v>
      </c>
      <c r="B12" s="116" t="s">
        <v>833</v>
      </c>
      <c r="C12" s="117" t="s">
        <v>834</v>
      </c>
      <c r="D12" s="118" t="s">
        <v>835</v>
      </c>
      <c r="E12" s="115">
        <v>6.0</v>
      </c>
      <c r="F12" s="116" t="s">
        <v>836</v>
      </c>
      <c r="G12" s="117" t="s">
        <v>837</v>
      </c>
      <c r="H12" s="118" t="s">
        <v>838</v>
      </c>
      <c r="I12" s="115">
        <v>6.0</v>
      </c>
      <c r="J12" s="116" t="s">
        <v>839</v>
      </c>
      <c r="K12" s="117" t="s">
        <v>840</v>
      </c>
      <c r="L12" s="118" t="s">
        <v>841</v>
      </c>
      <c r="M12" s="115">
        <v>6.0</v>
      </c>
      <c r="N12" s="116" t="str">
        <f>IFERROR(__xludf.DUMMYFUNCTION("GOOGLETRANSLATE(B12,""zh-tw"",""zh"")"),"第一次带饮料")</f>
        <v>第一次带饮料</v>
      </c>
      <c r="O12" s="121" t="s">
        <v>842</v>
      </c>
      <c r="P12" s="82" t="str">
        <f>IFERROR(__xludf.DUMMYFUNCTION("GOOGLETRANSLATE(D12,""zh-tw"",""zh"")"),"解锁""喝点什么""选项")</f>
        <v>解锁"喝点什么"选项</v>
      </c>
      <c r="Q12" s="115">
        <v>6.0</v>
      </c>
      <c r="R12" s="132" t="str">
        <f>IFERROR(__xludf.DUMMYFUNCTION("GOOGLETRANSLATE(B12,""zh-tw"",""es-MX"")"),"Primera vez que traigo bebidas")</f>
        <v>Primera vez que traigo bebidas</v>
      </c>
      <c r="S12" s="121" t="str">
        <f>IFERROR(__xludf.DUMMYFUNCTION("GOOGLETRANSLATE(C12,""zh-tw"",""es-MX"")"),"Hay un diálogo especial cuando llevas una bebida a casa por primera vez. Hay otro diálogo si rompes la máquina expendedora por accidente.")</f>
        <v>Hay un diálogo especial cuando llevas una bebida a casa por primera vez. Hay otro diálogo si rompes la máquina expendedora por accidente.</v>
      </c>
      <c r="T12" s="79" t="s">
        <v>843</v>
      </c>
      <c r="U12" s="115">
        <v>6.0</v>
      </c>
      <c r="V12" s="116" t="s">
        <v>844</v>
      </c>
      <c r="W12" s="119" t="s">
        <v>845</v>
      </c>
      <c r="X12" s="118" t="s">
        <v>846</v>
      </c>
      <c r="Y12" s="115">
        <v>6.0</v>
      </c>
      <c r="Z12" s="122" t="s">
        <v>847</v>
      </c>
      <c r="AA12" s="123" t="s">
        <v>848</v>
      </c>
      <c r="AB12" s="142" t="s">
        <v>849</v>
      </c>
      <c r="AC12" s="115">
        <v>6.0</v>
      </c>
      <c r="AD12" s="116" t="s">
        <v>850</v>
      </c>
      <c r="AE12" s="117" t="s">
        <v>851</v>
      </c>
      <c r="AF12" s="118" t="s">
        <v>852</v>
      </c>
      <c r="AG12" s="125">
        <v>6.0</v>
      </c>
      <c r="AH12" s="143" t="s">
        <v>853</v>
      </c>
      <c r="AI12" s="127" t="s">
        <v>854</v>
      </c>
      <c r="AJ12" s="73" t="s">
        <v>855</v>
      </c>
      <c r="AK12" s="115">
        <v>6.0</v>
      </c>
      <c r="AL12" s="128" t="s">
        <v>856</v>
      </c>
      <c r="AM12" s="129" t="s">
        <v>857</v>
      </c>
      <c r="AN12" s="130" t="s">
        <v>858</v>
      </c>
      <c r="AO12" s="115">
        <v>6.0</v>
      </c>
      <c r="AP12" s="136" t="s">
        <v>859</v>
      </c>
      <c r="AQ12" s="137" t="s">
        <v>860</v>
      </c>
      <c r="AR12" s="138" t="s">
        <v>861</v>
      </c>
      <c r="AS12" s="115"/>
      <c r="AT12" s="136"/>
      <c r="AU12" s="137"/>
      <c r="AV12" s="138"/>
      <c r="AW12" s="118"/>
      <c r="AX12" s="118"/>
    </row>
    <row r="13">
      <c r="A13" s="115">
        <v>7.0</v>
      </c>
      <c r="B13" s="116" t="s">
        <v>862</v>
      </c>
      <c r="C13" s="117" t="s">
        <v>863</v>
      </c>
      <c r="D13" s="118" t="s">
        <v>864</v>
      </c>
      <c r="E13" s="115">
        <v>7.0</v>
      </c>
      <c r="F13" s="116" t="s">
        <v>865</v>
      </c>
      <c r="G13" s="117" t="s">
        <v>866</v>
      </c>
      <c r="H13" s="118" t="s">
        <v>867</v>
      </c>
      <c r="I13" s="115">
        <v>7.0</v>
      </c>
      <c r="J13" s="116" t="s">
        <v>868</v>
      </c>
      <c r="K13" s="117" t="s">
        <v>869</v>
      </c>
      <c r="L13" s="118" t="s">
        <v>870</v>
      </c>
      <c r="M13" s="115">
        <v>7.0</v>
      </c>
      <c r="N13" s="116" t="str">
        <f>IFERROR(__xludf.DUMMYFUNCTION("GOOGLETRANSLATE(B13,""zh-tw"",""zh"")"),"第一次死亡")</f>
        <v>第一次死亡</v>
      </c>
      <c r="O13" s="117" t="str">
        <f>IFERROR(__xludf.DUMMYFUNCTION("GOOGLETRANSLATE(C13,""zh-tw"",""zh"")"),"第一次死亡后，吃到妹妹料理")</f>
        <v>第一次死亡后，吃到妹妹料理</v>
      </c>
      <c r="P13" s="82" t="s">
        <v>871</v>
      </c>
      <c r="Q13" s="115">
        <v>7.0</v>
      </c>
      <c r="R13" s="132" t="s">
        <v>872</v>
      </c>
      <c r="S13" s="121" t="str">
        <f>IFERROR(__xludf.DUMMYFUNCTION("GOOGLETRANSLATE(C13,""zh-tw"",""es-MX"")"),"Después de morir por primera vez, comí la comida que preparaba mi hermana.")</f>
        <v>Después de morir por primera vez, comí la comida que preparaba mi hermana.</v>
      </c>
      <c r="T13" s="82" t="str">
        <f>IFERROR(__xludf.DUMMYFUNCTION("GOOGLETRANSLATE(D13,""zh-tw"",""es-MX"")"),"*Evento único* Una secuencia onírica especial que te da la opción de pedirle a tu hermana que cocine para ti.")</f>
        <v>*Evento único* Una secuencia onírica especial que te da la opción de pedirle a tu hermana que cocine para ti.</v>
      </c>
      <c r="U13" s="115">
        <v>7.0</v>
      </c>
      <c r="V13" s="132" t="s">
        <v>873</v>
      </c>
      <c r="W13" s="119" t="s">
        <v>874</v>
      </c>
      <c r="X13" s="79" t="s">
        <v>875</v>
      </c>
      <c r="Y13" s="115">
        <v>7.0</v>
      </c>
      <c r="Z13" s="122" t="s">
        <v>876</v>
      </c>
      <c r="AA13" s="123" t="s">
        <v>877</v>
      </c>
      <c r="AB13" s="124" t="s">
        <v>878</v>
      </c>
      <c r="AC13" s="115">
        <v>7.0</v>
      </c>
      <c r="AD13" s="116" t="s">
        <v>879</v>
      </c>
      <c r="AE13" s="117" t="s">
        <v>880</v>
      </c>
      <c r="AF13" s="118" t="s">
        <v>881</v>
      </c>
      <c r="AG13" s="125">
        <v>7.0</v>
      </c>
      <c r="AH13" s="143" t="s">
        <v>882</v>
      </c>
      <c r="AI13" s="127" t="s">
        <v>883</v>
      </c>
      <c r="AJ13" s="73" t="s">
        <v>884</v>
      </c>
      <c r="AK13" s="115">
        <v>7.0</v>
      </c>
      <c r="AL13" s="128" t="s">
        <v>885</v>
      </c>
      <c r="AM13" s="141" t="s">
        <v>886</v>
      </c>
      <c r="AN13" s="130" t="s">
        <v>887</v>
      </c>
      <c r="AO13" s="115">
        <v>7.0</v>
      </c>
      <c r="AP13" s="136" t="s">
        <v>888</v>
      </c>
      <c r="AQ13" s="137" t="s">
        <v>889</v>
      </c>
      <c r="AR13" s="138" t="s">
        <v>890</v>
      </c>
      <c r="AS13" s="115"/>
      <c r="AT13" s="136"/>
      <c r="AU13" s="137"/>
      <c r="AV13" s="138"/>
      <c r="AW13" s="118"/>
      <c r="AX13" s="118"/>
    </row>
    <row r="14">
      <c r="A14" s="115">
        <v>8.0</v>
      </c>
      <c r="B14" s="116" t="s">
        <v>891</v>
      </c>
      <c r="C14" s="117" t="s">
        <v>892</v>
      </c>
      <c r="D14" s="118" t="s">
        <v>893</v>
      </c>
      <c r="E14" s="115">
        <v>8.0</v>
      </c>
      <c r="F14" s="116" t="s">
        <v>894</v>
      </c>
      <c r="G14" s="117" t="s">
        <v>895</v>
      </c>
      <c r="H14" s="118" t="s">
        <v>896</v>
      </c>
      <c r="I14" s="115">
        <v>8.0</v>
      </c>
      <c r="J14" s="116" t="s">
        <v>897</v>
      </c>
      <c r="K14" s="117" t="s">
        <v>898</v>
      </c>
      <c r="L14" s="79" t="s">
        <v>899</v>
      </c>
      <c r="M14" s="115">
        <v>8.0</v>
      </c>
      <c r="N14" s="116" t="str">
        <f>IFERROR(__xludf.DUMMYFUNCTION("GOOGLETRANSLATE(B14,""zh-tw"",""zh"")"),"妹妹的料理")</f>
        <v>妹妹的料理</v>
      </c>
      <c r="O14" s="119" t="s">
        <v>900</v>
      </c>
      <c r="P14" s="118" t="str">
        <f>IFERROR(__xludf.DUMMYFUNCTION("GOOGLETRANSLATE(D14,""zh-tw"",""zh"")"),"产生料理
P.S.想要吃掉你的选项，未实装")</f>
        <v>产生料理
P.S.想要吃掉你的选项，未实装</v>
      </c>
      <c r="Q14" s="115">
        <v>8.0</v>
      </c>
      <c r="R14" s="132" t="str">
        <f>IFERROR(__xludf.DUMMYFUNCTION("GOOGLETRANSLATE(B14,""zh-tw"",""es-MX"")"),"La cocina de mi hermana")</f>
        <v>La cocina de mi hermana</v>
      </c>
      <c r="S14" s="121" t="str">
        <f>IFERROR(__xludf.DUMMYFUNCTION("GOOGLETRANSLATE(C14,""zh-tw"",""es-MX"")"),"La elección del plato que cocinará tu hermana depende de las opciones disponibles.
Además, existen algunas reglas:
1. Selección aleatoria de los ingredientes restantes.
2. Tu hermana no elegirá chiles ni comida chatarra.
3. La carne generalmente tiene"&amp;" mayor prioridad.
4. El plato se preparará según las recetas habituales.
5. Existe la posibilidad de que ocurra un ""Gran Milagro"": incluso si la cocina falla, el resultado puede ser un plato exitoso.
6. La estadística de suerte de tu hermano aumenta "&amp;"la probabilidad de que tu hermana ocurra un ""Gran Milagro"".
7. Tu hermana no cocinará si está de mal humor.
8. Cuando tenga muchos corazones morados, tu hermana añadirá ingredientes en secreto (función aún no implementada).")</f>
        <v>La elección del plato que cocinará tu hermana depende de las opciones disponibles.
Además, existen algunas reglas:
1. Selección aleatoria de los ingredientes restantes.
2. Tu hermana no elegirá chiles ni comida chatarra.
3. La carne generalmente tiene mayor prioridad.
4. El plato se preparará según las recetas habituales.
5. Existe la posibilidad de que ocurra un "Gran Milagro": incluso si la cocina falla, el resultado puede ser un plato exitoso.
6. La estadística de suerte de tu hermano aumenta la probabilidad de que tu hermana ocurra un "Gran Milagro".
7. Tu hermana no cocinará si está de mal humor.
8. Cuando tenga muchos corazones morados, tu hermana añadirá ingredientes en secreto (función aún no implementada).</v>
      </c>
      <c r="T14" s="82" t="str">
        <f>IFERROR(__xludf.DUMMYFUNCTION("GOOGLETRANSLATE(D14,""zh-tw"",""es-MX"")"),"Se generará comida.
P.D.: La opción de ""querer comerte"" aún no está implementada.")</f>
        <v>Se generará comida.
P.D.: La opción de "querer comerte" aún no está implementada.</v>
      </c>
      <c r="U14" s="115">
        <v>8.0</v>
      </c>
      <c r="V14" s="120" t="s">
        <v>901</v>
      </c>
      <c r="W14" s="119" t="s">
        <v>902</v>
      </c>
      <c r="X14" s="79" t="s">
        <v>903</v>
      </c>
      <c r="Y14" s="115">
        <v>8.0</v>
      </c>
      <c r="Z14" s="122" t="s">
        <v>904</v>
      </c>
      <c r="AA14" s="123" t="s">
        <v>905</v>
      </c>
      <c r="AB14" s="124" t="s">
        <v>906</v>
      </c>
      <c r="AC14" s="115">
        <v>8.0</v>
      </c>
      <c r="AD14" s="116" t="s">
        <v>907</v>
      </c>
      <c r="AE14" s="117" t="s">
        <v>908</v>
      </c>
      <c r="AF14" s="118" t="s">
        <v>909</v>
      </c>
      <c r="AG14" s="125">
        <v>8.0</v>
      </c>
      <c r="AH14" s="133" t="s">
        <v>910</v>
      </c>
      <c r="AI14" s="144" t="s">
        <v>911</v>
      </c>
      <c r="AJ14" s="73" t="s">
        <v>912</v>
      </c>
      <c r="AK14" s="115">
        <v>8.0</v>
      </c>
      <c r="AL14" s="128" t="s">
        <v>913</v>
      </c>
      <c r="AM14" s="141" t="s">
        <v>914</v>
      </c>
      <c r="AN14" s="140" t="s">
        <v>915</v>
      </c>
      <c r="AO14" s="115">
        <v>8.0</v>
      </c>
      <c r="AP14" s="136" t="s">
        <v>916</v>
      </c>
      <c r="AQ14" s="137" t="s">
        <v>917</v>
      </c>
      <c r="AR14" s="138" t="s">
        <v>918</v>
      </c>
      <c r="AS14" s="115"/>
      <c r="AT14" s="136"/>
      <c r="AU14" s="137"/>
      <c r="AV14" s="138"/>
      <c r="AW14" s="118"/>
      <c r="AX14" s="118"/>
    </row>
    <row r="15">
      <c r="A15" s="115">
        <v>9.0</v>
      </c>
      <c r="B15" s="116" t="s">
        <v>919</v>
      </c>
      <c r="C15" s="117" t="s">
        <v>920</v>
      </c>
      <c r="D15" s="118" t="s">
        <v>921</v>
      </c>
      <c r="E15" s="115">
        <v>9.0</v>
      </c>
      <c r="F15" s="116" t="s">
        <v>922</v>
      </c>
      <c r="G15" s="117" t="s">
        <v>923</v>
      </c>
      <c r="H15" s="118" t="s">
        <v>924</v>
      </c>
      <c r="I15" s="115">
        <v>9.0</v>
      </c>
      <c r="J15" s="116" t="s">
        <v>925</v>
      </c>
      <c r="K15" s="117" t="s">
        <v>926</v>
      </c>
      <c r="L15" s="118" t="s">
        <v>927</v>
      </c>
      <c r="M15" s="115">
        <v>9.0</v>
      </c>
      <c r="N15" s="116" t="str">
        <f>IFERROR(__xludf.DUMMYFUNCTION("GOOGLETRANSLATE(B15,""zh-tw"",""zh"")"),"制作辣料理")</f>
        <v>制作辣料理</v>
      </c>
      <c r="O15" s="121" t="str">
        <f>IFERROR(__xludf.DUMMYFUNCTION("GOOGLETRANSLATE(C15,""zh-tw"",""zh"")"),"妹妹被辣哭")</f>
        <v>妹妹被辣哭</v>
      </c>
      <c r="P15" s="118" t="str">
        <f>IFERROR(__xludf.DUMMYFUNCTION("GOOGLETRANSLATE(D15,""zh-tw"",""zh"")"),"触发被辣哭的剧情")</f>
        <v>触发被辣哭的剧情</v>
      </c>
      <c r="Q15" s="115">
        <v>9.0</v>
      </c>
      <c r="R15" s="116" t="s">
        <v>928</v>
      </c>
      <c r="S15" s="117" t="s">
        <v>929</v>
      </c>
      <c r="T15" s="82" t="s">
        <v>930</v>
      </c>
      <c r="U15" s="115">
        <v>9.0</v>
      </c>
      <c r="V15" s="120" t="s">
        <v>931</v>
      </c>
      <c r="W15" s="119" t="s">
        <v>932</v>
      </c>
      <c r="X15" s="79" t="s">
        <v>933</v>
      </c>
      <c r="Y15" s="115">
        <v>9.0</v>
      </c>
      <c r="Z15" s="122" t="s">
        <v>934</v>
      </c>
      <c r="AA15" s="123" t="s">
        <v>935</v>
      </c>
      <c r="AB15" s="124" t="s">
        <v>936</v>
      </c>
      <c r="AC15" s="115">
        <v>9.0</v>
      </c>
      <c r="AD15" s="116" t="s">
        <v>937</v>
      </c>
      <c r="AE15" s="117" t="s">
        <v>938</v>
      </c>
      <c r="AF15" s="118" t="s">
        <v>939</v>
      </c>
      <c r="AG15" s="125">
        <v>9.0</v>
      </c>
      <c r="AH15" s="126" t="s">
        <v>940</v>
      </c>
      <c r="AI15" s="145" t="s">
        <v>941</v>
      </c>
      <c r="AJ15" s="146" t="s">
        <v>942</v>
      </c>
      <c r="AK15" s="115">
        <v>9.0</v>
      </c>
      <c r="AL15" s="128" t="s">
        <v>943</v>
      </c>
      <c r="AM15" s="129" t="s">
        <v>944</v>
      </c>
      <c r="AN15" s="130" t="s">
        <v>945</v>
      </c>
      <c r="AO15" s="115">
        <v>9.0</v>
      </c>
      <c r="AP15" s="136" t="s">
        <v>946</v>
      </c>
      <c r="AQ15" s="137" t="s">
        <v>947</v>
      </c>
      <c r="AR15" s="138" t="s">
        <v>948</v>
      </c>
      <c r="AS15" s="115"/>
      <c r="AT15" s="136"/>
      <c r="AU15" s="137"/>
      <c r="AV15" s="138"/>
      <c r="AW15" s="118"/>
      <c r="AX15" s="118"/>
    </row>
    <row r="16">
      <c r="A16" s="115">
        <v>10.0</v>
      </c>
      <c r="B16" s="116" t="s">
        <v>949</v>
      </c>
      <c r="C16" s="119" t="s">
        <v>950</v>
      </c>
      <c r="D16" s="118" t="s">
        <v>951</v>
      </c>
      <c r="E16" s="115">
        <v>10.0</v>
      </c>
      <c r="F16" s="116" t="s">
        <v>952</v>
      </c>
      <c r="G16" s="117" t="s">
        <v>953</v>
      </c>
      <c r="H16" s="118" t="s">
        <v>954</v>
      </c>
      <c r="I16" s="115">
        <v>10.0</v>
      </c>
      <c r="J16" s="116" t="s">
        <v>955</v>
      </c>
      <c r="K16" s="117" t="s">
        <v>956</v>
      </c>
      <c r="L16" s="118" t="s">
        <v>957</v>
      </c>
      <c r="M16" s="115">
        <v>10.0</v>
      </c>
      <c r="N16" s="116" t="str">
        <f>IFERROR(__xludf.DUMMYFUNCTION("GOOGLETRANSLATE(B16,""zh-tw"",""zh"")"),"解除辣味危机")</f>
        <v>解除辣味危机</v>
      </c>
      <c r="O16" s="121" t="str">
        <f>IFERROR(__xludf.DUMMYFUNCTION("GOOGLETRANSLATE(C16,""zh-tw"",""zh"")"),"妹妹会被辣到趴在床上，需要解除辣味")</f>
        <v>妹妹会被辣到趴在床上，需要解除辣味</v>
      </c>
      <c r="P16" s="118" t="str">
        <f>IFERROR(__xludf.DUMMYFUNCTION("GOOGLETRANSLATE(D16,""zh-tw"",""zh"")"),"触发解除辣味的选项")</f>
        <v>触发解除辣味的选项</v>
      </c>
      <c r="Q16" s="115">
        <v>10.0</v>
      </c>
      <c r="R16" s="116" t="s">
        <v>958</v>
      </c>
      <c r="S16" s="117" t="s">
        <v>959</v>
      </c>
      <c r="T16" s="82" t="s">
        <v>960</v>
      </c>
      <c r="U16" s="115">
        <v>10.0</v>
      </c>
      <c r="V16" s="120" t="s">
        <v>961</v>
      </c>
      <c r="W16" s="119" t="s">
        <v>962</v>
      </c>
      <c r="X16" s="79" t="s">
        <v>963</v>
      </c>
      <c r="Y16" s="115">
        <v>10.0</v>
      </c>
      <c r="Z16" s="122" t="s">
        <v>964</v>
      </c>
      <c r="AA16" s="123" t="s">
        <v>965</v>
      </c>
      <c r="AB16" s="124" t="s">
        <v>966</v>
      </c>
      <c r="AC16" s="115">
        <v>10.0</v>
      </c>
      <c r="AD16" s="116" t="s">
        <v>967</v>
      </c>
      <c r="AE16" s="117" t="s">
        <v>968</v>
      </c>
      <c r="AF16" s="118" t="s">
        <v>969</v>
      </c>
      <c r="AG16" s="125">
        <v>10.0</v>
      </c>
      <c r="AH16" s="147" t="s">
        <v>970</v>
      </c>
      <c r="AI16" s="145" t="s">
        <v>971</v>
      </c>
      <c r="AJ16" s="148" t="s">
        <v>972</v>
      </c>
      <c r="AK16" s="115">
        <v>10.0</v>
      </c>
      <c r="AL16" s="128" t="s">
        <v>973</v>
      </c>
      <c r="AM16" s="129" t="s">
        <v>974</v>
      </c>
      <c r="AN16" s="130" t="s">
        <v>975</v>
      </c>
      <c r="AO16" s="115">
        <v>10.0</v>
      </c>
      <c r="AP16" s="136" t="s">
        <v>976</v>
      </c>
      <c r="AQ16" s="137" t="s">
        <v>977</v>
      </c>
      <c r="AR16" s="138" t="s">
        <v>978</v>
      </c>
      <c r="AS16" s="115"/>
      <c r="AT16" s="136"/>
      <c r="AU16" s="137"/>
      <c r="AV16" s="138"/>
      <c r="AW16" s="118"/>
      <c r="AX16" s="118"/>
    </row>
    <row r="17">
      <c r="A17" s="115">
        <v>11.0</v>
      </c>
      <c r="B17" s="116" t="s">
        <v>979</v>
      </c>
      <c r="C17" s="117" t="s">
        <v>980</v>
      </c>
      <c r="D17" s="118" t="s">
        <v>981</v>
      </c>
      <c r="E17" s="115">
        <v>11.0</v>
      </c>
      <c r="F17" s="116" t="s">
        <v>982</v>
      </c>
      <c r="G17" s="119" t="s">
        <v>983</v>
      </c>
      <c r="H17" s="118" t="s">
        <v>984</v>
      </c>
      <c r="I17" s="115">
        <v>11.0</v>
      </c>
      <c r="J17" s="116" t="s">
        <v>985</v>
      </c>
      <c r="K17" s="117" t="s">
        <v>986</v>
      </c>
      <c r="L17" s="118" t="s">
        <v>987</v>
      </c>
      <c r="M17" s="115">
        <v>11.0</v>
      </c>
      <c r="N17" s="116" t="str">
        <f>IFERROR(__xludf.DUMMYFUNCTION("GOOGLETRANSLATE(B17,""zh-tw"",""zh"")"),"红肿的小嘴-1")</f>
        <v>红肿的小嘴-1</v>
      </c>
      <c r="O17" s="121" t="str">
        <f>IFERROR(__xludf.DUMMYFUNCTION("GOOGLETRANSLATE(C17,""zh-tw"",""zh"")"),"解除了妹妹辣哭了状态后，可以进一步提出口腔检查请求，妹妹紫心低于3时会拒绝")</f>
        <v>解除了妹妹辣哭了状态后，可以进一步提出口腔检查请求，妹妹紫心低于3时会拒绝</v>
      </c>
      <c r="P17" s="118" t="str">
        <f>IFERROR(__xludf.DUMMYFUNCTION("GOOGLETRANSLATE(D17,""zh-tw"",""zh"")"),"触发被拒绝检查口腔的剧情")</f>
        <v>触发被拒绝检查口腔的剧情</v>
      </c>
      <c r="Q17" s="115">
        <v>11.0</v>
      </c>
      <c r="R17" s="116" t="s">
        <v>988</v>
      </c>
      <c r="S17" s="117" t="s">
        <v>989</v>
      </c>
      <c r="T17" s="82" t="s">
        <v>990</v>
      </c>
      <c r="U17" s="115">
        <v>11.0</v>
      </c>
      <c r="V17" s="120" t="s">
        <v>991</v>
      </c>
      <c r="W17" s="119" t="s">
        <v>992</v>
      </c>
      <c r="X17" s="79" t="s">
        <v>993</v>
      </c>
      <c r="Y17" s="115">
        <v>11.0</v>
      </c>
      <c r="Z17" s="122" t="s">
        <v>994</v>
      </c>
      <c r="AA17" s="123" t="s">
        <v>995</v>
      </c>
      <c r="AB17" s="124" t="s">
        <v>996</v>
      </c>
      <c r="AC17" s="115">
        <v>11.0</v>
      </c>
      <c r="AD17" s="116" t="s">
        <v>997</v>
      </c>
      <c r="AE17" s="117" t="s">
        <v>998</v>
      </c>
      <c r="AF17" s="118" t="s">
        <v>999</v>
      </c>
      <c r="AG17" s="125">
        <v>11.0</v>
      </c>
      <c r="AH17" s="126" t="s">
        <v>1000</v>
      </c>
      <c r="AI17" s="149" t="s">
        <v>1001</v>
      </c>
      <c r="AJ17" s="148" t="s">
        <v>1002</v>
      </c>
      <c r="AK17" s="115">
        <v>11.0</v>
      </c>
      <c r="AL17" s="128" t="s">
        <v>1003</v>
      </c>
      <c r="AM17" s="141" t="s">
        <v>1004</v>
      </c>
      <c r="AN17" s="130" t="s">
        <v>1005</v>
      </c>
      <c r="AO17" s="115">
        <v>11.0</v>
      </c>
      <c r="AP17" s="136" t="s">
        <v>1006</v>
      </c>
      <c r="AQ17" s="137" t="s">
        <v>1007</v>
      </c>
      <c r="AR17" s="138" t="s">
        <v>1008</v>
      </c>
      <c r="AS17" s="115"/>
      <c r="AT17" s="136"/>
      <c r="AU17" s="137"/>
      <c r="AV17" s="138"/>
      <c r="AW17" s="118"/>
      <c r="AX17" s="118"/>
    </row>
    <row r="18">
      <c r="A18" s="115">
        <v>12.0</v>
      </c>
      <c r="B18" s="116" t="s">
        <v>1009</v>
      </c>
      <c r="C18" s="117" t="s">
        <v>1010</v>
      </c>
      <c r="D18" s="118" t="s">
        <v>1011</v>
      </c>
      <c r="E18" s="115">
        <v>12.0</v>
      </c>
      <c r="F18" s="116" t="s">
        <v>1012</v>
      </c>
      <c r="G18" s="119" t="s">
        <v>1013</v>
      </c>
      <c r="H18" s="118" t="s">
        <v>1014</v>
      </c>
      <c r="I18" s="115">
        <v>12.0</v>
      </c>
      <c r="J18" s="116" t="s">
        <v>1015</v>
      </c>
      <c r="K18" s="117" t="s">
        <v>1016</v>
      </c>
      <c r="L18" s="79" t="s">
        <v>1017</v>
      </c>
      <c r="M18" s="115">
        <v>12.0</v>
      </c>
      <c r="N18" s="116" t="str">
        <f>IFERROR(__xludf.DUMMYFUNCTION("GOOGLETRANSLATE(B18,""zh-tw"",""zh"")"),"红肿的小嘴-2")</f>
        <v>红肿的小嘴-2</v>
      </c>
      <c r="O18" s="121" t="str">
        <f>IFERROR(__xludf.DUMMYFUNCTION("GOOGLETRANSLATE(C18,""zh-tw"",""zh"")"),"同上，妹妹紫心高于3时，可以触发口腔检查的后续剧情")</f>
        <v>同上，妹妹紫心高于3时，可以触发口腔检查的后续剧情</v>
      </c>
      <c r="P18" s="118" t="str">
        <f>IFERROR(__xludf.DUMMYFUNCTION("GOOGLETRANSLATE(D18,""zh-tw"",""zh"")"),"触发检查口腔的剧情")</f>
        <v>触发检查口腔的剧情</v>
      </c>
      <c r="Q18" s="115">
        <v>12.0</v>
      </c>
      <c r="R18" s="116" t="s">
        <v>1018</v>
      </c>
      <c r="S18" s="117" t="s">
        <v>1019</v>
      </c>
      <c r="T18" s="82" t="s">
        <v>1020</v>
      </c>
      <c r="U18" s="115">
        <v>12.0</v>
      </c>
      <c r="V18" s="120" t="s">
        <v>1021</v>
      </c>
      <c r="W18" s="119" t="s">
        <v>1022</v>
      </c>
      <c r="X18" s="79" t="s">
        <v>1023</v>
      </c>
      <c r="Y18" s="115">
        <v>12.0</v>
      </c>
      <c r="Z18" s="122" t="s">
        <v>1024</v>
      </c>
      <c r="AA18" s="123" t="s">
        <v>1025</v>
      </c>
      <c r="AB18" s="124" t="s">
        <v>1026</v>
      </c>
      <c r="AC18" s="115">
        <v>12.0</v>
      </c>
      <c r="AD18" s="116" t="s">
        <v>1027</v>
      </c>
      <c r="AE18" s="117" t="s">
        <v>1028</v>
      </c>
      <c r="AF18" s="118" t="s">
        <v>1029</v>
      </c>
      <c r="AG18" s="125">
        <v>12.0</v>
      </c>
      <c r="AH18" s="126" t="s">
        <v>1030</v>
      </c>
      <c r="AI18" s="149" t="s">
        <v>1031</v>
      </c>
      <c r="AJ18" s="148" t="s">
        <v>1032</v>
      </c>
      <c r="AK18" s="115">
        <v>12.0</v>
      </c>
      <c r="AL18" s="128" t="s">
        <v>1033</v>
      </c>
      <c r="AM18" s="129" t="s">
        <v>1034</v>
      </c>
      <c r="AN18" s="130" t="s">
        <v>1035</v>
      </c>
      <c r="AO18" s="115">
        <v>12.0</v>
      </c>
      <c r="AP18" s="136" t="s">
        <v>1036</v>
      </c>
      <c r="AQ18" s="137" t="s">
        <v>1037</v>
      </c>
      <c r="AR18" s="138" t="s">
        <v>1038</v>
      </c>
      <c r="AS18" s="115"/>
      <c r="AT18" s="136"/>
      <c r="AU18" s="137"/>
      <c r="AV18" s="138"/>
      <c r="AW18" s="118"/>
      <c r="AX18" s="118"/>
    </row>
    <row r="19">
      <c r="A19" s="115">
        <v>13.0</v>
      </c>
      <c r="B19" s="116" t="s">
        <v>1039</v>
      </c>
      <c r="C19" s="119" t="s">
        <v>1040</v>
      </c>
      <c r="D19" s="118" t="s">
        <v>1041</v>
      </c>
      <c r="E19" s="115">
        <v>13.0</v>
      </c>
      <c r="F19" s="116" t="s">
        <v>1042</v>
      </c>
      <c r="G19" s="117" t="s">
        <v>1043</v>
      </c>
      <c r="H19" s="118" t="s">
        <v>1044</v>
      </c>
      <c r="I19" s="115">
        <v>13.0</v>
      </c>
      <c r="J19" s="116" t="s">
        <v>1045</v>
      </c>
      <c r="K19" s="119" t="s">
        <v>1046</v>
      </c>
      <c r="L19" s="118" t="s">
        <v>1047</v>
      </c>
      <c r="M19" s="115">
        <v>13.0</v>
      </c>
      <c r="N19" s="116" t="str">
        <f>IFERROR(__xludf.DUMMYFUNCTION("GOOGLETRANSLATE(B19,""zh-tw"",""zh"")"),"呆毛")</f>
        <v>呆毛</v>
      </c>
      <c r="O19" s="121" t="str">
        <f>IFERROR(__xludf.DUMMYFUNCTION("GOOGLETRANSLATE(C19,""zh-tw"",""zh"")"),"每次亲密接触时，可以拔一次呆毛(每天最多两次)；隔天之后，与深渊的重置是同步进行的(例如下雨天或者使用塔罗牌等等)，重置后才可以继续拔呆毛。")</f>
        <v>每次亲密接触时，可以拔一次呆毛(每天最多两次)；隔天之后，与深渊的重置是同步进行的(例如下雨天或者使用塔罗牌等等)，重置后才可以继续拔呆毛。</v>
      </c>
      <c r="P19" s="82" t="s">
        <v>1048</v>
      </c>
      <c r="Q19" s="115">
        <v>13.0</v>
      </c>
      <c r="R19" s="132" t="s">
        <v>1045</v>
      </c>
      <c r="S19" s="121" t="s">
        <v>1049</v>
      </c>
      <c r="T19" s="79" t="s">
        <v>1050</v>
      </c>
      <c r="U19" s="115">
        <v>13.0</v>
      </c>
      <c r="V19" s="116" t="s">
        <v>1051</v>
      </c>
      <c r="W19" s="119" t="s">
        <v>1052</v>
      </c>
      <c r="X19" s="79" t="s">
        <v>1053</v>
      </c>
      <c r="Y19" s="115">
        <v>13.0</v>
      </c>
      <c r="Z19" s="122" t="s">
        <v>1054</v>
      </c>
      <c r="AA19" s="123" t="s">
        <v>1055</v>
      </c>
      <c r="AB19" s="124" t="s">
        <v>1056</v>
      </c>
      <c r="AC19" s="115">
        <v>13.0</v>
      </c>
      <c r="AD19" s="116" t="s">
        <v>1057</v>
      </c>
      <c r="AE19" s="117" t="s">
        <v>1058</v>
      </c>
      <c r="AF19" s="118" t="s">
        <v>1059</v>
      </c>
      <c r="AG19" s="125">
        <v>13.0</v>
      </c>
      <c r="AH19" s="126" t="s">
        <v>1045</v>
      </c>
      <c r="AI19" s="149" t="s">
        <v>1060</v>
      </c>
      <c r="AJ19" s="148" t="s">
        <v>1061</v>
      </c>
      <c r="AK19" s="115">
        <v>13.0</v>
      </c>
      <c r="AL19" s="128" t="s">
        <v>1045</v>
      </c>
      <c r="AM19" s="141" t="s">
        <v>1062</v>
      </c>
      <c r="AN19" s="130" t="s">
        <v>1063</v>
      </c>
      <c r="AO19" s="115">
        <v>13.0</v>
      </c>
      <c r="AP19" s="120" t="s">
        <v>1064</v>
      </c>
      <c r="AQ19" s="119" t="s">
        <v>1065</v>
      </c>
      <c r="AR19" s="79" t="s">
        <v>1066</v>
      </c>
      <c r="AS19" s="115"/>
      <c r="AT19" s="120"/>
      <c r="AU19" s="119"/>
      <c r="AV19" s="79"/>
      <c r="AW19" s="118"/>
      <c r="AX19" s="118"/>
    </row>
    <row r="20">
      <c r="A20" s="115">
        <v>14.0</v>
      </c>
      <c r="B20" s="116" t="s">
        <v>1067</v>
      </c>
      <c r="C20" s="117" t="s">
        <v>1068</v>
      </c>
      <c r="D20" s="118" t="s">
        <v>1069</v>
      </c>
      <c r="E20" s="115">
        <v>14.0</v>
      </c>
      <c r="F20" s="116" t="s">
        <v>1070</v>
      </c>
      <c r="G20" s="117" t="s">
        <v>1071</v>
      </c>
      <c r="H20" s="118" t="s">
        <v>1072</v>
      </c>
      <c r="I20" s="115">
        <v>14.0</v>
      </c>
      <c r="J20" s="116" t="s">
        <v>1073</v>
      </c>
      <c r="K20" s="117" t="s">
        <v>1074</v>
      </c>
      <c r="L20" s="118" t="s">
        <v>1075</v>
      </c>
      <c r="M20" s="115">
        <v>14.0</v>
      </c>
      <c r="N20" s="116" t="str">
        <f>IFERROR(__xludf.DUMMYFUNCTION("GOOGLETRANSLATE(B20,""zh-tw"",""zh"")"),"浑身恶臭-1")</f>
        <v>浑身恶臭-1</v>
      </c>
      <c r="O20" s="121" t="str">
        <f>IFERROR(__xludf.DUMMYFUNCTION("GOOGLETRANSLATE(C20,""zh-tw"",""zh"")"),"装备""臭鱼骨""回家时可触发")</f>
        <v>装备"臭鱼骨"回家时可触发</v>
      </c>
      <c r="P20" s="118" t="str">
        <f>IFERROR(__xludf.DUMMYFUNCTION("GOOGLETRANSLATE(D20,""zh-tw"",""zh"")"),"触发""哥哥好臭""事件")</f>
        <v>触发"哥哥好臭"事件</v>
      </c>
      <c r="Q20" s="115">
        <v>14.0</v>
      </c>
      <c r="R20" s="132" t="s">
        <v>1076</v>
      </c>
      <c r="S20" s="121" t="str">
        <f>IFERROR(__xludf.DUMMYFUNCTION("GOOGLETRANSLATE(C20,""zh-tw"",""es-MX"")"),"Equipar el objeto ""Espina de pescado apestosa"" puede desencadenar un evento determinado al regresar a casa.")</f>
        <v>Equipar el objeto "Espina de pescado apestosa" puede desencadenar un evento determinado al regresar a casa.</v>
      </c>
      <c r="T20" s="82" t="str">
        <f>IFERROR(__xludf.DUMMYFUNCTION("GOOGLETRANSLATE(D20,""zh-tw"",""es-MX"")"),"Desencadenando el evento ""El hermano huele mal""")</f>
        <v>Desencadenando el evento "El hermano huele mal"</v>
      </c>
      <c r="U20" s="115">
        <v>14.0</v>
      </c>
      <c r="V20" s="120" t="s">
        <v>1077</v>
      </c>
      <c r="W20" s="119" t="s">
        <v>1078</v>
      </c>
      <c r="X20" s="79" t="s">
        <v>1079</v>
      </c>
      <c r="Y20" s="115">
        <v>14.0</v>
      </c>
      <c r="Z20" s="122" t="s">
        <v>1080</v>
      </c>
      <c r="AA20" s="123" t="s">
        <v>1081</v>
      </c>
      <c r="AB20" s="124" t="s">
        <v>1082</v>
      </c>
      <c r="AC20" s="115">
        <v>14.0</v>
      </c>
      <c r="AD20" s="116" t="s">
        <v>1083</v>
      </c>
      <c r="AE20" s="117" t="s">
        <v>1084</v>
      </c>
      <c r="AF20" s="118" t="s">
        <v>1085</v>
      </c>
      <c r="AG20" s="125">
        <v>14.0</v>
      </c>
      <c r="AH20" s="147" t="s">
        <v>1086</v>
      </c>
      <c r="AI20" s="149" t="s">
        <v>1087</v>
      </c>
      <c r="AJ20" s="146" t="s">
        <v>1088</v>
      </c>
      <c r="AK20" s="115">
        <v>14.0</v>
      </c>
      <c r="AL20" s="128" t="s">
        <v>1089</v>
      </c>
      <c r="AM20" s="129" t="s">
        <v>1090</v>
      </c>
      <c r="AN20" s="130" t="s">
        <v>1091</v>
      </c>
      <c r="AO20" s="115">
        <v>14.0</v>
      </c>
      <c r="AP20" s="120" t="s">
        <v>1092</v>
      </c>
      <c r="AQ20" s="119" t="s">
        <v>1093</v>
      </c>
      <c r="AR20" s="79" t="s">
        <v>1094</v>
      </c>
      <c r="AS20" s="115"/>
      <c r="AT20" s="120"/>
      <c r="AU20" s="119"/>
      <c r="AV20" s="79"/>
      <c r="AW20" s="118"/>
      <c r="AX20" s="118"/>
    </row>
    <row r="21">
      <c r="A21" s="115">
        <v>15.0</v>
      </c>
      <c r="B21" s="116" t="s">
        <v>1095</v>
      </c>
      <c r="C21" s="117" t="s">
        <v>1096</v>
      </c>
      <c r="D21" s="118" t="s">
        <v>1097</v>
      </c>
      <c r="E21" s="115">
        <v>15.0</v>
      </c>
      <c r="F21" s="116" t="s">
        <v>1098</v>
      </c>
      <c r="G21" s="117" t="s">
        <v>1099</v>
      </c>
      <c r="H21" s="118" t="s">
        <v>1100</v>
      </c>
      <c r="I21" s="115">
        <v>15.0</v>
      </c>
      <c r="J21" s="116" t="s">
        <v>1101</v>
      </c>
      <c r="K21" s="117" t="s">
        <v>1102</v>
      </c>
      <c r="L21" s="118" t="s">
        <v>1103</v>
      </c>
      <c r="M21" s="115">
        <v>15.0</v>
      </c>
      <c r="N21" s="116" t="str">
        <f>IFERROR(__xludf.DUMMYFUNCTION("GOOGLETRANSLATE(B21,""zh-tw"",""zh"")"),"浑身恶臭-2")</f>
        <v>浑身恶臭-2</v>
      </c>
      <c r="O21" s="121" t="str">
        <f>IFERROR(__xludf.DUMMYFUNCTION("GOOGLETRANSLATE(C21,""zh-tw"",""zh"")"),"哥哥不洗澡一段时间")</f>
        <v>哥哥不洗澡一段时间</v>
      </c>
      <c r="P21" s="82" t="str">
        <f>IFERROR(__xludf.DUMMYFUNCTION("GOOGLETRANSLATE(D21,""zh-tw"",""zh"")"),"未实装")</f>
        <v>未实装</v>
      </c>
      <c r="Q21" s="115">
        <v>15.0</v>
      </c>
      <c r="R21" s="116" t="s">
        <v>1104</v>
      </c>
      <c r="S21" s="119" t="s">
        <v>1105</v>
      </c>
      <c r="T21" s="79" t="s">
        <v>1106</v>
      </c>
      <c r="U21" s="115">
        <v>15.0</v>
      </c>
      <c r="V21" s="120" t="s">
        <v>1107</v>
      </c>
      <c r="W21" s="119" t="s">
        <v>1108</v>
      </c>
      <c r="X21" s="71" t="s">
        <v>1109</v>
      </c>
      <c r="Y21" s="115">
        <v>15.0</v>
      </c>
      <c r="Z21" s="122" t="s">
        <v>1110</v>
      </c>
      <c r="AA21" s="123" t="s">
        <v>1111</v>
      </c>
      <c r="AB21" s="124" t="s">
        <v>1112</v>
      </c>
      <c r="AC21" s="115">
        <v>15.0</v>
      </c>
      <c r="AD21" s="116" t="s">
        <v>1113</v>
      </c>
      <c r="AE21" s="117" t="s">
        <v>1114</v>
      </c>
      <c r="AF21" s="118" t="s">
        <v>1115</v>
      </c>
      <c r="AG21" s="125">
        <v>15.0</v>
      </c>
      <c r="AH21" s="147" t="s">
        <v>1116</v>
      </c>
      <c r="AI21" s="145" t="s">
        <v>1117</v>
      </c>
      <c r="AJ21" s="148" t="s">
        <v>1118</v>
      </c>
      <c r="AK21" s="115">
        <v>15.0</v>
      </c>
      <c r="AL21" s="128" t="s">
        <v>1119</v>
      </c>
      <c r="AM21" s="129" t="s">
        <v>1120</v>
      </c>
      <c r="AN21" s="130" t="s">
        <v>1121</v>
      </c>
      <c r="AO21" s="115">
        <v>15.0</v>
      </c>
      <c r="AP21" s="120" t="s">
        <v>1122</v>
      </c>
      <c r="AQ21" s="119" t="s">
        <v>1123</v>
      </c>
      <c r="AR21" s="79" t="s">
        <v>1124</v>
      </c>
      <c r="AS21" s="115"/>
      <c r="AT21" s="120"/>
      <c r="AU21" s="119"/>
      <c r="AV21" s="79"/>
      <c r="AW21" s="118"/>
      <c r="AX21" s="118"/>
    </row>
    <row r="22">
      <c r="A22" s="115">
        <v>16.0</v>
      </c>
      <c r="B22" s="116" t="s">
        <v>1125</v>
      </c>
      <c r="C22" s="117" t="s">
        <v>1126</v>
      </c>
      <c r="D22" s="118" t="s">
        <v>1127</v>
      </c>
      <c r="E22" s="115">
        <v>16.0</v>
      </c>
      <c r="F22" s="116" t="s">
        <v>1128</v>
      </c>
      <c r="G22" s="117" t="s">
        <v>1129</v>
      </c>
      <c r="H22" s="118" t="s">
        <v>1130</v>
      </c>
      <c r="I22" s="115">
        <v>16.0</v>
      </c>
      <c r="J22" s="116" t="s">
        <v>1131</v>
      </c>
      <c r="K22" s="117" t="s">
        <v>1132</v>
      </c>
      <c r="L22" s="118" t="s">
        <v>1133</v>
      </c>
      <c r="M22" s="115">
        <v>16.0</v>
      </c>
      <c r="N22" s="116" t="str">
        <f>IFERROR(__xludf.DUMMYFUNCTION("GOOGLETRANSLATE(B22,""zh-tw"",""zh"")"),"洗完澡来喝点")</f>
        <v>洗完澡来喝点</v>
      </c>
      <c r="O22" s="121" t="str">
        <f>IFERROR(__xludf.DUMMYFUNCTION("GOOGLETRANSLATE(C22,""zh-tw"",""zh"")"),"当身上有牛奶时，洗澡后机率触发喝牛奶")</f>
        <v>当身上有牛奶时，洗澡后机率触发喝牛奶</v>
      </c>
      <c r="P22" s="82" t="str">
        <f>IFERROR(__xludf.DUMMYFUNCTION("GOOGLETRANSLATE(D22,""zh-tw"",""zh"")"),"特殊动画")</f>
        <v>特殊动画</v>
      </c>
      <c r="Q22" s="115">
        <v>16.0</v>
      </c>
      <c r="R22" s="120" t="s">
        <v>1134</v>
      </c>
      <c r="S22" s="121" t="s">
        <v>1135</v>
      </c>
      <c r="T22" s="79" t="s">
        <v>1136</v>
      </c>
      <c r="U22" s="115">
        <v>16.0</v>
      </c>
      <c r="V22" s="120" t="s">
        <v>1137</v>
      </c>
      <c r="W22" s="119" t="s">
        <v>1138</v>
      </c>
      <c r="X22" s="79" t="s">
        <v>1139</v>
      </c>
      <c r="Y22" s="115">
        <v>16.0</v>
      </c>
      <c r="Z22" s="122" t="s">
        <v>1140</v>
      </c>
      <c r="AA22" s="123" t="s">
        <v>1141</v>
      </c>
      <c r="AB22" s="124" t="s">
        <v>1142</v>
      </c>
      <c r="AC22" s="115">
        <v>16.0</v>
      </c>
      <c r="AD22" s="116" t="s">
        <v>1143</v>
      </c>
      <c r="AE22" s="117" t="s">
        <v>1144</v>
      </c>
      <c r="AF22" s="118" t="s">
        <v>1145</v>
      </c>
      <c r="AG22" s="125">
        <v>16.0</v>
      </c>
      <c r="AH22" s="147" t="s">
        <v>1146</v>
      </c>
      <c r="AI22" s="145" t="s">
        <v>1147</v>
      </c>
      <c r="AJ22" s="148" t="s">
        <v>1148</v>
      </c>
      <c r="AK22" s="115">
        <v>16.0</v>
      </c>
      <c r="AL22" s="128" t="s">
        <v>1149</v>
      </c>
      <c r="AM22" s="129" t="s">
        <v>1150</v>
      </c>
      <c r="AN22" s="140" t="s">
        <v>1151</v>
      </c>
      <c r="AO22" s="115">
        <v>16.0</v>
      </c>
      <c r="AP22" s="120" t="s">
        <v>1152</v>
      </c>
      <c r="AQ22" s="119" t="s">
        <v>1153</v>
      </c>
      <c r="AR22" s="79" t="s">
        <v>1154</v>
      </c>
      <c r="AS22" s="115"/>
      <c r="AT22" s="120"/>
      <c r="AU22" s="119"/>
      <c r="AV22" s="79"/>
      <c r="AW22" s="118"/>
      <c r="AX22" s="118"/>
    </row>
    <row r="23">
      <c r="A23" s="115">
        <v>17.0</v>
      </c>
      <c r="B23" s="116" t="s">
        <v>1155</v>
      </c>
      <c r="C23" s="117" t="s">
        <v>1156</v>
      </c>
      <c r="D23" s="118" t="s">
        <v>1157</v>
      </c>
      <c r="E23" s="115">
        <v>17.0</v>
      </c>
      <c r="F23" s="116" t="s">
        <v>1158</v>
      </c>
      <c r="G23" s="117" t="s">
        <v>1159</v>
      </c>
      <c r="H23" s="118" t="s">
        <v>1160</v>
      </c>
      <c r="I23" s="115">
        <v>17.0</v>
      </c>
      <c r="J23" s="116" t="s">
        <v>1161</v>
      </c>
      <c r="K23" s="117" t="s">
        <v>1162</v>
      </c>
      <c r="L23" s="118" t="s">
        <v>1163</v>
      </c>
      <c r="M23" s="115">
        <v>17.0</v>
      </c>
      <c r="N23" s="116" t="str">
        <f>IFERROR(__xludf.DUMMYFUNCTION("GOOGLETRANSLATE(B23,""zh-tw"",""zh"")"),"喧嚣的风儿")</f>
        <v>喧嚣的风儿</v>
      </c>
      <c r="O23" s="121" t="str">
        <f>IFERROR(__xludf.DUMMYFUNCTION("GOOGLETRANSLATE(C23,""zh-tw"",""zh"")"),"第一次与妹妹共浴之后，可以帮妹妹吹头发")</f>
        <v>第一次与妹妹共浴之后，可以帮妹妹吹头发</v>
      </c>
      <c r="P23" s="118" t="str">
        <f>IFERROR(__xludf.DUMMYFUNCTION("GOOGLETRANSLATE(D23,""zh-tw"",""zh"")"),"解锁""吹头发""选项")</f>
        <v>解锁"吹头发"选项</v>
      </c>
      <c r="Q23" s="115">
        <v>17.0</v>
      </c>
      <c r="R23" s="116" t="s">
        <v>1164</v>
      </c>
      <c r="S23" s="119" t="s">
        <v>1165</v>
      </c>
      <c r="T23" s="79" t="s">
        <v>1166</v>
      </c>
      <c r="U23" s="115">
        <v>17.0</v>
      </c>
      <c r="V23" s="150" t="s">
        <v>1167</v>
      </c>
      <c r="W23" s="119" t="s">
        <v>1168</v>
      </c>
      <c r="X23" s="79" t="s">
        <v>1169</v>
      </c>
      <c r="Y23" s="115">
        <v>17.0</v>
      </c>
      <c r="Z23" s="122" t="s">
        <v>1170</v>
      </c>
      <c r="AA23" s="123" t="s">
        <v>1171</v>
      </c>
      <c r="AB23" s="124" t="s">
        <v>1172</v>
      </c>
      <c r="AC23" s="115">
        <v>17.0</v>
      </c>
      <c r="AD23" s="116" t="s">
        <v>1173</v>
      </c>
      <c r="AE23" s="117" t="s">
        <v>1174</v>
      </c>
      <c r="AF23" s="118" t="s">
        <v>1175</v>
      </c>
      <c r="AG23" s="125">
        <v>17.0</v>
      </c>
      <c r="AH23" s="126" t="s">
        <v>1176</v>
      </c>
      <c r="AI23" s="149" t="s">
        <v>1177</v>
      </c>
      <c r="AJ23" s="146" t="s">
        <v>1178</v>
      </c>
      <c r="AK23" s="115">
        <v>17.0</v>
      </c>
      <c r="AL23" s="128" t="s">
        <v>1179</v>
      </c>
      <c r="AM23" s="129" t="s">
        <v>1180</v>
      </c>
      <c r="AN23" s="130" t="s">
        <v>1181</v>
      </c>
      <c r="AO23" s="115">
        <v>17.0</v>
      </c>
      <c r="AP23" s="120" t="s">
        <v>1182</v>
      </c>
      <c r="AQ23" s="119" t="s">
        <v>1183</v>
      </c>
      <c r="AR23" s="79" t="s">
        <v>1184</v>
      </c>
      <c r="AS23" s="115"/>
      <c r="AT23" s="120"/>
      <c r="AU23" s="119"/>
      <c r="AV23" s="79"/>
      <c r="AW23" s="118"/>
      <c r="AX23" s="118"/>
    </row>
    <row r="24">
      <c r="A24" s="115">
        <v>18.0</v>
      </c>
      <c r="B24" s="116" t="s">
        <v>1185</v>
      </c>
      <c r="C24" s="117" t="s">
        <v>1186</v>
      </c>
      <c r="D24" s="118" t="s">
        <v>1187</v>
      </c>
      <c r="E24" s="115">
        <v>18.0</v>
      </c>
      <c r="F24" s="116" t="s">
        <v>1188</v>
      </c>
      <c r="G24" s="117" t="s">
        <v>1189</v>
      </c>
      <c r="H24" s="118" t="s">
        <v>1190</v>
      </c>
      <c r="I24" s="115">
        <v>18.0</v>
      </c>
      <c r="J24" s="116" t="s">
        <v>1191</v>
      </c>
      <c r="K24" s="117" t="s">
        <v>1192</v>
      </c>
      <c r="L24" s="79" t="s">
        <v>1193</v>
      </c>
      <c r="M24" s="115">
        <v>18.0</v>
      </c>
      <c r="N24" s="116" t="str">
        <f>IFERROR(__xludf.DUMMYFUNCTION("GOOGLETRANSLATE(B24,""zh-tw"",""zh"")"),"哥困了")</f>
        <v>哥困了</v>
      </c>
      <c r="O24" s="121" t="str">
        <f>IFERROR(__xludf.DUMMYFUNCTION("GOOGLETRANSLATE(C24,""zh-tw"",""zh"")"),"提前睡觉")</f>
        <v>提前睡觉</v>
      </c>
      <c r="P24" s="82" t="s">
        <v>1194</v>
      </c>
      <c r="Q24" s="115">
        <v>18.0</v>
      </c>
      <c r="R24" s="120" t="s">
        <v>1195</v>
      </c>
      <c r="S24" s="119" t="s">
        <v>1196</v>
      </c>
      <c r="T24" s="79" t="s">
        <v>1197</v>
      </c>
      <c r="U24" s="115">
        <v>18.0</v>
      </c>
      <c r="V24" s="150" t="s">
        <v>1198</v>
      </c>
      <c r="W24" s="119" t="s">
        <v>1199</v>
      </c>
      <c r="X24" s="79" t="s">
        <v>1200</v>
      </c>
      <c r="Y24" s="115">
        <v>18.0</v>
      </c>
      <c r="Z24" s="122" t="s">
        <v>1201</v>
      </c>
      <c r="AA24" s="123" t="s">
        <v>1202</v>
      </c>
      <c r="AB24" s="124" t="s">
        <v>1203</v>
      </c>
      <c r="AC24" s="115">
        <v>18.0</v>
      </c>
      <c r="AD24" s="116" t="s">
        <v>1204</v>
      </c>
      <c r="AE24" s="117" t="s">
        <v>1205</v>
      </c>
      <c r="AF24" s="118" t="s">
        <v>1206</v>
      </c>
      <c r="AG24" s="125">
        <v>18.0</v>
      </c>
      <c r="AH24" s="126" t="s">
        <v>1207</v>
      </c>
      <c r="AI24" s="145" t="s">
        <v>1208</v>
      </c>
      <c r="AJ24" s="148" t="s">
        <v>1209</v>
      </c>
      <c r="AK24" s="115">
        <v>18.0</v>
      </c>
      <c r="AL24" s="128" t="s">
        <v>1210</v>
      </c>
      <c r="AM24" s="129" t="s">
        <v>1211</v>
      </c>
      <c r="AN24" s="130" t="s">
        <v>1212</v>
      </c>
      <c r="AO24" s="115">
        <v>18.0</v>
      </c>
      <c r="AP24" s="120" t="s">
        <v>1213</v>
      </c>
      <c r="AQ24" s="119" t="s">
        <v>1214</v>
      </c>
      <c r="AR24" s="79" t="s">
        <v>1215</v>
      </c>
      <c r="AS24" s="115"/>
      <c r="AT24" s="120"/>
      <c r="AU24" s="119"/>
      <c r="AV24" s="79"/>
      <c r="AW24" s="118"/>
      <c r="AX24" s="118"/>
    </row>
    <row r="25">
      <c r="A25" s="115">
        <v>19.0</v>
      </c>
      <c r="B25" s="116" t="s">
        <v>1216</v>
      </c>
      <c r="C25" s="117" t="s">
        <v>1217</v>
      </c>
      <c r="D25" s="118" t="s">
        <v>1218</v>
      </c>
      <c r="E25" s="115">
        <v>19.0</v>
      </c>
      <c r="F25" s="116" t="s">
        <v>1219</v>
      </c>
      <c r="G25" s="117" t="s">
        <v>1220</v>
      </c>
      <c r="H25" s="118" t="s">
        <v>1221</v>
      </c>
      <c r="I25" s="115">
        <v>19.0</v>
      </c>
      <c r="J25" s="116" t="s">
        <v>1222</v>
      </c>
      <c r="K25" s="117" t="s">
        <v>1223</v>
      </c>
      <c r="L25" s="118" t="s">
        <v>1224</v>
      </c>
      <c r="M25" s="115">
        <v>19.0</v>
      </c>
      <c r="N25" s="116" t="str">
        <f>IFERROR(__xludf.DUMMYFUNCTION("GOOGLETRANSLATE(B25,""zh-tw"",""zh"")"),"起床啰")</f>
        <v>起床啰</v>
      </c>
      <c r="O25" s="121" t="str">
        <f>IFERROR(__xludf.DUMMYFUNCTION("GOOGLETRANSLATE(C25,""zh-tw"",""zh"")"),"在没有喂过""红髓液""的情况下，早上起床时，可以使用叫醒妹妹，失败累积达到三次。第四次之后可以解锁""强行叫醒""")</f>
        <v>在没有喂过"红髓液"的情况下，早上起床时，可以使用叫醒妹妹，失败累积达到三次。第四次之后可以解锁"强行叫醒"</v>
      </c>
      <c r="P25" s="82" t="str">
        <f>IFERROR(__xludf.DUMMYFUNCTION("GOOGLETRANSLATE(D25,""zh-tw"",""zh"")"),"机率解锁""强行叫醒""动画
被强行叫醒的妹妹，不会彻底醒来，而是会重新回去睡")</f>
        <v>机率解锁"强行叫醒"动画
被强行叫醒的妹妹，不会彻底醒来，而是会重新回去睡</v>
      </c>
      <c r="Q25" s="115">
        <v>19.0</v>
      </c>
      <c r="R25" s="120" t="s">
        <v>1225</v>
      </c>
      <c r="S25" s="121" t="s">
        <v>1226</v>
      </c>
      <c r="T25" s="131" t="s">
        <v>1227</v>
      </c>
      <c r="U25" s="115">
        <v>19.0</v>
      </c>
      <c r="V25" s="120" t="s">
        <v>1228</v>
      </c>
      <c r="W25" s="119" t="s">
        <v>1229</v>
      </c>
      <c r="X25" s="79" t="s">
        <v>1230</v>
      </c>
      <c r="Y25" s="115">
        <v>19.0</v>
      </c>
      <c r="Z25" s="122" t="s">
        <v>1231</v>
      </c>
      <c r="AA25" s="123" t="s">
        <v>1232</v>
      </c>
      <c r="AB25" s="124" t="s">
        <v>1233</v>
      </c>
      <c r="AC25" s="115">
        <v>19.0</v>
      </c>
      <c r="AD25" s="116" t="s">
        <v>1234</v>
      </c>
      <c r="AE25" s="117" t="s">
        <v>1235</v>
      </c>
      <c r="AF25" s="118" t="s">
        <v>1236</v>
      </c>
      <c r="AG25" s="125">
        <v>19.0</v>
      </c>
      <c r="AH25" s="126" t="s">
        <v>1237</v>
      </c>
      <c r="AI25" s="149" t="s">
        <v>1238</v>
      </c>
      <c r="AJ25" s="148" t="s">
        <v>1239</v>
      </c>
      <c r="AK25" s="115">
        <v>19.0</v>
      </c>
      <c r="AL25" s="128" t="s">
        <v>1240</v>
      </c>
      <c r="AM25" s="129" t="s">
        <v>1241</v>
      </c>
      <c r="AN25" s="130" t="s">
        <v>1242</v>
      </c>
      <c r="AO25" s="115">
        <v>19.0</v>
      </c>
      <c r="AP25" s="120" t="s">
        <v>1243</v>
      </c>
      <c r="AQ25" s="119" t="s">
        <v>1244</v>
      </c>
      <c r="AR25" s="79" t="s">
        <v>1245</v>
      </c>
      <c r="AS25" s="115"/>
      <c r="AT25" s="120"/>
      <c r="AU25" s="119"/>
      <c r="AV25" s="79"/>
      <c r="AW25" s="118"/>
      <c r="AX25" s="118"/>
    </row>
    <row r="26">
      <c r="A26" s="151">
        <v>20.0</v>
      </c>
      <c r="B26" s="116" t="s">
        <v>1246</v>
      </c>
      <c r="C26" s="117" t="s">
        <v>1247</v>
      </c>
      <c r="D26" s="118" t="s">
        <v>1248</v>
      </c>
      <c r="E26" s="152"/>
      <c r="F26" s="116" t="s">
        <v>1249</v>
      </c>
      <c r="G26" s="117" t="s">
        <v>1250</v>
      </c>
      <c r="H26" s="118" t="s">
        <v>1251</v>
      </c>
      <c r="I26" s="151">
        <v>20.0</v>
      </c>
      <c r="J26" s="116" t="s">
        <v>1252</v>
      </c>
      <c r="K26" s="117" t="s">
        <v>1253</v>
      </c>
      <c r="L26" s="118" t="s">
        <v>1254</v>
      </c>
      <c r="M26" s="151">
        <v>20.0</v>
      </c>
      <c r="N26" s="116" t="s">
        <v>1255</v>
      </c>
      <c r="O26" s="121" t="s">
        <v>1256</v>
      </c>
      <c r="P26" s="82" t="s">
        <v>1257</v>
      </c>
      <c r="Q26" s="153">
        <v>20.0</v>
      </c>
      <c r="R26" s="132" t="str">
        <f>IFERROR(__xludf.DUMMYFUNCTION("GOOGLETRANSLATE(B26,""zh-tw"",""es-mx"")"),"Hermana sanadora")</f>
        <v>Hermana sanadora</v>
      </c>
      <c r="S26" s="121" t="str">
        <f>IFERROR(__xludf.DUMMYFUNCTION("GOOGLETRANSLATE(C26,""zh-tw"",""es-mx"")"),"La pregunta ""¿Qué quieres beber?"" te permite darle a tu hermana el ""Elixir de Médula Roja"" para curarla.
P.D.: Actualmente, cura dos veces. Para obtener más información sobre cómo conseguirlo, consulta la sección de eventos del juego de rol.")</f>
        <v>La pregunta "¿Qué quieres beber?" te permite darle a tu hermana el "Elixir de Médula Roja" para curarla.
P.D.: Actualmente, cura dos veces. Para obtener más información sobre cómo conseguirlo, consulta la sección de eventos del juego de rol.</v>
      </c>
      <c r="T26" s="82" t="str">
        <f>IFERROR(__xludf.DUMMYFUNCTION("GOOGLETRANSLATE(D26,""zh-tw"",""es-mx"")"),"Se ha eliminado el mecanismo de ""despertar forzado"".
Tras la primera curación, puedes quedarte despierto hasta las 22:30; después del primer despertar matutino, hay un 50 % de probabilidad de despertar a tu hermana.
Tras la segunda curación, puedes qu"&amp;"edarte despierto hasta las 23:00, con un 75 % de probabilidad de despertar a tu hermana por la mañana.
Tras la tercera curación (aún no implementada), puedes quedarte despierto hasta medianoche, con un 100 % de probabilidad de despertar a tu hermana por "&amp;"la mañana.")</f>
        <v>Se ha eliminado el mecanismo de "despertar forzado".
Tras la primera curación, puedes quedarte despierto hasta las 22:30; después del primer despertar matutino, hay un 50 % de probabilidad de despertar a tu hermana.
Tras la segunda curación, puedes quedarte despierto hasta las 23:00, con un 75 % de probabilidad de despertar a tu hermana por la mañana.
Tras la tercera curación (aún no implementada), puedes quedarte despierto hasta medianoche, con un 100 % de probabilidad de despertar a tu hermana por la mañana.</v>
      </c>
      <c r="U26" s="153">
        <v>20.0</v>
      </c>
      <c r="V26" s="154" t="str">
        <f>IFERROR(__xludf.DUMMYFUNCTION("GOOGLETRANSLATE(B26,""zh-tw"",""KO"")"),"치유하는 자매")</f>
        <v>치유하는 자매</v>
      </c>
      <c r="W26" s="155" t="str">
        <f>IFERROR(__xludf.DUMMYFUNCTION("GOOGLETRANSLATE(C26,""zh-tw"",""KO"")"),"""뭘 마시고 ​​싶니?""를 선택하면 여동생에게 ""붉은 골수 엘릭서""를 주어 회복시킬 수 있습니다.
참고: 현재 두 번 회복할 수 있습니다. 아이템 획득 방법에 대한 자세한 내용은 RPG 이벤트 부분을 참조하세요.")</f>
        <v>"뭘 마시고 ​​싶니?"를 선택하면 여동생에게 "붉은 골수 엘릭서"를 주어 회복시킬 수 있습니다.
참고: 현재 두 번 회복할 수 있습니다. 아이템 획득 방법에 대한 자세한 내용은 RPG 이벤트 부분을 참조하세요.</v>
      </c>
      <c r="X26" s="156" t="str">
        <f>IFERROR(__xludf.DUMMYFUNCTION("GOOGLETRANSLATE(D26,""zh-tw"",""KO"")"),"'강제 기상' 메커니즘이 제거되었습니다.
첫 번째 회복 후에는 오후 10시 30분까지 깨어 있을 수 있으며, 아침에 처음 기상할 때 여동생을 깨울 확률은 50%입니다.
두 번째 회복 후에는 오후 11시까지 깨어 있을 수 있으며, 아침에 여동생을 깨울 확률은 75%입니다.
세 번째 회복(아직 구현되지 않음) 후에는 자정까지 깨어 있을 수 있으며, 아침에 여동생을 깨울 확률은 100%입니다.")</f>
        <v>'강제 기상' 메커니즘이 제거되었습니다.
첫 번째 회복 후에는 오후 10시 30분까지 깨어 있을 수 있으며, 아침에 처음 기상할 때 여동생을 깨울 확률은 50%입니다.
두 번째 회복 후에는 오후 11시까지 깨어 있을 수 있으며, 아침에 여동생을 깨울 확률은 75%입니다.
세 번째 회복(아직 구현되지 않음) 후에는 자정까지 깨어 있을 수 있으며, 아침에 여동생을 깨울 확률은 100%입니다.</v>
      </c>
      <c r="Y26" s="115">
        <v>20.0</v>
      </c>
      <c r="Z26" s="122" t="s">
        <v>1258</v>
      </c>
      <c r="AA26" s="123" t="s">
        <v>1259</v>
      </c>
      <c r="AB26" s="124" t="s">
        <v>1260</v>
      </c>
      <c r="AC26" s="151">
        <v>20.0</v>
      </c>
      <c r="AD26" s="116" t="s">
        <v>1261</v>
      </c>
      <c r="AE26" s="117" t="s">
        <v>1262</v>
      </c>
      <c r="AF26" s="118" t="s">
        <v>1263</v>
      </c>
      <c r="AG26" s="157">
        <v>20.0</v>
      </c>
      <c r="AH26" s="133" t="s">
        <v>1264</v>
      </c>
      <c r="AI26" s="127" t="s">
        <v>1265</v>
      </c>
      <c r="AJ26" s="158" t="s">
        <v>1266</v>
      </c>
      <c r="AK26" s="151">
        <v>20.0</v>
      </c>
      <c r="AL26" s="116" t="s">
        <v>1267</v>
      </c>
      <c r="AM26" s="117" t="s">
        <v>1268</v>
      </c>
      <c r="AN26" s="118" t="s">
        <v>1269</v>
      </c>
      <c r="AO26" s="152">
        <v>20.0</v>
      </c>
      <c r="AP26" s="159" t="s">
        <v>1270</v>
      </c>
      <c r="AQ26" s="144" t="s">
        <v>1271</v>
      </c>
      <c r="AR26" s="73" t="s">
        <v>1272</v>
      </c>
      <c r="AS26" s="152"/>
      <c r="AT26" s="159"/>
      <c r="AU26" s="127"/>
      <c r="AV26" s="73"/>
      <c r="AW26" s="73"/>
      <c r="AX26" s="73"/>
    </row>
    <row r="27">
      <c r="A27" s="115">
        <v>21.0</v>
      </c>
      <c r="B27" s="120" t="s">
        <v>1273</v>
      </c>
      <c r="C27" s="117" t="s">
        <v>1274</v>
      </c>
      <c r="D27" s="118" t="s">
        <v>1097</v>
      </c>
      <c r="E27" s="115">
        <v>21.0</v>
      </c>
      <c r="F27" s="120" t="s">
        <v>1273</v>
      </c>
      <c r="G27" s="117" t="s">
        <v>1275</v>
      </c>
      <c r="H27" s="118" t="s">
        <v>1100</v>
      </c>
      <c r="I27" s="115">
        <v>21.0</v>
      </c>
      <c r="J27" s="120" t="s">
        <v>1273</v>
      </c>
      <c r="K27" s="117" t="s">
        <v>1276</v>
      </c>
      <c r="L27" s="79" t="s">
        <v>1277</v>
      </c>
      <c r="M27" s="115">
        <v>21.0</v>
      </c>
      <c r="N27" s="116" t="str">
        <f>IFERROR(__xludf.DUMMYFUNCTION("GOOGLETRANSLATE(B27,""zh-tw"",""zh"")"),"-")</f>
        <v>-</v>
      </c>
      <c r="O27" s="121" t="str">
        <f>IFERROR(__xludf.DUMMYFUNCTION("GOOGLETRANSLATE(C27,""zh-tw"",""zh"")"),"「喝点什么」给妹妹喂一颗""蓝色金平糖""和一颗""粉色金平糖""后，会使妹妹进入??状态")</f>
        <v>「喝点什么」给妹妹喂一颗"蓝色金平糖"和一颗"粉色金平糖"后，会使妹妹进入??状态</v>
      </c>
      <c r="P27" s="82" t="str">
        <f>IFERROR(__xludf.DUMMYFUNCTION("GOOGLETRANSLATE(D27,""zh-tw"",""zh"")"),"未实装")</f>
        <v>未实装</v>
      </c>
      <c r="Q27" s="115">
        <v>21.0</v>
      </c>
      <c r="R27" s="120" t="s">
        <v>1273</v>
      </c>
      <c r="S27" s="121" t="str">
        <f>IFERROR(__xludf.DUMMYFUNCTION("GOOGLETRANSLATE(C27,""zh-tw"",""es-MX"")"),"Después de darle a tu hermana menor un ""konpeito azul"" y un ""konpeito rosa"" con la opción ""¿Qué hay para beber?"", entrará en un estado ??.")</f>
        <v>Después de darle a tu hermana menor un "konpeito azul" y un "konpeito rosa" con la opción "¿Qué hay para beber?", entrará en un estado ??.</v>
      </c>
      <c r="T27" s="82" t="str">
        <f>IFERROR(__xludf.DUMMYFUNCTION("GOOGLETRANSLATE(D27,""zh-tw"",""es-MX"")"),"No implementado")</f>
        <v>No implementado</v>
      </c>
      <c r="U27" s="115">
        <v>21.0</v>
      </c>
      <c r="V27" s="120" t="s">
        <v>1273</v>
      </c>
      <c r="W27" s="119" t="s">
        <v>1278</v>
      </c>
      <c r="X27" s="160" t="s">
        <v>1109</v>
      </c>
      <c r="Y27" s="115">
        <v>21.0</v>
      </c>
      <c r="Z27" s="122" t="s">
        <v>1273</v>
      </c>
      <c r="AA27" s="123" t="s">
        <v>1279</v>
      </c>
      <c r="AB27" s="124" t="s">
        <v>1280</v>
      </c>
      <c r="AC27" s="115">
        <v>21.0</v>
      </c>
      <c r="AD27" s="120" t="s">
        <v>1273</v>
      </c>
      <c r="AE27" s="117" t="s">
        <v>1281</v>
      </c>
      <c r="AF27" s="118" t="s">
        <v>1115</v>
      </c>
      <c r="AG27" s="125">
        <v>21.0</v>
      </c>
      <c r="AH27" s="126" t="s">
        <v>1273</v>
      </c>
      <c r="AI27" s="145" t="s">
        <v>1282</v>
      </c>
      <c r="AJ27" s="146" t="s">
        <v>1283</v>
      </c>
      <c r="AK27" s="115">
        <v>21.0</v>
      </c>
      <c r="AL27" s="128" t="s">
        <v>1273</v>
      </c>
      <c r="AM27" s="129" t="s">
        <v>1284</v>
      </c>
      <c r="AN27" s="130" t="s">
        <v>1121</v>
      </c>
      <c r="AO27" s="115">
        <v>21.0</v>
      </c>
      <c r="AP27" s="120" t="s">
        <v>1273</v>
      </c>
      <c r="AQ27" s="119" t="s">
        <v>1285</v>
      </c>
      <c r="AR27" s="79" t="s">
        <v>1124</v>
      </c>
      <c r="AS27" s="115"/>
      <c r="AT27" s="120"/>
      <c r="AU27" s="119"/>
      <c r="AV27" s="79"/>
      <c r="AW27" s="118"/>
      <c r="AX27" s="118"/>
    </row>
    <row r="28">
      <c r="A28" s="115">
        <v>22.0</v>
      </c>
      <c r="B28" s="116" t="s">
        <v>1286</v>
      </c>
      <c r="C28" s="117" t="s">
        <v>1287</v>
      </c>
      <c r="D28" s="118" t="s">
        <v>1288</v>
      </c>
      <c r="E28" s="115">
        <v>22.0</v>
      </c>
      <c r="F28" s="116" t="s">
        <v>1289</v>
      </c>
      <c r="G28" s="119" t="s">
        <v>1290</v>
      </c>
      <c r="H28" s="118" t="s">
        <v>1291</v>
      </c>
      <c r="I28" s="115">
        <v>22.0</v>
      </c>
      <c r="J28" s="116" t="s">
        <v>1292</v>
      </c>
      <c r="K28" s="119" t="s">
        <v>1293</v>
      </c>
      <c r="L28" s="118" t="s">
        <v>1294</v>
      </c>
      <c r="M28" s="115">
        <v>22.0</v>
      </c>
      <c r="N28" s="116" t="str">
        <f>IFERROR(__xludf.DUMMYFUNCTION("GOOGLETRANSLATE(B28,""zh-tw"",""zh"")"),"恶梦")</f>
        <v>恶梦</v>
      </c>
      <c r="O28" s="121" t="str">
        <f>IFERROR(__xludf.DUMMYFUNCTION("GOOGLETRANSLATE(C28,""zh-tw"",""zh"")"),"当拔呆毛达到一定数量时，平时晚间睡觉时，可能触发做恶梦
(一天最多拔2次，隔天才能继续拔，累计拔到5次就会触发做恶梦)")</f>
        <v>当拔呆毛达到一定数量时，平时晚间睡觉时，可能触发做恶梦
(一天最多拔2次，隔天才能继续拔，累计拔到5次就会触发做恶梦)</v>
      </c>
      <c r="P28" s="82" t="str">
        <f>IFERROR(__xludf.DUMMYFUNCTION("GOOGLETRANSLATE(D28,""zh-tw"",""zh"")"),"触发恶梦动画")</f>
        <v>触发恶梦动画</v>
      </c>
      <c r="Q28" s="115">
        <v>22.0</v>
      </c>
      <c r="R28" s="132" t="s">
        <v>1295</v>
      </c>
      <c r="S28" s="119" t="s">
        <v>1296</v>
      </c>
      <c r="T28" s="82" t="s">
        <v>1297</v>
      </c>
      <c r="U28" s="115">
        <v>22.0</v>
      </c>
      <c r="V28" s="120" t="s">
        <v>1298</v>
      </c>
      <c r="W28" s="119" t="s">
        <v>1299</v>
      </c>
      <c r="X28" s="79" t="s">
        <v>1300</v>
      </c>
      <c r="Y28" s="115">
        <v>22.0</v>
      </c>
      <c r="Z28" s="122" t="s">
        <v>1301</v>
      </c>
      <c r="AA28" s="123" t="s">
        <v>1302</v>
      </c>
      <c r="AB28" s="124" t="s">
        <v>1303</v>
      </c>
      <c r="AC28" s="115">
        <v>22.0</v>
      </c>
      <c r="AD28" s="116" t="s">
        <v>1304</v>
      </c>
      <c r="AE28" s="119" t="s">
        <v>1305</v>
      </c>
      <c r="AF28" s="79" t="s">
        <v>1306</v>
      </c>
      <c r="AG28" s="125">
        <v>22.0</v>
      </c>
      <c r="AH28" s="126" t="s">
        <v>1307</v>
      </c>
      <c r="AI28" s="145" t="s">
        <v>1308</v>
      </c>
      <c r="AJ28" s="148" t="s">
        <v>1309</v>
      </c>
      <c r="AK28" s="115">
        <v>22.0</v>
      </c>
      <c r="AL28" s="128" t="s">
        <v>1310</v>
      </c>
      <c r="AM28" s="129" t="s">
        <v>1311</v>
      </c>
      <c r="AN28" s="130" t="s">
        <v>1312</v>
      </c>
      <c r="AO28" s="115">
        <v>22.0</v>
      </c>
      <c r="AP28" s="116" t="s">
        <v>1292</v>
      </c>
      <c r="AQ28" s="119" t="s">
        <v>1293</v>
      </c>
      <c r="AR28" s="118" t="s">
        <v>1294</v>
      </c>
      <c r="AS28" s="115"/>
      <c r="AT28" s="116"/>
      <c r="AU28" s="119"/>
      <c r="AV28" s="118"/>
      <c r="AW28" s="118"/>
      <c r="AX28" s="118"/>
    </row>
    <row r="29">
      <c r="A29" s="153">
        <v>23.0</v>
      </c>
      <c r="B29" s="116" t="s">
        <v>1313</v>
      </c>
      <c r="C29" s="117" t="s">
        <v>1314</v>
      </c>
      <c r="D29" s="118" t="s">
        <v>1315</v>
      </c>
      <c r="E29" s="153">
        <v>23.0</v>
      </c>
      <c r="F29" s="116" t="s">
        <v>1316</v>
      </c>
      <c r="G29" s="117" t="s">
        <v>1317</v>
      </c>
      <c r="H29" s="118" t="s">
        <v>1318</v>
      </c>
      <c r="I29" s="153">
        <v>23.0</v>
      </c>
      <c r="J29" s="116" t="s">
        <v>1319</v>
      </c>
      <c r="K29" s="119" t="s">
        <v>1320</v>
      </c>
      <c r="L29" s="118" t="s">
        <v>1321</v>
      </c>
      <c r="M29" s="153">
        <v>23.0</v>
      </c>
      <c r="N29" s="116" t="str">
        <f>IFERROR(__xludf.DUMMYFUNCTION("GOOGLETRANSLATE(B29,""zh-tw"",""zh"")"),"和妹妹撒娇")</f>
        <v>和妹妹撒娇</v>
      </c>
      <c r="O29" s="121" t="str">
        <f>IFERROR(__xludf.DUMMYFUNCTION("GOOGLETRANSLATE(C29,""zh-tw"",""zh"")"),"拥有""什么都行券""，平时要和""妹妹做点什么""时，会新增一个选项")</f>
        <v>拥有"什么都行券"，平时要和"妹妹做点什么"时，会新增一个选项</v>
      </c>
      <c r="P29" s="82" t="str">
        <f>IFERROR(__xludf.DUMMYFUNCTION("GOOGLETRANSLATE(D29,""zh-tw"",""zh"")"),"新增选项：向妹妹撒娇吧！
*目前尚无后续")</f>
        <v>新增选项：向妹妹撒娇吧！
*目前尚无后续</v>
      </c>
      <c r="Q29" s="153">
        <v>23.0</v>
      </c>
      <c r="R29" s="132" t="str">
        <f>IFERROR(__xludf.DUMMYFUNCTION("GOOGLETRANSLATE(B29,""zh-tw"",""es-MX"")"),"Haciendo el ridículo con mi hermana pequeña")</f>
        <v>Haciendo el ridículo con mi hermana pequeña</v>
      </c>
      <c r="S29" s="121" t="str">
        <f>IFERROR(__xludf.DUMMYFUNCTION("GOOGLETRANSLATE(C29,""zh-tw"",""es-MX"")"),"Tener el cupón ""Cualquier cosa está bien"" añade una nueva opción cuando quieres ""hacer algo con tu hermana"".")</f>
        <v>Tener el cupón "Cualquier cosa está bien" añade una nueva opción cuando quieres "hacer algo con tu hermana".</v>
      </c>
      <c r="T29" s="82" t="str">
        <f>IFERROR(__xludf.DUMMYFUNCTION("GOOGLETRANSLATE(D29,""zh-tw"",""es-MX"")"),"Nueva opción: ¡Demuéstrale cariño a tu hermana pequeña!
*Por el momento, no hay más actualizaciones.")</f>
        <v>Nueva opción: ¡Demuéstrale cariño a tu hermana pequeña!
*Por el momento, no hay más actualizaciones.</v>
      </c>
      <c r="U29" s="153">
        <v>23.0</v>
      </c>
      <c r="V29" s="120" t="s">
        <v>1322</v>
      </c>
      <c r="W29" s="119" t="s">
        <v>1323</v>
      </c>
      <c r="X29" s="79" t="s">
        <v>1324</v>
      </c>
      <c r="Y29" s="115">
        <v>23.0</v>
      </c>
      <c r="Z29" s="161" t="s">
        <v>1325</v>
      </c>
      <c r="AA29" s="162" t="s">
        <v>1326</v>
      </c>
      <c r="AB29" s="142" t="s">
        <v>1327</v>
      </c>
      <c r="AC29" s="153">
        <v>23.0</v>
      </c>
      <c r="AD29" s="116" t="s">
        <v>1328</v>
      </c>
      <c r="AE29" s="117" t="s">
        <v>1329</v>
      </c>
      <c r="AF29" s="118" t="s">
        <v>1330</v>
      </c>
      <c r="AG29" s="163">
        <v>23.0</v>
      </c>
      <c r="AH29" s="147" t="s">
        <v>1331</v>
      </c>
      <c r="AI29" s="149" t="s">
        <v>1332</v>
      </c>
      <c r="AJ29" s="146" t="s">
        <v>1333</v>
      </c>
      <c r="AK29" s="153">
        <v>23.0</v>
      </c>
      <c r="AL29" s="128" t="s">
        <v>1334</v>
      </c>
      <c r="AM29" s="129" t="s">
        <v>1335</v>
      </c>
      <c r="AN29" s="130" t="s">
        <v>1336</v>
      </c>
      <c r="AO29" s="153">
        <v>23.0</v>
      </c>
      <c r="AP29" s="116" t="s">
        <v>1319</v>
      </c>
      <c r="AQ29" s="119" t="s">
        <v>1320</v>
      </c>
      <c r="AR29" s="118" t="s">
        <v>1321</v>
      </c>
      <c r="AS29" s="153"/>
      <c r="AT29" s="116"/>
      <c r="AU29" s="119"/>
      <c r="AV29" s="118"/>
      <c r="AW29" s="118"/>
      <c r="AX29" s="118"/>
    </row>
    <row r="30">
      <c r="A30" s="115">
        <v>24.0</v>
      </c>
      <c r="B30" s="128" t="s">
        <v>1337</v>
      </c>
      <c r="C30" s="129" t="s">
        <v>1338</v>
      </c>
      <c r="D30" s="130" t="s">
        <v>1339</v>
      </c>
      <c r="E30" s="115">
        <v>24.0</v>
      </c>
      <c r="F30" s="164" t="s">
        <v>1340</v>
      </c>
      <c r="G30" s="165" t="s">
        <v>1341</v>
      </c>
      <c r="H30" s="166" t="s">
        <v>1342</v>
      </c>
      <c r="I30" s="115">
        <v>24.0</v>
      </c>
      <c r="J30" s="116" t="s">
        <v>1343</v>
      </c>
      <c r="K30" s="165" t="s">
        <v>1344</v>
      </c>
      <c r="L30" s="166" t="s">
        <v>1345</v>
      </c>
      <c r="M30" s="115">
        <v>24.0</v>
      </c>
      <c r="N30" s="128" t="s">
        <v>1346</v>
      </c>
      <c r="O30" s="155" t="s">
        <v>1347</v>
      </c>
      <c r="P30" s="156" t="s">
        <v>1348</v>
      </c>
      <c r="Q30" s="115">
        <v>24.0</v>
      </c>
      <c r="R30" s="154" t="str">
        <f>IFERROR(__xludf.DUMMYFUNCTION("GOOGLETRANSLATE(B30,""zh-tw"",""es-MX"")"),"dormilón")</f>
        <v>dormilón</v>
      </c>
      <c r="S30" s="155" t="str">
        <f>IFERROR(__xludf.DUMMYFUNCTION("GOOGLETRANSLATE(C30,""zh-tw"",""es-MX"")"),"Si el jugador no interactúa con el personaje durante un tiempo, la hermana menor se quedará dormida en la silla.")</f>
        <v>Si el jugador no interactúa con el personaje durante un tiempo, la hermana menor se quedará dormida en la silla.</v>
      </c>
      <c r="T30" s="156" t="str">
        <f>IFERROR(__xludf.DUMMYFUNCTION("GOOGLETRANSLATE(D30,""zh-tw"",""es-MX"")"),"Puedes interactuar con tu hermana dormida (actualmente solo se puede interactuar con su rostro).")</f>
        <v>Puedes interactuar con tu hermana dormida (actualmente solo se puede interactuar con su rostro).</v>
      </c>
      <c r="U30" s="115">
        <v>24.0</v>
      </c>
      <c r="V30" s="167" t="s">
        <v>1349</v>
      </c>
      <c r="W30" s="141" t="s">
        <v>1350</v>
      </c>
      <c r="X30" s="140" t="s">
        <v>1351</v>
      </c>
      <c r="Y30" s="115">
        <v>24.0</v>
      </c>
      <c r="Z30" s="161" t="s">
        <v>1352</v>
      </c>
      <c r="AA30" s="162" t="s">
        <v>1353</v>
      </c>
      <c r="AB30" s="142" t="s">
        <v>1354</v>
      </c>
      <c r="AC30" s="115">
        <v>24.0</v>
      </c>
      <c r="AD30" s="116" t="s">
        <v>1355</v>
      </c>
      <c r="AE30" s="165" t="s">
        <v>1356</v>
      </c>
      <c r="AF30" s="166" t="s">
        <v>1357</v>
      </c>
      <c r="AG30" s="125">
        <v>24.0</v>
      </c>
      <c r="AH30" s="168" t="s">
        <v>1358</v>
      </c>
      <c r="AI30" s="169" t="s">
        <v>1359</v>
      </c>
      <c r="AJ30" s="170" t="s">
        <v>1360</v>
      </c>
      <c r="AK30" s="115">
        <v>24.0</v>
      </c>
      <c r="AL30" s="128" t="s">
        <v>1361</v>
      </c>
      <c r="AM30" s="129" t="s">
        <v>1362</v>
      </c>
      <c r="AN30" s="130" t="s">
        <v>1363</v>
      </c>
      <c r="AO30" s="115">
        <v>24.0</v>
      </c>
      <c r="AP30" s="116" t="s">
        <v>1343</v>
      </c>
      <c r="AQ30" s="165" t="s">
        <v>1344</v>
      </c>
      <c r="AR30" s="166" t="s">
        <v>1345</v>
      </c>
      <c r="AS30" s="115"/>
      <c r="AT30" s="116"/>
      <c r="AU30" s="165"/>
      <c r="AV30" s="166"/>
      <c r="AW30" s="130"/>
      <c r="AX30" s="130"/>
    </row>
    <row r="31">
      <c r="A31" s="153">
        <v>25.0</v>
      </c>
      <c r="B31" s="128" t="s">
        <v>1364</v>
      </c>
      <c r="C31" s="141" t="s">
        <v>1365</v>
      </c>
      <c r="D31" s="130" t="s">
        <v>1366</v>
      </c>
      <c r="E31" s="153">
        <v>25.0</v>
      </c>
      <c r="F31" s="171" t="s">
        <v>1367</v>
      </c>
      <c r="G31" s="141" t="s">
        <v>1368</v>
      </c>
      <c r="H31" s="140" t="s">
        <v>1369</v>
      </c>
      <c r="I31" s="153">
        <v>25.0</v>
      </c>
      <c r="J31" s="116" t="s">
        <v>1370</v>
      </c>
      <c r="K31" s="172" t="s">
        <v>1371</v>
      </c>
      <c r="L31" s="166" t="s">
        <v>1372</v>
      </c>
      <c r="M31" s="153">
        <v>25.0</v>
      </c>
      <c r="N31" s="128" t="s">
        <v>1373</v>
      </c>
      <c r="O31" s="141" t="s">
        <v>1374</v>
      </c>
      <c r="P31" s="156" t="s">
        <v>1375</v>
      </c>
      <c r="Q31" s="153">
        <v>25.0</v>
      </c>
      <c r="R31" s="154" t="str">
        <f>IFERROR(__xludf.DUMMYFUNCTION("GOOGLETRANSLATE(B31,""zh-tw"",""es-MX"")"),"¡Mi hermano se está declarando en bancarrota!")</f>
        <v>¡Mi hermano se está declarando en bancarrota!</v>
      </c>
      <c r="S31" s="155" t="str">
        <f>IFERROR(__xludf.DUMMYFUNCTION("GOOGLETRANSLATE(C31,""zh-tw"",""es-MX"")"),"1. El gasto total supera los 10 000
2. Tras completar la gacha, tu saldo disponible es exactamente superior a 1 000
3. Al regresar a casa ese día, tu saldo disponible es inferior a 500
4. Si el gasto total supera los 50 000, el evento puede activarse i"&amp;"ncluso sin llegar a la bancarrota.")</f>
        <v>1. El gasto total supera los 10 000
2. Tras completar la gacha, tu saldo disponible es exactamente superior a 1 000
3. Al regresar a casa ese día, tu saldo disponible es inferior a 500
4. Si el gasto total supera los 50 000, el evento puede activarse incluso sin llegar a la bancarrota.</v>
      </c>
      <c r="T31" s="156" t="str">
        <f>IFERROR(__xludf.DUMMYFUNCTION("GOOGLETRANSLATE(D31,""zh-tw"",""es-MX"")"),"Si se produce la bancarrota, la hermana menor empezará a resentir a su hermano mayor por no ser ahorrativo.")</f>
        <v>Si se produce la bancarrota, la hermana menor empezará a resentir a su hermano mayor por no ser ahorrativo.</v>
      </c>
      <c r="U31" s="153">
        <v>25.0</v>
      </c>
      <c r="V31" s="171" t="s">
        <v>1376</v>
      </c>
      <c r="W31" s="141" t="s">
        <v>1377</v>
      </c>
      <c r="X31" s="140" t="s">
        <v>1378</v>
      </c>
      <c r="Y31" s="115">
        <v>25.0</v>
      </c>
      <c r="Z31" s="161" t="s">
        <v>1379</v>
      </c>
      <c r="AA31" s="162" t="s">
        <v>1380</v>
      </c>
      <c r="AB31" s="142" t="s">
        <v>1381</v>
      </c>
      <c r="AC31" s="153">
        <v>25.0</v>
      </c>
      <c r="AD31" s="150" t="s">
        <v>1382</v>
      </c>
      <c r="AE31" s="173" t="s">
        <v>1383</v>
      </c>
      <c r="AF31" s="174" t="s">
        <v>1384</v>
      </c>
      <c r="AG31" s="163">
        <v>25.0</v>
      </c>
      <c r="AH31" s="147" t="s">
        <v>1385</v>
      </c>
      <c r="AI31" s="175" t="s">
        <v>1386</v>
      </c>
      <c r="AJ31" s="6" t="s">
        <v>1387</v>
      </c>
      <c r="AK31" s="153">
        <v>25.0</v>
      </c>
      <c r="AL31" s="176" t="s">
        <v>1388</v>
      </c>
      <c r="AM31" s="172" t="s">
        <v>1389</v>
      </c>
      <c r="AN31" s="177" t="s">
        <v>1390</v>
      </c>
      <c r="AO31" s="153">
        <v>25.0</v>
      </c>
      <c r="AP31" s="116" t="s">
        <v>1370</v>
      </c>
      <c r="AQ31" s="165" t="s">
        <v>1391</v>
      </c>
      <c r="AR31" s="166" t="s">
        <v>1372</v>
      </c>
      <c r="AS31" s="153"/>
      <c r="AT31" s="116"/>
      <c r="AU31" s="165"/>
      <c r="AV31" s="166"/>
      <c r="AW31" s="130"/>
      <c r="AX31" s="130"/>
    </row>
    <row r="32">
      <c r="A32" s="115">
        <v>26.0</v>
      </c>
      <c r="B32" s="128" t="s">
        <v>1392</v>
      </c>
      <c r="C32" s="141" t="s">
        <v>1393</v>
      </c>
      <c r="D32" s="130" t="s">
        <v>1394</v>
      </c>
      <c r="E32" s="115">
        <v>26.0</v>
      </c>
      <c r="F32" s="171" t="s">
        <v>1395</v>
      </c>
      <c r="G32" s="141" t="s">
        <v>1396</v>
      </c>
      <c r="H32" s="140" t="s">
        <v>1397</v>
      </c>
      <c r="I32" s="115">
        <v>26.0</v>
      </c>
      <c r="J32" s="116" t="s">
        <v>1398</v>
      </c>
      <c r="K32" s="172" t="s">
        <v>1399</v>
      </c>
      <c r="L32" s="177" t="s">
        <v>1400</v>
      </c>
      <c r="M32" s="115">
        <v>26.0</v>
      </c>
      <c r="N32" s="128" t="s">
        <v>1401</v>
      </c>
      <c r="O32" s="141" t="s">
        <v>1402</v>
      </c>
      <c r="P32" s="140" t="s">
        <v>1403</v>
      </c>
      <c r="Q32" s="115">
        <v>26.0</v>
      </c>
      <c r="R32" s="154" t="str">
        <f>IFERROR(__xludf.DUMMYFUNCTION("GOOGLETRANSLATE(B32,""zh-tw"",""es-MX"")"),"Dale dinero de bolsillo a mi hermana pequeña")</f>
        <v>Dale dinero de bolsillo a mi hermana pequeña</v>
      </c>
      <c r="S32" s="155" t="str">
        <f>IFERROR(__xludf.DUMMYFUNCTION("GOOGLETRANSLATE(C32,""zh-tw"",""es-MX"")"),"Tras desbloquear el logro ""¡Gacha es una civilización perversa!"", podrás darle pequeños regalos a tu hermana al interactuar con ella.
Los contenedores de corazón vacíos pueden convertirse en corazones amarillos, pero si ya contienen corazones rojos o m"&amp;"orados, se mostrarán con un borde dorado y solo estarán disponibles el día de la compra.")</f>
        <v>Tras desbloquear el logro "¡Gacha es una civilización perversa!", podrás darle pequeños regalos a tu hermana al interactuar con ella.
Los contenedores de corazón vacíos pueden convertirse en corazones amarillos, pero si ya contienen corazones rojos o morados, se mostrarán con un borde dorado y solo estarán disponibles el día de la compra.</v>
      </c>
      <c r="T32" s="156" t="str">
        <f>IFERROR(__xludf.DUMMYFUNCTION("GOOGLETRANSLATE(D32,""zh-tw"",""es-MX"")"),"Actualmente, el corazón amarillo no tiene ninguna utilidad práctica; su función aún no se ha implementado. Por el momento, un corazón amarillo equivale a un corazón rojo.")</f>
        <v>Actualmente, el corazón amarillo no tiene ninguna utilidad práctica; su función aún no se ha implementado. Por el momento, un corazón amarillo equivale a un corazón rojo.</v>
      </c>
      <c r="U32" s="115">
        <v>26.0</v>
      </c>
      <c r="V32" s="171" t="s">
        <v>1404</v>
      </c>
      <c r="W32" s="141" t="s">
        <v>1405</v>
      </c>
      <c r="X32" s="140" t="s">
        <v>1406</v>
      </c>
      <c r="Y32" s="115">
        <v>26.0</v>
      </c>
      <c r="Z32" s="161" t="s">
        <v>1407</v>
      </c>
      <c r="AA32" s="162" t="s">
        <v>1408</v>
      </c>
      <c r="AB32" s="142" t="s">
        <v>1409</v>
      </c>
      <c r="AC32" s="115">
        <v>26.0</v>
      </c>
      <c r="AD32" s="150" t="s">
        <v>1410</v>
      </c>
      <c r="AE32" s="173" t="s">
        <v>1411</v>
      </c>
      <c r="AF32" s="178" t="str">
        <f>IFERROR(__xludf.DUMMYFUNCTION("IF(P32="""", """", GOOGLETRANSLATE(L32,""en"",""DE""))"),"Aktuell hat das gelbe Herz keine Verwendung. Seine Funktion ist noch nicht implementiert und momentan entspricht 1 gelbes Herz 1 roten Herz.")</f>
        <v>Aktuell hat das gelbe Herz keine Verwendung. Seine Funktion ist noch nicht implementiert und momentan entspricht 1 gelbes Herz 1 roten Herz.</v>
      </c>
      <c r="AG32" s="125">
        <v>26.0</v>
      </c>
      <c r="AH32" s="147" t="s">
        <v>1412</v>
      </c>
      <c r="AI32" s="179" t="s">
        <v>1413</v>
      </c>
      <c r="AJ32" s="6" t="s">
        <v>1414</v>
      </c>
      <c r="AK32" s="115">
        <v>26.0</v>
      </c>
      <c r="AL32" s="176" t="s">
        <v>1415</v>
      </c>
      <c r="AM32" s="172" t="s">
        <v>1416</v>
      </c>
      <c r="AN32" s="177" t="s">
        <v>1417</v>
      </c>
      <c r="AO32" s="115">
        <v>26.0</v>
      </c>
      <c r="AP32" s="116" t="s">
        <v>1398</v>
      </c>
      <c r="AQ32" s="172" t="s">
        <v>1418</v>
      </c>
      <c r="AR32" s="177" t="s">
        <v>1400</v>
      </c>
      <c r="AS32" s="115"/>
      <c r="AT32" s="116"/>
      <c r="AU32" s="172"/>
      <c r="AV32" s="177"/>
      <c r="AW32" s="130"/>
      <c r="AX32" s="130"/>
    </row>
    <row r="33">
      <c r="A33" s="115">
        <v>27.0</v>
      </c>
      <c r="B33" s="128" t="s">
        <v>1419</v>
      </c>
      <c r="C33" s="141" t="s">
        <v>1420</v>
      </c>
      <c r="D33" s="130" t="s">
        <v>1097</v>
      </c>
      <c r="E33" s="115">
        <v>27.0</v>
      </c>
      <c r="F33" s="171" t="s">
        <v>1421</v>
      </c>
      <c r="G33" s="141" t="s">
        <v>1422</v>
      </c>
      <c r="H33" s="140" t="s">
        <v>1100</v>
      </c>
      <c r="I33" s="115">
        <v>27.0</v>
      </c>
      <c r="J33" s="116" t="s">
        <v>1423</v>
      </c>
      <c r="K33" s="172" t="s">
        <v>1424</v>
      </c>
      <c r="L33" s="177" t="s">
        <v>1425</v>
      </c>
      <c r="M33" s="115">
        <v>27.0</v>
      </c>
      <c r="N33" s="128" t="str">
        <f>IFERROR(__xludf.DUMMYFUNCTION("GOOGLETRANSLATE(B33,""zh-tw"",""zh"")"),"撒娇吧-妹妹的告白")</f>
        <v>撒娇吧-妹妹的告白</v>
      </c>
      <c r="O33" s="141" t="str">
        <f>IFERROR(__xludf.DUMMYFUNCTION("GOOGLETRANSLATE(C33,""zh-tw"",""zh"")"),"于""向妹妹撒娇吧""中，选择妹妹的告白")</f>
        <v>于"向妹妹撒娇吧"中，选择妹妹的告白</v>
      </c>
      <c r="P33" s="140" t="str">
        <f>IFERROR(__xludf.DUMMYFUNCTION("GOOGLETRANSLATE(D33,""zh-tw"",""zh"")"),"未实装")</f>
        <v>未实装</v>
      </c>
      <c r="Q33" s="115">
        <v>27.0</v>
      </c>
      <c r="R33" s="154" t="str">
        <f>IFERROR(__xludf.DUMMYFUNCTION("GOOGLETRANSLATE(B33,""zh-tw"",""es-MX"")"),"Sé linda - La confesión de mi hermana")</f>
        <v>Sé linda - La confesión de mi hermana</v>
      </c>
      <c r="S33" s="155" t="str">
        <f>IFERROR(__xludf.DUMMYFUNCTION("GOOGLETRANSLATE(C33,""zh-tw"",""es-MX"")"),"En la sección ""Sé cariñosa con tu hermana"", elige la confesión de tu hermana.")</f>
        <v>En la sección "Sé cariñosa con tu hermana", elige la confesión de tu hermana.</v>
      </c>
      <c r="T33" s="156" t="str">
        <f>IFERROR(__xludf.DUMMYFUNCTION("GOOGLETRANSLATE(D33,""zh-tw"",""es-MX"")"),"No implementado")</f>
        <v>No implementado</v>
      </c>
      <c r="U33" s="115">
        <v>27.0</v>
      </c>
      <c r="V33" s="171" t="str">
        <f>IFERROR(__xludf.DUMMYFUNCTION("GOOGLETRANSLATE(B33,""zh-tw"",""KO"")"),"귀엽게 행동해 - 내 여동생의 고백")</f>
        <v>귀엽게 행동해 - 내 여동생의 고백</v>
      </c>
      <c r="W33" s="141" t="str">
        <f>IFERROR(__xludf.DUMMYFUNCTION("GOOGLETRANSLATE(C33,""zh-tw"",""KO"")"),"""여동생에게 귀엽게 대하기"" 섹션에서 여동생의 고백을 선택하세요.")</f>
        <v>"여동생에게 귀엽게 대하기" 섹션에서 여동생의 고백을 선택하세요.</v>
      </c>
      <c r="X33" s="140" t="str">
        <f>IFERROR(__xludf.DUMMYFUNCTION("GOOGLETRANSLATE(D33,""zh-tw"",""KO"")"),"구현되지 않음")</f>
        <v>구현되지 않음</v>
      </c>
      <c r="Y33" s="115">
        <v>27.0</v>
      </c>
      <c r="Z33" s="161" t="s">
        <v>1426</v>
      </c>
      <c r="AA33" s="162" t="s">
        <v>1427</v>
      </c>
      <c r="AB33" s="142" t="s">
        <v>1428</v>
      </c>
      <c r="AC33" s="115">
        <v>27.0</v>
      </c>
      <c r="AD33" s="150" t="s">
        <v>1429</v>
      </c>
      <c r="AE33" s="173" t="s">
        <v>1430</v>
      </c>
      <c r="AF33" s="178" t="s">
        <v>1115</v>
      </c>
      <c r="AG33" s="125">
        <v>27.0</v>
      </c>
      <c r="AH33" s="147" t="s">
        <v>1431</v>
      </c>
      <c r="AI33" s="175" t="s">
        <v>1432</v>
      </c>
      <c r="AJ33" s="6" t="s">
        <v>1433</v>
      </c>
      <c r="AK33" s="115">
        <v>27.0</v>
      </c>
      <c r="AL33" s="176" t="s">
        <v>1434</v>
      </c>
      <c r="AM33" s="172" t="s">
        <v>1435</v>
      </c>
      <c r="AN33" s="177" t="s">
        <v>1436</v>
      </c>
      <c r="AO33" s="115">
        <v>27.0</v>
      </c>
      <c r="AP33" s="116" t="s">
        <v>1437</v>
      </c>
      <c r="AQ33" s="172" t="s">
        <v>1438</v>
      </c>
      <c r="AR33" s="177" t="s">
        <v>1439</v>
      </c>
      <c r="AS33" s="115"/>
      <c r="AT33" s="116"/>
      <c r="AU33" s="172"/>
      <c r="AV33" s="177"/>
      <c r="AW33" s="130"/>
      <c r="AX33" s="130"/>
    </row>
    <row r="34">
      <c r="A34" s="115">
        <v>28.0</v>
      </c>
      <c r="B34" s="128" t="s">
        <v>1440</v>
      </c>
      <c r="C34" s="141" t="s">
        <v>1441</v>
      </c>
      <c r="D34" s="130" t="s">
        <v>1097</v>
      </c>
      <c r="E34" s="115">
        <v>28.0</v>
      </c>
      <c r="F34" s="171" t="s">
        <v>1442</v>
      </c>
      <c r="G34" s="141" t="s">
        <v>1443</v>
      </c>
      <c r="H34" s="140" t="s">
        <v>1100</v>
      </c>
      <c r="I34" s="115">
        <v>28.0</v>
      </c>
      <c r="J34" s="116" t="s">
        <v>1444</v>
      </c>
      <c r="K34" s="172" t="s">
        <v>1445</v>
      </c>
      <c r="L34" s="177" t="s">
        <v>1425</v>
      </c>
      <c r="M34" s="115">
        <v>28.0</v>
      </c>
      <c r="N34" s="128" t="str">
        <f>IFERROR(__xludf.DUMMYFUNCTION("GOOGLETRANSLATE(B34,""zh-tw"",""zh"")"),"撒娇吧-和妹妹亲吻")</f>
        <v>撒娇吧-和妹妹亲吻</v>
      </c>
      <c r="O34" s="141" t="str">
        <f>IFERROR(__xludf.DUMMYFUNCTION("GOOGLETRANSLATE(C34,""zh-tw"",""zh"")"),"于""向妹妹撒娇吧""中，选择和妹妹亲吻")</f>
        <v>于"向妹妹撒娇吧"中，选择和妹妹亲吻</v>
      </c>
      <c r="P34" s="140" t="str">
        <f>IFERROR(__xludf.DUMMYFUNCTION("GOOGLETRANSLATE(D34,""zh-tw"",""zh"")"),"未实装")</f>
        <v>未实装</v>
      </c>
      <c r="Q34" s="115">
        <v>28.0</v>
      </c>
      <c r="R34" s="154" t="str">
        <f>IFERROR(__xludf.DUMMYFUNCTION("GOOGLETRANSLATE(B34,""zh-tw"",""es-MX"")"),"Sé cariñosa: besa a tu hermana.")</f>
        <v>Sé cariñosa: besa a tu hermana.</v>
      </c>
      <c r="S34" s="155" t="str">
        <f>IFERROR(__xludf.DUMMYFUNCTION("GOOGLETRANSLATE(C34,""zh-tw"",""es-MX"")"),"En el escenario ""Sé cariñoso con tu hermana"", elige besar a tu hermana.")</f>
        <v>En el escenario "Sé cariñoso con tu hermana", elige besar a tu hermana.</v>
      </c>
      <c r="T34" s="156" t="str">
        <f>IFERROR(__xludf.DUMMYFUNCTION("GOOGLETRANSLATE(D34,""zh-tw"",""es-MX"")"),"No implementado")</f>
        <v>No implementado</v>
      </c>
      <c r="U34" s="115">
        <v>28.0</v>
      </c>
      <c r="V34" s="171" t="str">
        <f>IFERROR(__xludf.DUMMYFUNCTION("GOOGLETRANSLATE(B34,""zh-tw"",""KO"")"),"애정을 표현하세요 - 여동생에게 뽀뽀해 주세요")</f>
        <v>애정을 표현하세요 - 여동생에게 뽀뽀해 주세요</v>
      </c>
      <c r="W34" s="141" t="str">
        <f>IFERROR(__xludf.DUMMYFUNCTION("GOOGLETRANSLATE(C34,""zh-tw"",""KO"")"),"""여동생에게 애정을 표현하세요"" 시나리오에서 여동생에게 키스하는 것을 선택하세요.")</f>
        <v>"여동생에게 애정을 표현하세요" 시나리오에서 여동생에게 키스하는 것을 선택하세요.</v>
      </c>
      <c r="X34" s="140" t="str">
        <f>IFERROR(__xludf.DUMMYFUNCTION("GOOGLETRANSLATE(D34,""zh-tw"",""KO"")"),"구현되지 않음")</f>
        <v>구현되지 않음</v>
      </c>
      <c r="Y34" s="115">
        <v>28.0</v>
      </c>
      <c r="Z34" s="161" t="s">
        <v>1446</v>
      </c>
      <c r="AA34" s="162" t="s">
        <v>1447</v>
      </c>
      <c r="AB34" s="142" t="s">
        <v>1428</v>
      </c>
      <c r="AC34" s="115">
        <v>28.0</v>
      </c>
      <c r="AD34" s="150" t="s">
        <v>1448</v>
      </c>
      <c r="AE34" s="173" t="s">
        <v>1449</v>
      </c>
      <c r="AF34" s="178" t="s">
        <v>1115</v>
      </c>
      <c r="AG34" s="125">
        <v>28.0</v>
      </c>
      <c r="AH34" s="147" t="s">
        <v>1450</v>
      </c>
      <c r="AI34" s="175" t="s">
        <v>1451</v>
      </c>
      <c r="AJ34" s="6" t="s">
        <v>1433</v>
      </c>
      <c r="AK34" s="115">
        <v>28.0</v>
      </c>
      <c r="AL34" s="176" t="s">
        <v>1452</v>
      </c>
      <c r="AM34" s="172" t="s">
        <v>1453</v>
      </c>
      <c r="AN34" s="177" t="s">
        <v>1436</v>
      </c>
      <c r="AO34" s="115">
        <v>28.0</v>
      </c>
      <c r="AP34" s="116" t="s">
        <v>1454</v>
      </c>
      <c r="AQ34" s="172" t="s">
        <v>1455</v>
      </c>
      <c r="AR34" s="177" t="s">
        <v>1439</v>
      </c>
      <c r="AS34" s="115"/>
      <c r="AT34" s="116"/>
      <c r="AU34" s="172"/>
      <c r="AV34" s="177"/>
      <c r="AW34" s="130"/>
      <c r="AX34" s="130"/>
    </row>
    <row r="35">
      <c r="A35" s="115">
        <v>29.0</v>
      </c>
      <c r="B35" s="128" t="s">
        <v>1456</v>
      </c>
      <c r="C35" s="141" t="s">
        <v>1457</v>
      </c>
      <c r="D35" s="130" t="s">
        <v>1458</v>
      </c>
      <c r="E35" s="115">
        <v>29.0</v>
      </c>
      <c r="F35" s="171" t="s">
        <v>1459</v>
      </c>
      <c r="G35" s="141" t="s">
        <v>1460</v>
      </c>
      <c r="H35" s="140" t="s">
        <v>1461</v>
      </c>
      <c r="I35" s="115">
        <v>29.0</v>
      </c>
      <c r="J35" s="116" t="s">
        <v>1462</v>
      </c>
      <c r="K35" s="172" t="s">
        <v>1463</v>
      </c>
      <c r="L35" s="177" t="s">
        <v>1464</v>
      </c>
      <c r="M35" s="115">
        <v>29.0</v>
      </c>
      <c r="N35" s="128" t="str">
        <f>IFERROR(__xludf.DUMMYFUNCTION("GOOGLETRANSLATE(B35,""zh-tw"",""zh"")"),"撒娇吧-妹妹的膝枕")</f>
        <v>撒娇吧-妹妹的膝枕</v>
      </c>
      <c r="O35" s="141" t="str">
        <f>IFERROR(__xludf.DUMMYFUNCTION("GOOGLETRANSLATE(C35,""zh-tw"",""zh"")"),"于""向妹妹撒娇吧""中，选择妹妹的膝枕，使用""妹妹使用券""即可触发")</f>
        <v>于"向妹妹撒娇吧"中，选择妹妹的膝枕，使用"妹妹使用券"即可触发</v>
      </c>
      <c r="P35" s="140" t="str">
        <f>IFERROR(__xludf.DUMMYFUNCTION("GOOGLETRANSLATE(D35,""zh-tw"",""zh"")"),"触发剧情
(目前版本必须使用道具，无法平时触发)")</f>
        <v>触发剧情
(目前版本必须使用道具，无法平时触发)</v>
      </c>
      <c r="Q35" s="115">
        <v>29.0</v>
      </c>
      <c r="R35" s="154" t="str">
        <f>IFERROR(__xludf.DUMMYFUNCTION("GOOGLETRANSLATE(B35,""zh-tw"",""es-MX"")"),"Sé linda: la almohada para el regazo de la hermanita")</f>
        <v>Sé linda: la almohada para el regazo de la hermanita</v>
      </c>
      <c r="S35" s="155" t="str">
        <f>IFERROR(__xludf.DUMMYFUNCTION("GOOGLETRANSLATE(C35,""zh-tw"",""es-MX"")"),"En el evento ""Sé adorable con tu hermana"", selecciona la almohada de regazo de tu hermana y usa un ""Cupón de uso para hermanas"" para activar el evento.")</f>
        <v>En el evento "Sé adorable con tu hermana", selecciona la almohada de regazo de tu hermana y usa un "Cupón de uso para hermanas" para activar el evento.</v>
      </c>
      <c r="T35" s="156" t="str">
        <f>IFERROR(__xludf.DUMMYFUNCTION("GOOGLETRANSLATE(D35,""zh-tw"",""es-MX"")"),"Activar el evento
(Actualmente, esto requiere el uso de un objeto y no se puede activar de forma normal).")</f>
        <v>Activar el evento
(Actualmente, esto requiere el uso de un objeto y no se puede activar de forma normal).</v>
      </c>
      <c r="U35" s="115">
        <v>29.0</v>
      </c>
      <c r="V35" s="171" t="str">
        <f>IFERROR(__xludf.DUMMYFUNCTION("GOOGLETRANSLATE(B35,""zh-tw"",""KO"")"),"귀여워라 - 여동생 무릎베개")</f>
        <v>귀여워라 - 여동생 무릎베개</v>
      </c>
      <c r="W35" s="141" t="str">
        <f>IFERROR(__xludf.DUMMYFUNCTION("GOOGLETRANSLATE(C35,""zh-tw"",""KO"")"),"""여동생에게 귀엽게 대해줘"" 이벤트에서 여동생의 무릎베개를 선택하고 ""여동생 사용 쿠폰""을 사용하면 이벤트가 발생합니다.")</f>
        <v>"여동생에게 귀엽게 대해줘" 이벤트에서 여동생의 무릎베개를 선택하고 "여동생 사용 쿠폰"을 사용하면 이벤트가 발생합니다.</v>
      </c>
      <c r="X35" s="140" t="str">
        <f>IFERROR(__xludf.DUMMYFUNCTION("GOOGLETRANSLATE(D35,""zh-tw"",""KO"")"),"이벤트 발생
(현재는 아이템을 사용해야 하며, 일반적인 방법으로는 발생시킬 수 없습니다.)")</f>
        <v>이벤트 발생
(현재는 아이템을 사용해야 하며, 일반적인 방법으로는 발생시킬 수 없습니다.)</v>
      </c>
      <c r="Y35" s="115">
        <v>29.0</v>
      </c>
      <c r="Z35" s="161" t="s">
        <v>1465</v>
      </c>
      <c r="AA35" s="162" t="s">
        <v>1466</v>
      </c>
      <c r="AB35" s="142" t="s">
        <v>1467</v>
      </c>
      <c r="AC35" s="115">
        <v>29.0</v>
      </c>
      <c r="AD35" s="150" t="s">
        <v>1468</v>
      </c>
      <c r="AE35" s="173" t="s">
        <v>1469</v>
      </c>
      <c r="AF35" s="178" t="s">
        <v>1470</v>
      </c>
      <c r="AG35" s="125">
        <v>29.0</v>
      </c>
      <c r="AH35" s="147" t="s">
        <v>1471</v>
      </c>
      <c r="AI35" s="175" t="s">
        <v>1472</v>
      </c>
      <c r="AJ35" s="6" t="s">
        <v>1473</v>
      </c>
      <c r="AK35" s="115">
        <v>29.0</v>
      </c>
      <c r="AL35" s="176" t="s">
        <v>1474</v>
      </c>
      <c r="AM35" s="172" t="s">
        <v>1475</v>
      </c>
      <c r="AN35" s="177" t="s">
        <v>1476</v>
      </c>
      <c r="AO35" s="115">
        <v>29.0</v>
      </c>
      <c r="AP35" s="116" t="s">
        <v>1477</v>
      </c>
      <c r="AQ35" s="172" t="s">
        <v>1478</v>
      </c>
      <c r="AR35" s="177" t="s">
        <v>1479</v>
      </c>
      <c r="AS35" s="115"/>
      <c r="AT35" s="116"/>
      <c r="AU35" s="172"/>
      <c r="AV35" s="177"/>
      <c r="AW35" s="130"/>
      <c r="AX35" s="130"/>
    </row>
    <row r="36">
      <c r="A36" s="180"/>
      <c r="B36" s="181"/>
      <c r="C36" s="181"/>
      <c r="D36" s="181"/>
      <c r="E36" s="180"/>
      <c r="F36" s="181"/>
      <c r="G36" s="181"/>
      <c r="H36" s="181"/>
      <c r="I36" s="180"/>
      <c r="J36" s="181"/>
      <c r="K36" s="181"/>
      <c r="L36" s="181"/>
      <c r="M36" s="180"/>
      <c r="N36" s="181"/>
      <c r="O36" s="70"/>
      <c r="P36" s="70"/>
      <c r="Q36" s="180"/>
      <c r="R36" s="70"/>
      <c r="S36" s="181"/>
      <c r="T36" s="70"/>
      <c r="U36" s="180"/>
      <c r="V36" s="70"/>
      <c r="W36" s="70"/>
      <c r="X36" s="70"/>
      <c r="Y36" s="182"/>
      <c r="Z36" s="183"/>
      <c r="AA36" s="183"/>
      <c r="AB36" s="183"/>
      <c r="AC36" s="180"/>
      <c r="AD36" s="181"/>
      <c r="AE36" s="181"/>
      <c r="AF36" s="181"/>
      <c r="AG36" s="184"/>
      <c r="AH36" s="184"/>
      <c r="AI36" s="185"/>
      <c r="AJ36" s="185"/>
      <c r="AK36" s="186"/>
      <c r="AL36" s="186"/>
      <c r="AM36" s="186"/>
      <c r="AN36" s="186"/>
      <c r="AO36" s="186"/>
      <c r="AP36" s="186"/>
      <c r="AQ36" s="186"/>
      <c r="AR36" s="186"/>
      <c r="AS36" s="186"/>
      <c r="AT36" s="186"/>
      <c r="AU36" s="186"/>
      <c r="AV36" s="186"/>
      <c r="AW36" s="181"/>
      <c r="AX36" s="181"/>
    </row>
    <row r="37">
      <c r="A37" s="111" t="s">
        <v>1480</v>
      </c>
      <c r="B37" s="112" t="s">
        <v>1481</v>
      </c>
      <c r="E37" s="111" t="s">
        <v>1480</v>
      </c>
      <c r="F37" s="111" t="s">
        <v>1482</v>
      </c>
      <c r="I37" s="111" t="s">
        <v>1480</v>
      </c>
      <c r="J37" s="111" t="s">
        <v>1483</v>
      </c>
      <c r="M37" s="111" t="s">
        <v>1480</v>
      </c>
      <c r="N37" s="112" t="str">
        <f>IFERROR(__xludf.DUMMYFUNCTION("GOOGLETRANSLATE(B37,""zh-tw"",""zh"")"),"厕所相关")</f>
        <v>厕所相关</v>
      </c>
      <c r="Q37" s="111" t="s">
        <v>1480</v>
      </c>
      <c r="R37" s="111" t="s">
        <v>1484</v>
      </c>
      <c r="U37" s="111" t="s">
        <v>1480</v>
      </c>
      <c r="V37" s="111" t="s">
        <v>1485</v>
      </c>
      <c r="Y37" s="112" t="s">
        <v>1480</v>
      </c>
      <c r="Z37" s="112" t="s">
        <v>1486</v>
      </c>
      <c r="AC37" s="111" t="s">
        <v>1480</v>
      </c>
      <c r="AD37" s="187" t="s">
        <v>1487</v>
      </c>
      <c r="AG37" s="188" t="s">
        <v>1480</v>
      </c>
      <c r="AH37" s="114" t="s">
        <v>1488</v>
      </c>
      <c r="AK37" s="112" t="s">
        <v>1480</v>
      </c>
      <c r="AL37" s="111" t="s">
        <v>1489</v>
      </c>
      <c r="AO37" s="111" t="s">
        <v>1480</v>
      </c>
      <c r="AP37" s="111" t="s">
        <v>1490</v>
      </c>
      <c r="AS37" s="111"/>
      <c r="AT37" s="111"/>
      <c r="AW37" s="112"/>
      <c r="AX37" s="112"/>
    </row>
    <row r="38">
      <c r="A38" s="115">
        <v>1.0</v>
      </c>
      <c r="B38" s="116" t="s">
        <v>1491</v>
      </c>
      <c r="C38" s="117" t="s">
        <v>1492</v>
      </c>
      <c r="D38" s="118" t="s">
        <v>1493</v>
      </c>
      <c r="E38" s="115">
        <v>1.0</v>
      </c>
      <c r="F38" s="116" t="s">
        <v>1494</v>
      </c>
      <c r="G38" s="117" t="s">
        <v>1495</v>
      </c>
      <c r="H38" s="118" t="s">
        <v>1496</v>
      </c>
      <c r="I38" s="115">
        <v>1.0</v>
      </c>
      <c r="J38" s="116" t="s">
        <v>1497</v>
      </c>
      <c r="K38" s="117" t="s">
        <v>1498</v>
      </c>
      <c r="L38" s="118" t="s">
        <v>1499</v>
      </c>
      <c r="M38" s="115">
        <v>1.0</v>
      </c>
      <c r="N38" s="116" t="str">
        <f>IFERROR(__xludf.DUMMYFUNCTION("GOOGLETRANSLATE(B38,""zh-tw"",""zh"")"),"哥要加油")</f>
        <v>哥要加油</v>
      </c>
      <c r="O38" s="121" t="str">
        <f>IFERROR(__xludf.DUMMYFUNCTION("GOOGLETRANSLATE(C38,""zh-tw"",""zh"")"),"于厕所待的时间过长，并持续N天")</f>
        <v>于厕所待的时间过长，并持续N天</v>
      </c>
      <c r="P38" s="82" t="s">
        <v>1500</v>
      </c>
      <c r="Q38" s="115">
        <v>1.0</v>
      </c>
      <c r="R38" s="116" t="s">
        <v>1501</v>
      </c>
      <c r="S38" s="119" t="s">
        <v>1502</v>
      </c>
      <c r="T38" s="82" t="str">
        <f>IFERROR(__xludf.DUMMYFUNCTION("GOOGLETRANSLATE(D38,""zh-tw"",""es-MX"")"),"Alrededor del cuarto día, la hermana menor malinterpretará la situación y pensará que el hermano mayor está enfermo. (No hay más detalles sobre el juego disponibles).")</f>
        <v>Alrededor del cuarto día, la hermana menor malinterpretará la situación y pensará que el hermano mayor está enfermo. (No hay más detalles sobre el juego disponibles).</v>
      </c>
      <c r="U38" s="115">
        <v>1.0</v>
      </c>
      <c r="V38" s="132" t="s">
        <v>1503</v>
      </c>
      <c r="W38" s="121" t="s">
        <v>1504</v>
      </c>
      <c r="X38" s="82" t="s">
        <v>1505</v>
      </c>
      <c r="Y38" s="115">
        <v>1.0</v>
      </c>
      <c r="Z38" s="122" t="s">
        <v>1506</v>
      </c>
      <c r="AA38" s="123" t="s">
        <v>1507</v>
      </c>
      <c r="AB38" s="124" t="s">
        <v>1508</v>
      </c>
      <c r="AC38" s="115">
        <v>1.0</v>
      </c>
      <c r="AD38" s="116" t="s">
        <v>1509</v>
      </c>
      <c r="AE38" s="117" t="s">
        <v>1510</v>
      </c>
      <c r="AF38" s="118" t="s">
        <v>1511</v>
      </c>
      <c r="AG38" s="125">
        <v>1.0</v>
      </c>
      <c r="AH38" s="126" t="s">
        <v>1512</v>
      </c>
      <c r="AI38" s="149" t="s">
        <v>1513</v>
      </c>
      <c r="AJ38" s="148" t="s">
        <v>1514</v>
      </c>
      <c r="AK38" s="115">
        <v>1.0</v>
      </c>
      <c r="AL38" s="128" t="s">
        <v>1515</v>
      </c>
      <c r="AM38" s="141" t="s">
        <v>1516</v>
      </c>
      <c r="AN38" s="130" t="s">
        <v>1517</v>
      </c>
      <c r="AO38" s="115">
        <v>1.0</v>
      </c>
      <c r="AP38" s="120" t="s">
        <v>1518</v>
      </c>
      <c r="AQ38" s="117" t="s">
        <v>1519</v>
      </c>
      <c r="AR38" s="79" t="s">
        <v>1520</v>
      </c>
      <c r="AS38" s="115"/>
      <c r="AT38" s="120"/>
      <c r="AU38" s="117"/>
      <c r="AV38" s="79"/>
      <c r="AW38" s="118"/>
      <c r="AX38" s="118"/>
    </row>
    <row r="39">
      <c r="A39" s="153">
        <v>2.0</v>
      </c>
      <c r="B39" s="116" t="s">
        <v>1521</v>
      </c>
      <c r="C39" s="117" t="s">
        <v>1522</v>
      </c>
      <c r="D39" s="118" t="s">
        <v>1523</v>
      </c>
      <c r="E39" s="153">
        <v>2.0</v>
      </c>
      <c r="F39" s="116" t="s">
        <v>1524</v>
      </c>
      <c r="G39" s="117" t="s">
        <v>1525</v>
      </c>
      <c r="H39" s="118" t="s">
        <v>1526</v>
      </c>
      <c r="I39" s="153">
        <v>2.0</v>
      </c>
      <c r="J39" s="116" t="s">
        <v>1527</v>
      </c>
      <c r="K39" s="117" t="s">
        <v>1528</v>
      </c>
      <c r="L39" s="118" t="s">
        <v>1529</v>
      </c>
      <c r="M39" s="153">
        <v>2.0</v>
      </c>
      <c r="N39" s="116" t="str">
        <f>IFERROR(__xludf.DUMMYFUNCTION("GOOGLETRANSLATE(B39,""zh-tw"",""zh"")"),"发情的妹妹-1")</f>
        <v>发情的妹妹-1</v>
      </c>
      <c r="O39" s="121" t="str">
        <f>IFERROR(__xludf.DUMMYFUNCTION("GOOGLETRANSLATE(C39,""zh-tw"",""zh"")"),"「喝点什么」给妹妹喂「粉色金平糖」后，第一次必定触发，然后请点选空白处回到召唤妹妹的画面，会触发剧情
(其他出现糖的场合，目前只是单纯的过场)")</f>
        <v>「喝点什么」给妹妹喂「粉色金平糖」后，第一次必定触发，然后请点选空白处回到召唤妹妹的画面，会触发剧情
(其他出现糖的场合，目前只是单纯的过场)</v>
      </c>
      <c r="P39" s="82" t="str">
        <f>IFERROR(__xludf.DUMMYFUNCTION("GOOGLETRANSLATE(D39,""zh-tw"",""zh"")"),"触发妹妹在厕所解决需求的剧情
不同紫心会有差别演出
另外在发情的状态下，平常时会有不同的对话、亲密接触等")</f>
        <v>触发妹妹在厕所解决需求的剧情
不同紫心会有差别演出
另外在发情的状态下，平常时会有不同的对话、亲密接触等</v>
      </c>
      <c r="Q39" s="153">
        <v>2.0</v>
      </c>
      <c r="R39" s="116" t="s">
        <v>1530</v>
      </c>
      <c r="S39" s="121" t="s">
        <v>1531</v>
      </c>
      <c r="T39" s="82" t="s">
        <v>1532</v>
      </c>
      <c r="U39" s="153">
        <v>2.0</v>
      </c>
      <c r="V39" s="120" t="s">
        <v>1533</v>
      </c>
      <c r="W39" s="119" t="s">
        <v>1534</v>
      </c>
      <c r="X39" s="79" t="s">
        <v>1535</v>
      </c>
      <c r="Y39" s="115">
        <v>2.0</v>
      </c>
      <c r="Z39" s="122" t="s">
        <v>1536</v>
      </c>
      <c r="AA39" s="123" t="s">
        <v>1537</v>
      </c>
      <c r="AB39" s="124" t="s">
        <v>1538</v>
      </c>
      <c r="AC39" s="153">
        <v>2.0</v>
      </c>
      <c r="AD39" s="120" t="s">
        <v>1539</v>
      </c>
      <c r="AE39" s="117" t="s">
        <v>1540</v>
      </c>
      <c r="AF39" s="118" t="s">
        <v>1541</v>
      </c>
      <c r="AG39" s="163">
        <v>2.0</v>
      </c>
      <c r="AH39" s="126" t="s">
        <v>1542</v>
      </c>
      <c r="AI39" s="145" t="s">
        <v>1543</v>
      </c>
      <c r="AJ39" s="148" t="s">
        <v>1544</v>
      </c>
      <c r="AK39" s="115">
        <v>2.0</v>
      </c>
      <c r="AL39" s="128" t="s">
        <v>1545</v>
      </c>
      <c r="AM39" s="141" t="s">
        <v>1546</v>
      </c>
      <c r="AN39" s="140" t="s">
        <v>1547</v>
      </c>
      <c r="AO39" s="115">
        <v>2.0</v>
      </c>
      <c r="AP39" s="120" t="s">
        <v>1548</v>
      </c>
      <c r="AQ39" s="117" t="s">
        <v>1549</v>
      </c>
      <c r="AR39" s="79" t="s">
        <v>1550</v>
      </c>
      <c r="AS39" s="115"/>
      <c r="AT39" s="120"/>
      <c r="AU39" s="117"/>
      <c r="AV39" s="79"/>
      <c r="AW39" s="118"/>
      <c r="AX39" s="118"/>
    </row>
    <row r="40">
      <c r="A40" s="115">
        <v>3.0</v>
      </c>
      <c r="B40" s="116" t="s">
        <v>1551</v>
      </c>
      <c r="C40" s="117" t="s">
        <v>1552</v>
      </c>
      <c r="D40" s="118" t="s">
        <v>1553</v>
      </c>
      <c r="E40" s="115">
        <v>3.0</v>
      </c>
      <c r="F40" s="116" t="s">
        <v>1554</v>
      </c>
      <c r="G40" s="117" t="s">
        <v>1555</v>
      </c>
      <c r="H40" s="118" t="s">
        <v>1556</v>
      </c>
      <c r="I40" s="115">
        <v>3.0</v>
      </c>
      <c r="J40" s="116" t="s">
        <v>1557</v>
      </c>
      <c r="K40" s="119" t="s">
        <v>1558</v>
      </c>
      <c r="L40" s="118" t="s">
        <v>1559</v>
      </c>
      <c r="M40" s="115">
        <v>3.0</v>
      </c>
      <c r="N40" s="116" t="str">
        <f>IFERROR(__xludf.DUMMYFUNCTION("GOOGLETRANSLATE(B40,""zh-tw"",""zh"")"),"发情的妹妹-2")</f>
        <v>发情的妹妹-2</v>
      </c>
      <c r="O40" s="121" t="str">
        <f>IFERROR(__xludf.DUMMYFUNCTION("GOOGLETRANSLATE(C40,""zh-tw"",""zh"")"),"承上，当紫心达到一定程度后，哥哥能进入并且让妹妹服务。")</f>
        <v>承上，当紫心达到一定程度后，哥哥能进入并且让妹妹服务。</v>
      </c>
      <c r="P40" s="82" t="str">
        <f>IFERROR(__xludf.DUMMYFUNCTION("GOOGLETRANSLATE(D40,""zh-tw"",""zh"")"),"使用手部进行特殊剧情")</f>
        <v>使用手部进行特殊剧情</v>
      </c>
      <c r="Q40" s="115">
        <v>3.0</v>
      </c>
      <c r="R40" s="132" t="s">
        <v>1560</v>
      </c>
      <c r="S40" s="117" t="s">
        <v>1561</v>
      </c>
      <c r="T40" s="82" t="s">
        <v>1562</v>
      </c>
      <c r="U40" s="115">
        <v>3.0</v>
      </c>
      <c r="V40" s="120" t="s">
        <v>1563</v>
      </c>
      <c r="W40" s="119" t="s">
        <v>1564</v>
      </c>
      <c r="X40" s="79" t="s">
        <v>1565</v>
      </c>
      <c r="Y40" s="115">
        <v>3.0</v>
      </c>
      <c r="Z40" s="122" t="s">
        <v>1566</v>
      </c>
      <c r="AA40" s="123" t="s">
        <v>1567</v>
      </c>
      <c r="AB40" s="124" t="s">
        <v>1568</v>
      </c>
      <c r="AC40" s="115">
        <v>3.0</v>
      </c>
      <c r="AD40" s="120" t="s">
        <v>1569</v>
      </c>
      <c r="AE40" s="117" t="s">
        <v>1570</v>
      </c>
      <c r="AF40" s="118" t="s">
        <v>1571</v>
      </c>
      <c r="AG40" s="125">
        <v>3.0</v>
      </c>
      <c r="AH40" s="126" t="s">
        <v>1572</v>
      </c>
      <c r="AI40" s="145" t="s">
        <v>1573</v>
      </c>
      <c r="AJ40" s="148" t="s">
        <v>1574</v>
      </c>
      <c r="AK40" s="115">
        <v>3.0</v>
      </c>
      <c r="AL40" s="128" t="s">
        <v>1575</v>
      </c>
      <c r="AM40" s="141" t="s">
        <v>1576</v>
      </c>
      <c r="AN40" s="130" t="s">
        <v>1577</v>
      </c>
      <c r="AO40" s="115">
        <v>3.0</v>
      </c>
      <c r="AP40" s="120" t="s">
        <v>1578</v>
      </c>
      <c r="AQ40" s="119" t="s">
        <v>1579</v>
      </c>
      <c r="AR40" s="118" t="s">
        <v>1580</v>
      </c>
      <c r="AS40" s="115"/>
      <c r="AT40" s="120"/>
      <c r="AU40" s="119"/>
      <c r="AV40" s="118"/>
      <c r="AW40" s="118"/>
      <c r="AX40" s="118"/>
    </row>
    <row r="41">
      <c r="A41" s="153">
        <v>4.0</v>
      </c>
      <c r="B41" s="116" t="s">
        <v>1581</v>
      </c>
      <c r="C41" s="117" t="s">
        <v>1582</v>
      </c>
      <c r="D41" s="79" t="s">
        <v>1583</v>
      </c>
      <c r="E41" s="153">
        <v>4.0</v>
      </c>
      <c r="F41" s="116" t="s">
        <v>1584</v>
      </c>
      <c r="G41" s="117" t="s">
        <v>1585</v>
      </c>
      <c r="H41" s="118" t="s">
        <v>1586</v>
      </c>
      <c r="I41" s="153">
        <v>4.0</v>
      </c>
      <c r="J41" s="116" t="s">
        <v>1587</v>
      </c>
      <c r="K41" s="117" t="s">
        <v>1588</v>
      </c>
      <c r="L41" s="79" t="s">
        <v>1589</v>
      </c>
      <c r="M41" s="153">
        <v>4.0</v>
      </c>
      <c r="N41" s="116" t="str">
        <f>IFERROR(__xludf.DUMMYFUNCTION("GOOGLETRANSLATE(B41,""zh-tw"",""zh"")"),"发情的妹妹-3")</f>
        <v>发情的妹妹-3</v>
      </c>
      <c r="O41" s="121" t="str">
        <f>IFERROR(__xludf.DUMMYFUNCTION("GOOGLETRANSLATE(C41,""zh-tw"",""zh"")"),"承第1点，若此时遇到蟑螂的突击，触发一种分歧")</f>
        <v>承第1点，若此时遇到蟑螂的突击，触发一种分歧</v>
      </c>
      <c r="P41" s="82" t="str">
        <f>IFERROR(__xludf.DUMMYFUNCTION("GOOGLETRANSLATE(D41,""zh-tw"",""zh"")"),"触发打蟑螂剧情
备注：无须发现Z的前置操作
(未实装)")</f>
        <v>触发打蟑螂剧情
备注：无须发现Z的前置操作
(未实装)</v>
      </c>
      <c r="Q41" s="153">
        <v>4.0</v>
      </c>
      <c r="R41" s="132" t="s">
        <v>1590</v>
      </c>
      <c r="S41" s="117" t="s">
        <v>1591</v>
      </c>
      <c r="T41" s="82" t="s">
        <v>1592</v>
      </c>
      <c r="U41" s="153">
        <v>4.0</v>
      </c>
      <c r="V41" s="120" t="s">
        <v>1593</v>
      </c>
      <c r="W41" s="119" t="s">
        <v>1594</v>
      </c>
      <c r="X41" s="79" t="s">
        <v>1595</v>
      </c>
      <c r="Y41" s="115">
        <v>4.0</v>
      </c>
      <c r="Z41" s="122" t="s">
        <v>1596</v>
      </c>
      <c r="AA41" s="123" t="s">
        <v>1597</v>
      </c>
      <c r="AB41" s="124" t="s">
        <v>1598</v>
      </c>
      <c r="AC41" s="153">
        <v>4.0</v>
      </c>
      <c r="AD41" s="120" t="s">
        <v>1599</v>
      </c>
      <c r="AE41" s="117" t="s">
        <v>1600</v>
      </c>
      <c r="AF41" s="118" t="s">
        <v>1601</v>
      </c>
      <c r="AG41" s="163">
        <v>4.0</v>
      </c>
      <c r="AH41" s="126" t="s">
        <v>1602</v>
      </c>
      <c r="AI41" s="149" t="s">
        <v>1603</v>
      </c>
      <c r="AJ41" s="146" t="s">
        <v>1604</v>
      </c>
      <c r="AK41" s="115">
        <v>4.0</v>
      </c>
      <c r="AL41" s="128" t="s">
        <v>1605</v>
      </c>
      <c r="AM41" s="129" t="s">
        <v>1606</v>
      </c>
      <c r="AN41" s="130" t="s">
        <v>1607</v>
      </c>
      <c r="AO41" s="115">
        <v>4.0</v>
      </c>
      <c r="AP41" s="120" t="s">
        <v>1608</v>
      </c>
      <c r="AQ41" s="119" t="s">
        <v>1609</v>
      </c>
      <c r="AR41" s="79" t="s">
        <v>1610</v>
      </c>
      <c r="AS41" s="115"/>
      <c r="AT41" s="120"/>
      <c r="AU41" s="119"/>
      <c r="AV41" s="79"/>
      <c r="AW41" s="79"/>
      <c r="AX41" s="79"/>
    </row>
    <row r="42">
      <c r="A42" s="115">
        <v>5.0</v>
      </c>
      <c r="B42" s="116" t="s">
        <v>1611</v>
      </c>
      <c r="C42" s="117" t="s">
        <v>1612</v>
      </c>
      <c r="D42" s="118" t="s">
        <v>1613</v>
      </c>
      <c r="E42" s="115">
        <v>5.0</v>
      </c>
      <c r="F42" s="116" t="s">
        <v>1614</v>
      </c>
      <c r="G42" s="117" t="s">
        <v>1615</v>
      </c>
      <c r="H42" s="118" t="s">
        <v>1616</v>
      </c>
      <c r="I42" s="115">
        <v>5.0</v>
      </c>
      <c r="J42" s="116" t="s">
        <v>1617</v>
      </c>
      <c r="K42" s="117" t="s">
        <v>1618</v>
      </c>
      <c r="L42" s="118" t="s">
        <v>1619</v>
      </c>
      <c r="M42" s="115">
        <v>5.0</v>
      </c>
      <c r="N42" s="116" t="str">
        <f>IFERROR(__xludf.DUMMYFUNCTION("GOOGLETRANSLATE(B42,""zh-tw"",""zh"")"),"憋不住了-1")</f>
        <v>憋不住了-1</v>
      </c>
      <c r="O42" s="119" t="s">
        <v>1620</v>
      </c>
      <c r="P42" s="82" t="str">
        <f>IFERROR(__xludf.DUMMYFUNCTION("GOOGLETRANSLATE(D42,""zh-tw"",""zh"")"),"一段时间后强制触发腹泻事件，大量损失体力并减少夜晚的自由活动时间。
还有机率同时触发妹妹的憋尿事件。")</f>
        <v>一段时间后强制触发腹泻事件，大量损失体力并减少夜晚的自由活动时间。
还有机率同时触发妹妹的憋尿事件。</v>
      </c>
      <c r="Q42" s="115">
        <v>5.0</v>
      </c>
      <c r="R42" s="116" t="s">
        <v>1621</v>
      </c>
      <c r="S42" s="121" t="str">
        <f>IFERROR(__xludf.DUMMYFUNCTION("GOOGLETRANSLATE(C42,""zh-tw"",""es-MX"")"),"Algunos ingredientes (como la basura, las setas lila y las setas de luna) tienen una probabilidad significativa de causar intoxicación alimentaria a mi hermano cuando se cocinan.")</f>
        <v>Algunos ingredientes (como la basura, las setas lila y las setas de luna) tienen una probabilidad significativa de causar intoxicación alimentaria a mi hermano cuando se cocinan.</v>
      </c>
      <c r="T42" s="82" t="str">
        <f>IFERROR(__xludf.DUMMYFUNCTION("GOOGLETRANSLATE(D42,""zh-tw"",""es-MX"")"),"Tras un tiempo, se desencadenará un episodio de diarrea, lo que provocará una importante pérdida de energía y reducirá el tiempo libre durante la noche.
Además, existe la posibilidad de que la hermana menor retenga la orina al mismo tiempo.")</f>
        <v>Tras un tiempo, se desencadenará un episodio de diarrea, lo que provocará una importante pérdida de energía y reducirá el tiempo libre durante la noche.
Además, existe la posibilidad de que la hermana menor retenga la orina al mismo tiempo.</v>
      </c>
      <c r="U42" s="115">
        <v>5.0</v>
      </c>
      <c r="V42" s="120" t="s">
        <v>1622</v>
      </c>
      <c r="W42" s="119" t="s">
        <v>1623</v>
      </c>
      <c r="X42" s="79" t="s">
        <v>1624</v>
      </c>
      <c r="Y42" s="115">
        <v>5.0</v>
      </c>
      <c r="Z42" s="122" t="s">
        <v>1625</v>
      </c>
      <c r="AA42" s="123" t="s">
        <v>1626</v>
      </c>
      <c r="AB42" s="124" t="s">
        <v>1627</v>
      </c>
      <c r="AC42" s="115">
        <v>5.0</v>
      </c>
      <c r="AD42" s="116" t="s">
        <v>1628</v>
      </c>
      <c r="AE42" s="117" t="s">
        <v>1629</v>
      </c>
      <c r="AF42" s="118" t="s">
        <v>1630</v>
      </c>
      <c r="AG42" s="125">
        <v>5.0</v>
      </c>
      <c r="AH42" s="126" t="s">
        <v>1631</v>
      </c>
      <c r="AI42" s="145" t="s">
        <v>1632</v>
      </c>
      <c r="AJ42" s="148" t="s">
        <v>1633</v>
      </c>
      <c r="AK42" s="115">
        <v>5.0</v>
      </c>
      <c r="AL42" s="128" t="s">
        <v>1634</v>
      </c>
      <c r="AM42" s="129" t="s">
        <v>1635</v>
      </c>
      <c r="AN42" s="130" t="s">
        <v>1636</v>
      </c>
      <c r="AO42" s="115">
        <v>5.0</v>
      </c>
      <c r="AP42" s="120" t="s">
        <v>1637</v>
      </c>
      <c r="AQ42" s="117" t="s">
        <v>1638</v>
      </c>
      <c r="AR42" s="79" t="s">
        <v>1639</v>
      </c>
      <c r="AS42" s="115"/>
      <c r="AT42" s="120"/>
      <c r="AU42" s="117"/>
      <c r="AV42" s="79"/>
      <c r="AW42" s="118"/>
      <c r="AX42" s="118"/>
    </row>
    <row r="43">
      <c r="A43" s="153">
        <v>6.0</v>
      </c>
      <c r="B43" s="116" t="s">
        <v>1640</v>
      </c>
      <c r="C43" s="117" t="s">
        <v>1641</v>
      </c>
      <c r="D43" s="118" t="s">
        <v>1642</v>
      </c>
      <c r="E43" s="153">
        <v>6.0</v>
      </c>
      <c r="F43" s="116" t="s">
        <v>1643</v>
      </c>
      <c r="G43" s="117" t="s">
        <v>1644</v>
      </c>
      <c r="H43" s="118" t="s">
        <v>1645</v>
      </c>
      <c r="I43" s="153">
        <v>6.0</v>
      </c>
      <c r="J43" s="116" t="s">
        <v>1646</v>
      </c>
      <c r="K43" s="117" t="s">
        <v>1647</v>
      </c>
      <c r="L43" s="118" t="s">
        <v>1648</v>
      </c>
      <c r="M43" s="153">
        <v>6.0</v>
      </c>
      <c r="N43" s="116" t="str">
        <f>IFERROR(__xludf.DUMMYFUNCTION("GOOGLETRANSLATE(B43,""zh-tw"",""zh"")"),"憋不住了-2")</f>
        <v>憋不住了-2</v>
      </c>
      <c r="O43" s="121" t="str">
        <f>IFERROR(__xludf.DUMMYFUNCTION("GOOGLETRANSLATE(C43,""zh-tw"",""zh"")"),"如果食材还混入了辣椒，会进一步强化腹泻的副作用")</f>
        <v>如果食材还混入了辣椒，会进一步强化腹泻的副作用</v>
      </c>
      <c r="P43" s="82" t="str">
        <f>IFERROR(__xludf.DUMMYFUNCTION("GOOGLETRANSLATE(D43,""zh-tw"",""zh"")"),"隔天冒险时，哥哥会因为屁股痛无法奔跑。
※这个是可透过塔罗牌、胡萝卜牛奶清除的异常状态
※目前版本会一直维持，之后会修改为定时解除")</f>
        <v>隔天冒险时，哥哥会因为屁股痛无法奔跑。
※这个是可透过塔罗牌、胡萝卜牛奶清除的异常状态
※目前版本会一直维持，之后会修改为定时解除</v>
      </c>
      <c r="Q43" s="153">
        <v>6.0</v>
      </c>
      <c r="R43" s="116" t="s">
        <v>1649</v>
      </c>
      <c r="S43" s="121" t="str">
        <f>IFERROR(__xludf.DUMMYFUNCTION("GOOGLETRANSLATE(C43,""zh-tw"",""es-MX"")"),"Si además se añaden chiles a la comida, se agravarán aún más los efectos secundarios de la diarrea.")</f>
        <v>Si además se añaden chiles a la comida, se agravarán aún más los efectos secundarios de la diarrea.</v>
      </c>
      <c r="T43" s="82" t="str">
        <f>IFERROR(__xludf.DUMMYFUNCTION("GOOGLETRANSLATE(D43,""zh-tw"",""es-MX"")"),"Al día siguiente, durante la aventura, el hermano mayor no podrá correr debido a un fuerte dolor en el trasero.
※Este es un estado anormal que se puede eliminar con cartas del tarot y leche de zanahoria.
※En la versión actual, este estado es permanente;"&amp;" más adelante se eliminará temporalmente.")</f>
        <v>Al día siguiente, durante la aventura, el hermano mayor no podrá correr debido a un fuerte dolor en el trasero.
※Este es un estado anormal que se puede eliminar con cartas del tarot y leche de zanahoria.
※En la versión actual, este estado es permanente; más adelante se eliminará temporalmente.</v>
      </c>
      <c r="U43" s="153">
        <v>6.0</v>
      </c>
      <c r="V43" s="120" t="s">
        <v>1650</v>
      </c>
      <c r="W43" s="119" t="s">
        <v>1651</v>
      </c>
      <c r="X43" s="79" t="s">
        <v>1652</v>
      </c>
      <c r="Y43" s="115">
        <v>6.0</v>
      </c>
      <c r="Z43" s="122" t="s">
        <v>1653</v>
      </c>
      <c r="AA43" s="123" t="s">
        <v>1654</v>
      </c>
      <c r="AB43" s="124" t="s">
        <v>1655</v>
      </c>
      <c r="AC43" s="153">
        <v>6.0</v>
      </c>
      <c r="AD43" s="116" t="s">
        <v>1656</v>
      </c>
      <c r="AE43" s="117" t="s">
        <v>1657</v>
      </c>
      <c r="AF43" s="118" t="s">
        <v>1658</v>
      </c>
      <c r="AG43" s="163">
        <v>6.0</v>
      </c>
      <c r="AH43" s="126" t="s">
        <v>1659</v>
      </c>
      <c r="AI43" s="145" t="s">
        <v>1660</v>
      </c>
      <c r="AJ43" s="148" t="s">
        <v>1661</v>
      </c>
      <c r="AK43" s="115">
        <v>6.0</v>
      </c>
      <c r="AL43" s="128" t="s">
        <v>1662</v>
      </c>
      <c r="AM43" s="129" t="s">
        <v>1663</v>
      </c>
      <c r="AN43" s="140" t="s">
        <v>1664</v>
      </c>
      <c r="AO43" s="115">
        <v>6.0</v>
      </c>
      <c r="AP43" s="120" t="s">
        <v>1665</v>
      </c>
      <c r="AQ43" s="117" t="s">
        <v>1666</v>
      </c>
      <c r="AR43" s="79" t="s">
        <v>1667</v>
      </c>
      <c r="AS43" s="115"/>
      <c r="AT43" s="120"/>
      <c r="AU43" s="117"/>
      <c r="AV43" s="79"/>
      <c r="AW43" s="118"/>
      <c r="AX43" s="118"/>
    </row>
    <row r="44">
      <c r="A44" s="115">
        <v>7.0</v>
      </c>
      <c r="B44" s="116" t="s">
        <v>1668</v>
      </c>
      <c r="C44" s="117" t="s">
        <v>1669</v>
      </c>
      <c r="D44" s="118" t="s">
        <v>1097</v>
      </c>
      <c r="E44" s="115">
        <v>7.0</v>
      </c>
      <c r="F44" s="116" t="s">
        <v>1670</v>
      </c>
      <c r="G44" s="117" t="s">
        <v>1671</v>
      </c>
      <c r="H44" s="118" t="s">
        <v>1100</v>
      </c>
      <c r="I44" s="115">
        <v>7.0</v>
      </c>
      <c r="J44" s="116" t="s">
        <v>1672</v>
      </c>
      <c r="K44" s="117" t="s">
        <v>1673</v>
      </c>
      <c r="L44" s="118" t="s">
        <v>1674</v>
      </c>
      <c r="M44" s="115">
        <v>7.0</v>
      </c>
      <c r="N44" s="116" t="str">
        <f>IFERROR(__xludf.DUMMYFUNCTION("GOOGLETRANSLATE(B44,""zh-tw"",""zh"")"),"气息消除-4")</f>
        <v>气息消除-4</v>
      </c>
      <c r="O44" s="121" t="str">
        <f>IFERROR(__xludf.DUMMYFUNCTION("GOOGLETRANSLATE(C44,""zh-tw"",""zh"")"),"厕所门改造")</f>
        <v>厕所门改造</v>
      </c>
      <c r="P44" s="82" t="str">
        <f>IFERROR(__xludf.DUMMYFUNCTION("GOOGLETRANSLATE(D44,""zh-tw"",""zh"")"),"未实装")</f>
        <v>未实装</v>
      </c>
      <c r="Q44" s="115">
        <v>7.0</v>
      </c>
      <c r="R44" s="116" t="str">
        <f>IFERROR(__xludf.DUMMYFUNCTION("GOOGLETRANSLATE(B44,""zh-tw"",""es-MX"")"),"Eliminación de olores -4")</f>
        <v>Eliminación de olores -4</v>
      </c>
      <c r="S44" s="121" t="str">
        <f>IFERROR(__xludf.DUMMYFUNCTION("GOOGLETRANSLATE(C44,""zh-tw"",""es-MX"")"),"Renovación de la puerta del baño")</f>
        <v>Renovación de la puerta del baño</v>
      </c>
      <c r="T44" s="82" t="str">
        <f>IFERROR(__xludf.DUMMYFUNCTION("GOOGLETRANSLATE(D44,""zh-tw"",""es-MX"")"),"No implementado")</f>
        <v>No implementado</v>
      </c>
      <c r="U44" s="115">
        <v>7.0</v>
      </c>
      <c r="V44" s="120" t="s">
        <v>1675</v>
      </c>
      <c r="W44" s="119" t="s">
        <v>1676</v>
      </c>
      <c r="X44" s="79" t="s">
        <v>1109</v>
      </c>
      <c r="Y44" s="115">
        <v>7.0</v>
      </c>
      <c r="Z44" s="122" t="s">
        <v>1677</v>
      </c>
      <c r="AA44" s="123" t="s">
        <v>1678</v>
      </c>
      <c r="AB44" s="124" t="s">
        <v>1679</v>
      </c>
      <c r="AC44" s="115">
        <v>7.0</v>
      </c>
      <c r="AD44" s="116" t="s">
        <v>1680</v>
      </c>
      <c r="AE44" s="117" t="s">
        <v>1681</v>
      </c>
      <c r="AF44" s="118" t="s">
        <v>1682</v>
      </c>
      <c r="AG44" s="125">
        <v>7.0</v>
      </c>
      <c r="AH44" s="126" t="s">
        <v>1683</v>
      </c>
      <c r="AI44" s="145" t="s">
        <v>1684</v>
      </c>
      <c r="AJ44" s="148" t="s">
        <v>1685</v>
      </c>
      <c r="AK44" s="115">
        <v>7.0</v>
      </c>
      <c r="AL44" s="128" t="s">
        <v>1686</v>
      </c>
      <c r="AM44" s="141" t="s">
        <v>1687</v>
      </c>
      <c r="AN44" s="130" t="s">
        <v>1688</v>
      </c>
      <c r="AO44" s="115">
        <v>7.0</v>
      </c>
      <c r="AP44" s="116" t="s">
        <v>1689</v>
      </c>
      <c r="AQ44" s="117" t="s">
        <v>1690</v>
      </c>
      <c r="AR44" s="79" t="s">
        <v>1691</v>
      </c>
      <c r="AS44" s="115"/>
      <c r="AT44" s="116"/>
      <c r="AU44" s="117"/>
      <c r="AV44" s="79"/>
      <c r="AW44" s="118"/>
      <c r="AX44" s="118"/>
    </row>
    <row r="45">
      <c r="A45" s="153">
        <v>8.0</v>
      </c>
      <c r="B45" s="116" t="s">
        <v>1692</v>
      </c>
      <c r="C45" s="119" t="s">
        <v>1693</v>
      </c>
      <c r="D45" s="79" t="s">
        <v>1694</v>
      </c>
      <c r="E45" s="153">
        <v>8.0</v>
      </c>
      <c r="F45" s="116" t="s">
        <v>1695</v>
      </c>
      <c r="G45" s="117" t="s">
        <v>1696</v>
      </c>
      <c r="H45" s="79" t="s">
        <v>1697</v>
      </c>
      <c r="I45" s="153">
        <v>8.0</v>
      </c>
      <c r="J45" s="116" t="s">
        <v>1698</v>
      </c>
      <c r="K45" s="119" t="s">
        <v>1699</v>
      </c>
      <c r="L45" s="79" t="s">
        <v>1700</v>
      </c>
      <c r="M45" s="153">
        <v>8.0</v>
      </c>
      <c r="N45" s="116" t="str">
        <f>IFERROR(__xludf.DUMMYFUNCTION("GOOGLETRANSLATE(B45,""zh-tw"",""zh"")"),"想上厕所...1")</f>
        <v>想上厕所...1</v>
      </c>
      <c r="O45" s="121" t="str">
        <f>IFERROR(__xludf.DUMMYFUNCTION("GOOGLETRANSLATE(C45,""zh-tw"",""zh"")"),"在迷失森林中，被Z(蟑螂)缠住，让它跟着你回家。
冒险回家后前往厕所-&gt;翻找-&gt;找到类似蟑螂的生物(Z)。
之后平时在房间中呼叫妹妹时，有机率触发厕所事件。")</f>
        <v>在迷失森林中，被Z(蟑螂)缠住，让它跟着你回家。
冒险回家后前往厕所-&gt;翻找-&gt;找到类似蟑螂的生物(Z)。
之后平时在房间中呼叫妹妹时，有机率触发厕所事件。</v>
      </c>
      <c r="P45" s="82" t="str">
        <f>IFERROR(__xludf.DUMMYFUNCTION("GOOGLETRANSLATE(D45,""zh-tw"",""zh"")"),"妹妹在不同紫心时，触发后会有不同演出
※只能触发一次※")</f>
        <v>妹妹在不同紫心时，触发后会有不同演出
※只能触发一次※</v>
      </c>
      <c r="Q45" s="153">
        <v>8.0</v>
      </c>
      <c r="R45" s="132" t="s">
        <v>1701</v>
      </c>
      <c r="S45" s="121" t="s">
        <v>1702</v>
      </c>
      <c r="T45" s="82" t="s">
        <v>1703</v>
      </c>
      <c r="U45" s="153">
        <v>8.0</v>
      </c>
      <c r="V45" s="120" t="s">
        <v>1704</v>
      </c>
      <c r="W45" s="119" t="s">
        <v>1705</v>
      </c>
      <c r="X45" s="79" t="s">
        <v>1706</v>
      </c>
      <c r="Y45" s="115">
        <v>8.0</v>
      </c>
      <c r="Z45" s="122" t="s">
        <v>1707</v>
      </c>
      <c r="AA45" s="123" t="s">
        <v>1708</v>
      </c>
      <c r="AB45" s="124" t="s">
        <v>1709</v>
      </c>
      <c r="AC45" s="153">
        <v>8.0</v>
      </c>
      <c r="AD45" s="116" t="s">
        <v>1710</v>
      </c>
      <c r="AE45" s="117" t="s">
        <v>1711</v>
      </c>
      <c r="AF45" s="79" t="s">
        <v>1712</v>
      </c>
      <c r="AG45" s="163">
        <v>8.0</v>
      </c>
      <c r="AH45" s="147" t="s">
        <v>1713</v>
      </c>
      <c r="AI45" s="149" t="s">
        <v>1714</v>
      </c>
      <c r="AJ45" s="148" t="s">
        <v>1715</v>
      </c>
      <c r="AK45" s="115">
        <v>8.0</v>
      </c>
      <c r="AL45" s="128" t="s">
        <v>1716</v>
      </c>
      <c r="AM45" s="141" t="s">
        <v>1717</v>
      </c>
      <c r="AN45" s="140" t="s">
        <v>1718</v>
      </c>
      <c r="AO45" s="115">
        <v>8.0</v>
      </c>
      <c r="AP45" s="120" t="s">
        <v>1719</v>
      </c>
      <c r="AQ45" s="119" t="s">
        <v>1720</v>
      </c>
      <c r="AR45" s="79" t="s">
        <v>1721</v>
      </c>
      <c r="AS45" s="115"/>
      <c r="AT45" s="120"/>
      <c r="AU45" s="119"/>
      <c r="AV45" s="79"/>
      <c r="AW45" s="79"/>
      <c r="AX45" s="79"/>
    </row>
    <row r="46">
      <c r="A46" s="115">
        <v>9.0</v>
      </c>
      <c r="B46" s="116" t="s">
        <v>1722</v>
      </c>
      <c r="C46" s="117" t="s">
        <v>1723</v>
      </c>
      <c r="D46" s="79" t="s">
        <v>1724</v>
      </c>
      <c r="E46" s="115">
        <v>9.0</v>
      </c>
      <c r="F46" s="116" t="s">
        <v>1725</v>
      </c>
      <c r="G46" s="117" t="s">
        <v>1726</v>
      </c>
      <c r="H46" s="79" t="s">
        <v>1727</v>
      </c>
      <c r="I46" s="115">
        <v>9.0</v>
      </c>
      <c r="J46" s="116" t="s">
        <v>1728</v>
      </c>
      <c r="K46" s="117" t="s">
        <v>1729</v>
      </c>
      <c r="L46" s="79" t="s">
        <v>1730</v>
      </c>
      <c r="M46" s="115">
        <v>9.0</v>
      </c>
      <c r="N46" s="116" t="str">
        <f>IFERROR(__xludf.DUMMYFUNCTION("GOOGLETRANSLATE(B46,""zh-tw"",""zh"")"),"想上厕所...2")</f>
        <v>想上厕所...2</v>
      </c>
      <c r="O46" s="121" t="str">
        <f>IFERROR(__xludf.DUMMYFUNCTION("GOOGLETRANSLATE(C46,""zh-tw"",""zh"")"),"妹妹平常时，有小概率触发上厕所的事件，喝饮料的话会增加概率。")</f>
        <v>妹妹平常时，有小概率触发上厕所的事件，喝饮料的话会增加概率。</v>
      </c>
      <c r="P46" s="82" t="str">
        <f>IFERROR(__xludf.DUMMYFUNCTION("GOOGLETRANSLATE(D46,""zh-tw"",""zh"")"),"触发是否前往厕所偷看的选项
※未实装")</f>
        <v>触发是否前往厕所偷看的选项
※未实装</v>
      </c>
      <c r="Q46" s="115">
        <v>9.0</v>
      </c>
      <c r="R46" s="132" t="s">
        <v>1731</v>
      </c>
      <c r="S46" s="121" t="s">
        <v>1732</v>
      </c>
      <c r="T46" s="79" t="s">
        <v>1733</v>
      </c>
      <c r="U46" s="115">
        <v>9.0</v>
      </c>
      <c r="V46" s="120" t="s">
        <v>1734</v>
      </c>
      <c r="W46" s="119" t="s">
        <v>1735</v>
      </c>
      <c r="X46" s="79" t="s">
        <v>1736</v>
      </c>
      <c r="Y46" s="115">
        <v>9.0</v>
      </c>
      <c r="Z46" s="122" t="s">
        <v>1737</v>
      </c>
      <c r="AA46" s="123" t="s">
        <v>1738</v>
      </c>
      <c r="AB46" s="124" t="s">
        <v>1739</v>
      </c>
      <c r="AC46" s="115">
        <v>9.0</v>
      </c>
      <c r="AD46" s="116" t="s">
        <v>1740</v>
      </c>
      <c r="AE46" s="117" t="s">
        <v>1741</v>
      </c>
      <c r="AF46" s="118" t="s">
        <v>1742</v>
      </c>
      <c r="AG46" s="125">
        <v>9.0</v>
      </c>
      <c r="AH46" s="147" t="s">
        <v>1743</v>
      </c>
      <c r="AI46" s="145" t="s">
        <v>1744</v>
      </c>
      <c r="AJ46" s="148" t="s">
        <v>1745</v>
      </c>
      <c r="AK46" s="115">
        <v>9.0</v>
      </c>
      <c r="AL46" s="128" t="s">
        <v>1746</v>
      </c>
      <c r="AM46" s="141" t="s">
        <v>1747</v>
      </c>
      <c r="AN46" s="140" t="s">
        <v>1748</v>
      </c>
      <c r="AO46" s="115">
        <v>9.0</v>
      </c>
      <c r="AP46" s="120" t="s">
        <v>1749</v>
      </c>
      <c r="AQ46" s="119" t="s">
        <v>1750</v>
      </c>
      <c r="AR46" s="79" t="s">
        <v>1751</v>
      </c>
      <c r="AS46" s="115"/>
      <c r="AT46" s="120"/>
      <c r="AU46" s="119"/>
      <c r="AV46" s="79"/>
      <c r="AW46" s="79"/>
      <c r="AX46" s="79"/>
    </row>
    <row r="47">
      <c r="A47" s="153">
        <v>10.0</v>
      </c>
      <c r="B47" s="120" t="s">
        <v>1752</v>
      </c>
      <c r="C47" s="119" t="s">
        <v>1753</v>
      </c>
      <c r="D47" s="79" t="s">
        <v>1754</v>
      </c>
      <c r="E47" s="153">
        <v>10.0</v>
      </c>
      <c r="F47" s="120" t="s">
        <v>1755</v>
      </c>
      <c r="G47" s="117" t="s">
        <v>1756</v>
      </c>
      <c r="H47" s="79" t="s">
        <v>1757</v>
      </c>
      <c r="I47" s="153">
        <v>10.0</v>
      </c>
      <c r="J47" s="116" t="s">
        <v>1758</v>
      </c>
      <c r="K47" s="119" t="s">
        <v>1759</v>
      </c>
      <c r="L47" s="79" t="s">
        <v>1760</v>
      </c>
      <c r="M47" s="153">
        <v>10.0</v>
      </c>
      <c r="N47" s="116" t="str">
        <f>IFERROR(__xludf.DUMMYFUNCTION("GOOGLETRANSLATE(B47,""zh-tw"",""zh"")"),"厕所Play-1")</f>
        <v>厕所Play-1</v>
      </c>
      <c r="O47" s="119" t="s">
        <v>1761</v>
      </c>
      <c r="P47" s="82" t="str">
        <f>IFERROR(__xludf.DUMMYFUNCTION("GOOGLETRANSLATE(D47,""zh-tw"",""zh"")"),"触发剧情
※目前尚未实装被发现的相关剧情")</f>
        <v>触发剧情
※目前尚未实装被发现的相关剧情</v>
      </c>
      <c r="Q47" s="153">
        <v>10.0</v>
      </c>
      <c r="R47" s="132" t="s">
        <v>1762</v>
      </c>
      <c r="S47" s="121" t="s">
        <v>1763</v>
      </c>
      <c r="T47" s="82" t="s">
        <v>1764</v>
      </c>
      <c r="U47" s="153">
        <v>10.0</v>
      </c>
      <c r="V47" s="120" t="s">
        <v>1765</v>
      </c>
      <c r="W47" s="119" t="s">
        <v>1766</v>
      </c>
      <c r="X47" s="79" t="s">
        <v>1767</v>
      </c>
      <c r="Y47" s="115">
        <v>10.0</v>
      </c>
      <c r="Z47" s="122" t="s">
        <v>1768</v>
      </c>
      <c r="AA47" s="123" t="s">
        <v>1769</v>
      </c>
      <c r="AB47" s="124" t="s">
        <v>1770</v>
      </c>
      <c r="AC47" s="153">
        <v>10.0</v>
      </c>
      <c r="AD47" s="120" t="s">
        <v>1771</v>
      </c>
      <c r="AE47" s="117" t="s">
        <v>1772</v>
      </c>
      <c r="AF47" s="118" t="s">
        <v>1773</v>
      </c>
      <c r="AG47" s="163">
        <v>10.0</v>
      </c>
      <c r="AH47" s="126" t="s">
        <v>1774</v>
      </c>
      <c r="AI47" s="145" t="s">
        <v>1775</v>
      </c>
      <c r="AJ47" s="148" t="s">
        <v>1776</v>
      </c>
      <c r="AK47" s="115">
        <v>10.0</v>
      </c>
      <c r="AL47" s="128" t="s">
        <v>1777</v>
      </c>
      <c r="AM47" s="141" t="s">
        <v>1778</v>
      </c>
      <c r="AN47" s="140" t="s">
        <v>1779</v>
      </c>
      <c r="AO47" s="115">
        <v>10.0</v>
      </c>
      <c r="AP47" s="120" t="s">
        <v>1780</v>
      </c>
      <c r="AQ47" s="119" t="s">
        <v>1781</v>
      </c>
      <c r="AR47" s="79" t="s">
        <v>1782</v>
      </c>
      <c r="AS47" s="115"/>
      <c r="AT47" s="120"/>
      <c r="AU47" s="119"/>
      <c r="AV47" s="79"/>
      <c r="AW47" s="79"/>
      <c r="AX47" s="79"/>
    </row>
    <row r="48">
      <c r="A48" s="115">
        <v>11.0</v>
      </c>
      <c r="B48" s="120" t="s">
        <v>1783</v>
      </c>
      <c r="C48" s="119" t="s">
        <v>1784</v>
      </c>
      <c r="D48" s="79" t="s">
        <v>1785</v>
      </c>
      <c r="E48" s="115">
        <v>11.0</v>
      </c>
      <c r="F48" s="120" t="s">
        <v>1786</v>
      </c>
      <c r="G48" s="119" t="s">
        <v>1787</v>
      </c>
      <c r="H48" s="79" t="s">
        <v>1788</v>
      </c>
      <c r="I48" s="115">
        <v>11.0</v>
      </c>
      <c r="J48" s="120" t="s">
        <v>1789</v>
      </c>
      <c r="K48" s="119" t="s">
        <v>1790</v>
      </c>
      <c r="L48" s="79" t="s">
        <v>1791</v>
      </c>
      <c r="M48" s="115">
        <v>11.0</v>
      </c>
      <c r="N48" s="116" t="str">
        <f>IFERROR(__xludf.DUMMYFUNCTION("GOOGLETRANSLATE(B48,""zh-tw"",""zh"")"),"厕所Play-2")</f>
        <v>厕所Play-2</v>
      </c>
      <c r="O48" s="119" t="s">
        <v>1792</v>
      </c>
      <c r="P48" s="82" t="str">
        <f>IFERROR(__xludf.DUMMYFUNCTION("GOOGLETRANSLATE(D48,""zh-tw"",""zh"")"),"触发相关剧情
※目前尚未实装被发现的相关剧情")</f>
        <v>触发相关剧情
※目前尚未实装被发现的相关剧情</v>
      </c>
      <c r="Q48" s="115">
        <v>11.0</v>
      </c>
      <c r="R48" s="120" t="s">
        <v>1793</v>
      </c>
      <c r="S48" s="121" t="s">
        <v>1794</v>
      </c>
      <c r="T48" s="82" t="s">
        <v>1795</v>
      </c>
      <c r="U48" s="115">
        <v>11.0</v>
      </c>
      <c r="V48" s="120" t="s">
        <v>1796</v>
      </c>
      <c r="W48" s="119" t="s">
        <v>1797</v>
      </c>
      <c r="X48" s="79" t="s">
        <v>1798</v>
      </c>
      <c r="Y48" s="115">
        <v>11.0</v>
      </c>
      <c r="Z48" s="122" t="s">
        <v>1799</v>
      </c>
      <c r="AA48" s="123" t="s">
        <v>1800</v>
      </c>
      <c r="AB48" s="124" t="s">
        <v>1801</v>
      </c>
      <c r="AC48" s="115">
        <v>11.0</v>
      </c>
      <c r="AD48" s="120" t="s">
        <v>1802</v>
      </c>
      <c r="AE48" s="117" t="s">
        <v>1803</v>
      </c>
      <c r="AF48" s="118" t="s">
        <v>1804</v>
      </c>
      <c r="AG48" s="125">
        <v>11.0</v>
      </c>
      <c r="AH48" s="126" t="s">
        <v>1805</v>
      </c>
      <c r="AI48" s="145" t="s">
        <v>1806</v>
      </c>
      <c r="AJ48" s="148" t="s">
        <v>1807</v>
      </c>
      <c r="AK48" s="115">
        <v>11.0</v>
      </c>
      <c r="AL48" s="128" t="s">
        <v>1808</v>
      </c>
      <c r="AM48" s="141" t="s">
        <v>1809</v>
      </c>
      <c r="AN48" s="130" t="s">
        <v>1810</v>
      </c>
      <c r="AO48" s="115">
        <v>11.0</v>
      </c>
      <c r="AP48" s="120" t="s">
        <v>1811</v>
      </c>
      <c r="AQ48" s="119" t="s">
        <v>1812</v>
      </c>
      <c r="AR48" s="118" t="s">
        <v>1813</v>
      </c>
      <c r="AS48" s="115"/>
      <c r="AT48" s="120"/>
      <c r="AU48" s="119"/>
      <c r="AV48" s="118"/>
      <c r="AW48" s="79"/>
      <c r="AX48" s="79"/>
    </row>
    <row r="49">
      <c r="A49" s="153">
        <v>12.0</v>
      </c>
      <c r="B49" s="120" t="s">
        <v>1814</v>
      </c>
      <c r="C49" s="119" t="s">
        <v>1815</v>
      </c>
      <c r="D49" s="79" t="s">
        <v>1816</v>
      </c>
      <c r="E49" s="153">
        <v>12.0</v>
      </c>
      <c r="F49" s="120" t="s">
        <v>1817</v>
      </c>
      <c r="G49" s="117" t="s">
        <v>1818</v>
      </c>
      <c r="H49" s="79" t="s">
        <v>1819</v>
      </c>
      <c r="I49" s="153">
        <v>12.0</v>
      </c>
      <c r="J49" s="120" t="s">
        <v>1820</v>
      </c>
      <c r="K49" s="119" t="s">
        <v>1821</v>
      </c>
      <c r="L49" s="79" t="s">
        <v>1822</v>
      </c>
      <c r="M49" s="153">
        <v>12.0</v>
      </c>
      <c r="N49" s="116" t="str">
        <f>IFERROR(__xludf.DUMMYFUNCTION("GOOGLETRANSLATE(B49,""zh-tw"",""zh"")"),"厕所Play-3")</f>
        <v>厕所Play-3</v>
      </c>
      <c r="O49" s="119" t="s">
        <v>1823</v>
      </c>
      <c r="P49" s="82" t="str">
        <f>IFERROR(__xludf.DUMMYFUNCTION("GOOGLETRANSLATE(D49,""zh-tw"",""zh"")"),"50%机率，出现打死Z剧情
备注：无须发现Z的前置操作")</f>
        <v>50%机率，出现打死Z剧情
备注：无须发现Z的前置操作</v>
      </c>
      <c r="Q49" s="153">
        <v>12.0</v>
      </c>
      <c r="R49" s="120" t="s">
        <v>1824</v>
      </c>
      <c r="S49" s="121" t="s">
        <v>1825</v>
      </c>
      <c r="T49" s="82" t="s">
        <v>1592</v>
      </c>
      <c r="U49" s="153">
        <v>12.0</v>
      </c>
      <c r="V49" s="120" t="s">
        <v>1826</v>
      </c>
      <c r="W49" s="119" t="s">
        <v>1827</v>
      </c>
      <c r="X49" s="79" t="s">
        <v>1828</v>
      </c>
      <c r="Y49" s="115">
        <v>12.0</v>
      </c>
      <c r="Z49" s="122" t="s">
        <v>1829</v>
      </c>
      <c r="AA49" s="123" t="s">
        <v>1830</v>
      </c>
      <c r="AB49" s="124" t="s">
        <v>1831</v>
      </c>
      <c r="AC49" s="153">
        <v>12.0</v>
      </c>
      <c r="AD49" s="120" t="s">
        <v>1832</v>
      </c>
      <c r="AE49" s="117" t="s">
        <v>1833</v>
      </c>
      <c r="AF49" s="118" t="s">
        <v>1571</v>
      </c>
      <c r="AG49" s="163">
        <v>12.0</v>
      </c>
      <c r="AH49" s="126" t="s">
        <v>1834</v>
      </c>
      <c r="AI49" s="149" t="s">
        <v>1835</v>
      </c>
      <c r="AJ49" s="146" t="s">
        <v>1836</v>
      </c>
      <c r="AK49" s="115">
        <v>12.0</v>
      </c>
      <c r="AL49" s="128" t="s">
        <v>1837</v>
      </c>
      <c r="AM49" s="129" t="s">
        <v>1838</v>
      </c>
      <c r="AN49" s="130" t="s">
        <v>1839</v>
      </c>
      <c r="AO49" s="115">
        <v>12.0</v>
      </c>
      <c r="AP49" s="120" t="s">
        <v>1840</v>
      </c>
      <c r="AQ49" s="119" t="s">
        <v>1841</v>
      </c>
      <c r="AR49" s="79" t="s">
        <v>1842</v>
      </c>
      <c r="AS49" s="115"/>
      <c r="AT49" s="120"/>
      <c r="AU49" s="119"/>
      <c r="AV49" s="79"/>
      <c r="AW49" s="79"/>
      <c r="AX49" s="79"/>
    </row>
    <row r="50">
      <c r="A50" s="115">
        <v>13.0</v>
      </c>
      <c r="B50" s="120" t="s">
        <v>1843</v>
      </c>
      <c r="C50" s="119" t="s">
        <v>1844</v>
      </c>
      <c r="D50" s="79" t="s">
        <v>1845</v>
      </c>
      <c r="E50" s="115">
        <v>13.0</v>
      </c>
      <c r="F50" s="120" t="s">
        <v>1846</v>
      </c>
      <c r="G50" s="119" t="s">
        <v>1847</v>
      </c>
      <c r="H50" s="118" t="s">
        <v>1848</v>
      </c>
      <c r="I50" s="115">
        <v>13.0</v>
      </c>
      <c r="J50" s="116" t="s">
        <v>1849</v>
      </c>
      <c r="K50" s="119" t="s">
        <v>1850</v>
      </c>
      <c r="L50" s="118" t="s">
        <v>1851</v>
      </c>
      <c r="M50" s="115">
        <v>13.0</v>
      </c>
      <c r="N50" s="116" t="str">
        <f>IFERROR(__xludf.DUMMYFUNCTION("GOOGLETRANSLATE(B50,""zh-tw"",""zh"")"),"厕所Play-4")</f>
        <v>厕所Play-4</v>
      </c>
      <c r="O50" s="119" t="s">
        <v>1852</v>
      </c>
      <c r="P50" s="82" t="str">
        <f>IFERROR(__xludf.DUMMYFUNCTION("GOOGLETRANSLATE(D50,""zh-tw"",""zh"")"),"触发使用嘴巴服务的相关剧情
*三种差分，分为蹲式、躺式，坐式待更新")</f>
        <v>触发使用嘴巴服务的相关剧情
*三种差分，分为蹲式、躺式，坐式待更新</v>
      </c>
      <c r="Q50" s="115">
        <v>13.0</v>
      </c>
      <c r="R50" s="132" t="s">
        <v>1853</v>
      </c>
      <c r="S50" s="121" t="s">
        <v>1854</v>
      </c>
      <c r="T50" s="82" t="s">
        <v>1855</v>
      </c>
      <c r="U50" s="115">
        <v>13.0</v>
      </c>
      <c r="V50" s="120" t="s">
        <v>1856</v>
      </c>
      <c r="W50" s="119" t="s">
        <v>1857</v>
      </c>
      <c r="X50" s="79" t="s">
        <v>1858</v>
      </c>
      <c r="Y50" s="115">
        <v>13.0</v>
      </c>
      <c r="Z50" s="122" t="s">
        <v>1859</v>
      </c>
      <c r="AA50" s="123" t="s">
        <v>1860</v>
      </c>
      <c r="AB50" s="124" t="s">
        <v>1861</v>
      </c>
      <c r="AC50" s="115">
        <v>13.0</v>
      </c>
      <c r="AD50" s="120" t="s">
        <v>1862</v>
      </c>
      <c r="AE50" s="117" t="s">
        <v>1863</v>
      </c>
      <c r="AF50" s="118" t="s">
        <v>1864</v>
      </c>
      <c r="AG50" s="125">
        <v>13.0</v>
      </c>
      <c r="AH50" s="126" t="s">
        <v>1865</v>
      </c>
      <c r="AI50" s="149" t="s">
        <v>1866</v>
      </c>
      <c r="AJ50" s="148" t="s">
        <v>1867</v>
      </c>
      <c r="AK50" s="115">
        <v>13.0</v>
      </c>
      <c r="AL50" s="128" t="s">
        <v>1868</v>
      </c>
      <c r="AM50" s="141" t="s">
        <v>1869</v>
      </c>
      <c r="AN50" s="130" t="s">
        <v>1870</v>
      </c>
      <c r="AO50" s="115">
        <v>13.0</v>
      </c>
      <c r="AP50" s="120" t="s">
        <v>1871</v>
      </c>
      <c r="AQ50" s="119" t="s">
        <v>1872</v>
      </c>
      <c r="AR50" s="79" t="s">
        <v>1873</v>
      </c>
      <c r="AS50" s="115"/>
      <c r="AT50" s="120"/>
      <c r="AU50" s="119"/>
      <c r="AV50" s="79"/>
      <c r="AW50" s="79"/>
      <c r="AX50" s="79"/>
    </row>
    <row r="51">
      <c r="A51" s="180"/>
      <c r="B51" s="181"/>
      <c r="C51" s="181"/>
      <c r="D51" s="181"/>
      <c r="E51" s="180"/>
      <c r="F51" s="181"/>
      <c r="G51" s="181"/>
      <c r="H51" s="181"/>
      <c r="I51" s="180"/>
      <c r="J51" s="181"/>
      <c r="K51" s="181"/>
      <c r="L51" s="181"/>
      <c r="M51" s="180"/>
      <c r="N51" s="181"/>
      <c r="O51" s="70"/>
      <c r="P51" s="181"/>
      <c r="Q51" s="180"/>
      <c r="R51" s="70"/>
      <c r="S51" s="70"/>
      <c r="T51" s="70"/>
      <c r="U51" s="180"/>
      <c r="V51" s="70"/>
      <c r="W51" s="70"/>
      <c r="X51" s="70"/>
      <c r="Y51" s="182"/>
      <c r="Z51" s="183"/>
      <c r="AA51" s="183"/>
      <c r="AB51" s="183"/>
      <c r="AC51" s="180"/>
      <c r="AD51" s="181"/>
      <c r="AE51" s="181"/>
      <c r="AF51" s="181"/>
      <c r="AG51" s="184"/>
      <c r="AH51" s="184"/>
      <c r="AI51" s="185"/>
      <c r="AJ51" s="185"/>
      <c r="AK51" s="181"/>
      <c r="AL51" s="180"/>
      <c r="AM51" s="181"/>
      <c r="AN51" s="181"/>
      <c r="AO51" s="181"/>
      <c r="AP51" s="181"/>
      <c r="AQ51" s="181"/>
      <c r="AR51" s="181"/>
      <c r="AS51" s="181"/>
      <c r="AT51" s="181"/>
      <c r="AU51" s="181"/>
      <c r="AV51" s="181"/>
      <c r="AW51" s="181"/>
      <c r="AX51" s="181"/>
    </row>
    <row r="52" ht="23.25" customHeight="1">
      <c r="A52" s="111" t="s">
        <v>1874</v>
      </c>
      <c r="B52" s="111" t="s">
        <v>1875</v>
      </c>
      <c r="E52" s="111" t="s">
        <v>1874</v>
      </c>
      <c r="F52" s="111" t="s">
        <v>1876</v>
      </c>
      <c r="I52" s="111" t="s">
        <v>1874</v>
      </c>
      <c r="J52" s="111" t="s">
        <v>1877</v>
      </c>
      <c r="M52" s="111" t="s">
        <v>1874</v>
      </c>
      <c r="N52" s="112" t="str">
        <f>IFERROR(__xludf.DUMMYFUNCTION("GOOGLETRANSLATE(B52,""zh-tw"",""zh"")"),"浴室相关")</f>
        <v>浴室相关</v>
      </c>
      <c r="Q52" s="111" t="s">
        <v>1874</v>
      </c>
      <c r="R52" s="111" t="s">
        <v>1878</v>
      </c>
      <c r="U52" s="111" t="s">
        <v>1874</v>
      </c>
      <c r="V52" s="111" t="s">
        <v>1879</v>
      </c>
      <c r="Y52" s="112" t="s">
        <v>1874</v>
      </c>
      <c r="Z52" s="112" t="s">
        <v>1880</v>
      </c>
      <c r="AC52" s="111" t="s">
        <v>1874</v>
      </c>
      <c r="AD52" s="187" t="s">
        <v>1881</v>
      </c>
      <c r="AG52" s="188" t="s">
        <v>1874</v>
      </c>
      <c r="AH52" s="188" t="s">
        <v>1882</v>
      </c>
      <c r="AK52" s="112" t="s">
        <v>1874</v>
      </c>
      <c r="AL52" s="111" t="s">
        <v>1883</v>
      </c>
      <c r="AO52" s="111" t="s">
        <v>1874</v>
      </c>
      <c r="AP52" s="111" t="s">
        <v>1884</v>
      </c>
      <c r="AS52" s="111"/>
      <c r="AT52" s="111"/>
      <c r="AW52" s="111"/>
      <c r="AX52" s="111"/>
    </row>
    <row r="53">
      <c r="A53" s="115">
        <v>1.0</v>
      </c>
      <c r="B53" s="116" t="s">
        <v>1885</v>
      </c>
      <c r="C53" s="117" t="s">
        <v>1886</v>
      </c>
      <c r="D53" s="118" t="s">
        <v>1887</v>
      </c>
      <c r="E53" s="115">
        <v>1.0</v>
      </c>
      <c r="F53" s="120" t="s">
        <v>1888</v>
      </c>
      <c r="G53" s="117" t="s">
        <v>1889</v>
      </c>
      <c r="H53" s="118" t="s">
        <v>1890</v>
      </c>
      <c r="I53" s="115">
        <v>1.0</v>
      </c>
      <c r="J53" s="116" t="str">
        <f>IFERROR(__xludf.DUMMYFUNCTION("GOOGLETRANSLATE(B53,""zh-tw"",""en"")"),"Shampoo")</f>
        <v>Shampoo</v>
      </c>
      <c r="K53" s="117" t="s">
        <v>1891</v>
      </c>
      <c r="L53" s="118" t="s">
        <v>1892</v>
      </c>
      <c r="M53" s="115">
        <v>1.0</v>
      </c>
      <c r="N53" s="116" t="str">
        <f>IFERROR(__xludf.DUMMYFUNCTION("GOOGLETRANSLATE(B53,""zh-tw"",""zh"")"),"洗发乳")</f>
        <v>洗发乳</v>
      </c>
      <c r="O53" s="121" t="str">
        <f>IFERROR(__xludf.DUMMYFUNCTION("GOOGLETRANSLATE(C53,""zh-tw"",""zh"")"),"洗澡大约7天会消耗光，并在不偷窥的情况下机率性触发
哥哥独自洗澡时，可以提前使用完毕
或者在偷内衣时，机率触发")</f>
        <v>洗澡大约7天会消耗光，并在不偷窥的情况下机率性触发
哥哥独自洗澡时，可以提前使用完毕
或者在偷内衣时，机率触发</v>
      </c>
      <c r="P53" s="82" t="str">
        <f>IFERROR(__xludf.DUMMYFUNCTION("GOOGLETRANSLATE(D53,""zh-tw"",""zh"")"),"机率触发浴室摔倒事件")</f>
        <v>机率触发浴室摔倒事件</v>
      </c>
      <c r="Q53" s="115">
        <v>1.0</v>
      </c>
      <c r="R53" s="116" t="str">
        <f>IFERROR(__xludf.DUMMYFUNCTION("GOOGLETRANSLATE(B53,""zh-tw"",""es-MX"")"),"Champú")</f>
        <v>Champú</v>
      </c>
      <c r="S53" s="121" t="str">
        <f>IFERROR(__xludf.DUMMYFUNCTION("GOOGLETRANSLATE(C53,""zh-tw"",""es-MX"")"),"La habilidad de bañarse consume toda la energía en aproximadamente 7 días y tiene una probabilidad de activarse si no miras.
Puede agotarse antes si tu hermano se baña solo.
También tiene una probabilidad de activarse al robar ropa interior.")</f>
        <v>La habilidad de bañarse consume toda la energía en aproximadamente 7 días y tiene una probabilidad de activarse si no miras.
Puede agotarse antes si tu hermano se baña solo.
También tiene una probabilidad de activarse al robar ropa interior.</v>
      </c>
      <c r="T53" s="82" t="str">
        <f>IFERROR(__xludf.DUMMYFUNCTION("GOOGLETRANSLATE(D53,""zh-tw"",""es-MX"")"),"Probabilidad de desencadenar un evento de resbalón en el baño")</f>
        <v>Probabilidad de desencadenar un evento de resbalón en el baño</v>
      </c>
      <c r="U53" s="115">
        <v>1.0</v>
      </c>
      <c r="V53" s="120" t="s">
        <v>1893</v>
      </c>
      <c r="W53" s="119" t="s">
        <v>1894</v>
      </c>
      <c r="X53" s="82" t="str">
        <f>IFERROR(__xludf.DUMMYFUNCTION("GOOGLETRANSLATE(D53,""zh-tw"",""KO"")"),"화장실에서 미끄러지는 사고 발생 확률")</f>
        <v>화장실에서 미끄러지는 사고 발생 확률</v>
      </c>
      <c r="Y53" s="115">
        <v>1.0</v>
      </c>
      <c r="Z53" s="122" t="s">
        <v>1895</v>
      </c>
      <c r="AA53" s="123" t="s">
        <v>1896</v>
      </c>
      <c r="AB53" s="124" t="s">
        <v>1897</v>
      </c>
      <c r="AC53" s="115">
        <v>1.0</v>
      </c>
      <c r="AD53" s="116" t="s">
        <v>1898</v>
      </c>
      <c r="AE53" s="117" t="s">
        <v>1899</v>
      </c>
      <c r="AF53" s="118" t="s">
        <v>1900</v>
      </c>
      <c r="AG53" s="125">
        <v>1.0</v>
      </c>
      <c r="AH53" s="126" t="s">
        <v>1901</v>
      </c>
      <c r="AI53" s="145" t="s">
        <v>1902</v>
      </c>
      <c r="AJ53" s="148" t="s">
        <v>1903</v>
      </c>
      <c r="AK53" s="115">
        <v>1.0</v>
      </c>
      <c r="AL53" s="128" t="s">
        <v>1898</v>
      </c>
      <c r="AM53" s="129" t="s">
        <v>1904</v>
      </c>
      <c r="AN53" s="130" t="s">
        <v>1905</v>
      </c>
      <c r="AO53" s="115">
        <v>1.0</v>
      </c>
      <c r="AP53" s="116" t="s">
        <v>1906</v>
      </c>
      <c r="AQ53" s="119" t="s">
        <v>1907</v>
      </c>
      <c r="AR53" s="118" t="s">
        <v>1908</v>
      </c>
      <c r="AS53" s="115"/>
      <c r="AT53" s="116"/>
      <c r="AU53" s="119"/>
      <c r="AV53" s="118"/>
      <c r="AW53" s="118"/>
      <c r="AX53" s="118"/>
    </row>
    <row r="54">
      <c r="A54" s="153">
        <v>2.0</v>
      </c>
      <c r="B54" s="116" t="s">
        <v>1909</v>
      </c>
      <c r="C54" s="117" t="s">
        <v>1910</v>
      </c>
      <c r="D54" s="118" t="s">
        <v>1911</v>
      </c>
      <c r="E54" s="153">
        <v>2.0</v>
      </c>
      <c r="F54" s="116" t="s">
        <v>1912</v>
      </c>
      <c r="G54" s="117" t="s">
        <v>1913</v>
      </c>
      <c r="H54" s="118" t="s">
        <v>1914</v>
      </c>
      <c r="I54" s="153">
        <v>2.0</v>
      </c>
      <c r="J54" s="116" t="s">
        <v>1915</v>
      </c>
      <c r="K54" s="117" t="s">
        <v>1916</v>
      </c>
      <c r="L54" s="118" t="s">
        <v>1917</v>
      </c>
      <c r="M54" s="153">
        <v>2.0</v>
      </c>
      <c r="N54" s="116" t="str">
        <f>IFERROR(__xludf.DUMMYFUNCTION("GOOGLETRANSLATE(B54,""zh-tw"",""zh"")"),"要等妹妹洗澡吗")</f>
        <v>要等妹妹洗澡吗</v>
      </c>
      <c r="O54" s="119" t="s">
        <v>1918</v>
      </c>
      <c r="P54" s="82" t="str">
        <f>IFERROR(__xludf.DUMMYFUNCTION("GOOGLETRANSLATE(D54,""zh-tw"",""zh"")"),"出现前往的选项
1.现在就去
2.再等会
3.算了吧")</f>
        <v>出现前往的选项
1.现在就去
2.再等会
3.算了吧</v>
      </c>
      <c r="Q54" s="153">
        <v>2.0</v>
      </c>
      <c r="R54" s="116" t="s">
        <v>1919</v>
      </c>
      <c r="S54" s="121" t="s">
        <v>1920</v>
      </c>
      <c r="T54" s="82" t="s">
        <v>1921</v>
      </c>
      <c r="U54" s="153">
        <v>2.0</v>
      </c>
      <c r="V54" s="120" t="s">
        <v>1922</v>
      </c>
      <c r="W54" s="119" t="s">
        <v>1923</v>
      </c>
      <c r="X54" s="79" t="s">
        <v>1924</v>
      </c>
      <c r="Y54" s="115">
        <v>2.0</v>
      </c>
      <c r="Z54" s="161" t="s">
        <v>1925</v>
      </c>
      <c r="AA54" s="162" t="s">
        <v>1926</v>
      </c>
      <c r="AB54" s="142" t="s">
        <v>1927</v>
      </c>
      <c r="AC54" s="153">
        <v>2.0</v>
      </c>
      <c r="AD54" s="116" t="s">
        <v>1928</v>
      </c>
      <c r="AE54" s="117" t="s">
        <v>1929</v>
      </c>
      <c r="AF54" s="118" t="s">
        <v>1930</v>
      </c>
      <c r="AG54" s="163">
        <v>2.0</v>
      </c>
      <c r="AH54" s="126" t="s">
        <v>1931</v>
      </c>
      <c r="AI54" s="145" t="s">
        <v>1932</v>
      </c>
      <c r="AJ54" s="148" t="s">
        <v>1933</v>
      </c>
      <c r="AK54" s="115">
        <v>2.0</v>
      </c>
      <c r="AL54" s="128" t="s">
        <v>1934</v>
      </c>
      <c r="AM54" s="129" t="s">
        <v>1935</v>
      </c>
      <c r="AN54" s="130" t="s">
        <v>1936</v>
      </c>
      <c r="AO54" s="115">
        <v>2.0</v>
      </c>
      <c r="AP54" s="116" t="s">
        <v>1937</v>
      </c>
      <c r="AQ54" s="119" t="s">
        <v>1938</v>
      </c>
      <c r="AR54" s="118" t="s">
        <v>1939</v>
      </c>
      <c r="AS54" s="115"/>
      <c r="AT54" s="116"/>
      <c r="AU54" s="119"/>
      <c r="AV54" s="118"/>
      <c r="AW54" s="118"/>
      <c r="AX54" s="118"/>
    </row>
    <row r="55">
      <c r="A55" s="115">
        <v>3.0</v>
      </c>
      <c r="B55" s="116" t="s">
        <v>1940</v>
      </c>
      <c r="C55" s="117" t="s">
        <v>1941</v>
      </c>
      <c r="D55" s="118" t="s">
        <v>1942</v>
      </c>
      <c r="E55" s="115">
        <v>3.0</v>
      </c>
      <c r="F55" s="116" t="s">
        <v>1943</v>
      </c>
      <c r="G55" s="117" t="s">
        <v>1944</v>
      </c>
      <c r="H55" s="118" t="s">
        <v>1945</v>
      </c>
      <c r="I55" s="115">
        <v>3.0</v>
      </c>
      <c r="J55" s="116" t="s">
        <v>1946</v>
      </c>
      <c r="K55" s="117" t="s">
        <v>1947</v>
      </c>
      <c r="L55" s="118" t="s">
        <v>1948</v>
      </c>
      <c r="M55" s="115">
        <v>3.0</v>
      </c>
      <c r="N55" s="116" t="str">
        <f>IFERROR(__xludf.DUMMYFUNCTION("GOOGLETRANSLATE(B55,""zh-tw"",""zh"")"),"现在就去-1")</f>
        <v>现在就去-1</v>
      </c>
      <c r="O55" s="121" t="str">
        <f>IFERROR(__xludf.DUMMYFUNCTION("GOOGLETRANSLATE(C55,""zh-tw"",""zh"")"),"触发偷窥换衣事件，拉门越大越容易被发现")</f>
        <v>触发偷窥换衣事件，拉门越大越容易被发现</v>
      </c>
      <c r="P55" s="82" t="str">
        <f>IFERROR(__xludf.DUMMYFUNCTION("GOOGLETRANSLATE(D55,""zh-tw"",""zh"")"),"1.安全潜入洗面所
2.被妹妹发现")</f>
        <v>1.安全潜入洗面所
2.被妹妹发现</v>
      </c>
      <c r="Q55" s="115">
        <v>3.0</v>
      </c>
      <c r="R55" s="116" t="s">
        <v>1949</v>
      </c>
      <c r="S55" s="121" t="s">
        <v>1950</v>
      </c>
      <c r="T55" s="82" t="s">
        <v>1951</v>
      </c>
      <c r="U55" s="115">
        <v>3.0</v>
      </c>
      <c r="V55" s="132" t="str">
        <f>IFERROR(__xludf.DUMMYFUNCTION("GOOGLETRANSLATE(B55,""zh-tw"",""KO"")"),"지금 -1로 이동하세요")</f>
        <v>지금 -1로 이동하세요</v>
      </c>
      <c r="W55" s="121" t="str">
        <f>IFERROR(__xludf.DUMMYFUNCTION("GOOGLETRANSLATE(C55,""zh-tw"",""KO"")"),"미닫이문이 클수록 누군가 옷을 갈아입으면서 훔쳐보는 것이 더 쉽게 발각될 수 있다.")</f>
        <v>미닫이문이 클수록 누군가 옷을 갈아입으면서 훔쳐보는 것이 더 쉽게 발각될 수 있다.</v>
      </c>
      <c r="X55" s="82" t="str">
        <f>IFERROR(__xludf.DUMMYFUNCTION("GOOGLETRANSLATE(D55,""zh-tw"",""KO"")"),"1. 얼굴 시술 센터에 성공적으로 잠입했다.
2. 언니에게 발각되었다.")</f>
        <v>1. 얼굴 시술 센터에 성공적으로 잠입했다.
2. 언니에게 발각되었다.</v>
      </c>
      <c r="Y55" s="115">
        <v>3.0</v>
      </c>
      <c r="Z55" s="161" t="s">
        <v>1952</v>
      </c>
      <c r="AA55" s="162" t="s">
        <v>1953</v>
      </c>
      <c r="AB55" s="142" t="s">
        <v>1954</v>
      </c>
      <c r="AC55" s="115">
        <v>3.0</v>
      </c>
      <c r="AD55" s="116" t="s">
        <v>1955</v>
      </c>
      <c r="AE55" s="117" t="s">
        <v>1956</v>
      </c>
      <c r="AF55" s="118" t="s">
        <v>1957</v>
      </c>
      <c r="AG55" s="125">
        <v>3.0</v>
      </c>
      <c r="AH55" s="126" t="s">
        <v>1958</v>
      </c>
      <c r="AI55" s="145" t="s">
        <v>1959</v>
      </c>
      <c r="AJ55" s="148" t="s">
        <v>1960</v>
      </c>
      <c r="AK55" s="115">
        <v>3.0</v>
      </c>
      <c r="AL55" s="128" t="s">
        <v>1961</v>
      </c>
      <c r="AM55" s="129" t="s">
        <v>1962</v>
      </c>
      <c r="AN55" s="130" t="s">
        <v>1963</v>
      </c>
      <c r="AO55" s="115">
        <v>3.0</v>
      </c>
      <c r="AP55" s="120" t="s">
        <v>1964</v>
      </c>
      <c r="AQ55" s="117" t="s">
        <v>1965</v>
      </c>
      <c r="AR55" s="79" t="s">
        <v>1966</v>
      </c>
      <c r="AS55" s="115"/>
      <c r="AT55" s="120"/>
      <c r="AU55" s="117"/>
      <c r="AV55" s="79"/>
      <c r="AW55" s="118"/>
      <c r="AX55" s="118"/>
    </row>
    <row r="56">
      <c r="A56" s="115">
        <v>4.0</v>
      </c>
      <c r="B56" s="116" t="s">
        <v>1967</v>
      </c>
      <c r="C56" s="117" t="s">
        <v>1968</v>
      </c>
      <c r="D56" s="118" t="s">
        <v>1969</v>
      </c>
      <c r="E56" s="115">
        <v>4.0</v>
      </c>
      <c r="F56" s="116" t="s">
        <v>1970</v>
      </c>
      <c r="G56" s="119" t="s">
        <v>1971</v>
      </c>
      <c r="H56" s="118" t="s">
        <v>1972</v>
      </c>
      <c r="I56" s="115">
        <v>4.0</v>
      </c>
      <c r="J56" s="116" t="s">
        <v>1973</v>
      </c>
      <c r="K56" s="117" t="s">
        <v>1974</v>
      </c>
      <c r="L56" s="118" t="s">
        <v>1975</v>
      </c>
      <c r="M56" s="115">
        <v>4.0</v>
      </c>
      <c r="N56" s="116" t="str">
        <f>IFERROR(__xludf.DUMMYFUNCTION("GOOGLETRANSLATE(B56,""zh-tw"",""zh"")"),"现在就去-2")</f>
        <v>现在就去-2</v>
      </c>
      <c r="O56" s="121" t="str">
        <f>IFERROR(__xludf.DUMMYFUNCTION("GOOGLETRANSLATE(C56,""zh-tw"",""zh"")"),"触发偷窥换衣事件，当好感度高于2时，拉门未完全开启，可触发被发现的选项")</f>
        <v>触发偷窥换衣事件，当好感度高于2时，拉门未完全开启，可触发被发现的选项</v>
      </c>
      <c r="P56" s="82" t="str">
        <f>IFERROR(__xludf.DUMMYFUNCTION("GOOGLETRANSLATE(D56,""zh-tw"",""zh"")"),"出现三个选项(包含-让我看看)")</f>
        <v>出现三个选项(包含-让我看看)</v>
      </c>
      <c r="Q56" s="115">
        <v>4.0</v>
      </c>
      <c r="R56" s="116" t="s">
        <v>1976</v>
      </c>
      <c r="S56" s="121" t="s">
        <v>1977</v>
      </c>
      <c r="T56" s="82" t="s">
        <v>1978</v>
      </c>
      <c r="U56" s="115">
        <v>4.0</v>
      </c>
      <c r="V56" s="132" t="str">
        <f>IFERROR(__xludf.DUMMYFUNCTION("GOOGLETRANSLATE(B56,""zh-tw"",""KO"")"),"지금 -2로 이동하세요")</f>
        <v>지금 -2로 이동하세요</v>
      </c>
      <c r="W56" s="121" t="str">
        <f>IFERROR(__xludf.DUMMYFUNCTION("GOOGLETRANSLATE(C56,""zh-tw"",""KO"")"),"옷 갈아입는 동안 엿보는 상황을 유발하는 방법: 애정도가 2 이상이고 미닫이문이 완전히 열리지 않은 경우, 발각될 수 있는 옵션이 발생할 수 있습니다.")</f>
        <v>옷 갈아입는 동안 엿보는 상황을 유발하는 방법: 애정도가 2 이상이고 미닫이문이 완전히 열리지 않은 경우, 발각될 수 있는 옵션이 발생할 수 있습니다.</v>
      </c>
      <c r="X56" s="82" t="str">
        <f>IFERROR(__xludf.DUMMYFUNCTION("GOOGLETRANSLATE(D56,""zh-tw"",""KO"")"),"""확인해 보겠습니다""를 포함하여 세 가지 옵션이 표시됩니다.")</f>
        <v>"확인해 보겠습니다"를 포함하여 세 가지 옵션이 표시됩니다.</v>
      </c>
      <c r="Y56" s="115">
        <v>4.0</v>
      </c>
      <c r="Z56" s="161" t="s">
        <v>1979</v>
      </c>
      <c r="AA56" s="162" t="s">
        <v>1980</v>
      </c>
      <c r="AB56" s="142" t="s">
        <v>1981</v>
      </c>
      <c r="AC56" s="115">
        <v>4.0</v>
      </c>
      <c r="AD56" s="116" t="s">
        <v>1982</v>
      </c>
      <c r="AE56" s="117" t="s">
        <v>1983</v>
      </c>
      <c r="AF56" s="118" t="s">
        <v>1984</v>
      </c>
      <c r="AG56" s="125">
        <v>4.0</v>
      </c>
      <c r="AH56" s="126" t="s">
        <v>1985</v>
      </c>
      <c r="AI56" s="145" t="s">
        <v>1986</v>
      </c>
      <c r="AJ56" s="148" t="s">
        <v>1987</v>
      </c>
      <c r="AK56" s="115">
        <v>4.0</v>
      </c>
      <c r="AL56" s="128" t="s">
        <v>1988</v>
      </c>
      <c r="AM56" s="141" t="s">
        <v>1989</v>
      </c>
      <c r="AN56" s="130" t="s">
        <v>1990</v>
      </c>
      <c r="AO56" s="115">
        <v>4.0</v>
      </c>
      <c r="AP56" s="120" t="s">
        <v>1991</v>
      </c>
      <c r="AQ56" s="117" t="s">
        <v>1992</v>
      </c>
      <c r="AR56" s="79" t="s">
        <v>1993</v>
      </c>
      <c r="AS56" s="115"/>
      <c r="AT56" s="120"/>
      <c r="AU56" s="117"/>
      <c r="AV56" s="79"/>
      <c r="AW56" s="118"/>
      <c r="AX56" s="118"/>
    </row>
    <row r="57">
      <c r="A57" s="153">
        <v>5.0</v>
      </c>
      <c r="B57" s="116" t="s">
        <v>1994</v>
      </c>
      <c r="C57" s="117" t="s">
        <v>1995</v>
      </c>
      <c r="D57" s="118" t="s">
        <v>1996</v>
      </c>
      <c r="E57" s="153">
        <v>5.0</v>
      </c>
      <c r="F57" s="116" t="s">
        <v>1997</v>
      </c>
      <c r="G57" s="119" t="s">
        <v>1998</v>
      </c>
      <c r="H57" s="118" t="s">
        <v>1999</v>
      </c>
      <c r="I57" s="153">
        <v>5.0</v>
      </c>
      <c r="J57" s="116" t="s">
        <v>2000</v>
      </c>
      <c r="K57" s="117" t="s">
        <v>2001</v>
      </c>
      <c r="L57" s="118" t="s">
        <v>2002</v>
      </c>
      <c r="M57" s="153">
        <v>5.0</v>
      </c>
      <c r="N57" s="116" t="str">
        <f>IFERROR(__xludf.DUMMYFUNCTION("GOOGLETRANSLATE(B57,""zh-tw"",""zh"")"),"现在就去-3")</f>
        <v>现在就去-3</v>
      </c>
      <c r="O57" s="121" t="str">
        <f>IFERROR(__xludf.DUMMYFUNCTION("GOOGLETRANSLATE(C57,""zh-tw"",""zh"")"),"触发偷窥换衣事件，当好感度高于2时，拉门未完全开启，(出现三个选项都不选)，此时点击""鼠标右键""，即出现特殊选项")</f>
        <v>触发偷窥换衣事件，当好感度高于2时，拉门未完全开启，(出现三个选项都不选)，此时点击"鼠标右键"，即出现特殊选项</v>
      </c>
      <c r="P57" s="82" t="str">
        <f>IFERROR(__xludf.DUMMYFUNCTION("GOOGLETRANSLATE(D57,""zh-tw"",""zh"")"),"出现特殊选项")</f>
        <v>出现特殊选项</v>
      </c>
      <c r="Q57" s="153">
        <v>5.0</v>
      </c>
      <c r="R57" s="116" t="s">
        <v>2003</v>
      </c>
      <c r="S57" s="121" t="s">
        <v>2004</v>
      </c>
      <c r="T57" s="82" t="s">
        <v>2005</v>
      </c>
      <c r="U57" s="153">
        <v>5.0</v>
      </c>
      <c r="V57" s="132" t="str">
        <f>IFERROR(__xludf.DUMMYFUNCTION("GOOGLETRANSLATE(B57,""zh-tw"",""KO"")"),"지금 -3으로 이동하세요")</f>
        <v>지금 -3으로 이동하세요</v>
      </c>
      <c r="W57" s="121" t="str">
        <f>IFERROR(__xludf.DUMMYFUNCTION("GOOGLETRANSLATE(C57,""zh-tw"",""KO"")"),"옷 갈아입는 동안 엿보기 이벤트가 발생하고 애정도가 2 이상일 때, (세 가지 옵션 중 어느 것도 선택하지 않은 경우) 미닫이문이 완전히 열리지 않으면 마우스 오른쪽 버튼을 클릭하여 특별한 옵션을 불러올 수 있습니다.")</f>
        <v>옷 갈아입는 동안 엿보기 이벤트가 발생하고 애정도가 2 이상일 때, (세 가지 옵션 중 어느 것도 선택하지 않은 경우) 미닫이문이 완전히 열리지 않으면 마우스 오른쪽 버튼을 클릭하여 특별한 옵션을 불러올 수 있습니다.</v>
      </c>
      <c r="X57" s="82" t="str">
        <f>IFERROR(__xludf.DUMMYFUNCTION("GOOGLETRANSLATE(D57,""zh-tw"",""KO"")"),"특별 옵션이 표시됩니다")</f>
        <v>특별 옵션이 표시됩니다</v>
      </c>
      <c r="Y57" s="115">
        <v>5.0</v>
      </c>
      <c r="Z57" s="161" t="s">
        <v>2006</v>
      </c>
      <c r="AA57" s="162" t="s">
        <v>2007</v>
      </c>
      <c r="AB57" s="142" t="s">
        <v>2008</v>
      </c>
      <c r="AC57" s="153">
        <v>5.0</v>
      </c>
      <c r="AD57" s="116" t="s">
        <v>2009</v>
      </c>
      <c r="AE57" s="117" t="s">
        <v>2010</v>
      </c>
      <c r="AF57" s="118" t="s">
        <v>2011</v>
      </c>
      <c r="AG57" s="163">
        <v>5.0</v>
      </c>
      <c r="AH57" s="126" t="s">
        <v>2012</v>
      </c>
      <c r="AI57" s="145" t="s">
        <v>2013</v>
      </c>
      <c r="AJ57" s="148" t="s">
        <v>2014</v>
      </c>
      <c r="AK57" s="115">
        <v>5.0</v>
      </c>
      <c r="AL57" s="128" t="s">
        <v>2015</v>
      </c>
      <c r="AM57" s="129" t="s">
        <v>2016</v>
      </c>
      <c r="AN57" s="130" t="s">
        <v>2017</v>
      </c>
      <c r="AO57" s="115">
        <v>5.0</v>
      </c>
      <c r="AP57" s="120" t="s">
        <v>2018</v>
      </c>
      <c r="AQ57" s="117" t="s">
        <v>2019</v>
      </c>
      <c r="AR57" s="118" t="s">
        <v>2020</v>
      </c>
      <c r="AS57" s="115"/>
      <c r="AT57" s="120"/>
      <c r="AU57" s="117"/>
      <c r="AV57" s="118"/>
      <c r="AW57" s="118"/>
      <c r="AX57" s="118"/>
    </row>
    <row r="58">
      <c r="A58" s="115">
        <v>6.0</v>
      </c>
      <c r="B58" s="116" t="s">
        <v>2021</v>
      </c>
      <c r="C58" s="117" t="s">
        <v>2022</v>
      </c>
      <c r="D58" s="118" t="s">
        <v>2023</v>
      </c>
      <c r="E58" s="115">
        <v>6.0</v>
      </c>
      <c r="F58" s="116" t="s">
        <v>2024</v>
      </c>
      <c r="G58" s="117" t="s">
        <v>2025</v>
      </c>
      <c r="H58" s="118" t="s">
        <v>2026</v>
      </c>
      <c r="I58" s="115">
        <v>6.0</v>
      </c>
      <c r="J58" s="116" t="s">
        <v>2027</v>
      </c>
      <c r="K58" s="117" t="s">
        <v>2028</v>
      </c>
      <c r="L58" s="118" t="s">
        <v>2029</v>
      </c>
      <c r="M58" s="115">
        <v>6.0</v>
      </c>
      <c r="N58" s="116" t="str">
        <f>IFERROR(__xludf.DUMMYFUNCTION("GOOGLETRANSLATE(B58,""zh-tw"",""zh"")"),"现在就去-4")</f>
        <v>现在就去-4</v>
      </c>
      <c r="O58" s="121" t="str">
        <f>IFERROR(__xludf.DUMMYFUNCTION("GOOGLETRANSLATE(C58,""zh-tw"",""zh"")"),"触发偷窥换衣事件，拉门完全开启，触发唯一选项")</f>
        <v>触发偷窥换衣事件，拉门完全开启，触发唯一选项</v>
      </c>
      <c r="P58" s="82" t="str">
        <f>IFERROR(__xludf.DUMMYFUNCTION("GOOGLETRANSLATE(D58,""zh-tw"",""zh"")"),"触发黑色选项(让我看看)")</f>
        <v>触发黑色选项(让我看看)</v>
      </c>
      <c r="Q58" s="115">
        <v>6.0</v>
      </c>
      <c r="R58" s="116" t="s">
        <v>2030</v>
      </c>
      <c r="S58" s="121" t="s">
        <v>2031</v>
      </c>
      <c r="T58" s="82" t="s">
        <v>2032</v>
      </c>
      <c r="U58" s="115">
        <v>6.0</v>
      </c>
      <c r="V58" s="132" t="str">
        <f>IFERROR(__xludf.DUMMYFUNCTION("GOOGLETRANSLATE(B58,""zh-tw"",""KO"")"),"지금 -4로 이동하세요")</f>
        <v>지금 -4로 이동하세요</v>
      </c>
      <c r="W58" s="121" t="str">
        <f>IFERROR(__xludf.DUMMYFUNCTION("GOOGLETRANSLATE(C58,""zh-tw"",""KO"")"),"옷 갈아입는 동안 엿보는 행위가 발생하고, 미닫이문이 완전히 열리며, 유일한 선택지가 표시됩니다.")</f>
        <v>옷 갈아입는 동안 엿보는 행위가 발생하고, 미닫이문이 완전히 열리며, 유일한 선택지가 표시됩니다.</v>
      </c>
      <c r="X58" s="82" t="str">
        <f>IFERROR(__xludf.DUMMYFUNCTION("GOOGLETRANSLATE(D58,""zh-tw"",""KO"")"),"검정색 옵션을 활성화하세요(어디 보자).")</f>
        <v>검정색 옵션을 활성화하세요(어디 보자).</v>
      </c>
      <c r="Y58" s="115">
        <v>6.0</v>
      </c>
      <c r="Z58" s="161" t="s">
        <v>2033</v>
      </c>
      <c r="AA58" s="162" t="s">
        <v>2034</v>
      </c>
      <c r="AB58" s="142" t="s">
        <v>2035</v>
      </c>
      <c r="AC58" s="115">
        <v>6.0</v>
      </c>
      <c r="AD58" s="116" t="s">
        <v>2036</v>
      </c>
      <c r="AE58" s="117" t="s">
        <v>2037</v>
      </c>
      <c r="AF58" s="118" t="s">
        <v>2038</v>
      </c>
      <c r="AG58" s="125">
        <v>6.0</v>
      </c>
      <c r="AH58" s="126" t="s">
        <v>2039</v>
      </c>
      <c r="AI58" s="145" t="s">
        <v>2040</v>
      </c>
      <c r="AJ58" s="148" t="s">
        <v>2041</v>
      </c>
      <c r="AK58" s="115">
        <v>6.0</v>
      </c>
      <c r="AL58" s="128" t="s">
        <v>2042</v>
      </c>
      <c r="AM58" s="129" t="s">
        <v>2043</v>
      </c>
      <c r="AN58" s="130" t="s">
        <v>2044</v>
      </c>
      <c r="AO58" s="115">
        <v>6.0</v>
      </c>
      <c r="AP58" s="120" t="s">
        <v>2045</v>
      </c>
      <c r="AQ58" s="117" t="s">
        <v>2046</v>
      </c>
      <c r="AR58" s="79" t="s">
        <v>2047</v>
      </c>
      <c r="AS58" s="115"/>
      <c r="AT58" s="120"/>
      <c r="AU58" s="117"/>
      <c r="AV58" s="79"/>
      <c r="AW58" s="118"/>
      <c r="AX58" s="118"/>
    </row>
    <row r="59">
      <c r="A59" s="115">
        <v>7.0</v>
      </c>
      <c r="B59" s="116" t="s">
        <v>2048</v>
      </c>
      <c r="C59" s="119" t="s">
        <v>2049</v>
      </c>
      <c r="D59" s="79" t="s">
        <v>2050</v>
      </c>
      <c r="E59" s="115">
        <v>7.0</v>
      </c>
      <c r="F59" s="120" t="s">
        <v>2051</v>
      </c>
      <c r="G59" s="119" t="s">
        <v>2052</v>
      </c>
      <c r="H59" s="79" t="s">
        <v>2053</v>
      </c>
      <c r="I59" s="115">
        <v>7.0</v>
      </c>
      <c r="J59" s="120" t="s">
        <v>2054</v>
      </c>
      <c r="K59" s="119" t="s">
        <v>2055</v>
      </c>
      <c r="L59" s="79" t="s">
        <v>2056</v>
      </c>
      <c r="M59" s="115">
        <v>7.0</v>
      </c>
      <c r="N59" s="116" t="str">
        <f>IFERROR(__xludf.DUMMYFUNCTION("GOOGLETRANSLATE(B59,""zh-tw"",""zh"")"),"现在就去-5")</f>
        <v>现在就去-5</v>
      </c>
      <c r="O59" s="121" t="str">
        <f>IFERROR(__xludf.DUMMYFUNCTION("GOOGLETRANSLATE(C59,""zh-tw"",""zh"")"),"同上，拉门完全开启后，马上将门再次关闭")</f>
        <v>同上，拉门完全开启后，马上将门再次关闭</v>
      </c>
      <c r="P59" s="82" t="str">
        <f>IFERROR(__xludf.DUMMYFUNCTION("GOOGLETRANSLATE(D59,""zh-tw"",""zh"")"),"触发不同的对话
出现三个选项(包含-让我看看)")</f>
        <v>触发不同的对话
出现三个选项(包含-让我看看)</v>
      </c>
      <c r="Q59" s="115">
        <v>7.0</v>
      </c>
      <c r="R59" s="132" t="str">
        <f>IFERROR(__xludf.DUMMYFUNCTION("GOOGLETRANSLATE(B59,""zh-tw"",""es-mx"")"),"Ve a -5 ahora")</f>
        <v>Ve a -5 ahora</v>
      </c>
      <c r="S59" s="121" t="str">
        <f>IFERROR(__xludf.DUMMYFUNCTION("GOOGLETRANSLATE(C59,""zh-tw"",""es-mx"")"),"Como se indicó anteriormente, una vez que la puerta corrediza esté completamente abierta, ciérrela inmediatamente.")</f>
        <v>Como se indicó anteriormente, una vez que la puerta corrediza esté completamente abierta, ciérrela inmediatamente.</v>
      </c>
      <c r="T59" s="82" t="str">
        <f>IFERROR(__xludf.DUMMYFUNCTION("GOOGLETRANSLATE(D59,""zh-tw"",""es-mx"")"),"Esto desencadena diferentes diálogos, presentando tres opciones (incluida ""Déjame ver"").")</f>
        <v>Esto desencadena diferentes diálogos, presentando tres opciones (incluida "Déjame ver").</v>
      </c>
      <c r="U59" s="115">
        <v>7.0</v>
      </c>
      <c r="V59" s="132" t="str">
        <f>IFERROR(__xludf.DUMMYFUNCTION("GOOGLETRANSLATE(B59,""zh-tw"",""KO"")"),"지금 -5로 이동하세요")</f>
        <v>지금 -5로 이동하세요</v>
      </c>
      <c r="W59" s="121" t="str">
        <f>IFERROR(__xludf.DUMMYFUNCTION("GOOGLETRANSLATE(C59,""zh-tw"",""KO"")"),"위에서 설명한 대로 미닫이문을 완전히 연 후에는 즉시 다시 닫으십시오.")</f>
        <v>위에서 설명한 대로 미닫이문을 완전히 연 후에는 즉시 다시 닫으십시오.</v>
      </c>
      <c r="X59" s="82" t="str">
        <f>IFERROR(__xludf.DUMMYFUNCTION("GOOGLETRANSLATE(D59,""zh-tw"",""KO"")"),"이렇게 하면 여러 가지 대화창이 나타나고, ""어디 보자""를 포함한 세 가지 선택지가 표시됩니다.")</f>
        <v>이렇게 하면 여러 가지 대화창이 나타나고, "어디 보자"를 포함한 세 가지 선택지가 표시됩니다.</v>
      </c>
      <c r="Y59" s="115">
        <v>7.0</v>
      </c>
      <c r="Z59" s="161" t="s">
        <v>2057</v>
      </c>
      <c r="AA59" s="162" t="s">
        <v>2058</v>
      </c>
      <c r="AB59" s="142" t="s">
        <v>2059</v>
      </c>
      <c r="AC59" s="115">
        <v>7.0</v>
      </c>
      <c r="AD59" s="120" t="s">
        <v>2060</v>
      </c>
      <c r="AE59" s="119" t="s">
        <v>2061</v>
      </c>
      <c r="AF59" s="79" t="s">
        <v>2062</v>
      </c>
      <c r="AG59" s="125">
        <v>7.0</v>
      </c>
      <c r="AH59" s="126" t="s">
        <v>2063</v>
      </c>
      <c r="AI59" s="145" t="s">
        <v>2064</v>
      </c>
      <c r="AJ59" s="148" t="s">
        <v>2065</v>
      </c>
      <c r="AK59" s="115">
        <v>7.0</v>
      </c>
      <c r="AL59" s="128" t="s">
        <v>2066</v>
      </c>
      <c r="AM59" s="129" t="s">
        <v>2067</v>
      </c>
      <c r="AN59" s="130" t="s">
        <v>2068</v>
      </c>
      <c r="AO59" s="115">
        <v>7.0</v>
      </c>
      <c r="AP59" s="120" t="s">
        <v>2069</v>
      </c>
      <c r="AQ59" s="117" t="s">
        <v>2070</v>
      </c>
      <c r="AR59" s="79" t="s">
        <v>2071</v>
      </c>
      <c r="AS59" s="115"/>
      <c r="AT59" s="120"/>
      <c r="AU59" s="117"/>
      <c r="AV59" s="79"/>
      <c r="AW59" s="79"/>
      <c r="AX59" s="79"/>
    </row>
    <row r="60">
      <c r="A60" s="153">
        <v>8.0</v>
      </c>
      <c r="B60" s="116" t="s">
        <v>2072</v>
      </c>
      <c r="C60" s="119" t="s">
        <v>2073</v>
      </c>
      <c r="D60" s="118" t="s">
        <v>2074</v>
      </c>
      <c r="E60" s="153">
        <v>8.0</v>
      </c>
      <c r="F60" s="116" t="s">
        <v>2075</v>
      </c>
      <c r="G60" s="119" t="s">
        <v>2076</v>
      </c>
      <c r="H60" s="118" t="s">
        <v>2077</v>
      </c>
      <c r="I60" s="153">
        <v>8.0</v>
      </c>
      <c r="J60" s="116" t="s">
        <v>2078</v>
      </c>
      <c r="K60" s="117" t="s">
        <v>2079</v>
      </c>
      <c r="L60" s="118" t="s">
        <v>2080</v>
      </c>
      <c r="M60" s="153">
        <v>8.0</v>
      </c>
      <c r="N60" s="116" t="str">
        <f>IFERROR(__xludf.DUMMYFUNCTION("GOOGLETRANSLATE(B60,""zh-tw"",""zh"")"),"让我看看...-1")</f>
        <v>让我看看...-1</v>
      </c>
      <c r="O60" s="121" t="str">
        <f>IFERROR(__xludf.DUMMYFUNCTION("GOOGLETRANSLATE(C60,""zh-tw"",""zh"")"),"被妹妹拒绝")</f>
        <v>被妹妹拒绝</v>
      </c>
      <c r="P60" s="82" t="str">
        <f>IFERROR(__xludf.DUMMYFUNCTION("GOOGLETRANSLATE(D60,""zh-tw"",""zh"")"),"哥哥是笨蛋！")</f>
        <v>哥哥是笨蛋！</v>
      </c>
      <c r="Q60" s="153">
        <v>8.0</v>
      </c>
      <c r="R60" s="116" t="s">
        <v>2081</v>
      </c>
      <c r="S60" s="121" t="s">
        <v>2082</v>
      </c>
      <c r="T60" s="82" t="s">
        <v>2083</v>
      </c>
      <c r="U60" s="153">
        <v>8.0</v>
      </c>
      <c r="V60" s="132" t="str">
        <f>IFERROR(__xludf.DUMMYFUNCTION("GOOGLETRANSLATE(B60,""zh-tw"",""KO"")"),"어디 보자...-1")</f>
        <v>어디 보자...-1</v>
      </c>
      <c r="W60" s="121" t="str">
        <f>IFERROR(__xludf.DUMMYFUNCTION("GOOGLETRANSLATE(C60,""zh-tw"",""KO"")"),"내 여동생에게 거절당했어요")</f>
        <v>내 여동생에게 거절당했어요</v>
      </c>
      <c r="X60" s="82" t="str">
        <f>IFERROR(__xludf.DUMMYFUNCTION("GOOGLETRANSLATE(D60,""zh-tw"",""KO"")"),"내 동생은 바보야!")</f>
        <v>내 동생은 바보야!</v>
      </c>
      <c r="Y60" s="115">
        <v>8.0</v>
      </c>
      <c r="Z60" s="161" t="s">
        <v>2084</v>
      </c>
      <c r="AA60" s="162" t="s">
        <v>2085</v>
      </c>
      <c r="AB60" s="142" t="s">
        <v>2086</v>
      </c>
      <c r="AC60" s="153">
        <v>8.0</v>
      </c>
      <c r="AD60" s="116" t="s">
        <v>2087</v>
      </c>
      <c r="AE60" s="117" t="s">
        <v>2088</v>
      </c>
      <c r="AF60" s="118" t="s">
        <v>2089</v>
      </c>
      <c r="AG60" s="163">
        <v>8.0</v>
      </c>
      <c r="AH60" s="126" t="s">
        <v>2090</v>
      </c>
      <c r="AI60" s="145" t="s">
        <v>2091</v>
      </c>
      <c r="AJ60" s="146" t="s">
        <v>2092</v>
      </c>
      <c r="AK60" s="115">
        <v>8.0</v>
      </c>
      <c r="AL60" s="128" t="s">
        <v>2093</v>
      </c>
      <c r="AM60" s="141" t="s">
        <v>2094</v>
      </c>
      <c r="AN60" s="130" t="s">
        <v>2095</v>
      </c>
      <c r="AO60" s="115">
        <v>8.0</v>
      </c>
      <c r="AP60" s="120" t="s">
        <v>2096</v>
      </c>
      <c r="AQ60" s="119" t="s">
        <v>2097</v>
      </c>
      <c r="AR60" s="79" t="s">
        <v>2098</v>
      </c>
      <c r="AS60" s="115"/>
      <c r="AT60" s="120"/>
      <c r="AU60" s="119"/>
      <c r="AV60" s="79"/>
      <c r="AW60" s="118"/>
      <c r="AX60" s="118"/>
    </row>
    <row r="61">
      <c r="A61" s="115">
        <v>9.0</v>
      </c>
      <c r="B61" s="120" t="s">
        <v>2099</v>
      </c>
      <c r="C61" s="119" t="s">
        <v>2100</v>
      </c>
      <c r="D61" s="79" t="s">
        <v>2101</v>
      </c>
      <c r="E61" s="115">
        <v>9.0</v>
      </c>
      <c r="F61" s="116" t="s">
        <v>2102</v>
      </c>
      <c r="G61" s="117" t="s">
        <v>2103</v>
      </c>
      <c r="H61" s="118" t="s">
        <v>2104</v>
      </c>
      <c r="I61" s="115">
        <v>9.0</v>
      </c>
      <c r="J61" s="116" t="s">
        <v>2105</v>
      </c>
      <c r="K61" s="117" t="s">
        <v>2106</v>
      </c>
      <c r="L61" s="79" t="s">
        <v>2107</v>
      </c>
      <c r="M61" s="115">
        <v>9.0</v>
      </c>
      <c r="N61" s="116" t="str">
        <f>IFERROR(__xludf.DUMMYFUNCTION("GOOGLETRANSLATE(B61,""zh-tw"",""zh"")"),"让我看看...-2
""想要色色""")</f>
        <v>让我看看...-2
"想要色色"</v>
      </c>
      <c r="O61" s="121" t="str">
        <f>IFERROR(__xludf.DUMMYFUNCTION("GOOGLETRANSLATE(C61,""zh-tw"",""zh"")"),"将门完全打开时，有机率出现""想要色色""
若此时你的爱心数量不足，则可以使用""约定:草莓牛奶""或金币")</f>
        <v>将门完全打开时，有机率出现"想要色色"
若此时你的爱心数量不足，则可以使用"约定:草莓牛奶"或金币</v>
      </c>
      <c r="P61" s="82" t="str">
        <f>IFERROR(__xludf.DUMMYFUNCTION("GOOGLETRANSLATE(D61,""zh-tw"",""zh"")"),"执行""想要色色""选项
后续依照贿络结果，触发后续剧情(贿络未实装)")</f>
        <v>执行"想要色色"选项
后续依照贿络结果，触发后续剧情(贿络未实装)</v>
      </c>
      <c r="Q61" s="115">
        <v>9.0</v>
      </c>
      <c r="R61" s="132" t="s">
        <v>2108</v>
      </c>
      <c r="S61" s="119" t="s">
        <v>2109</v>
      </c>
      <c r="T61" s="79" t="s">
        <v>2110</v>
      </c>
      <c r="U61" s="115">
        <v>9.0</v>
      </c>
      <c r="V61" s="132" t="str">
        <f>IFERROR(__xludf.DUMMYFUNCTION("GOOGLETRANSLATE(B61,""zh-tw"",""KO"")"),"어디 보자... -2
""섹스하고 싶어?""")</f>
        <v>어디 보자... -2
"섹스하고 싶어?"</v>
      </c>
      <c r="W61" s="121" t="str">
        <f>IFERROR(__xludf.DUMMYFUNCTION("GOOGLETRANSLATE(C61,""zh-tw"",""KO"")"),"문이 완전히 열리면 ""섹시해지고 싶어""라는 메시지가 나타날 확률이 있습니다. 이때 하트가 부족하다면 ""약속: 딸기 우유""나 코인을 사용하세요.")</f>
        <v>문이 완전히 열리면 "섹시해지고 싶어"라는 메시지가 나타날 확률이 있습니다. 이때 하트가 부족하다면 "약속: 딸기 우유"나 코인을 사용하세요.</v>
      </c>
      <c r="X61" s="82" t="str">
        <f>IFERROR(__xludf.DUMMYFUNCTION("GOOGLETRANSLATE(D61,""zh-tw"",""KO"")"),"""성관계를 원해"" 옵션을 실행하세요.
뇌물 수수 결과에 따라 후속 이벤트가 발생합니다 (뇌물 시스템은 아직 구현되지 않았습니다).")</f>
        <v>"성관계를 원해" 옵션을 실행하세요.
뇌물 수수 결과에 따라 후속 이벤트가 발생합니다 (뇌물 시스템은 아직 구현되지 않았습니다).</v>
      </c>
      <c r="Y61" s="115">
        <v>9.0</v>
      </c>
      <c r="Z61" s="161" t="s">
        <v>2111</v>
      </c>
      <c r="AA61" s="162" t="s">
        <v>2112</v>
      </c>
      <c r="AB61" s="142" t="s">
        <v>2113</v>
      </c>
      <c r="AC61" s="115">
        <v>9.0</v>
      </c>
      <c r="AD61" s="116" t="s">
        <v>2114</v>
      </c>
      <c r="AE61" s="117" t="s">
        <v>2115</v>
      </c>
      <c r="AF61" s="118" t="s">
        <v>2116</v>
      </c>
      <c r="AG61" s="125">
        <v>9.0</v>
      </c>
      <c r="AH61" s="126" t="s">
        <v>2117</v>
      </c>
      <c r="AI61" s="149" t="s">
        <v>2118</v>
      </c>
      <c r="AJ61" s="146" t="s">
        <v>2119</v>
      </c>
      <c r="AK61" s="115">
        <v>9.0</v>
      </c>
      <c r="AL61" s="128" t="s">
        <v>2120</v>
      </c>
      <c r="AM61" s="129" t="s">
        <v>2121</v>
      </c>
      <c r="AN61" s="130" t="s">
        <v>2122</v>
      </c>
      <c r="AO61" s="115">
        <v>9.0</v>
      </c>
      <c r="AP61" s="120" t="s">
        <v>2123</v>
      </c>
      <c r="AQ61" s="117" t="s">
        <v>2124</v>
      </c>
      <c r="AR61" s="118" t="s">
        <v>2125</v>
      </c>
      <c r="AS61" s="115"/>
      <c r="AT61" s="120"/>
      <c r="AU61" s="117"/>
      <c r="AV61" s="118"/>
      <c r="AW61" s="79"/>
      <c r="AX61" s="79"/>
    </row>
    <row r="62">
      <c r="A62" s="115">
        <v>10.0</v>
      </c>
      <c r="B62" s="120" t="s">
        <v>2126</v>
      </c>
      <c r="C62" s="117" t="s">
        <v>2127</v>
      </c>
      <c r="D62" s="79" t="s">
        <v>2128</v>
      </c>
      <c r="E62" s="115">
        <v>10.0</v>
      </c>
      <c r="F62" s="116" t="s">
        <v>2129</v>
      </c>
      <c r="G62" s="119" t="s">
        <v>2130</v>
      </c>
      <c r="H62" s="118" t="s">
        <v>2131</v>
      </c>
      <c r="I62" s="115">
        <v>10.0</v>
      </c>
      <c r="J62" s="116" t="s">
        <v>2132</v>
      </c>
      <c r="K62" s="119" t="s">
        <v>2133</v>
      </c>
      <c r="L62" s="118" t="s">
        <v>2134</v>
      </c>
      <c r="M62" s="115">
        <v>10.0</v>
      </c>
      <c r="N62" s="116" t="str">
        <f>IFERROR(__xludf.DUMMYFUNCTION("GOOGLETRANSLATE(B62,""zh-tw"",""zh"")"),"让我看看...-3
""想要色色""")</f>
        <v>让我看看...-3
"想要色色"</v>
      </c>
      <c r="O62" s="121" t="str">
        <f>IFERROR(__xludf.DUMMYFUNCTION("GOOGLETRANSLATE(C62,""zh-tw"",""zh"")"),"同上，被拒绝时，使用""什么都行券""")</f>
        <v>同上，被拒绝时，使用"什么都行券"</v>
      </c>
      <c r="P62" s="82" t="str">
        <f>IFERROR(__xludf.DUMMYFUNCTION("GOOGLETRANSLATE(D62,""zh-tw"",""zh"")"),"执行""想要色色""选项
后续使用""什么都行券""必定可以触发后续剧情(未实装)")</f>
        <v>执行"想要色色"选项
后续使用"什么都行券"必定可以触发后续剧情(未实装)</v>
      </c>
      <c r="Q62" s="115">
        <v>10.0</v>
      </c>
      <c r="R62" s="132" t="s">
        <v>2135</v>
      </c>
      <c r="S62" s="119" t="s">
        <v>2136</v>
      </c>
      <c r="T62" s="79" t="s">
        <v>2137</v>
      </c>
      <c r="U62" s="115">
        <v>10.0</v>
      </c>
      <c r="V62" s="132" t="str">
        <f>IFERROR(__xludf.DUMMYFUNCTION("GOOGLETRANSLATE(B62,""zh-tw"",""KO"")"),"어디 보자... -3
""섹시해지고 싶어""")</f>
        <v>어디 보자... -3
"섹시해지고 싶어"</v>
      </c>
      <c r="W62" s="121" t="str">
        <f>IFERROR(__xludf.DUMMYFUNCTION("GOOGLETRANSLATE(C62,""zh-tw"",""KO"")"),"마찬가지로 거절당했을 경우 ""무엇이든 괜찮습니다"" 쿠폰을 사용하세요.")</f>
        <v>마찬가지로 거절당했을 경우 "무엇이든 괜찮습니다" 쿠폰을 사용하세요.</v>
      </c>
      <c r="X62" s="82" t="str">
        <f>IFERROR(__xludf.DUMMYFUNCTION("GOOGLETRANSLATE(D62,""zh-tw"",""KO"")"),"""성관계를 갖고 싶다"" 옵션을 실행하면
이후 ""무엇이든 괜찮아 쿠폰""을 사용하면 후속 스토리 이벤트가 발생합니다(아직 구현되지 않음).")</f>
        <v>"성관계를 갖고 싶다" 옵션을 실행하면
이후 "무엇이든 괜찮아 쿠폰"을 사용하면 후속 스토리 이벤트가 발생합니다(아직 구현되지 않음).</v>
      </c>
      <c r="Y62" s="115">
        <v>10.0</v>
      </c>
      <c r="Z62" s="161" t="s">
        <v>2138</v>
      </c>
      <c r="AA62" s="162" t="s">
        <v>2139</v>
      </c>
      <c r="AB62" s="142" t="s">
        <v>2140</v>
      </c>
      <c r="AC62" s="115">
        <v>10.0</v>
      </c>
      <c r="AD62" s="116" t="s">
        <v>2141</v>
      </c>
      <c r="AE62" s="117" t="s">
        <v>2142</v>
      </c>
      <c r="AF62" s="118" t="s">
        <v>2143</v>
      </c>
      <c r="AG62" s="125">
        <v>10.0</v>
      </c>
      <c r="AH62" s="126" t="s">
        <v>2144</v>
      </c>
      <c r="AI62" s="145" t="s">
        <v>2145</v>
      </c>
      <c r="AJ62" s="148" t="s">
        <v>2146</v>
      </c>
      <c r="AK62" s="115">
        <v>10.0</v>
      </c>
      <c r="AL62" s="128" t="s">
        <v>2147</v>
      </c>
      <c r="AM62" s="129" t="s">
        <v>2148</v>
      </c>
      <c r="AN62" s="130" t="s">
        <v>2149</v>
      </c>
      <c r="AO62" s="115">
        <v>10.0</v>
      </c>
      <c r="AP62" s="120" t="s">
        <v>2150</v>
      </c>
      <c r="AQ62" s="117" t="s">
        <v>2151</v>
      </c>
      <c r="AR62" s="118" t="s">
        <v>2152</v>
      </c>
      <c r="AS62" s="115"/>
      <c r="AT62" s="120"/>
      <c r="AU62" s="117"/>
      <c r="AV62" s="118"/>
      <c r="AW62" s="79"/>
      <c r="AX62" s="79"/>
    </row>
    <row r="63">
      <c r="A63" s="153">
        <v>11.0</v>
      </c>
      <c r="B63" s="120" t="s">
        <v>2153</v>
      </c>
      <c r="C63" s="119" t="s">
        <v>2154</v>
      </c>
      <c r="D63" s="79" t="s">
        <v>2155</v>
      </c>
      <c r="E63" s="153">
        <v>11.0</v>
      </c>
      <c r="F63" s="116" t="s">
        <v>2156</v>
      </c>
      <c r="G63" s="119" t="s">
        <v>2157</v>
      </c>
      <c r="H63" s="79" t="s">
        <v>2158</v>
      </c>
      <c r="I63" s="153">
        <v>11.0</v>
      </c>
      <c r="J63" s="120" t="s">
        <v>2159</v>
      </c>
      <c r="K63" s="119" t="s">
        <v>2160</v>
      </c>
      <c r="L63" s="79" t="s">
        <v>2161</v>
      </c>
      <c r="M63" s="153">
        <v>11.0</v>
      </c>
      <c r="N63" s="116" t="str">
        <f>IFERROR(__xludf.DUMMYFUNCTION("GOOGLETRANSLATE(B63,""zh-tw"",""zh"")"),"让我看看...-4
""想要色色""")</f>
        <v>让我看看...-4
"想要色色"</v>
      </c>
      <c r="O63" s="121" t="str">
        <f>IFERROR(__xludf.DUMMYFUNCTION("GOOGLETRANSLATE(C63,""zh-tw"",""zh"")"),"同上，当紫心1以上、红心2以上，可以触发剧情")</f>
        <v>同上，当紫心1以上、红心2以上，可以触发剧情</v>
      </c>
      <c r="P63" s="82" t="str">
        <f>IFERROR(__xludf.DUMMYFUNCTION("GOOGLETRANSLATE(D63,""zh-tw"",""zh"")"),"执行""想要色色""选项
触发用手服务的剧情")</f>
        <v>执行"想要色色"选项
触发用手服务的剧情</v>
      </c>
      <c r="Q63" s="153">
        <v>11.0</v>
      </c>
      <c r="R63" s="132" t="s">
        <v>2162</v>
      </c>
      <c r="S63" s="119" t="s">
        <v>2163</v>
      </c>
      <c r="T63" s="79" t="s">
        <v>2164</v>
      </c>
      <c r="U63" s="153">
        <v>11.0</v>
      </c>
      <c r="V63" s="132" t="str">
        <f>IFERROR(__xludf.DUMMYFUNCTION("GOOGLETRANSLATE(B63,""zh-tw"",""KO"")"),"어디 보자... -4
""섹시해지고 싶어""")</f>
        <v>어디 보자... -4
"섹시해지고 싶어"</v>
      </c>
      <c r="W63" s="121" t="str">
        <f>IFERROR(__xludf.DUMMYFUNCTION("GOOGLETRANSLATE(C63,""zh-tw"",""KO"")"),"위에서 설명한 것처럼, 보라색 하트가 1개 이상, 빨간색 하트가 2개 이상 있을 때 이벤트가 발생할 수 있습니다.")</f>
        <v>위에서 설명한 것처럼, 보라색 하트가 1개 이상, 빨간색 하트가 2개 이상 있을 때 이벤트가 발생할 수 있습니다.</v>
      </c>
      <c r="X63" s="82" t="str">
        <f>IFERROR(__xludf.DUMMYFUNCTION("GOOGLETRANSLATE(D63,""zh-tw"",""KO"")"),"""에로틱한 장면을 원하세요?"" 옵션을 선택하세요.
그러면 손을 사용하여 성행위를 하는 장면이 재생됩니다.")</f>
        <v>"에로틱한 장면을 원하세요?" 옵션을 선택하세요.
그러면 손을 사용하여 성행위를 하는 장면이 재생됩니다.</v>
      </c>
      <c r="Y63" s="115">
        <v>11.0</v>
      </c>
      <c r="Z63" s="161" t="s">
        <v>2165</v>
      </c>
      <c r="AA63" s="162" t="s">
        <v>2166</v>
      </c>
      <c r="AB63" s="142" t="s">
        <v>2167</v>
      </c>
      <c r="AC63" s="153">
        <v>11.0</v>
      </c>
      <c r="AD63" s="116" t="s">
        <v>2168</v>
      </c>
      <c r="AE63" s="117" t="s">
        <v>2169</v>
      </c>
      <c r="AF63" s="118" t="s">
        <v>2170</v>
      </c>
      <c r="AG63" s="163">
        <v>11.0</v>
      </c>
      <c r="AH63" s="126" t="s">
        <v>2171</v>
      </c>
      <c r="AI63" s="149" t="s">
        <v>2172</v>
      </c>
      <c r="AJ63" s="148" t="s">
        <v>2173</v>
      </c>
      <c r="AK63" s="115">
        <v>11.0</v>
      </c>
      <c r="AL63" s="128" t="s">
        <v>2174</v>
      </c>
      <c r="AM63" s="141" t="s">
        <v>2175</v>
      </c>
      <c r="AN63" s="130" t="s">
        <v>2176</v>
      </c>
      <c r="AO63" s="115">
        <v>11.0</v>
      </c>
      <c r="AP63" s="120" t="s">
        <v>2177</v>
      </c>
      <c r="AQ63" s="117" t="s">
        <v>2178</v>
      </c>
      <c r="AR63" s="118" t="s">
        <v>2179</v>
      </c>
      <c r="AS63" s="115"/>
      <c r="AT63" s="120"/>
      <c r="AU63" s="117"/>
      <c r="AV63" s="118"/>
      <c r="AW63" s="79"/>
      <c r="AX63" s="79"/>
    </row>
    <row r="64">
      <c r="A64" s="115">
        <v>12.0</v>
      </c>
      <c r="B64" s="116" t="s">
        <v>2180</v>
      </c>
      <c r="C64" s="117" t="s">
        <v>2181</v>
      </c>
      <c r="D64" s="118" t="s">
        <v>2182</v>
      </c>
      <c r="E64" s="115">
        <v>12.0</v>
      </c>
      <c r="F64" s="116" t="s">
        <v>2183</v>
      </c>
      <c r="G64" s="117" t="s">
        <v>2184</v>
      </c>
      <c r="H64" s="118" t="s">
        <v>2185</v>
      </c>
      <c r="I64" s="115">
        <v>12.0</v>
      </c>
      <c r="J64" s="120" t="s">
        <v>2186</v>
      </c>
      <c r="K64" s="119" t="s">
        <v>2187</v>
      </c>
      <c r="L64" s="79" t="s">
        <v>2188</v>
      </c>
      <c r="M64" s="115">
        <v>12.0</v>
      </c>
      <c r="N64" s="116" t="str">
        <f>IFERROR(__xludf.DUMMYFUNCTION("GOOGLETRANSLATE(B64,""zh-tw"",""zh"")"),"再等会")</f>
        <v>再等会</v>
      </c>
      <c r="O64" s="119" t="s">
        <v>2189</v>
      </c>
      <c r="P64" s="82" t="str">
        <f>IFERROR(__xludf.DUMMYFUNCTION("GOOGLETRANSLATE(D64,""zh-tw"",""zh"")"),"安全潜入洗面所")</f>
        <v>安全潜入洗面所</v>
      </c>
      <c r="Q64" s="115">
        <v>12.0</v>
      </c>
      <c r="R64" s="120" t="s">
        <v>2190</v>
      </c>
      <c r="S64" s="119" t="s">
        <v>2191</v>
      </c>
      <c r="T64" s="79" t="s">
        <v>2192</v>
      </c>
      <c r="U64" s="115">
        <v>12.0</v>
      </c>
      <c r="V64" s="132" t="str">
        <f>IFERROR(__xludf.DUMMYFUNCTION("GOOGLETRANSLATE(B64,""zh-tw"",""KO"")"),"잠시만 기다려 주세요")</f>
        <v>잠시만 기다려 주세요</v>
      </c>
      <c r="W64" s="121" t="str">
        <f>IFERROR(__xludf.DUMMYFUNCTION("GOOGLETRANSLATE(C64,""zh-tw"",""KO"")"),"옷 갈아입는 동안 몰래 엿보는 일을 피하면 목욕탕에 안전하게 잠입할 수 있다.")</f>
        <v>옷 갈아입는 동안 몰래 엿보는 일을 피하면 목욕탕에 안전하게 잠입할 수 있다.</v>
      </c>
      <c r="X64" s="82" t="str">
        <f>IFERROR(__xludf.DUMMYFUNCTION("GOOGLETRANSLATE(D64,""zh-tw"",""KO"")"),"안전하게 세안제에 스며들게 하세요")</f>
        <v>안전하게 세안제에 스며들게 하세요</v>
      </c>
      <c r="Y64" s="115">
        <v>12.0</v>
      </c>
      <c r="Z64" s="161" t="s">
        <v>2193</v>
      </c>
      <c r="AA64" s="162" t="s">
        <v>2194</v>
      </c>
      <c r="AB64" s="142" t="s">
        <v>2195</v>
      </c>
      <c r="AC64" s="115">
        <v>12.0</v>
      </c>
      <c r="AD64" s="116" t="s">
        <v>2196</v>
      </c>
      <c r="AE64" s="117" t="s">
        <v>2197</v>
      </c>
      <c r="AF64" s="118" t="s">
        <v>2198</v>
      </c>
      <c r="AG64" s="125">
        <v>12.0</v>
      </c>
      <c r="AH64" s="126" t="s">
        <v>2199</v>
      </c>
      <c r="AI64" s="145" t="s">
        <v>2200</v>
      </c>
      <c r="AJ64" s="148" t="s">
        <v>2201</v>
      </c>
      <c r="AK64" s="115">
        <v>12.0</v>
      </c>
      <c r="AL64" s="128" t="s">
        <v>2202</v>
      </c>
      <c r="AM64" s="129" t="s">
        <v>2203</v>
      </c>
      <c r="AN64" s="140" t="s">
        <v>2204</v>
      </c>
      <c r="AO64" s="115">
        <v>12.0</v>
      </c>
      <c r="AP64" s="116" t="s">
        <v>2205</v>
      </c>
      <c r="AQ64" s="117" t="s">
        <v>2206</v>
      </c>
      <c r="AR64" s="118" t="s">
        <v>2207</v>
      </c>
      <c r="AS64" s="115"/>
      <c r="AT64" s="116"/>
      <c r="AU64" s="117"/>
      <c r="AV64" s="118"/>
      <c r="AW64" s="118"/>
      <c r="AX64" s="118"/>
    </row>
    <row r="65">
      <c r="A65" s="115">
        <v>13.0</v>
      </c>
      <c r="B65" s="116" t="s">
        <v>2208</v>
      </c>
      <c r="C65" s="117" t="s">
        <v>2209</v>
      </c>
      <c r="D65" s="118" t="s">
        <v>2210</v>
      </c>
      <c r="E65" s="115">
        <v>13.0</v>
      </c>
      <c r="F65" s="120" t="s">
        <v>2211</v>
      </c>
      <c r="G65" s="117" t="s">
        <v>2212</v>
      </c>
      <c r="H65" s="118" t="s">
        <v>2213</v>
      </c>
      <c r="I65" s="115">
        <v>13.0</v>
      </c>
      <c r="J65" s="116" t="s">
        <v>2214</v>
      </c>
      <c r="K65" s="117" t="s">
        <v>2215</v>
      </c>
      <c r="L65" s="118" t="s">
        <v>2216</v>
      </c>
      <c r="M65" s="115">
        <v>13.0</v>
      </c>
      <c r="N65" s="116" t="str">
        <f>IFERROR(__xludf.DUMMYFUNCTION("GOOGLETRANSLATE(B65,""zh-tw"",""zh"")"),"第一次潜入")</f>
        <v>第一次潜入</v>
      </c>
      <c r="O65" s="119" t="s">
        <v>2217</v>
      </c>
      <c r="P65" s="82" t="str">
        <f>IFERROR(__xludf.DUMMYFUNCTION("GOOGLETRANSLATE(D65,""zh-tw"",""zh"")"),"※一次性事件
只能探索一下就必须离开")</f>
        <v>※一次性事件
只能探索一下就必须离开</v>
      </c>
      <c r="Q65" s="115">
        <v>13.0</v>
      </c>
      <c r="R65" s="132" t="s">
        <v>2218</v>
      </c>
      <c r="S65" s="121" t="str">
        <f>IFERROR(__xludf.DUMMYFUNCTION("GOOGLETRANSLATE(C65,""zh-tw"",""es-MX"")"),"La primera infiltración en el baño forma parte de una trama especial.")</f>
        <v>La primera infiltración en el baño forma parte de una trama especial.</v>
      </c>
      <c r="T65" s="82" t="s">
        <v>2219</v>
      </c>
      <c r="U65" s="115">
        <v>13.0</v>
      </c>
      <c r="V65" s="132" t="str">
        <f>IFERROR(__xludf.DUMMYFUNCTION("GOOGLETRANSLATE(B65,""zh-tw"",""KO"")"),"첫 번째 침투")</f>
        <v>첫 번째 침투</v>
      </c>
      <c r="W65" s="121" t="s">
        <v>2220</v>
      </c>
      <c r="X65" s="82" t="s">
        <v>2221</v>
      </c>
      <c r="Y65" s="115">
        <v>13.0</v>
      </c>
      <c r="Z65" s="161" t="s">
        <v>2222</v>
      </c>
      <c r="AA65" s="162" t="s">
        <v>2223</v>
      </c>
      <c r="AB65" s="142" t="s">
        <v>2224</v>
      </c>
      <c r="AC65" s="115">
        <v>13.0</v>
      </c>
      <c r="AD65" s="116" t="s">
        <v>2225</v>
      </c>
      <c r="AE65" s="117" t="s">
        <v>2226</v>
      </c>
      <c r="AF65" s="118" t="s">
        <v>2227</v>
      </c>
      <c r="AG65" s="125">
        <v>13.0</v>
      </c>
      <c r="AH65" s="126" t="s">
        <v>2228</v>
      </c>
      <c r="AI65" s="145" t="s">
        <v>2229</v>
      </c>
      <c r="AJ65" s="148" t="s">
        <v>2230</v>
      </c>
      <c r="AK65" s="115">
        <v>13.0</v>
      </c>
      <c r="AL65" s="128" t="s">
        <v>2231</v>
      </c>
      <c r="AM65" s="141" t="s">
        <v>2232</v>
      </c>
      <c r="AN65" s="130" t="s">
        <v>2233</v>
      </c>
      <c r="AO65" s="115">
        <v>13.0</v>
      </c>
      <c r="AP65" s="116" t="s">
        <v>2234</v>
      </c>
      <c r="AQ65" s="117" t="s">
        <v>2235</v>
      </c>
      <c r="AR65" s="118" t="s">
        <v>2236</v>
      </c>
      <c r="AS65" s="115"/>
      <c r="AT65" s="116"/>
      <c r="AU65" s="117"/>
      <c r="AV65" s="118"/>
      <c r="AW65" s="118"/>
      <c r="AX65" s="118"/>
    </row>
    <row r="66">
      <c r="A66" s="153">
        <v>14.0</v>
      </c>
      <c r="B66" s="116" t="s">
        <v>2237</v>
      </c>
      <c r="C66" s="117" t="s">
        <v>2238</v>
      </c>
      <c r="D66" s="118" t="s">
        <v>2239</v>
      </c>
      <c r="E66" s="153">
        <v>14.0</v>
      </c>
      <c r="F66" s="116" t="s">
        <v>2240</v>
      </c>
      <c r="G66" s="117" t="s">
        <v>2241</v>
      </c>
      <c r="H66" s="118" t="s">
        <v>2242</v>
      </c>
      <c r="I66" s="153">
        <v>14.0</v>
      </c>
      <c r="J66" s="116" t="s">
        <v>2243</v>
      </c>
      <c r="K66" s="117" t="s">
        <v>2244</v>
      </c>
      <c r="L66" s="118" t="s">
        <v>2245</v>
      </c>
      <c r="M66" s="153">
        <v>14.0</v>
      </c>
      <c r="N66" s="116" t="str">
        <f>IFERROR(__xludf.DUMMYFUNCTION("GOOGLETRANSLATE(B66,""zh-tw"",""zh"")"),"胖次！")</f>
        <v>胖次！</v>
      </c>
      <c r="O66" s="121" t="str">
        <f>IFERROR(__xludf.DUMMYFUNCTION("GOOGLETRANSLATE(C66,""zh-tw"",""zh"")"),"潜入时，偷拿内裤，并被发现")</f>
        <v>潜入时，偷拿内裤，并被发现</v>
      </c>
      <c r="P66" s="82" t="str">
        <f>IFERROR(__xludf.DUMMYFUNCTION("GOOGLETRANSLATE(D66,""zh-tw"",""zh"")"),"特殊剧情
获得道具:妹妹脱下的内裤")</f>
        <v>特殊剧情
获得道具:妹妹脱下的内裤</v>
      </c>
      <c r="Q66" s="153">
        <v>14.0</v>
      </c>
      <c r="R66" s="132" t="s">
        <v>2246</v>
      </c>
      <c r="S66" s="121" t="s">
        <v>2247</v>
      </c>
      <c r="T66" s="82" t="s">
        <v>2248</v>
      </c>
      <c r="U66" s="153">
        <v>14.0</v>
      </c>
      <c r="V66" s="132" t="str">
        <f>IFERROR(__xludf.DUMMYFUNCTION("GOOGLETRANSLATE(B66,""zh-tw"",""KO"")"),"팬티!")</f>
        <v>팬티!</v>
      </c>
      <c r="W66" s="121" t="str">
        <f>IFERROR(__xludf.DUMMYFUNCTION("GOOGLETRANSLATE(C66,""zh-tw"",""KO"")"),"그는 침입해서 속옷을 훔치다가 발각되었다.")</f>
        <v>그는 침입해서 속옷을 훔치다가 발각되었다.</v>
      </c>
      <c r="X66" s="82" t="str">
        <f>IFERROR(__xludf.DUMMYFUNCTION("GOOGLETRANSLATE(D66,""zh-tw"",""KO"")"),"특별 이벤트
획득 아이템: 여동생의 속옷")</f>
        <v>특별 이벤트
획득 아이템: 여동생의 속옷</v>
      </c>
      <c r="Y66" s="115">
        <v>14.0</v>
      </c>
      <c r="Z66" s="161" t="s">
        <v>2249</v>
      </c>
      <c r="AA66" s="162" t="s">
        <v>2250</v>
      </c>
      <c r="AB66" s="142" t="s">
        <v>2251</v>
      </c>
      <c r="AC66" s="153">
        <v>14.0</v>
      </c>
      <c r="AD66" s="116" t="s">
        <v>2252</v>
      </c>
      <c r="AE66" s="117" t="s">
        <v>2253</v>
      </c>
      <c r="AF66" s="118" t="s">
        <v>2254</v>
      </c>
      <c r="AG66" s="163">
        <v>14.0</v>
      </c>
      <c r="AH66" s="126" t="s">
        <v>2255</v>
      </c>
      <c r="AI66" s="145" t="s">
        <v>2256</v>
      </c>
      <c r="AJ66" s="148" t="s">
        <v>2257</v>
      </c>
      <c r="AK66" s="115">
        <v>14.0</v>
      </c>
      <c r="AL66" s="128" t="s">
        <v>2258</v>
      </c>
      <c r="AM66" s="141" t="s">
        <v>2259</v>
      </c>
      <c r="AN66" s="130" t="s">
        <v>2260</v>
      </c>
      <c r="AO66" s="115">
        <v>14.0</v>
      </c>
      <c r="AP66" s="116" t="s">
        <v>2261</v>
      </c>
      <c r="AQ66" s="117" t="s">
        <v>2262</v>
      </c>
      <c r="AR66" s="118" t="s">
        <v>2263</v>
      </c>
      <c r="AS66" s="115"/>
      <c r="AT66" s="116"/>
      <c r="AU66" s="117"/>
      <c r="AV66" s="118"/>
      <c r="AW66" s="118"/>
      <c r="AX66" s="118"/>
    </row>
    <row r="67">
      <c r="A67" s="115">
        <v>15.0</v>
      </c>
      <c r="B67" s="116" t="s">
        <v>2264</v>
      </c>
      <c r="C67" s="117" t="s">
        <v>2265</v>
      </c>
      <c r="D67" s="118" t="s">
        <v>2266</v>
      </c>
      <c r="E67" s="115">
        <v>15.0</v>
      </c>
      <c r="F67" s="116" t="s">
        <v>2267</v>
      </c>
      <c r="G67" s="117" t="s">
        <v>2268</v>
      </c>
      <c r="H67" s="118" t="s">
        <v>2269</v>
      </c>
      <c r="I67" s="115">
        <v>15.0</v>
      </c>
      <c r="J67" s="116" t="s">
        <v>2270</v>
      </c>
      <c r="K67" s="119" t="s">
        <v>2271</v>
      </c>
      <c r="L67" s="118" t="s">
        <v>2272</v>
      </c>
      <c r="M67" s="115">
        <v>15.0</v>
      </c>
      <c r="N67" s="116" t="str">
        <f>IFERROR(__xludf.DUMMYFUNCTION("GOOGLETRANSLATE(B67,""zh-tw"",""zh"")"),"手的温度-1")</f>
        <v>手的温度-1</v>
      </c>
      <c r="O67" s="121" t="str">
        <f>IFERROR(__xludf.DUMMYFUNCTION("GOOGLETRANSLATE(C67,""zh-tw"",""zh"")"),"第二次偷内衣时被发现，并且当爱心达到6，即可触发。")</f>
        <v>第二次偷内衣时被发现，并且当爱心达到6，即可触发。</v>
      </c>
      <c r="P67" s="82" t="str">
        <f>IFERROR(__xludf.DUMMYFUNCTION("GOOGLETRANSLATE(D67,""zh-tw"",""zh"")"),"妹妹用手来服务的特殊剧情
*目前实装3种内裤")</f>
        <v>妹妹用手来服务的特殊剧情
*目前实装3种内裤</v>
      </c>
      <c r="Q67" s="115">
        <v>15.0</v>
      </c>
      <c r="R67" s="132" t="s">
        <v>2273</v>
      </c>
      <c r="S67" s="121" t="s">
        <v>2274</v>
      </c>
      <c r="T67" s="82" t="str">
        <f>IFERROR(__xludf.DUMMYFUNCTION("GOOGLETRANSLATE(D67,""zh-tw"",""es-MX"")"),"Historia especial en la que la hermana menor usa sus manos.
*Actualmente, se utilizan 3 tipos de ropa interior.")</f>
        <v>Historia especial en la que la hermana menor usa sus manos.
*Actualmente, se utilizan 3 tipos de ropa interior.</v>
      </c>
      <c r="U67" s="115">
        <v>15.0</v>
      </c>
      <c r="V67" s="132" t="str">
        <f>IFERROR(__xludf.DUMMYFUNCTION("GOOGLETRANSLATE(B67,""zh-tw"",""KO"")"),"손 온도 -1")</f>
        <v>손 온도 -1</v>
      </c>
      <c r="W67" s="121" t="str">
        <f>IFERROR(__xludf.DUMMYFUNCTION("GOOGLETRANSLATE(C67,""zh-tw"",""KO"")"),"이 이벤트는 속옷을 훔치다 두 번째로 발각되고 하트 개수가 6개에 도달했을 때 발생합니다.")</f>
        <v>이 이벤트는 속옷을 훔치다 두 번째로 발각되고 하트 개수가 6개에 도달했을 때 발생합니다.</v>
      </c>
      <c r="X67" s="82" t="str">
        <f>IFERROR(__xludf.DUMMYFUNCTION("GOOGLETRANSLATE(D67,""zh-tw"",""KO"")"),"여동생이 손을 사용하는 특별한 스토리라인
*현재 3가지 종류의 속옷이 구현되어 있습니다.")</f>
        <v>여동생이 손을 사용하는 특별한 스토리라인
*현재 3가지 종류의 속옷이 구현되어 있습니다.</v>
      </c>
      <c r="Y67" s="115">
        <v>15.0</v>
      </c>
      <c r="Z67" s="161" t="s">
        <v>2275</v>
      </c>
      <c r="AA67" s="162" t="s">
        <v>2276</v>
      </c>
      <c r="AB67" s="142" t="s">
        <v>2277</v>
      </c>
      <c r="AC67" s="115">
        <v>15.0</v>
      </c>
      <c r="AD67" s="116" t="s">
        <v>2278</v>
      </c>
      <c r="AE67" s="117" t="s">
        <v>2279</v>
      </c>
      <c r="AF67" s="118" t="s">
        <v>2280</v>
      </c>
      <c r="AG67" s="125">
        <v>15.0</v>
      </c>
      <c r="AH67" s="126" t="s">
        <v>2281</v>
      </c>
      <c r="AI67" s="145" t="s">
        <v>2282</v>
      </c>
      <c r="AJ67" s="148" t="s">
        <v>2283</v>
      </c>
      <c r="AK67" s="115">
        <v>15.0</v>
      </c>
      <c r="AL67" s="128" t="s">
        <v>2284</v>
      </c>
      <c r="AM67" s="129" t="s">
        <v>2285</v>
      </c>
      <c r="AN67" s="130" t="s">
        <v>2286</v>
      </c>
      <c r="AO67" s="115">
        <v>15.0</v>
      </c>
      <c r="AP67" s="120" t="s">
        <v>2287</v>
      </c>
      <c r="AQ67" s="117" t="s">
        <v>2288</v>
      </c>
      <c r="AR67" s="118" t="s">
        <v>2289</v>
      </c>
      <c r="AS67" s="115"/>
      <c r="AT67" s="120"/>
      <c r="AU67" s="117"/>
      <c r="AV67" s="118"/>
      <c r="AW67" s="118"/>
      <c r="AX67" s="118"/>
    </row>
    <row r="68">
      <c r="A68" s="115">
        <v>16.0</v>
      </c>
      <c r="B68" s="116" t="s">
        <v>2290</v>
      </c>
      <c r="C68" s="117" t="s">
        <v>2291</v>
      </c>
      <c r="D68" s="118" t="s">
        <v>2292</v>
      </c>
      <c r="E68" s="115">
        <v>16.0</v>
      </c>
      <c r="F68" s="116" t="s">
        <v>2293</v>
      </c>
      <c r="G68" s="117" t="s">
        <v>2294</v>
      </c>
      <c r="H68" s="118" t="s">
        <v>2295</v>
      </c>
      <c r="I68" s="115">
        <v>16.0</v>
      </c>
      <c r="J68" s="116" t="s">
        <v>2296</v>
      </c>
      <c r="K68" s="117" t="s">
        <v>2297</v>
      </c>
      <c r="L68" s="118" t="s">
        <v>2298</v>
      </c>
      <c r="M68" s="115">
        <v>16.0</v>
      </c>
      <c r="N68" s="116" t="str">
        <f>IFERROR(__xludf.DUMMYFUNCTION("GOOGLETRANSLATE(B68,""zh-tw"",""zh"")"),"手的温度-2")</f>
        <v>手的温度-2</v>
      </c>
      <c r="O68" s="121" t="str">
        <f>IFERROR(__xludf.DUMMYFUNCTION("GOOGLETRANSLATE(C68,""zh-tw"",""zh"")"),"承上，紫心达到3，可以不用隔着衣物")</f>
        <v>承上，紫心达到3，可以不用隔着衣物</v>
      </c>
      <c r="P68" s="82" t="str">
        <f>IFERROR(__xludf.DUMMYFUNCTION("GOOGLETRANSLATE(D68,""zh-tw"",""zh"")"),"妹妹用手来服务的特殊剧情")</f>
        <v>妹妹用手来服务的特殊剧情</v>
      </c>
      <c r="Q68" s="115">
        <v>16.0</v>
      </c>
      <c r="R68" s="132" t="s">
        <v>2299</v>
      </c>
      <c r="S68" s="121" t="str">
        <f>IFERROR(__xludf.DUMMYFUNCTION("GOOGLETRANSLATE(C68,""zh-tw"",""es-MX"")"),"Como se mencionó anteriormente, una vez que alcances el nivel 3 de corazones morados, podrás jugar sin usar ropa.")</f>
        <v>Como se mencionó anteriormente, una vez que alcances el nivel 3 de corazones morados, podrás jugar sin usar ropa.</v>
      </c>
      <c r="T68" s="82" t="str">
        <f>IFERROR(__xludf.DUMMYFUNCTION("GOOGLETRANSLATE(D68,""zh-tw"",""es-MX"")"),"La trama especial de la hermana menor usando sus manos para servir.")</f>
        <v>La trama especial de la hermana menor usando sus manos para servir.</v>
      </c>
      <c r="U68" s="115">
        <v>16.0</v>
      </c>
      <c r="V68" s="132" t="str">
        <f>IFERROR(__xludf.DUMMYFUNCTION("GOOGLETRANSLATE(B68,""zh-tw"",""KO"")"),"손 온도 -2")</f>
        <v>손 온도 -2</v>
      </c>
      <c r="W68" s="121" t="str">
        <f>IFERROR(__xludf.DUMMYFUNCTION("GOOGLETRANSLATE(C68,""zh-tw"",""KO"")"),"위에서 설명한 내용에 이어서, 보라색 하트 레벨이 3에 도달하면 옷을 입지 않고 플레이할 수 있습니다.")</f>
        <v>위에서 설명한 내용에 이어서, 보라색 하트 레벨이 3에 도달하면 옷을 입지 않고 플레이할 수 있습니다.</v>
      </c>
      <c r="X68" s="82" t="str">
        <f>IFERROR(__xludf.DUMMYFUNCTION("GOOGLETRANSLATE(D68,""zh-tw"",""KO"")"),"여동생이 손을 이용해 봉사하는 특별한 줄거리.")</f>
        <v>여동생이 손을 이용해 봉사하는 특별한 줄거리.</v>
      </c>
      <c r="Y68" s="115">
        <v>16.0</v>
      </c>
      <c r="Z68" s="161" t="s">
        <v>2300</v>
      </c>
      <c r="AA68" s="162" t="s">
        <v>2301</v>
      </c>
      <c r="AB68" s="142" t="s">
        <v>2302</v>
      </c>
      <c r="AC68" s="115">
        <v>16.0</v>
      </c>
      <c r="AD68" s="116" t="s">
        <v>2303</v>
      </c>
      <c r="AE68" s="117" t="s">
        <v>2304</v>
      </c>
      <c r="AF68" s="118" t="s">
        <v>2305</v>
      </c>
      <c r="AG68" s="125">
        <v>16.0</v>
      </c>
      <c r="AH68" s="126" t="s">
        <v>2306</v>
      </c>
      <c r="AI68" s="145" t="s">
        <v>2307</v>
      </c>
      <c r="AJ68" s="146" t="s">
        <v>2308</v>
      </c>
      <c r="AK68" s="115">
        <v>16.0</v>
      </c>
      <c r="AL68" s="128" t="s">
        <v>2309</v>
      </c>
      <c r="AM68" s="141" t="s">
        <v>2310</v>
      </c>
      <c r="AN68" s="130" t="s">
        <v>2311</v>
      </c>
      <c r="AO68" s="115">
        <v>16.0</v>
      </c>
      <c r="AP68" s="120" t="s">
        <v>2312</v>
      </c>
      <c r="AQ68" s="117" t="s">
        <v>2313</v>
      </c>
      <c r="AR68" s="118" t="s">
        <v>2314</v>
      </c>
      <c r="AS68" s="115"/>
      <c r="AT68" s="120"/>
      <c r="AU68" s="117"/>
      <c r="AV68" s="118"/>
      <c r="AW68" s="118"/>
      <c r="AX68" s="118"/>
    </row>
    <row r="69">
      <c r="A69" s="153">
        <v>17.0</v>
      </c>
      <c r="B69" s="116" t="s">
        <v>2315</v>
      </c>
      <c r="C69" s="117" t="s">
        <v>2316</v>
      </c>
      <c r="D69" s="118" t="s">
        <v>2317</v>
      </c>
      <c r="E69" s="153">
        <v>17.0</v>
      </c>
      <c r="F69" s="116" t="s">
        <v>2318</v>
      </c>
      <c r="G69" s="117" t="s">
        <v>2319</v>
      </c>
      <c r="H69" s="118" t="s">
        <v>2320</v>
      </c>
      <c r="I69" s="153">
        <v>17.0</v>
      </c>
      <c r="J69" s="116" t="s">
        <v>2321</v>
      </c>
      <c r="K69" s="117" t="s">
        <v>2322</v>
      </c>
      <c r="L69" s="118" t="s">
        <v>2323</v>
      </c>
      <c r="M69" s="153">
        <v>17.0</v>
      </c>
      <c r="N69" s="116" t="str">
        <f>IFERROR(__xludf.DUMMYFUNCTION("GOOGLETRANSLATE(B69,""zh-tw"",""zh"")"),"气息消除-1")</f>
        <v>气息消除-1</v>
      </c>
      <c r="O69" s="119" t="s">
        <v>2324</v>
      </c>
      <c r="P69" s="82" t="str">
        <f>IFERROR(__xludf.DUMMYFUNCTION("GOOGLETRANSLATE(D69,""zh-tw"",""zh"")"),"使用特殊选项")</f>
        <v>使用特殊选项</v>
      </c>
      <c r="Q69" s="153">
        <v>17.0</v>
      </c>
      <c r="R69" s="132" t="str">
        <f>IFERROR(__xludf.DUMMYFUNCTION("GOOGLETRANSLATE(B69,""zh-tw"",""es-MX"")"),"Eliminación de aura -1")</f>
        <v>Eliminación de aura -1</v>
      </c>
      <c r="S69" s="121" t="str">
        <f>IFERROR(__xludf.DUMMYFUNCTION("GOOGLETRANSLATE(C69,""zh-tw"",""es-MX"")"),"Tras aprender ""Eliminar Aura"", escabúllete en el baño mientras tu hermana se está bañando para acceder a la opción de baile ninja.")</f>
        <v>Tras aprender "Eliminar Aura", escabúllete en el baño mientras tu hermana se está bañando para acceder a la opción de baile ninja.</v>
      </c>
      <c r="T69" s="82" t="str">
        <f>IFERROR(__xludf.DUMMYFUNCTION("GOOGLETRANSLATE(D69,""zh-tw"",""es-MX"")"),"Utilice opciones especiales")</f>
        <v>Utilice opciones especiales</v>
      </c>
      <c r="U69" s="153">
        <v>17.0</v>
      </c>
      <c r="V69" s="132" t="str">
        <f>IFERROR(__xludf.DUMMYFUNCTION("GOOGLETRANSLATE(B69,""zh-tw"",""KO"")"),"오라 제거 -1")</f>
        <v>오라 제거 -1</v>
      </c>
      <c r="W69" s="121" t="str">
        <f>IFERROR(__xludf.DUMMYFUNCTION("GOOGLETRANSLATE(C69,""zh-tw"",""KO"")"),"""오라 제거"" 기술을 배운 후, 여동생이 목욕하는 동안 몰래 욕실에 들어가 닌자 춤 옵션을 활성화하세요.")</f>
        <v>"오라 제거" 기술을 배운 후, 여동생이 목욕하는 동안 몰래 욕실에 들어가 닌자 춤 옵션을 활성화하세요.</v>
      </c>
      <c r="X69" s="82" t="str">
        <f>IFERROR(__xludf.DUMMYFUNCTION("GOOGLETRANSLATE(D69,""zh-tw"",""KO"")"),"특별 옵션을 사용하세요")</f>
        <v>특별 옵션을 사용하세요</v>
      </c>
      <c r="Y69" s="115">
        <v>17.0</v>
      </c>
      <c r="Z69" s="161" t="s">
        <v>2325</v>
      </c>
      <c r="AA69" s="162" t="s">
        <v>2326</v>
      </c>
      <c r="AB69" s="142" t="s">
        <v>2327</v>
      </c>
      <c r="AC69" s="153">
        <v>17.0</v>
      </c>
      <c r="AD69" s="116" t="s">
        <v>2328</v>
      </c>
      <c r="AE69" s="117" t="s">
        <v>2329</v>
      </c>
      <c r="AF69" s="118" t="s">
        <v>2330</v>
      </c>
      <c r="AG69" s="163">
        <v>17.0</v>
      </c>
      <c r="AH69" s="126" t="s">
        <v>2331</v>
      </c>
      <c r="AI69" s="145" t="s">
        <v>2332</v>
      </c>
      <c r="AJ69" s="148" t="s">
        <v>2333</v>
      </c>
      <c r="AK69" s="115">
        <v>17.0</v>
      </c>
      <c r="AL69" s="128" t="s">
        <v>2334</v>
      </c>
      <c r="AM69" s="141" t="s">
        <v>2335</v>
      </c>
      <c r="AN69" s="130" t="s">
        <v>2336</v>
      </c>
      <c r="AO69" s="115">
        <v>17.0</v>
      </c>
      <c r="AP69" s="120" t="s">
        <v>2337</v>
      </c>
      <c r="AQ69" s="117" t="s">
        <v>2338</v>
      </c>
      <c r="AR69" s="118" t="s">
        <v>2339</v>
      </c>
      <c r="AS69" s="115"/>
      <c r="AT69" s="120"/>
      <c r="AU69" s="117"/>
      <c r="AV69" s="118"/>
      <c r="AW69" s="118"/>
      <c r="AX69" s="118"/>
    </row>
    <row r="70">
      <c r="A70" s="115">
        <v>18.0</v>
      </c>
      <c r="B70" s="116" t="s">
        <v>2340</v>
      </c>
      <c r="C70" s="117" t="s">
        <v>2341</v>
      </c>
      <c r="D70" s="118" t="s">
        <v>2342</v>
      </c>
      <c r="E70" s="115">
        <v>18.0</v>
      </c>
      <c r="F70" s="116" t="s">
        <v>2343</v>
      </c>
      <c r="G70" s="117" t="s">
        <v>2344</v>
      </c>
      <c r="H70" s="118" t="s">
        <v>2345</v>
      </c>
      <c r="I70" s="115">
        <v>18.0</v>
      </c>
      <c r="J70" s="116" t="s">
        <v>2346</v>
      </c>
      <c r="K70" s="117" t="s">
        <v>2347</v>
      </c>
      <c r="L70" s="118" t="s">
        <v>2348</v>
      </c>
      <c r="M70" s="115">
        <v>18.0</v>
      </c>
      <c r="N70" s="116" t="str">
        <f>IFERROR(__xludf.DUMMYFUNCTION("GOOGLETRANSLATE(B70,""zh-tw"",""zh"")"),"透明的门-1")</f>
        <v>透明的门-1</v>
      </c>
      <c r="O70" s="121" t="str">
        <f>IFERROR(__xludf.DUMMYFUNCTION("GOOGLETRANSLATE(C70,""zh-tw"",""zh"")"),"可以在妹妹独自洗澡时进行偷窥")</f>
        <v>可以在妹妹独自洗澡时进行偷窥</v>
      </c>
      <c r="P70" s="82" t="str">
        <f>IFERROR(__xludf.DUMMYFUNCTION("GOOGLETRANSLATE(D70,""zh-tw"",""zh"")"),"可以看到妹妹洗头、胸的场景
目前无偷窥失败、好感爱心的分歧，待制作。")</f>
        <v>可以看到妹妹洗头、胸的场景
目前无偷窥失败、好感爱心的分歧，待制作。</v>
      </c>
      <c r="Q70" s="115">
        <v>18.0</v>
      </c>
      <c r="R70" s="132" t="s">
        <v>2349</v>
      </c>
      <c r="S70" s="121" t="str">
        <f>IFERROR(__xludf.DUMMYFUNCTION("GOOGLETRANSLATE(C70,""zh-tw"",""es-MX"")"),"Es posible espiar a tu hermana mientras se baña sola.")</f>
        <v>Es posible espiar a tu hermana mientras se baña sola.</v>
      </c>
      <c r="T70" s="82" t="str">
        <f>IFERROR(__xludf.DUMMYFUNCTION("GOOGLETRANSLATE(D70,""zh-tw"",""es-MX"")"),"Se pueden ver escenas de la hermana menor lavándose el pelo y el pecho. Por el momento, no hay problemas relacionados con intentos fallidos de voyeurismo ni muestras de afecto; esto aún está en desarrollo.")</f>
        <v>Se pueden ver escenas de la hermana menor lavándose el pelo y el pecho. Por el momento, no hay problemas relacionados con intentos fallidos de voyeurismo ni muestras de afecto; esto aún está en desarrollo.</v>
      </c>
      <c r="U70" s="115">
        <v>18.0</v>
      </c>
      <c r="V70" s="132" t="str">
        <f>IFERROR(__xludf.DUMMYFUNCTION("GOOGLETRANSLATE(B70,""zh-tw"",""KO"")"),"투명 도어-1")</f>
        <v>투명 도어-1</v>
      </c>
      <c r="W70" s="121" t="str">
        <f>IFERROR(__xludf.DUMMYFUNCTION("GOOGLETRANSLATE(C70,""zh-tw"",""KO"")"),"여동생이 혼자 목욕하는 모습을 몰래 엿볼 수 있습니다.")</f>
        <v>여동생이 혼자 목욕하는 모습을 몰래 엿볼 수 있습니다.</v>
      </c>
      <c r="X70" s="82" t="str">
        <f>IFERROR(__xludf.DUMMYFUNCTION("GOOGLETRANSLATE(D70,""zh-tw"",""KO"")"),"여동생이 머리를 감고 가슴을 드러내는 장면이 나옵니다. 현재로서는 엿보기 시도 실패나 애정 표현과 관련된 내용은 없으며, 추후 개발될 예정입니다.")</f>
        <v>여동생이 머리를 감고 가슴을 드러내는 장면이 나옵니다. 현재로서는 엿보기 시도 실패나 애정 표현과 관련된 내용은 없으며, 추후 개발될 예정입니다.</v>
      </c>
      <c r="Y70" s="115">
        <v>18.0</v>
      </c>
      <c r="Z70" s="161" t="s">
        <v>2350</v>
      </c>
      <c r="AA70" s="162" t="s">
        <v>2351</v>
      </c>
      <c r="AB70" s="142" t="s">
        <v>2352</v>
      </c>
      <c r="AC70" s="115">
        <v>18.0</v>
      </c>
      <c r="AD70" s="116" t="s">
        <v>2353</v>
      </c>
      <c r="AE70" s="117" t="s">
        <v>2354</v>
      </c>
      <c r="AF70" s="118" t="s">
        <v>2355</v>
      </c>
      <c r="AG70" s="125">
        <v>18.0</v>
      </c>
      <c r="AH70" s="126" t="s">
        <v>2356</v>
      </c>
      <c r="AI70" s="145" t="s">
        <v>2357</v>
      </c>
      <c r="AJ70" s="148" t="s">
        <v>2358</v>
      </c>
      <c r="AK70" s="115">
        <v>18.0</v>
      </c>
      <c r="AL70" s="128" t="s">
        <v>2359</v>
      </c>
      <c r="AM70" s="129" t="s">
        <v>2360</v>
      </c>
      <c r="AN70" s="140" t="s">
        <v>2361</v>
      </c>
      <c r="AO70" s="115">
        <v>18.0</v>
      </c>
      <c r="AP70" s="120" t="s">
        <v>2362</v>
      </c>
      <c r="AQ70" s="117" t="s">
        <v>2363</v>
      </c>
      <c r="AR70" s="118" t="s">
        <v>2364</v>
      </c>
      <c r="AS70" s="115"/>
      <c r="AT70" s="120"/>
      <c r="AU70" s="117"/>
      <c r="AV70" s="118"/>
      <c r="AW70" s="118"/>
      <c r="AX70" s="118"/>
    </row>
    <row r="71">
      <c r="A71" s="115">
        <v>19.0</v>
      </c>
      <c r="B71" s="116" t="s">
        <v>2365</v>
      </c>
      <c r="C71" s="117" t="s">
        <v>2366</v>
      </c>
      <c r="D71" s="118" t="s">
        <v>2367</v>
      </c>
      <c r="E71" s="115">
        <v>19.0</v>
      </c>
      <c r="F71" s="116" t="s">
        <v>2368</v>
      </c>
      <c r="G71" s="117" t="s">
        <v>2369</v>
      </c>
      <c r="H71" s="118" t="s">
        <v>2370</v>
      </c>
      <c r="I71" s="115">
        <v>19.0</v>
      </c>
      <c r="J71" s="116" t="s">
        <v>2371</v>
      </c>
      <c r="K71" s="117" t="s">
        <v>2372</v>
      </c>
      <c r="L71" s="118" t="s">
        <v>2373</v>
      </c>
      <c r="M71" s="115">
        <v>19.0</v>
      </c>
      <c r="N71" s="116" t="str">
        <f>IFERROR(__xludf.DUMMYFUNCTION("GOOGLETRANSLATE(B71,""zh-tw"",""zh"")"),"透明的门-2")</f>
        <v>透明的门-2</v>
      </c>
      <c r="O71" s="121" t="str">
        <f>IFERROR(__xludf.DUMMYFUNCTION("GOOGLETRANSLATE(C71,""zh-tw"",""zh"")"),"在妹妹独自洗澡时，进行时间消耗，直到浴室门没有妹妹的身影，再进到浴室中偷窥，可以看到泡澡时的样子")</f>
        <v>在妹妹独自洗澡时，进行时间消耗，直到浴室门没有妹妹的身影，再进到浴室中偷窥，可以看到泡澡时的样子</v>
      </c>
      <c r="P71" s="82" t="str">
        <f>IFERROR(__xludf.DUMMYFUNCTION("GOOGLETRANSLATE(D71,""zh-tw"",""zh"")"),"有无黄色小鸭有不同画面
(目前还没有制作无小鸭的场景，近期应该会更新)
目前无偷窥失败的场景")</f>
        <v>有无黄色小鸭有不同画面
(目前还没有制作无小鸭的场景，近期应该会更新)
目前无偷窥失败的场景</v>
      </c>
      <c r="Q71" s="115">
        <v>19.0</v>
      </c>
      <c r="R71" s="132" t="s">
        <v>2374</v>
      </c>
      <c r="S71" s="121" t="s">
        <v>2375</v>
      </c>
      <c r="T71" s="82" t="str">
        <f>IFERROR(__xludf.DUMMYFUNCTION("GOOGLETRANSLATE(D71,""zh-tw"",""es-MX"")"),"La presencia o ausencia del patito de goma crea diferentes efectos visuales.
(Las escenas sin el patito aún no están disponibles; se añadirán próximamente).
Actualmente no hay escenas que muestren intentos fallidos de espiar.")</f>
        <v>La presencia o ausencia del patito de goma crea diferentes efectos visuales.
(Las escenas sin el patito aún no están disponibles; se añadirán próximamente).
Actualmente no hay escenas que muestren intentos fallidos de espiar.</v>
      </c>
      <c r="U71" s="115">
        <v>19.0</v>
      </c>
      <c r="V71" s="132" t="str">
        <f>IFERROR(__xludf.DUMMYFUNCTION("GOOGLETRANSLATE(B71,""zh-tw"",""KO"")"),"투명 도어-2")</f>
        <v>투명 도어-2</v>
      </c>
      <c r="W71" s="121" t="str">
        <f>IFERROR(__xludf.DUMMYFUNCTION("GOOGLETRANSLATE(C71,""zh-tw"",""KO"")"),"여동생이 혼자 목욕하는 동안, 여동생이 욕실에서 더 이상 보이지 않을 때까지 기다리세요. 그런 다음, 살짝 안을 들여다보고 여동생이 목욕하는 동안 무엇을 하고 있는지 살펴보세요.")</f>
        <v>여동생이 혼자 목욕하는 동안, 여동생이 욕실에서 더 이상 보이지 않을 때까지 기다리세요. 그런 다음, 살짝 안을 들여다보고 여동생이 목욕하는 동안 무엇을 하고 있는지 살펴보세요.</v>
      </c>
      <c r="X71" s="82" t="str">
        <f>IFERROR(__xludf.DUMMYFUNCTION("GOOGLETRANSLATE(D71,""zh-tw"",""KO"")"),"고무 오리의 유무에 따라 다른 장면이 연출됩니다.
(오리가 없는 장면은 아직 제작되지 않았으며, 곧 업데이트될 예정입니다.)
현재 훔쳐보기 시도가 실패한 장면은 없습니다.")</f>
        <v>고무 오리의 유무에 따라 다른 장면이 연출됩니다.
(오리가 없는 장면은 아직 제작되지 않았으며, 곧 업데이트될 예정입니다.)
현재 훔쳐보기 시도가 실패한 장면은 없습니다.</v>
      </c>
      <c r="Y71" s="115">
        <v>19.0</v>
      </c>
      <c r="Z71" s="161" t="s">
        <v>2376</v>
      </c>
      <c r="AA71" s="162" t="s">
        <v>2377</v>
      </c>
      <c r="AB71" s="142" t="s">
        <v>2378</v>
      </c>
      <c r="AC71" s="115">
        <v>19.0</v>
      </c>
      <c r="AD71" s="116" t="s">
        <v>2379</v>
      </c>
      <c r="AE71" s="117" t="s">
        <v>2380</v>
      </c>
      <c r="AF71" s="118" t="s">
        <v>2381</v>
      </c>
      <c r="AG71" s="125">
        <v>19.0</v>
      </c>
      <c r="AH71" s="126" t="s">
        <v>2382</v>
      </c>
      <c r="AI71" s="145" t="s">
        <v>2383</v>
      </c>
      <c r="AJ71" s="148" t="s">
        <v>2384</v>
      </c>
      <c r="AK71" s="115">
        <v>19.0</v>
      </c>
      <c r="AL71" s="128" t="s">
        <v>2385</v>
      </c>
      <c r="AM71" s="141" t="s">
        <v>2386</v>
      </c>
      <c r="AN71" s="130" t="s">
        <v>2387</v>
      </c>
      <c r="AO71" s="115">
        <v>19.0</v>
      </c>
      <c r="AP71" s="120" t="s">
        <v>2388</v>
      </c>
      <c r="AQ71" s="117" t="s">
        <v>2389</v>
      </c>
      <c r="AR71" s="118" t="s">
        <v>2390</v>
      </c>
      <c r="AS71" s="115"/>
      <c r="AT71" s="120"/>
      <c r="AU71" s="117"/>
      <c r="AV71" s="118"/>
      <c r="AW71" s="118"/>
      <c r="AX71" s="118"/>
    </row>
    <row r="72">
      <c r="A72" s="153">
        <v>20.0</v>
      </c>
      <c r="B72" s="116" t="s">
        <v>2391</v>
      </c>
      <c r="C72" s="117" t="s">
        <v>2392</v>
      </c>
      <c r="D72" s="118" t="s">
        <v>2393</v>
      </c>
      <c r="E72" s="153">
        <v>20.0</v>
      </c>
      <c r="F72" s="116" t="s">
        <v>2394</v>
      </c>
      <c r="G72" s="117" t="s">
        <v>2395</v>
      </c>
      <c r="H72" s="118" t="s">
        <v>2396</v>
      </c>
      <c r="I72" s="153">
        <v>20.0</v>
      </c>
      <c r="J72" s="116" t="s">
        <v>2397</v>
      </c>
      <c r="K72" s="117" t="s">
        <v>2398</v>
      </c>
      <c r="L72" s="118" t="s">
        <v>2399</v>
      </c>
      <c r="M72" s="153">
        <v>20.0</v>
      </c>
      <c r="N72" s="116" t="str">
        <f>IFERROR(__xludf.DUMMYFUNCTION("GOOGLETRANSLATE(B72,""zh-tw"",""zh"")"),"透明的门-3")</f>
        <v>透明的门-3</v>
      </c>
      <c r="O72" s="121" t="str">
        <f>IFERROR(__xludf.DUMMYFUNCTION("GOOGLETRANSLATE(C72,""zh-tw"",""zh"")"),"在习得""气息消除""后，哥哥会在一个人洗澡时偷偷改造浴室门，使其变成忍者门。
于偷看妹妹洗澡时的第三阶段，触发使用忍者门的选项。")</f>
        <v>在习得"气息消除"后，哥哥会在一个人洗澡时偷偷改造浴室门，使其变成忍者门。
于偷看妹妹洗澡时的第三阶段，触发使用忍者门的选项。</v>
      </c>
      <c r="P72" s="82" t="str">
        <f>IFERROR(__xludf.DUMMYFUNCTION("GOOGLETRANSLATE(D72,""zh-tw"",""zh"")"),"特殊视角观看演出")</f>
        <v>特殊视角观看演出</v>
      </c>
      <c r="Q72" s="153">
        <v>20.0</v>
      </c>
      <c r="R72" s="132" t="s">
        <v>2400</v>
      </c>
      <c r="S72" s="121" t="s">
        <v>2401</v>
      </c>
      <c r="T72" s="82" t="s">
        <v>2402</v>
      </c>
      <c r="U72" s="153">
        <v>20.0</v>
      </c>
      <c r="V72" s="132" t="str">
        <f>IFERROR(__xludf.DUMMYFUNCTION("GOOGLETRANSLATE(B72,""zh-tw"",""KO"")"),"투명 도어-3")</f>
        <v>투명 도어-3</v>
      </c>
      <c r="W72" s="121" t="str">
        <f>IFERROR(__xludf.DUMMYFUNCTION("GOOGLETRANSLATE(C72,""zh-tw"",""KO"")"),"""오라 제거"" 기술을 익힌 후, 오빠는 혼자 샤워할 때 몰래 욕실 문을 닌자 문으로 개조합니다.
닌자 문을 사용할 수 있는 옵션은 세 번째 스테이지에서 오빠가 여동생이 샤워하는 모습을 엿볼 때 활성화됩니다.")</f>
        <v>"오라 제거" 기술을 익힌 후, 오빠는 혼자 샤워할 때 몰래 욕실 문을 닌자 문으로 개조합니다.
닌자 문을 사용할 수 있는 옵션은 세 번째 스테이지에서 오빠가 여동생이 샤워하는 모습을 엿볼 때 활성화됩니다.</v>
      </c>
      <c r="X72" s="82" t="str">
        <f>IFERROR(__xludf.DUMMYFUNCTION("GOOGLETRANSLATE(D72,""zh-tw"",""KO"")"),"특별한 관점에서 공연을 감상하기")</f>
        <v>특별한 관점에서 공연을 감상하기</v>
      </c>
      <c r="Y72" s="115">
        <v>20.0</v>
      </c>
      <c r="Z72" s="161" t="s">
        <v>2403</v>
      </c>
      <c r="AA72" s="162" t="s">
        <v>2404</v>
      </c>
      <c r="AB72" s="142" t="s">
        <v>2405</v>
      </c>
      <c r="AC72" s="153">
        <v>20.0</v>
      </c>
      <c r="AD72" s="116" t="s">
        <v>2406</v>
      </c>
      <c r="AE72" s="117" t="s">
        <v>2407</v>
      </c>
      <c r="AF72" s="118" t="s">
        <v>2408</v>
      </c>
      <c r="AG72" s="163">
        <v>20.0</v>
      </c>
      <c r="AH72" s="126" t="s">
        <v>2409</v>
      </c>
      <c r="AI72" s="145" t="s">
        <v>2410</v>
      </c>
      <c r="AJ72" s="148" t="s">
        <v>2411</v>
      </c>
      <c r="AK72" s="115">
        <v>20.0</v>
      </c>
      <c r="AL72" s="128" t="s">
        <v>2412</v>
      </c>
      <c r="AM72" s="129" t="s">
        <v>2413</v>
      </c>
      <c r="AN72" s="130" t="s">
        <v>2414</v>
      </c>
      <c r="AO72" s="115">
        <v>20.0</v>
      </c>
      <c r="AP72" s="116" t="s">
        <v>2415</v>
      </c>
      <c r="AQ72" s="117" t="s">
        <v>2416</v>
      </c>
      <c r="AR72" s="118" t="s">
        <v>2417</v>
      </c>
      <c r="AS72" s="115"/>
      <c r="AT72" s="116"/>
      <c r="AU72" s="117"/>
      <c r="AV72" s="118"/>
      <c r="AW72" s="118"/>
      <c r="AX72" s="118"/>
    </row>
    <row r="73" ht="41.25" customHeight="1">
      <c r="A73" s="115">
        <v>21.0</v>
      </c>
      <c r="B73" s="116" t="s">
        <v>2418</v>
      </c>
      <c r="C73" s="117" t="s">
        <v>2419</v>
      </c>
      <c r="D73" s="118" t="s">
        <v>2420</v>
      </c>
      <c r="E73" s="115">
        <v>21.0</v>
      </c>
      <c r="F73" s="116" t="s">
        <v>2421</v>
      </c>
      <c r="G73" s="119" t="s">
        <v>2422</v>
      </c>
      <c r="H73" s="118" t="s">
        <v>2423</v>
      </c>
      <c r="I73" s="115">
        <v>21.0</v>
      </c>
      <c r="J73" s="116" t="s">
        <v>2424</v>
      </c>
      <c r="K73" s="117" t="s">
        <v>2425</v>
      </c>
      <c r="L73" s="118" t="s">
        <v>2426</v>
      </c>
      <c r="M73" s="115">
        <v>21.0</v>
      </c>
      <c r="N73" s="116" t="str">
        <f>IFERROR(__xludf.DUMMYFUNCTION("GOOGLETRANSLATE(B73,""zh-tw"",""zh"")"),"一起洗澡")</f>
        <v>一起洗澡</v>
      </c>
      <c r="O73" s="121" t="str">
        <f>IFERROR(__xludf.DUMMYFUNCTION("GOOGLETRANSLATE(C73,""zh-tw"",""zh"")"),"当好感度大于2时")</f>
        <v>当好感度大于2时</v>
      </c>
      <c r="P73" s="82" t="str">
        <f>IFERROR(__xludf.DUMMYFUNCTION("GOOGLETRANSLATE(D73,""zh-tw"",""zh"")"),"可以和妹妹一起洗澡")</f>
        <v>可以和妹妹一起洗澡</v>
      </c>
      <c r="Q73" s="115">
        <v>21.0</v>
      </c>
      <c r="R73" s="116" t="s">
        <v>2427</v>
      </c>
      <c r="S73" s="121" t="s">
        <v>2428</v>
      </c>
      <c r="T73" s="82" t="s">
        <v>2429</v>
      </c>
      <c r="U73" s="115">
        <v>21.0</v>
      </c>
      <c r="V73" s="132" t="str">
        <f>IFERROR(__xludf.DUMMYFUNCTION("GOOGLETRANSLATE(B73,""zh-tw"",""KO"")"),"함께 목욕해요")</f>
        <v>함께 목욕해요</v>
      </c>
      <c r="W73" s="121" t="str">
        <f>IFERROR(__xludf.DUMMYFUNCTION("GOOGLETRANSLATE(C73,""zh-tw"",""KO"")"),"호감도가 2보다 클 때")</f>
        <v>호감도가 2보다 클 때</v>
      </c>
      <c r="X73" s="82" t="str">
        <f>IFERROR(__xludf.DUMMYFUNCTION("GOOGLETRANSLATE(D73,""zh-tw"",""KO"")"),"너는 여동생과 함께 목욕할 수 있어.")</f>
        <v>너는 여동생과 함께 목욕할 수 있어.</v>
      </c>
      <c r="Y73" s="115">
        <v>21.0</v>
      </c>
      <c r="Z73" s="161" t="s">
        <v>2430</v>
      </c>
      <c r="AA73" s="162" t="s">
        <v>2431</v>
      </c>
      <c r="AB73" s="142" t="s">
        <v>2432</v>
      </c>
      <c r="AC73" s="115">
        <v>21.0</v>
      </c>
      <c r="AD73" s="116" t="s">
        <v>2433</v>
      </c>
      <c r="AE73" s="117" t="s">
        <v>2434</v>
      </c>
      <c r="AF73" s="118" t="s">
        <v>2435</v>
      </c>
      <c r="AG73" s="125">
        <v>21.0</v>
      </c>
      <c r="AH73" s="147" t="s">
        <v>2436</v>
      </c>
      <c r="AI73" s="145" t="s">
        <v>2437</v>
      </c>
      <c r="AJ73" s="148" t="s">
        <v>2438</v>
      </c>
      <c r="AK73" s="115">
        <v>21.0</v>
      </c>
      <c r="AL73" s="128" t="s">
        <v>2439</v>
      </c>
      <c r="AM73" s="141" t="s">
        <v>2440</v>
      </c>
      <c r="AN73" s="130" t="s">
        <v>2441</v>
      </c>
      <c r="AO73" s="115">
        <v>21.0</v>
      </c>
      <c r="AP73" s="116" t="s">
        <v>2442</v>
      </c>
      <c r="AQ73" s="117" t="s">
        <v>2443</v>
      </c>
      <c r="AR73" s="118" t="s">
        <v>2444</v>
      </c>
      <c r="AS73" s="115"/>
      <c r="AT73" s="116"/>
      <c r="AU73" s="117"/>
      <c r="AV73" s="118"/>
      <c r="AW73" s="118"/>
      <c r="AX73" s="118"/>
    </row>
    <row r="74">
      <c r="A74" s="115">
        <v>22.0</v>
      </c>
      <c r="B74" s="116" t="s">
        <v>2445</v>
      </c>
      <c r="C74" s="117" t="s">
        <v>2446</v>
      </c>
      <c r="D74" s="118" t="s">
        <v>2447</v>
      </c>
      <c r="E74" s="115">
        <v>22.0</v>
      </c>
      <c r="F74" s="116" t="s">
        <v>2448</v>
      </c>
      <c r="G74" s="117" t="s">
        <v>2449</v>
      </c>
      <c r="H74" s="118" t="s">
        <v>2450</v>
      </c>
      <c r="I74" s="115">
        <v>22.0</v>
      </c>
      <c r="J74" s="116" t="s">
        <v>2451</v>
      </c>
      <c r="K74" s="117" t="s">
        <v>2452</v>
      </c>
      <c r="L74" s="118" t="s">
        <v>2453</v>
      </c>
      <c r="M74" s="115">
        <v>22.0</v>
      </c>
      <c r="N74" s="116" t="str">
        <f>IFERROR(__xludf.DUMMYFUNCTION("GOOGLETRANSLATE(B74,""zh-tw"",""zh"")"),"拜托一起洗")</f>
        <v>拜托一起洗</v>
      </c>
      <c r="O74" s="121" t="str">
        <f>IFERROR(__xludf.DUMMYFUNCTION("GOOGLETRANSLATE(C74,""zh-tw"",""zh"")"),"已经满足和妹妹一起洗澡的条件，但妹妹心情低落")</f>
        <v>已经满足和妹妹一起洗澡的条件，但妹妹心情低落</v>
      </c>
      <c r="P74" s="82" t="str">
        <f>IFERROR(__xludf.DUMMYFUNCTION("GOOGLETRANSLATE(D74,""zh-tw"",""zh"")"),"特殊选项")</f>
        <v>特殊选项</v>
      </c>
      <c r="Q74" s="115">
        <v>22.0</v>
      </c>
      <c r="R74" s="116" t="s">
        <v>2454</v>
      </c>
      <c r="S74" s="121" t="str">
        <f>IFERROR(__xludf.DUMMYFUNCTION("GOOGLETRANSLATE(C74,""zh-tw"",""es-MX"")"),"Se han dado las condiciones para bañarnos juntas, pero mi hermana está de mal humor.")</f>
        <v>Se han dado las condiciones para bañarnos juntas, pero mi hermana está de mal humor.</v>
      </c>
      <c r="T74" s="82" t="str">
        <f>IFERROR(__xludf.DUMMYFUNCTION("GOOGLETRANSLATE(D74,""zh-tw"",""es-MX"")"),"Opciones especiales")</f>
        <v>Opciones especiales</v>
      </c>
      <c r="U74" s="115">
        <v>22.0</v>
      </c>
      <c r="V74" s="132" t="str">
        <f>IFERROR(__xludf.DUMMYFUNCTION("GOOGLETRANSLATE(B74,""zh-tw"",""KO"")"),"함께 세탁해주세요")</f>
        <v>함께 세탁해주세요</v>
      </c>
      <c r="W74" s="121" t="str">
        <f>IFERROR(__xludf.DUMMYFUNCTION("GOOGLETRANSLATE(C74,""zh-tw"",""KO"")"),"함께 목욕할 조건은 충족됐지만, 여동생은 기분이 좋지 않다.")</f>
        <v>함께 목욕할 조건은 충족됐지만, 여동생은 기분이 좋지 않다.</v>
      </c>
      <c r="X74" s="82" t="str">
        <f>IFERROR(__xludf.DUMMYFUNCTION("GOOGLETRANSLATE(D74,""zh-tw"",""KO"")"),"특별 옵션")</f>
        <v>특별 옵션</v>
      </c>
      <c r="Y74" s="115">
        <v>22.0</v>
      </c>
      <c r="Z74" s="122" t="s">
        <v>2455</v>
      </c>
      <c r="AA74" s="123" t="s">
        <v>2456</v>
      </c>
      <c r="AB74" s="124" t="s">
        <v>2457</v>
      </c>
      <c r="AC74" s="115">
        <v>22.0</v>
      </c>
      <c r="AD74" s="116" t="s">
        <v>2458</v>
      </c>
      <c r="AE74" s="117" t="s">
        <v>2459</v>
      </c>
      <c r="AF74" s="118" t="s">
        <v>2460</v>
      </c>
      <c r="AG74" s="125">
        <v>22.0</v>
      </c>
      <c r="AH74" s="147" t="s">
        <v>2461</v>
      </c>
      <c r="AI74" s="145" t="s">
        <v>2462</v>
      </c>
      <c r="AJ74" s="148" t="s">
        <v>2463</v>
      </c>
      <c r="AK74" s="115">
        <v>22.0</v>
      </c>
      <c r="AL74" s="128" t="s">
        <v>2464</v>
      </c>
      <c r="AM74" s="129" t="s">
        <v>2465</v>
      </c>
      <c r="AN74" s="130" t="s">
        <v>2466</v>
      </c>
      <c r="AO74" s="115">
        <v>22.0</v>
      </c>
      <c r="AP74" s="116" t="s">
        <v>2467</v>
      </c>
      <c r="AQ74" s="117" t="s">
        <v>2468</v>
      </c>
      <c r="AR74" s="118" t="s">
        <v>2469</v>
      </c>
      <c r="AS74" s="115"/>
      <c r="AT74" s="116"/>
      <c r="AU74" s="117"/>
      <c r="AV74" s="118"/>
      <c r="AW74" s="118"/>
      <c r="AX74" s="118"/>
    </row>
    <row r="75">
      <c r="A75" s="153">
        <v>23.0</v>
      </c>
      <c r="B75" s="116" t="s">
        <v>2470</v>
      </c>
      <c r="C75" s="117" t="s">
        <v>2471</v>
      </c>
      <c r="D75" s="118" t="s">
        <v>2472</v>
      </c>
      <c r="E75" s="153">
        <v>23.0</v>
      </c>
      <c r="F75" s="116" t="s">
        <v>2473</v>
      </c>
      <c r="G75" s="117" t="s">
        <v>2474</v>
      </c>
      <c r="H75" s="118" t="s">
        <v>2475</v>
      </c>
      <c r="I75" s="153">
        <v>23.0</v>
      </c>
      <c r="J75" s="116" t="s">
        <v>2476</v>
      </c>
      <c r="K75" s="117" t="s">
        <v>2477</v>
      </c>
      <c r="L75" s="118" t="s">
        <v>2478</v>
      </c>
      <c r="M75" s="153">
        <v>23.0</v>
      </c>
      <c r="N75" s="116" t="str">
        <f>IFERROR(__xludf.DUMMYFUNCTION("GOOGLETRANSLATE(B75,""zh-tw"",""zh"")"),"快要热晕了-1")</f>
        <v>快要热晕了-1</v>
      </c>
      <c r="O75" s="121" t="str">
        <f>IFERROR(__xludf.DUMMYFUNCTION("GOOGLETRANSLATE(C75,""zh-tw"",""zh"")"),"在没有紫心的情况下，与妹妹一起泡澡时，如果一直摸妹妹，妹妹会逃跑")</f>
        <v>在没有紫心的情况下，与妹妹一起泡澡时，如果一直摸妹妹，妹妹会逃跑</v>
      </c>
      <c r="P75" s="82" t="str">
        <f>IFERROR(__xludf.DUMMYFUNCTION("GOOGLETRANSLATE(D75,""zh-tw"",""zh"")"),"妹妹逃跑了")</f>
        <v>妹妹逃跑了</v>
      </c>
      <c r="Q75" s="153">
        <v>23.0</v>
      </c>
      <c r="R75" s="116" t="str">
        <f>IFERROR(__xludf.DUMMYFUNCTION("GOOGLETRANSLATE(B75,""zh-tw"",""es-MX"")"),"Estoy a punto de desmayarme por el calor -1")</f>
        <v>Estoy a punto de desmayarme por el calor -1</v>
      </c>
      <c r="S75" s="117" t="str">
        <f>IFERROR(__xludf.DUMMYFUNCTION("GOOGLETRANSLATE(C75,""zh-tw"",""es-MX"")"),"Si sigues tocando a tu hermana pequeña mientras te bañas con ella (sin tener un corazón morado), se escapará.")</f>
        <v>Si sigues tocando a tu hermana pequeña mientras te bañas con ella (sin tener un corazón morado), se escapará.</v>
      </c>
      <c r="T75" s="82" t="str">
        <f>IFERROR(__xludf.DUMMYFUNCTION("GOOGLETRANSLATE(D75,""zh-tw"",""es-MX"")"),"Mi hermana se escapó.")</f>
        <v>Mi hermana se escapó.</v>
      </c>
      <c r="U75" s="153">
        <v>23.0</v>
      </c>
      <c r="V75" s="132" t="str">
        <f>IFERROR(__xludf.DUMMYFUNCTION("GOOGLETRANSLATE(B75,""zh-tw"",""KO"")"),"너무 더워서 기절할 것 같아요 -1")</f>
        <v>너무 더워서 기절할 것 같아요 -1</v>
      </c>
      <c r="W75" s="121" t="str">
        <f>IFERROR(__xludf.DUMMYFUNCTION("GOOGLETRANSLATE(C75,""zh-tw"",""KO"")"),"만약 여동생과 함께 목욕하는 동안 (보라색 하트 없이) 계속 여동생을 만지면, 여동생은 도망갈 거예요.")</f>
        <v>만약 여동생과 함께 목욕하는 동안 (보라색 하트 없이) 계속 여동생을 만지면, 여동생은 도망갈 거예요.</v>
      </c>
      <c r="X75" s="82" t="str">
        <f>IFERROR(__xludf.DUMMYFUNCTION("GOOGLETRANSLATE(D75,""zh-tw"",""KO"")"),"내 여동생이 가출했어요.")</f>
        <v>내 여동생이 가출했어요.</v>
      </c>
      <c r="Y75" s="115">
        <v>23.0</v>
      </c>
      <c r="Z75" s="161" t="s">
        <v>2479</v>
      </c>
      <c r="AA75" s="162" t="s">
        <v>2480</v>
      </c>
      <c r="AB75" s="142" t="s">
        <v>2481</v>
      </c>
      <c r="AC75" s="153">
        <v>23.0</v>
      </c>
      <c r="AD75" s="116" t="s">
        <v>2482</v>
      </c>
      <c r="AE75" s="117" t="s">
        <v>2483</v>
      </c>
      <c r="AF75" s="118" t="s">
        <v>2484</v>
      </c>
      <c r="AG75" s="163">
        <v>23.0</v>
      </c>
      <c r="AH75" s="126" t="s">
        <v>2485</v>
      </c>
      <c r="AI75" s="145" t="s">
        <v>2486</v>
      </c>
      <c r="AJ75" s="148" t="s">
        <v>2487</v>
      </c>
      <c r="AK75" s="115">
        <v>23.0</v>
      </c>
      <c r="AL75" s="128" t="s">
        <v>2488</v>
      </c>
      <c r="AM75" s="141" t="s">
        <v>2489</v>
      </c>
      <c r="AN75" s="130" t="s">
        <v>2490</v>
      </c>
      <c r="AO75" s="115">
        <v>23.0</v>
      </c>
      <c r="AP75" s="116" t="s">
        <v>2491</v>
      </c>
      <c r="AQ75" s="117" t="s">
        <v>2492</v>
      </c>
      <c r="AR75" s="118" t="s">
        <v>2493</v>
      </c>
      <c r="AS75" s="115"/>
      <c r="AT75" s="116"/>
      <c r="AU75" s="117"/>
      <c r="AV75" s="118"/>
      <c r="AW75" s="118"/>
      <c r="AX75" s="118"/>
    </row>
    <row r="76">
      <c r="A76" s="115">
        <v>24.0</v>
      </c>
      <c r="B76" s="116" t="s">
        <v>2494</v>
      </c>
      <c r="C76" s="117" t="s">
        <v>2495</v>
      </c>
      <c r="D76" s="118" t="s">
        <v>2496</v>
      </c>
      <c r="E76" s="115">
        <v>24.0</v>
      </c>
      <c r="F76" s="116" t="s">
        <v>2497</v>
      </c>
      <c r="G76" s="117" t="s">
        <v>2498</v>
      </c>
      <c r="H76" s="118" t="s">
        <v>2499</v>
      </c>
      <c r="I76" s="115">
        <v>24.0</v>
      </c>
      <c r="J76" s="116" t="s">
        <v>2476</v>
      </c>
      <c r="K76" s="117" t="s">
        <v>2500</v>
      </c>
      <c r="L76" s="118" t="s">
        <v>2501</v>
      </c>
      <c r="M76" s="115">
        <v>24.0</v>
      </c>
      <c r="N76" s="116" t="str">
        <f>IFERROR(__xludf.DUMMYFUNCTION("GOOGLETRANSLATE(B76,""zh-tw"",""zh"")"),"快要热晕了-2")</f>
        <v>快要热晕了-2</v>
      </c>
      <c r="O76" s="121" t="str">
        <f>IFERROR(__xludf.DUMMYFUNCTION("GOOGLETRANSLATE(C76,""zh-tw"",""zh"")"),"有至少一颗紫心时，一直摸妹妹，妹妹会热到晕倒")</f>
        <v>有至少一颗紫心时，一直摸妹妹，妹妹会热到晕倒</v>
      </c>
      <c r="P76" s="82" t="str">
        <f>IFERROR(__xludf.DUMMYFUNCTION("GOOGLETRANSLATE(D76,""zh-tw"",""zh"")"),"妹妹热晕了
*此为一次性事件")</f>
        <v>妹妹热晕了
*此为一次性事件</v>
      </c>
      <c r="Q76" s="115">
        <v>24.0</v>
      </c>
      <c r="R76" s="116" t="str">
        <f>IFERROR(__xludf.DUMMYFUNCTION("GOOGLETRANSLATE(B76,""zh-tw"",""es-MX"")"),"Estoy a punto de desmayarme por el calor -2")</f>
        <v>Estoy a punto de desmayarme por el calor -2</v>
      </c>
      <c r="S76" s="117" t="str">
        <f>IFERROR(__xludf.DUMMYFUNCTION("GOOGLETRANSLATE(C76,""zh-tw"",""es-MX"")"),"Si sigues tocando a tu hermana cuando tenga al menos un corazón morado, se acalorará tanto que se desmayará.")</f>
        <v>Si sigues tocando a tu hermana cuando tenga al menos un corazón morado, se acalorará tanto que se desmayará.</v>
      </c>
      <c r="T76" s="82" t="str">
        <f>IFERROR(__xludf.DUMMYFUNCTION("GOOGLETRANSLATE(D76,""zh-tw"",""es-MX"")"),"Mi hermana se desmayó por el calor.
*Esto ocurrió una sola vez.")</f>
        <v>Mi hermana se desmayó por el calor.
*Esto ocurrió una sola vez.</v>
      </c>
      <c r="U76" s="115">
        <v>24.0</v>
      </c>
      <c r="V76" s="132" t="str">
        <f>IFERROR(__xludf.DUMMYFUNCTION("GOOGLETRANSLATE(B76,""zh-tw"",""KO"")"),"너무 더워서 기절할 것 같아요 -2")</f>
        <v>너무 더워서 기절할 것 같아요 -2</v>
      </c>
      <c r="W76" s="121" t="str">
        <f>IFERROR(__xludf.DUMMYFUNCTION("GOOGLETRANSLATE(C76,""zh-tw"",""KO"")"),"여동생이 보라색 하트 훈장을 하나라도 받았을 때 계속 만지면, 여동생은 너무 더워져서 기절할 거예요.")</f>
        <v>여동생이 보라색 하트 훈장을 하나라도 받았을 때 계속 만지면, 여동생은 너무 더워져서 기절할 거예요.</v>
      </c>
      <c r="X76" s="82" t="str">
        <f>IFERROR(__xludf.DUMMYFUNCTION("GOOGLETRANSLATE(D76,""zh-tw"",""KO"")"),"내 여동생이 더위 때문에 기절했어요.
*이건 일회성 사건입니다.")</f>
        <v>내 여동생이 더위 때문에 기절했어요.
*이건 일회성 사건입니다.</v>
      </c>
      <c r="Y76" s="115">
        <v>24.0</v>
      </c>
      <c r="Z76" s="161" t="s">
        <v>2502</v>
      </c>
      <c r="AA76" s="162" t="s">
        <v>2503</v>
      </c>
      <c r="AB76" s="142" t="s">
        <v>2504</v>
      </c>
      <c r="AC76" s="115">
        <v>24.0</v>
      </c>
      <c r="AD76" s="116" t="s">
        <v>2505</v>
      </c>
      <c r="AE76" s="117" t="s">
        <v>2506</v>
      </c>
      <c r="AF76" s="118" t="s">
        <v>2507</v>
      </c>
      <c r="AG76" s="125">
        <v>24.0</v>
      </c>
      <c r="AH76" s="126" t="s">
        <v>2508</v>
      </c>
      <c r="AI76" s="145" t="s">
        <v>2509</v>
      </c>
      <c r="AJ76" s="148" t="s">
        <v>2510</v>
      </c>
      <c r="AK76" s="115">
        <v>24.0</v>
      </c>
      <c r="AL76" s="128" t="s">
        <v>2511</v>
      </c>
      <c r="AM76" s="141" t="s">
        <v>2512</v>
      </c>
      <c r="AN76" s="130" t="s">
        <v>2513</v>
      </c>
      <c r="AO76" s="115">
        <v>24.0</v>
      </c>
      <c r="AP76" s="116" t="s">
        <v>2514</v>
      </c>
      <c r="AQ76" s="117" t="s">
        <v>2515</v>
      </c>
      <c r="AR76" s="118" t="s">
        <v>2516</v>
      </c>
      <c r="AS76" s="115"/>
      <c r="AT76" s="116"/>
      <c r="AU76" s="117"/>
      <c r="AV76" s="118"/>
      <c r="AW76" s="118"/>
      <c r="AX76" s="118"/>
    </row>
    <row r="77">
      <c r="A77" s="115">
        <v>25.0</v>
      </c>
      <c r="B77" s="116" t="s">
        <v>2517</v>
      </c>
      <c r="C77" s="117" t="s">
        <v>2518</v>
      </c>
      <c r="D77" s="118" t="s">
        <v>2519</v>
      </c>
      <c r="E77" s="115">
        <v>25.0</v>
      </c>
      <c r="F77" s="116" t="s">
        <v>2520</v>
      </c>
      <c r="G77" s="117" t="s">
        <v>2521</v>
      </c>
      <c r="H77" s="118" t="s">
        <v>2519</v>
      </c>
      <c r="I77" s="115">
        <v>25.0</v>
      </c>
      <c r="J77" s="116" t="s">
        <v>2476</v>
      </c>
      <c r="K77" s="117" t="s">
        <v>2522</v>
      </c>
      <c r="L77" s="118" t="s">
        <v>2523</v>
      </c>
      <c r="M77" s="115">
        <v>25.0</v>
      </c>
      <c r="N77" s="116" t="str">
        <f>IFERROR(__xludf.DUMMYFUNCTION("GOOGLETRANSLATE(B77,""zh-tw"",""zh"")"),"快要热晕了-3")</f>
        <v>快要热晕了-3</v>
      </c>
      <c r="O77" s="121" t="str">
        <f>IFERROR(__xludf.DUMMYFUNCTION("GOOGLETRANSLATE(C77,""zh-tw"",""zh"")"),"同上，第二次进入热晕环节前，会进入特殊画面")</f>
        <v>同上，第二次进入热晕环节前，会进入特殊画面</v>
      </c>
      <c r="P77" s="82" t="str">
        <f>IFERROR(__xludf.DUMMYFUNCTION("GOOGLETRANSLATE(D77,""zh-tw"",""zh"")"),"CG演出")</f>
        <v>CG演出</v>
      </c>
      <c r="Q77" s="115">
        <v>25.0</v>
      </c>
      <c r="R77" s="116" t="str">
        <f>IFERROR(__xludf.DUMMYFUNCTION("GOOGLETRANSLATE(B77,""zh-tw"",""es-MX"")"),"Estoy a punto de desmayarme por el calor -3")</f>
        <v>Estoy a punto de desmayarme por el calor -3</v>
      </c>
      <c r="S77" s="117" t="str">
        <f>IFERROR(__xludf.DUMMYFUNCTION("GOOGLETRANSLATE(C77,""zh-tw"",""es-MX"")"),"Como se mencionó anteriormente, se reproducirá una escena especial antes de la segunda fase del golpe de calor.")</f>
        <v>Como se mencionó anteriormente, se reproducirá una escena especial antes de la segunda fase del golpe de calor.</v>
      </c>
      <c r="T77" s="82" t="str">
        <f>IFERROR(__xludf.DUMMYFUNCTION("GOOGLETRANSLATE(D77,""zh-tw"",""es-MX"")"),"Rendimiento de CG")</f>
        <v>Rendimiento de CG</v>
      </c>
      <c r="U77" s="115">
        <v>25.0</v>
      </c>
      <c r="V77" s="132" t="str">
        <f>IFERROR(__xludf.DUMMYFUNCTION("GOOGLETRANSLATE(B77,""zh-tw"",""KO"")"),"영하 3도의 더위 때문에 기절할 것 같아요.")</f>
        <v>영하 3도의 더위 때문에 기절할 것 같아요.</v>
      </c>
      <c r="W77" s="121" t="str">
        <f>IFERROR(__xludf.DUMMYFUNCTION("GOOGLETRANSLATE(C77,""zh-tw"",""KO"")"),"위에서 언급했듯이, 두 번째 열사병 단계 이전에 특별한 장면이 재생됩니다.")</f>
        <v>위에서 언급했듯이, 두 번째 열사병 단계 이전에 특별한 장면이 재생됩니다.</v>
      </c>
      <c r="X77" s="82" t="str">
        <f>IFERROR(__xludf.DUMMYFUNCTION("GOOGLETRANSLATE(D77,""zh-tw"",""KO"")"),"CG 성능")</f>
        <v>CG 성능</v>
      </c>
      <c r="Y77" s="115">
        <v>25.0</v>
      </c>
      <c r="Z77" s="161" t="s">
        <v>2524</v>
      </c>
      <c r="AA77" s="162" t="s">
        <v>2525</v>
      </c>
      <c r="AB77" s="142" t="s">
        <v>2526</v>
      </c>
      <c r="AC77" s="115">
        <v>25.0</v>
      </c>
      <c r="AD77" s="116" t="s">
        <v>2527</v>
      </c>
      <c r="AE77" s="117" t="s">
        <v>2528</v>
      </c>
      <c r="AF77" s="118" t="s">
        <v>2529</v>
      </c>
      <c r="AG77" s="125">
        <v>25.0</v>
      </c>
      <c r="AH77" s="126" t="s">
        <v>2530</v>
      </c>
      <c r="AI77" s="145" t="s">
        <v>2531</v>
      </c>
      <c r="AJ77" s="148" t="s">
        <v>2532</v>
      </c>
      <c r="AK77" s="115">
        <v>25.0</v>
      </c>
      <c r="AL77" s="128" t="s">
        <v>2533</v>
      </c>
      <c r="AM77" s="129" t="s">
        <v>2534</v>
      </c>
      <c r="AN77" s="130" t="s">
        <v>2535</v>
      </c>
      <c r="AO77" s="115">
        <v>25.0</v>
      </c>
      <c r="AP77" s="116" t="s">
        <v>2536</v>
      </c>
      <c r="AQ77" s="117" t="s">
        <v>2537</v>
      </c>
      <c r="AR77" s="118" t="s">
        <v>2538</v>
      </c>
      <c r="AS77" s="115"/>
      <c r="AT77" s="116"/>
      <c r="AU77" s="117"/>
      <c r="AV77" s="118"/>
      <c r="AW77" s="118"/>
      <c r="AX77" s="118"/>
    </row>
    <row r="78">
      <c r="A78" s="153">
        <v>26.0</v>
      </c>
      <c r="B78" s="128" t="s">
        <v>2539</v>
      </c>
      <c r="C78" s="129" t="s">
        <v>2540</v>
      </c>
      <c r="D78" s="130" t="s">
        <v>2541</v>
      </c>
      <c r="E78" s="153">
        <v>26.0</v>
      </c>
      <c r="F78" s="116" t="s">
        <v>2542</v>
      </c>
      <c r="G78" s="165" t="s">
        <v>2543</v>
      </c>
      <c r="H78" s="166" t="s">
        <v>2544</v>
      </c>
      <c r="I78" s="153">
        <v>26.0</v>
      </c>
      <c r="J78" s="164" t="s">
        <v>2545</v>
      </c>
      <c r="K78" s="165" t="s">
        <v>2546</v>
      </c>
      <c r="L78" s="166" t="s">
        <v>2547</v>
      </c>
      <c r="M78" s="153">
        <v>26.0</v>
      </c>
      <c r="N78" s="128" t="s">
        <v>2539</v>
      </c>
      <c r="O78" s="155" t="s">
        <v>2548</v>
      </c>
      <c r="P78" s="156" t="s">
        <v>2549</v>
      </c>
      <c r="Q78" s="153">
        <v>26.0</v>
      </c>
      <c r="R78" s="154" t="str">
        <f>IFERROR(__xludf.DUMMYFUNCTION("GOOGLETRANSLATE(B78,""zh-tw"",""es-MX"")"),"Bar de meditación")</f>
        <v>Bar de meditación</v>
      </c>
      <c r="S78" s="155" t="str">
        <f>IFERROR(__xludf.DUMMYFUNCTION("GOOGLETRANSLATE(C78,""zh-tw"",""es-MX"")"),"Mientras su hermana menor se bañaba sola, la libido del hermano mayor superó los 50 y entró al baño.")</f>
        <v>Mientras su hermana menor se bañaba sola, la libido del hermano mayor superó los 50 y entró al baño.</v>
      </c>
      <c r="T78" s="156" t="str">
        <f>IFERROR(__xludf.DUMMYFUNCTION("GOOGLETRANSLATE(D78,""zh-tw"",""es-MX"")"),"Se activa la opción de cambiar la meditación por un delirio. Tras seleccionar esta opción, tendrá lugar una representación a cargo de la hermana amante de los delirios.")</f>
        <v>Se activa la opción de cambiar la meditación por un delirio. Tras seleccionar esta opción, tendrá lugar una representación a cargo de la hermana amante de los delirios.</v>
      </c>
      <c r="U78" s="153">
        <v>26.0</v>
      </c>
      <c r="V78" s="154" t="str">
        <f>IFERROR(__xludf.DUMMYFUNCTION("GOOGLETRANSLATE(B78,""zh-tw"",""KO"")"),"명상 바")</f>
        <v>명상 바</v>
      </c>
      <c r="W78" s="155" t="str">
        <f>IFERROR(__xludf.DUMMYFUNCTION("GOOGLETRANSLATE(C78,""zh-tw"",""KO"")"),"여동생이 혼자 목욕하는 동안, 오빠의 성욕이 50을 넘어섰고, 그는 욕실로 들어갔다.")</f>
        <v>여동생이 혼자 목욕하는 동안, 오빠의 성욕이 50을 넘어섰고, 그는 욕실로 들어갔다.</v>
      </c>
      <c r="X78" s="156" t="str">
        <f>IFERROR(__xludf.DUMMYFUNCTION("GOOGLETRANSLATE(D78,""zh-tw"",""KO"")"),"명상을 망상으로 바꾸는 선택지가 나타납니다. 이 선택지를 고르면 망상을 좋아하는 여동생의 공연이 펼쳐집니다.")</f>
        <v>명상을 망상으로 바꾸는 선택지가 나타납니다. 이 선택지를 고르면 망상을 좋아하는 여동생의 공연이 펼쳐집니다.</v>
      </c>
      <c r="Y78" s="153">
        <v>26.0</v>
      </c>
      <c r="Z78" s="161" t="s">
        <v>2550</v>
      </c>
      <c r="AA78" s="162" t="s">
        <v>2551</v>
      </c>
      <c r="AB78" s="142" t="s">
        <v>2552</v>
      </c>
      <c r="AC78" s="153">
        <v>26.0</v>
      </c>
      <c r="AD78" s="116" t="s">
        <v>2553</v>
      </c>
      <c r="AE78" s="165" t="s">
        <v>2554</v>
      </c>
      <c r="AF78" s="166" t="s">
        <v>2555</v>
      </c>
      <c r="AG78" s="153">
        <v>26.0</v>
      </c>
      <c r="AH78" s="168" t="s">
        <v>2556</v>
      </c>
      <c r="AI78" s="169" t="s">
        <v>2557</v>
      </c>
      <c r="AJ78" s="189" t="s">
        <v>2558</v>
      </c>
      <c r="AK78" s="153">
        <v>26.0</v>
      </c>
      <c r="AL78" s="128" t="s">
        <v>2559</v>
      </c>
      <c r="AM78" s="129" t="s">
        <v>2560</v>
      </c>
      <c r="AN78" s="140" t="s">
        <v>2561</v>
      </c>
      <c r="AO78" s="153">
        <v>26.0</v>
      </c>
      <c r="AP78" s="116" t="s">
        <v>2562</v>
      </c>
      <c r="AQ78" s="117" t="s">
        <v>2563</v>
      </c>
      <c r="AR78" s="118" t="s">
        <v>2564</v>
      </c>
      <c r="AS78" s="153"/>
      <c r="AT78" s="116"/>
      <c r="AU78" s="117"/>
      <c r="AV78" s="118"/>
      <c r="AW78" s="130"/>
      <c r="AX78" s="130"/>
    </row>
    <row r="79">
      <c r="A79" s="115">
        <v>27.0</v>
      </c>
      <c r="B79" s="116" t="s">
        <v>2565</v>
      </c>
      <c r="C79" s="117" t="s">
        <v>2566</v>
      </c>
      <c r="D79" s="118" t="s">
        <v>2567</v>
      </c>
      <c r="E79" s="115">
        <v>27.0</v>
      </c>
      <c r="F79" s="116" t="s">
        <v>2568</v>
      </c>
      <c r="G79" s="117" t="s">
        <v>2569</v>
      </c>
      <c r="H79" s="118" t="s">
        <v>2570</v>
      </c>
      <c r="I79" s="115">
        <v>27.0</v>
      </c>
      <c r="J79" s="116" t="s">
        <v>2571</v>
      </c>
      <c r="K79" s="117" t="s">
        <v>2572</v>
      </c>
      <c r="L79" s="118" t="s">
        <v>2573</v>
      </c>
      <c r="M79" s="115">
        <v>27.0</v>
      </c>
      <c r="N79" s="116" t="str">
        <f>IFERROR(__xludf.DUMMYFUNCTION("GOOGLETRANSLATE(B79,""zh-tw"",""zh"")"),"请妹妹帮忙洗-1")</f>
        <v>请妹妹帮忙洗-1</v>
      </c>
      <c r="O79" s="121" t="str">
        <f>IFERROR(__xludf.DUMMYFUNCTION("GOOGLETRANSLATE(C79,""zh-tw"",""zh"")"),"在和妹妹共浴时，请妹妹帮忙擦背")</f>
        <v>在和妹妹共浴时，请妹妹帮忙擦背</v>
      </c>
      <c r="P79" s="82" t="str">
        <f>IFERROR(__xludf.DUMMYFUNCTION("GOOGLETRANSLATE(D79,""zh-tw"",""zh"")"),"触发一段剧情
并于下一次时新增一个选项：清洗前方")</f>
        <v>触发一段剧情
并于下一次时新增一个选项：清洗前方</v>
      </c>
      <c r="Q79" s="115">
        <v>27.0</v>
      </c>
      <c r="R79" s="116" t="str">
        <f>IFERROR(__xludf.DUMMYFUNCTION("GOOGLETRANSLATE(B79,""zh-tw"",""es-MX"")"),"Por favor, pídele a mi hermana que me ayude a lavar -1")</f>
        <v>Por favor, pídele a mi hermana que me ayude a lavar -1</v>
      </c>
      <c r="S79" s="117" t="str">
        <f>IFERROR(__xludf.DUMMYFUNCTION("GOOGLETRANSLATE(C79,""zh-tw"",""es-MX"")"),"Cuando me bañaba con mi hermana pequeña, le pedí que me ayudara a frotarme la espalda.")</f>
        <v>Cuando me bañaba con mi hermana pequeña, le pedí que me ayudara a frotarme la espalda.</v>
      </c>
      <c r="T79" s="82" t="str">
        <f>IFERROR(__xludf.DUMMYFUNCTION("GOOGLETRANSLATE(D79,""zh-tw"",""es-MX"")"),"Esto activa una escena cinemática y añade una nueva opción para la próxima vez: Limpiar la zona que hay delante.")</f>
        <v>Esto activa una escena cinemática y añade una nueva opción para la próxima vez: Limpiar la zona que hay delante.</v>
      </c>
      <c r="U79" s="115">
        <v>27.0</v>
      </c>
      <c r="V79" s="132" t="str">
        <f>IFERROR(__xludf.DUMMYFUNCTION("GOOGLETRANSLATE(B79,""zh-tw"",""KO"")"),"제 여동생에게 세탁 좀 도와달라고 전해주세요 -1")</f>
        <v>제 여동생에게 세탁 좀 도와달라고 전해주세요 -1</v>
      </c>
      <c r="W79" s="121" t="str">
        <f>IFERROR(__xludf.DUMMYFUNCTION("GOOGLETRANSLATE(C79,""zh-tw"",""KO"")"),"여동생과 함께 목욕을 하다가, 여동생에게 등을 문질러 닦아달라고 부탁했어요.")</f>
        <v>여동생과 함께 목욕을 하다가, 여동생에게 등을 문질러 닦아달라고 부탁했어요.</v>
      </c>
      <c r="X79" s="82" t="str">
        <f>IFERROR(__xludf.DUMMYFUNCTION("GOOGLETRANSLATE(D79,""zh-tw"",""KO"")"),"이렇게 하면 컷신이 재생되고 다음에 사용할 수 있는 새로운 옵션이 추가됩니다. 바로 ""앞쪽 지역을 정리하세요""입니다.")</f>
        <v>이렇게 하면 컷신이 재생되고 다음에 사용할 수 있는 새로운 옵션이 추가됩니다. 바로 "앞쪽 지역을 정리하세요"입니다.</v>
      </c>
      <c r="Y79" s="115">
        <v>27.0</v>
      </c>
      <c r="Z79" s="190" t="s">
        <v>2574</v>
      </c>
      <c r="AA79" s="162" t="s">
        <v>2575</v>
      </c>
      <c r="AB79" s="142" t="s">
        <v>2576</v>
      </c>
      <c r="AC79" s="115">
        <v>27.0</v>
      </c>
      <c r="AD79" s="120" t="s">
        <v>2577</v>
      </c>
      <c r="AE79" s="117" t="s">
        <v>2578</v>
      </c>
      <c r="AF79" s="118" t="s">
        <v>2579</v>
      </c>
      <c r="AG79" s="115">
        <v>27.0</v>
      </c>
      <c r="AH79" s="126" t="s">
        <v>2580</v>
      </c>
      <c r="AI79" s="145" t="s">
        <v>2581</v>
      </c>
      <c r="AJ79" s="148" t="s">
        <v>2582</v>
      </c>
      <c r="AK79" s="115">
        <v>27.0</v>
      </c>
      <c r="AL79" s="171" t="s">
        <v>2583</v>
      </c>
      <c r="AM79" s="129" t="s">
        <v>2584</v>
      </c>
      <c r="AN79" s="130" t="s">
        <v>2585</v>
      </c>
      <c r="AO79" s="115">
        <v>27.0</v>
      </c>
      <c r="AP79" s="116" t="s">
        <v>2586</v>
      </c>
      <c r="AQ79" s="117" t="s">
        <v>2587</v>
      </c>
      <c r="AR79" s="118" t="s">
        <v>2588</v>
      </c>
      <c r="AS79" s="115"/>
      <c r="AT79" s="116"/>
      <c r="AU79" s="117"/>
      <c r="AV79" s="118"/>
      <c r="AW79" s="118"/>
      <c r="AX79" s="118"/>
    </row>
    <row r="80">
      <c r="A80" s="115">
        <v>28.0</v>
      </c>
      <c r="B80" s="116" t="s">
        <v>2589</v>
      </c>
      <c r="C80" s="117" t="s">
        <v>2590</v>
      </c>
      <c r="D80" s="118" t="s">
        <v>2591</v>
      </c>
      <c r="E80" s="115">
        <v>28.0</v>
      </c>
      <c r="F80" s="116" t="s">
        <v>2592</v>
      </c>
      <c r="G80" s="117" t="s">
        <v>2593</v>
      </c>
      <c r="H80" s="118" t="s">
        <v>2594</v>
      </c>
      <c r="I80" s="115">
        <v>28.0</v>
      </c>
      <c r="J80" s="116" t="s">
        <v>2595</v>
      </c>
      <c r="K80" s="117" t="s">
        <v>2596</v>
      </c>
      <c r="L80" s="118" t="s">
        <v>2597</v>
      </c>
      <c r="M80" s="115">
        <v>28.0</v>
      </c>
      <c r="N80" s="116" t="str">
        <f>IFERROR(__xludf.DUMMYFUNCTION("GOOGLETRANSLATE(B80,""zh-tw"",""zh"")"),"请妹妹帮忙洗-2")</f>
        <v>请妹妹帮忙洗-2</v>
      </c>
      <c r="O80" s="121" t="str">
        <f>IFERROR(__xludf.DUMMYFUNCTION("GOOGLETRANSLATE(C80,""zh-tw"",""zh"")"),"同上，第二次选择帮忙清洗前方，且未达4颗紫心时")</f>
        <v>同上，第二次选择帮忙清洗前方，且未达4颗紫心时</v>
      </c>
      <c r="P80" s="82" t="str">
        <f>IFERROR(__xludf.DUMMYFUNCTION("GOOGLETRANSLATE(D80,""zh-tw"",""zh"")"),"妹妹会拒绝帮忙")</f>
        <v>妹妹会拒绝帮忙</v>
      </c>
      <c r="Q80" s="115">
        <v>28.0</v>
      </c>
      <c r="R80" s="116" t="str">
        <f>IFERROR(__xludf.DUMMYFUNCTION("GOOGLETRANSLATE(B80,""zh-tw"",""es-MX"")"),"Por favor, pídele a mi hermana que me ayude a lavar -2")</f>
        <v>Por favor, pídele a mi hermana que me ayude a lavar -2</v>
      </c>
      <c r="S80" s="117" t="str">
        <f>IFERROR(__xludf.DUMMYFUNCTION("GOOGLETRANSLATE(C80,""zh-tw"",""es-MX"")"),"Como se indicó anteriormente, la segunda vez que elijas ayudar a limpiar el área de enfrente, y antes de haber alcanzado 4 corazones morados.")</f>
        <v>Como se indicó anteriormente, la segunda vez que elijas ayudar a limpiar el área de enfrente, y antes de haber alcanzado 4 corazones morados.</v>
      </c>
      <c r="T80" s="82" t="str">
        <f>IFERROR(__xludf.DUMMYFUNCTION("GOOGLETRANSLATE(D80,""zh-tw"",""es-MX"")"),"Mi hermana se negará a ayudar.")</f>
        <v>Mi hermana se negará a ayudar.</v>
      </c>
      <c r="U80" s="115">
        <v>28.0</v>
      </c>
      <c r="V80" s="132" t="str">
        <f>IFERROR(__xludf.DUMMYFUNCTION("GOOGLETRANSLATE(B80,""zh-tw"",""KO"")"),"제 여동생에게 세탁 좀 도와달라고 전해주세요 -2")</f>
        <v>제 여동생에게 세탁 좀 도와달라고 전해주세요 -2</v>
      </c>
      <c r="W80" s="121" t="str">
        <f>IFERROR(__xludf.DUMMYFUNCTION("GOOGLETRANSLATE(C80,""zh-tw"",""KO"")"),"위에서 설명한 것처럼, 두 번째로 앞쪽 구역 청소를 돕기로 선택했을 때, 그리고 보라색 하트 4개를 모으기 전에 그렇게 하세요.")</f>
        <v>위에서 설명한 것처럼, 두 번째로 앞쪽 구역 청소를 돕기로 선택했을 때, 그리고 보라색 하트 4개를 모으기 전에 그렇게 하세요.</v>
      </c>
      <c r="X80" s="82" t="str">
        <f>IFERROR(__xludf.DUMMYFUNCTION("GOOGLETRANSLATE(D80,""zh-tw"",""KO"")"),"내 여동생은 도와주기를 거부할 것이다.")</f>
        <v>내 여동생은 도와주기를 거부할 것이다.</v>
      </c>
      <c r="Y80" s="115">
        <v>28.0</v>
      </c>
      <c r="Z80" s="190" t="s">
        <v>2598</v>
      </c>
      <c r="AA80" s="191" t="s">
        <v>2599</v>
      </c>
      <c r="AB80" s="142" t="s">
        <v>2600</v>
      </c>
      <c r="AC80" s="115">
        <v>28.0</v>
      </c>
      <c r="AD80" s="120" t="s">
        <v>2601</v>
      </c>
      <c r="AE80" s="117" t="s">
        <v>2602</v>
      </c>
      <c r="AF80" s="118" t="s">
        <v>2603</v>
      </c>
      <c r="AG80" s="115">
        <v>28.0</v>
      </c>
      <c r="AH80" s="126" t="s">
        <v>2604</v>
      </c>
      <c r="AI80" s="145" t="s">
        <v>2605</v>
      </c>
      <c r="AJ80" s="148" t="s">
        <v>2606</v>
      </c>
      <c r="AK80" s="115">
        <v>28.0</v>
      </c>
      <c r="AL80" s="171" t="s">
        <v>2607</v>
      </c>
      <c r="AM80" s="141" t="s">
        <v>2608</v>
      </c>
      <c r="AN80" s="130" t="s">
        <v>2609</v>
      </c>
      <c r="AO80" s="115">
        <v>28.0</v>
      </c>
      <c r="AP80" s="116" t="s">
        <v>2610</v>
      </c>
      <c r="AQ80" s="117" t="s">
        <v>2611</v>
      </c>
      <c r="AR80" s="118" t="s">
        <v>2612</v>
      </c>
      <c r="AS80" s="115"/>
      <c r="AT80" s="116"/>
      <c r="AU80" s="117"/>
      <c r="AV80" s="118"/>
      <c r="AW80" s="118"/>
      <c r="AX80" s="118"/>
    </row>
    <row r="81">
      <c r="A81" s="153">
        <v>29.0</v>
      </c>
      <c r="B81" s="116" t="s">
        <v>2613</v>
      </c>
      <c r="C81" s="117" t="s">
        <v>2614</v>
      </c>
      <c r="D81" s="118" t="s">
        <v>2615</v>
      </c>
      <c r="E81" s="153">
        <v>29.0</v>
      </c>
      <c r="F81" s="116" t="s">
        <v>2616</v>
      </c>
      <c r="G81" s="117" t="s">
        <v>2617</v>
      </c>
      <c r="H81" s="118" t="s">
        <v>2618</v>
      </c>
      <c r="I81" s="153">
        <v>29.0</v>
      </c>
      <c r="J81" s="116" t="s">
        <v>2619</v>
      </c>
      <c r="K81" s="117" t="s">
        <v>2620</v>
      </c>
      <c r="L81" s="118" t="s">
        <v>2621</v>
      </c>
      <c r="M81" s="153">
        <v>29.0</v>
      </c>
      <c r="N81" s="116" t="str">
        <f>IFERROR(__xludf.DUMMYFUNCTION("GOOGLETRANSLATE(B81,""zh-tw"",""zh"")"),"请妹妹帮忙洗-3")</f>
        <v>请妹妹帮忙洗-3</v>
      </c>
      <c r="O81" s="121" t="str">
        <f>IFERROR(__xludf.DUMMYFUNCTION("GOOGLETRANSLATE(C81,""zh-tw"",""zh"")"),"同上，若达到4颗紫心时")</f>
        <v>同上，若达到4颗紫心时</v>
      </c>
      <c r="P81" s="82" t="str">
        <f>IFERROR(__xludf.DUMMYFUNCTION("GOOGLETRANSLATE(D81,""zh-tw"",""zh"")"),"第一段素股画面演出")</f>
        <v>第一段素股画面演出</v>
      </c>
      <c r="Q81" s="153">
        <v>29.0</v>
      </c>
      <c r="R81" s="116" t="str">
        <f>IFERROR(__xludf.DUMMYFUNCTION("GOOGLETRANSLATE(B81,""zh-tw"",""es-MX"")"),"Por favor, pídele a mi hermana que me ayude a lavarme - 3")</f>
        <v>Por favor, pídele a mi hermana que me ayude a lavarme - 3</v>
      </c>
      <c r="S81" s="117" t="str">
        <f>IFERROR(__xludf.DUMMYFUNCTION("GOOGLETRANSLATE(C81,""zh-tw"",""es-MX"")"),"Del mismo modo, si alcanzas 4 corazones morados...")</f>
        <v>Del mismo modo, si alcanzas 4 corazones morados...</v>
      </c>
      <c r="T81" s="82" t="str">
        <f>IFERROR(__xludf.DUMMYFUNCTION("GOOGLETRANSLATE(D81,""zh-tw"",""es-MX"")"),"La primera parte de la representación de la escena de las medias sencillas")</f>
        <v>La primera parte de la representación de la escena de las medias sencillas</v>
      </c>
      <c r="U81" s="153">
        <v>29.0</v>
      </c>
      <c r="V81" s="132" t="str">
        <f>IFERROR(__xludf.DUMMYFUNCTION("GOOGLETRANSLATE(B81,""zh-tw"",""KO"")"),"제 여동생에게 세탁 좀 도와달라고 전해주세요 - 3")</f>
        <v>제 여동생에게 세탁 좀 도와달라고 전해주세요 - 3</v>
      </c>
      <c r="W81" s="121" t="str">
        <f>IFERROR(__xludf.DUMMYFUNCTION("GOOGLETRANSLATE(C81,""zh-tw"",""KO"")"),"마찬가지로, 보라색 하트를 4개 모으면...")</f>
        <v>마찬가지로, 보라색 하트를 4개 모으면...</v>
      </c>
      <c r="X81" s="82" t="str">
        <f>IFERROR(__xludf.DUMMYFUNCTION("GOOGLETRANSLATE(D81,""zh-tw"",""KO"")"),"평범한 스타킹 장면 공연의 첫 번째 부분")</f>
        <v>평범한 스타킹 장면 공연의 첫 번째 부분</v>
      </c>
      <c r="Y81" s="153">
        <v>29.0</v>
      </c>
      <c r="Z81" s="190" t="s">
        <v>2622</v>
      </c>
      <c r="AA81" s="191" t="s">
        <v>2623</v>
      </c>
      <c r="AB81" s="142" t="s">
        <v>2624</v>
      </c>
      <c r="AC81" s="153">
        <v>29.0</v>
      </c>
      <c r="AD81" s="120" t="s">
        <v>2625</v>
      </c>
      <c r="AE81" s="117" t="s">
        <v>2626</v>
      </c>
      <c r="AF81" s="118" t="s">
        <v>2627</v>
      </c>
      <c r="AG81" s="153">
        <v>29.0</v>
      </c>
      <c r="AH81" s="126" t="s">
        <v>2628</v>
      </c>
      <c r="AI81" s="145" t="s">
        <v>2629</v>
      </c>
      <c r="AJ81" s="148" t="s">
        <v>2630</v>
      </c>
      <c r="AK81" s="153">
        <v>29.0</v>
      </c>
      <c r="AL81" s="171" t="s">
        <v>2631</v>
      </c>
      <c r="AM81" s="141" t="s">
        <v>2632</v>
      </c>
      <c r="AN81" s="130" t="s">
        <v>2633</v>
      </c>
      <c r="AO81" s="153">
        <v>29.0</v>
      </c>
      <c r="AP81" s="116" t="s">
        <v>2634</v>
      </c>
      <c r="AQ81" s="117" t="s">
        <v>2635</v>
      </c>
      <c r="AR81" s="118" t="s">
        <v>2636</v>
      </c>
      <c r="AS81" s="153"/>
      <c r="AT81" s="116"/>
      <c r="AU81" s="117"/>
      <c r="AV81" s="118"/>
      <c r="AW81" s="118"/>
      <c r="AX81" s="118"/>
    </row>
    <row r="82">
      <c r="A82" s="115">
        <v>30.0</v>
      </c>
      <c r="B82" s="116" t="s">
        <v>2637</v>
      </c>
      <c r="C82" s="117" t="s">
        <v>2638</v>
      </c>
      <c r="D82" s="118" t="s">
        <v>2639</v>
      </c>
      <c r="E82" s="115">
        <v>30.0</v>
      </c>
      <c r="F82" s="116" t="s">
        <v>2640</v>
      </c>
      <c r="G82" s="117" t="s">
        <v>2641</v>
      </c>
      <c r="H82" s="118" t="s">
        <v>2642</v>
      </c>
      <c r="I82" s="115">
        <v>30.0</v>
      </c>
      <c r="J82" s="116" t="s">
        <v>2643</v>
      </c>
      <c r="K82" s="117" t="s">
        <v>2644</v>
      </c>
      <c r="L82" s="118" t="s">
        <v>2645</v>
      </c>
      <c r="M82" s="115">
        <v>30.0</v>
      </c>
      <c r="N82" s="116" t="str">
        <f>IFERROR(__xludf.DUMMYFUNCTION("GOOGLETRANSLATE(B82,""zh-tw"",""zh"")"),"请妹妹帮忙洗-4")</f>
        <v>请妹妹帮忙洗-4</v>
      </c>
      <c r="O82" s="121" t="str">
        <f>IFERROR(__xludf.DUMMYFUNCTION("GOOGLETRANSLATE(C82,""zh-tw"",""zh"")"),"同上，若达到5颗紫心时")</f>
        <v>同上，若达到5颗紫心时</v>
      </c>
      <c r="P82" s="82" t="str">
        <f>IFERROR(__xludf.DUMMYFUNCTION("GOOGLETRANSLATE(D82,""zh-tw"",""zh"")"),"第二段素股画面演出")</f>
        <v>第二段素股画面演出</v>
      </c>
      <c r="Q82" s="115">
        <v>30.0</v>
      </c>
      <c r="R82" s="116" t="str">
        <f>IFERROR(__xludf.DUMMYFUNCTION("GOOGLETRANSLATE(B82,""zh-tw"",""es-MX"")"),"Por favor, pídele a mi hermana que me ayude a lavar -4")</f>
        <v>Por favor, pídele a mi hermana que me ayude a lavar -4</v>
      </c>
      <c r="S82" s="117" t="str">
        <f>IFERROR(__xludf.DUMMYFUNCTION("GOOGLETRANSLATE(C82,""zh-tw"",""es-MX"")"),"Del mismo modo, si alcanzas 5 corazones morados...")</f>
        <v>Del mismo modo, si alcanzas 5 corazones morados...</v>
      </c>
      <c r="T82" s="82" t="str">
        <f>IFERROR(__xludf.DUMMYFUNCTION("GOOGLETRANSLATE(D82,""zh-tw"",""es-MX"")"),"La segunda parte de la representación de la escena de las medias sencillas")</f>
        <v>La segunda parte de la representación de la escena de las medias sencillas</v>
      </c>
      <c r="U82" s="115">
        <v>30.0</v>
      </c>
      <c r="V82" s="132" t="str">
        <f>IFERROR(__xludf.DUMMYFUNCTION("GOOGLETRANSLATE(B82,""zh-tw"",""KO"")"),"제 여동생에게 세탁 좀 도와달라고 전해주세요 -4")</f>
        <v>제 여동생에게 세탁 좀 도와달라고 전해주세요 -4</v>
      </c>
      <c r="W82" s="121" t="str">
        <f>IFERROR(__xludf.DUMMYFUNCTION("GOOGLETRANSLATE(C82,""zh-tw"",""KO"")"),"마찬가지로, 보라색 하트를 5개 모으면...")</f>
        <v>마찬가지로, 보라색 하트를 5개 모으면...</v>
      </c>
      <c r="X82" s="82" t="str">
        <f>IFERROR(__xludf.DUMMYFUNCTION("GOOGLETRANSLATE(D82,""zh-tw"",""KO"")"),"평범한 스타킹 장면 공연의 두 번째 부분")</f>
        <v>평범한 스타킹 장면 공연의 두 번째 부분</v>
      </c>
      <c r="Y82" s="115">
        <v>30.0</v>
      </c>
      <c r="Z82" s="190" t="s">
        <v>2646</v>
      </c>
      <c r="AA82" s="162" t="s">
        <v>2647</v>
      </c>
      <c r="AB82" s="142" t="s">
        <v>2648</v>
      </c>
      <c r="AC82" s="115">
        <v>30.0</v>
      </c>
      <c r="AD82" s="120" t="s">
        <v>2649</v>
      </c>
      <c r="AE82" s="117" t="s">
        <v>2650</v>
      </c>
      <c r="AF82" s="118" t="s">
        <v>2651</v>
      </c>
      <c r="AG82" s="115">
        <v>30.0</v>
      </c>
      <c r="AH82" s="126" t="s">
        <v>2652</v>
      </c>
      <c r="AI82" s="145" t="s">
        <v>2653</v>
      </c>
      <c r="AJ82" s="148" t="s">
        <v>2654</v>
      </c>
      <c r="AK82" s="115">
        <v>30.0</v>
      </c>
      <c r="AL82" s="171" t="s">
        <v>2655</v>
      </c>
      <c r="AM82" s="129" t="s">
        <v>2656</v>
      </c>
      <c r="AN82" s="130" t="s">
        <v>2657</v>
      </c>
      <c r="AO82" s="115">
        <v>30.0</v>
      </c>
      <c r="AP82" s="116" t="s">
        <v>2658</v>
      </c>
      <c r="AQ82" s="117" t="s">
        <v>2659</v>
      </c>
      <c r="AR82" s="118" t="s">
        <v>2660</v>
      </c>
      <c r="AS82" s="115"/>
      <c r="AT82" s="116"/>
      <c r="AU82" s="117"/>
      <c r="AV82" s="118"/>
      <c r="AW82" s="118"/>
      <c r="AX82" s="118"/>
    </row>
    <row r="83">
      <c r="A83" s="115">
        <v>31.0</v>
      </c>
      <c r="B83" s="128" t="s">
        <v>2661</v>
      </c>
      <c r="C83" s="129" t="s">
        <v>2662</v>
      </c>
      <c r="D83" s="130" t="s">
        <v>2663</v>
      </c>
      <c r="E83" s="115">
        <v>31.0</v>
      </c>
      <c r="F83" s="116" t="s">
        <v>2664</v>
      </c>
      <c r="G83" s="165" t="s">
        <v>2665</v>
      </c>
      <c r="H83" s="166" t="s">
        <v>2666</v>
      </c>
      <c r="I83" s="115">
        <v>31.0</v>
      </c>
      <c r="J83" s="164" t="s">
        <v>2667</v>
      </c>
      <c r="K83" s="165" t="s">
        <v>2668</v>
      </c>
      <c r="L83" s="166" t="s">
        <v>2669</v>
      </c>
      <c r="M83" s="115">
        <v>31.0</v>
      </c>
      <c r="N83" s="128" t="str">
        <f>IFERROR(__xludf.DUMMYFUNCTION("GOOGLETRANSLATE(B83,""zh-tw"",""zh"")"),"请妹妹帮忙洗-5")</f>
        <v>请妹妹帮忙洗-5</v>
      </c>
      <c r="O83" s="155" t="str">
        <f>IFERROR(__xludf.DUMMYFUNCTION("GOOGLETRANSLATE(C83,""zh-tw"",""zh"")"),"当心动值达10分以上、以及触发过2次素股事件
或者使用贿络")</f>
        <v>当心动值达10分以上、以及触发过2次素股事件
或者使用贿络</v>
      </c>
      <c r="P83" s="156" t="str">
        <f>IFERROR(__xludf.DUMMYFUNCTION("GOOGLETRANSLATE(D83,""zh-tw"",""zh"")"),"触发洗浴中口交事件")</f>
        <v>触发洗浴中口交事件</v>
      </c>
      <c r="Q83" s="115">
        <v>31.0</v>
      </c>
      <c r="R83" s="154" t="str">
        <f>IFERROR(__xludf.DUMMYFUNCTION("GOOGLETRANSLATE(B83,""zh-tw"",""es-MX"")"),"Por favor, pídele a mi hermana que me ayude a lavar -5")</f>
        <v>Por favor, pídele a mi hermana que me ayude a lavar -5</v>
      </c>
      <c r="S83" s="155" t="str">
        <f>IFERROR(__xludf.DUMMYFUNCTION("GOOGLETRANSLATE(C83,""zh-tw"",""es-MX"")"),"Cuando la frecuencia cardíaca alcanza los 10 puntos o más, y se han activado dos eventos relacionados con las acciones, o se utiliza el soborno...")</f>
        <v>Cuando la frecuencia cardíaca alcanza los 10 puntos o más, y se han activado dos eventos relacionados con las acciones, o se utiliza el soborno...</v>
      </c>
      <c r="T83" s="156" t="str">
        <f>IFERROR(__xludf.DUMMYFUNCTION("GOOGLETRANSLATE(D83,""zh-tw"",""es-MX"")"),"Evento que desencadena sexo oral en el baño")</f>
        <v>Evento que desencadena sexo oral en el baño</v>
      </c>
      <c r="U83" s="115">
        <v>31.0</v>
      </c>
      <c r="V83" s="154" t="str">
        <f>IFERROR(__xludf.DUMMYFUNCTION("GOOGLETRANSLATE(B83,""zh-tw"",""KO"")"),"제 여동생에게 세탁 좀 도와달라고 전해주세요 -5")</f>
        <v>제 여동생에게 세탁 좀 도와달라고 전해주세요 -5</v>
      </c>
      <c r="W83" s="155" t="str">
        <f>IFERROR(__xludf.DUMMYFUNCTION("GOOGLETRANSLATE(C83,""zh-tw"",""KO"")"),"심박수가 10포인트 이상에 도달하고, 주식 관련 사건이 두 건 발생했거나, 뇌물이 사용되었을 경우...")</f>
        <v>심박수가 10포인트 이상에 도달하고, 주식 관련 사건이 두 건 발생했거나, 뇌물이 사용되었을 경우...</v>
      </c>
      <c r="X83" s="156" t="str">
        <f>IFERROR(__xludf.DUMMYFUNCTION("GOOGLETRANSLATE(D83,""zh-tw"",""KO"")"),"욕조에서 구강성교를 유발하는 상황")</f>
        <v>욕조에서 구강성교를 유발하는 상황</v>
      </c>
      <c r="Y83" s="115">
        <v>31.0</v>
      </c>
      <c r="Z83" s="161" t="s">
        <v>2670</v>
      </c>
      <c r="AA83" s="162" t="s">
        <v>2671</v>
      </c>
      <c r="AB83" s="142" t="s">
        <v>2672</v>
      </c>
      <c r="AC83" s="115">
        <v>31.0</v>
      </c>
      <c r="AD83" s="120" t="s">
        <v>2673</v>
      </c>
      <c r="AE83" s="165" t="s">
        <v>2674</v>
      </c>
      <c r="AF83" s="166" t="s">
        <v>2675</v>
      </c>
      <c r="AG83" s="115">
        <v>31.0</v>
      </c>
      <c r="AH83" s="168" t="s">
        <v>2676</v>
      </c>
      <c r="AI83" s="169" t="s">
        <v>2677</v>
      </c>
      <c r="AJ83" s="189" t="s">
        <v>2678</v>
      </c>
      <c r="AK83" s="115">
        <v>31.0</v>
      </c>
      <c r="AL83" s="128" t="s">
        <v>2679</v>
      </c>
      <c r="AM83" s="129" t="s">
        <v>2680</v>
      </c>
      <c r="AN83" s="140" t="s">
        <v>2681</v>
      </c>
      <c r="AO83" s="115">
        <v>31.0</v>
      </c>
      <c r="AP83" s="116" t="s">
        <v>2667</v>
      </c>
      <c r="AQ83" s="117" t="s">
        <v>2668</v>
      </c>
      <c r="AR83" s="118" t="s">
        <v>2682</v>
      </c>
      <c r="AS83" s="115"/>
      <c r="AT83" s="116"/>
      <c r="AU83" s="117"/>
      <c r="AV83" s="118"/>
      <c r="AW83" s="130"/>
      <c r="AX83" s="130"/>
    </row>
    <row r="84">
      <c r="A84" s="153">
        <v>32.0</v>
      </c>
      <c r="B84" s="128" t="s">
        <v>2683</v>
      </c>
      <c r="C84" s="129" t="s">
        <v>2684</v>
      </c>
      <c r="D84" s="130" t="s">
        <v>2685</v>
      </c>
      <c r="E84" s="153">
        <v>32.0</v>
      </c>
      <c r="F84" s="116" t="s">
        <v>2686</v>
      </c>
      <c r="G84" s="165" t="s">
        <v>2687</v>
      </c>
      <c r="H84" s="166" t="s">
        <v>2688</v>
      </c>
      <c r="I84" s="153">
        <v>32.0</v>
      </c>
      <c r="J84" s="164" t="s">
        <v>2689</v>
      </c>
      <c r="K84" s="165" t="s">
        <v>2690</v>
      </c>
      <c r="L84" s="166" t="s">
        <v>2691</v>
      </c>
      <c r="M84" s="153">
        <v>32.0</v>
      </c>
      <c r="N84" s="128" t="str">
        <f>IFERROR(__xludf.DUMMYFUNCTION("GOOGLETRANSLATE(B84,""zh-tw"",""zh"")"),"请妹妹帮忙洗-6")</f>
        <v>请妹妹帮忙洗-6</v>
      </c>
      <c r="O84" s="155" t="str">
        <f>IFERROR(__xludf.DUMMYFUNCTION("GOOGLETRANSLATE(C84,""zh-tw"",""zh"")"),"同上，并且哥哥持有装备""恶魔眼球""")</f>
        <v>同上，并且哥哥持有装备"恶魔眼球"</v>
      </c>
      <c r="P84" s="156" t="str">
        <f>IFERROR(__xludf.DUMMYFUNCTION("GOOGLETRANSLATE(D84,""zh-tw"",""zh"")"),"于左下角的黑色眼球，可以观看到透视版本的画面")</f>
        <v>于左下角的黑色眼球，可以观看到透视版本的画面</v>
      </c>
      <c r="Q84" s="153">
        <v>32.0</v>
      </c>
      <c r="R84" s="154" t="str">
        <f>IFERROR(__xludf.DUMMYFUNCTION("GOOGLETRANSLATE(B84,""zh-tw"",""es-MX"")"),"Por favor, pídele a mi hermana que me ayude a lavar - 6")</f>
        <v>Por favor, pídele a mi hermana que me ayude a lavar - 6</v>
      </c>
      <c r="S84" s="155" t="str">
        <f>IFERROR(__xludf.DUMMYFUNCTION("GOOGLETRANSLATE(C84,""zh-tw"",""es-MX"")"),"Igual que lo anterior, y el hermano mayor posee el equipo ""Ojo de demonio"".")</f>
        <v>Igual que lo anterior, y el hermano mayor posee el equipo "Ojo de demonio".</v>
      </c>
      <c r="T84" s="156" t="str">
        <f>IFERROR(__xludf.DUMMYFUNCTION("GOOGLETRANSLATE(D84,""zh-tw"",""es-MX"")"),"Se puede apreciar una vista en perspectiva a través del ojo negro situado en la esquina inferior izquierda.")</f>
        <v>Se puede apreciar una vista en perspectiva a través del ojo negro situado en la esquina inferior izquierda.</v>
      </c>
      <c r="U84" s="153">
        <v>32.0</v>
      </c>
      <c r="V84" s="154" t="str">
        <f>IFERROR(__xludf.DUMMYFUNCTION("GOOGLETRANSLATE(B84,""zh-tw"",""KO"")"),"제 여동생에게 빨래 좀 도와달라고 전해주세요 - 6")</f>
        <v>제 여동생에게 빨래 좀 도와달라고 전해주세요 - 6</v>
      </c>
      <c r="W84" s="155" t="str">
        <f>IFERROR(__xludf.DUMMYFUNCTION("GOOGLETRANSLATE(C84,""zh-tw"",""KO"")"),"위와 마찬가지로, 형은 ""악마의 눈알""이라는 장비를 가지고 있습니다.")</f>
        <v>위와 마찬가지로, 형은 "악마의 눈알"이라는 장비를 가지고 있습니다.</v>
      </c>
      <c r="X84" s="156" t="str">
        <f>IFERROR(__xludf.DUMMYFUNCTION("GOOGLETRANSLATE(D84,""zh-tw"",""KO"")"),"왼쪽 아래 모서리에 있는 검은 눈동자를 통해 원근감을 느낄 수 있습니다.")</f>
        <v>왼쪽 아래 모서리에 있는 검은 눈동자를 통해 원근감을 느낄 수 있습니다.</v>
      </c>
      <c r="Y84" s="153">
        <v>32.0</v>
      </c>
      <c r="Z84" s="161" t="s">
        <v>2692</v>
      </c>
      <c r="AA84" s="191" t="s">
        <v>2693</v>
      </c>
      <c r="AB84" s="192" t="s">
        <v>2694</v>
      </c>
      <c r="AC84" s="153">
        <v>32.0</v>
      </c>
      <c r="AD84" s="116" t="s">
        <v>2695</v>
      </c>
      <c r="AE84" s="165" t="s">
        <v>2696</v>
      </c>
      <c r="AF84" s="166" t="s">
        <v>2697</v>
      </c>
      <c r="AG84" s="153">
        <v>32.0</v>
      </c>
      <c r="AH84" s="168" t="s">
        <v>2698</v>
      </c>
      <c r="AI84" s="193" t="s">
        <v>2699</v>
      </c>
      <c r="AJ84" s="170" t="s">
        <v>2700</v>
      </c>
      <c r="AK84" s="153">
        <v>32.0</v>
      </c>
      <c r="AL84" s="128" t="s">
        <v>2701</v>
      </c>
      <c r="AM84" s="129" t="s">
        <v>2702</v>
      </c>
      <c r="AN84" s="140" t="s">
        <v>2703</v>
      </c>
      <c r="AO84" s="153">
        <v>32.0</v>
      </c>
      <c r="AP84" s="116" t="s">
        <v>2689</v>
      </c>
      <c r="AQ84" s="117" t="s">
        <v>2704</v>
      </c>
      <c r="AR84" s="118" t="s">
        <v>2705</v>
      </c>
      <c r="AS84" s="153"/>
      <c r="AT84" s="116"/>
      <c r="AU84" s="117"/>
      <c r="AV84" s="118"/>
      <c r="AW84" s="130"/>
      <c r="AX84" s="130"/>
    </row>
    <row r="85">
      <c r="A85" s="115">
        <v>33.0</v>
      </c>
      <c r="B85" s="128" t="s">
        <v>2706</v>
      </c>
      <c r="C85" s="141" t="s">
        <v>2707</v>
      </c>
      <c r="D85" s="140" t="s">
        <v>2708</v>
      </c>
      <c r="E85" s="115">
        <v>33.0</v>
      </c>
      <c r="F85" s="120" t="s">
        <v>2709</v>
      </c>
      <c r="G85" s="172" t="s">
        <v>2710</v>
      </c>
      <c r="H85" s="177" t="s">
        <v>2711</v>
      </c>
      <c r="I85" s="115">
        <v>33.0</v>
      </c>
      <c r="J85" s="176" t="s">
        <v>2712</v>
      </c>
      <c r="K85" s="172" t="s">
        <v>2713</v>
      </c>
      <c r="L85" s="177" t="s">
        <v>2714</v>
      </c>
      <c r="M85" s="115">
        <v>33.0</v>
      </c>
      <c r="N85" s="171" t="s">
        <v>2715</v>
      </c>
      <c r="O85" s="141" t="s">
        <v>2716</v>
      </c>
      <c r="P85" s="140" t="s">
        <v>2717</v>
      </c>
      <c r="Q85" s="115">
        <v>33.0</v>
      </c>
      <c r="R85" s="154"/>
      <c r="S85" s="155"/>
      <c r="T85" s="156"/>
      <c r="U85" s="115">
        <v>33.0</v>
      </c>
      <c r="V85" s="154"/>
      <c r="W85" s="155"/>
      <c r="X85" s="156"/>
      <c r="Y85" s="115">
        <v>33.0</v>
      </c>
      <c r="Z85" s="161" t="s">
        <v>2718</v>
      </c>
      <c r="AA85" s="191" t="s">
        <v>2719</v>
      </c>
      <c r="AB85" s="192" t="s">
        <v>2720</v>
      </c>
      <c r="AC85" s="115">
        <v>33.0</v>
      </c>
      <c r="AD85" s="120" t="s">
        <v>2721</v>
      </c>
      <c r="AE85" s="172" t="s">
        <v>2722</v>
      </c>
      <c r="AF85" s="177" t="s">
        <v>2723</v>
      </c>
      <c r="AG85" s="115">
        <v>33.0</v>
      </c>
      <c r="AH85" s="194" t="s">
        <v>2724</v>
      </c>
      <c r="AI85" s="193" t="s">
        <v>2725</v>
      </c>
      <c r="AJ85" s="170" t="s">
        <v>2726</v>
      </c>
      <c r="AK85" s="115">
        <v>33.0</v>
      </c>
      <c r="AL85" s="171" t="s">
        <v>2727</v>
      </c>
      <c r="AM85" s="141" t="s">
        <v>2728</v>
      </c>
      <c r="AN85" s="140" t="s">
        <v>2729</v>
      </c>
      <c r="AO85" s="115">
        <v>33.0</v>
      </c>
      <c r="AP85" s="116"/>
      <c r="AQ85" s="117"/>
      <c r="AR85" s="118"/>
      <c r="AS85" s="115"/>
      <c r="AT85" s="116"/>
      <c r="AU85" s="117"/>
      <c r="AV85" s="118"/>
      <c r="AW85" s="130"/>
      <c r="AX85" s="130"/>
    </row>
    <row r="86">
      <c r="A86" s="115">
        <v>34.0</v>
      </c>
      <c r="B86" s="128" t="s">
        <v>2730</v>
      </c>
      <c r="C86" s="141" t="s">
        <v>2731</v>
      </c>
      <c r="D86" s="140" t="s">
        <v>2732</v>
      </c>
      <c r="E86" s="115">
        <v>34.0</v>
      </c>
      <c r="F86" s="120" t="s">
        <v>2733</v>
      </c>
      <c r="G86" s="172" t="s">
        <v>2734</v>
      </c>
      <c r="H86" s="177" t="s">
        <v>2735</v>
      </c>
      <c r="I86" s="115">
        <v>34.0</v>
      </c>
      <c r="J86" s="176" t="s">
        <v>2736</v>
      </c>
      <c r="K86" s="172" t="s">
        <v>2737</v>
      </c>
      <c r="L86" s="177" t="s">
        <v>2738</v>
      </c>
      <c r="M86" s="115">
        <v>34.0</v>
      </c>
      <c r="N86" s="171" t="s">
        <v>2739</v>
      </c>
      <c r="O86" s="141" t="s">
        <v>2740</v>
      </c>
      <c r="P86" s="140" t="s">
        <v>2741</v>
      </c>
      <c r="Q86" s="115">
        <v>34.0</v>
      </c>
      <c r="R86" s="154"/>
      <c r="S86" s="155"/>
      <c r="T86" s="156"/>
      <c r="U86" s="115">
        <v>34.0</v>
      </c>
      <c r="V86" s="154"/>
      <c r="W86" s="155"/>
      <c r="X86" s="156"/>
      <c r="Y86" s="115">
        <v>34.0</v>
      </c>
      <c r="Z86" s="161" t="s">
        <v>2742</v>
      </c>
      <c r="AA86" s="191" t="s">
        <v>2743</v>
      </c>
      <c r="AB86" s="192" t="s">
        <v>2744</v>
      </c>
      <c r="AC86" s="115">
        <v>34.0</v>
      </c>
      <c r="AD86" s="120" t="s">
        <v>2745</v>
      </c>
      <c r="AE86" s="172" t="s">
        <v>2746</v>
      </c>
      <c r="AF86" s="177" t="s">
        <v>2747</v>
      </c>
      <c r="AG86" s="115">
        <v>34.0</v>
      </c>
      <c r="AH86" s="194" t="s">
        <v>2748</v>
      </c>
      <c r="AI86" s="193" t="s">
        <v>2749</v>
      </c>
      <c r="AJ86" s="170" t="s">
        <v>2750</v>
      </c>
      <c r="AK86" s="115">
        <v>34.0</v>
      </c>
      <c r="AL86" s="171" t="s">
        <v>2751</v>
      </c>
      <c r="AM86" s="141" t="s">
        <v>2752</v>
      </c>
      <c r="AN86" s="140" t="s">
        <v>2753</v>
      </c>
      <c r="AO86" s="115">
        <v>34.0</v>
      </c>
      <c r="AP86" s="116"/>
      <c r="AQ86" s="117"/>
      <c r="AR86" s="118"/>
      <c r="AS86" s="115"/>
      <c r="AT86" s="116"/>
      <c r="AU86" s="117"/>
      <c r="AV86" s="118"/>
      <c r="AW86" s="130"/>
      <c r="AX86" s="130"/>
    </row>
    <row r="87">
      <c r="A87" s="115">
        <v>35.0</v>
      </c>
      <c r="B87" s="171" t="s">
        <v>2754</v>
      </c>
      <c r="C87" s="141" t="s">
        <v>2755</v>
      </c>
      <c r="D87" s="140" t="s">
        <v>2756</v>
      </c>
      <c r="E87" s="153">
        <v>35.0</v>
      </c>
      <c r="F87" s="120" t="s">
        <v>2757</v>
      </c>
      <c r="G87" s="172" t="s">
        <v>2758</v>
      </c>
      <c r="H87" s="177" t="s">
        <v>2759</v>
      </c>
      <c r="I87" s="153">
        <v>35.0</v>
      </c>
      <c r="J87" s="176" t="s">
        <v>2760</v>
      </c>
      <c r="K87" s="172" t="s">
        <v>2761</v>
      </c>
      <c r="L87" s="177" t="s">
        <v>2762</v>
      </c>
      <c r="M87" s="153">
        <v>35.0</v>
      </c>
      <c r="N87" s="171" t="s">
        <v>2763</v>
      </c>
      <c r="O87" s="141" t="s">
        <v>2764</v>
      </c>
      <c r="P87" s="140" t="s">
        <v>2765</v>
      </c>
      <c r="Q87" s="153">
        <v>35.0</v>
      </c>
      <c r="R87" s="154"/>
      <c r="S87" s="155"/>
      <c r="T87" s="156"/>
      <c r="U87" s="115"/>
      <c r="V87" s="154"/>
      <c r="W87" s="155"/>
      <c r="X87" s="156"/>
      <c r="Y87" s="115"/>
      <c r="Z87" s="161"/>
      <c r="AA87" s="191"/>
      <c r="AB87" s="192"/>
      <c r="AC87" s="115"/>
      <c r="AD87" s="120" t="s">
        <v>2766</v>
      </c>
      <c r="AE87" s="172" t="s">
        <v>2767</v>
      </c>
      <c r="AF87" s="177" t="s">
        <v>2768</v>
      </c>
      <c r="AG87" s="153">
        <v>35.0</v>
      </c>
      <c r="AH87" s="194" t="s">
        <v>2769</v>
      </c>
      <c r="AI87" s="193" t="s">
        <v>2770</v>
      </c>
      <c r="AJ87" s="170" t="s">
        <v>2771</v>
      </c>
      <c r="AK87" s="115"/>
      <c r="AL87" s="171"/>
      <c r="AM87" s="141"/>
      <c r="AN87" s="140"/>
      <c r="AO87" s="115"/>
      <c r="AP87" s="116"/>
      <c r="AQ87" s="117"/>
      <c r="AR87" s="118"/>
      <c r="AS87" s="115"/>
      <c r="AT87" s="116"/>
      <c r="AU87" s="117"/>
      <c r="AV87" s="118"/>
      <c r="AW87" s="130"/>
      <c r="AX87" s="130"/>
    </row>
    <row r="88">
      <c r="A88" s="180"/>
      <c r="B88" s="181"/>
      <c r="C88" s="181"/>
      <c r="D88" s="181"/>
      <c r="E88" s="180"/>
      <c r="F88" s="181"/>
      <c r="G88" s="181"/>
      <c r="H88" s="181"/>
      <c r="I88" s="180"/>
      <c r="J88" s="181"/>
      <c r="K88" s="181"/>
      <c r="L88" s="181"/>
      <c r="M88" s="8"/>
      <c r="N88" s="181"/>
      <c r="O88" s="70"/>
      <c r="P88" s="70"/>
      <c r="Q88" s="8"/>
      <c r="R88" s="70"/>
      <c r="S88" s="70"/>
      <c r="T88" s="70"/>
      <c r="U88" s="8"/>
      <c r="V88" s="70"/>
      <c r="W88" s="70"/>
      <c r="X88" s="70"/>
      <c r="Y88" s="182"/>
      <c r="Z88" s="195"/>
      <c r="AA88" s="195"/>
      <c r="AB88" s="195"/>
      <c r="AC88" s="180"/>
      <c r="AD88" s="181"/>
      <c r="AE88" s="181"/>
      <c r="AF88" s="181"/>
      <c r="AG88" s="185"/>
      <c r="AH88" s="184"/>
      <c r="AI88" s="185"/>
      <c r="AJ88" s="185"/>
      <c r="AK88" s="186"/>
      <c r="AL88" s="186"/>
      <c r="AM88" s="186"/>
      <c r="AN88" s="186"/>
      <c r="AO88" s="186"/>
      <c r="AP88" s="186"/>
      <c r="AQ88" s="186"/>
      <c r="AR88" s="186"/>
      <c r="AS88" s="186"/>
      <c r="AT88" s="186"/>
      <c r="AU88" s="186"/>
      <c r="AV88" s="186"/>
      <c r="AW88" s="181"/>
      <c r="AX88" s="181"/>
    </row>
    <row r="89">
      <c r="A89" s="111" t="s">
        <v>2772</v>
      </c>
      <c r="B89" s="112" t="s">
        <v>2773</v>
      </c>
      <c r="E89" s="111" t="s">
        <v>2772</v>
      </c>
      <c r="F89" s="111" t="s">
        <v>2774</v>
      </c>
      <c r="I89" s="111" t="s">
        <v>2772</v>
      </c>
      <c r="J89" s="111" t="s">
        <v>2775</v>
      </c>
      <c r="M89" s="111" t="s">
        <v>2772</v>
      </c>
      <c r="N89" s="112" t="str">
        <f>IFERROR(__xludf.DUMMYFUNCTION("GOOGLETRANSLATE(B89,""zh-tw"",""zh"")"),"游戏机相关剧情")</f>
        <v>游戏机相关剧情</v>
      </c>
      <c r="Q89" s="111" t="s">
        <v>2772</v>
      </c>
      <c r="R89" s="111" t="s">
        <v>2776</v>
      </c>
      <c r="U89" s="111" t="s">
        <v>2772</v>
      </c>
      <c r="V89" s="111" t="s">
        <v>2777</v>
      </c>
      <c r="Y89" s="112" t="s">
        <v>2772</v>
      </c>
      <c r="Z89" s="112" t="s">
        <v>2778</v>
      </c>
      <c r="AC89" s="111" t="s">
        <v>2772</v>
      </c>
      <c r="AD89" s="187" t="s">
        <v>2779</v>
      </c>
      <c r="AG89" s="113" t="s">
        <v>2772</v>
      </c>
      <c r="AH89" s="114" t="s">
        <v>2780</v>
      </c>
      <c r="AK89" s="112" t="s">
        <v>2772</v>
      </c>
      <c r="AL89" s="112" t="s">
        <v>2781</v>
      </c>
      <c r="AO89" s="111" t="s">
        <v>2772</v>
      </c>
      <c r="AP89" s="111" t="s">
        <v>2782</v>
      </c>
      <c r="AS89" s="111"/>
      <c r="AT89" s="111"/>
      <c r="AW89" s="112"/>
      <c r="AX89" s="112"/>
    </row>
    <row r="90">
      <c r="A90" s="115">
        <v>1.0</v>
      </c>
      <c r="B90" s="116" t="s">
        <v>2783</v>
      </c>
      <c r="C90" s="117" t="s">
        <v>2784</v>
      </c>
      <c r="D90" s="118" t="s">
        <v>2785</v>
      </c>
      <c r="E90" s="115">
        <v>1.0</v>
      </c>
      <c r="F90" s="116" t="s">
        <v>2786</v>
      </c>
      <c r="G90" s="117" t="s">
        <v>2787</v>
      </c>
      <c r="H90" s="118" t="s">
        <v>2788</v>
      </c>
      <c r="I90" s="115">
        <v>1.0</v>
      </c>
      <c r="J90" s="116" t="s">
        <v>2789</v>
      </c>
      <c r="K90" s="117" t="s">
        <v>2790</v>
      </c>
      <c r="L90" s="118" t="s">
        <v>2791</v>
      </c>
      <c r="M90" s="196">
        <v>1.0</v>
      </c>
      <c r="N90" s="116" t="str">
        <f>IFERROR(__xludf.DUMMYFUNCTION("GOOGLETRANSLATE(B90,""zh-tw"",""zh"")"),"第一次游戏中的恶作剧")</f>
        <v>第一次游戏中的恶作剧</v>
      </c>
      <c r="O90" s="121" t="str">
        <f>IFERROR(__xludf.DUMMYFUNCTION("GOOGLETRANSLATE(C90,""zh-tw"",""zh"")"),"在拥有游戏机后，第一次对正在独自一人玩游戏的妹妹，使用一起游玩的恶作剧")</f>
        <v>在拥有游戏机后，第一次对正在独自一人玩游戏的妹妹，使用一起游玩的恶作剧</v>
      </c>
      <c r="P90" s="82" t="str">
        <f>IFERROR(__xludf.DUMMYFUNCTION("GOOGLETRANSLATE(D90,""zh-tw"",""zh"")"),"有一段的特殊对话，并且之后可以对游戏中的妹妹恶作剧")</f>
        <v>有一段的特殊对话，并且之后可以对游戏中的妹妹恶作剧</v>
      </c>
      <c r="Q90" s="196">
        <v>1.0</v>
      </c>
      <c r="R90" s="120" t="s">
        <v>2792</v>
      </c>
      <c r="S90" s="119" t="s">
        <v>2793</v>
      </c>
      <c r="T90" s="79" t="s">
        <v>2794</v>
      </c>
      <c r="U90" s="196">
        <v>1.0</v>
      </c>
      <c r="V90" s="132" t="s">
        <v>2795</v>
      </c>
      <c r="W90" s="121" t="s">
        <v>2796</v>
      </c>
      <c r="X90" s="82" t="s">
        <v>2797</v>
      </c>
      <c r="Y90" s="115">
        <v>1.0</v>
      </c>
      <c r="Z90" s="161" t="s">
        <v>2798</v>
      </c>
      <c r="AA90" s="162" t="s">
        <v>2799</v>
      </c>
      <c r="AB90" s="142" t="s">
        <v>2800</v>
      </c>
      <c r="AC90" s="115">
        <v>1.0</v>
      </c>
      <c r="AD90" s="116" t="s">
        <v>2801</v>
      </c>
      <c r="AE90" s="117" t="s">
        <v>2802</v>
      </c>
      <c r="AF90" s="118" t="s">
        <v>2803</v>
      </c>
      <c r="AG90" s="125">
        <v>1.0</v>
      </c>
      <c r="AH90" s="147" t="s">
        <v>2804</v>
      </c>
      <c r="AI90" s="145" t="s">
        <v>2805</v>
      </c>
      <c r="AJ90" s="148" t="s">
        <v>2806</v>
      </c>
      <c r="AK90" s="115">
        <v>1.0</v>
      </c>
      <c r="AL90" s="128" t="s">
        <v>2807</v>
      </c>
      <c r="AM90" s="129" t="s">
        <v>2808</v>
      </c>
      <c r="AN90" s="130" t="s">
        <v>2809</v>
      </c>
      <c r="AO90" s="115">
        <v>1.0</v>
      </c>
      <c r="AP90" s="116" t="str">
        <f>IFERROR(__xludf.DUMMYFUNCTION("GOOGLETRANSLATE(B90,""zh-tw"",""id"")"),"Prank pertama dalam game")</f>
        <v>Prank pertama dalam game</v>
      </c>
      <c r="AQ90" s="121" t="str">
        <f>IFERROR(__xludf.DUMMYFUNCTION("GOOGLETRANSLATE(C90,""zh-tw"",""id"")"),"Setelah mendapatkan konsol game untuk pertama kalinya, dia mengerjai adik perempuannya yang sedang bermain game sendirian, dengan mengajak mereka bermain bersama.")</f>
        <v>Setelah mendapatkan konsol game untuk pertama kalinya, dia mengerjai adik perempuannya yang sedang bermain game sendirian, dengan mengajak mereka bermain bersama.</v>
      </c>
      <c r="AR90" s="82" t="str">
        <f>IFERROR(__xludf.DUMMYFUNCTION("GOOGLETRANSLATE(D90,""zh-tw"",""id"")"),"Terdapat segmen dialog khusus, dan setelah itu Anda dapat mengerjai adik perempuan dalam permainan.")</f>
        <v>Terdapat segmen dialog khusus, dan setelah itu Anda dapat mengerjai adik perempuan dalam permainan.</v>
      </c>
      <c r="AS90" s="115"/>
      <c r="AT90" s="116"/>
      <c r="AU90" s="121"/>
      <c r="AV90" s="82"/>
      <c r="AW90" s="118"/>
      <c r="AX90" s="118"/>
    </row>
    <row r="91">
      <c r="A91" s="115">
        <v>2.0</v>
      </c>
      <c r="B91" s="116" t="s">
        <v>2810</v>
      </c>
      <c r="C91" s="117" t="s">
        <v>2811</v>
      </c>
      <c r="D91" s="118" t="s">
        <v>2812</v>
      </c>
      <c r="E91" s="115">
        <v>2.0</v>
      </c>
      <c r="F91" s="116" t="s">
        <v>2813</v>
      </c>
      <c r="G91" s="117" t="s">
        <v>2814</v>
      </c>
      <c r="H91" s="118" t="s">
        <v>2815</v>
      </c>
      <c r="I91" s="115">
        <v>2.0</v>
      </c>
      <c r="J91" s="116" t="s">
        <v>2816</v>
      </c>
      <c r="K91" s="117" t="s">
        <v>2817</v>
      </c>
      <c r="L91" s="118" t="s">
        <v>2818</v>
      </c>
      <c r="M91" s="196">
        <v>2.0</v>
      </c>
      <c r="N91" s="116" t="str">
        <f>IFERROR(__xludf.DUMMYFUNCTION("GOOGLETRANSLATE(B91,""zh-tw"",""zh"")"),"夜晚的发现")</f>
        <v>夜晚的发现</v>
      </c>
      <c r="O91" s="121" t="str">
        <f>IFERROR(__xludf.DUMMYFUNCTION("GOOGLETRANSLATE(C91,""zh-tw"",""zh"")"),"在拥有游戏机后，第一次夜袭时，妹妹会因偷玩游戏被哥哥抓到")</f>
        <v>在拥有游戏机后，第一次夜袭时，妹妹会因偷玩游戏被哥哥抓到</v>
      </c>
      <c r="P91" s="82" t="s">
        <v>2819</v>
      </c>
      <c r="Q91" s="196">
        <v>2.0</v>
      </c>
      <c r="R91" s="120" t="s">
        <v>2820</v>
      </c>
      <c r="S91" s="119" t="s">
        <v>2821</v>
      </c>
      <c r="T91" s="79" t="s">
        <v>2822</v>
      </c>
      <c r="U91" s="196">
        <v>2.0</v>
      </c>
      <c r="V91" s="132" t="s">
        <v>2823</v>
      </c>
      <c r="W91" s="121" t="s">
        <v>2824</v>
      </c>
      <c r="X91" s="82" t="s">
        <v>2825</v>
      </c>
      <c r="Y91" s="115">
        <v>2.0</v>
      </c>
      <c r="Z91" s="161" t="s">
        <v>2826</v>
      </c>
      <c r="AA91" s="162" t="s">
        <v>2827</v>
      </c>
      <c r="AB91" s="142" t="s">
        <v>2828</v>
      </c>
      <c r="AC91" s="115">
        <v>2.0</v>
      </c>
      <c r="AD91" s="116" t="s">
        <v>2829</v>
      </c>
      <c r="AE91" s="117" t="s">
        <v>2830</v>
      </c>
      <c r="AF91" s="118" t="s">
        <v>2831</v>
      </c>
      <c r="AG91" s="125">
        <v>2.0</v>
      </c>
      <c r="AH91" s="126" t="s">
        <v>2832</v>
      </c>
      <c r="AI91" s="145" t="s">
        <v>2833</v>
      </c>
      <c r="AJ91" s="148" t="s">
        <v>2834</v>
      </c>
      <c r="AK91" s="196">
        <v>2.0</v>
      </c>
      <c r="AL91" s="171" t="s">
        <v>2835</v>
      </c>
      <c r="AM91" s="155" t="s">
        <v>2836</v>
      </c>
      <c r="AN91" s="156" t="s">
        <v>2837</v>
      </c>
      <c r="AO91" s="196">
        <v>2.0</v>
      </c>
      <c r="AP91" s="116" t="str">
        <f>IFERROR(__xludf.DUMMYFUNCTION("GOOGLETRANSLATE(B91,""zh-tw"",""id"")"),"Penemuan di Malam Hari")</f>
        <v>Penemuan di Malam Hari</v>
      </c>
      <c r="AQ91" s="121" t="str">
        <f>IFERROR(__xludf.DUMMYFUNCTION("GOOGLETRANSLATE(C91,""zh-tw"",""id"")"),"Setelah mendapatkan konsol game, adik perempuan itu ketahuan oleh kakak laki-lakinya sedang bermain game saat penggerebekan malam pertama mereka.")</f>
        <v>Setelah mendapatkan konsol game, adik perempuan itu ketahuan oleh kakak laki-lakinya sedang bermain game saat penggerebekan malam pertama mereka.</v>
      </c>
      <c r="AR91" s="82" t="str">
        <f>IFERROR(__xludf.DUMMYFUNCTION("GOOGLETRANSLATE(D91,""zh-tw"",""id"")"),"※ Memicu acara satu kali")</f>
        <v>※ Memicu acara satu kali</v>
      </c>
      <c r="AS91" s="196"/>
      <c r="AT91" s="116"/>
      <c r="AU91" s="121"/>
      <c r="AV91" s="82"/>
      <c r="AW91" s="118"/>
      <c r="AX91" s="118"/>
    </row>
    <row r="92">
      <c r="A92" s="196">
        <v>3.0</v>
      </c>
      <c r="B92" s="132" t="s">
        <v>2838</v>
      </c>
      <c r="C92" s="119" t="s">
        <v>2839</v>
      </c>
      <c r="D92" s="82" t="s">
        <v>2840</v>
      </c>
      <c r="E92" s="196">
        <v>3.0</v>
      </c>
      <c r="F92" s="132" t="s">
        <v>2841</v>
      </c>
      <c r="G92" s="121" t="s">
        <v>2842</v>
      </c>
      <c r="H92" s="82" t="s">
        <v>2843</v>
      </c>
      <c r="I92" s="196">
        <v>3.0</v>
      </c>
      <c r="J92" s="132" t="s">
        <v>2844</v>
      </c>
      <c r="K92" s="119" t="s">
        <v>2845</v>
      </c>
      <c r="L92" s="82" t="s">
        <v>2846</v>
      </c>
      <c r="M92" s="196">
        <v>3.0</v>
      </c>
      <c r="N92" s="132" t="str">
        <f>IFERROR(__xludf.DUMMYFUNCTION("GOOGLETRANSLATE(B92,""zh-tw"",""zh"")"),"游戏中的干扰")</f>
        <v>游戏中的干扰</v>
      </c>
      <c r="O92" s="121" t="str">
        <f>IFERROR(__xludf.DUMMYFUNCTION("GOOGLETRANSLATE(C92,""zh-tw"",""zh"")"),"在妹妹独自一人玩游戏时，若进行干扰，妹妹会生气
若在没有游戏机的DLC时，选择打开大腿，会立即被发现!")</f>
        <v>在妹妹独自一人玩游戏时，若进行干扰，妹妹会生气
若在没有游戏机的DLC时，选择打开大腿，会立即被发现!</v>
      </c>
      <c r="P92" s="82" t="str">
        <f>IFERROR(__xludf.DUMMYFUNCTION("GOOGLETRANSLATE(D92,""zh-tw"",""zh"")"),"生气之后安抚好，会获得随机的肉料理、别受伤的约定")</f>
        <v>生气之后安抚好，会获得随机的肉料理、别受伤的约定</v>
      </c>
      <c r="Q92" s="196">
        <v>3.0</v>
      </c>
      <c r="R92" s="132" t="s">
        <v>2847</v>
      </c>
      <c r="S92" s="119" t="s">
        <v>2848</v>
      </c>
      <c r="T92" s="79" t="s">
        <v>2849</v>
      </c>
      <c r="U92" s="196">
        <v>3.0</v>
      </c>
      <c r="V92" s="132" t="s">
        <v>2850</v>
      </c>
      <c r="W92" s="121" t="s">
        <v>2851</v>
      </c>
      <c r="X92" s="82" t="s">
        <v>2852</v>
      </c>
      <c r="Y92" s="196">
        <v>3.0</v>
      </c>
      <c r="Z92" s="161" t="s">
        <v>2853</v>
      </c>
      <c r="AA92" s="162" t="s">
        <v>2854</v>
      </c>
      <c r="AB92" s="142" t="s">
        <v>2855</v>
      </c>
      <c r="AC92" s="196">
        <v>3.0</v>
      </c>
      <c r="AD92" s="132" t="s">
        <v>2856</v>
      </c>
      <c r="AE92" s="121" t="s">
        <v>2857</v>
      </c>
      <c r="AF92" s="82" t="s">
        <v>2858</v>
      </c>
      <c r="AG92" s="197">
        <v>3.0</v>
      </c>
      <c r="AH92" s="198" t="s">
        <v>2859</v>
      </c>
      <c r="AI92" s="149" t="s">
        <v>2860</v>
      </c>
      <c r="AJ92" s="199" t="s">
        <v>2861</v>
      </c>
      <c r="AK92" s="196">
        <v>3.0</v>
      </c>
      <c r="AL92" s="154" t="s">
        <v>2862</v>
      </c>
      <c r="AM92" s="155" t="s">
        <v>2863</v>
      </c>
      <c r="AN92" s="156" t="s">
        <v>2864</v>
      </c>
      <c r="AO92" s="196">
        <v>3.0</v>
      </c>
      <c r="AP92" s="116" t="str">
        <f>IFERROR(__xludf.DUMMYFUNCTION("GOOGLETRANSLATE(B92,""zh-tw"",""id"")"),"Gangguan dalam permainan")</f>
        <v>Gangguan dalam permainan</v>
      </c>
      <c r="AQ92" s="121" t="str">
        <f>IFERROR(__xludf.DUMMYFUNCTION("GOOGLETRANSLATE(C92,""zh-tw"",""id"")"),"Jika kamu mengganggu adik perempuanmu saat dia bermain game sendirian, dia akan marah. Jika kamu memilih untuk membuka paha saat tidak ada DLC untuk konsol game, kamu akan langsung ketahuan!")</f>
        <v>Jika kamu mengganggu adik perempuanmu saat dia bermain game sendirian, dia akan marah. Jika kamu memilih untuk membuka paha saat tidak ada DLC untuk konsol game, kamu akan langsung ketahuan!</v>
      </c>
      <c r="AR92" s="82" t="str">
        <f>IFERROR(__xludf.DUMMYFUNCTION("GOOGLETRANSLATE(D92,""zh-tw"",""id"")"),"Jika kamu tenang setelah seseorang marah, kamu akan menerima hidangan daging acak dan janji untuk tidak menyakiti diri sendiri.")</f>
        <v>Jika kamu tenang setelah seseorang marah, kamu akan menerima hidangan daging acak dan janji untuk tidak menyakiti diri sendiri.</v>
      </c>
      <c r="AS92" s="196"/>
      <c r="AT92" s="116"/>
      <c r="AU92" s="121"/>
      <c r="AV92" s="82"/>
      <c r="AW92" s="82"/>
      <c r="AX92" s="82"/>
    </row>
    <row r="93">
      <c r="A93" s="196">
        <v>4.0</v>
      </c>
      <c r="B93" s="132" t="s">
        <v>2865</v>
      </c>
      <c r="C93" s="121" t="s">
        <v>2866</v>
      </c>
      <c r="D93" s="82" t="s">
        <v>2867</v>
      </c>
      <c r="E93" s="196">
        <v>4.0</v>
      </c>
      <c r="F93" s="132" t="s">
        <v>2868</v>
      </c>
      <c r="G93" s="121" t="s">
        <v>2869</v>
      </c>
      <c r="H93" s="79" t="s">
        <v>2870</v>
      </c>
      <c r="I93" s="196">
        <v>4.0</v>
      </c>
      <c r="J93" s="132" t="s">
        <v>2871</v>
      </c>
      <c r="K93" s="121" t="s">
        <v>2872</v>
      </c>
      <c r="L93" s="82" t="s">
        <v>2873</v>
      </c>
      <c r="M93" s="196">
        <v>4.0</v>
      </c>
      <c r="N93" s="132" t="str">
        <f>IFERROR(__xludf.DUMMYFUNCTION("GOOGLETRANSLATE(B93,""zh-tw"",""zh"")"),"游戏中的干扰-1")</f>
        <v>游戏中的干扰-1</v>
      </c>
      <c r="O93" s="121" t="str">
        <f>IFERROR(__xludf.DUMMYFUNCTION("GOOGLETRANSLATE(C93,""zh-tw"",""zh"")"),"同上，若拥有暗影之魂-DLC后，即可触发其他选项")</f>
        <v>同上，若拥有暗影之魂-DLC后，即可触发其他选项</v>
      </c>
      <c r="P93" s="82" t="str">
        <f>IFERROR(__xludf.DUMMYFUNCTION("GOOGLETRANSLATE(D93,""zh-tw"",""zh"")"),"新增其他选项")</f>
        <v>新增其他选项</v>
      </c>
      <c r="Q93" s="196">
        <v>4.0</v>
      </c>
      <c r="R93" s="120" t="s">
        <v>2874</v>
      </c>
      <c r="S93" s="119" t="s">
        <v>2875</v>
      </c>
      <c r="T93" s="82" t="str">
        <f>IFERROR(__xludf.DUMMYFUNCTION("GOOGLETRANSLATE(D93,""zh-tw"",""es-MX"")"),"Agregar otras opciones")</f>
        <v>Agregar otras opciones</v>
      </c>
      <c r="U93" s="196">
        <v>4.0</v>
      </c>
      <c r="V93" s="132" t="s">
        <v>2876</v>
      </c>
      <c r="W93" s="121" t="s">
        <v>2877</v>
      </c>
      <c r="X93" s="82" t="str">
        <f>IFERROR(__xludf.DUMMYFUNCTION("GOOGLETRANSLATE(D93,""zh-tw"",""KO"")"),"다른 옵션을 추가하세요")</f>
        <v>다른 옵션을 추가하세요</v>
      </c>
      <c r="Y93" s="196">
        <v>4.0</v>
      </c>
      <c r="Z93" s="161" t="s">
        <v>2878</v>
      </c>
      <c r="AA93" s="162" t="s">
        <v>2879</v>
      </c>
      <c r="AB93" s="142" t="s">
        <v>2880</v>
      </c>
      <c r="AC93" s="196">
        <v>4.0</v>
      </c>
      <c r="AD93" s="132" t="s">
        <v>2881</v>
      </c>
      <c r="AE93" s="121" t="s">
        <v>2882</v>
      </c>
      <c r="AF93" s="82" t="s">
        <v>2883</v>
      </c>
      <c r="AG93" s="197">
        <v>4.0</v>
      </c>
      <c r="AH93" s="198" t="s">
        <v>2884</v>
      </c>
      <c r="AI93" s="149" t="s">
        <v>2885</v>
      </c>
      <c r="AJ93" s="199" t="s">
        <v>2886</v>
      </c>
      <c r="AK93" s="196">
        <v>4.0</v>
      </c>
      <c r="AL93" s="154" t="s">
        <v>2887</v>
      </c>
      <c r="AM93" s="155" t="s">
        <v>2888</v>
      </c>
      <c r="AN93" s="156" t="s">
        <v>2889</v>
      </c>
      <c r="AO93" s="196">
        <v>4.0</v>
      </c>
      <c r="AP93" s="116" t="str">
        <f>IFERROR(__xludf.DUMMYFUNCTION("GOOGLETRANSLATE(B93,""zh-tw"",""id"")"),"Gangguan dalam permainan -1")</f>
        <v>Gangguan dalam permainan -1</v>
      </c>
      <c r="AQ93" s="121" t="str">
        <f>IFERROR(__xludf.DUMMYFUNCTION("GOOGLETRANSLATE(C93,""zh-tw"",""id"")"),"Demikian pula, jika Anda memiliki DLC Shadow Souls, Anda dapat mengaktifkan opsi lainnya.")</f>
        <v>Demikian pula, jika Anda memiliki DLC Shadow Souls, Anda dapat mengaktifkan opsi lainnya.</v>
      </c>
      <c r="AR93" s="82" t="str">
        <f>IFERROR(__xludf.DUMMYFUNCTION("GOOGLETRANSLATE(D93,""zh-tw"",""id"")"),"Tambahkan opsi lain")</f>
        <v>Tambahkan opsi lain</v>
      </c>
      <c r="AS93" s="196"/>
      <c r="AT93" s="116"/>
      <c r="AU93" s="121"/>
      <c r="AV93" s="82"/>
      <c r="AW93" s="82"/>
      <c r="AX93" s="82"/>
    </row>
    <row r="94">
      <c r="A94" s="115">
        <v>5.0</v>
      </c>
      <c r="B94" s="120" t="s">
        <v>2890</v>
      </c>
      <c r="C94" s="119" t="s">
        <v>2891</v>
      </c>
      <c r="D94" s="79" t="s">
        <v>2892</v>
      </c>
      <c r="E94" s="196"/>
      <c r="F94" s="120" t="s">
        <v>2893</v>
      </c>
      <c r="G94" s="119" t="s">
        <v>2894</v>
      </c>
      <c r="H94" s="79" t="s">
        <v>2895</v>
      </c>
      <c r="I94" s="153">
        <v>5.0</v>
      </c>
      <c r="J94" s="120" t="s">
        <v>2896</v>
      </c>
      <c r="K94" s="119" t="s">
        <v>2897</v>
      </c>
      <c r="L94" s="79" t="s">
        <v>2898</v>
      </c>
      <c r="M94" s="153">
        <v>5.0</v>
      </c>
      <c r="N94" s="120" t="s">
        <v>2899</v>
      </c>
      <c r="O94" s="119" t="s">
        <v>2900</v>
      </c>
      <c r="P94" s="79" t="s">
        <v>2901</v>
      </c>
      <c r="Q94" s="196"/>
      <c r="R94" s="132"/>
      <c r="S94" s="119"/>
      <c r="T94" s="79"/>
      <c r="U94" s="196"/>
      <c r="V94" s="132"/>
      <c r="W94" s="121"/>
      <c r="X94" s="82"/>
      <c r="Y94" s="196"/>
      <c r="Z94" s="161"/>
      <c r="AA94" s="162"/>
      <c r="AB94" s="142"/>
      <c r="AC94" s="196"/>
      <c r="AD94" s="120" t="s">
        <v>2902</v>
      </c>
      <c r="AE94" s="119" t="s">
        <v>2903</v>
      </c>
      <c r="AF94" s="79" t="s">
        <v>2904</v>
      </c>
      <c r="AG94" s="197"/>
      <c r="AH94" s="147" t="s">
        <v>2905</v>
      </c>
      <c r="AI94" s="149" t="s">
        <v>2906</v>
      </c>
      <c r="AJ94" s="146" t="s">
        <v>2907</v>
      </c>
      <c r="AK94" s="196"/>
      <c r="AL94" s="154"/>
      <c r="AM94" s="155"/>
      <c r="AN94" s="156"/>
      <c r="AO94" s="196"/>
      <c r="AP94" s="116"/>
      <c r="AQ94" s="121"/>
      <c r="AR94" s="82"/>
      <c r="AS94" s="196"/>
      <c r="AT94" s="116"/>
      <c r="AU94" s="121"/>
      <c r="AV94" s="82"/>
      <c r="AW94" s="82"/>
      <c r="AX94" s="82"/>
    </row>
    <row r="95">
      <c r="A95" s="115">
        <v>6.0</v>
      </c>
      <c r="B95" s="120" t="s">
        <v>2908</v>
      </c>
      <c r="C95" s="119" t="s">
        <v>2909</v>
      </c>
      <c r="D95" s="79" t="s">
        <v>2910</v>
      </c>
      <c r="E95" s="196"/>
      <c r="F95" s="120" t="s">
        <v>2911</v>
      </c>
      <c r="G95" s="119" t="s">
        <v>2912</v>
      </c>
      <c r="H95" s="79" t="s">
        <v>2913</v>
      </c>
      <c r="I95" s="153">
        <v>6.0</v>
      </c>
      <c r="J95" s="120" t="s">
        <v>2914</v>
      </c>
      <c r="K95" s="119" t="s">
        <v>2915</v>
      </c>
      <c r="L95" s="79" t="s">
        <v>2916</v>
      </c>
      <c r="M95" s="153">
        <v>6.0</v>
      </c>
      <c r="N95" s="120" t="s">
        <v>2917</v>
      </c>
      <c r="O95" s="119" t="s">
        <v>2918</v>
      </c>
      <c r="P95" s="79" t="s">
        <v>2919</v>
      </c>
      <c r="Q95" s="196"/>
      <c r="R95" s="132"/>
      <c r="S95" s="119"/>
      <c r="T95" s="79"/>
      <c r="U95" s="196"/>
      <c r="V95" s="132"/>
      <c r="W95" s="121"/>
      <c r="X95" s="82"/>
      <c r="Y95" s="196"/>
      <c r="Z95" s="161"/>
      <c r="AA95" s="162"/>
      <c r="AB95" s="142"/>
      <c r="AC95" s="196"/>
      <c r="AD95" s="120" t="s">
        <v>2920</v>
      </c>
      <c r="AE95" s="119" t="s">
        <v>2921</v>
      </c>
      <c r="AF95" s="79" t="s">
        <v>2922</v>
      </c>
      <c r="AG95" s="197"/>
      <c r="AH95" s="147" t="s">
        <v>2923</v>
      </c>
      <c r="AI95" s="149" t="s">
        <v>2924</v>
      </c>
      <c r="AJ95" s="146" t="s">
        <v>2925</v>
      </c>
      <c r="AK95" s="196"/>
      <c r="AL95" s="154"/>
      <c r="AM95" s="155"/>
      <c r="AN95" s="156"/>
      <c r="AO95" s="196"/>
      <c r="AP95" s="116"/>
      <c r="AQ95" s="121"/>
      <c r="AR95" s="82"/>
      <c r="AS95" s="196"/>
      <c r="AT95" s="116"/>
      <c r="AU95" s="121"/>
      <c r="AV95" s="82"/>
      <c r="AW95" s="82"/>
      <c r="AX95" s="82"/>
    </row>
    <row r="96">
      <c r="A96" s="196">
        <v>7.0</v>
      </c>
      <c r="B96" s="132" t="s">
        <v>2926</v>
      </c>
      <c r="C96" s="121" t="s">
        <v>2927</v>
      </c>
      <c r="D96" s="82" t="s">
        <v>2928</v>
      </c>
      <c r="E96" s="153">
        <v>7.0</v>
      </c>
      <c r="F96" s="132" t="s">
        <v>2929</v>
      </c>
      <c r="G96" s="121" t="s">
        <v>2930</v>
      </c>
      <c r="H96" s="82" t="s">
        <v>2931</v>
      </c>
      <c r="I96" s="153">
        <v>7.0</v>
      </c>
      <c r="J96" s="132" t="s">
        <v>2932</v>
      </c>
      <c r="K96" s="121" t="s">
        <v>2933</v>
      </c>
      <c r="L96" s="82" t="s">
        <v>2934</v>
      </c>
      <c r="M96" s="153">
        <v>7.0</v>
      </c>
      <c r="N96" s="132" t="str">
        <f>IFERROR(__xludf.DUMMYFUNCTION("GOOGLETRANSLATE(B96,""zh-tw"",""zh"")"),"Zzz -1")</f>
        <v>Zzz -1</v>
      </c>
      <c r="O96" s="121" t="str">
        <f>IFERROR(__xludf.DUMMYFUNCTION("GOOGLETRANSLATE(C96,""zh-tw"",""zh"")"),"「喝点什么」给妹妹喂一颗""蓝色金平糖""后，会处发妹妹想睡觉的放松状态")</f>
        <v>「喝点什么」给妹妹喂一颗"蓝色金平糖"后，会处发妹妹想睡觉的放松状态</v>
      </c>
      <c r="P96" s="82" t="str">
        <f>IFERROR(__xludf.DUMMYFUNCTION("GOOGLETRANSLATE(D96,""zh-tw"",""zh"")"),"放松戒心，偷窥不容易被发现
和妹妹游戏对战时，妹妹会因为犯困发挥不出全力(未实装)
捉弄玩游戏的妹妹，会让妹妹更快地输掉游戏(未实装)")</f>
        <v>放松戒心，偷窥不容易被发现
和妹妹游戏对战时，妹妹会因为犯困发挥不出全力(未实装)
捉弄玩游戏的妹妹，会让妹妹更快地输掉游戏(未实装)</v>
      </c>
      <c r="Q96" s="196">
        <v>5.0</v>
      </c>
      <c r="R96" s="132" t="s">
        <v>2935</v>
      </c>
      <c r="S96" s="119" t="s">
        <v>2936</v>
      </c>
      <c r="T96" s="79" t="s">
        <v>2937</v>
      </c>
      <c r="U96" s="196">
        <v>5.0</v>
      </c>
      <c r="V96" s="132" t="str">
        <f>IFERROR(__xludf.DUMMYFUNCTION("GOOGLETRANSLATE(B96,""zh-tw"",""KO"")"),"Zzz -1")</f>
        <v>Zzz -1</v>
      </c>
      <c r="W96" s="121" t="str">
        <f>IFERROR(__xludf.DUMMYFUNCTION("GOOGLETRANSLATE(C96,""zh-tw"",""KO"")"),"여동생에게 ""파란색 콘페이토""(일본 사탕의 일종)를 주고 ""뭐 좀 마셔""라고 권했더니, 여동생은 편안한 상태가 되어 잠들고 싶어 했습니다.")</f>
        <v>여동생에게 "파란색 콘페이토"(일본 사탕의 일종)를 주고 "뭐 좀 마셔"라고 권했더니, 여동생은 편안한 상태가 되어 잠들고 싶어 했습니다.</v>
      </c>
      <c r="X96" s="82" t="str">
        <f>IFERROR(__xludf.DUMMYFUNCTION("GOOGLETRANSLATE(D96,""zh-tw"",""KO"")"),"방심하면 몰래 염탐하다 들키기 어려워집니다.
여동생과 게임을 할 때, 여동생이 졸려서 제대로 게임을 못 할 수도 있습니다 (아직 구현되지 않음). 여동생이 게임하는 동안 놀리면 더 빨리 지게 될 것입니다 (아직 구현되지 않음).")</f>
        <v>방심하면 몰래 염탐하다 들키기 어려워집니다.
여동생과 게임을 할 때, 여동생이 졸려서 제대로 게임을 못 할 수도 있습니다 (아직 구현되지 않음). 여동생이 게임하는 동안 놀리면 더 빨리 지게 될 것입니다 (아직 구현되지 않음).</v>
      </c>
      <c r="Y96" s="196">
        <v>5.0</v>
      </c>
      <c r="Z96" s="161" t="s">
        <v>2938</v>
      </c>
      <c r="AA96" s="162" t="s">
        <v>2939</v>
      </c>
      <c r="AB96" s="142" t="s">
        <v>2940</v>
      </c>
      <c r="AC96" s="196">
        <v>5.0</v>
      </c>
      <c r="AD96" s="132" t="s">
        <v>2941</v>
      </c>
      <c r="AE96" s="121" t="s">
        <v>2942</v>
      </c>
      <c r="AF96" s="82" t="s">
        <v>2943</v>
      </c>
      <c r="AG96" s="197">
        <v>5.0</v>
      </c>
      <c r="AH96" s="198" t="s">
        <v>2944</v>
      </c>
      <c r="AI96" s="149" t="s">
        <v>2945</v>
      </c>
      <c r="AJ96" s="146" t="s">
        <v>2946</v>
      </c>
      <c r="AK96" s="196">
        <v>5.0</v>
      </c>
      <c r="AL96" s="154" t="s">
        <v>2947</v>
      </c>
      <c r="AM96" s="155" t="s">
        <v>2948</v>
      </c>
      <c r="AN96" s="156" t="s">
        <v>2949</v>
      </c>
      <c r="AO96" s="196">
        <v>5.0</v>
      </c>
      <c r="AP96" s="116" t="str">
        <f>IFERROR(__xludf.DUMMYFUNCTION("GOOGLETRANSLATE(B96,""zh-tw"",""id"")"),"Zzz -1")</f>
        <v>Zzz -1</v>
      </c>
      <c r="AQ96" s="121" t="str">
        <f>IFERROR(__xludf.DUMMYFUNCTION("GOOGLETRANSLATE(C96,""zh-tw"",""id"")"),"Setelah memberi adik perempuan saya ""konpeito biru"" (sejenis permen Jepang) dan memintanya untuk ""minum sesuatu,"" saya membuatnya rileks hingga ia ingin tidur.")</f>
        <v>Setelah memberi adik perempuan saya "konpeito biru" (sejenis permen Jepang) dan memintanya untuk "minum sesuatu," saya membuatnya rileks hingga ia ingin tidur.</v>
      </c>
      <c r="AR96" s="82" t="str">
        <f>IFERROR(__xludf.DUMMYFUNCTION("GOOGLETRANSLATE(D96,""zh-tw"",""id"")"),"Jika kamu lengah, akan lebih sulit untuk ketahuan memata-matai.
Saat bermain game dengan adikmu, dia mungkin mengantuk dan tidak bermain dengan maksimal (belum diimplementasikan). Menggoda adikmu saat dia bermain game akan membuatnya kalah lebih cepat (b"&amp;"elum diimplementasikan).")</f>
        <v>Jika kamu lengah, akan lebih sulit untuk ketahuan memata-matai.
Saat bermain game dengan adikmu, dia mungkin mengantuk dan tidak bermain dengan maksimal (belum diimplementasikan). Menggoda adikmu saat dia bermain game akan membuatnya kalah lebih cepat (belum diimplementasikan).</v>
      </c>
      <c r="AS96" s="196"/>
      <c r="AT96" s="116"/>
      <c r="AU96" s="121"/>
      <c r="AV96" s="82"/>
      <c r="AW96" s="82"/>
      <c r="AX96" s="82"/>
    </row>
    <row r="97">
      <c r="A97" s="8"/>
      <c r="B97" s="70"/>
      <c r="C97" s="70"/>
      <c r="D97" s="70"/>
      <c r="E97" s="8"/>
      <c r="F97" s="70"/>
      <c r="G97" s="70"/>
      <c r="H97" s="70"/>
      <c r="I97" s="8"/>
      <c r="J97" s="70"/>
      <c r="K97" s="70"/>
      <c r="L97" s="70"/>
      <c r="M97" s="8"/>
      <c r="N97" s="70"/>
      <c r="O97" s="70"/>
      <c r="P97" s="70"/>
      <c r="Q97" s="8"/>
      <c r="R97" s="70"/>
      <c r="S97" s="70"/>
      <c r="T97" s="70"/>
      <c r="U97" s="8"/>
      <c r="V97" s="70"/>
      <c r="W97" s="70"/>
      <c r="X97" s="70"/>
      <c r="Y97" s="200"/>
      <c r="Z97" s="195"/>
      <c r="AA97" s="195"/>
      <c r="AB97" s="195"/>
      <c r="AC97" s="8"/>
      <c r="AD97" s="70"/>
      <c r="AE97" s="70"/>
      <c r="AF97" s="70"/>
      <c r="AG97" s="201"/>
      <c r="AH97" s="202"/>
      <c r="AI97" s="201"/>
      <c r="AJ97" s="201"/>
      <c r="AK97" s="70"/>
      <c r="AL97" s="70"/>
      <c r="AM97" s="70"/>
      <c r="AN97" s="70"/>
      <c r="AO97" s="70"/>
      <c r="AP97" s="70"/>
      <c r="AQ97" s="70"/>
      <c r="AR97" s="70"/>
      <c r="AS97" s="70"/>
      <c r="AT97" s="70"/>
      <c r="AU97" s="70"/>
      <c r="AV97" s="70"/>
      <c r="AW97" s="70"/>
      <c r="AX97" s="70"/>
    </row>
    <row r="98">
      <c r="A98" s="111" t="s">
        <v>2950</v>
      </c>
      <c r="B98" s="203" t="s">
        <v>2951</v>
      </c>
      <c r="E98" s="111" t="s">
        <v>2950</v>
      </c>
      <c r="F98" s="111" t="s">
        <v>2952</v>
      </c>
      <c r="I98" s="111" t="s">
        <v>2950</v>
      </c>
      <c r="J98" s="111" t="s">
        <v>2953</v>
      </c>
      <c r="M98" s="111" t="s">
        <v>2950</v>
      </c>
      <c r="N98" s="112" t="str">
        <f>IFERROR(__xludf.DUMMYFUNCTION("GOOGLETRANSLATE(B98,""zh-tw"",""zh"")"),"特殊天气相关")</f>
        <v>特殊天气相关</v>
      </c>
      <c r="Q98" s="111" t="s">
        <v>2950</v>
      </c>
      <c r="R98" s="111" t="s">
        <v>2954</v>
      </c>
      <c r="U98" s="111" t="s">
        <v>2950</v>
      </c>
      <c r="V98" s="111" t="s">
        <v>2955</v>
      </c>
      <c r="Y98" s="112" t="s">
        <v>2950</v>
      </c>
      <c r="Z98" s="112" t="s">
        <v>2956</v>
      </c>
      <c r="AC98" s="111" t="s">
        <v>2950</v>
      </c>
      <c r="AD98" s="187" t="s">
        <v>2957</v>
      </c>
      <c r="AG98" s="113" t="s">
        <v>2950</v>
      </c>
      <c r="AH98" s="204" t="s">
        <v>2958</v>
      </c>
      <c r="AK98" s="203" t="s">
        <v>2950</v>
      </c>
      <c r="AL98" s="203" t="s">
        <v>2959</v>
      </c>
      <c r="AO98" s="111" t="s">
        <v>2950</v>
      </c>
      <c r="AP98" s="111" t="s">
        <v>2960</v>
      </c>
      <c r="AS98" s="111"/>
      <c r="AT98" s="111"/>
      <c r="AW98" s="203"/>
      <c r="AX98" s="203"/>
    </row>
    <row r="99">
      <c r="A99" s="196">
        <v>1.0</v>
      </c>
      <c r="B99" s="132" t="s">
        <v>2961</v>
      </c>
      <c r="C99" s="121" t="s">
        <v>2962</v>
      </c>
      <c r="D99" s="82" t="s">
        <v>2963</v>
      </c>
      <c r="E99" s="196">
        <v>1.0</v>
      </c>
      <c r="F99" s="132" t="s">
        <v>2964</v>
      </c>
      <c r="G99" s="121" t="s">
        <v>2965</v>
      </c>
      <c r="H99" s="82" t="s">
        <v>2966</v>
      </c>
      <c r="I99" s="196">
        <v>1.0</v>
      </c>
      <c r="J99" s="132" t="s">
        <v>2967</v>
      </c>
      <c r="K99" s="121" t="s">
        <v>2968</v>
      </c>
      <c r="L99" s="82" t="s">
        <v>2969</v>
      </c>
      <c r="M99" s="196">
        <v>1.0</v>
      </c>
      <c r="N99" s="132" t="str">
        <f>IFERROR(__xludf.DUMMYFUNCTION("GOOGLETRANSLATE(B99,""zh-tw"",""zh"")"),"炎热的消暑-1")</f>
        <v>炎热的消暑-1</v>
      </c>
      <c r="O99" s="121" t="str">
        <f>IFERROR(__xludf.DUMMYFUNCTION("GOOGLETRANSLATE(C99,""zh-tw"",""zh"")"),"于炎热天气时，递给妹妹喝逆流可乐")</f>
        <v>于炎热天气时，递给妹妹喝逆流可乐</v>
      </c>
      <c r="P99" s="82" t="str">
        <f>IFERROR(__xludf.DUMMYFUNCTION("GOOGLETRANSLATE(D99,""zh-tw"",""zh"")"),"特殊动画、妹妹的心情+10好感+20")</f>
        <v>特殊动画、妹妹的心情+10好感+20</v>
      </c>
      <c r="Q99" s="196">
        <v>1.0</v>
      </c>
      <c r="R99" s="132" t="s">
        <v>2970</v>
      </c>
      <c r="S99" s="119" t="s">
        <v>2971</v>
      </c>
      <c r="T99" s="82" t="str">
        <f>IFERROR(__xludf.DUMMYFUNCTION("GOOGLETRANSLATE(D99,""zh-tw"",""es-MX"")"),"Animación especial, estado de ánimo de la hermana +10, afecto +20")</f>
        <v>Animación especial, estado de ánimo de la hermana +10, afecto +20</v>
      </c>
      <c r="U99" s="196">
        <v>1.0</v>
      </c>
      <c r="V99" s="132" t="str">
        <f>IFERROR(__xludf.DUMMYFUNCTION("GOOGLETRANSLATE(B99,""zh-tw"",""KO"")"),"무더운 날씨에 시원하게 더위를 식히는 방법 - 1부")</f>
        <v>무더운 날씨에 시원하게 더위를 식히는 방법 - 1부</v>
      </c>
      <c r="W99" s="121" t="str">
        <f>IFERROR(__xludf.DUMMYFUNCTION("GOOGLETRANSLATE(C99,""zh-tw"",""KO"")"),"무더운 날, 나는 여동생에게 콜라를 건넸는데 콜라가 거꾸로 흘러나왔다.")</f>
        <v>무더운 날, 나는 여동생에게 콜라를 건넸는데 콜라가 거꾸로 흘러나왔다.</v>
      </c>
      <c r="X99" s="82" t="str">
        <f>IFERROR(__xludf.DUMMYFUNCTION("GOOGLETRANSLATE(D99,""zh-tw"",""KO"")"),"특별 애니메이션, 여동생 기분 +10, 애정도 +20")</f>
        <v>특별 애니메이션, 여동생 기분 +10, 애정도 +20</v>
      </c>
      <c r="Y99" s="196">
        <v>1.0</v>
      </c>
      <c r="Z99" s="161" t="s">
        <v>2972</v>
      </c>
      <c r="AA99" s="162" t="s">
        <v>2973</v>
      </c>
      <c r="AB99" s="142" t="s">
        <v>2974</v>
      </c>
      <c r="AC99" s="196">
        <v>1.0</v>
      </c>
      <c r="AD99" s="132" t="s">
        <v>2975</v>
      </c>
      <c r="AE99" s="121" t="s">
        <v>2976</v>
      </c>
      <c r="AF99" s="82" t="s">
        <v>2977</v>
      </c>
      <c r="AG99" s="197">
        <v>1.0</v>
      </c>
      <c r="AH99" s="198" t="s">
        <v>2978</v>
      </c>
      <c r="AI99" s="205" t="s">
        <v>2979</v>
      </c>
      <c r="AJ99" s="199" t="s">
        <v>2980</v>
      </c>
      <c r="AK99" s="196">
        <v>1.0</v>
      </c>
      <c r="AL99" s="154" t="s">
        <v>2981</v>
      </c>
      <c r="AM99" s="155" t="s">
        <v>2982</v>
      </c>
      <c r="AN99" s="140" t="s">
        <v>2983</v>
      </c>
      <c r="AO99" s="196">
        <v>1.0</v>
      </c>
      <c r="AP99" s="116" t="str">
        <f>IFERROR(__xludf.DUMMYFUNCTION("GOOGLETRANSLATE(B99,""zh-tw"",""id"")"),"Mendinginkan badan di cuaca panas - Bagian 1")</f>
        <v>Mendinginkan badan di cuaca panas - Bagian 1</v>
      </c>
      <c r="AQ99" s="121" t="str">
        <f>IFERROR(__xludf.DUMMYFUNCTION("GOOGLETRANSLATE(C99,""zh-tw"",""id"")"),"Pada hari yang panas, saya memberikan adik perempuan saya sebotol Coca-Cola yang mengalir terbalik.")</f>
        <v>Pada hari yang panas, saya memberikan adik perempuan saya sebotol Coca-Cola yang mengalir terbalik.</v>
      </c>
      <c r="AR99" s="82" t="str">
        <f>IFERROR(__xludf.DUMMYFUNCTION("GOOGLETRANSLATE(D99,""zh-tw"",""id"")"),"Animasi spesial, suasana hati saudari +10, kasih sayang +20")</f>
        <v>Animasi spesial, suasana hati saudari +10, kasih sayang +20</v>
      </c>
      <c r="AS99" s="196"/>
      <c r="AT99" s="116"/>
      <c r="AU99" s="121"/>
      <c r="AV99" s="82"/>
      <c r="AW99" s="82"/>
      <c r="AX99" s="82"/>
    </row>
    <row r="100">
      <c r="A100" s="196">
        <v>2.0</v>
      </c>
      <c r="B100" s="132" t="s">
        <v>2984</v>
      </c>
      <c r="C100" s="121" t="s">
        <v>2985</v>
      </c>
      <c r="D100" s="82" t="s">
        <v>2986</v>
      </c>
      <c r="E100" s="196">
        <v>2.0</v>
      </c>
      <c r="F100" s="132" t="s">
        <v>2987</v>
      </c>
      <c r="G100" s="121" t="s">
        <v>2988</v>
      </c>
      <c r="H100" s="82" t="s">
        <v>2989</v>
      </c>
      <c r="I100" s="196">
        <v>2.0</v>
      </c>
      <c r="J100" s="132" t="s">
        <v>2990</v>
      </c>
      <c r="K100" s="121" t="s">
        <v>2991</v>
      </c>
      <c r="L100" s="82" t="s">
        <v>2992</v>
      </c>
      <c r="M100" s="196">
        <v>2.0</v>
      </c>
      <c r="N100" s="132" t="str">
        <f>IFERROR(__xludf.DUMMYFUNCTION("GOOGLETRANSLATE(B100,""zh-tw"",""zh"")"),"炎热的消暑-2")</f>
        <v>炎热的消暑-2</v>
      </c>
      <c r="O100" s="121" t="str">
        <f>IFERROR(__xludf.DUMMYFUNCTION("GOOGLETRANSLATE(C100,""zh-tw"",""zh"")"),"于炎热天气时，摇一摇后给妹妹喝""逆流可乐""")</f>
        <v>于炎热天气时，摇一摇后给妹妹喝"逆流可乐"</v>
      </c>
      <c r="P100" s="79" t="s">
        <v>2993</v>
      </c>
      <c r="Q100" s="196">
        <v>2.0</v>
      </c>
      <c r="R100" s="132" t="s">
        <v>2994</v>
      </c>
      <c r="S100" s="119" t="s">
        <v>2995</v>
      </c>
      <c r="T100" s="82" t="str">
        <f>IFERROR(__xludf.DUMMYFUNCTION("GOOGLETRANSLATE(D100,""zh-tw"",""es-MX"")"),"Animaciones especiales; el estado de ánimo de la hermana menor siempre tendrá 20 puntos restantes.")</f>
        <v>Animaciones especiales; el estado de ánimo de la hermana menor siempre tendrá 20 puntos restantes.</v>
      </c>
      <c r="U100" s="196">
        <v>2.0</v>
      </c>
      <c r="V100" s="132" t="str">
        <f>IFERROR(__xludf.DUMMYFUNCTION("GOOGLETRANSLATE(B100,""zh-tw"",""KO"")"),"무더운 날씨에 시원하게 더위를 식히는 방법 - 2부")</f>
        <v>무더운 날씨에 시원하게 더위를 식히는 방법 - 2부</v>
      </c>
      <c r="W100" s="121" t="str">
        <f>IFERROR(__xludf.DUMMYFUNCTION("GOOGLETRANSLATE(C100,""zh-tw"",""KO"")"),"더운 날에는 캔을 흔든 다음 여동생에게 ""역콜라""처럼 마시게 해 줍니다.")</f>
        <v>더운 날에는 캔을 흔든 다음 여동생에게 "역콜라"처럼 마시게 해 줍니다.</v>
      </c>
      <c r="X100" s="82" t="str">
        <f>IFERROR(__xludf.DUMMYFUNCTION("GOOGLETRANSLATE(D100,""zh-tw"",""KO"")"),"특별 애니메이션: 여동생의 기분은 항상 20점으로 유지됩니다.")</f>
        <v>특별 애니메이션: 여동생의 기분은 항상 20점으로 유지됩니다.</v>
      </c>
      <c r="Y100" s="196">
        <v>2.0</v>
      </c>
      <c r="Z100" s="161" t="s">
        <v>2996</v>
      </c>
      <c r="AA100" s="162" t="s">
        <v>2997</v>
      </c>
      <c r="AB100" s="142" t="s">
        <v>2998</v>
      </c>
      <c r="AC100" s="196">
        <v>2.0</v>
      </c>
      <c r="AD100" s="132" t="s">
        <v>2999</v>
      </c>
      <c r="AE100" s="121" t="s">
        <v>3000</v>
      </c>
      <c r="AF100" s="82" t="s">
        <v>3001</v>
      </c>
      <c r="AG100" s="197">
        <v>2.0</v>
      </c>
      <c r="AH100" s="198" t="s">
        <v>3002</v>
      </c>
      <c r="AI100" s="205" t="s">
        <v>3003</v>
      </c>
      <c r="AJ100" s="199" t="s">
        <v>3004</v>
      </c>
      <c r="AK100" s="196">
        <v>2.0</v>
      </c>
      <c r="AL100" s="154" t="s">
        <v>3005</v>
      </c>
      <c r="AM100" s="155" t="s">
        <v>3006</v>
      </c>
      <c r="AN100" s="156" t="s">
        <v>3007</v>
      </c>
      <c r="AO100" s="196">
        <v>2.0</v>
      </c>
      <c r="AP100" s="116" t="str">
        <f>IFERROR(__xludf.DUMMYFUNCTION("GOOGLETRANSLATE(B100,""zh-tw"",""id"")"),"Mendinginkan badan di cuaca panas - Bagian 2")</f>
        <v>Mendinginkan badan di cuaca panas - Bagian 2</v>
      </c>
      <c r="AQ100" s="121" t="str">
        <f>IFERROR(__xludf.DUMMYFUNCTION("GOOGLETRANSLATE(C100,""zh-tw"",""id"")"),"Di hari yang panas, saya mengocok kalengnya sebelum memberikannya kepada adik perempuan saya untuk diminum sebagai ""Reverse Cola"".")</f>
        <v>Di hari yang panas, saya mengocok kalengnya sebelum memberikannya kepada adik perempuan saya untuk diminum sebagai "Reverse Cola".</v>
      </c>
      <c r="AR100" s="82" t="str">
        <f>IFERROR(__xludf.DUMMYFUNCTION("GOOGLETRANSLATE(D100,""zh-tw"",""id"")"),"Animasi spesial; suasana hati adik perempuan akan selalu memiliki sisa 20 poin.")</f>
        <v>Animasi spesial; suasana hati adik perempuan akan selalu memiliki sisa 20 poin.</v>
      </c>
      <c r="AS100" s="196"/>
      <c r="AT100" s="116"/>
      <c r="AU100" s="121"/>
      <c r="AV100" s="82"/>
      <c r="AW100" s="82"/>
      <c r="AX100" s="82"/>
    </row>
    <row r="101">
      <c r="A101" s="196">
        <v>3.0</v>
      </c>
      <c r="B101" s="132" t="s">
        <v>3008</v>
      </c>
      <c r="C101" s="121" t="s">
        <v>3009</v>
      </c>
      <c r="D101" s="82" t="s">
        <v>2986</v>
      </c>
      <c r="E101" s="196">
        <v>3.0</v>
      </c>
      <c r="F101" s="132" t="s">
        <v>3010</v>
      </c>
      <c r="G101" s="121" t="s">
        <v>3011</v>
      </c>
      <c r="H101" s="82" t="s">
        <v>2989</v>
      </c>
      <c r="I101" s="196">
        <v>3.0</v>
      </c>
      <c r="J101" s="132" t="s">
        <v>3012</v>
      </c>
      <c r="K101" s="121" t="s">
        <v>3013</v>
      </c>
      <c r="L101" s="82" t="s">
        <v>2992</v>
      </c>
      <c r="M101" s="196">
        <v>3.0</v>
      </c>
      <c r="N101" s="132" t="str">
        <f>IFERROR(__xludf.DUMMYFUNCTION("GOOGLETRANSLATE(B101,""zh-tw"",""zh"")"),"炎热的消暑-3")</f>
        <v>炎热的消暑-3</v>
      </c>
      <c r="O101" s="121" t="str">
        <f>IFERROR(__xludf.DUMMYFUNCTION("GOOGLETRANSLATE(C101,""zh-tw"",""zh"")"),"同上，第二次之后有70%概率触发另一段剧情")</f>
        <v>同上，第二次之后有70%概率触发另一段剧情</v>
      </c>
      <c r="P101" s="82" t="str">
        <f>IFERROR(__xludf.DUMMYFUNCTION("GOOGLETRANSLATE(D101,""zh-tw"",""zh"")"),"特殊动画、妹妹的心情会固定剩20点")</f>
        <v>特殊动画、妹妹的心情会固定剩20点</v>
      </c>
      <c r="Q101" s="196">
        <v>3.0</v>
      </c>
      <c r="R101" s="132" t="s">
        <v>3014</v>
      </c>
      <c r="S101" s="119" t="s">
        <v>3015</v>
      </c>
      <c r="T101" s="82" t="str">
        <f>IFERROR(__xludf.DUMMYFUNCTION("GOOGLETRANSLATE(D101,""zh-tw"",""es-MX"")"),"Animaciones especiales; el estado de ánimo de la hermana menor siempre tendrá 20 puntos restantes.")</f>
        <v>Animaciones especiales; el estado de ánimo de la hermana menor siempre tendrá 20 puntos restantes.</v>
      </c>
      <c r="U101" s="196">
        <v>3.0</v>
      </c>
      <c r="V101" s="132" t="str">
        <f>IFERROR(__xludf.DUMMYFUNCTION("GOOGLETRANSLATE(B101,""zh-tw"",""KO"")"),"더운 날씨에 시원하게 더위를 식히기 - 3")</f>
        <v>더운 날씨에 시원하게 더위를 식히기 - 3</v>
      </c>
      <c r="W101" s="121" t="str">
        <f>IFERROR(__xludf.DUMMYFUNCTION("GOOGLETRANSLATE(C101,""zh-tw"",""KO"")"),"위에서 언급했듯이, 두 번째 발생 후에는 또 다른 스토리 전개가 시작될 확률이 70%입니다.")</f>
        <v>위에서 언급했듯이, 두 번째 발생 후에는 또 다른 스토리 전개가 시작될 확률이 70%입니다.</v>
      </c>
      <c r="X101" s="82" t="str">
        <f>IFERROR(__xludf.DUMMYFUNCTION("GOOGLETRANSLATE(D101,""zh-tw"",""KO"")"),"특별 애니메이션: 여동생의 기분은 항상 20점으로 유지됩니다.")</f>
        <v>특별 애니메이션: 여동생의 기분은 항상 20점으로 유지됩니다.</v>
      </c>
      <c r="Y101" s="196">
        <v>3.0</v>
      </c>
      <c r="Z101" s="161" t="s">
        <v>3016</v>
      </c>
      <c r="AA101" s="162" t="s">
        <v>3017</v>
      </c>
      <c r="AB101" s="142" t="s">
        <v>2998</v>
      </c>
      <c r="AC101" s="196">
        <v>3.0</v>
      </c>
      <c r="AD101" s="132" t="s">
        <v>3018</v>
      </c>
      <c r="AE101" s="121" t="s">
        <v>3019</v>
      </c>
      <c r="AF101" s="82" t="s">
        <v>3001</v>
      </c>
      <c r="AG101" s="197">
        <v>3.0</v>
      </c>
      <c r="AH101" s="198" t="s">
        <v>3020</v>
      </c>
      <c r="AI101" s="205" t="s">
        <v>3021</v>
      </c>
      <c r="AJ101" s="199" t="s">
        <v>3004</v>
      </c>
      <c r="AK101" s="196">
        <v>3.0</v>
      </c>
      <c r="AL101" s="154" t="s">
        <v>3022</v>
      </c>
      <c r="AM101" s="155" t="s">
        <v>3023</v>
      </c>
      <c r="AN101" s="156" t="s">
        <v>3024</v>
      </c>
      <c r="AO101" s="196">
        <v>3.0</v>
      </c>
      <c r="AP101" s="116" t="str">
        <f>IFERROR(__xludf.DUMMYFUNCTION("GOOGLETRANSLATE(B101,""zh-tw"",""id"")"),"Mendinginkan badan di cuaca panas - 3")</f>
        <v>Mendinginkan badan di cuaca panas - 3</v>
      </c>
      <c r="AQ101" s="121" t="str">
        <f>IFERROR(__xludf.DUMMYFUNCTION("GOOGLETRANSLATE(C101,""zh-tw"",""id"")"),"Seperti yang disebutkan di atas, ada kemungkinan 70% untuk memicu segmen plot lain setelah yang kedua kalinya.")</f>
        <v>Seperti yang disebutkan di atas, ada kemungkinan 70% untuk memicu segmen plot lain setelah yang kedua kalinya.</v>
      </c>
      <c r="AR101" s="82" t="str">
        <f>IFERROR(__xludf.DUMMYFUNCTION("GOOGLETRANSLATE(D101,""zh-tw"",""id"")"),"Animasi spesial; suasana hati adik perempuan akan selalu memiliki sisa 20 poin.")</f>
        <v>Animasi spesial; suasana hati adik perempuan akan selalu memiliki sisa 20 poin.</v>
      </c>
      <c r="AS101" s="196"/>
      <c r="AT101" s="116"/>
      <c r="AU101" s="121"/>
      <c r="AV101" s="82"/>
      <c r="AW101" s="82"/>
      <c r="AX101" s="82"/>
    </row>
    <row r="102">
      <c r="A102" s="196">
        <v>4.0</v>
      </c>
      <c r="B102" s="132" t="s">
        <v>3025</v>
      </c>
      <c r="C102" s="121" t="s">
        <v>3026</v>
      </c>
      <c r="D102" s="82" t="s">
        <v>3027</v>
      </c>
      <c r="E102" s="196">
        <v>4.0</v>
      </c>
      <c r="F102" s="132" t="s">
        <v>3028</v>
      </c>
      <c r="G102" s="121" t="s">
        <v>3029</v>
      </c>
      <c r="H102" s="82" t="s">
        <v>3030</v>
      </c>
      <c r="I102" s="196">
        <v>4.0</v>
      </c>
      <c r="J102" s="132" t="s">
        <v>3031</v>
      </c>
      <c r="K102" s="121" t="s">
        <v>3032</v>
      </c>
      <c r="L102" s="82" t="s">
        <v>3033</v>
      </c>
      <c r="M102" s="196">
        <v>4.0</v>
      </c>
      <c r="N102" s="132" t="str">
        <f>IFERROR(__xludf.DUMMYFUNCTION("GOOGLETRANSLATE(B102,""zh-tw"",""zh"")"),"掀起来看看")</f>
        <v>掀起来看看</v>
      </c>
      <c r="O102" s="121" t="str">
        <f>IFERROR(__xludf.DUMMYFUNCTION("GOOGLETRANSLATE(C102,""zh-tw"",""zh"")"),"妹妹穿游戏衣服，进行亲密互动时，可以进行掀衣服等操作。")</f>
        <v>妹妹穿游戏衣服，进行亲密互动时，可以进行掀衣服等操作。</v>
      </c>
      <c r="P102" s="82" t="str">
        <f>IFERROR(__xludf.DUMMYFUNCTION("GOOGLETRANSLATE(D102,""zh-tw"",""zh"")"),"特殊互动
※初步实装，部分内容未实装(例如兔兔涂鸦)
※目前只有天气炎热时才能触发，之后会新增平时夜晚也能穿游戏衣服")</f>
        <v>特殊互动
※初步实装，部分内容未实装(例如兔兔涂鸦)
※目前只有天气炎热时才能触发，之后会新增平时夜晚也能穿游戏衣服</v>
      </c>
      <c r="Q102" s="196">
        <v>4.0</v>
      </c>
      <c r="R102" s="132" t="s">
        <v>3034</v>
      </c>
      <c r="S102" s="119" t="s">
        <v>3035</v>
      </c>
      <c r="T102" s="79" t="s">
        <v>3036</v>
      </c>
      <c r="U102" s="196">
        <v>4.0</v>
      </c>
      <c r="V102" s="132" t="str">
        <f>IFERROR(__xludf.DUMMYFUNCTION("GOOGLETRANSLATE(B102,""zh-tw"",""KO"")"),"들어 올려서 살펴보세요.")</f>
        <v>들어 올려서 살펴보세요.</v>
      </c>
      <c r="W102" s="121" t="str">
        <f>IFERROR(__xludf.DUMMYFUNCTION("GOOGLETRANSLATE(C102,""zh-tw"",""KO"")"),"여동생이 게임 의상을 입고 친밀한 상호작용을 할 때, 옷을 들어 올리는 등의 동작을 할 수 있습니다.")</f>
        <v>여동생이 게임 의상을 입고 친밀한 상호작용을 할 때, 옷을 들어 올리는 등의 동작을 할 수 있습니다.</v>
      </c>
      <c r="X102" s="82" t="str">
        <f>IFERROR(__xludf.DUMMYFUNCTION("GOOGLETRANSLATE(D102,""zh-tw"",""KO"")"),"특별 상호작용
※ 초기 구현 단계이며, 일부 콘텐츠는 아직 구현되지 않았습니다 (예: 토끼 그림 그리기).
※ 현재는 더운 날씨에만 이러한 상호작용이 가능합니다. 추후 밤에도 게임 속 의상을 착용할 수 있도록 추가될 예정입니다.")</f>
        <v>특별 상호작용
※ 초기 구현 단계이며, 일부 콘텐츠는 아직 구현되지 않았습니다 (예: 토끼 그림 그리기).
※ 현재는 더운 날씨에만 이러한 상호작용이 가능합니다. 추후 밤에도 게임 속 의상을 착용할 수 있도록 추가될 예정입니다.</v>
      </c>
      <c r="Y102" s="196">
        <v>4.0</v>
      </c>
      <c r="Z102" s="161" t="s">
        <v>3037</v>
      </c>
      <c r="AA102" s="162" t="s">
        <v>3038</v>
      </c>
      <c r="AB102" s="142" t="s">
        <v>3039</v>
      </c>
      <c r="AC102" s="196">
        <v>4.0</v>
      </c>
      <c r="AD102" s="132" t="s">
        <v>3040</v>
      </c>
      <c r="AE102" s="121" t="s">
        <v>3041</v>
      </c>
      <c r="AF102" s="82" t="s">
        <v>3042</v>
      </c>
      <c r="AG102" s="197">
        <v>4.0</v>
      </c>
      <c r="AH102" s="198" t="s">
        <v>3043</v>
      </c>
      <c r="AI102" s="205" t="s">
        <v>3044</v>
      </c>
      <c r="AJ102" s="199" t="s">
        <v>3045</v>
      </c>
      <c r="AK102" s="196">
        <v>4.0</v>
      </c>
      <c r="AL102" s="128" t="s">
        <v>3046</v>
      </c>
      <c r="AM102" s="129" t="s">
        <v>3047</v>
      </c>
      <c r="AN102" s="130" t="s">
        <v>3048</v>
      </c>
      <c r="AO102" s="196">
        <v>4.0</v>
      </c>
      <c r="AP102" s="116" t="str">
        <f>IFERROR(__xludf.DUMMYFUNCTION("GOOGLETRANSLATE(B102,""zh-tw"",""id"")"),"Angkat dan lihatlah.")</f>
        <v>Angkat dan lihatlah.</v>
      </c>
      <c r="AQ102" s="121" t="str">
        <f>IFERROR(__xludf.DUMMYFUNCTION("GOOGLETRANSLATE(C102,""zh-tw"",""id"")"),"Ketika adik perempuan mengenakan pakaian permainan dan terlibat dalam interaksi intim, dia dapat melakukan tindakan seperti mengangkat pakaiannya.")</f>
        <v>Ketika adik perempuan mengenakan pakaian permainan dan terlibat dalam interaksi intim, dia dapat melakukan tindakan seperti mengangkat pakaiannya.</v>
      </c>
      <c r="AR102" s="82" t="str">
        <f>IFERROR(__xludf.DUMMYFUNCTION("GOOGLETRANSLATE(D102,""zh-tw"",""id"")"),"Interaksi Khusus
※ Implementasi awal, beberapa konten belum diimplementasikan (misalnya, gambar kelinci)
※ Saat ini, interaksi ini hanya dapat dipicu saat cuaca panas. Nantinya, akan ditambahkan fitur di mana pemain dapat mengenakan pakaian game di mala"&amp;"m hari.")</f>
        <v>Interaksi Khusus
※ Implementasi awal, beberapa konten belum diimplementasikan (misalnya, gambar kelinci)
※ Saat ini, interaksi ini hanya dapat dipicu saat cuaca panas. Nantinya, akan ditambahkan fitur di mana pemain dapat mengenakan pakaian game di malam hari.</v>
      </c>
      <c r="AS102" s="196"/>
      <c r="AT102" s="116"/>
      <c r="AU102" s="121"/>
      <c r="AV102" s="82"/>
      <c r="AW102" s="82"/>
      <c r="AX102" s="82"/>
    </row>
    <row r="103">
      <c r="A103" s="196">
        <v>5.0</v>
      </c>
      <c r="B103" s="120" t="s">
        <v>3049</v>
      </c>
      <c r="C103" s="119" t="s">
        <v>3050</v>
      </c>
      <c r="D103" s="79" t="s">
        <v>3051</v>
      </c>
      <c r="E103" s="196">
        <v>5.0</v>
      </c>
      <c r="F103" s="120" t="s">
        <v>3052</v>
      </c>
      <c r="G103" s="119" t="s">
        <v>3053</v>
      </c>
      <c r="H103" s="79" t="s">
        <v>3054</v>
      </c>
      <c r="I103" s="196">
        <v>5.0</v>
      </c>
      <c r="J103" s="120" t="s">
        <v>3055</v>
      </c>
      <c r="K103" s="119" t="s">
        <v>3056</v>
      </c>
      <c r="L103" s="79" t="s">
        <v>3057</v>
      </c>
      <c r="M103" s="196">
        <v>5.0</v>
      </c>
      <c r="N103" s="132" t="str">
        <f>IFERROR(__xludf.DUMMYFUNCTION("GOOGLETRANSLATE(B103,""zh-tw"",""zh"")"),"提前回家也是件好事-1")</f>
        <v>提前回家也是件好事-1</v>
      </c>
      <c r="O103" s="121" t="str">
        <f>IFERROR(__xludf.DUMMYFUNCTION("GOOGLETRANSLATE(C103,""zh-tw"",""zh"")"),"炎热天气并且拥有电风扇时，提前回家后选择去偷看妹妹")</f>
        <v>炎热天气并且拥有电风扇时，提前回家后选择去偷看妹妹</v>
      </c>
      <c r="P103" s="79" t="s">
        <v>3058</v>
      </c>
      <c r="Q103" s="196">
        <v>5.0</v>
      </c>
      <c r="R103" s="132" t="str">
        <f>IFERROR(__xludf.DUMMYFUNCTION("GOOGLETRANSLATE(B103,""zh-tw"",""es-mx"")"),"Volver temprano a casa también es algo bueno -1")</f>
        <v>Volver temprano a casa también es algo bueno -1</v>
      </c>
      <c r="S103" s="121" t="str">
        <f>IFERROR(__xludf.DUMMYFUNCTION("GOOGLETRANSLATE(C103,""zh-tw"",""es-mx"")"),"Cuando hacía calor y había un ventilador eléctrico, volvía temprano a casa y echaba un vistazo a mi hermana pequeña.")</f>
        <v>Cuando hacía calor y había un ventilador eléctrico, volvía temprano a casa y echaba un vistazo a mi hermana pequeña.</v>
      </c>
      <c r="T103" s="82" t="str">
        <f>IFERROR(__xludf.DUMMYFUNCTION("GOOGLETRANSLATE(D103,""zh-tw"",""es-mx"")"),"Mi hermana menor llevaba ropa y estaba usando un ventilador eléctrico.")</f>
        <v>Mi hermana menor llevaba ropa y estaba usando un ventilador eléctrico.</v>
      </c>
      <c r="U103" s="196">
        <v>5.0</v>
      </c>
      <c r="V103" s="132" t="str">
        <f>IFERROR(__xludf.DUMMYFUNCTION("GOOGLETRANSLATE(B103,""zh-tw"",""KO"")"),"일찍 집에 가는 것도 좋은 일이다 -1")</f>
        <v>일찍 집에 가는 것도 좋은 일이다 -1</v>
      </c>
      <c r="W103" s="121" t="str">
        <f>IFERROR(__xludf.DUMMYFUNCTION("GOOGLETRANSLATE(C103,""zh-tw"",""KO"")"),"날씨가 덥고 선풍기가 있으면, 나는 일찍 집에 가서 여동생을 몰래 훔쳐보곤 했다.")</f>
        <v>날씨가 덥고 선풍기가 있으면, 나는 일찍 집에 가서 여동생을 몰래 훔쳐보곤 했다.</v>
      </c>
      <c r="X103" s="82" t="str">
        <f>IFERROR(__xludf.DUMMYFUNCTION("GOOGLETRANSLATE(D103,""zh-tw"",""KO"")"),"내 여동생은 옷을 입고 선풍기를 틀고 있었다.")</f>
        <v>내 여동생은 옷을 입고 선풍기를 틀고 있었다.</v>
      </c>
      <c r="Y103" s="196">
        <v>5.0</v>
      </c>
      <c r="Z103" s="161" t="s">
        <v>3059</v>
      </c>
      <c r="AA103" s="162" t="s">
        <v>3060</v>
      </c>
      <c r="AB103" s="142" t="s">
        <v>3061</v>
      </c>
      <c r="AC103" s="196">
        <v>5.0</v>
      </c>
      <c r="AD103" s="120" t="s">
        <v>3062</v>
      </c>
      <c r="AE103" s="119" t="s">
        <v>3063</v>
      </c>
      <c r="AF103" s="79" t="s">
        <v>3064</v>
      </c>
      <c r="AG103" s="197">
        <v>5.0</v>
      </c>
      <c r="AH103" s="147" t="s">
        <v>3065</v>
      </c>
      <c r="AI103" s="149" t="s">
        <v>3066</v>
      </c>
      <c r="AJ103" s="146" t="s">
        <v>3067</v>
      </c>
      <c r="AK103" s="196">
        <v>5.0</v>
      </c>
      <c r="AL103" s="128" t="s">
        <v>3068</v>
      </c>
      <c r="AM103" s="129" t="s">
        <v>3069</v>
      </c>
      <c r="AN103" s="130" t="s">
        <v>3070</v>
      </c>
      <c r="AO103" s="196">
        <v>5.0</v>
      </c>
      <c r="AP103" s="116" t="str">
        <f>IFERROR(__xludf.DUMMYFUNCTION("GOOGLETRANSLATE(B103,""zh-tw"",""id"")"),"Pulang lebih awal juga merupakan hal yang baik -1")</f>
        <v>Pulang lebih awal juga merupakan hal yang baik -1</v>
      </c>
      <c r="AQ103" s="121" t="str">
        <f>IFERROR(__xludf.DUMMYFUNCTION("GOOGLETRANSLATE(C103,""zh-tw"",""id"")"),"Saat cuaca panas dan ada kipas angin, saya akan pulang lebih awal dan mengintip adik perempuan saya secara diam-diam.")</f>
        <v>Saat cuaca panas dan ada kipas angin, saya akan pulang lebih awal dan mengintip adik perempuan saya secara diam-diam.</v>
      </c>
      <c r="AR103" s="82" t="str">
        <f>IFERROR(__xludf.DUMMYFUNCTION("GOOGLETRANSLATE(D103,""zh-tw"",""id"")"),"Adik perempuanku sedang mengenakan pakaian dan menyalakan kipas angin listrik.")</f>
        <v>Adik perempuanku sedang mengenakan pakaian dan menyalakan kipas angin listrik.</v>
      </c>
      <c r="AS103" s="196"/>
      <c r="AT103" s="116"/>
      <c r="AU103" s="121"/>
      <c r="AV103" s="82"/>
      <c r="AW103" s="82"/>
      <c r="AX103" s="82"/>
    </row>
    <row r="104">
      <c r="A104" s="196">
        <v>6.0</v>
      </c>
      <c r="B104" s="120" t="s">
        <v>3071</v>
      </c>
      <c r="C104" s="119" t="s">
        <v>3072</v>
      </c>
      <c r="D104" s="79" t="s">
        <v>3073</v>
      </c>
      <c r="E104" s="196">
        <v>6.0</v>
      </c>
      <c r="F104" s="120" t="s">
        <v>3074</v>
      </c>
      <c r="G104" s="119" t="s">
        <v>3075</v>
      </c>
      <c r="H104" s="79" t="s">
        <v>3076</v>
      </c>
      <c r="I104" s="196">
        <v>6.0</v>
      </c>
      <c r="J104" s="120" t="s">
        <v>3077</v>
      </c>
      <c r="K104" s="119" t="s">
        <v>3078</v>
      </c>
      <c r="L104" s="79" t="s">
        <v>3079</v>
      </c>
      <c r="M104" s="196">
        <v>6.0</v>
      </c>
      <c r="N104" s="132" t="str">
        <f>IFERROR(__xludf.DUMMYFUNCTION("GOOGLETRANSLATE(B104,""zh-tw"",""zh"")"),"提前回家也是件好事-2")</f>
        <v>提前回家也是件好事-2</v>
      </c>
      <c r="O104" s="121" t="str">
        <f>IFERROR(__xludf.DUMMYFUNCTION("GOOGLETRANSLATE(C104,""zh-tw"",""zh"")"),"同上，偷看妹妹时，有机率出现")</f>
        <v>同上，偷看妹妹时，有机率出现</v>
      </c>
      <c r="P104" s="79" t="s">
        <v>3080</v>
      </c>
      <c r="Q104" s="196">
        <v>6.0</v>
      </c>
      <c r="R104" s="132" t="str">
        <f>IFERROR(__xludf.DUMMYFUNCTION("GOOGLETRANSLATE(B104,""zh-tw"",""es-mx"")"),"Volver temprano a casa también es algo bueno - 2")</f>
        <v>Volver temprano a casa también es algo bueno - 2</v>
      </c>
      <c r="S104" s="121" t="str">
        <f>IFERROR(__xludf.DUMMYFUNCTION("GOOGLETRANSLATE(C104,""zh-tw"",""es-mx"")"),"De igual modo, al espiar a su hermana menor, existe la posibilidad de que...")</f>
        <v>De igual modo, al espiar a su hermana menor, existe la posibilidad de que...</v>
      </c>
      <c r="T104" s="82" t="str">
        <f>IFERROR(__xludf.DUMMYFUNCTION("GOOGLETRANSLATE(D104,""zh-tw"",""es-mx"")"),"Mi hermana pequeña no llevaba ropa interior mientras la abanicaban con un ventilador eléctrico.")</f>
        <v>Mi hermana pequeña no llevaba ropa interior mientras la abanicaban con un ventilador eléctrico.</v>
      </c>
      <c r="U104" s="196">
        <v>6.0</v>
      </c>
      <c r="V104" s="132" t="str">
        <f>IFERROR(__xludf.DUMMYFUNCTION("GOOGLETRANSLATE(B104,""zh-tw"",""KO"")"),"일찍 집에 가는 것도 좋은 일이다 - 2")</f>
        <v>일찍 집에 가는 것도 좋은 일이다 - 2</v>
      </c>
      <c r="W104" s="121" t="str">
        <f>IFERROR(__xludf.DUMMYFUNCTION("GOOGLETRANSLATE(C104,""zh-tw"",""KO"")"),"마찬가지로, 여동생을 훔쳐볼 때도 다음과 같은 일이 발생할 가능성이 있습니다...")</f>
        <v>마찬가지로, 여동생을 훔쳐볼 때도 다음과 같은 일이 발생할 가능성이 있습니다...</v>
      </c>
      <c r="X104" s="82" t="str">
        <f>IFERROR(__xludf.DUMMYFUNCTION("GOOGLETRANSLATE(D104,""zh-tw"",""KO"")"),"내 여동생은 선풍기 바람을 쐬면서 속옷을 입지 않았다.")</f>
        <v>내 여동생은 선풍기 바람을 쐬면서 속옷을 입지 않았다.</v>
      </c>
      <c r="Y104" s="196">
        <v>6.0</v>
      </c>
      <c r="Z104" s="161" t="s">
        <v>3081</v>
      </c>
      <c r="AA104" s="162" t="s">
        <v>3082</v>
      </c>
      <c r="AB104" s="142" t="s">
        <v>3083</v>
      </c>
      <c r="AC104" s="196">
        <v>6.0</v>
      </c>
      <c r="AD104" s="120" t="s">
        <v>3084</v>
      </c>
      <c r="AE104" s="119" t="s">
        <v>3085</v>
      </c>
      <c r="AF104" s="79" t="s">
        <v>3086</v>
      </c>
      <c r="AG104" s="197">
        <v>6.0</v>
      </c>
      <c r="AH104" s="147" t="s">
        <v>3087</v>
      </c>
      <c r="AI104" s="149" t="s">
        <v>3088</v>
      </c>
      <c r="AJ104" s="146" t="s">
        <v>3089</v>
      </c>
      <c r="AK104" s="196">
        <v>6.0</v>
      </c>
      <c r="AL104" s="128" t="s">
        <v>3090</v>
      </c>
      <c r="AM104" s="129" t="s">
        <v>3091</v>
      </c>
      <c r="AN104" s="130" t="s">
        <v>3092</v>
      </c>
      <c r="AO104" s="196">
        <v>6.0</v>
      </c>
      <c r="AP104" s="116" t="str">
        <f>IFERROR(__xludf.DUMMYFUNCTION("GOOGLETRANSLATE(B104,""zh-tw"",""id"")"),"Pulang lebih awal juga merupakan hal yang baik - 2")</f>
        <v>Pulang lebih awal juga merupakan hal yang baik - 2</v>
      </c>
      <c r="AQ104" s="121" t="str">
        <f>IFERROR(__xludf.DUMMYFUNCTION("GOOGLETRANSLATE(C104,""zh-tw"",""id"")"),"Demikian pula, ketika mengintip adik perempuannya, ada kemungkinan bahwa...")</f>
        <v>Demikian pula, ketika mengintip adik perempuannya, ada kemungkinan bahwa...</v>
      </c>
      <c r="AR104" s="82" t="str">
        <f>IFERROR(__xludf.DUMMYFUNCTION("GOOGLETRANSLATE(D104,""zh-tw"",""id"")"),"Adik perempuan saya tidak mengenakan pakaian dalam saat dikipasi oleh kipas angin listrik.")</f>
        <v>Adik perempuan saya tidak mengenakan pakaian dalam saat dikipasi oleh kipas angin listrik.</v>
      </c>
      <c r="AS104" s="196"/>
      <c r="AT104" s="116"/>
      <c r="AU104" s="121"/>
      <c r="AV104" s="82"/>
      <c r="AW104" s="82"/>
      <c r="AX104" s="82"/>
    </row>
    <row r="105">
      <c r="A105" s="196">
        <v>7.0</v>
      </c>
      <c r="B105" s="120" t="s">
        <v>3093</v>
      </c>
      <c r="C105" s="119" t="s">
        <v>3094</v>
      </c>
      <c r="D105" s="79" t="s">
        <v>3095</v>
      </c>
      <c r="E105" s="196">
        <v>7.0</v>
      </c>
      <c r="F105" s="120" t="s">
        <v>3096</v>
      </c>
      <c r="G105" s="119" t="s">
        <v>3097</v>
      </c>
      <c r="H105" s="79" t="s">
        <v>3098</v>
      </c>
      <c r="I105" s="196">
        <v>7.0</v>
      </c>
      <c r="J105" s="120" t="s">
        <v>3099</v>
      </c>
      <c r="K105" s="119" t="s">
        <v>3100</v>
      </c>
      <c r="L105" s="79" t="s">
        <v>3101</v>
      </c>
      <c r="M105" s="196">
        <v>7.0</v>
      </c>
      <c r="N105" s="132" t="str">
        <f>IFERROR(__xludf.DUMMYFUNCTION("GOOGLETRANSLATE(B105,""zh-tw"",""zh"")"),"提前回家也是件好事-3")</f>
        <v>提前回家也是件好事-3</v>
      </c>
      <c r="O105" s="121" t="str">
        <f>IFERROR(__xludf.DUMMYFUNCTION("GOOGLETRANSLATE(C105,""zh-tw"",""zh"")"),"同上，妹妹紫心以及性欲高的时候，有机率出现")</f>
        <v>同上，妹妹紫心以及性欲高的时候，有机率出现</v>
      </c>
      <c r="P105" s="82" t="str">
        <f>IFERROR(__xludf.DUMMYFUNCTION("GOOGLETRANSLATE(D105,""zh-tw"",""zh"")"),"妹妹使用冰棒(未实装)")</f>
        <v>妹妹使用冰棒(未实装)</v>
      </c>
      <c r="Q105" s="196">
        <v>7.0</v>
      </c>
      <c r="R105" s="132" t="str">
        <f>IFERROR(__xludf.DUMMYFUNCTION("GOOGLETRANSLATE(B105,""zh-tw"",""es-mx"")"),"Volver temprano a casa también es algo bueno -3")</f>
        <v>Volver temprano a casa también es algo bueno -3</v>
      </c>
      <c r="S105" s="121" t="str">
        <f>IFERROR(__xludf.DUMMYFUNCTION("GOOGLETRANSLATE(C105,""zh-tw"",""es-mx"")"),"De manera similar, cuando la hermana menor tiene un corazón púrpura y un alto deseo sexual, existe la posibilidad de que...")</f>
        <v>De manera similar, cuando la hermana menor tiene un corazón púrpura y un alto deseo sexual, existe la posibilidad de que...</v>
      </c>
      <c r="T105" s="82" t="str">
        <f>IFERROR(__xludf.DUMMYFUNCTION("GOOGLETRANSLATE(D105,""zh-tw"",""es-mx"")"),"La hermana menor usa un helado de paleta (aún no implementado).")</f>
        <v>La hermana menor usa un helado de paleta (aún no implementado).</v>
      </c>
      <c r="U105" s="196">
        <v>7.0</v>
      </c>
      <c r="V105" s="132" t="str">
        <f>IFERROR(__xludf.DUMMYFUNCTION("GOOGLETRANSLATE(B105,""zh-tw"",""KO"")"),"일찍 집에 가는 것도 좋은 일이다 -3")</f>
        <v>일찍 집에 가는 것도 좋은 일이다 -3</v>
      </c>
      <c r="W105" s="121" t="str">
        <f>IFERROR(__xludf.DUMMYFUNCTION("GOOGLETRANSLATE(C105,""zh-tw"",""KO"")"),"마찬가지로, 여동생이 보라색 심장병을 앓고 있고 성욕이 강하다면 다음과 같은 가능성이 있습니다...")</f>
        <v>마찬가지로, 여동생이 보라색 심장병을 앓고 있고 성욕이 강하다면 다음과 같은 가능성이 있습니다...</v>
      </c>
      <c r="X105" s="82" t="str">
        <f>IFERROR(__xludf.DUMMYFUNCTION("GOOGLETRANSLATE(D105,""zh-tw"",""KO"")"),"여동생은 아이스크림 막대를 사용합니다(아직 구현되지 않음).")</f>
        <v>여동생은 아이스크림 막대를 사용합니다(아직 구현되지 않음).</v>
      </c>
      <c r="Y105" s="196">
        <v>7.0</v>
      </c>
      <c r="Z105" s="161" t="s">
        <v>3102</v>
      </c>
      <c r="AA105" s="162" t="s">
        <v>3103</v>
      </c>
      <c r="AB105" s="142" t="s">
        <v>3104</v>
      </c>
      <c r="AC105" s="196">
        <v>7.0</v>
      </c>
      <c r="AD105" s="120" t="s">
        <v>3105</v>
      </c>
      <c r="AE105" s="119" t="s">
        <v>3106</v>
      </c>
      <c r="AF105" s="79" t="s">
        <v>3107</v>
      </c>
      <c r="AG105" s="197">
        <v>7.0</v>
      </c>
      <c r="AH105" s="147" t="s">
        <v>3108</v>
      </c>
      <c r="AI105" s="149" t="s">
        <v>3109</v>
      </c>
      <c r="AJ105" s="146" t="s">
        <v>3110</v>
      </c>
      <c r="AK105" s="196">
        <v>7.0</v>
      </c>
      <c r="AL105" s="128" t="s">
        <v>3111</v>
      </c>
      <c r="AM105" s="141" t="s">
        <v>3112</v>
      </c>
      <c r="AN105" s="130" t="s">
        <v>3113</v>
      </c>
      <c r="AO105" s="196">
        <v>7.0</v>
      </c>
      <c r="AP105" s="116" t="str">
        <f>IFERROR(__xludf.DUMMYFUNCTION("GOOGLETRANSLATE(B105,""zh-tw"",""id"")"),"Pulang lebih awal juga merupakan hal yang baik -3")</f>
        <v>Pulang lebih awal juga merupakan hal yang baik -3</v>
      </c>
      <c r="AQ105" s="121" t="str">
        <f>IFERROR(__xludf.DUMMYFUNCTION("GOOGLETRANSLATE(C105,""zh-tw"",""id"")"),"Demikian pula, ketika adik perempuan memiliki Purple Heart dan hasrat seksual yang tinggi, ada kemungkinan bahwa...")</f>
        <v>Demikian pula, ketika adik perempuan memiliki Purple Heart dan hasrat seksual yang tinggi, ada kemungkinan bahwa...</v>
      </c>
      <c r="AR105" s="82" t="str">
        <f>IFERROR(__xludf.DUMMYFUNCTION("GOOGLETRANSLATE(D105,""zh-tw"",""id"")"),"Adik perempuan menggunakan es loli (belum diimplementasikan).")</f>
        <v>Adik perempuan menggunakan es loli (belum diimplementasikan).</v>
      </c>
      <c r="AS105" s="196"/>
      <c r="AT105" s="116"/>
      <c r="AU105" s="121"/>
      <c r="AV105" s="82"/>
      <c r="AW105" s="82"/>
      <c r="AX105" s="82"/>
    </row>
    <row r="106">
      <c r="A106" s="196">
        <v>8.0</v>
      </c>
      <c r="B106" s="120" t="s">
        <v>3114</v>
      </c>
      <c r="C106" s="119" t="s">
        <v>3115</v>
      </c>
      <c r="D106" s="79" t="s">
        <v>3116</v>
      </c>
      <c r="E106" s="196">
        <v>8.0</v>
      </c>
      <c r="F106" s="120" t="s">
        <v>3117</v>
      </c>
      <c r="G106" s="119" t="s">
        <v>3118</v>
      </c>
      <c r="H106" s="79" t="s">
        <v>3119</v>
      </c>
      <c r="I106" s="196">
        <v>8.0</v>
      </c>
      <c r="J106" s="120" t="s">
        <v>3120</v>
      </c>
      <c r="K106" s="119" t="s">
        <v>3121</v>
      </c>
      <c r="L106" s="79" t="s">
        <v>3122</v>
      </c>
      <c r="M106" s="196">
        <v>8.0</v>
      </c>
      <c r="N106" s="132" t="str">
        <f>IFERROR(__xludf.DUMMYFUNCTION("GOOGLETRANSLATE(B106,""zh-tw"",""zh"")"),"提前回家也是件好事-4")</f>
        <v>提前回家也是件好事-4</v>
      </c>
      <c r="O106" s="119" t="s">
        <v>3123</v>
      </c>
      <c r="P106" s="79" t="s">
        <v>3124</v>
      </c>
      <c r="Q106" s="196">
        <v>8.0</v>
      </c>
      <c r="R106" s="132" t="str">
        <f>IFERROR(__xludf.DUMMYFUNCTION("GOOGLETRANSLATE(B106,""zh-tw"",""es-mx"")"),"Volver temprano a casa también es algo bueno - 4")</f>
        <v>Volver temprano a casa también es algo bueno - 4</v>
      </c>
      <c r="S106" s="121" t="str">
        <f>IFERROR(__xludf.DUMMYFUNCTION("GOOGLETRANSLATE(C106,""zh-tw"",""es-mx"")"),"En una conversación con su hermana menor, después de recibir educación nudista, es posible que...")</f>
        <v>En una conversación con su hermana menor, después de recibir educación nudista, es posible que...</v>
      </c>
      <c r="T106" s="82" t="str">
        <f>IFERROR(__xludf.DUMMYFUNCTION("GOOGLETRANSLATE(D106,""zh-tw"",""es-mx"")"),"Hermana del clan desnuda (Aún no implementada)")</f>
        <v>Hermana del clan desnuda (Aún no implementada)</v>
      </c>
      <c r="U106" s="196">
        <v>8.0</v>
      </c>
      <c r="V106" s="132" t="str">
        <f>IFERROR(__xludf.DUMMYFUNCTION("GOOGLETRANSLATE(B106,""zh-tw"",""KO"")"),"일찍 집에 가는 것도 좋은 일이다 - 4")</f>
        <v>일찍 집에 가는 것도 좋은 일이다 - 4</v>
      </c>
      <c r="W106" s="121" t="str">
        <f>IFERROR(__xludf.DUMMYFUNCTION("GOOGLETRANSLATE(C106,""zh-tw"",""KO"")"),"누디즘 교육을 받은 후 여동생과 대화를 나누다 보면 다음과 같은 생각이 들 수도 있습니다...")</f>
        <v>누디즘 교육을 받은 후 여동생과 대화를 나누다 보면 다음과 같은 생각이 들 수도 있습니다...</v>
      </c>
      <c r="X106" s="82" t="str">
        <f>IFERROR(__xludf.DUMMYFUNCTION("GOOGLETRANSLATE(D106,""zh-tw"",""KO"")"),"벌거벗은 클랜 시스터 (아직 구현되지 않음)")</f>
        <v>벌거벗은 클랜 시스터 (아직 구현되지 않음)</v>
      </c>
      <c r="Y106" s="196">
        <v>8.0</v>
      </c>
      <c r="Z106" s="161" t="s">
        <v>3125</v>
      </c>
      <c r="AA106" s="162" t="s">
        <v>3126</v>
      </c>
      <c r="AB106" s="142" t="s">
        <v>3127</v>
      </c>
      <c r="AC106" s="196">
        <v>8.0</v>
      </c>
      <c r="AD106" s="120" t="s">
        <v>3128</v>
      </c>
      <c r="AE106" s="119" t="s">
        <v>3129</v>
      </c>
      <c r="AF106" s="79" t="s">
        <v>3130</v>
      </c>
      <c r="AG106" s="197">
        <v>8.0</v>
      </c>
      <c r="AH106" s="147" t="s">
        <v>3131</v>
      </c>
      <c r="AI106" s="149" t="s">
        <v>3132</v>
      </c>
      <c r="AJ106" s="146" t="s">
        <v>3133</v>
      </c>
      <c r="AK106" s="196">
        <v>8.0</v>
      </c>
      <c r="AL106" s="154" t="s">
        <v>3134</v>
      </c>
      <c r="AM106" s="155" t="s">
        <v>3135</v>
      </c>
      <c r="AN106" s="156" t="s">
        <v>3136</v>
      </c>
      <c r="AO106" s="196">
        <v>8.0</v>
      </c>
      <c r="AP106" s="116" t="str">
        <f>IFERROR(__xludf.DUMMYFUNCTION("GOOGLETRANSLATE(B106,""zh-tw"",""id"")"),"Pulang lebih awal juga merupakan hal yang baik - 4")</f>
        <v>Pulang lebih awal juga merupakan hal yang baik - 4</v>
      </c>
      <c r="AQ106" s="121" t="str">
        <f>IFERROR(__xludf.DUMMYFUNCTION("GOOGLETRANSLATE(C106,""zh-tw"",""id"")"),"Dalam percakapan dengan adik perempuannya, setelah menerima pendidikan nudis, ada kemungkinan bahwa...")</f>
        <v>Dalam percakapan dengan adik perempuannya, setelah menerima pendidikan nudis, ada kemungkinan bahwa...</v>
      </c>
      <c r="AR106" s="82" t="str">
        <f>IFERROR(__xludf.DUMMYFUNCTION("GOOGLETRANSLATE(D106,""zh-tw"",""id"")"),"Saudari Klan Telanjang (Belum diimplementasikan)")</f>
        <v>Saudari Klan Telanjang (Belum diimplementasikan)</v>
      </c>
      <c r="AS106" s="196"/>
      <c r="AT106" s="116"/>
      <c r="AU106" s="121"/>
      <c r="AV106" s="82"/>
      <c r="AW106" s="82"/>
      <c r="AX106" s="82"/>
    </row>
    <row r="107">
      <c r="A107" s="8"/>
      <c r="B107" s="70"/>
      <c r="C107" s="70"/>
      <c r="D107" s="70"/>
      <c r="E107" s="8"/>
      <c r="F107" s="70"/>
      <c r="G107" s="70"/>
      <c r="H107" s="70"/>
      <c r="I107" s="8"/>
      <c r="J107" s="70"/>
      <c r="K107" s="70"/>
      <c r="L107" s="70"/>
      <c r="M107" s="8"/>
      <c r="N107" s="70"/>
      <c r="O107" s="70"/>
      <c r="P107" s="70"/>
      <c r="Q107" s="8"/>
      <c r="R107" s="70"/>
      <c r="S107" s="70"/>
      <c r="T107" s="70"/>
      <c r="U107" s="8"/>
      <c r="V107" s="70"/>
      <c r="W107" s="70"/>
      <c r="X107" s="70"/>
      <c r="Y107" s="200"/>
      <c r="Z107" s="195"/>
      <c r="AA107" s="195"/>
      <c r="AB107" s="195"/>
      <c r="AC107" s="8"/>
      <c r="AD107" s="70"/>
      <c r="AE107" s="70"/>
      <c r="AF107" s="70"/>
      <c r="AG107" s="201"/>
      <c r="AH107" s="202"/>
      <c r="AI107" s="201"/>
      <c r="AJ107" s="201"/>
      <c r="AK107" s="70"/>
      <c r="AL107" s="70"/>
      <c r="AM107" s="70"/>
      <c r="AN107" s="70"/>
      <c r="AO107" s="70"/>
      <c r="AP107" s="70"/>
      <c r="AQ107" s="70"/>
      <c r="AR107" s="70"/>
      <c r="AS107" s="70"/>
      <c r="AT107" s="70"/>
      <c r="AU107" s="70"/>
      <c r="AV107" s="70"/>
      <c r="AW107" s="70"/>
      <c r="AX107" s="70"/>
    </row>
    <row r="108">
      <c r="A108" s="112" t="s">
        <v>3137</v>
      </c>
      <c r="B108" s="112" t="s">
        <v>3138</v>
      </c>
      <c r="E108" s="112"/>
      <c r="F108" s="111" t="s">
        <v>3139</v>
      </c>
      <c r="I108" s="111" t="s">
        <v>3137</v>
      </c>
      <c r="J108" s="111" t="s">
        <v>3140</v>
      </c>
      <c r="M108" s="112"/>
      <c r="N108" s="112" t="s">
        <v>3141</v>
      </c>
      <c r="Q108" s="111" t="s">
        <v>3137</v>
      </c>
      <c r="R108" s="111" t="s">
        <v>3142</v>
      </c>
      <c r="U108" s="111" t="s">
        <v>3137</v>
      </c>
      <c r="V108" s="111" t="s">
        <v>3143</v>
      </c>
      <c r="Y108" s="112" t="s">
        <v>3137</v>
      </c>
      <c r="Z108" s="112" t="s">
        <v>3144</v>
      </c>
      <c r="AC108" s="111" t="s">
        <v>3137</v>
      </c>
      <c r="AD108" s="187" t="s">
        <v>3145</v>
      </c>
      <c r="AG108" s="188" t="s">
        <v>3137</v>
      </c>
      <c r="AH108" s="188" t="s">
        <v>3146</v>
      </c>
      <c r="AK108" s="112" t="s">
        <v>3137</v>
      </c>
      <c r="AL108" s="112" t="s">
        <v>3147</v>
      </c>
      <c r="AO108" s="111" t="s">
        <v>3137</v>
      </c>
      <c r="AP108" s="111" t="s">
        <v>3148</v>
      </c>
      <c r="AS108" s="111"/>
      <c r="AT108" s="111"/>
      <c r="AW108" s="206"/>
      <c r="AX108" s="206"/>
    </row>
    <row r="109">
      <c r="A109" s="115">
        <v>1.0</v>
      </c>
      <c r="B109" s="128" t="s">
        <v>3149</v>
      </c>
      <c r="C109" s="129" t="s">
        <v>3150</v>
      </c>
      <c r="D109" s="130" t="s">
        <v>3151</v>
      </c>
      <c r="E109" s="115">
        <v>1.0</v>
      </c>
      <c r="F109" s="116" t="s">
        <v>3152</v>
      </c>
      <c r="G109" s="165" t="s">
        <v>3153</v>
      </c>
      <c r="H109" s="166" t="s">
        <v>3154</v>
      </c>
      <c r="I109" s="115">
        <v>1.0</v>
      </c>
      <c r="J109" s="164" t="s">
        <v>3155</v>
      </c>
      <c r="K109" s="172" t="s">
        <v>3156</v>
      </c>
      <c r="L109" s="177" t="s">
        <v>3157</v>
      </c>
      <c r="M109" s="115">
        <v>1.0</v>
      </c>
      <c r="N109" s="128" t="s">
        <v>3158</v>
      </c>
      <c r="O109" s="155" t="s">
        <v>3159</v>
      </c>
      <c r="P109" s="156" t="s">
        <v>3160</v>
      </c>
      <c r="Q109" s="115">
        <v>1.0</v>
      </c>
      <c r="R109" s="154" t="str">
        <f>IFERROR(__xludf.DUMMYFUNCTION("GOOGLETRANSLATE(B109,""zh-tw"",""es-MX"")"),"Televisor en la sala de estar")</f>
        <v>Televisor en la sala de estar</v>
      </c>
      <c r="S109" s="155" t="str">
        <f>IFERROR(__xludf.DUMMYFUNCTION("GOOGLETRANSLATE(C109,""zh-tw"",""es-MX"")"),"Puedes ver la televisión en la sala de estar en horario normal.
18:00-19:00: Ver Rabbit News
19:00-20:00: Ver el pronóstico del tiempo
20:00-21:00: Ver programas de cocina (algunos días se emitirán animes de chicas mágicas)
21:00-22:00: No hay program"&amp;"ación disponible
22:00-23:00: No hay programación disponible (pero se permiten cintas de vídeo)")</f>
        <v>Puedes ver la televisión en la sala de estar en horario normal.
18:00-19:00: Ver Rabbit News
19:00-20:00: Ver el pronóstico del tiempo
20:00-21:00: Ver programas de cocina (algunos días se emitirán animes de chicas mágicas)
21:00-22:00: No hay programación disponible
22:00-23:00: No hay programación disponible (pero se permiten cintas de vídeo)</v>
      </c>
      <c r="T109" s="156" t="str">
        <f>IFERROR(__xludf.DUMMYFUNCTION("GOOGLETRANSLATE(D109,""zh-tw"",""es-MX"")"),"Mira programas de televisión específicos")</f>
        <v>Mira programas de televisión específicos</v>
      </c>
      <c r="U109" s="115">
        <v>1.0</v>
      </c>
      <c r="V109" s="154" t="str">
        <f>IFERROR(__xludf.DUMMYFUNCTION("GOOGLETRANSLATE(B109,""zh-tw"",""KO"")"),"거실에 있는 TV")</f>
        <v>거실에 있는 TV</v>
      </c>
      <c r="W109" s="155" t="str">
        <f>IFERROR(__xludf.DUMMYFUNCTION("GOOGLETRANSLATE(C109,""zh-tw"",""KO"")"),"평소에는 거실에서 TV를 시청하실 수 있습니다.
18:00-19:00: 래빗 뉴스 시청
19:00-20:00: 일기예보 시청
20:00-21:00: 요리 프로그램 시청 (특정 요일에는 마법소녀 애니메이션으로 변경될 수 있습니다)
21:00-22:00: 방송 프로그램 없음
22:00-23:00: 방송 프로그램 없음 (단, 비디오테이프는 허용됩니다)")</f>
        <v>평소에는 거실에서 TV를 시청하실 수 있습니다.
18:00-19:00: 래빗 뉴스 시청
19:00-20:00: 일기예보 시청
20:00-21:00: 요리 프로그램 시청 (특정 요일에는 마법소녀 애니메이션으로 변경될 수 있습니다)
21:00-22:00: 방송 프로그램 없음
22:00-23:00: 방송 프로그램 없음 (단, 비디오테이프는 허용됩니다)</v>
      </c>
      <c r="X109" s="156" t="str">
        <f>IFERROR(__xludf.DUMMYFUNCTION("GOOGLETRANSLATE(D109,""zh-tw"",""KO"")"),"특정 TV 프로그램을 시청하세요")</f>
        <v>특정 TV 프로그램을 시청하세요</v>
      </c>
      <c r="Y109" s="207" t="str">
        <f>IFERROR(__xludf.DUMMYFUNCTION("IF(I109="""", """", GOOGLETRANSLATE(I109,""en"",""RU""))"),"1")</f>
        <v>1</v>
      </c>
      <c r="Z109" s="161" t="s">
        <v>3161</v>
      </c>
      <c r="AA109" s="162" t="s">
        <v>3162</v>
      </c>
      <c r="AB109" s="142" t="s">
        <v>3163</v>
      </c>
      <c r="AC109" s="115">
        <v>1.0</v>
      </c>
      <c r="AD109" s="116" t="s">
        <v>3164</v>
      </c>
      <c r="AE109" s="165" t="s">
        <v>3165</v>
      </c>
      <c r="AF109" s="166" t="s">
        <v>3166</v>
      </c>
      <c r="AG109" s="125">
        <v>1.0</v>
      </c>
      <c r="AH109" s="168" t="s">
        <v>3167</v>
      </c>
      <c r="AI109" s="169" t="s">
        <v>3168</v>
      </c>
      <c r="AJ109" s="189" t="s">
        <v>3169</v>
      </c>
      <c r="AK109" s="115">
        <v>1.0</v>
      </c>
      <c r="AL109" s="128" t="s">
        <v>3170</v>
      </c>
      <c r="AM109" s="208" t="s">
        <v>3171</v>
      </c>
      <c r="AN109" s="166" t="s">
        <v>3172</v>
      </c>
      <c r="AO109" s="115">
        <v>1.0</v>
      </c>
      <c r="AP109" s="116" t="s">
        <v>3173</v>
      </c>
      <c r="AQ109" s="121" t="s">
        <v>3174</v>
      </c>
      <c r="AR109" s="82" t="s">
        <v>3175</v>
      </c>
      <c r="AS109" s="115"/>
      <c r="AT109" s="116"/>
      <c r="AU109" s="121"/>
      <c r="AV109" s="82"/>
      <c r="AW109" s="130"/>
      <c r="AX109" s="130"/>
    </row>
    <row r="110">
      <c r="A110" s="196">
        <v>2.0</v>
      </c>
      <c r="B110" s="154" t="s">
        <v>3176</v>
      </c>
      <c r="C110" s="155" t="s">
        <v>3177</v>
      </c>
      <c r="D110" s="156" t="s">
        <v>3178</v>
      </c>
      <c r="E110" s="196">
        <v>2.0</v>
      </c>
      <c r="F110" s="132" t="s">
        <v>3179</v>
      </c>
      <c r="G110" s="155" t="s">
        <v>3180</v>
      </c>
      <c r="H110" s="156" t="s">
        <v>3181</v>
      </c>
      <c r="I110" s="196">
        <v>2.0</v>
      </c>
      <c r="J110" s="209" t="s">
        <v>3182</v>
      </c>
      <c r="K110" s="208" t="s">
        <v>3183</v>
      </c>
      <c r="L110" s="210" t="s">
        <v>3184</v>
      </c>
      <c r="M110" s="196">
        <v>2.0</v>
      </c>
      <c r="N110" s="154" t="str">
        <f>IFERROR(__xludf.DUMMYFUNCTION("GOOGLETRANSLATE(B110,""zh-tw"",""zh"")"),"魔法少女动画")</f>
        <v>魔法少女动画</v>
      </c>
      <c r="O110" s="155" t="str">
        <f>IFERROR(__xludf.DUMMYFUNCTION("GOOGLETRANSLATE(C110,""zh-tw"",""zh"")"),"必须游玩超过第5日后才会触发，每个档案都有一个随机值判定是礼拜几触发。
例如：存档的随机值是""每周六""，游戏内就是第6、13、20、27日可以触发。设定上大约于晚上8点期间可能触发")</f>
        <v>必须游玩超过第5日后才会触发，每个档案都有一个随机值判定是礼拜几触发。
例如：存档的随机值是"每周六"，游戏内就是第6、13、20、27日可以触发。设定上大约于晚上8点期间可能触发</v>
      </c>
      <c r="P110" s="156" t="str">
        <f>IFERROR(__xludf.DUMMYFUNCTION("GOOGLETRANSLATE(D110,""zh-tw"",""zh"")"),"魔法少女动画
*目前妹妹只会在该时段自行前往客厅，并无任何功能
电视动画和大部分功能皆尚未实装")</f>
        <v>魔法少女动画
*目前妹妹只会在该时段自行前往客厅，并无任何功能
电视动画和大部分功能皆尚未实装</v>
      </c>
      <c r="Q110" s="196">
        <v>2.0</v>
      </c>
      <c r="R110" s="154" t="str">
        <f>IFERROR(__xludf.DUMMYFUNCTION("GOOGLETRANSLATE(B110,""zh-tw"",""es-MX"")"),"Anime de chicas mágicas")</f>
        <v>Anime de chicas mágicas</v>
      </c>
      <c r="S110" s="155" t="str">
        <f>IFERROR(__xludf.DUMMYFUNCTION("GOOGLETRANSLATE(C110,""zh-tw"",""es-MX"")"),"Solo se activará después de jugar durante más de 5 días, y cada archivo de guardado tiene un valor aleatorio que determina el día de la semana en que se activará.
Por ejemplo, si el valor aleatorio del archivo de guardado es ""todos los sábados"", entonc"&amp;"es en el juego puede activarse los días 6, 13, 20 y 27. Está configurado para activarse alrededor de las 8 PM.")</f>
        <v>Solo se activará después de jugar durante más de 5 días, y cada archivo de guardado tiene un valor aleatorio que determina el día de la semana en que se activará.
Por ejemplo, si el valor aleatorio del archivo de guardado es "todos los sábados", entonces en el juego puede activarse los días 6, 13, 20 y 27. Está configurado para activarse alrededor de las 8 PM.</v>
      </c>
      <c r="T110" s="156" t="str">
        <f>IFERROR(__xludf.DUMMYFUNCTION("GOOGLETRANSLATE(D110,""zh-tw"",""es-MX"")"),"Anime de Chicas Mágicas
*Actualmente, la hermana menor solo va a la sala de estar por su cuenta durante ese período y no tiene otras funciones.
El anime de televisión y la mayoría de las funciones aún no están implementadas.")</f>
        <v>Anime de Chicas Mágicas
*Actualmente, la hermana menor solo va a la sala de estar por su cuenta durante ese período y no tiene otras funciones.
El anime de televisión y la mayoría de las funciones aún no están implementadas.</v>
      </c>
      <c r="U110" s="196">
        <v>2.0</v>
      </c>
      <c r="V110" s="154" t="str">
        <f>IFERROR(__xludf.DUMMYFUNCTION("GOOGLETRANSLATE(B110,""zh-tw"",""KO"")"),"마법소녀 애니메이션")</f>
        <v>마법소녀 애니메이션</v>
      </c>
      <c r="W110" s="155" t="str">
        <f>IFERROR(__xludf.DUMMYFUNCTION("GOOGLETRANSLATE(C110,""zh-tw"",""KO"")"),"이 이벤트는 5일 이상 플레이한 후에만 발생하며, 각 저장 파일에는 이벤트 발생 요일을 결정하는 무작위 값이 있습니다.
예를 들어, 저장 파일의 무작위 값이 ""매주 토요일""이라면 게임 내에서는 6일, 13일, 20일, 27일에 발생할 수 있습니다. 발생 시간은 대략 오후 8시로 설정되어 있습니다.")</f>
        <v>이 이벤트는 5일 이상 플레이한 후에만 발생하며, 각 저장 파일에는 이벤트 발생 요일을 결정하는 무작위 값이 있습니다.
예를 들어, 저장 파일의 무작위 값이 "매주 토요일"이라면 게임 내에서는 6일, 13일, 20일, 27일에 발생할 수 있습니다. 발생 시간은 대략 오후 8시로 설정되어 있습니다.</v>
      </c>
      <c r="X110" s="156" t="str">
        <f>IFERROR(__xludf.DUMMYFUNCTION("GOOGLETRANSLATE(D110,""zh-tw"",""KO"")"),"마법소녀 애니메이션
*현재, 여동생은 해당 시간대에 혼자 거실에 가는 것 외에는 다른 기능이 없습니다.
TV 애니메이션 및 대부분의 기능은 아직 구현되지 않았습니다.")</f>
        <v>마법소녀 애니메이션
*현재, 여동생은 해당 시간대에 혼자 거실에 가는 것 외에는 다른 기능이 없습니다.
TV 애니메이션 및 대부분의 기능은 아직 구현되지 않았습니다.</v>
      </c>
      <c r="Y110" s="196">
        <v>2.0</v>
      </c>
      <c r="Z110" s="161" t="s">
        <v>3185</v>
      </c>
      <c r="AA110" s="162" t="s">
        <v>3186</v>
      </c>
      <c r="AB110" s="142" t="s">
        <v>3187</v>
      </c>
      <c r="AC110" s="196">
        <v>2.0</v>
      </c>
      <c r="AD110" s="132" t="s">
        <v>3188</v>
      </c>
      <c r="AE110" s="208" t="s">
        <v>3189</v>
      </c>
      <c r="AF110" s="210" t="s">
        <v>3190</v>
      </c>
      <c r="AG110" s="197">
        <v>2.0</v>
      </c>
      <c r="AH110" s="211" t="s">
        <v>3191</v>
      </c>
      <c r="AI110" s="169" t="s">
        <v>3192</v>
      </c>
      <c r="AJ110" s="212" t="s">
        <v>3193</v>
      </c>
      <c r="AK110" s="196">
        <v>2.0</v>
      </c>
      <c r="AL110" s="154" t="s">
        <v>3194</v>
      </c>
      <c r="AM110" s="155" t="s">
        <v>3195</v>
      </c>
      <c r="AN110" s="156" t="s">
        <v>3196</v>
      </c>
      <c r="AO110" s="196">
        <v>2.0</v>
      </c>
      <c r="AP110" s="120" t="s">
        <v>3197</v>
      </c>
      <c r="AQ110" s="121" t="s">
        <v>3198</v>
      </c>
      <c r="AR110" s="82" t="s">
        <v>3199</v>
      </c>
      <c r="AS110" s="196"/>
      <c r="AT110" s="120"/>
      <c r="AU110" s="121"/>
      <c r="AV110" s="82"/>
      <c r="AW110" s="156"/>
      <c r="AX110" s="156"/>
    </row>
    <row r="111">
      <c r="A111" s="196">
        <v>3.0</v>
      </c>
      <c r="B111" s="154" t="s">
        <v>3200</v>
      </c>
      <c r="C111" s="155" t="s">
        <v>3201</v>
      </c>
      <c r="D111" s="156" t="s">
        <v>1097</v>
      </c>
      <c r="E111" s="196">
        <v>3.0</v>
      </c>
      <c r="F111" s="132" t="s">
        <v>3202</v>
      </c>
      <c r="G111" s="155" t="s">
        <v>3203</v>
      </c>
      <c r="H111" s="156" t="s">
        <v>3204</v>
      </c>
      <c r="I111" s="196">
        <v>3.0</v>
      </c>
      <c r="J111" s="209" t="s">
        <v>3205</v>
      </c>
      <c r="K111" s="208" t="s">
        <v>3206</v>
      </c>
      <c r="L111" s="210" t="s">
        <v>1425</v>
      </c>
      <c r="M111" s="196">
        <v>3.0</v>
      </c>
      <c r="N111" s="154" t="s">
        <v>3207</v>
      </c>
      <c r="O111" s="155" t="s">
        <v>3208</v>
      </c>
      <c r="P111" s="156" t="s">
        <v>3209</v>
      </c>
      <c r="Q111" s="196">
        <v>3.0</v>
      </c>
      <c r="R111" s="154" t="str">
        <f>IFERROR(__xludf.DUMMYFUNCTION("GOOGLETRANSLATE(B111,""zh-tw"",""es-MX"")"),"Anime de chicas mágicas - 1")</f>
        <v>Anime de chicas mágicas - 1</v>
      </c>
      <c r="S111" s="155" t="str">
        <f>IFERROR(__xludf.DUMMYFUNCTION("GOOGLETRANSLATE(C111,""zh-tw"",""es-MX"")"),"Omitido")</f>
        <v>Omitido</v>
      </c>
      <c r="T111" s="156" t="str">
        <f>IFERROR(__xludf.DUMMYFUNCTION("GOOGLETRANSLATE(D111,""zh-tw"",""es-MX"")"),"No implementado")</f>
        <v>No implementado</v>
      </c>
      <c r="U111" s="196">
        <v>3.0</v>
      </c>
      <c r="V111" s="154" t="str">
        <f>IFERROR(__xludf.DUMMYFUNCTION("GOOGLETRANSLATE(B111,""zh-tw"",""KO"")"),"마법소녀 애니메이션 - 1")</f>
        <v>마법소녀 애니메이션 - 1</v>
      </c>
      <c r="W111" s="155" t="str">
        <f>IFERROR(__xludf.DUMMYFUNCTION("GOOGLETRANSLATE(C111,""zh-tw"",""KO"")"),"놓쳤어요")</f>
        <v>놓쳤어요</v>
      </c>
      <c r="X111" s="156" t="str">
        <f>IFERROR(__xludf.DUMMYFUNCTION("GOOGLETRANSLATE(D111,""zh-tw"",""KO"")"),"구현되지 않음")</f>
        <v>구현되지 않음</v>
      </c>
      <c r="Y111" s="196">
        <v>3.0</v>
      </c>
      <c r="Z111" s="161" t="s">
        <v>3210</v>
      </c>
      <c r="AA111" s="213" t="s">
        <v>3206</v>
      </c>
      <c r="AB111" s="142" t="s">
        <v>3211</v>
      </c>
      <c r="AC111" s="196">
        <v>3.0</v>
      </c>
      <c r="AD111" s="132" t="s">
        <v>3212</v>
      </c>
      <c r="AE111" s="208" t="s">
        <v>3206</v>
      </c>
      <c r="AF111" s="210" t="s">
        <v>3213</v>
      </c>
      <c r="AG111" s="197">
        <v>3.0</v>
      </c>
      <c r="AH111" s="211" t="s">
        <v>3214</v>
      </c>
      <c r="AI111" s="169" t="s">
        <v>3206</v>
      </c>
      <c r="AJ111" s="212" t="s">
        <v>1283</v>
      </c>
      <c r="AK111" s="196">
        <v>3.0</v>
      </c>
      <c r="AL111" s="154" t="s">
        <v>3215</v>
      </c>
      <c r="AM111" s="155" t="s">
        <v>3216</v>
      </c>
      <c r="AN111" s="156" t="s">
        <v>1436</v>
      </c>
      <c r="AO111" s="196">
        <v>3.0</v>
      </c>
      <c r="AP111" s="116" t="s">
        <v>3217</v>
      </c>
      <c r="AQ111" s="172" t="s">
        <v>3218</v>
      </c>
      <c r="AR111" s="82" t="s">
        <v>1691</v>
      </c>
      <c r="AS111" s="196"/>
      <c r="AT111" s="116"/>
      <c r="AU111" s="172"/>
      <c r="AV111" s="82"/>
      <c r="AW111" s="156"/>
      <c r="AX111" s="156"/>
    </row>
    <row r="112">
      <c r="A112" s="196">
        <v>4.0</v>
      </c>
      <c r="B112" s="154" t="s">
        <v>3219</v>
      </c>
      <c r="C112" s="155" t="s">
        <v>3220</v>
      </c>
      <c r="D112" s="140" t="s">
        <v>3221</v>
      </c>
      <c r="E112" s="196">
        <v>4.0</v>
      </c>
      <c r="F112" s="132" t="s">
        <v>3222</v>
      </c>
      <c r="G112" s="208" t="s">
        <v>3223</v>
      </c>
      <c r="H112" s="177" t="s">
        <v>3224</v>
      </c>
      <c r="I112" s="196">
        <v>4.0</v>
      </c>
      <c r="J112" s="209" t="s">
        <v>3225</v>
      </c>
      <c r="K112" s="172" t="s">
        <v>3226</v>
      </c>
      <c r="L112" s="177" t="s">
        <v>3227</v>
      </c>
      <c r="M112" s="196">
        <v>4.0</v>
      </c>
      <c r="N112" s="154" t="s">
        <v>3228</v>
      </c>
      <c r="O112" s="155" t="s">
        <v>3229</v>
      </c>
      <c r="P112" s="140" t="s">
        <v>3230</v>
      </c>
      <c r="Q112" s="196">
        <v>4.0</v>
      </c>
      <c r="R112" s="154" t="str">
        <f>IFERROR(__xludf.DUMMYFUNCTION("GOOGLETRANSLATE(B112,""zh-tw"",""es-MX"")"),"Tarde en la noche")</f>
        <v>Tarde en la noche</v>
      </c>
      <c r="S112" s="155" t="str">
        <f>IFERROR(__xludf.DUMMYFUNCTION("GOOGLETRANSLATE(C112,""zh-tw"",""es-MX"")"),"Tras utilizar el ""Líquido de Médula Roja"" y completar el tratamiento, puede comenzar la sesión nocturna.")</f>
        <v>Tras utilizar el "Líquido de Médula Roja" y completar el tratamiento, puede comenzar la sesión nocturna.</v>
      </c>
      <c r="T112" s="156" t="str">
        <f>IFERROR(__xludf.DUMMYFUNCTION("GOOGLETRANSLATE(D112,""zh-tw"",""es-MX"")"),"Abierto hasta altas horas de la noche (22:00~22:30)")</f>
        <v>Abierto hasta altas horas de la noche (22:00~22:30)</v>
      </c>
      <c r="U112" s="196">
        <v>4.0</v>
      </c>
      <c r="V112" s="154" t="str">
        <f>IFERROR(__xludf.DUMMYFUNCTION("GOOGLETRANSLATE(B112,""zh-tw"",""KO"")"),"늦은 밤")</f>
        <v>늦은 밤</v>
      </c>
      <c r="W112" s="155" t="str">
        <f>IFERROR(__xludf.DUMMYFUNCTION("GOOGLETRANSLATE(C112,""zh-tw"",""KO"")"),"""적골수액""을 사용하고 치료를 완료한 후에는 심야 치료를 시작할 수 있습니다.")</f>
        <v>"적골수액"을 사용하고 치료를 완료한 후에는 심야 치료를 시작할 수 있습니다.</v>
      </c>
      <c r="X112" s="156" t="str">
        <f>IFERROR(__xludf.DUMMYFUNCTION("GOOGLETRANSLATE(D112,""zh-tw"",""KO"")"),"심야 영업 (22:00~22:30)")</f>
        <v>심야 영업 (22:00~22:30)</v>
      </c>
      <c r="Y112" s="196">
        <v>4.0</v>
      </c>
      <c r="Z112" s="161" t="s">
        <v>3231</v>
      </c>
      <c r="AA112" s="162" t="s">
        <v>3232</v>
      </c>
      <c r="AB112" s="142" t="s">
        <v>3233</v>
      </c>
      <c r="AC112" s="196">
        <v>4.0</v>
      </c>
      <c r="AD112" s="132" t="s">
        <v>3234</v>
      </c>
      <c r="AE112" s="208" t="s">
        <v>3235</v>
      </c>
      <c r="AF112" s="177" t="s">
        <v>3236</v>
      </c>
      <c r="AG112" s="197">
        <v>4.0</v>
      </c>
      <c r="AH112" s="211" t="s">
        <v>3237</v>
      </c>
      <c r="AI112" s="169" t="s">
        <v>3238</v>
      </c>
      <c r="AJ112" s="170" t="s">
        <v>3239</v>
      </c>
      <c r="AK112" s="196">
        <v>4.0</v>
      </c>
      <c r="AL112" s="154" t="s">
        <v>3240</v>
      </c>
      <c r="AM112" s="155" t="s">
        <v>3241</v>
      </c>
      <c r="AN112" s="140" t="s">
        <v>3242</v>
      </c>
      <c r="AO112" s="196">
        <v>4.0</v>
      </c>
      <c r="AP112" s="116" t="s">
        <v>3243</v>
      </c>
      <c r="AQ112" s="121" t="s">
        <v>3244</v>
      </c>
      <c r="AR112" s="82" t="s">
        <v>3245</v>
      </c>
      <c r="AS112" s="196"/>
      <c r="AT112" s="116"/>
      <c r="AU112" s="121"/>
      <c r="AV112" s="82"/>
      <c r="AW112" s="156"/>
      <c r="AX112" s="156"/>
    </row>
    <row r="113">
      <c r="A113" s="196">
        <v>5.0</v>
      </c>
      <c r="B113" s="154" t="s">
        <v>3246</v>
      </c>
      <c r="C113" s="141" t="s">
        <v>3247</v>
      </c>
      <c r="D113" s="140" t="s">
        <v>3248</v>
      </c>
      <c r="E113" s="196">
        <v>5.0</v>
      </c>
      <c r="F113" s="132" t="s">
        <v>3249</v>
      </c>
      <c r="G113" s="208" t="s">
        <v>3250</v>
      </c>
      <c r="H113" s="210" t="s">
        <v>3251</v>
      </c>
      <c r="I113" s="196">
        <v>5.0</v>
      </c>
      <c r="J113" s="176" t="s">
        <v>3252</v>
      </c>
      <c r="K113" s="172" t="s">
        <v>3253</v>
      </c>
      <c r="L113" s="177" t="s">
        <v>3254</v>
      </c>
      <c r="M113" s="196">
        <v>5.0</v>
      </c>
      <c r="N113" s="154" t="s">
        <v>3246</v>
      </c>
      <c r="O113" s="141" t="s">
        <v>3255</v>
      </c>
      <c r="P113" s="140" t="s">
        <v>3256</v>
      </c>
      <c r="Q113" s="196">
        <v>5.0</v>
      </c>
      <c r="R113" s="154" t="str">
        <f>IFERROR(__xludf.DUMMYFUNCTION("GOOGLETRANSLATE(B113,""zh-tw"",""es-MX"")"),"¡Qué miedo!")</f>
        <v>¡Qué miedo!</v>
      </c>
      <c r="S113" s="155" t="str">
        <f>IFERROR(__xludf.DUMMYFUNCTION("GOOGLETRANSLATE(C113,""zh-tw"",""es-MX"")"),"Usar la ""cinta de vídeo de terror"" a altas horas de la noche y tener un nivel de afinidad/corazón púrpura inferior al requerido.")</f>
        <v>Usar la "cinta de vídeo de terror" a altas horas de la noche y tener un nivel de afinidad/corazón púrpura inferior al requerido.</v>
      </c>
      <c r="T113" s="156" t="str">
        <f>IFERROR(__xludf.DUMMYFUNCTION("GOOGLETRANSLATE(D113,""zh-tw"",""es-MX"")"),"Trama relacionada con el desencadenante")</f>
        <v>Trama relacionada con el desencadenante</v>
      </c>
      <c r="U113" s="196">
        <v>5.0</v>
      </c>
      <c r="V113" s="154" t="str">
        <f>IFERROR(__xludf.DUMMYFUNCTION("GOOGLETRANSLATE(B113,""zh-tw"",""KO"")"),"너무 무서워요!")</f>
        <v>너무 무서워요!</v>
      </c>
      <c r="W113" s="155" t="str">
        <f>IFERROR(__xludf.DUMMYFUNCTION("GOOGLETRANSLATE(C113,""zh-tw"",""KO"")"),"늦은 밤에 ""공포 비디오테이프""를 사용하는 것
그리고 필요한 수준보다 친밀도/보라색 하트 레벨이 낮은 것")</f>
        <v>늦은 밤에 "공포 비디오테이프"를 사용하는 것
그리고 필요한 수준보다 친밀도/보라색 하트 레벨이 낮은 것</v>
      </c>
      <c r="X113" s="156" t="str">
        <f>IFERROR(__xludf.DUMMYFUNCTION("GOOGLETRANSLATE(D113,""zh-tw"",""KO"")"),"트리거 관련 플롯")</f>
        <v>트리거 관련 플롯</v>
      </c>
      <c r="Y113" s="196">
        <v>5.0</v>
      </c>
      <c r="Z113" s="122" t="s">
        <v>3257</v>
      </c>
      <c r="AA113" s="123" t="s">
        <v>3258</v>
      </c>
      <c r="AB113" s="124" t="s">
        <v>3259</v>
      </c>
      <c r="AC113" s="196">
        <v>5.0</v>
      </c>
      <c r="AD113" s="132" t="s">
        <v>3260</v>
      </c>
      <c r="AE113" s="208" t="s">
        <v>3261</v>
      </c>
      <c r="AF113" s="210" t="s">
        <v>3262</v>
      </c>
      <c r="AG113" s="196">
        <v>5.0</v>
      </c>
      <c r="AH113" s="211" t="s">
        <v>3263</v>
      </c>
      <c r="AI113" s="169" t="s">
        <v>3264</v>
      </c>
      <c r="AJ113" s="212" t="s">
        <v>3265</v>
      </c>
      <c r="AK113" s="196">
        <v>5.0</v>
      </c>
      <c r="AL113" s="154" t="s">
        <v>3266</v>
      </c>
      <c r="AM113" s="155" t="s">
        <v>3267</v>
      </c>
      <c r="AN113" s="156" t="s">
        <v>3268</v>
      </c>
      <c r="AO113" s="196">
        <v>5.0</v>
      </c>
      <c r="AP113" s="116" t="s">
        <v>3269</v>
      </c>
      <c r="AQ113" s="119" t="s">
        <v>3270</v>
      </c>
      <c r="AR113" s="82" t="s">
        <v>3271</v>
      </c>
      <c r="AS113" s="196"/>
      <c r="AT113" s="116"/>
      <c r="AU113" s="119"/>
      <c r="AV113" s="82"/>
      <c r="AW113" s="156"/>
      <c r="AX113" s="156"/>
    </row>
    <row r="114">
      <c r="A114" s="196">
        <v>6.0</v>
      </c>
      <c r="B114" s="154" t="s">
        <v>3272</v>
      </c>
      <c r="C114" s="141" t="s">
        <v>3273</v>
      </c>
      <c r="D114" s="174" t="s">
        <v>3274</v>
      </c>
      <c r="E114" s="196">
        <v>6.0</v>
      </c>
      <c r="F114" s="132" t="s">
        <v>3275</v>
      </c>
      <c r="G114" s="172" t="s">
        <v>3276</v>
      </c>
      <c r="H114" s="177" t="s">
        <v>3277</v>
      </c>
      <c r="I114" s="196">
        <v>6.0</v>
      </c>
      <c r="J114" s="176" t="s">
        <v>3278</v>
      </c>
      <c r="K114" s="172" t="s">
        <v>3279</v>
      </c>
      <c r="L114" s="177" t="s">
        <v>3280</v>
      </c>
      <c r="M114" s="196">
        <v>6.0</v>
      </c>
      <c r="N114" s="154" t="s">
        <v>3272</v>
      </c>
      <c r="O114" s="141" t="s">
        <v>3281</v>
      </c>
      <c r="P114" s="174" t="s">
        <v>3282</v>
      </c>
      <c r="Q114" s="196">
        <v>6.0</v>
      </c>
      <c r="R114" s="154" t="str">
        <f>IFERROR(__xludf.DUMMYFUNCTION("GOOGLETRANSLATE(B114,""zh-tw"",""es-MX"")"),"¡Qué miedo! -1")</f>
        <v>¡Qué miedo! -1</v>
      </c>
      <c r="S114" s="155" t="str">
        <f>IFERROR(__xludf.DUMMYFUNCTION("GOOGLETRANSLATE(C114,""zh-tw"",""es-MX"")"),"Usa ""Horror Videotape"" a altas horas de la noche y ten una puntuación de Corazón Púrpura superior a 3.")</f>
        <v>Usa "Horror Videotape" a altas horas de la noche y ten una puntuación de Corazón Púrpura superior a 3.</v>
      </c>
      <c r="T114" s="156" t="str">
        <f>IFERROR(__xludf.DUMMYFUNCTION("GOOGLETRANSLATE(D114,""zh-tw"",""es-MX"")"),"Según tus elecciones, se activará la historia principal con tu hermana.
La primera vez es obligatorio estar al aire libre.
La segunda vez es voluntaria.
La tercera vez es opcional.
(El número de intentos para la historia principal se comparte entre to"&amp;"das las escenas, por lo que se recomienda guardar la partida antes de ver cada segmento).")</f>
        <v>Según tus elecciones, se activará la historia principal con tu hermana.
La primera vez es obligatorio estar al aire libre.
La segunda vez es voluntaria.
La tercera vez es opcional.
(El número de intentos para la historia principal se comparte entre todas las escenas, por lo que se recomienda guardar la partida antes de ver cada segmento).</v>
      </c>
      <c r="U114" s="196">
        <v>6.0</v>
      </c>
      <c r="V114" s="154" t="str">
        <f>IFERROR(__xludf.DUMMYFUNCTION("GOOGLETRANSLATE(B114,""zh-tw"",""KO"")"),"너무 무서워요! -1")</f>
        <v>너무 무서워요! -1</v>
      </c>
      <c r="W114" s="155" t="str">
        <f>IFERROR(__xludf.DUMMYFUNCTION("GOOGLETRANSLATE(C114,""zh-tw"",""KO"")"),"""공포 비디오테이프""를 늦은 밤에 사용하세요.
그리고 퍼플 하트 점수가 3점 이상이 되세요.")</f>
        <v>"공포 비디오테이프"를 늦은 밤에 사용하세요.
그리고 퍼플 하트 점수가 3점 이상이 되세요.</v>
      </c>
      <c r="X114" s="156" t="str">
        <f>IFERROR(__xludf.DUMMYFUNCTION("GOOGLETRANSLATE(D114,""zh-tw"",""KO"")"),"선택에 따라 여동생과의 메인 스토리가 진행됩니다.
첫 번째 선택은 강제로 야외에서 진행됩니다.
두 번째 선택은 선택 사항입니다.
세 번째 선택은 선택 사항입니다.
(메인 스토리 진행 시도 횟수는 모든 장면에서 공유되므로 각 장면을 시청하기 전에 저장하는 것이 좋습니다.)")</f>
        <v>선택에 따라 여동생과의 메인 스토리가 진행됩니다.
첫 번째 선택은 강제로 야외에서 진행됩니다.
두 번째 선택은 선택 사항입니다.
세 번째 선택은 선택 사항입니다.
(메인 스토리 진행 시도 횟수는 모든 장면에서 공유되므로 각 장면을 시청하기 전에 저장하는 것이 좋습니다.)</v>
      </c>
      <c r="Y114" s="196">
        <v>6.0</v>
      </c>
      <c r="Z114" s="161" t="s">
        <v>3283</v>
      </c>
      <c r="AA114" s="162" t="s">
        <v>3284</v>
      </c>
      <c r="AB114" s="166" t="s">
        <v>3285</v>
      </c>
      <c r="AC114" s="196">
        <v>6.0</v>
      </c>
      <c r="AD114" s="132" t="s">
        <v>3286</v>
      </c>
      <c r="AE114" s="172" t="s">
        <v>3287</v>
      </c>
      <c r="AF114" s="214" t="s">
        <v>3288</v>
      </c>
      <c r="AG114" s="196">
        <v>6.0</v>
      </c>
      <c r="AH114" s="211" t="s">
        <v>3289</v>
      </c>
      <c r="AI114" s="193" t="s">
        <v>3290</v>
      </c>
      <c r="AJ114" s="215" t="s">
        <v>3291</v>
      </c>
      <c r="AK114" s="196">
        <v>6.0</v>
      </c>
      <c r="AL114" s="154" t="s">
        <v>3292</v>
      </c>
      <c r="AM114" s="141" t="s">
        <v>3293</v>
      </c>
      <c r="AN114" s="140" t="s">
        <v>3294</v>
      </c>
      <c r="AO114" s="196">
        <v>6.0</v>
      </c>
      <c r="AP114" s="116" t="s">
        <v>3295</v>
      </c>
      <c r="AQ114" s="119" t="s">
        <v>3296</v>
      </c>
      <c r="AR114" s="79" t="s">
        <v>3297</v>
      </c>
      <c r="AS114" s="196"/>
      <c r="AT114" s="116"/>
      <c r="AU114" s="119"/>
      <c r="AV114" s="79"/>
      <c r="AW114" s="156"/>
      <c r="AX114" s="156"/>
    </row>
    <row r="115">
      <c r="A115" s="196">
        <v>7.0</v>
      </c>
      <c r="B115" s="216" t="s">
        <v>3298</v>
      </c>
      <c r="C115" s="155" t="s">
        <v>3299</v>
      </c>
      <c r="D115" s="156" t="s">
        <v>3248</v>
      </c>
      <c r="E115" s="196">
        <v>7.0</v>
      </c>
      <c r="F115" s="154" t="s">
        <v>3300</v>
      </c>
      <c r="G115" s="208" t="s">
        <v>3301</v>
      </c>
      <c r="H115" s="210" t="s">
        <v>3302</v>
      </c>
      <c r="I115" s="196">
        <v>7.0</v>
      </c>
      <c r="J115" s="154" t="s">
        <v>3303</v>
      </c>
      <c r="K115" s="165" t="s">
        <v>3304</v>
      </c>
      <c r="L115" s="210" t="s">
        <v>3305</v>
      </c>
      <c r="M115" s="196">
        <v>7.0</v>
      </c>
      <c r="N115" s="154" t="s">
        <v>3306</v>
      </c>
      <c r="O115" s="155" t="s">
        <v>3307</v>
      </c>
      <c r="P115" s="156" t="s">
        <v>3256</v>
      </c>
      <c r="Q115" s="196">
        <v>7.0</v>
      </c>
      <c r="R115" s="154" t="str">
        <f>IFERROR(__xludf.DUMMYFUNCTION("GOOGLETRANSLATE(B115,""zh-tw"",""es-MX"")"),"Hermano, ¿qué están haciendo?")</f>
        <v>Hermano, ¿qué están haciendo?</v>
      </c>
      <c r="S115" s="155" t="str">
        <f>IFERROR(__xludf.DUMMYFUNCTION("GOOGLETRANSLATE(C115,""zh-tw"",""es-MX"")"),"Usar ""videos para adultos"" a altas horas de la noche y tener un nivel bajo de afecto/corazón morado (o cierto nivel de sentimientos positivos)")</f>
        <v>Usar "videos para adultos" a altas horas de la noche y tener un nivel bajo de afecto/corazón morado (o cierto nivel de sentimientos positivos)</v>
      </c>
      <c r="T115" s="156" t="str">
        <f>IFERROR(__xludf.DUMMYFUNCTION("GOOGLETRANSLATE(D115,""zh-tw"",""es-MX"")"),"Trama relacionada con el desencadenante")</f>
        <v>Trama relacionada con el desencadenante</v>
      </c>
      <c r="U115" s="196">
        <v>7.0</v>
      </c>
      <c r="V115" s="154" t="str">
        <f>IFERROR(__xludf.DUMMYFUNCTION("GOOGLETRANSLATE(B115,""zh-tw"",""KO"")"),"형님, 저 사람들 뭐 하고 있는 거예요?")</f>
        <v>형님, 저 사람들 뭐 하고 있는 거예요?</v>
      </c>
      <c r="W115" s="155" t="str">
        <f>IFERROR(__xludf.DUMMYFUNCTION("GOOGLETRANSLATE(C115,""zh-tw"",""KO"")"),"늦은 밤에 ""성인 동영상""을 시청하는 것
그리고 애정도/긍정적인 감정(또는 특정 수준의 긍정적 감정)이 낮은 것")</f>
        <v>늦은 밤에 "성인 동영상"을 시청하는 것
그리고 애정도/긍정적인 감정(또는 특정 수준의 긍정적 감정)이 낮은 것</v>
      </c>
      <c r="X115" s="156" t="str">
        <f>IFERROR(__xludf.DUMMYFUNCTION("GOOGLETRANSLATE(D115,""zh-tw"",""KO"")"),"트리거 관련 플롯")</f>
        <v>트리거 관련 플롯</v>
      </c>
      <c r="Y115" s="196">
        <v>7.0</v>
      </c>
      <c r="Z115" s="122" t="s">
        <v>3308</v>
      </c>
      <c r="AA115" s="217" t="s">
        <v>3309</v>
      </c>
      <c r="AB115" s="218" t="s">
        <v>3310</v>
      </c>
      <c r="AC115" s="196">
        <v>7.0</v>
      </c>
      <c r="AD115" s="132" t="s">
        <v>3311</v>
      </c>
      <c r="AE115" s="208" t="s">
        <v>3312</v>
      </c>
      <c r="AF115" s="210" t="s">
        <v>3313</v>
      </c>
      <c r="AG115" s="196">
        <v>7.0</v>
      </c>
      <c r="AH115" s="219" t="s">
        <v>3314</v>
      </c>
      <c r="AI115" s="220" t="s">
        <v>3315</v>
      </c>
      <c r="AJ115" s="221" t="s">
        <v>3316</v>
      </c>
      <c r="AK115" s="196">
        <v>7.0</v>
      </c>
      <c r="AL115" s="216" t="s">
        <v>3317</v>
      </c>
      <c r="AM115" s="155" t="s">
        <v>3318</v>
      </c>
      <c r="AN115" s="156" t="s">
        <v>3319</v>
      </c>
      <c r="AO115" s="196">
        <v>7.0</v>
      </c>
      <c r="AP115" s="132" t="s">
        <v>3320</v>
      </c>
      <c r="AQ115" s="121" t="s">
        <v>3321</v>
      </c>
      <c r="AR115" s="82" t="s">
        <v>3322</v>
      </c>
      <c r="AS115" s="196"/>
      <c r="AT115" s="132"/>
      <c r="AU115" s="121"/>
      <c r="AV115" s="82"/>
      <c r="AW115" s="222"/>
      <c r="AX115" s="222"/>
    </row>
    <row r="116">
      <c r="A116" s="196">
        <v>8.0</v>
      </c>
      <c r="B116" s="216" t="s">
        <v>3323</v>
      </c>
      <c r="C116" s="155" t="s">
        <v>3324</v>
      </c>
      <c r="D116" s="156" t="s">
        <v>3274</v>
      </c>
      <c r="E116" s="196">
        <v>8.0</v>
      </c>
      <c r="F116" s="154" t="s">
        <v>3325</v>
      </c>
      <c r="G116" s="208" t="s">
        <v>3326</v>
      </c>
      <c r="H116" s="210" t="s">
        <v>3327</v>
      </c>
      <c r="I116" s="196">
        <v>8.0</v>
      </c>
      <c r="J116" s="154" t="s">
        <v>3328</v>
      </c>
      <c r="K116" s="165" t="s">
        <v>3329</v>
      </c>
      <c r="L116" s="210" t="s">
        <v>3330</v>
      </c>
      <c r="M116" s="196">
        <v>8.0</v>
      </c>
      <c r="N116" s="154" t="s">
        <v>3331</v>
      </c>
      <c r="O116" s="155" t="s">
        <v>3332</v>
      </c>
      <c r="P116" s="156" t="s">
        <v>3333</v>
      </c>
      <c r="Q116" s="196">
        <v>8.0</v>
      </c>
      <c r="R116" s="154" t="str">
        <f>IFERROR(__xludf.DUMMYFUNCTION("GOOGLETRANSLATE(B116,""zh-tw"",""es-MX"")"),"Hermano, ¿qué están haciendo? -1")</f>
        <v>Hermano, ¿qué están haciendo? -1</v>
      </c>
      <c r="S116" s="155" t="str">
        <f>IFERROR(__xludf.DUMMYFUNCTION("GOOGLETRANSLATE(C116,""zh-tw"",""es-MX"")"),"Usó ""videos para adultos"" a altas horas de la noche
y tiene un índice de favorabilidad superior a ? y un índice de Corazón Púrpura superior a ?")</f>
        <v>Usó "videos para adultos" a altas horas de la noche
y tiene un índice de favorabilidad superior a ? y un índice de Corazón Púrpura superior a ?</v>
      </c>
      <c r="T116" s="156" t="str">
        <f>IFERROR(__xludf.DUMMYFUNCTION("GOOGLETRANSLATE(D116,""zh-tw"",""es-MX"")"),"Según tus elecciones, se activará la historia principal con tu hermana.
La primera vez es obligatorio estar al aire libre.
La segunda vez es voluntaria.
La tercera vez es opcional.
(El número de intentos para la historia principal se comparte entre to"&amp;"das las escenas, por lo que se recomienda guardar la partida antes de ver cada segmento).")</f>
        <v>Según tus elecciones, se activará la historia principal con tu hermana.
La primera vez es obligatorio estar al aire libre.
La segunda vez es voluntaria.
La tercera vez es opcional.
(El número de intentos para la historia principal se comparte entre todas las escenas, por lo que se recomienda guardar la partida antes de ver cada segmento).</v>
      </c>
      <c r="U116" s="196">
        <v>8.0</v>
      </c>
      <c r="V116" s="154" t="str">
        <f>IFERROR(__xludf.DUMMYFUNCTION("GOOGLETRANSLATE(B116,""zh-tw"",""KO"")"),"형~ 쟤네 뭐 하는 거야? -1")</f>
        <v>형~ 쟤네 뭐 하는 거야? -1</v>
      </c>
      <c r="W116" s="155" t="str">
        <f>IFERROR(__xludf.DUMMYFUNCTION("GOOGLETRANSLATE(C116,""zh-tw"",""KO"")"),"심야에 ""성인 비디오테이프""를 사용했고
호감도와 퍼플 하트 등급이 각각 얼마 이상인지 명시되어 있지 않습니다.")</f>
        <v>심야에 "성인 비디오테이프"를 사용했고
호감도와 퍼플 하트 등급이 각각 얼마 이상인지 명시되어 있지 않습니다.</v>
      </c>
      <c r="X116" s="156" t="str">
        <f>IFERROR(__xludf.DUMMYFUNCTION("GOOGLETRANSLATE(D116,""zh-tw"",""KO"")"),"선택에 따라 여동생과의 메인 스토리가 진행됩니다.
첫 번째 선택은 강제로 야외에서 진행됩니다.
두 번째 선택은 선택 사항입니다.
세 번째 선택은 선택 사항입니다.
(메인 스토리 진행 시도 횟수는 모든 장면에서 공유되므로 각 장면을 시청하기 전에 저장하는 것이 좋습니다.)")</f>
        <v>선택에 따라 여동생과의 메인 스토리가 진행됩니다.
첫 번째 선택은 강제로 야외에서 진행됩니다.
두 번째 선택은 선택 사항입니다.
세 번째 선택은 선택 사항입니다.
(메인 스토리 진행 시도 횟수는 모든 장면에서 공유되므로 각 장면을 시청하기 전에 저장하는 것이 좋습니다.)</v>
      </c>
      <c r="Y116" s="196">
        <v>8.0</v>
      </c>
      <c r="Z116" s="122" t="s">
        <v>3334</v>
      </c>
      <c r="AA116" s="217" t="s">
        <v>3335</v>
      </c>
      <c r="AB116" s="218" t="s">
        <v>3336</v>
      </c>
      <c r="AC116" s="196">
        <v>8.0</v>
      </c>
      <c r="AD116" s="132" t="s">
        <v>3337</v>
      </c>
      <c r="AE116" s="208" t="s">
        <v>3338</v>
      </c>
      <c r="AF116" s="210" t="s">
        <v>3288</v>
      </c>
      <c r="AG116" s="196">
        <v>8.0</v>
      </c>
      <c r="AH116" s="219" t="s">
        <v>3339</v>
      </c>
      <c r="AI116" s="220" t="s">
        <v>3340</v>
      </c>
      <c r="AJ116" s="223" t="s">
        <v>3341</v>
      </c>
      <c r="AK116" s="196">
        <v>8.0</v>
      </c>
      <c r="AL116" s="216" t="s">
        <v>3342</v>
      </c>
      <c r="AM116" s="155" t="s">
        <v>3343</v>
      </c>
      <c r="AN116" s="156" t="s">
        <v>3344</v>
      </c>
      <c r="AO116" s="196">
        <v>8.0</v>
      </c>
      <c r="AP116" s="132" t="s">
        <v>3345</v>
      </c>
      <c r="AQ116" s="121" t="s">
        <v>3346</v>
      </c>
      <c r="AR116" s="82" t="s">
        <v>3347</v>
      </c>
      <c r="AS116" s="196"/>
      <c r="AT116" s="132"/>
      <c r="AU116" s="121"/>
      <c r="AV116" s="82"/>
      <c r="AW116" s="222"/>
      <c r="AX116" s="222"/>
    </row>
    <row r="117">
      <c r="A117" s="196">
        <v>9.0</v>
      </c>
      <c r="B117" s="216" t="s">
        <v>3348</v>
      </c>
      <c r="C117" s="155" t="s">
        <v>3349</v>
      </c>
      <c r="D117" s="156" t="s">
        <v>3350</v>
      </c>
      <c r="E117" s="196">
        <v>9.0</v>
      </c>
      <c r="F117" s="154" t="s">
        <v>3351</v>
      </c>
      <c r="G117" s="208" t="s">
        <v>3352</v>
      </c>
      <c r="H117" s="177" t="s">
        <v>3353</v>
      </c>
      <c r="I117" s="196">
        <v>9.0</v>
      </c>
      <c r="J117" s="154" t="s">
        <v>3354</v>
      </c>
      <c r="K117" s="172" t="s">
        <v>3355</v>
      </c>
      <c r="L117" s="210" t="s">
        <v>3356</v>
      </c>
      <c r="M117" s="196">
        <v>9.0</v>
      </c>
      <c r="N117" s="154" t="s">
        <v>3357</v>
      </c>
      <c r="O117" s="155" t="s">
        <v>3358</v>
      </c>
      <c r="P117" s="156" t="s">
        <v>3359</v>
      </c>
      <c r="Q117" s="196">
        <v>9.0</v>
      </c>
      <c r="R117" s="154" t="str">
        <f>IFERROR(__xludf.DUMMYFUNCTION("GOOGLETRANSLATE(B117,""zh-tw"",""es-MX"")"),"Dormir juntos")</f>
        <v>Dormir juntos</v>
      </c>
      <c r="S117" s="155" t="str">
        <f>IFERROR(__xludf.DUMMYFUNCTION("GOOGLETRANSLATE(C117,""zh-tw"",""es-MX"")"),"Usar ""videos para adultos"" a altas horas de la noche y hacer continuamente cosas que disfrutas hasta altas horas de la noche, y actualmente acumular al menos ""2"" corazones blancos (no dos corazones blancos, los casos anteriores no se cuentan).")</f>
        <v>Usar "videos para adultos" a altas horas de la noche y hacer continuamente cosas que disfrutas hasta altas horas de la noche, y actualmente acumular al menos "2" corazones blancos (no dos corazones blancos, los casos anteriores no se cuentan).</v>
      </c>
      <c r="T117" s="156" t="str">
        <f>IFERROR(__xludf.DUMMYFUNCTION("GOOGLETRANSLATE(D117,""zh-tw"",""es-MX"")"),"Si es la primera vez que ocurre este evento, se activará el segundo sueño del hermano (este sueño solo aparece una vez).
Además, si la hermana ha cambiado su nombre y coincide con la palabra clave ""hermana"", aparecerá un diálogo adicional:
(El título "&amp;"en pantalla no es ""novia"", sino ""hermana"").")</f>
        <v>Si es la primera vez que ocurre este evento, se activará el segundo sueño del hermano (este sueño solo aparece una vez).
Además, si la hermana ha cambiado su nombre y coincide con la palabra clave "hermana", aparecerá un diálogo adicional:
(El título en pantalla no es "novia", sino "hermana").</v>
      </c>
      <c r="U117" s="196">
        <v>9.0</v>
      </c>
      <c r="V117" s="154" t="str">
        <f>IFERROR(__xludf.DUMMYFUNCTION("GOOGLETRANSLATE(B117,""zh-tw"",""KO"")"),"함께 잠자기")</f>
        <v>함께 잠자기</v>
      </c>
      <c r="W117" s="155" t="str">
        <f>IFERROR(__xludf.DUMMYFUNCTION("GOOGLETRANSLATE(C117,""zh-tw"",""KO"")"),"심야에 ""성인 동영상""을 시청하고, 밤늦게까지 좋아하는 활동을 계속하며, 현재 흰색 하트를 최소 2개 이상(이전의 경우는 포함되지 않음) 보유하고 있는 경우.")</f>
        <v>심야에 "성인 동영상"을 시청하고, 밤늦게까지 좋아하는 활동을 계속하며, 현재 흰색 하트를 최소 2개 이상(이전의 경우는 포함되지 않음) 보유하고 있는 경우.</v>
      </c>
      <c r="X117" s="156" t="str">
        <f>IFERROR(__xludf.DUMMYFUNCTION("GOOGLETRANSLATE(D117,""zh-tw"",""KO"")"),"이 사건이 처음 발생한 경우, 오빠의 두 번째 꿈이 나타납니다 (이 꿈은 한 번만 나타납니다).
또한, 여동생이 이름을 바꾸고 ""여동생""이라는 키워드와 일치하는 경우, 추가 대화가 표시됩니다.
(타이틀 화면의 이름은 ""여자친구""가 아니라 ""여동생""입니다.)")</f>
        <v>이 사건이 처음 발생한 경우, 오빠의 두 번째 꿈이 나타납니다 (이 꿈은 한 번만 나타납니다).
또한, 여동생이 이름을 바꾸고 "여동생"이라는 키워드와 일치하는 경우, 추가 대화가 표시됩니다.
(타이틀 화면의 이름은 "여자친구"가 아니라 "여동생"입니다.)</v>
      </c>
      <c r="Y117" s="196">
        <v>9.0</v>
      </c>
      <c r="Z117" s="122" t="s">
        <v>3360</v>
      </c>
      <c r="AA117" s="217" t="s">
        <v>3361</v>
      </c>
      <c r="AB117" s="218" t="s">
        <v>3362</v>
      </c>
      <c r="AC117" s="196">
        <v>9.0</v>
      </c>
      <c r="AD117" s="132" t="s">
        <v>3363</v>
      </c>
      <c r="AE117" s="172" t="s">
        <v>3364</v>
      </c>
      <c r="AF117" s="210" t="s">
        <v>3365</v>
      </c>
      <c r="AG117" s="196">
        <v>9.0</v>
      </c>
      <c r="AH117" s="224" t="s">
        <v>3366</v>
      </c>
      <c r="AI117" s="225" t="s">
        <v>3367</v>
      </c>
      <c r="AJ117" s="223" t="s">
        <v>3368</v>
      </c>
      <c r="AK117" s="196">
        <v>9.0</v>
      </c>
      <c r="AL117" s="219" t="s">
        <v>3369</v>
      </c>
      <c r="AM117" s="155" t="s">
        <v>3370</v>
      </c>
      <c r="AN117" s="156" t="s">
        <v>3371</v>
      </c>
      <c r="AO117" s="196">
        <v>9.0</v>
      </c>
      <c r="AP117" s="132" t="s">
        <v>3372</v>
      </c>
      <c r="AQ117" s="121" t="s">
        <v>3373</v>
      </c>
      <c r="AR117" s="82" t="s">
        <v>3374</v>
      </c>
      <c r="AS117" s="196"/>
      <c r="AT117" s="132"/>
      <c r="AU117" s="121"/>
      <c r="AV117" s="82"/>
      <c r="AW117" s="222"/>
      <c r="AX117" s="222"/>
    </row>
    <row r="118">
      <c r="A118" s="196">
        <v>10.0</v>
      </c>
      <c r="B118" s="216" t="s">
        <v>3375</v>
      </c>
      <c r="C118" s="155" t="s">
        <v>3376</v>
      </c>
      <c r="D118" s="156" t="s">
        <v>3377</v>
      </c>
      <c r="E118" s="196">
        <v>10.0</v>
      </c>
      <c r="F118" s="154" t="s">
        <v>3378</v>
      </c>
      <c r="G118" s="208" t="s">
        <v>3379</v>
      </c>
      <c r="H118" s="177" t="s">
        <v>3380</v>
      </c>
      <c r="I118" s="196">
        <v>10.0</v>
      </c>
      <c r="J118" s="154" t="s">
        <v>3354</v>
      </c>
      <c r="K118" s="172" t="s">
        <v>3381</v>
      </c>
      <c r="L118" s="210" t="s">
        <v>3382</v>
      </c>
      <c r="M118" s="196">
        <v>10.0</v>
      </c>
      <c r="N118" s="154" t="str">
        <f>IFERROR(__xludf.DUMMYFUNCTION("GOOGLETRANSLATE(B118,""zh-tw"",""zh"")"),"一起睡吧")</f>
        <v>一起睡吧</v>
      </c>
      <c r="O118" s="155" t="str">
        <f>IFERROR(__xludf.DUMMYFUNCTION("GOOGLETRANSLATE(C118,""zh-tw"",""zh"")"),"客厅成人录影带事件里，和妹妹运动结束后，刚好到睡觉时间")</f>
        <v>客厅成人录影带事件里，和妹妹运动结束后，刚好到睡觉时间</v>
      </c>
      <c r="P118" s="156" t="str">
        <f>IFERROR(__xludf.DUMMYFUNCTION("GOOGLETRANSLATE(D118,""zh-tw"",""zh"")"),"哥哥比妹妹早醒，进行剧情")</f>
        <v>哥哥比妹妹早醒，进行剧情</v>
      </c>
      <c r="Q118" s="196">
        <v>10.0</v>
      </c>
      <c r="R118" s="154" t="str">
        <f>IFERROR(__xludf.DUMMYFUNCTION("GOOGLETRANSLATE(B118,""zh-tw"",""es-MX"")"),"Vamos a dormir juntos")</f>
        <v>Vamos a dormir juntos</v>
      </c>
      <c r="S118" s="155" t="str">
        <f>IFERROR(__xludf.DUMMYFUNCTION("GOOGLETRANSLATE(C118,""zh-tw"",""es-MX"")"),"En el incidente del vídeo para adultos en el salón, después de hacer ejercicio con su hermana, ya era hora de acostarse.")</f>
        <v>En el incidente del vídeo para adultos en el salón, después de hacer ejercicio con su hermana, ya era hora de acostarse.</v>
      </c>
      <c r="T118" s="156" t="str">
        <f>IFERROR(__xludf.DUMMYFUNCTION("GOOGLETRANSLATE(D118,""zh-tw"",""es-MX"")"),"El hermano mayor se despierta antes que su hermana menor, y así comienza la historia.")</f>
        <v>El hermano mayor se despierta antes que su hermana menor, y así comienza la historia.</v>
      </c>
      <c r="U118" s="196">
        <v>10.0</v>
      </c>
      <c r="V118" s="154" t="str">
        <f>IFERROR(__xludf.DUMMYFUNCTION("GOOGLETRANSLATE(B118,""zh-tw"",""KO"")"),"같이 자자")</f>
        <v>같이 자자</v>
      </c>
      <c r="W118" s="155" t="str">
        <f>IFERROR(__xludf.DUMMYFUNCTION("GOOGLETRANSLATE(C118,""zh-tw"",""KO"")"),"거실에서 성인 비디오를 보던 중 발생한 사건에서, 그는 여동생과 운동을 마친 후 막 잠자리에 들려던 참이었다.")</f>
        <v>거실에서 성인 비디오를 보던 중 발생한 사건에서, 그는 여동생과 운동을 마친 후 막 잠자리에 들려던 참이었다.</v>
      </c>
      <c r="X118" s="156" t="str">
        <f>IFERROR(__xludf.DUMMYFUNCTION("GOOGLETRANSLATE(D118,""zh-tw"",""KO"")"),"오빠는 여동생보다 먼저 잠에서 깨어나고, 이야기는 그렇게 시작됩니다.")</f>
        <v>오빠는 여동생보다 먼저 잠에서 깨어나고, 이야기는 그렇게 시작됩니다.</v>
      </c>
      <c r="Y118" s="196">
        <v>10.0</v>
      </c>
      <c r="Z118" s="122" t="s">
        <v>3383</v>
      </c>
      <c r="AA118" s="217" t="s">
        <v>3384</v>
      </c>
      <c r="AB118" s="218" t="s">
        <v>3385</v>
      </c>
      <c r="AC118" s="196">
        <v>10.0</v>
      </c>
      <c r="AD118" s="132" t="s">
        <v>3386</v>
      </c>
      <c r="AE118" s="172" t="s">
        <v>3387</v>
      </c>
      <c r="AF118" s="210" t="s">
        <v>3388</v>
      </c>
      <c r="AG118" s="196">
        <v>10.0</v>
      </c>
      <c r="AH118" s="224" t="s">
        <v>3389</v>
      </c>
      <c r="AI118" s="225" t="s">
        <v>3390</v>
      </c>
      <c r="AJ118" s="223" t="s">
        <v>3391</v>
      </c>
      <c r="AK118" s="196">
        <v>10.0</v>
      </c>
      <c r="AL118" s="219" t="s">
        <v>3392</v>
      </c>
      <c r="AM118" s="155" t="s">
        <v>3393</v>
      </c>
      <c r="AN118" s="156" t="s">
        <v>3394</v>
      </c>
      <c r="AO118" s="196">
        <v>10.0</v>
      </c>
      <c r="AP118" s="132" t="s">
        <v>3372</v>
      </c>
      <c r="AQ118" s="121" t="s">
        <v>3395</v>
      </c>
      <c r="AR118" s="82" t="s">
        <v>3396</v>
      </c>
      <c r="AS118" s="196"/>
      <c r="AT118" s="132"/>
      <c r="AU118" s="121"/>
      <c r="AV118" s="82"/>
      <c r="AW118" s="222"/>
      <c r="AX118" s="222"/>
    </row>
    <row r="119">
      <c r="A119" s="196">
        <v>11.0</v>
      </c>
      <c r="B119" s="216" t="s">
        <v>3397</v>
      </c>
      <c r="C119" s="155" t="s">
        <v>3398</v>
      </c>
      <c r="D119" s="156" t="s">
        <v>3399</v>
      </c>
      <c r="E119" s="196">
        <v>11.0</v>
      </c>
      <c r="F119" s="154" t="s">
        <v>3400</v>
      </c>
      <c r="G119" s="208" t="s">
        <v>3398</v>
      </c>
      <c r="H119" s="177" t="s">
        <v>3401</v>
      </c>
      <c r="I119" s="196">
        <v>11.0</v>
      </c>
      <c r="J119" s="154" t="s">
        <v>3402</v>
      </c>
      <c r="K119" s="172" t="s">
        <v>3403</v>
      </c>
      <c r="L119" s="210" t="s">
        <v>3404</v>
      </c>
      <c r="M119" s="196">
        <v>11.0</v>
      </c>
      <c r="N119" s="154" t="str">
        <f>IFERROR(__xludf.DUMMYFUNCTION("GOOGLETRANSLATE(B119,""zh-tw"",""zh"")"),"一起睡吧-1")</f>
        <v>一起睡吧-1</v>
      </c>
      <c r="O119" s="155" t="str">
        <f>IFERROR(__xludf.DUMMYFUNCTION("GOOGLETRANSLATE(C119,""zh-tw"",""zh"")"),"同上")</f>
        <v>同上</v>
      </c>
      <c r="P119" s="156" t="str">
        <f>IFERROR(__xludf.DUMMYFUNCTION("GOOGLETRANSLATE(D119,""zh-tw"",""zh"")"),"同上
分支-妹妹比哥哥早醒，进行剧情")</f>
        <v>同上
分支-妹妹比哥哥早醒，进行剧情</v>
      </c>
      <c r="Q119" s="196">
        <v>11.0</v>
      </c>
      <c r="R119" s="154" t="str">
        <f>IFERROR(__xludf.DUMMYFUNCTION("GOOGLETRANSLATE(B119,""zh-tw"",""es-MX"")"),"Vamos a dormir juntos - 1")</f>
        <v>Vamos a dormir juntos - 1</v>
      </c>
      <c r="S119" s="155" t="str">
        <f>IFERROR(__xludf.DUMMYFUNCTION("GOOGLETRANSLATE(C119,""zh-tw"",""es-MX"")"),"Igual que lo anterior")</f>
        <v>Igual que lo anterior</v>
      </c>
      <c r="T119" s="156" t="str">
        <f>IFERROR(__xludf.DUMMYFUNCTION("GOOGLETRANSLATE(D119,""zh-tw"",""es-MX"")"),"Igual que lo anterior. Punto de inflexión: la hermana menor se despierta antes que el hermano mayor, lo que desencadena la historia.")</f>
        <v>Igual que lo anterior. Punto de inflexión: la hermana menor se despierta antes que el hermano mayor, lo que desencadena la historia.</v>
      </c>
      <c r="U119" s="196">
        <v>11.0</v>
      </c>
      <c r="V119" s="154" t="str">
        <f>IFERROR(__xludf.DUMMYFUNCTION("GOOGLETRANSLATE(B119,""zh-tw"",""KO"")"),"같이 자자 - 1")</f>
        <v>같이 자자 - 1</v>
      </c>
      <c r="W119" s="155" t="str">
        <f>IFERROR(__xludf.DUMMYFUNCTION("GOOGLETRANSLATE(C119,""zh-tw"",""KO"")"),"위와 동일")</f>
        <v>위와 동일</v>
      </c>
      <c r="X119" s="156" t="str">
        <f>IFERROR(__xludf.DUMMYFUNCTION("GOOGLETRANSLATE(D119,""zh-tw"",""KO"")"),"위와 동일합니다. 분기점 - 여동생이 오빠보다 먼저 깨어나면서 이야기가 시작됩니다.")</f>
        <v>위와 동일합니다. 분기점 - 여동생이 오빠보다 먼저 깨어나면서 이야기가 시작됩니다.</v>
      </c>
      <c r="Y119" s="196">
        <v>11.0</v>
      </c>
      <c r="Z119" s="122" t="s">
        <v>3405</v>
      </c>
      <c r="AA119" s="217" t="s">
        <v>3406</v>
      </c>
      <c r="AB119" s="218" t="s">
        <v>3407</v>
      </c>
      <c r="AC119" s="196">
        <v>11.0</v>
      </c>
      <c r="AD119" s="132" t="s">
        <v>3408</v>
      </c>
      <c r="AE119" s="172" t="s">
        <v>3409</v>
      </c>
      <c r="AF119" s="210" t="s">
        <v>3410</v>
      </c>
      <c r="AG119" s="196">
        <v>11.0</v>
      </c>
      <c r="AH119" s="224" t="s">
        <v>3411</v>
      </c>
      <c r="AI119" s="225" t="s">
        <v>3412</v>
      </c>
      <c r="AJ119" s="223" t="s">
        <v>3413</v>
      </c>
      <c r="AK119" s="196">
        <v>11.0</v>
      </c>
      <c r="AL119" s="219" t="s">
        <v>3414</v>
      </c>
      <c r="AM119" s="155" t="s">
        <v>3415</v>
      </c>
      <c r="AN119" s="156" t="s">
        <v>3416</v>
      </c>
      <c r="AO119" s="196">
        <v>11.0</v>
      </c>
      <c r="AP119" s="132" t="s">
        <v>3402</v>
      </c>
      <c r="AQ119" s="121" t="s">
        <v>3417</v>
      </c>
      <c r="AR119" s="82" t="s">
        <v>3418</v>
      </c>
      <c r="AS119" s="196"/>
      <c r="AT119" s="132"/>
      <c r="AU119" s="121"/>
      <c r="AV119" s="82"/>
      <c r="AW119" s="222"/>
      <c r="AX119" s="222"/>
    </row>
    <row r="120">
      <c r="A120" s="8"/>
      <c r="B120" s="70"/>
      <c r="C120" s="70"/>
      <c r="D120" s="70"/>
      <c r="E120" s="8"/>
      <c r="F120" s="70"/>
      <c r="G120" s="70"/>
      <c r="H120" s="70"/>
      <c r="I120" s="8"/>
      <c r="J120" s="70"/>
      <c r="K120" s="70"/>
      <c r="L120" s="70"/>
      <c r="M120" s="8"/>
      <c r="N120" s="70"/>
      <c r="O120" s="70"/>
      <c r="P120" s="70"/>
      <c r="Q120" s="8"/>
      <c r="R120" s="70"/>
      <c r="S120" s="70"/>
      <c r="T120" s="70"/>
      <c r="U120" s="8"/>
      <c r="V120" s="70"/>
      <c r="W120" s="70"/>
      <c r="X120" s="70"/>
      <c r="Y120" s="200"/>
      <c r="Z120" s="195"/>
      <c r="AA120" s="195"/>
      <c r="AB120" s="195"/>
      <c r="AC120" s="8"/>
      <c r="AD120" s="70"/>
      <c r="AE120" s="70"/>
      <c r="AF120" s="70"/>
      <c r="AG120" s="201"/>
      <c r="AH120" s="202"/>
      <c r="AI120" s="201"/>
      <c r="AJ120" s="201"/>
      <c r="AK120" s="70"/>
      <c r="AL120" s="70"/>
      <c r="AM120" s="70"/>
      <c r="AN120" s="70"/>
      <c r="AO120" s="70"/>
      <c r="AP120" s="70"/>
      <c r="AQ120" s="70"/>
      <c r="AR120" s="70"/>
      <c r="AS120" s="70"/>
      <c r="AT120" s="70"/>
      <c r="AU120" s="70"/>
      <c r="AV120" s="70"/>
      <c r="AW120" s="70"/>
      <c r="AX120" s="70"/>
    </row>
    <row r="121">
      <c r="A121" s="111" t="s">
        <v>3419</v>
      </c>
      <c r="B121" s="203" t="s">
        <v>3420</v>
      </c>
      <c r="E121" s="111" t="s">
        <v>3419</v>
      </c>
      <c r="F121" s="111" t="s">
        <v>3421</v>
      </c>
      <c r="I121" s="111" t="s">
        <v>3419</v>
      </c>
      <c r="J121" s="111" t="s">
        <v>3422</v>
      </c>
      <c r="M121" s="111" t="s">
        <v>3419</v>
      </c>
      <c r="N121" s="111" t="str">
        <f>IFERROR(__xludf.DUMMYFUNCTION("GOOGLETRANSLATE(B121,""zh-tw"",""zh"")"),"夜袭相关")</f>
        <v>夜袭相关</v>
      </c>
      <c r="Q121" s="111" t="s">
        <v>3419</v>
      </c>
      <c r="R121" s="111" t="s">
        <v>3423</v>
      </c>
      <c r="U121" s="111" t="s">
        <v>3419</v>
      </c>
      <c r="V121" s="111" t="s">
        <v>3424</v>
      </c>
      <c r="Y121" s="112" t="s">
        <v>3419</v>
      </c>
      <c r="Z121" s="112" t="s">
        <v>3425</v>
      </c>
      <c r="AC121" s="111" t="s">
        <v>3419</v>
      </c>
      <c r="AD121" s="187" t="s">
        <v>3426</v>
      </c>
      <c r="AG121" s="188" t="s">
        <v>3419</v>
      </c>
      <c r="AH121" s="188" t="s">
        <v>3427</v>
      </c>
      <c r="AK121" s="111" t="s">
        <v>3419</v>
      </c>
      <c r="AL121" s="112" t="s">
        <v>3428</v>
      </c>
      <c r="AO121" s="111" t="s">
        <v>3419</v>
      </c>
      <c r="AP121" s="111" t="s">
        <v>3429</v>
      </c>
      <c r="AS121" s="111"/>
      <c r="AT121" s="111"/>
      <c r="AW121" s="203"/>
      <c r="AX121" s="203"/>
    </row>
    <row r="122">
      <c r="A122" s="153">
        <v>1.0</v>
      </c>
      <c r="B122" s="120" t="s">
        <v>3430</v>
      </c>
      <c r="C122" s="119" t="s">
        <v>3431</v>
      </c>
      <c r="D122" s="79" t="s">
        <v>3432</v>
      </c>
      <c r="E122" s="196"/>
      <c r="F122" s="120" t="s">
        <v>3433</v>
      </c>
      <c r="G122" s="119" t="s">
        <v>3434</v>
      </c>
      <c r="H122" s="79" t="s">
        <v>3435</v>
      </c>
      <c r="I122" s="196"/>
      <c r="J122" s="120" t="s">
        <v>3436</v>
      </c>
      <c r="K122" s="119" t="s">
        <v>3437</v>
      </c>
      <c r="L122" s="79" t="s">
        <v>3438</v>
      </c>
      <c r="M122" s="153">
        <v>1.0</v>
      </c>
      <c r="N122" s="120" t="s">
        <v>3439</v>
      </c>
      <c r="O122" s="119" t="s">
        <v>3440</v>
      </c>
      <c r="P122" s="79" t="s">
        <v>3441</v>
      </c>
      <c r="Q122" s="196"/>
      <c r="R122" s="120"/>
      <c r="S122" s="119"/>
      <c r="T122" s="79"/>
      <c r="U122" s="196"/>
      <c r="V122" s="132"/>
      <c r="W122" s="121"/>
      <c r="X122" s="82"/>
      <c r="Y122" s="196"/>
      <c r="Z122" s="161"/>
      <c r="AA122" s="162"/>
      <c r="AB122" s="142"/>
      <c r="AC122" s="196"/>
      <c r="AD122" s="132"/>
      <c r="AE122" s="121"/>
      <c r="AF122" s="82"/>
      <c r="AG122" s="197"/>
      <c r="AH122" s="147" t="s">
        <v>3442</v>
      </c>
      <c r="AI122" s="149" t="s">
        <v>3443</v>
      </c>
      <c r="AJ122" s="146" t="s">
        <v>3444</v>
      </c>
      <c r="AK122" s="196"/>
      <c r="AL122" s="154"/>
      <c r="AM122" s="155"/>
      <c r="AN122" s="156"/>
      <c r="AO122" s="196"/>
      <c r="AP122" s="116"/>
      <c r="AQ122" s="119"/>
      <c r="AR122" s="79"/>
      <c r="AS122" s="196"/>
      <c r="AT122" s="116"/>
      <c r="AU122" s="119"/>
      <c r="AV122" s="79"/>
      <c r="AW122" s="82"/>
      <c r="AX122" s="82"/>
    </row>
    <row r="123">
      <c r="A123" s="153">
        <v>2.0</v>
      </c>
      <c r="B123" s="132"/>
      <c r="C123" s="119" t="s">
        <v>3445</v>
      </c>
      <c r="D123" s="79" t="s">
        <v>3446</v>
      </c>
      <c r="E123" s="196"/>
      <c r="F123" s="132"/>
      <c r="G123" s="119" t="s">
        <v>3447</v>
      </c>
      <c r="H123" s="79" t="s">
        <v>3448</v>
      </c>
      <c r="I123" s="196"/>
      <c r="J123" s="132"/>
      <c r="K123" s="119" t="s">
        <v>3449</v>
      </c>
      <c r="L123" s="79" t="s">
        <v>3450</v>
      </c>
      <c r="M123" s="153">
        <v>2.0</v>
      </c>
      <c r="N123" s="132"/>
      <c r="O123" s="119" t="s">
        <v>3451</v>
      </c>
      <c r="P123" s="79" t="s">
        <v>3452</v>
      </c>
      <c r="Q123" s="196"/>
      <c r="R123" s="120"/>
      <c r="S123" s="119"/>
      <c r="T123" s="79"/>
      <c r="U123" s="196"/>
      <c r="V123" s="132"/>
      <c r="W123" s="121"/>
      <c r="X123" s="82"/>
      <c r="Y123" s="196"/>
      <c r="Z123" s="161"/>
      <c r="AA123" s="162"/>
      <c r="AB123" s="142"/>
      <c r="AC123" s="196"/>
      <c r="AD123" s="132"/>
      <c r="AE123" s="121"/>
      <c r="AF123" s="82"/>
      <c r="AG123" s="197"/>
      <c r="AH123" s="198"/>
      <c r="AI123" s="149" t="s">
        <v>3453</v>
      </c>
      <c r="AJ123" s="146" t="s">
        <v>3450</v>
      </c>
      <c r="AK123" s="196"/>
      <c r="AL123" s="154"/>
      <c r="AM123" s="155"/>
      <c r="AN123" s="156"/>
      <c r="AO123" s="196"/>
      <c r="AP123" s="116"/>
      <c r="AQ123" s="119"/>
      <c r="AR123" s="79"/>
      <c r="AS123" s="196"/>
      <c r="AT123" s="116"/>
      <c r="AU123" s="119"/>
      <c r="AV123" s="79"/>
      <c r="AW123" s="82"/>
      <c r="AX123" s="82"/>
    </row>
    <row r="124">
      <c r="A124" s="8"/>
      <c r="B124" s="70"/>
      <c r="C124" s="70"/>
      <c r="D124" s="70"/>
      <c r="E124" s="8"/>
      <c r="F124" s="70"/>
      <c r="G124" s="70"/>
      <c r="H124" s="70"/>
      <c r="I124" s="8"/>
      <c r="J124" s="70"/>
      <c r="K124" s="70"/>
      <c r="L124" s="70"/>
      <c r="M124" s="8"/>
      <c r="N124" s="70"/>
      <c r="O124" s="226"/>
      <c r="P124" s="70"/>
      <c r="Q124" s="8"/>
      <c r="R124" s="70"/>
      <c r="S124" s="70"/>
      <c r="T124" s="70"/>
      <c r="U124" s="8"/>
      <c r="V124" s="70"/>
      <c r="W124" s="70"/>
      <c r="X124" s="70"/>
      <c r="Y124" s="200"/>
      <c r="Z124" s="195"/>
      <c r="AA124" s="195"/>
      <c r="AB124" s="195"/>
      <c r="AC124" s="8"/>
      <c r="AD124" s="70"/>
      <c r="AE124" s="70"/>
      <c r="AF124" s="70"/>
      <c r="AG124" s="201"/>
      <c r="AH124" s="202"/>
      <c r="AI124" s="201"/>
      <c r="AJ124" s="201"/>
      <c r="AK124" s="70"/>
      <c r="AL124" s="70"/>
      <c r="AM124" s="70"/>
      <c r="AN124" s="227" t="s">
        <v>3454</v>
      </c>
      <c r="AO124" s="70"/>
      <c r="AP124" s="70"/>
      <c r="AQ124" s="70"/>
      <c r="AR124" s="70"/>
      <c r="AS124" s="70"/>
      <c r="AT124" s="70"/>
      <c r="AU124" s="70"/>
      <c r="AV124" s="70"/>
      <c r="AW124" s="70"/>
      <c r="AX124" s="70"/>
    </row>
    <row r="125">
      <c r="A125" s="8"/>
      <c r="B125" s="70"/>
      <c r="C125" s="70"/>
      <c r="D125" s="70"/>
      <c r="E125" s="8"/>
      <c r="F125" s="70"/>
      <c r="G125" s="70"/>
      <c r="H125" s="70"/>
      <c r="I125" s="8"/>
      <c r="J125" s="70"/>
      <c r="K125" s="70"/>
      <c r="L125" s="70"/>
      <c r="M125" s="8"/>
      <c r="N125" s="70"/>
      <c r="O125" s="70"/>
      <c r="P125" s="70"/>
      <c r="Q125" s="8"/>
      <c r="R125" s="70"/>
      <c r="S125" s="70"/>
      <c r="T125" s="70"/>
      <c r="U125" s="8"/>
      <c r="V125" s="70"/>
      <c r="W125" s="70"/>
      <c r="X125" s="70"/>
      <c r="Y125" s="200"/>
      <c r="Z125" s="195"/>
      <c r="AA125" s="195"/>
      <c r="AB125" s="195"/>
      <c r="AC125" s="8"/>
      <c r="AD125" s="70"/>
      <c r="AE125" s="70"/>
      <c r="AF125" s="70"/>
      <c r="AG125" s="201"/>
      <c r="AH125" s="202"/>
      <c r="AI125" s="201"/>
      <c r="AJ125" s="201"/>
      <c r="AK125" s="70"/>
      <c r="AL125" s="70"/>
      <c r="AM125" s="70"/>
      <c r="AN125" s="70"/>
      <c r="AO125" s="70"/>
      <c r="AP125" s="70"/>
      <c r="AQ125" s="70"/>
      <c r="AR125" s="70"/>
      <c r="AS125" s="70"/>
      <c r="AT125" s="70"/>
      <c r="AU125" s="70"/>
      <c r="AV125" s="70"/>
      <c r="AW125" s="70"/>
      <c r="AX125" s="70"/>
    </row>
    <row r="126">
      <c r="A126" s="8"/>
      <c r="B126" s="70"/>
      <c r="C126" s="70"/>
      <c r="D126" s="70"/>
      <c r="E126" s="8"/>
      <c r="F126" s="70"/>
      <c r="G126" s="70"/>
      <c r="H126" s="70"/>
      <c r="I126" s="8"/>
      <c r="J126" s="70"/>
      <c r="K126" s="70"/>
      <c r="L126" s="70"/>
      <c r="M126" s="8"/>
      <c r="N126" s="70"/>
      <c r="O126" s="70"/>
      <c r="P126" s="70"/>
      <c r="Q126" s="8"/>
      <c r="R126" s="70"/>
      <c r="S126" s="70"/>
      <c r="T126" s="70"/>
      <c r="U126" s="8"/>
      <c r="V126" s="70"/>
      <c r="W126" s="70"/>
      <c r="X126" s="70"/>
      <c r="Y126" s="200"/>
      <c r="Z126" s="195"/>
      <c r="AA126" s="195"/>
      <c r="AB126" s="195"/>
      <c r="AC126" s="8"/>
      <c r="AD126" s="70"/>
      <c r="AE126" s="70"/>
      <c r="AF126" s="70"/>
      <c r="AG126" s="201"/>
      <c r="AH126" s="202"/>
      <c r="AI126" s="201"/>
      <c r="AJ126" s="201"/>
      <c r="AK126" s="70"/>
      <c r="AL126" s="70"/>
      <c r="AM126" s="70"/>
      <c r="AN126" s="70"/>
      <c r="AO126" s="70"/>
      <c r="AP126" s="70"/>
      <c r="AQ126" s="70"/>
      <c r="AR126" s="70"/>
      <c r="AS126" s="70"/>
      <c r="AT126" s="70"/>
      <c r="AU126" s="70"/>
      <c r="AV126" s="70"/>
      <c r="AW126" s="70"/>
      <c r="AX126" s="70"/>
    </row>
    <row r="127">
      <c r="A127" s="8"/>
      <c r="B127" s="70"/>
      <c r="C127" s="70"/>
      <c r="D127" s="70"/>
      <c r="E127" s="8"/>
      <c r="F127" s="70"/>
      <c r="G127" s="70"/>
      <c r="H127" s="70"/>
      <c r="I127" s="8"/>
      <c r="J127" s="70"/>
      <c r="K127" s="70"/>
      <c r="L127" s="70"/>
      <c r="M127" s="8"/>
      <c r="N127" s="70"/>
      <c r="O127" s="70"/>
      <c r="P127" s="70"/>
      <c r="Q127" s="8"/>
      <c r="R127" s="70"/>
      <c r="S127" s="70"/>
      <c r="T127" s="70"/>
      <c r="U127" s="8"/>
      <c r="V127" s="70"/>
      <c r="W127" s="70"/>
      <c r="X127" s="70"/>
      <c r="Y127" s="200"/>
      <c r="Z127" s="195"/>
      <c r="AA127" s="195"/>
      <c r="AB127" s="195"/>
      <c r="AC127" s="8"/>
      <c r="AD127" s="70"/>
      <c r="AE127" s="70"/>
      <c r="AF127" s="70"/>
      <c r="AG127" s="201"/>
      <c r="AH127" s="202"/>
      <c r="AI127" s="201"/>
      <c r="AJ127" s="201"/>
      <c r="AK127" s="70"/>
      <c r="AL127" s="70"/>
      <c r="AM127" s="70"/>
      <c r="AN127" s="70"/>
      <c r="AO127" s="70"/>
      <c r="AP127" s="70"/>
      <c r="AQ127" s="70"/>
      <c r="AR127" s="70"/>
      <c r="AS127" s="70"/>
      <c r="AT127" s="70"/>
      <c r="AU127" s="70"/>
      <c r="AV127" s="70"/>
      <c r="AW127" s="70"/>
      <c r="AX127" s="70"/>
    </row>
    <row r="128">
      <c r="A128" s="8"/>
      <c r="B128" s="70"/>
      <c r="C128" s="70"/>
      <c r="D128" s="70"/>
      <c r="E128" s="8"/>
      <c r="F128" s="70"/>
      <c r="G128" s="70"/>
      <c r="H128" s="70"/>
      <c r="I128" s="8"/>
      <c r="J128" s="70"/>
      <c r="K128" s="70"/>
      <c r="L128" s="70"/>
      <c r="M128" s="8"/>
      <c r="N128" s="70"/>
      <c r="O128" s="70"/>
      <c r="P128" s="70"/>
      <c r="Q128" s="8"/>
      <c r="R128" s="70"/>
      <c r="S128" s="70"/>
      <c r="T128" s="70"/>
      <c r="U128" s="8"/>
      <c r="V128" s="70"/>
      <c r="W128" s="70"/>
      <c r="X128" s="70"/>
      <c r="Y128" s="200"/>
      <c r="Z128" s="195"/>
      <c r="AA128" s="195"/>
      <c r="AB128" s="195"/>
      <c r="AC128" s="8"/>
      <c r="AD128" s="70"/>
      <c r="AE128" s="70"/>
      <c r="AF128" s="70"/>
      <c r="AG128" s="201"/>
      <c r="AH128" s="202"/>
      <c r="AI128" s="201"/>
      <c r="AJ128" s="201"/>
      <c r="AK128" s="70"/>
      <c r="AL128" s="70"/>
      <c r="AM128" s="70"/>
      <c r="AN128" s="70"/>
      <c r="AO128" s="70"/>
      <c r="AP128" s="70"/>
      <c r="AQ128" s="70"/>
      <c r="AR128" s="70"/>
      <c r="AS128" s="70"/>
      <c r="AT128" s="70"/>
      <c r="AU128" s="70"/>
      <c r="AV128" s="70"/>
      <c r="AW128" s="70"/>
      <c r="AX128" s="70"/>
    </row>
    <row r="129">
      <c r="A129" s="8"/>
      <c r="B129" s="70"/>
      <c r="C129" s="70"/>
      <c r="D129" s="70"/>
      <c r="E129" s="8"/>
      <c r="F129" s="70"/>
      <c r="G129" s="70"/>
      <c r="H129" s="70"/>
      <c r="I129" s="8"/>
      <c r="J129" s="70"/>
      <c r="K129" s="70"/>
      <c r="L129" s="70"/>
      <c r="M129" s="8"/>
      <c r="N129" s="70"/>
      <c r="O129" s="70"/>
      <c r="P129" s="70"/>
      <c r="Q129" s="8"/>
      <c r="R129" s="70"/>
      <c r="S129" s="70"/>
      <c r="T129" s="70"/>
      <c r="U129" s="8"/>
      <c r="V129" s="70"/>
      <c r="W129" s="70"/>
      <c r="X129" s="70"/>
      <c r="Y129" s="200"/>
      <c r="Z129" s="195"/>
      <c r="AA129" s="195"/>
      <c r="AB129" s="195"/>
      <c r="AC129" s="8"/>
      <c r="AD129" s="70"/>
      <c r="AE129" s="70"/>
      <c r="AF129" s="70"/>
      <c r="AG129" s="201"/>
      <c r="AH129" s="202"/>
      <c r="AI129" s="201"/>
      <c r="AJ129" s="201"/>
      <c r="AK129" s="70"/>
      <c r="AL129" s="70"/>
      <c r="AM129" s="70"/>
      <c r="AN129" s="70"/>
      <c r="AO129" s="70"/>
      <c r="AP129" s="70"/>
      <c r="AQ129" s="70"/>
      <c r="AR129" s="70"/>
      <c r="AS129" s="70"/>
      <c r="AT129" s="70"/>
      <c r="AU129" s="70"/>
      <c r="AV129" s="70"/>
      <c r="AW129" s="70"/>
      <c r="AX129" s="70"/>
    </row>
    <row r="130">
      <c r="A130" s="8"/>
      <c r="B130" s="70"/>
      <c r="C130" s="70"/>
      <c r="D130" s="70"/>
      <c r="E130" s="8"/>
      <c r="F130" s="70"/>
      <c r="G130" s="70"/>
      <c r="H130" s="70"/>
      <c r="I130" s="8"/>
      <c r="J130" s="70"/>
      <c r="K130" s="70"/>
      <c r="L130" s="70"/>
      <c r="M130" s="8"/>
      <c r="N130" s="70"/>
      <c r="O130" s="70"/>
      <c r="P130" s="70"/>
      <c r="Q130" s="8"/>
      <c r="R130" s="70"/>
      <c r="S130" s="70"/>
      <c r="T130" s="70"/>
      <c r="U130" s="8"/>
      <c r="V130" s="70"/>
      <c r="W130" s="70"/>
      <c r="X130" s="70"/>
      <c r="Y130" s="200"/>
      <c r="Z130" s="195"/>
      <c r="AA130" s="195"/>
      <c r="AB130" s="195"/>
      <c r="AC130" s="8"/>
      <c r="AD130" s="70"/>
      <c r="AE130" s="70"/>
      <c r="AF130" s="70"/>
      <c r="AG130" s="201"/>
      <c r="AH130" s="202"/>
      <c r="AI130" s="201"/>
      <c r="AJ130" s="201"/>
      <c r="AK130" s="70"/>
      <c r="AL130" s="70"/>
      <c r="AM130" s="70"/>
      <c r="AN130" s="70"/>
      <c r="AO130" s="70"/>
      <c r="AP130" s="70"/>
      <c r="AQ130" s="70"/>
      <c r="AR130" s="70"/>
      <c r="AS130" s="70"/>
      <c r="AT130" s="70"/>
      <c r="AU130" s="70"/>
      <c r="AV130" s="70"/>
      <c r="AW130" s="70"/>
      <c r="AX130" s="70"/>
    </row>
    <row r="131">
      <c r="A131" s="8"/>
      <c r="B131" s="70"/>
      <c r="C131" s="70"/>
      <c r="D131" s="70"/>
      <c r="E131" s="8"/>
      <c r="F131" s="70"/>
      <c r="G131" s="70"/>
      <c r="H131" s="70"/>
      <c r="I131" s="8"/>
      <c r="J131" s="70"/>
      <c r="K131" s="70"/>
      <c r="L131" s="70"/>
      <c r="M131" s="8"/>
      <c r="N131" s="70"/>
      <c r="O131" s="70"/>
      <c r="P131" s="70"/>
      <c r="Q131" s="8"/>
      <c r="R131" s="70"/>
      <c r="S131" s="70"/>
      <c r="T131" s="70"/>
      <c r="U131" s="8"/>
      <c r="V131" s="70"/>
      <c r="W131" s="70"/>
      <c r="X131" s="70"/>
      <c r="Y131" s="200"/>
      <c r="Z131" s="195"/>
      <c r="AA131" s="195"/>
      <c r="AB131" s="195"/>
      <c r="AC131" s="8"/>
      <c r="AD131" s="70"/>
      <c r="AE131" s="70"/>
      <c r="AF131" s="70"/>
      <c r="AG131" s="201"/>
      <c r="AH131" s="202"/>
      <c r="AI131" s="201"/>
      <c r="AJ131" s="201"/>
      <c r="AK131" s="70"/>
      <c r="AL131" s="70"/>
      <c r="AM131" s="70"/>
      <c r="AN131" s="70"/>
      <c r="AO131" s="70"/>
      <c r="AP131" s="70"/>
      <c r="AQ131" s="70"/>
      <c r="AR131" s="70"/>
      <c r="AS131" s="70"/>
      <c r="AT131" s="70"/>
      <c r="AU131" s="70"/>
      <c r="AV131" s="70"/>
      <c r="AW131" s="70"/>
      <c r="AX131" s="70"/>
    </row>
    <row r="132">
      <c r="A132" s="8"/>
      <c r="B132" s="70"/>
      <c r="C132" s="70"/>
      <c r="D132" s="70"/>
      <c r="E132" s="8"/>
      <c r="F132" s="70"/>
      <c r="G132" s="70"/>
      <c r="H132" s="70"/>
      <c r="I132" s="8"/>
      <c r="J132" s="70"/>
      <c r="K132" s="70"/>
      <c r="L132" s="70"/>
      <c r="M132" s="8"/>
      <c r="N132" s="70"/>
      <c r="O132" s="70"/>
      <c r="P132" s="70"/>
      <c r="Q132" s="8"/>
      <c r="R132" s="70"/>
      <c r="S132" s="70"/>
      <c r="T132" s="70"/>
      <c r="U132" s="8"/>
      <c r="V132" s="70"/>
      <c r="W132" s="70"/>
      <c r="X132" s="70"/>
      <c r="Y132" s="200"/>
      <c r="Z132" s="195"/>
      <c r="AA132" s="195"/>
      <c r="AB132" s="195"/>
      <c r="AC132" s="8"/>
      <c r="AD132" s="70"/>
      <c r="AE132" s="70"/>
      <c r="AF132" s="70"/>
      <c r="AG132" s="201"/>
      <c r="AH132" s="202"/>
      <c r="AI132" s="201"/>
      <c r="AJ132" s="201"/>
      <c r="AK132" s="70"/>
      <c r="AL132" s="70"/>
      <c r="AM132" s="70"/>
      <c r="AN132" s="70"/>
      <c r="AO132" s="70"/>
      <c r="AP132" s="70"/>
      <c r="AQ132" s="70"/>
      <c r="AR132" s="70"/>
      <c r="AS132" s="70"/>
      <c r="AT132" s="70"/>
      <c r="AU132" s="70"/>
      <c r="AV132" s="70"/>
      <c r="AW132" s="70"/>
      <c r="AX132" s="70"/>
    </row>
    <row r="133">
      <c r="A133" s="8"/>
      <c r="B133" s="70"/>
      <c r="C133" s="70"/>
      <c r="D133" s="70"/>
      <c r="E133" s="8"/>
      <c r="F133" s="70"/>
      <c r="G133" s="70"/>
      <c r="H133" s="70"/>
      <c r="I133" s="8"/>
      <c r="J133" s="70"/>
      <c r="K133" s="70"/>
      <c r="L133" s="70"/>
      <c r="M133" s="8"/>
      <c r="N133" s="70"/>
      <c r="O133" s="70"/>
      <c r="P133" s="70"/>
      <c r="Q133" s="8"/>
      <c r="R133" s="70"/>
      <c r="S133" s="70"/>
      <c r="T133" s="70"/>
      <c r="U133" s="8"/>
      <c r="V133" s="70"/>
      <c r="W133" s="70"/>
      <c r="X133" s="70"/>
      <c r="Y133" s="200"/>
      <c r="Z133" s="195"/>
      <c r="AA133" s="195"/>
      <c r="AB133" s="195"/>
      <c r="AC133" s="8"/>
      <c r="AD133" s="70"/>
      <c r="AE133" s="70"/>
      <c r="AF133" s="70"/>
      <c r="AG133" s="201"/>
      <c r="AH133" s="202"/>
      <c r="AI133" s="201"/>
      <c r="AJ133" s="201"/>
      <c r="AK133" s="70"/>
      <c r="AL133" s="70"/>
      <c r="AM133" s="70"/>
      <c r="AN133" s="70"/>
      <c r="AO133" s="70"/>
      <c r="AP133" s="70"/>
      <c r="AQ133" s="70"/>
      <c r="AR133" s="70"/>
      <c r="AS133" s="70"/>
      <c r="AT133" s="70"/>
      <c r="AU133" s="70"/>
      <c r="AV133" s="70"/>
      <c r="AW133" s="70"/>
      <c r="AX133" s="70"/>
    </row>
    <row r="134">
      <c r="A134" s="8"/>
      <c r="B134" s="70"/>
      <c r="C134" s="70"/>
      <c r="D134" s="70"/>
      <c r="E134" s="8"/>
      <c r="F134" s="70"/>
      <c r="G134" s="70"/>
      <c r="H134" s="70"/>
      <c r="I134" s="8"/>
      <c r="J134" s="70"/>
      <c r="K134" s="70"/>
      <c r="L134" s="70"/>
      <c r="M134" s="8"/>
      <c r="N134" s="70"/>
      <c r="O134" s="70"/>
      <c r="P134" s="70"/>
      <c r="Q134" s="8"/>
      <c r="R134" s="70"/>
      <c r="S134" s="70"/>
      <c r="T134" s="70"/>
      <c r="U134" s="8"/>
      <c r="V134" s="70"/>
      <c r="W134" s="70"/>
      <c r="X134" s="70"/>
      <c r="Y134" s="200"/>
      <c r="Z134" s="195"/>
      <c r="AA134" s="195"/>
      <c r="AB134" s="195"/>
      <c r="AC134" s="8"/>
      <c r="AD134" s="70"/>
      <c r="AE134" s="70"/>
      <c r="AF134" s="70"/>
      <c r="AG134" s="201"/>
      <c r="AH134" s="202"/>
      <c r="AI134" s="201"/>
      <c r="AJ134" s="201"/>
      <c r="AK134" s="70"/>
      <c r="AL134" s="70"/>
      <c r="AM134" s="70"/>
      <c r="AN134" s="70"/>
      <c r="AO134" s="70"/>
      <c r="AP134" s="70"/>
      <c r="AQ134" s="70"/>
      <c r="AR134" s="70"/>
      <c r="AS134" s="70"/>
      <c r="AT134" s="70"/>
      <c r="AU134" s="70"/>
      <c r="AV134" s="70"/>
      <c r="AW134" s="70"/>
      <c r="AX134" s="70"/>
    </row>
    <row r="135">
      <c r="A135" s="8"/>
      <c r="B135" s="70"/>
      <c r="C135" s="70"/>
      <c r="D135" s="70"/>
      <c r="E135" s="8"/>
      <c r="F135" s="70"/>
      <c r="G135" s="70"/>
      <c r="H135" s="70"/>
      <c r="I135" s="8"/>
      <c r="J135" s="70"/>
      <c r="K135" s="70"/>
      <c r="L135" s="70"/>
      <c r="M135" s="8"/>
      <c r="N135" s="70"/>
      <c r="O135" s="70"/>
      <c r="P135" s="70"/>
      <c r="Q135" s="8"/>
      <c r="R135" s="70"/>
      <c r="S135" s="70"/>
      <c r="T135" s="70"/>
      <c r="U135" s="8"/>
      <c r="V135" s="70"/>
      <c r="W135" s="70"/>
      <c r="X135" s="70"/>
      <c r="Y135" s="200"/>
      <c r="Z135" s="195"/>
      <c r="AA135" s="195"/>
      <c r="AB135" s="195"/>
      <c r="AC135" s="8"/>
      <c r="AD135" s="70"/>
      <c r="AE135" s="70"/>
      <c r="AF135" s="70"/>
      <c r="AG135" s="201"/>
      <c r="AH135" s="202"/>
      <c r="AI135" s="201"/>
      <c r="AJ135" s="201"/>
      <c r="AK135" s="70"/>
      <c r="AL135" s="70"/>
      <c r="AM135" s="70"/>
      <c r="AN135" s="70"/>
      <c r="AO135" s="70"/>
      <c r="AP135" s="70"/>
      <c r="AQ135" s="70"/>
      <c r="AR135" s="70"/>
      <c r="AS135" s="70"/>
      <c r="AT135" s="70"/>
      <c r="AU135" s="70"/>
      <c r="AV135" s="70"/>
      <c r="AW135" s="70"/>
      <c r="AX135" s="70"/>
    </row>
    <row r="136">
      <c r="A136" s="8"/>
      <c r="B136" s="70"/>
      <c r="C136" s="70"/>
      <c r="D136" s="70"/>
      <c r="E136" s="8"/>
      <c r="F136" s="70"/>
      <c r="G136" s="70"/>
      <c r="H136" s="70"/>
      <c r="I136" s="8"/>
      <c r="J136" s="70"/>
      <c r="K136" s="70"/>
      <c r="L136" s="70"/>
      <c r="M136" s="8"/>
      <c r="N136" s="70"/>
      <c r="O136" s="70"/>
      <c r="P136" s="70"/>
      <c r="Q136" s="8"/>
      <c r="R136" s="70"/>
      <c r="S136" s="70"/>
      <c r="T136" s="70"/>
      <c r="U136" s="8"/>
      <c r="V136" s="70"/>
      <c r="W136" s="70"/>
      <c r="X136" s="70"/>
      <c r="Y136" s="200"/>
      <c r="Z136" s="195"/>
      <c r="AA136" s="195"/>
      <c r="AB136" s="195"/>
      <c r="AC136" s="8"/>
      <c r="AD136" s="70"/>
      <c r="AE136" s="70"/>
      <c r="AF136" s="70"/>
      <c r="AG136" s="201"/>
      <c r="AH136" s="202"/>
      <c r="AI136" s="201"/>
      <c r="AJ136" s="201"/>
      <c r="AK136" s="70"/>
      <c r="AL136" s="70"/>
      <c r="AM136" s="70"/>
      <c r="AN136" s="70"/>
      <c r="AO136" s="70"/>
      <c r="AP136" s="70"/>
      <c r="AQ136" s="70"/>
      <c r="AR136" s="70"/>
      <c r="AS136" s="70"/>
      <c r="AT136" s="70"/>
      <c r="AU136" s="70"/>
      <c r="AV136" s="70"/>
      <c r="AW136" s="70"/>
      <c r="AX136" s="70"/>
    </row>
    <row r="137">
      <c r="A137" s="8"/>
      <c r="B137" s="70"/>
      <c r="C137" s="70"/>
      <c r="D137" s="70"/>
      <c r="E137" s="8"/>
      <c r="F137" s="70"/>
      <c r="G137" s="70"/>
      <c r="H137" s="70"/>
      <c r="I137" s="8"/>
      <c r="J137" s="70"/>
      <c r="K137" s="70"/>
      <c r="L137" s="70"/>
      <c r="M137" s="8"/>
      <c r="N137" s="70"/>
      <c r="O137" s="70"/>
      <c r="P137" s="70"/>
      <c r="Q137" s="8"/>
      <c r="R137" s="70"/>
      <c r="S137" s="70"/>
      <c r="T137" s="70"/>
      <c r="U137" s="8"/>
      <c r="V137" s="70"/>
      <c r="W137" s="70"/>
      <c r="X137" s="70"/>
      <c r="Y137" s="200"/>
      <c r="Z137" s="195"/>
      <c r="AA137" s="195"/>
      <c r="AB137" s="195"/>
      <c r="AC137" s="8"/>
      <c r="AD137" s="70"/>
      <c r="AE137" s="70"/>
      <c r="AF137" s="70"/>
      <c r="AG137" s="201"/>
      <c r="AH137" s="202"/>
      <c r="AI137" s="201"/>
      <c r="AJ137" s="201"/>
      <c r="AK137" s="70"/>
      <c r="AL137" s="70"/>
      <c r="AM137" s="70"/>
      <c r="AN137" s="70"/>
      <c r="AO137" s="70"/>
      <c r="AP137" s="70"/>
      <c r="AQ137" s="70"/>
      <c r="AR137" s="70"/>
      <c r="AS137" s="70"/>
      <c r="AT137" s="70"/>
      <c r="AU137" s="70"/>
      <c r="AV137" s="70"/>
      <c r="AW137" s="70"/>
      <c r="AX137" s="70"/>
    </row>
    <row r="138">
      <c r="A138" s="8"/>
      <c r="B138" s="70"/>
      <c r="C138" s="70"/>
      <c r="D138" s="70"/>
      <c r="E138" s="8"/>
      <c r="F138" s="70"/>
      <c r="G138" s="70"/>
      <c r="H138" s="70"/>
      <c r="I138" s="8"/>
      <c r="J138" s="70"/>
      <c r="K138" s="70"/>
      <c r="L138" s="70"/>
      <c r="M138" s="8"/>
      <c r="N138" s="70"/>
      <c r="O138" s="70"/>
      <c r="P138" s="70"/>
      <c r="Q138" s="8"/>
      <c r="R138" s="70"/>
      <c r="S138" s="70"/>
      <c r="T138" s="70"/>
      <c r="U138" s="8"/>
      <c r="V138" s="70"/>
      <c r="W138" s="70"/>
      <c r="X138" s="70"/>
      <c r="Y138" s="200"/>
      <c r="Z138" s="195"/>
      <c r="AA138" s="195"/>
      <c r="AB138" s="195"/>
      <c r="AC138" s="8"/>
      <c r="AD138" s="70"/>
      <c r="AE138" s="70"/>
      <c r="AF138" s="70"/>
      <c r="AG138" s="201"/>
      <c r="AH138" s="202"/>
      <c r="AI138" s="201"/>
      <c r="AJ138" s="201"/>
      <c r="AK138" s="70"/>
      <c r="AL138" s="70"/>
      <c r="AM138" s="70"/>
      <c r="AN138" s="70"/>
      <c r="AO138" s="70"/>
      <c r="AP138" s="70"/>
      <c r="AQ138" s="70"/>
      <c r="AR138" s="70"/>
      <c r="AS138" s="70"/>
      <c r="AT138" s="70"/>
      <c r="AU138" s="70"/>
      <c r="AV138" s="70"/>
      <c r="AW138" s="70"/>
      <c r="AX138" s="70"/>
    </row>
    <row r="139">
      <c r="A139" s="8"/>
      <c r="B139" s="70"/>
      <c r="C139" s="70"/>
      <c r="D139" s="70"/>
      <c r="E139" s="8"/>
      <c r="F139" s="70"/>
      <c r="G139" s="70"/>
      <c r="H139" s="70"/>
      <c r="I139" s="8"/>
      <c r="J139" s="70"/>
      <c r="K139" s="70"/>
      <c r="L139" s="70"/>
      <c r="M139" s="8"/>
      <c r="N139" s="70"/>
      <c r="O139" s="70"/>
      <c r="P139" s="70"/>
      <c r="Q139" s="8"/>
      <c r="R139" s="70"/>
      <c r="S139" s="70"/>
      <c r="T139" s="70"/>
      <c r="U139" s="8"/>
      <c r="V139" s="70"/>
      <c r="W139" s="70"/>
      <c r="X139" s="70"/>
      <c r="Y139" s="200"/>
      <c r="Z139" s="195"/>
      <c r="AA139" s="195"/>
      <c r="AB139" s="195"/>
      <c r="AC139" s="8"/>
      <c r="AD139" s="70"/>
      <c r="AE139" s="70"/>
      <c r="AF139" s="70"/>
      <c r="AG139" s="201"/>
      <c r="AH139" s="202"/>
      <c r="AI139" s="201"/>
      <c r="AJ139" s="201"/>
      <c r="AK139" s="70"/>
      <c r="AL139" s="70"/>
      <c r="AM139" s="70"/>
      <c r="AN139" s="70"/>
      <c r="AO139" s="70"/>
      <c r="AP139" s="70"/>
      <c r="AQ139" s="70"/>
      <c r="AR139" s="70"/>
      <c r="AS139" s="70"/>
      <c r="AT139" s="70"/>
      <c r="AU139" s="70"/>
      <c r="AV139" s="70"/>
      <c r="AW139" s="70"/>
      <c r="AX139" s="70"/>
    </row>
    <row r="140">
      <c r="A140" s="8"/>
      <c r="B140" s="70"/>
      <c r="C140" s="70"/>
      <c r="D140" s="70"/>
      <c r="E140" s="8"/>
      <c r="F140" s="70"/>
      <c r="G140" s="70"/>
      <c r="H140" s="70"/>
      <c r="I140" s="8"/>
      <c r="J140" s="70"/>
      <c r="K140" s="70"/>
      <c r="L140" s="70"/>
      <c r="M140" s="8"/>
      <c r="N140" s="70"/>
      <c r="O140" s="70"/>
      <c r="P140" s="70"/>
      <c r="Q140" s="8"/>
      <c r="R140" s="70"/>
      <c r="S140" s="70"/>
      <c r="T140" s="70"/>
      <c r="U140" s="8"/>
      <c r="V140" s="70"/>
      <c r="W140" s="70"/>
      <c r="X140" s="70"/>
      <c r="Y140" s="200"/>
      <c r="Z140" s="195"/>
      <c r="AA140" s="195"/>
      <c r="AB140" s="195"/>
      <c r="AC140" s="8"/>
      <c r="AD140" s="70"/>
      <c r="AE140" s="70"/>
      <c r="AF140" s="70"/>
      <c r="AG140" s="201"/>
      <c r="AH140" s="202"/>
      <c r="AI140" s="201"/>
      <c r="AJ140" s="201"/>
      <c r="AK140" s="70"/>
      <c r="AL140" s="70"/>
      <c r="AM140" s="70"/>
      <c r="AN140" s="70"/>
      <c r="AO140" s="70"/>
      <c r="AP140" s="70"/>
      <c r="AQ140" s="70"/>
      <c r="AR140" s="70"/>
      <c r="AS140" s="70"/>
      <c r="AT140" s="70"/>
      <c r="AU140" s="70"/>
      <c r="AV140" s="70"/>
      <c r="AW140" s="70"/>
      <c r="AX140" s="70"/>
    </row>
    <row r="141">
      <c r="A141" s="8"/>
      <c r="B141" s="70"/>
      <c r="C141" s="70"/>
      <c r="D141" s="70"/>
      <c r="E141" s="8"/>
      <c r="F141" s="70"/>
      <c r="G141" s="70"/>
      <c r="H141" s="70"/>
      <c r="I141" s="8"/>
      <c r="J141" s="70"/>
      <c r="K141" s="70"/>
      <c r="L141" s="70"/>
      <c r="M141" s="8"/>
      <c r="N141" s="70"/>
      <c r="O141" s="70"/>
      <c r="P141" s="70"/>
      <c r="Q141" s="8"/>
      <c r="R141" s="70"/>
      <c r="S141" s="70"/>
      <c r="T141" s="70"/>
      <c r="U141" s="8"/>
      <c r="V141" s="70"/>
      <c r="W141" s="70"/>
      <c r="X141" s="70"/>
      <c r="Y141" s="200"/>
      <c r="Z141" s="195"/>
      <c r="AA141" s="195"/>
      <c r="AB141" s="195"/>
      <c r="AC141" s="8"/>
      <c r="AD141" s="70"/>
      <c r="AE141" s="70"/>
      <c r="AF141" s="70"/>
      <c r="AG141" s="201"/>
      <c r="AH141" s="202"/>
      <c r="AI141" s="201"/>
      <c r="AJ141" s="201"/>
      <c r="AK141" s="70"/>
      <c r="AL141" s="70"/>
      <c r="AM141" s="70"/>
      <c r="AN141" s="70"/>
      <c r="AO141" s="70"/>
      <c r="AP141" s="70"/>
      <c r="AQ141" s="70"/>
      <c r="AR141" s="70"/>
      <c r="AS141" s="70"/>
      <c r="AT141" s="70"/>
      <c r="AU141" s="70"/>
      <c r="AV141" s="70"/>
      <c r="AW141" s="70"/>
      <c r="AX141" s="70"/>
    </row>
    <row r="142">
      <c r="A142" s="8"/>
      <c r="B142" s="70"/>
      <c r="C142" s="70"/>
      <c r="D142" s="70"/>
      <c r="E142" s="8"/>
      <c r="F142" s="70"/>
      <c r="G142" s="70"/>
      <c r="H142" s="70"/>
      <c r="I142" s="8"/>
      <c r="J142" s="70"/>
      <c r="K142" s="70"/>
      <c r="L142" s="70"/>
      <c r="M142" s="8"/>
      <c r="N142" s="70"/>
      <c r="O142" s="70"/>
      <c r="P142" s="70"/>
      <c r="Q142" s="8"/>
      <c r="R142" s="70"/>
      <c r="S142" s="70"/>
      <c r="T142" s="70"/>
      <c r="U142" s="8"/>
      <c r="V142" s="70"/>
      <c r="W142" s="70"/>
      <c r="X142" s="70"/>
      <c r="Y142" s="200"/>
      <c r="Z142" s="195"/>
      <c r="AA142" s="195"/>
      <c r="AB142" s="195"/>
      <c r="AC142" s="8"/>
      <c r="AD142" s="70"/>
      <c r="AE142" s="70"/>
      <c r="AF142" s="70"/>
      <c r="AG142" s="201"/>
      <c r="AH142" s="202"/>
      <c r="AI142" s="201"/>
      <c r="AJ142" s="201"/>
      <c r="AK142" s="70"/>
      <c r="AL142" s="70"/>
      <c r="AM142" s="70"/>
      <c r="AN142" s="70"/>
      <c r="AO142" s="70"/>
      <c r="AP142" s="70"/>
      <c r="AQ142" s="70"/>
      <c r="AR142" s="70"/>
      <c r="AS142" s="70"/>
      <c r="AT142" s="70"/>
      <c r="AU142" s="70"/>
      <c r="AV142" s="70"/>
      <c r="AW142" s="70"/>
      <c r="AX142" s="70"/>
    </row>
    <row r="143">
      <c r="A143" s="8"/>
      <c r="B143" s="70"/>
      <c r="C143" s="70"/>
      <c r="D143" s="70"/>
      <c r="E143" s="8"/>
      <c r="F143" s="70"/>
      <c r="G143" s="70"/>
      <c r="H143" s="70"/>
      <c r="I143" s="8"/>
      <c r="J143" s="70"/>
      <c r="K143" s="70"/>
      <c r="L143" s="70"/>
      <c r="M143" s="8"/>
      <c r="N143" s="70"/>
      <c r="O143" s="70"/>
      <c r="P143" s="70"/>
      <c r="Q143" s="8"/>
      <c r="R143" s="70"/>
      <c r="S143" s="70"/>
      <c r="T143" s="70"/>
      <c r="U143" s="8"/>
      <c r="V143" s="70"/>
      <c r="W143" s="70"/>
      <c r="X143" s="70"/>
      <c r="Y143" s="200"/>
      <c r="Z143" s="195"/>
      <c r="AA143" s="195"/>
      <c r="AB143" s="195"/>
      <c r="AC143" s="8"/>
      <c r="AD143" s="70"/>
      <c r="AE143" s="70"/>
      <c r="AF143" s="70"/>
      <c r="AG143" s="201"/>
      <c r="AH143" s="202"/>
      <c r="AI143" s="201"/>
      <c r="AJ143" s="201"/>
      <c r="AK143" s="70"/>
      <c r="AL143" s="70"/>
      <c r="AM143" s="70"/>
      <c r="AN143" s="70"/>
      <c r="AO143" s="70"/>
      <c r="AP143" s="70"/>
      <c r="AQ143" s="70"/>
      <c r="AR143" s="70"/>
      <c r="AS143" s="70"/>
      <c r="AT143" s="70"/>
      <c r="AU143" s="70"/>
      <c r="AV143" s="70"/>
      <c r="AW143" s="70"/>
      <c r="AX143" s="70"/>
    </row>
    <row r="144">
      <c r="A144" s="8"/>
      <c r="B144" s="70"/>
      <c r="C144" s="70"/>
      <c r="D144" s="70"/>
      <c r="E144" s="8"/>
      <c r="F144" s="70"/>
      <c r="G144" s="70"/>
      <c r="H144" s="70"/>
      <c r="I144" s="8"/>
      <c r="J144" s="70"/>
      <c r="K144" s="70"/>
      <c r="L144" s="70"/>
      <c r="M144" s="8"/>
      <c r="N144" s="70"/>
      <c r="O144" s="70"/>
      <c r="P144" s="70"/>
      <c r="Q144" s="8"/>
      <c r="R144" s="70"/>
      <c r="S144" s="70"/>
      <c r="T144" s="70"/>
      <c r="U144" s="8"/>
      <c r="V144" s="70"/>
      <c r="W144" s="70"/>
      <c r="X144" s="70"/>
      <c r="Y144" s="200"/>
      <c r="Z144" s="195"/>
      <c r="AA144" s="195"/>
      <c r="AB144" s="195"/>
      <c r="AC144" s="8"/>
      <c r="AD144" s="70"/>
      <c r="AE144" s="70"/>
      <c r="AF144" s="70"/>
      <c r="AG144" s="201"/>
      <c r="AH144" s="202"/>
      <c r="AI144" s="201"/>
      <c r="AJ144" s="201"/>
      <c r="AK144" s="70"/>
      <c r="AL144" s="70"/>
      <c r="AM144" s="70"/>
      <c r="AN144" s="70"/>
      <c r="AO144" s="70"/>
      <c r="AP144" s="70"/>
      <c r="AQ144" s="70"/>
      <c r="AR144" s="70"/>
      <c r="AS144" s="70"/>
      <c r="AT144" s="70"/>
      <c r="AU144" s="70"/>
      <c r="AV144" s="70"/>
      <c r="AW144" s="70"/>
      <c r="AX144" s="70"/>
    </row>
    <row r="145">
      <c r="A145" s="8"/>
      <c r="B145" s="70"/>
      <c r="C145" s="70"/>
      <c r="D145" s="70"/>
      <c r="E145" s="8"/>
      <c r="F145" s="70"/>
      <c r="G145" s="70"/>
      <c r="H145" s="70"/>
      <c r="I145" s="8"/>
      <c r="J145" s="70"/>
      <c r="K145" s="70"/>
      <c r="L145" s="70"/>
      <c r="M145" s="8"/>
      <c r="N145" s="70"/>
      <c r="O145" s="70"/>
      <c r="P145" s="70"/>
      <c r="Q145" s="8"/>
      <c r="R145" s="70"/>
      <c r="S145" s="70"/>
      <c r="T145" s="70"/>
      <c r="U145" s="8"/>
      <c r="V145" s="70"/>
      <c r="W145" s="70"/>
      <c r="X145" s="70"/>
      <c r="Y145" s="200"/>
      <c r="Z145" s="195"/>
      <c r="AA145" s="195"/>
      <c r="AB145" s="195"/>
      <c r="AC145" s="8"/>
      <c r="AD145" s="70"/>
      <c r="AE145" s="70"/>
      <c r="AF145" s="70"/>
      <c r="AG145" s="201"/>
      <c r="AH145" s="202"/>
      <c r="AI145" s="201"/>
      <c r="AJ145" s="201"/>
      <c r="AK145" s="70"/>
      <c r="AL145" s="70"/>
      <c r="AM145" s="70"/>
      <c r="AN145" s="70"/>
      <c r="AO145" s="70"/>
      <c r="AP145" s="70"/>
      <c r="AQ145" s="70"/>
      <c r="AR145" s="70"/>
      <c r="AS145" s="70"/>
      <c r="AT145" s="70"/>
      <c r="AU145" s="70"/>
      <c r="AV145" s="70"/>
      <c r="AW145" s="70"/>
      <c r="AX145" s="70"/>
    </row>
    <row r="146">
      <c r="A146" s="8"/>
      <c r="B146" s="70"/>
      <c r="C146" s="70"/>
      <c r="D146" s="70"/>
      <c r="E146" s="8"/>
      <c r="F146" s="70"/>
      <c r="G146" s="70"/>
      <c r="H146" s="70"/>
      <c r="I146" s="8"/>
      <c r="J146" s="70"/>
      <c r="K146" s="70"/>
      <c r="L146" s="70"/>
      <c r="M146" s="8"/>
      <c r="N146" s="70"/>
      <c r="O146" s="70"/>
      <c r="P146" s="70"/>
      <c r="Q146" s="8"/>
      <c r="R146" s="70"/>
      <c r="S146" s="70"/>
      <c r="T146" s="70"/>
      <c r="U146" s="8"/>
      <c r="V146" s="70"/>
      <c r="W146" s="70"/>
      <c r="X146" s="70"/>
      <c r="Y146" s="200"/>
      <c r="Z146" s="195"/>
      <c r="AA146" s="195"/>
      <c r="AB146" s="195"/>
      <c r="AC146" s="8"/>
      <c r="AD146" s="70"/>
      <c r="AE146" s="70"/>
      <c r="AF146" s="70"/>
      <c r="AG146" s="201"/>
      <c r="AH146" s="202"/>
      <c r="AI146" s="201"/>
      <c r="AJ146" s="201"/>
      <c r="AK146" s="70"/>
      <c r="AL146" s="70"/>
      <c r="AM146" s="70"/>
      <c r="AN146" s="70"/>
      <c r="AO146" s="70"/>
      <c r="AP146" s="70"/>
      <c r="AQ146" s="70"/>
      <c r="AR146" s="70"/>
      <c r="AS146" s="70"/>
      <c r="AT146" s="70"/>
      <c r="AU146" s="70"/>
      <c r="AV146" s="70"/>
      <c r="AW146" s="70"/>
      <c r="AX146" s="70"/>
    </row>
    <row r="147">
      <c r="A147" s="8"/>
      <c r="B147" s="70"/>
      <c r="C147" s="70"/>
      <c r="D147" s="70"/>
      <c r="E147" s="8"/>
      <c r="F147" s="70"/>
      <c r="G147" s="70"/>
      <c r="H147" s="70"/>
      <c r="I147" s="8"/>
      <c r="J147" s="70"/>
      <c r="K147" s="70"/>
      <c r="L147" s="70"/>
      <c r="M147" s="8"/>
      <c r="N147" s="70"/>
      <c r="O147" s="70"/>
      <c r="P147" s="70"/>
      <c r="Q147" s="8"/>
      <c r="R147" s="70"/>
      <c r="S147" s="70"/>
      <c r="T147" s="70"/>
      <c r="U147" s="8"/>
      <c r="V147" s="70"/>
      <c r="W147" s="70"/>
      <c r="X147" s="70"/>
      <c r="Y147" s="200"/>
      <c r="Z147" s="195"/>
      <c r="AA147" s="195"/>
      <c r="AB147" s="195"/>
      <c r="AC147" s="8"/>
      <c r="AD147" s="70"/>
      <c r="AE147" s="70"/>
      <c r="AF147" s="70"/>
      <c r="AG147" s="201"/>
      <c r="AH147" s="202"/>
      <c r="AI147" s="201"/>
      <c r="AJ147" s="201"/>
      <c r="AK147" s="70"/>
      <c r="AL147" s="70"/>
      <c r="AM147" s="70"/>
      <c r="AN147" s="70"/>
      <c r="AO147" s="70"/>
      <c r="AP147" s="70"/>
      <c r="AQ147" s="70"/>
      <c r="AR147" s="70"/>
      <c r="AS147" s="70"/>
      <c r="AT147" s="70"/>
      <c r="AU147" s="70"/>
      <c r="AV147" s="70"/>
      <c r="AW147" s="70"/>
      <c r="AX147" s="70"/>
    </row>
    <row r="148">
      <c r="A148" s="8"/>
      <c r="B148" s="70"/>
      <c r="C148" s="70"/>
      <c r="D148" s="70"/>
      <c r="E148" s="8"/>
      <c r="F148" s="70"/>
      <c r="G148" s="70"/>
      <c r="H148" s="70"/>
      <c r="I148" s="8"/>
      <c r="J148" s="70"/>
      <c r="K148" s="70"/>
      <c r="L148" s="70"/>
      <c r="M148" s="8"/>
      <c r="N148" s="70"/>
      <c r="O148" s="70"/>
      <c r="P148" s="70"/>
      <c r="Q148" s="8"/>
      <c r="R148" s="70"/>
      <c r="S148" s="70"/>
      <c r="T148" s="70"/>
      <c r="U148" s="8"/>
      <c r="V148" s="70"/>
      <c r="W148" s="70"/>
      <c r="X148" s="70"/>
      <c r="Y148" s="200"/>
      <c r="Z148" s="195"/>
      <c r="AA148" s="195"/>
      <c r="AB148" s="195"/>
      <c r="AC148" s="8"/>
      <c r="AD148" s="70"/>
      <c r="AE148" s="70"/>
      <c r="AF148" s="70"/>
      <c r="AG148" s="201"/>
      <c r="AH148" s="202"/>
      <c r="AI148" s="201"/>
      <c r="AJ148" s="201"/>
      <c r="AK148" s="70"/>
      <c r="AL148" s="70"/>
      <c r="AM148" s="70"/>
      <c r="AN148" s="70"/>
      <c r="AO148" s="70"/>
      <c r="AP148" s="70"/>
      <c r="AQ148" s="70"/>
      <c r="AR148" s="70"/>
      <c r="AS148" s="70"/>
      <c r="AT148" s="70"/>
      <c r="AU148" s="70"/>
      <c r="AV148" s="70"/>
      <c r="AW148" s="70"/>
      <c r="AX148" s="70"/>
    </row>
    <row r="149">
      <c r="A149" s="8"/>
      <c r="B149" s="70"/>
      <c r="C149" s="70"/>
      <c r="D149" s="70"/>
      <c r="E149" s="8"/>
      <c r="F149" s="70"/>
      <c r="G149" s="70"/>
      <c r="H149" s="70"/>
      <c r="I149" s="8"/>
      <c r="J149" s="70"/>
      <c r="K149" s="70"/>
      <c r="L149" s="70"/>
      <c r="M149" s="8"/>
      <c r="N149" s="70"/>
      <c r="O149" s="70"/>
      <c r="P149" s="70"/>
      <c r="Q149" s="8"/>
      <c r="R149" s="70"/>
      <c r="S149" s="70"/>
      <c r="T149" s="70"/>
      <c r="U149" s="8"/>
      <c r="V149" s="70"/>
      <c r="W149" s="70"/>
      <c r="X149" s="70"/>
      <c r="Y149" s="200"/>
      <c r="Z149" s="195"/>
      <c r="AA149" s="195"/>
      <c r="AB149" s="195"/>
      <c r="AC149" s="8"/>
      <c r="AD149" s="70"/>
      <c r="AE149" s="70"/>
      <c r="AF149" s="70"/>
      <c r="AG149" s="201"/>
      <c r="AH149" s="202"/>
      <c r="AI149" s="201"/>
      <c r="AJ149" s="201"/>
      <c r="AK149" s="70"/>
      <c r="AL149" s="70"/>
      <c r="AM149" s="70"/>
      <c r="AN149" s="70"/>
      <c r="AO149" s="70"/>
      <c r="AP149" s="70"/>
      <c r="AQ149" s="70"/>
      <c r="AR149" s="70"/>
      <c r="AS149" s="70"/>
      <c r="AT149" s="70"/>
      <c r="AU149" s="70"/>
      <c r="AV149" s="70"/>
      <c r="AW149" s="70"/>
      <c r="AX149" s="70"/>
    </row>
    <row r="150">
      <c r="A150" s="8"/>
      <c r="B150" s="70"/>
      <c r="C150" s="70"/>
      <c r="D150" s="70"/>
      <c r="E150" s="8"/>
      <c r="F150" s="70"/>
      <c r="G150" s="70"/>
      <c r="H150" s="70"/>
      <c r="I150" s="8"/>
      <c r="J150" s="70"/>
      <c r="K150" s="70"/>
      <c r="L150" s="70"/>
      <c r="M150" s="8"/>
      <c r="N150" s="70"/>
      <c r="O150" s="70"/>
      <c r="P150" s="70"/>
      <c r="Q150" s="8"/>
      <c r="R150" s="70"/>
      <c r="S150" s="70"/>
      <c r="T150" s="70"/>
      <c r="U150" s="8"/>
      <c r="V150" s="70"/>
      <c r="W150" s="70"/>
      <c r="X150" s="70"/>
      <c r="Y150" s="200"/>
      <c r="Z150" s="195"/>
      <c r="AA150" s="195"/>
      <c r="AB150" s="195"/>
      <c r="AC150" s="8"/>
      <c r="AD150" s="70"/>
      <c r="AE150" s="70"/>
      <c r="AF150" s="70"/>
      <c r="AG150" s="201"/>
      <c r="AH150" s="202"/>
      <c r="AI150" s="201"/>
      <c r="AJ150" s="201"/>
      <c r="AK150" s="70"/>
      <c r="AL150" s="70"/>
      <c r="AM150" s="70"/>
      <c r="AN150" s="70"/>
      <c r="AO150" s="70"/>
      <c r="AP150" s="70"/>
      <c r="AQ150" s="70"/>
      <c r="AR150" s="70"/>
      <c r="AS150" s="70"/>
      <c r="AT150" s="70"/>
      <c r="AU150" s="70"/>
      <c r="AV150" s="70"/>
      <c r="AW150" s="70"/>
      <c r="AX150" s="70"/>
    </row>
    <row r="151">
      <c r="A151" s="8"/>
      <c r="B151" s="70"/>
      <c r="C151" s="70"/>
      <c r="D151" s="70"/>
      <c r="E151" s="8"/>
      <c r="F151" s="70"/>
      <c r="G151" s="70"/>
      <c r="H151" s="70"/>
      <c r="I151" s="8"/>
      <c r="J151" s="70"/>
      <c r="K151" s="70"/>
      <c r="L151" s="70"/>
      <c r="M151" s="8"/>
      <c r="N151" s="70"/>
      <c r="O151" s="70"/>
      <c r="P151" s="70"/>
      <c r="Q151" s="8"/>
      <c r="R151" s="70"/>
      <c r="S151" s="70"/>
      <c r="T151" s="70"/>
      <c r="U151" s="8"/>
      <c r="V151" s="70"/>
      <c r="W151" s="70"/>
      <c r="X151" s="70"/>
      <c r="Y151" s="200"/>
      <c r="Z151" s="195"/>
      <c r="AA151" s="195"/>
      <c r="AB151" s="195"/>
      <c r="AC151" s="8"/>
      <c r="AD151" s="70"/>
      <c r="AE151" s="70"/>
      <c r="AF151" s="70"/>
      <c r="AG151" s="201"/>
      <c r="AH151" s="202"/>
      <c r="AI151" s="201"/>
      <c r="AJ151" s="201"/>
      <c r="AK151" s="70"/>
      <c r="AL151" s="70"/>
      <c r="AM151" s="70"/>
      <c r="AN151" s="70"/>
      <c r="AO151" s="70"/>
      <c r="AP151" s="70"/>
      <c r="AQ151" s="70"/>
      <c r="AR151" s="70"/>
      <c r="AS151" s="70"/>
      <c r="AT151" s="70"/>
      <c r="AU151" s="70"/>
      <c r="AV151" s="70"/>
      <c r="AW151" s="70"/>
      <c r="AX151" s="70"/>
    </row>
    <row r="152">
      <c r="A152" s="8"/>
      <c r="B152" s="70"/>
      <c r="C152" s="70"/>
      <c r="D152" s="70"/>
      <c r="E152" s="8"/>
      <c r="F152" s="70"/>
      <c r="G152" s="70"/>
      <c r="H152" s="70"/>
      <c r="I152" s="8"/>
      <c r="J152" s="70"/>
      <c r="K152" s="70"/>
      <c r="L152" s="70"/>
      <c r="M152" s="8"/>
      <c r="N152" s="70"/>
      <c r="O152" s="70"/>
      <c r="P152" s="70"/>
      <c r="Q152" s="8"/>
      <c r="R152" s="70"/>
      <c r="S152" s="70"/>
      <c r="T152" s="70"/>
      <c r="U152" s="8"/>
      <c r="V152" s="70"/>
      <c r="W152" s="70"/>
      <c r="X152" s="70"/>
      <c r="Y152" s="200"/>
      <c r="Z152" s="195"/>
      <c r="AA152" s="195"/>
      <c r="AB152" s="195"/>
      <c r="AC152" s="8"/>
      <c r="AD152" s="70"/>
      <c r="AE152" s="70"/>
      <c r="AF152" s="70"/>
      <c r="AG152" s="201"/>
      <c r="AH152" s="202"/>
      <c r="AI152" s="201"/>
      <c r="AJ152" s="201"/>
      <c r="AK152" s="70"/>
      <c r="AL152" s="70"/>
      <c r="AM152" s="70"/>
      <c r="AN152" s="70"/>
      <c r="AO152" s="70"/>
      <c r="AP152" s="70"/>
      <c r="AQ152" s="70"/>
      <c r="AR152" s="70"/>
      <c r="AS152" s="70"/>
      <c r="AT152" s="70"/>
      <c r="AU152" s="70"/>
      <c r="AV152" s="70"/>
      <c r="AW152" s="70"/>
      <c r="AX152" s="70"/>
    </row>
    <row r="153">
      <c r="A153" s="8"/>
      <c r="B153" s="70"/>
      <c r="C153" s="70"/>
      <c r="D153" s="70"/>
      <c r="E153" s="8"/>
      <c r="F153" s="70"/>
      <c r="G153" s="70"/>
      <c r="H153" s="70"/>
      <c r="I153" s="8"/>
      <c r="J153" s="70"/>
      <c r="K153" s="70"/>
      <c r="L153" s="70"/>
      <c r="M153" s="8"/>
      <c r="N153" s="70"/>
      <c r="O153" s="70"/>
      <c r="P153" s="70"/>
      <c r="Q153" s="8"/>
      <c r="R153" s="70"/>
      <c r="S153" s="70"/>
      <c r="T153" s="70"/>
      <c r="U153" s="8"/>
      <c r="V153" s="70"/>
      <c r="W153" s="70"/>
      <c r="X153" s="70"/>
      <c r="Y153" s="200"/>
      <c r="Z153" s="195"/>
      <c r="AA153" s="195"/>
      <c r="AB153" s="195"/>
      <c r="AC153" s="8"/>
      <c r="AD153" s="70"/>
      <c r="AE153" s="70"/>
      <c r="AF153" s="70"/>
      <c r="AG153" s="201"/>
      <c r="AH153" s="202"/>
      <c r="AI153" s="201"/>
      <c r="AJ153" s="201"/>
      <c r="AK153" s="70"/>
      <c r="AL153" s="70"/>
      <c r="AM153" s="70"/>
      <c r="AN153" s="70"/>
      <c r="AO153" s="70"/>
      <c r="AP153" s="70"/>
      <c r="AQ153" s="70"/>
      <c r="AR153" s="70"/>
      <c r="AS153" s="70"/>
      <c r="AT153" s="70"/>
      <c r="AU153" s="70"/>
      <c r="AV153" s="70"/>
      <c r="AW153" s="70"/>
      <c r="AX153" s="70"/>
    </row>
    <row r="154">
      <c r="A154" s="8"/>
      <c r="B154" s="70"/>
      <c r="C154" s="70"/>
      <c r="D154" s="70"/>
      <c r="E154" s="8"/>
      <c r="F154" s="70"/>
      <c r="G154" s="70"/>
      <c r="H154" s="70"/>
      <c r="I154" s="8"/>
      <c r="J154" s="70"/>
      <c r="K154" s="70"/>
      <c r="L154" s="70"/>
      <c r="M154" s="8"/>
      <c r="N154" s="70"/>
      <c r="O154" s="70"/>
      <c r="P154" s="70"/>
      <c r="Q154" s="8"/>
      <c r="R154" s="70"/>
      <c r="S154" s="70"/>
      <c r="T154" s="70"/>
      <c r="U154" s="8"/>
      <c r="V154" s="70"/>
      <c r="W154" s="70"/>
      <c r="X154" s="70"/>
      <c r="Y154" s="200"/>
      <c r="Z154" s="195"/>
      <c r="AA154" s="195"/>
      <c r="AB154" s="195"/>
      <c r="AC154" s="8"/>
      <c r="AD154" s="70"/>
      <c r="AE154" s="70"/>
      <c r="AF154" s="70"/>
      <c r="AG154" s="201"/>
      <c r="AH154" s="202"/>
      <c r="AI154" s="201"/>
      <c r="AJ154" s="201"/>
      <c r="AK154" s="70"/>
      <c r="AL154" s="70"/>
      <c r="AM154" s="70"/>
      <c r="AN154" s="70"/>
      <c r="AO154" s="70"/>
      <c r="AP154" s="70"/>
      <c r="AQ154" s="70"/>
      <c r="AR154" s="70"/>
      <c r="AS154" s="70"/>
      <c r="AT154" s="70"/>
      <c r="AU154" s="70"/>
      <c r="AV154" s="70"/>
      <c r="AW154" s="70"/>
      <c r="AX154" s="70"/>
    </row>
    <row r="155">
      <c r="A155" s="8"/>
      <c r="B155" s="70"/>
      <c r="C155" s="70"/>
      <c r="D155" s="70"/>
      <c r="E155" s="8"/>
      <c r="F155" s="70"/>
      <c r="G155" s="70"/>
      <c r="H155" s="70"/>
      <c r="I155" s="8"/>
      <c r="J155" s="70"/>
      <c r="K155" s="70"/>
      <c r="L155" s="70"/>
      <c r="M155" s="8"/>
      <c r="N155" s="70"/>
      <c r="O155" s="70"/>
      <c r="P155" s="70"/>
      <c r="Q155" s="8"/>
      <c r="R155" s="70"/>
      <c r="S155" s="70"/>
      <c r="T155" s="70"/>
      <c r="U155" s="8"/>
      <c r="V155" s="70"/>
      <c r="W155" s="70"/>
      <c r="X155" s="70"/>
      <c r="Y155" s="200"/>
      <c r="Z155" s="195"/>
      <c r="AA155" s="195"/>
      <c r="AB155" s="195"/>
      <c r="AC155" s="8"/>
      <c r="AD155" s="70"/>
      <c r="AE155" s="70"/>
      <c r="AF155" s="70"/>
      <c r="AG155" s="201"/>
      <c r="AH155" s="202"/>
      <c r="AI155" s="201"/>
      <c r="AJ155" s="201"/>
      <c r="AK155" s="70"/>
      <c r="AL155" s="70"/>
      <c r="AM155" s="70"/>
      <c r="AN155" s="70"/>
      <c r="AO155" s="70"/>
      <c r="AP155" s="70"/>
      <c r="AQ155" s="70"/>
      <c r="AR155" s="70"/>
      <c r="AS155" s="70"/>
      <c r="AT155" s="70"/>
      <c r="AU155" s="70"/>
      <c r="AV155" s="70"/>
      <c r="AW155" s="70"/>
      <c r="AX155" s="70"/>
    </row>
    <row r="156">
      <c r="A156" s="8"/>
      <c r="B156" s="70"/>
      <c r="C156" s="70"/>
      <c r="D156" s="70"/>
      <c r="E156" s="8"/>
      <c r="F156" s="70"/>
      <c r="G156" s="70"/>
      <c r="H156" s="70"/>
      <c r="I156" s="8"/>
      <c r="J156" s="70"/>
      <c r="K156" s="70"/>
      <c r="L156" s="70"/>
      <c r="M156" s="8"/>
      <c r="N156" s="70"/>
      <c r="O156" s="70"/>
      <c r="P156" s="70"/>
      <c r="Q156" s="8"/>
      <c r="R156" s="70"/>
      <c r="S156" s="70"/>
      <c r="T156" s="70"/>
      <c r="U156" s="8"/>
      <c r="V156" s="70"/>
      <c r="W156" s="70"/>
      <c r="X156" s="70"/>
      <c r="Y156" s="200"/>
      <c r="Z156" s="195"/>
      <c r="AA156" s="195"/>
      <c r="AB156" s="195"/>
      <c r="AC156" s="8"/>
      <c r="AD156" s="70"/>
      <c r="AE156" s="70"/>
      <c r="AF156" s="70"/>
      <c r="AG156" s="201"/>
      <c r="AH156" s="202"/>
      <c r="AI156" s="201"/>
      <c r="AJ156" s="201"/>
      <c r="AK156" s="70"/>
      <c r="AL156" s="70"/>
      <c r="AM156" s="70"/>
      <c r="AN156" s="70"/>
      <c r="AO156" s="70"/>
      <c r="AP156" s="70"/>
      <c r="AQ156" s="70"/>
      <c r="AR156" s="70"/>
      <c r="AS156" s="70"/>
      <c r="AT156" s="70"/>
      <c r="AU156" s="70"/>
      <c r="AV156" s="70"/>
      <c r="AW156" s="70"/>
      <c r="AX156" s="70"/>
    </row>
    <row r="157">
      <c r="A157" s="8"/>
      <c r="B157" s="70"/>
      <c r="C157" s="70"/>
      <c r="D157" s="70"/>
      <c r="E157" s="8"/>
      <c r="F157" s="70"/>
      <c r="G157" s="70"/>
      <c r="H157" s="70"/>
      <c r="I157" s="8"/>
      <c r="J157" s="70"/>
      <c r="K157" s="70"/>
      <c r="L157" s="70"/>
      <c r="M157" s="8"/>
      <c r="N157" s="70"/>
      <c r="O157" s="70"/>
      <c r="P157" s="70"/>
      <c r="Q157" s="8"/>
      <c r="R157" s="70"/>
      <c r="S157" s="70"/>
      <c r="T157" s="70"/>
      <c r="U157" s="8"/>
      <c r="V157" s="70"/>
      <c r="W157" s="70"/>
      <c r="X157" s="70"/>
      <c r="Y157" s="200"/>
      <c r="Z157" s="195"/>
      <c r="AA157" s="195"/>
      <c r="AB157" s="195"/>
      <c r="AC157" s="8"/>
      <c r="AD157" s="70"/>
      <c r="AE157" s="70"/>
      <c r="AF157" s="70"/>
      <c r="AG157" s="201"/>
      <c r="AH157" s="202"/>
      <c r="AI157" s="201"/>
      <c r="AJ157" s="201"/>
      <c r="AK157" s="70"/>
      <c r="AL157" s="70"/>
      <c r="AM157" s="70"/>
      <c r="AN157" s="70"/>
      <c r="AO157" s="70"/>
      <c r="AP157" s="70"/>
      <c r="AQ157" s="70"/>
      <c r="AR157" s="70"/>
      <c r="AS157" s="70"/>
      <c r="AT157" s="70"/>
      <c r="AU157" s="70"/>
      <c r="AV157" s="70"/>
      <c r="AW157" s="70"/>
      <c r="AX157" s="70"/>
    </row>
    <row r="158">
      <c r="A158" s="8"/>
      <c r="B158" s="70"/>
      <c r="C158" s="70"/>
      <c r="D158" s="70"/>
      <c r="E158" s="8"/>
      <c r="F158" s="70"/>
      <c r="G158" s="70"/>
      <c r="H158" s="70"/>
      <c r="I158" s="8"/>
      <c r="J158" s="70"/>
      <c r="K158" s="70"/>
      <c r="L158" s="70"/>
      <c r="M158" s="8"/>
      <c r="N158" s="70"/>
      <c r="O158" s="70"/>
      <c r="P158" s="70"/>
      <c r="Q158" s="8"/>
      <c r="R158" s="70"/>
      <c r="S158" s="70"/>
      <c r="T158" s="70"/>
      <c r="U158" s="8"/>
      <c r="V158" s="70"/>
      <c r="W158" s="70"/>
      <c r="X158" s="70"/>
      <c r="Y158" s="200"/>
      <c r="Z158" s="195"/>
      <c r="AA158" s="195"/>
      <c r="AB158" s="195"/>
      <c r="AC158" s="8"/>
      <c r="AD158" s="70"/>
      <c r="AE158" s="70"/>
      <c r="AF158" s="70"/>
      <c r="AG158" s="201"/>
      <c r="AH158" s="202"/>
      <c r="AI158" s="201"/>
      <c r="AJ158" s="201"/>
      <c r="AK158" s="70"/>
      <c r="AL158" s="70"/>
      <c r="AM158" s="70"/>
      <c r="AN158" s="70"/>
      <c r="AO158" s="70"/>
      <c r="AP158" s="70"/>
      <c r="AQ158" s="70"/>
      <c r="AR158" s="70"/>
      <c r="AS158" s="70"/>
      <c r="AT158" s="70"/>
      <c r="AU158" s="70"/>
      <c r="AV158" s="70"/>
      <c r="AW158" s="70"/>
      <c r="AX158" s="70"/>
    </row>
    <row r="159">
      <c r="A159" s="8"/>
      <c r="B159" s="70"/>
      <c r="C159" s="70"/>
      <c r="D159" s="70"/>
      <c r="E159" s="8"/>
      <c r="F159" s="70"/>
      <c r="G159" s="70"/>
      <c r="H159" s="70"/>
      <c r="I159" s="8"/>
      <c r="J159" s="70"/>
      <c r="K159" s="70"/>
      <c r="L159" s="70"/>
      <c r="M159" s="8"/>
      <c r="N159" s="70"/>
      <c r="O159" s="70"/>
      <c r="P159" s="70"/>
      <c r="Q159" s="8"/>
      <c r="R159" s="70"/>
      <c r="S159" s="70"/>
      <c r="T159" s="70"/>
      <c r="U159" s="8"/>
      <c r="V159" s="70"/>
      <c r="W159" s="70"/>
      <c r="X159" s="70"/>
      <c r="Y159" s="200"/>
      <c r="Z159" s="195"/>
      <c r="AA159" s="195"/>
      <c r="AB159" s="195"/>
      <c r="AC159" s="8"/>
      <c r="AD159" s="70"/>
      <c r="AE159" s="70"/>
      <c r="AF159" s="70"/>
      <c r="AG159" s="201"/>
      <c r="AH159" s="202"/>
      <c r="AI159" s="201"/>
      <c r="AJ159" s="201"/>
      <c r="AK159" s="70"/>
      <c r="AL159" s="70"/>
      <c r="AM159" s="70"/>
      <c r="AN159" s="70"/>
      <c r="AO159" s="70"/>
      <c r="AP159" s="70"/>
      <c r="AQ159" s="70"/>
      <c r="AR159" s="70"/>
      <c r="AS159" s="70"/>
      <c r="AT159" s="70"/>
      <c r="AU159" s="70"/>
      <c r="AV159" s="70"/>
      <c r="AW159" s="70"/>
      <c r="AX159" s="70"/>
    </row>
    <row r="160">
      <c r="A160" s="8"/>
      <c r="B160" s="70"/>
      <c r="C160" s="70"/>
      <c r="D160" s="70"/>
      <c r="E160" s="8"/>
      <c r="F160" s="70"/>
      <c r="G160" s="70"/>
      <c r="H160" s="70"/>
      <c r="I160" s="8"/>
      <c r="J160" s="70"/>
      <c r="K160" s="70"/>
      <c r="L160" s="70"/>
      <c r="M160" s="8"/>
      <c r="N160" s="70"/>
      <c r="O160" s="70"/>
      <c r="P160" s="70"/>
      <c r="Q160" s="8"/>
      <c r="R160" s="70"/>
      <c r="S160" s="70"/>
      <c r="T160" s="70"/>
      <c r="U160" s="8"/>
      <c r="V160" s="70"/>
      <c r="W160" s="70"/>
      <c r="X160" s="70"/>
      <c r="Y160" s="200"/>
      <c r="Z160" s="195"/>
      <c r="AA160" s="195"/>
      <c r="AB160" s="195"/>
      <c r="AC160" s="8"/>
      <c r="AD160" s="70"/>
      <c r="AE160" s="70"/>
      <c r="AF160" s="70"/>
      <c r="AG160" s="201"/>
      <c r="AH160" s="202"/>
      <c r="AI160" s="201"/>
      <c r="AJ160" s="201"/>
      <c r="AK160" s="70"/>
      <c r="AL160" s="70"/>
      <c r="AM160" s="70"/>
      <c r="AN160" s="70"/>
      <c r="AO160" s="70"/>
      <c r="AP160" s="70"/>
      <c r="AQ160" s="70"/>
      <c r="AR160" s="70"/>
      <c r="AS160" s="70"/>
      <c r="AT160" s="70"/>
      <c r="AU160" s="70"/>
      <c r="AV160" s="70"/>
      <c r="AW160" s="70"/>
      <c r="AX160" s="70"/>
    </row>
    <row r="161">
      <c r="A161" s="8"/>
      <c r="B161" s="70"/>
      <c r="C161" s="70"/>
      <c r="D161" s="70"/>
      <c r="E161" s="8"/>
      <c r="F161" s="70"/>
      <c r="G161" s="70"/>
      <c r="H161" s="70"/>
      <c r="I161" s="8"/>
      <c r="J161" s="70"/>
      <c r="K161" s="70"/>
      <c r="L161" s="70"/>
      <c r="M161" s="8"/>
      <c r="N161" s="70"/>
      <c r="O161" s="70"/>
      <c r="P161" s="70"/>
      <c r="Q161" s="8"/>
      <c r="R161" s="70"/>
      <c r="S161" s="70"/>
      <c r="T161" s="70"/>
      <c r="U161" s="8"/>
      <c r="V161" s="70"/>
      <c r="W161" s="70"/>
      <c r="X161" s="70"/>
      <c r="Y161" s="200"/>
      <c r="Z161" s="195"/>
      <c r="AA161" s="195"/>
      <c r="AB161" s="195"/>
      <c r="AC161" s="8"/>
      <c r="AD161" s="70"/>
      <c r="AE161" s="70"/>
      <c r="AF161" s="70"/>
      <c r="AG161" s="201"/>
      <c r="AH161" s="202"/>
      <c r="AI161" s="201"/>
      <c r="AJ161" s="201"/>
      <c r="AK161" s="70"/>
      <c r="AL161" s="70"/>
      <c r="AM161" s="70"/>
      <c r="AN161" s="70"/>
      <c r="AO161" s="70"/>
      <c r="AP161" s="70"/>
      <c r="AQ161" s="70"/>
      <c r="AR161" s="70"/>
      <c r="AS161" s="70"/>
      <c r="AT161" s="70"/>
      <c r="AU161" s="70"/>
      <c r="AV161" s="70"/>
      <c r="AW161" s="70"/>
      <c r="AX161" s="70"/>
    </row>
    <row r="162">
      <c r="A162" s="8"/>
      <c r="B162" s="70"/>
      <c r="C162" s="70"/>
      <c r="D162" s="70"/>
      <c r="E162" s="8"/>
      <c r="F162" s="70"/>
      <c r="G162" s="70"/>
      <c r="H162" s="70"/>
      <c r="I162" s="8"/>
      <c r="J162" s="70"/>
      <c r="K162" s="70"/>
      <c r="L162" s="70"/>
      <c r="M162" s="8"/>
      <c r="N162" s="70"/>
      <c r="O162" s="70"/>
      <c r="P162" s="70"/>
      <c r="Q162" s="8"/>
      <c r="R162" s="70"/>
      <c r="S162" s="70"/>
      <c r="T162" s="70"/>
      <c r="U162" s="8"/>
      <c r="V162" s="70"/>
      <c r="W162" s="70"/>
      <c r="X162" s="70"/>
      <c r="Y162" s="200"/>
      <c r="Z162" s="195"/>
      <c r="AA162" s="195"/>
      <c r="AB162" s="195"/>
      <c r="AC162" s="8"/>
      <c r="AD162" s="70"/>
      <c r="AE162" s="70"/>
      <c r="AF162" s="70"/>
      <c r="AG162" s="201"/>
      <c r="AH162" s="202"/>
      <c r="AI162" s="201"/>
      <c r="AJ162" s="201"/>
      <c r="AK162" s="70"/>
      <c r="AL162" s="70"/>
      <c r="AM162" s="70"/>
      <c r="AN162" s="70"/>
      <c r="AO162" s="70"/>
      <c r="AP162" s="70"/>
      <c r="AQ162" s="70"/>
      <c r="AR162" s="70"/>
      <c r="AS162" s="70"/>
      <c r="AT162" s="70"/>
      <c r="AU162" s="70"/>
      <c r="AV162" s="70"/>
      <c r="AW162" s="70"/>
      <c r="AX162" s="70"/>
    </row>
    <row r="163">
      <c r="A163" s="8"/>
      <c r="B163" s="70"/>
      <c r="C163" s="70"/>
      <c r="D163" s="70"/>
      <c r="E163" s="8"/>
      <c r="F163" s="70"/>
      <c r="G163" s="70"/>
      <c r="H163" s="70"/>
      <c r="I163" s="8"/>
      <c r="J163" s="70"/>
      <c r="K163" s="70"/>
      <c r="L163" s="70"/>
      <c r="M163" s="8"/>
      <c r="N163" s="70"/>
      <c r="O163" s="70"/>
      <c r="P163" s="70"/>
      <c r="Q163" s="8"/>
      <c r="R163" s="70"/>
      <c r="S163" s="70"/>
      <c r="T163" s="70"/>
      <c r="U163" s="8"/>
      <c r="V163" s="70"/>
      <c r="W163" s="70"/>
      <c r="X163" s="70"/>
      <c r="Y163" s="200"/>
      <c r="Z163" s="195"/>
      <c r="AA163" s="195"/>
      <c r="AB163" s="195"/>
      <c r="AC163" s="8"/>
      <c r="AD163" s="70"/>
      <c r="AE163" s="70"/>
      <c r="AF163" s="70"/>
      <c r="AG163" s="201"/>
      <c r="AH163" s="202"/>
      <c r="AI163" s="201"/>
      <c r="AJ163" s="201"/>
      <c r="AK163" s="70"/>
      <c r="AL163" s="70"/>
      <c r="AM163" s="70"/>
      <c r="AN163" s="70"/>
      <c r="AO163" s="70"/>
      <c r="AP163" s="70"/>
      <c r="AQ163" s="70"/>
      <c r="AR163" s="70"/>
      <c r="AS163" s="70"/>
      <c r="AT163" s="70"/>
      <c r="AU163" s="70"/>
      <c r="AV163" s="70"/>
      <c r="AW163" s="70"/>
      <c r="AX163" s="70"/>
    </row>
    <row r="164">
      <c r="A164" s="8"/>
      <c r="B164" s="70"/>
      <c r="C164" s="70"/>
      <c r="D164" s="70"/>
      <c r="E164" s="8"/>
      <c r="F164" s="70"/>
      <c r="G164" s="70"/>
      <c r="H164" s="70"/>
      <c r="I164" s="8"/>
      <c r="J164" s="70"/>
      <c r="K164" s="70"/>
      <c r="L164" s="70"/>
      <c r="M164" s="8"/>
      <c r="N164" s="70"/>
      <c r="O164" s="70"/>
      <c r="P164" s="70"/>
      <c r="Q164" s="8"/>
      <c r="R164" s="70"/>
      <c r="S164" s="70"/>
      <c r="T164" s="70"/>
      <c r="U164" s="8"/>
      <c r="V164" s="70"/>
      <c r="W164" s="70"/>
      <c r="X164" s="70"/>
      <c r="Y164" s="200"/>
      <c r="Z164" s="195"/>
      <c r="AA164" s="195"/>
      <c r="AB164" s="195"/>
      <c r="AC164" s="8"/>
      <c r="AD164" s="70"/>
      <c r="AE164" s="70"/>
      <c r="AF164" s="70"/>
      <c r="AG164" s="201"/>
      <c r="AH164" s="202"/>
      <c r="AI164" s="201"/>
      <c r="AJ164" s="201"/>
      <c r="AK164" s="70"/>
      <c r="AL164" s="70"/>
      <c r="AM164" s="70"/>
      <c r="AN164" s="70"/>
      <c r="AO164" s="70"/>
      <c r="AP164" s="70"/>
      <c r="AQ164" s="70"/>
      <c r="AR164" s="70"/>
      <c r="AS164" s="70"/>
      <c r="AT164" s="70"/>
      <c r="AU164" s="70"/>
      <c r="AV164" s="70"/>
      <c r="AW164" s="70"/>
      <c r="AX164" s="70"/>
    </row>
    <row r="165">
      <c r="A165" s="8"/>
      <c r="B165" s="70"/>
      <c r="C165" s="70"/>
      <c r="D165" s="70"/>
      <c r="E165" s="8"/>
      <c r="F165" s="70"/>
      <c r="G165" s="70"/>
      <c r="H165" s="70"/>
      <c r="I165" s="8"/>
      <c r="J165" s="70"/>
      <c r="K165" s="70"/>
      <c r="L165" s="70"/>
      <c r="M165" s="8"/>
      <c r="N165" s="70"/>
      <c r="O165" s="70"/>
      <c r="P165" s="70"/>
      <c r="Q165" s="8"/>
      <c r="R165" s="70"/>
      <c r="S165" s="70"/>
      <c r="T165" s="70"/>
      <c r="U165" s="8"/>
      <c r="V165" s="70"/>
      <c r="W165" s="70"/>
      <c r="X165" s="70"/>
      <c r="Y165" s="200"/>
      <c r="Z165" s="195"/>
      <c r="AA165" s="195"/>
      <c r="AB165" s="195"/>
      <c r="AC165" s="8"/>
      <c r="AD165" s="70"/>
      <c r="AE165" s="70"/>
      <c r="AF165" s="70"/>
      <c r="AG165" s="201"/>
      <c r="AH165" s="202"/>
      <c r="AI165" s="201"/>
      <c r="AJ165" s="201"/>
      <c r="AK165" s="70"/>
      <c r="AL165" s="70"/>
      <c r="AM165" s="70"/>
      <c r="AN165" s="70"/>
      <c r="AO165" s="70"/>
      <c r="AP165" s="70"/>
      <c r="AQ165" s="70"/>
      <c r="AR165" s="70"/>
      <c r="AS165" s="70"/>
      <c r="AT165" s="70"/>
      <c r="AU165" s="70"/>
      <c r="AV165" s="70"/>
      <c r="AW165" s="70"/>
      <c r="AX165" s="70"/>
    </row>
    <row r="166">
      <c r="A166" s="8"/>
      <c r="B166" s="70"/>
      <c r="C166" s="70"/>
      <c r="D166" s="70"/>
      <c r="E166" s="8"/>
      <c r="F166" s="70"/>
      <c r="G166" s="70"/>
      <c r="H166" s="70"/>
      <c r="I166" s="8"/>
      <c r="J166" s="70"/>
      <c r="K166" s="70"/>
      <c r="L166" s="70"/>
      <c r="M166" s="8"/>
      <c r="N166" s="70"/>
      <c r="O166" s="70"/>
      <c r="P166" s="70"/>
      <c r="Q166" s="8"/>
      <c r="R166" s="70"/>
      <c r="S166" s="70"/>
      <c r="T166" s="70"/>
      <c r="U166" s="8"/>
      <c r="V166" s="70"/>
      <c r="W166" s="70"/>
      <c r="X166" s="70"/>
      <c r="Y166" s="200"/>
      <c r="Z166" s="195"/>
      <c r="AA166" s="195"/>
      <c r="AB166" s="195"/>
      <c r="AC166" s="8"/>
      <c r="AD166" s="70"/>
      <c r="AE166" s="70"/>
      <c r="AF166" s="70"/>
      <c r="AG166" s="201"/>
      <c r="AH166" s="202"/>
      <c r="AI166" s="201"/>
      <c r="AJ166" s="201"/>
      <c r="AK166" s="70"/>
      <c r="AL166" s="70"/>
      <c r="AM166" s="70"/>
      <c r="AN166" s="70"/>
      <c r="AO166" s="70"/>
      <c r="AP166" s="70"/>
      <c r="AQ166" s="70"/>
      <c r="AR166" s="70"/>
      <c r="AS166" s="70"/>
      <c r="AT166" s="70"/>
      <c r="AU166" s="70"/>
      <c r="AV166" s="70"/>
      <c r="AW166" s="70"/>
      <c r="AX166" s="70"/>
    </row>
    <row r="167">
      <c r="A167" s="8"/>
      <c r="B167" s="70"/>
      <c r="C167" s="70"/>
      <c r="D167" s="70"/>
      <c r="E167" s="8"/>
      <c r="F167" s="70"/>
      <c r="G167" s="70"/>
      <c r="H167" s="70"/>
      <c r="I167" s="8"/>
      <c r="J167" s="70"/>
      <c r="K167" s="70"/>
      <c r="L167" s="70"/>
      <c r="M167" s="8"/>
      <c r="N167" s="70"/>
      <c r="O167" s="70"/>
      <c r="P167" s="70"/>
      <c r="Q167" s="8"/>
      <c r="R167" s="70"/>
      <c r="S167" s="70"/>
      <c r="T167" s="70"/>
      <c r="U167" s="8"/>
      <c r="V167" s="70"/>
      <c r="W167" s="70"/>
      <c r="X167" s="70"/>
      <c r="Y167" s="200"/>
      <c r="Z167" s="195"/>
      <c r="AA167" s="195"/>
      <c r="AB167" s="195"/>
      <c r="AC167" s="8"/>
      <c r="AD167" s="70"/>
      <c r="AE167" s="70"/>
      <c r="AF167" s="70"/>
      <c r="AG167" s="201"/>
      <c r="AH167" s="202"/>
      <c r="AI167" s="201"/>
      <c r="AJ167" s="201"/>
      <c r="AK167" s="70"/>
      <c r="AL167" s="70"/>
      <c r="AM167" s="70"/>
      <c r="AN167" s="70"/>
      <c r="AO167" s="70"/>
      <c r="AP167" s="70"/>
      <c r="AQ167" s="70"/>
      <c r="AR167" s="70"/>
      <c r="AS167" s="70"/>
      <c r="AT167" s="70"/>
      <c r="AU167" s="70"/>
      <c r="AV167" s="70"/>
      <c r="AW167" s="70"/>
      <c r="AX167" s="70"/>
    </row>
    <row r="168">
      <c r="A168" s="8"/>
      <c r="B168" s="70"/>
      <c r="C168" s="70"/>
      <c r="D168" s="70"/>
      <c r="E168" s="8"/>
      <c r="F168" s="70"/>
      <c r="G168" s="70"/>
      <c r="H168" s="70"/>
      <c r="I168" s="8"/>
      <c r="J168" s="70"/>
      <c r="K168" s="70"/>
      <c r="L168" s="70"/>
      <c r="M168" s="8"/>
      <c r="N168" s="70"/>
      <c r="O168" s="70"/>
      <c r="P168" s="70"/>
      <c r="Q168" s="8"/>
      <c r="R168" s="70"/>
      <c r="S168" s="70"/>
      <c r="T168" s="70"/>
      <c r="U168" s="8"/>
      <c r="V168" s="70"/>
      <c r="W168" s="70"/>
      <c r="X168" s="70"/>
      <c r="Y168" s="200"/>
      <c r="Z168" s="195"/>
      <c r="AA168" s="195"/>
      <c r="AB168" s="195"/>
      <c r="AC168" s="8"/>
      <c r="AD168" s="70"/>
      <c r="AE168" s="70"/>
      <c r="AF168" s="70"/>
      <c r="AG168" s="201"/>
      <c r="AH168" s="202"/>
      <c r="AI168" s="201"/>
      <c r="AJ168" s="201"/>
      <c r="AK168" s="70"/>
      <c r="AL168" s="70"/>
      <c r="AM168" s="70"/>
      <c r="AN168" s="70"/>
      <c r="AO168" s="70"/>
      <c r="AP168" s="70"/>
      <c r="AQ168" s="70"/>
      <c r="AR168" s="70"/>
      <c r="AS168" s="70"/>
      <c r="AT168" s="70"/>
      <c r="AU168" s="70"/>
      <c r="AV168" s="70"/>
      <c r="AW168" s="70"/>
      <c r="AX168" s="70"/>
    </row>
    <row r="169">
      <c r="A169" s="8"/>
      <c r="B169" s="70"/>
      <c r="C169" s="70"/>
      <c r="D169" s="70"/>
      <c r="E169" s="8"/>
      <c r="F169" s="70"/>
      <c r="G169" s="70"/>
      <c r="H169" s="70"/>
      <c r="I169" s="8"/>
      <c r="J169" s="70"/>
      <c r="K169" s="70"/>
      <c r="L169" s="70"/>
      <c r="M169" s="8"/>
      <c r="N169" s="70"/>
      <c r="O169" s="70"/>
      <c r="P169" s="70"/>
      <c r="Q169" s="8"/>
      <c r="R169" s="70"/>
      <c r="S169" s="70"/>
      <c r="T169" s="70"/>
      <c r="U169" s="8"/>
      <c r="V169" s="70"/>
      <c r="W169" s="70"/>
      <c r="X169" s="70"/>
      <c r="Y169" s="200"/>
      <c r="Z169" s="195"/>
      <c r="AA169" s="195"/>
      <c r="AB169" s="195"/>
      <c r="AC169" s="8"/>
      <c r="AD169" s="70"/>
      <c r="AE169" s="70"/>
      <c r="AF169" s="70"/>
      <c r="AG169" s="201"/>
      <c r="AH169" s="202"/>
      <c r="AI169" s="201"/>
      <c r="AJ169" s="201"/>
      <c r="AK169" s="70"/>
      <c r="AL169" s="70"/>
      <c r="AM169" s="70"/>
      <c r="AN169" s="70"/>
      <c r="AO169" s="70"/>
      <c r="AP169" s="70"/>
      <c r="AQ169" s="70"/>
      <c r="AR169" s="70"/>
      <c r="AS169" s="70"/>
      <c r="AT169" s="70"/>
      <c r="AU169" s="70"/>
      <c r="AV169" s="70"/>
      <c r="AW169" s="70"/>
      <c r="AX169" s="70"/>
    </row>
    <row r="170">
      <c r="A170" s="8"/>
      <c r="B170" s="70"/>
      <c r="C170" s="70"/>
      <c r="D170" s="70"/>
      <c r="E170" s="8"/>
      <c r="F170" s="70"/>
      <c r="G170" s="70"/>
      <c r="H170" s="70"/>
      <c r="I170" s="8"/>
      <c r="J170" s="70"/>
      <c r="K170" s="70"/>
      <c r="L170" s="70"/>
      <c r="M170" s="8"/>
      <c r="N170" s="70"/>
      <c r="O170" s="70"/>
      <c r="P170" s="70"/>
      <c r="Q170" s="8"/>
      <c r="R170" s="70"/>
      <c r="S170" s="70"/>
      <c r="T170" s="70"/>
      <c r="U170" s="8"/>
      <c r="V170" s="70"/>
      <c r="W170" s="70"/>
      <c r="X170" s="70"/>
      <c r="Y170" s="200"/>
      <c r="Z170" s="195"/>
      <c r="AA170" s="195"/>
      <c r="AB170" s="195"/>
      <c r="AC170" s="8"/>
      <c r="AD170" s="70"/>
      <c r="AE170" s="70"/>
      <c r="AF170" s="70"/>
      <c r="AG170" s="201"/>
      <c r="AH170" s="202"/>
      <c r="AI170" s="201"/>
      <c r="AJ170" s="201"/>
      <c r="AK170" s="70"/>
      <c r="AL170" s="70"/>
      <c r="AM170" s="70"/>
      <c r="AN170" s="70"/>
      <c r="AO170" s="70"/>
      <c r="AP170" s="70"/>
      <c r="AQ170" s="70"/>
      <c r="AR170" s="70"/>
      <c r="AS170" s="70"/>
      <c r="AT170" s="70"/>
      <c r="AU170" s="70"/>
      <c r="AV170" s="70"/>
      <c r="AW170" s="70"/>
      <c r="AX170" s="70"/>
    </row>
    <row r="171">
      <c r="A171" s="8"/>
      <c r="B171" s="70"/>
      <c r="C171" s="70"/>
      <c r="D171" s="70"/>
      <c r="E171" s="8"/>
      <c r="F171" s="70"/>
      <c r="G171" s="70"/>
      <c r="H171" s="70"/>
      <c r="I171" s="8"/>
      <c r="J171" s="70"/>
      <c r="K171" s="70"/>
      <c r="L171" s="70"/>
      <c r="M171" s="8"/>
      <c r="N171" s="70"/>
      <c r="O171" s="70"/>
      <c r="P171" s="70"/>
      <c r="Q171" s="8"/>
      <c r="R171" s="70"/>
      <c r="S171" s="70"/>
      <c r="T171" s="70"/>
      <c r="U171" s="8"/>
      <c r="V171" s="70"/>
      <c r="W171" s="70"/>
      <c r="X171" s="70"/>
      <c r="Y171" s="200"/>
      <c r="Z171" s="195"/>
      <c r="AA171" s="195"/>
      <c r="AB171" s="195"/>
      <c r="AC171" s="8"/>
      <c r="AD171" s="70"/>
      <c r="AE171" s="70"/>
      <c r="AF171" s="70"/>
      <c r="AG171" s="201"/>
      <c r="AH171" s="202"/>
      <c r="AI171" s="201"/>
      <c r="AJ171" s="201"/>
      <c r="AK171" s="70"/>
      <c r="AL171" s="70"/>
      <c r="AM171" s="70"/>
      <c r="AN171" s="70"/>
      <c r="AO171" s="70"/>
      <c r="AP171" s="70"/>
      <c r="AQ171" s="70"/>
      <c r="AR171" s="70"/>
      <c r="AS171" s="70"/>
      <c r="AT171" s="70"/>
      <c r="AU171" s="70"/>
      <c r="AV171" s="70"/>
      <c r="AW171" s="70"/>
      <c r="AX171" s="70"/>
    </row>
    <row r="172">
      <c r="A172" s="8"/>
      <c r="B172" s="70"/>
      <c r="C172" s="70"/>
      <c r="D172" s="70"/>
      <c r="E172" s="8"/>
      <c r="F172" s="70"/>
      <c r="G172" s="70"/>
      <c r="H172" s="70"/>
      <c r="I172" s="8"/>
      <c r="J172" s="70"/>
      <c r="K172" s="70"/>
      <c r="L172" s="70"/>
      <c r="M172" s="8"/>
      <c r="N172" s="70"/>
      <c r="O172" s="70"/>
      <c r="P172" s="70"/>
      <c r="Q172" s="8"/>
      <c r="R172" s="70"/>
      <c r="S172" s="70"/>
      <c r="T172" s="70"/>
      <c r="U172" s="8"/>
      <c r="V172" s="70"/>
      <c r="W172" s="70"/>
      <c r="X172" s="70"/>
      <c r="Y172" s="200"/>
      <c r="Z172" s="195"/>
      <c r="AA172" s="195"/>
      <c r="AB172" s="195"/>
      <c r="AC172" s="8"/>
      <c r="AD172" s="70"/>
      <c r="AE172" s="70"/>
      <c r="AF172" s="70"/>
      <c r="AG172" s="201"/>
      <c r="AH172" s="202"/>
      <c r="AI172" s="201"/>
      <c r="AJ172" s="201"/>
      <c r="AK172" s="70"/>
      <c r="AL172" s="70"/>
      <c r="AM172" s="70"/>
      <c r="AN172" s="70"/>
      <c r="AO172" s="70"/>
      <c r="AP172" s="70"/>
      <c r="AQ172" s="70"/>
      <c r="AR172" s="70"/>
      <c r="AS172" s="70"/>
      <c r="AT172" s="70"/>
      <c r="AU172" s="70"/>
      <c r="AV172" s="70"/>
      <c r="AW172" s="70"/>
      <c r="AX172" s="70"/>
    </row>
    <row r="173">
      <c r="A173" s="8"/>
      <c r="B173" s="70"/>
      <c r="C173" s="70"/>
      <c r="D173" s="70"/>
      <c r="E173" s="8"/>
      <c r="F173" s="70"/>
      <c r="G173" s="70"/>
      <c r="H173" s="70"/>
      <c r="I173" s="8"/>
      <c r="J173" s="70"/>
      <c r="K173" s="70"/>
      <c r="L173" s="70"/>
      <c r="M173" s="8"/>
      <c r="N173" s="70"/>
      <c r="O173" s="70"/>
      <c r="P173" s="70"/>
      <c r="Q173" s="8"/>
      <c r="R173" s="70"/>
      <c r="S173" s="70"/>
      <c r="T173" s="70"/>
      <c r="U173" s="8"/>
      <c r="V173" s="70"/>
      <c r="W173" s="70"/>
      <c r="X173" s="70"/>
      <c r="Y173" s="200"/>
      <c r="Z173" s="195"/>
      <c r="AA173" s="195"/>
      <c r="AB173" s="195"/>
      <c r="AC173" s="8"/>
      <c r="AD173" s="70"/>
      <c r="AE173" s="70"/>
      <c r="AF173" s="70"/>
      <c r="AG173" s="201"/>
      <c r="AH173" s="202"/>
      <c r="AI173" s="201"/>
      <c r="AJ173" s="201"/>
      <c r="AK173" s="70"/>
      <c r="AL173" s="70"/>
      <c r="AM173" s="70"/>
      <c r="AN173" s="70"/>
      <c r="AO173" s="70"/>
      <c r="AP173" s="70"/>
      <c r="AQ173" s="70"/>
      <c r="AR173" s="70"/>
      <c r="AS173" s="70"/>
      <c r="AT173" s="70"/>
      <c r="AU173" s="70"/>
      <c r="AV173" s="70"/>
      <c r="AW173" s="70"/>
      <c r="AX173" s="70"/>
    </row>
    <row r="174">
      <c r="A174" s="8"/>
      <c r="B174" s="70"/>
      <c r="C174" s="70"/>
      <c r="D174" s="70"/>
      <c r="E174" s="8"/>
      <c r="F174" s="70"/>
      <c r="G174" s="70"/>
      <c r="H174" s="70"/>
      <c r="I174" s="8"/>
      <c r="J174" s="70"/>
      <c r="K174" s="70"/>
      <c r="L174" s="70"/>
      <c r="M174" s="8"/>
      <c r="N174" s="70"/>
      <c r="O174" s="70"/>
      <c r="P174" s="70"/>
      <c r="Q174" s="8"/>
      <c r="R174" s="70"/>
      <c r="S174" s="70"/>
      <c r="T174" s="70"/>
      <c r="U174" s="8"/>
      <c r="V174" s="70"/>
      <c r="W174" s="70"/>
      <c r="X174" s="70"/>
      <c r="Y174" s="200"/>
      <c r="Z174" s="195"/>
      <c r="AA174" s="195"/>
      <c r="AB174" s="195"/>
      <c r="AC174" s="8"/>
      <c r="AD174" s="70"/>
      <c r="AE174" s="70"/>
      <c r="AF174" s="70"/>
      <c r="AG174" s="201"/>
      <c r="AH174" s="202"/>
      <c r="AI174" s="201"/>
      <c r="AJ174" s="201"/>
      <c r="AK174" s="70"/>
      <c r="AL174" s="70"/>
      <c r="AM174" s="70"/>
      <c r="AN174" s="70"/>
      <c r="AO174" s="70"/>
      <c r="AP174" s="70"/>
      <c r="AQ174" s="70"/>
      <c r="AR174" s="70"/>
      <c r="AS174" s="70"/>
      <c r="AT174" s="70"/>
      <c r="AU174" s="70"/>
      <c r="AV174" s="70"/>
      <c r="AW174" s="70"/>
      <c r="AX174" s="70"/>
    </row>
    <row r="175">
      <c r="A175" s="8"/>
      <c r="B175" s="70"/>
      <c r="C175" s="70"/>
      <c r="D175" s="70"/>
      <c r="E175" s="8"/>
      <c r="F175" s="70"/>
      <c r="G175" s="70"/>
      <c r="H175" s="70"/>
      <c r="I175" s="8"/>
      <c r="J175" s="70"/>
      <c r="K175" s="70"/>
      <c r="L175" s="70"/>
      <c r="M175" s="8"/>
      <c r="N175" s="70"/>
      <c r="O175" s="70"/>
      <c r="P175" s="70"/>
      <c r="Q175" s="8"/>
      <c r="R175" s="70"/>
      <c r="S175" s="70"/>
      <c r="T175" s="70"/>
      <c r="U175" s="8"/>
      <c r="V175" s="70"/>
      <c r="W175" s="70"/>
      <c r="X175" s="70"/>
      <c r="Y175" s="200"/>
      <c r="Z175" s="195"/>
      <c r="AA175" s="195"/>
      <c r="AB175" s="195"/>
      <c r="AC175" s="8"/>
      <c r="AD175" s="70"/>
      <c r="AE175" s="70"/>
      <c r="AF175" s="70"/>
      <c r="AG175" s="201"/>
      <c r="AH175" s="202"/>
      <c r="AI175" s="201"/>
      <c r="AJ175" s="201"/>
      <c r="AK175" s="70"/>
      <c r="AL175" s="70"/>
      <c r="AM175" s="70"/>
      <c r="AN175" s="70"/>
      <c r="AO175" s="70"/>
      <c r="AP175" s="70"/>
      <c r="AQ175" s="70"/>
      <c r="AR175" s="70"/>
      <c r="AS175" s="70"/>
      <c r="AT175" s="70"/>
      <c r="AU175" s="70"/>
      <c r="AV175" s="70"/>
      <c r="AW175" s="70"/>
      <c r="AX175" s="70"/>
    </row>
    <row r="176">
      <c r="A176" s="8"/>
      <c r="B176" s="70"/>
      <c r="C176" s="70"/>
      <c r="D176" s="70"/>
      <c r="E176" s="8"/>
      <c r="F176" s="70"/>
      <c r="G176" s="70"/>
      <c r="H176" s="70"/>
      <c r="I176" s="8"/>
      <c r="J176" s="70"/>
      <c r="K176" s="70"/>
      <c r="L176" s="70"/>
      <c r="M176" s="8"/>
      <c r="N176" s="70"/>
      <c r="O176" s="70"/>
      <c r="P176" s="70"/>
      <c r="Q176" s="8"/>
      <c r="R176" s="70"/>
      <c r="S176" s="70"/>
      <c r="T176" s="70"/>
      <c r="U176" s="8"/>
      <c r="V176" s="70"/>
      <c r="W176" s="70"/>
      <c r="X176" s="70"/>
      <c r="Y176" s="200"/>
      <c r="Z176" s="195"/>
      <c r="AA176" s="195"/>
      <c r="AB176" s="195"/>
      <c r="AC176" s="8"/>
      <c r="AD176" s="70"/>
      <c r="AE176" s="70"/>
      <c r="AF176" s="70"/>
      <c r="AG176" s="201"/>
      <c r="AH176" s="202"/>
      <c r="AI176" s="201"/>
      <c r="AJ176" s="201"/>
      <c r="AK176" s="70"/>
      <c r="AL176" s="70"/>
      <c r="AM176" s="70"/>
      <c r="AN176" s="70"/>
      <c r="AO176" s="70"/>
      <c r="AP176" s="70"/>
      <c r="AQ176" s="70"/>
      <c r="AR176" s="70"/>
      <c r="AS176" s="70"/>
      <c r="AT176" s="70"/>
      <c r="AU176" s="70"/>
      <c r="AV176" s="70"/>
      <c r="AW176" s="70"/>
      <c r="AX176" s="70"/>
    </row>
    <row r="177">
      <c r="A177" s="8"/>
      <c r="B177" s="70"/>
      <c r="C177" s="70"/>
      <c r="D177" s="70"/>
      <c r="E177" s="8"/>
      <c r="F177" s="70"/>
      <c r="G177" s="70"/>
      <c r="H177" s="70"/>
      <c r="I177" s="8"/>
      <c r="J177" s="70"/>
      <c r="K177" s="70"/>
      <c r="L177" s="70"/>
      <c r="M177" s="8"/>
      <c r="N177" s="70"/>
      <c r="O177" s="70"/>
      <c r="P177" s="70"/>
      <c r="Q177" s="8"/>
      <c r="R177" s="70"/>
      <c r="S177" s="70"/>
      <c r="T177" s="70"/>
      <c r="U177" s="8"/>
      <c r="V177" s="70"/>
      <c r="W177" s="70"/>
      <c r="X177" s="70"/>
      <c r="Y177" s="200"/>
      <c r="Z177" s="195"/>
      <c r="AA177" s="195"/>
      <c r="AB177" s="195"/>
      <c r="AC177" s="8"/>
      <c r="AD177" s="70"/>
      <c r="AE177" s="70"/>
      <c r="AF177" s="70"/>
      <c r="AG177" s="201"/>
      <c r="AH177" s="202"/>
      <c r="AI177" s="201"/>
      <c r="AJ177" s="201"/>
      <c r="AK177" s="70"/>
      <c r="AL177" s="70"/>
      <c r="AM177" s="70"/>
      <c r="AN177" s="70"/>
      <c r="AO177" s="70"/>
      <c r="AP177" s="70"/>
      <c r="AQ177" s="70"/>
      <c r="AR177" s="70"/>
      <c r="AS177" s="70"/>
      <c r="AT177" s="70"/>
      <c r="AU177" s="70"/>
      <c r="AV177" s="70"/>
      <c r="AW177" s="70"/>
      <c r="AX177" s="70"/>
    </row>
    <row r="178">
      <c r="A178" s="8"/>
      <c r="B178" s="70"/>
      <c r="C178" s="70"/>
      <c r="D178" s="70"/>
      <c r="E178" s="8"/>
      <c r="F178" s="70"/>
      <c r="G178" s="70"/>
      <c r="H178" s="70"/>
      <c r="I178" s="8"/>
      <c r="J178" s="70"/>
      <c r="K178" s="70"/>
      <c r="L178" s="70"/>
      <c r="M178" s="8"/>
      <c r="N178" s="70"/>
      <c r="O178" s="70"/>
      <c r="P178" s="70"/>
      <c r="Q178" s="8"/>
      <c r="R178" s="70"/>
      <c r="S178" s="70"/>
      <c r="T178" s="70"/>
      <c r="U178" s="8"/>
      <c r="V178" s="70"/>
      <c r="W178" s="70"/>
      <c r="X178" s="70"/>
      <c r="Y178" s="200"/>
      <c r="Z178" s="195"/>
      <c r="AA178" s="195"/>
      <c r="AB178" s="195"/>
      <c r="AC178" s="8"/>
      <c r="AD178" s="70"/>
      <c r="AE178" s="70"/>
      <c r="AF178" s="70"/>
      <c r="AG178" s="201"/>
      <c r="AH178" s="202"/>
      <c r="AI178" s="201"/>
      <c r="AJ178" s="201"/>
      <c r="AK178" s="70"/>
      <c r="AL178" s="70"/>
      <c r="AM178" s="70"/>
      <c r="AN178" s="70"/>
      <c r="AO178" s="70"/>
      <c r="AP178" s="70"/>
      <c r="AQ178" s="70"/>
      <c r="AR178" s="70"/>
      <c r="AS178" s="70"/>
      <c r="AT178" s="70"/>
      <c r="AU178" s="70"/>
      <c r="AV178" s="70"/>
      <c r="AW178" s="70"/>
      <c r="AX178" s="70"/>
    </row>
    <row r="179">
      <c r="A179" s="8"/>
      <c r="B179" s="70"/>
      <c r="C179" s="70"/>
      <c r="D179" s="70"/>
      <c r="E179" s="8"/>
      <c r="F179" s="70"/>
      <c r="G179" s="70"/>
      <c r="H179" s="70"/>
      <c r="I179" s="8"/>
      <c r="J179" s="70"/>
      <c r="K179" s="70"/>
      <c r="L179" s="70"/>
      <c r="M179" s="8"/>
      <c r="N179" s="70"/>
      <c r="O179" s="70"/>
      <c r="P179" s="70"/>
      <c r="Q179" s="8"/>
      <c r="R179" s="70"/>
      <c r="S179" s="70"/>
      <c r="T179" s="70"/>
      <c r="U179" s="8"/>
      <c r="V179" s="70"/>
      <c r="W179" s="70"/>
      <c r="X179" s="70"/>
      <c r="Y179" s="200"/>
      <c r="Z179" s="195"/>
      <c r="AA179" s="195"/>
      <c r="AB179" s="195"/>
      <c r="AC179" s="8"/>
      <c r="AD179" s="70"/>
      <c r="AE179" s="70"/>
      <c r="AF179" s="70"/>
      <c r="AG179" s="201"/>
      <c r="AH179" s="202"/>
      <c r="AI179" s="201"/>
      <c r="AJ179" s="201"/>
      <c r="AK179" s="70"/>
      <c r="AL179" s="70"/>
      <c r="AM179" s="70"/>
      <c r="AN179" s="70"/>
      <c r="AO179" s="70"/>
      <c r="AP179" s="70"/>
      <c r="AQ179" s="70"/>
      <c r="AR179" s="70"/>
      <c r="AS179" s="70"/>
      <c r="AT179" s="70"/>
      <c r="AU179" s="70"/>
      <c r="AV179" s="70"/>
      <c r="AW179" s="70"/>
      <c r="AX179" s="70"/>
    </row>
    <row r="180">
      <c r="A180" s="8"/>
      <c r="B180" s="70"/>
      <c r="C180" s="70"/>
      <c r="D180" s="70"/>
      <c r="E180" s="8"/>
      <c r="F180" s="70"/>
      <c r="G180" s="70"/>
      <c r="H180" s="70"/>
      <c r="I180" s="8"/>
      <c r="J180" s="70"/>
      <c r="K180" s="70"/>
      <c r="L180" s="70"/>
      <c r="M180" s="8"/>
      <c r="N180" s="70"/>
      <c r="O180" s="70"/>
      <c r="P180" s="70"/>
      <c r="Q180" s="8"/>
      <c r="R180" s="70"/>
      <c r="S180" s="70"/>
      <c r="T180" s="70"/>
      <c r="U180" s="8"/>
      <c r="V180" s="70"/>
      <c r="W180" s="70"/>
      <c r="X180" s="70"/>
      <c r="Y180" s="200"/>
      <c r="Z180" s="195"/>
      <c r="AA180" s="195"/>
      <c r="AB180" s="195"/>
      <c r="AC180" s="8"/>
      <c r="AD180" s="70"/>
      <c r="AE180" s="70"/>
      <c r="AF180" s="70"/>
      <c r="AG180" s="201"/>
      <c r="AH180" s="202"/>
      <c r="AI180" s="201"/>
      <c r="AJ180" s="201"/>
      <c r="AK180" s="70"/>
      <c r="AL180" s="70"/>
      <c r="AM180" s="70"/>
      <c r="AN180" s="70"/>
      <c r="AO180" s="70"/>
      <c r="AP180" s="70"/>
      <c r="AQ180" s="70"/>
      <c r="AR180" s="70"/>
      <c r="AS180" s="70"/>
      <c r="AT180" s="70"/>
      <c r="AU180" s="70"/>
      <c r="AV180" s="70"/>
      <c r="AW180" s="70"/>
      <c r="AX180" s="70"/>
    </row>
    <row r="181">
      <c r="A181" s="8"/>
      <c r="B181" s="70"/>
      <c r="C181" s="70"/>
      <c r="D181" s="70"/>
      <c r="E181" s="8"/>
      <c r="F181" s="70"/>
      <c r="G181" s="70"/>
      <c r="H181" s="70"/>
      <c r="I181" s="8"/>
      <c r="J181" s="70"/>
      <c r="K181" s="70"/>
      <c r="L181" s="70"/>
      <c r="M181" s="8"/>
      <c r="N181" s="70"/>
      <c r="O181" s="70"/>
      <c r="P181" s="70"/>
      <c r="Q181" s="8"/>
      <c r="R181" s="70"/>
      <c r="S181" s="70"/>
      <c r="T181" s="70"/>
      <c r="U181" s="8"/>
      <c r="V181" s="70"/>
      <c r="W181" s="70"/>
      <c r="X181" s="70"/>
      <c r="Y181" s="200"/>
      <c r="Z181" s="195"/>
      <c r="AA181" s="195"/>
      <c r="AB181" s="195"/>
      <c r="AC181" s="8"/>
      <c r="AD181" s="70"/>
      <c r="AE181" s="70"/>
      <c r="AF181" s="70"/>
      <c r="AG181" s="201"/>
      <c r="AH181" s="202"/>
      <c r="AI181" s="201"/>
      <c r="AJ181" s="201"/>
      <c r="AK181" s="70"/>
      <c r="AL181" s="70"/>
      <c r="AM181" s="70"/>
      <c r="AN181" s="70"/>
      <c r="AO181" s="70"/>
      <c r="AP181" s="70"/>
      <c r="AQ181" s="70"/>
      <c r="AR181" s="70"/>
      <c r="AS181" s="70"/>
      <c r="AT181" s="70"/>
      <c r="AU181" s="70"/>
      <c r="AV181" s="70"/>
      <c r="AW181" s="70"/>
      <c r="AX181" s="70"/>
    </row>
    <row r="182">
      <c r="A182" s="8"/>
      <c r="B182" s="70"/>
      <c r="C182" s="70"/>
      <c r="D182" s="70"/>
      <c r="E182" s="8"/>
      <c r="F182" s="70"/>
      <c r="G182" s="70"/>
      <c r="H182" s="70"/>
      <c r="I182" s="8"/>
      <c r="J182" s="70"/>
      <c r="K182" s="70"/>
      <c r="L182" s="70"/>
      <c r="M182" s="8"/>
      <c r="N182" s="70"/>
      <c r="O182" s="70"/>
      <c r="P182" s="70"/>
      <c r="Q182" s="8"/>
      <c r="R182" s="70"/>
      <c r="S182" s="70"/>
      <c r="T182" s="70"/>
      <c r="U182" s="8"/>
      <c r="V182" s="70"/>
      <c r="W182" s="70"/>
      <c r="X182" s="70"/>
      <c r="Y182" s="200"/>
      <c r="Z182" s="195"/>
      <c r="AA182" s="195"/>
      <c r="AB182" s="195"/>
      <c r="AC182" s="8"/>
      <c r="AD182" s="70"/>
      <c r="AE182" s="70"/>
      <c r="AF182" s="70"/>
      <c r="AG182" s="201"/>
      <c r="AH182" s="202"/>
      <c r="AI182" s="201"/>
      <c r="AJ182" s="201"/>
      <c r="AK182" s="70"/>
      <c r="AL182" s="70"/>
      <c r="AM182" s="70"/>
      <c r="AN182" s="70"/>
      <c r="AO182" s="70"/>
      <c r="AP182" s="70"/>
      <c r="AQ182" s="70"/>
      <c r="AR182" s="70"/>
      <c r="AS182" s="70"/>
      <c r="AT182" s="70"/>
      <c r="AU182" s="70"/>
      <c r="AV182" s="70"/>
      <c r="AW182" s="70"/>
      <c r="AX182" s="70"/>
    </row>
    <row r="183">
      <c r="A183" s="8"/>
      <c r="B183" s="70"/>
      <c r="C183" s="70"/>
      <c r="D183" s="70"/>
      <c r="E183" s="8"/>
      <c r="F183" s="70"/>
      <c r="G183" s="70"/>
      <c r="H183" s="70"/>
      <c r="I183" s="8"/>
      <c r="J183" s="70"/>
      <c r="K183" s="70"/>
      <c r="L183" s="70"/>
      <c r="M183" s="8"/>
      <c r="N183" s="70"/>
      <c r="O183" s="70"/>
      <c r="P183" s="70"/>
      <c r="Q183" s="8"/>
      <c r="R183" s="70"/>
      <c r="S183" s="70"/>
      <c r="T183" s="70"/>
      <c r="U183" s="8"/>
      <c r="V183" s="70"/>
      <c r="W183" s="70"/>
      <c r="X183" s="70"/>
      <c r="Y183" s="200"/>
      <c r="Z183" s="195"/>
      <c r="AA183" s="195"/>
      <c r="AB183" s="195"/>
      <c r="AC183" s="8"/>
      <c r="AD183" s="70"/>
      <c r="AE183" s="70"/>
      <c r="AF183" s="70"/>
      <c r="AG183" s="201"/>
      <c r="AH183" s="202"/>
      <c r="AI183" s="201"/>
      <c r="AJ183" s="201"/>
      <c r="AK183" s="70"/>
      <c r="AL183" s="70"/>
      <c r="AM183" s="70"/>
      <c r="AN183" s="70"/>
      <c r="AO183" s="70"/>
      <c r="AP183" s="70"/>
      <c r="AQ183" s="70"/>
      <c r="AR183" s="70"/>
      <c r="AS183" s="70"/>
      <c r="AT183" s="70"/>
      <c r="AU183" s="70"/>
      <c r="AV183" s="70"/>
      <c r="AW183" s="70"/>
      <c r="AX183" s="70"/>
    </row>
    <row r="184">
      <c r="A184" s="8"/>
      <c r="B184" s="70"/>
      <c r="C184" s="70"/>
      <c r="D184" s="70"/>
      <c r="E184" s="8"/>
      <c r="F184" s="70"/>
      <c r="G184" s="70"/>
      <c r="H184" s="70"/>
      <c r="I184" s="8"/>
      <c r="J184" s="70"/>
      <c r="K184" s="70"/>
      <c r="L184" s="70"/>
      <c r="M184" s="8"/>
      <c r="N184" s="70"/>
      <c r="O184" s="70"/>
      <c r="P184" s="70"/>
      <c r="Q184" s="8"/>
      <c r="R184" s="70"/>
      <c r="S184" s="70"/>
      <c r="T184" s="70"/>
      <c r="U184" s="8"/>
      <c r="V184" s="70"/>
      <c r="W184" s="70"/>
      <c r="X184" s="70"/>
      <c r="Y184" s="200"/>
      <c r="Z184" s="195"/>
      <c r="AA184" s="195"/>
      <c r="AB184" s="195"/>
      <c r="AC184" s="8"/>
      <c r="AD184" s="70"/>
      <c r="AE184" s="70"/>
      <c r="AF184" s="70"/>
      <c r="AG184" s="201"/>
      <c r="AH184" s="202"/>
      <c r="AI184" s="201"/>
      <c r="AJ184" s="201"/>
      <c r="AK184" s="70"/>
      <c r="AL184" s="70"/>
      <c r="AM184" s="70"/>
      <c r="AN184" s="70"/>
      <c r="AO184" s="70"/>
      <c r="AP184" s="70"/>
      <c r="AQ184" s="70"/>
      <c r="AR184" s="70"/>
      <c r="AS184" s="70"/>
      <c r="AT184" s="70"/>
      <c r="AU184" s="70"/>
      <c r="AV184" s="70"/>
      <c r="AW184" s="70"/>
      <c r="AX184" s="70"/>
    </row>
    <row r="185">
      <c r="A185" s="8"/>
      <c r="B185" s="70"/>
      <c r="C185" s="70"/>
      <c r="D185" s="70"/>
      <c r="E185" s="8"/>
      <c r="F185" s="70"/>
      <c r="G185" s="70"/>
      <c r="H185" s="70"/>
      <c r="I185" s="8"/>
      <c r="J185" s="70"/>
      <c r="K185" s="70"/>
      <c r="L185" s="70"/>
      <c r="M185" s="8"/>
      <c r="N185" s="70"/>
      <c r="O185" s="70"/>
      <c r="P185" s="70"/>
      <c r="Q185" s="8"/>
      <c r="R185" s="70"/>
      <c r="S185" s="70"/>
      <c r="T185" s="70"/>
      <c r="U185" s="8"/>
      <c r="V185" s="70"/>
      <c r="W185" s="70"/>
      <c r="X185" s="70"/>
      <c r="Y185" s="200"/>
      <c r="Z185" s="195"/>
      <c r="AA185" s="195"/>
      <c r="AB185" s="195"/>
      <c r="AC185" s="8"/>
      <c r="AD185" s="70"/>
      <c r="AE185" s="70"/>
      <c r="AF185" s="70"/>
      <c r="AG185" s="201"/>
      <c r="AH185" s="202"/>
      <c r="AI185" s="201"/>
      <c r="AJ185" s="201"/>
      <c r="AK185" s="70"/>
      <c r="AL185" s="70"/>
      <c r="AM185" s="70"/>
      <c r="AN185" s="70"/>
      <c r="AO185" s="70"/>
      <c r="AP185" s="70"/>
      <c r="AQ185" s="70"/>
      <c r="AR185" s="70"/>
      <c r="AS185" s="70"/>
      <c r="AT185" s="70"/>
      <c r="AU185" s="70"/>
      <c r="AV185" s="70"/>
      <c r="AW185" s="70"/>
      <c r="AX185" s="70"/>
    </row>
    <row r="186">
      <c r="A186" s="8"/>
      <c r="B186" s="70"/>
      <c r="C186" s="70"/>
      <c r="D186" s="70"/>
      <c r="E186" s="8"/>
      <c r="F186" s="70"/>
      <c r="G186" s="70"/>
      <c r="H186" s="70"/>
      <c r="I186" s="8"/>
      <c r="J186" s="70"/>
      <c r="K186" s="70"/>
      <c r="L186" s="70"/>
      <c r="M186" s="8"/>
      <c r="N186" s="70"/>
      <c r="O186" s="70"/>
      <c r="P186" s="70"/>
      <c r="Q186" s="8"/>
      <c r="R186" s="70"/>
      <c r="S186" s="70"/>
      <c r="T186" s="70"/>
      <c r="U186" s="8"/>
      <c r="V186" s="70"/>
      <c r="W186" s="70"/>
      <c r="X186" s="70"/>
      <c r="Y186" s="200"/>
      <c r="Z186" s="195"/>
      <c r="AA186" s="195"/>
      <c r="AB186" s="195"/>
      <c r="AC186" s="8"/>
      <c r="AD186" s="70"/>
      <c r="AE186" s="70"/>
      <c r="AF186" s="70"/>
      <c r="AG186" s="201"/>
      <c r="AH186" s="202"/>
      <c r="AI186" s="201"/>
      <c r="AJ186" s="201"/>
      <c r="AK186" s="70"/>
      <c r="AL186" s="70"/>
      <c r="AM186" s="70"/>
      <c r="AN186" s="70"/>
      <c r="AO186" s="70"/>
      <c r="AP186" s="70"/>
      <c r="AQ186" s="70"/>
      <c r="AR186" s="70"/>
      <c r="AS186" s="70"/>
      <c r="AT186" s="70"/>
      <c r="AU186" s="70"/>
      <c r="AV186" s="70"/>
      <c r="AW186" s="70"/>
      <c r="AX186" s="70"/>
    </row>
    <row r="187">
      <c r="A187" s="8"/>
      <c r="B187" s="70"/>
      <c r="C187" s="70"/>
      <c r="D187" s="70"/>
      <c r="E187" s="8"/>
      <c r="F187" s="70"/>
      <c r="G187" s="70"/>
      <c r="H187" s="70"/>
      <c r="I187" s="8"/>
      <c r="J187" s="70"/>
      <c r="K187" s="70"/>
      <c r="L187" s="70"/>
      <c r="M187" s="8"/>
      <c r="N187" s="70"/>
      <c r="O187" s="70"/>
      <c r="P187" s="70"/>
      <c r="Q187" s="8"/>
      <c r="R187" s="70"/>
      <c r="S187" s="70"/>
      <c r="T187" s="70"/>
      <c r="U187" s="8"/>
      <c r="V187" s="70"/>
      <c r="W187" s="70"/>
      <c r="X187" s="70"/>
      <c r="Y187" s="200"/>
      <c r="Z187" s="195"/>
      <c r="AA187" s="195"/>
      <c r="AB187" s="195"/>
      <c r="AC187" s="8"/>
      <c r="AD187" s="70"/>
      <c r="AE187" s="70"/>
      <c r="AF187" s="70"/>
      <c r="AG187" s="201"/>
      <c r="AH187" s="202"/>
      <c r="AI187" s="201"/>
      <c r="AJ187" s="201"/>
      <c r="AK187" s="70"/>
      <c r="AL187" s="70"/>
      <c r="AM187" s="70"/>
      <c r="AN187" s="70"/>
      <c r="AO187" s="70"/>
      <c r="AP187" s="70"/>
      <c r="AQ187" s="70"/>
      <c r="AR187" s="70"/>
      <c r="AS187" s="70"/>
      <c r="AT187" s="70"/>
      <c r="AU187" s="70"/>
      <c r="AV187" s="70"/>
      <c r="AW187" s="70"/>
      <c r="AX187" s="70"/>
    </row>
    <row r="188">
      <c r="A188" s="8"/>
      <c r="B188" s="70"/>
      <c r="C188" s="70"/>
      <c r="D188" s="70"/>
      <c r="E188" s="8"/>
      <c r="F188" s="70"/>
      <c r="G188" s="70"/>
      <c r="H188" s="70"/>
      <c r="I188" s="8"/>
      <c r="J188" s="70"/>
      <c r="K188" s="70"/>
      <c r="L188" s="70"/>
      <c r="M188" s="8"/>
      <c r="N188" s="70"/>
      <c r="O188" s="70"/>
      <c r="P188" s="70"/>
      <c r="Q188" s="8"/>
      <c r="R188" s="70"/>
      <c r="S188" s="70"/>
      <c r="T188" s="70"/>
      <c r="U188" s="8"/>
      <c r="V188" s="70"/>
      <c r="W188" s="70"/>
      <c r="X188" s="70"/>
      <c r="Y188" s="200"/>
      <c r="Z188" s="195"/>
      <c r="AA188" s="195"/>
      <c r="AB188" s="195"/>
      <c r="AC188" s="8"/>
      <c r="AD188" s="70"/>
      <c r="AE188" s="70"/>
      <c r="AF188" s="70"/>
      <c r="AG188" s="201"/>
      <c r="AH188" s="202"/>
      <c r="AI188" s="201"/>
      <c r="AJ188" s="201"/>
      <c r="AK188" s="70"/>
      <c r="AL188" s="70"/>
      <c r="AM188" s="70"/>
      <c r="AN188" s="70"/>
      <c r="AO188" s="70"/>
      <c r="AP188" s="70"/>
      <c r="AQ188" s="70"/>
      <c r="AR188" s="70"/>
      <c r="AS188" s="70"/>
      <c r="AT188" s="70"/>
      <c r="AU188" s="70"/>
      <c r="AV188" s="70"/>
      <c r="AW188" s="70"/>
      <c r="AX188" s="70"/>
    </row>
    <row r="189">
      <c r="A189" s="8"/>
      <c r="B189" s="70"/>
      <c r="C189" s="70"/>
      <c r="D189" s="70"/>
      <c r="E189" s="8"/>
      <c r="F189" s="70"/>
      <c r="G189" s="70"/>
      <c r="H189" s="70"/>
      <c r="I189" s="8"/>
      <c r="J189" s="70"/>
      <c r="K189" s="70"/>
      <c r="L189" s="70"/>
      <c r="M189" s="8"/>
      <c r="N189" s="70"/>
      <c r="O189" s="70"/>
      <c r="P189" s="70"/>
      <c r="Q189" s="8"/>
      <c r="R189" s="70"/>
      <c r="S189" s="70"/>
      <c r="T189" s="70"/>
      <c r="U189" s="8"/>
      <c r="V189" s="70"/>
      <c r="W189" s="70"/>
      <c r="X189" s="70"/>
      <c r="Y189" s="200"/>
      <c r="Z189" s="195"/>
      <c r="AA189" s="195"/>
      <c r="AB189" s="195"/>
      <c r="AC189" s="8"/>
      <c r="AD189" s="70"/>
      <c r="AE189" s="70"/>
      <c r="AF189" s="70"/>
      <c r="AG189" s="201"/>
      <c r="AH189" s="202"/>
      <c r="AI189" s="201"/>
      <c r="AJ189" s="201"/>
      <c r="AK189" s="70"/>
      <c r="AL189" s="70"/>
      <c r="AM189" s="70"/>
      <c r="AN189" s="70"/>
      <c r="AO189" s="70"/>
      <c r="AP189" s="70"/>
      <c r="AQ189" s="70"/>
      <c r="AR189" s="70"/>
      <c r="AS189" s="70"/>
      <c r="AT189" s="70"/>
      <c r="AU189" s="70"/>
      <c r="AV189" s="70"/>
      <c r="AW189" s="70"/>
      <c r="AX189" s="70"/>
    </row>
    <row r="190">
      <c r="A190" s="8"/>
      <c r="B190" s="70"/>
      <c r="C190" s="70"/>
      <c r="D190" s="70"/>
      <c r="E190" s="8"/>
      <c r="F190" s="70"/>
      <c r="G190" s="70"/>
      <c r="H190" s="70"/>
      <c r="I190" s="8"/>
      <c r="J190" s="70"/>
      <c r="K190" s="70"/>
      <c r="L190" s="70"/>
      <c r="M190" s="8"/>
      <c r="N190" s="70"/>
      <c r="O190" s="70"/>
      <c r="P190" s="70"/>
      <c r="Q190" s="8"/>
      <c r="R190" s="70"/>
      <c r="S190" s="70"/>
      <c r="T190" s="70"/>
      <c r="U190" s="8"/>
      <c r="V190" s="70"/>
      <c r="W190" s="70"/>
      <c r="X190" s="70"/>
      <c r="Y190" s="200"/>
      <c r="Z190" s="195"/>
      <c r="AA190" s="195"/>
      <c r="AB190" s="195"/>
      <c r="AC190" s="8"/>
      <c r="AD190" s="70"/>
      <c r="AE190" s="70"/>
      <c r="AF190" s="70"/>
      <c r="AG190" s="201"/>
      <c r="AH190" s="202"/>
      <c r="AI190" s="201"/>
      <c r="AJ190" s="201"/>
      <c r="AK190" s="70"/>
      <c r="AL190" s="70"/>
      <c r="AM190" s="70"/>
      <c r="AN190" s="70"/>
      <c r="AO190" s="70"/>
      <c r="AP190" s="70"/>
      <c r="AQ190" s="70"/>
      <c r="AR190" s="70"/>
      <c r="AS190" s="70"/>
      <c r="AT190" s="70"/>
      <c r="AU190" s="70"/>
      <c r="AV190" s="70"/>
      <c r="AW190" s="70"/>
      <c r="AX190" s="70"/>
    </row>
    <row r="191">
      <c r="A191" s="8"/>
      <c r="B191" s="70"/>
      <c r="C191" s="70"/>
      <c r="D191" s="70"/>
      <c r="E191" s="8"/>
      <c r="F191" s="70"/>
      <c r="G191" s="70"/>
      <c r="H191" s="70"/>
      <c r="I191" s="8"/>
      <c r="J191" s="70"/>
      <c r="K191" s="70"/>
      <c r="L191" s="70"/>
      <c r="M191" s="8"/>
      <c r="N191" s="70"/>
      <c r="O191" s="70"/>
      <c r="P191" s="70"/>
      <c r="Q191" s="8"/>
      <c r="R191" s="70"/>
      <c r="S191" s="70"/>
      <c r="T191" s="70"/>
      <c r="U191" s="8"/>
      <c r="V191" s="70"/>
      <c r="W191" s="70"/>
      <c r="X191" s="70"/>
      <c r="Y191" s="200"/>
      <c r="Z191" s="195"/>
      <c r="AA191" s="195"/>
      <c r="AB191" s="195"/>
      <c r="AC191" s="8"/>
      <c r="AD191" s="70"/>
      <c r="AE191" s="70"/>
      <c r="AF191" s="70"/>
      <c r="AG191" s="201"/>
      <c r="AH191" s="202"/>
      <c r="AI191" s="201"/>
      <c r="AJ191" s="201"/>
      <c r="AK191" s="70"/>
      <c r="AL191" s="70"/>
      <c r="AM191" s="70"/>
      <c r="AN191" s="70"/>
      <c r="AO191" s="70"/>
      <c r="AP191" s="70"/>
      <c r="AQ191" s="70"/>
      <c r="AR191" s="70"/>
      <c r="AS191" s="70"/>
      <c r="AT191" s="70"/>
      <c r="AU191" s="70"/>
      <c r="AV191" s="70"/>
      <c r="AW191" s="70"/>
      <c r="AX191" s="70"/>
    </row>
    <row r="192">
      <c r="A192" s="8"/>
      <c r="B192" s="70"/>
      <c r="C192" s="70"/>
      <c r="D192" s="70"/>
      <c r="E192" s="8"/>
      <c r="F192" s="70"/>
      <c r="G192" s="70"/>
      <c r="H192" s="70"/>
      <c r="I192" s="8"/>
      <c r="J192" s="70"/>
      <c r="K192" s="70"/>
      <c r="L192" s="70"/>
      <c r="M192" s="8"/>
      <c r="N192" s="70"/>
      <c r="O192" s="70"/>
      <c r="P192" s="70"/>
      <c r="Q192" s="8"/>
      <c r="R192" s="70"/>
      <c r="S192" s="70"/>
      <c r="T192" s="70"/>
      <c r="U192" s="8"/>
      <c r="V192" s="70"/>
      <c r="W192" s="70"/>
      <c r="X192" s="70"/>
      <c r="Y192" s="200"/>
      <c r="Z192" s="195"/>
      <c r="AA192" s="195"/>
      <c r="AB192" s="195"/>
      <c r="AC192" s="8"/>
      <c r="AD192" s="70"/>
      <c r="AE192" s="70"/>
      <c r="AF192" s="70"/>
      <c r="AG192" s="201"/>
      <c r="AH192" s="202"/>
      <c r="AI192" s="201"/>
      <c r="AJ192" s="201"/>
      <c r="AK192" s="70"/>
      <c r="AL192" s="70"/>
      <c r="AM192" s="70"/>
      <c r="AN192" s="70"/>
      <c r="AO192" s="70"/>
      <c r="AP192" s="70"/>
      <c r="AQ192" s="70"/>
      <c r="AR192" s="70"/>
      <c r="AS192" s="70"/>
      <c r="AT192" s="70"/>
      <c r="AU192" s="70"/>
      <c r="AV192" s="70"/>
      <c r="AW192" s="70"/>
      <c r="AX192" s="70"/>
    </row>
    <row r="193">
      <c r="A193" s="8"/>
      <c r="B193" s="70"/>
      <c r="C193" s="70"/>
      <c r="D193" s="70"/>
      <c r="E193" s="8"/>
      <c r="F193" s="70"/>
      <c r="G193" s="70"/>
      <c r="H193" s="70"/>
      <c r="I193" s="8"/>
      <c r="J193" s="70"/>
      <c r="K193" s="70"/>
      <c r="L193" s="70"/>
      <c r="M193" s="8"/>
      <c r="N193" s="70"/>
      <c r="O193" s="70"/>
      <c r="P193" s="70"/>
      <c r="Q193" s="8"/>
      <c r="R193" s="70"/>
      <c r="S193" s="70"/>
      <c r="T193" s="70"/>
      <c r="U193" s="8"/>
      <c r="V193" s="70"/>
      <c r="W193" s="70"/>
      <c r="X193" s="70"/>
      <c r="Y193" s="200"/>
      <c r="Z193" s="195"/>
      <c r="AA193" s="195"/>
      <c r="AB193" s="195"/>
      <c r="AC193" s="8"/>
      <c r="AD193" s="70"/>
      <c r="AE193" s="70"/>
      <c r="AF193" s="70"/>
      <c r="AG193" s="201"/>
      <c r="AH193" s="202"/>
      <c r="AI193" s="201"/>
      <c r="AJ193" s="201"/>
      <c r="AK193" s="70"/>
      <c r="AL193" s="70"/>
      <c r="AM193" s="70"/>
      <c r="AN193" s="70"/>
      <c r="AO193" s="70"/>
      <c r="AP193" s="70"/>
      <c r="AQ193" s="70"/>
      <c r="AR193" s="70"/>
      <c r="AS193" s="70"/>
      <c r="AT193" s="70"/>
      <c r="AU193" s="70"/>
      <c r="AV193" s="70"/>
      <c r="AW193" s="70"/>
      <c r="AX193" s="70"/>
    </row>
    <row r="194">
      <c r="A194" s="8"/>
      <c r="B194" s="70"/>
      <c r="C194" s="70"/>
      <c r="D194" s="70"/>
      <c r="E194" s="8"/>
      <c r="F194" s="70"/>
      <c r="G194" s="70"/>
      <c r="H194" s="70"/>
      <c r="I194" s="8"/>
      <c r="J194" s="70"/>
      <c r="K194" s="70"/>
      <c r="L194" s="70"/>
      <c r="M194" s="8"/>
      <c r="N194" s="70"/>
      <c r="O194" s="70"/>
      <c r="P194" s="70"/>
      <c r="Q194" s="8"/>
      <c r="R194" s="70"/>
      <c r="S194" s="70"/>
      <c r="T194" s="70"/>
      <c r="U194" s="8"/>
      <c r="V194" s="70"/>
      <c r="W194" s="70"/>
      <c r="X194" s="70"/>
      <c r="Y194" s="200"/>
      <c r="Z194" s="195"/>
      <c r="AA194" s="195"/>
      <c r="AB194" s="195"/>
      <c r="AC194" s="8"/>
      <c r="AD194" s="70"/>
      <c r="AE194" s="70"/>
      <c r="AF194" s="70"/>
      <c r="AG194" s="201"/>
      <c r="AH194" s="202"/>
      <c r="AI194" s="201"/>
      <c r="AJ194" s="201"/>
      <c r="AK194" s="70"/>
      <c r="AL194" s="70"/>
      <c r="AM194" s="70"/>
      <c r="AN194" s="70"/>
      <c r="AO194" s="70"/>
      <c r="AP194" s="70"/>
      <c r="AQ194" s="70"/>
      <c r="AR194" s="70"/>
      <c r="AS194" s="70"/>
      <c r="AT194" s="70"/>
      <c r="AU194" s="70"/>
      <c r="AV194" s="70"/>
      <c r="AW194" s="70"/>
      <c r="AX194" s="70"/>
    </row>
    <row r="195">
      <c r="A195" s="8"/>
      <c r="B195" s="70"/>
      <c r="C195" s="70"/>
      <c r="D195" s="70"/>
      <c r="E195" s="8"/>
      <c r="F195" s="70"/>
      <c r="G195" s="70"/>
      <c r="H195" s="70"/>
      <c r="I195" s="8"/>
      <c r="J195" s="70"/>
      <c r="K195" s="70"/>
      <c r="L195" s="70"/>
      <c r="M195" s="8"/>
      <c r="N195" s="70"/>
      <c r="O195" s="70"/>
      <c r="P195" s="70"/>
      <c r="Q195" s="8"/>
      <c r="R195" s="70"/>
      <c r="S195" s="70"/>
      <c r="T195" s="70"/>
      <c r="U195" s="8"/>
      <c r="V195" s="70"/>
      <c r="W195" s="70"/>
      <c r="X195" s="70"/>
      <c r="Y195" s="200"/>
      <c r="Z195" s="195"/>
      <c r="AA195" s="195"/>
      <c r="AB195" s="195"/>
      <c r="AC195" s="8"/>
      <c r="AD195" s="70"/>
      <c r="AE195" s="70"/>
      <c r="AF195" s="70"/>
      <c r="AG195" s="201"/>
      <c r="AH195" s="202"/>
      <c r="AI195" s="201"/>
      <c r="AJ195" s="201"/>
      <c r="AK195" s="70"/>
      <c r="AL195" s="70"/>
      <c r="AM195" s="70"/>
      <c r="AN195" s="70"/>
      <c r="AO195" s="70"/>
      <c r="AP195" s="70"/>
      <c r="AQ195" s="70"/>
      <c r="AR195" s="70"/>
      <c r="AS195" s="70"/>
      <c r="AT195" s="70"/>
      <c r="AU195" s="70"/>
      <c r="AV195" s="70"/>
      <c r="AW195" s="70"/>
      <c r="AX195" s="70"/>
    </row>
    <row r="196">
      <c r="A196" s="8"/>
      <c r="B196" s="70"/>
      <c r="C196" s="70"/>
      <c r="D196" s="70"/>
      <c r="E196" s="8"/>
      <c r="F196" s="70"/>
      <c r="G196" s="70"/>
      <c r="H196" s="70"/>
      <c r="I196" s="8"/>
      <c r="J196" s="70"/>
      <c r="K196" s="70"/>
      <c r="L196" s="70"/>
      <c r="M196" s="8"/>
      <c r="N196" s="70"/>
      <c r="O196" s="70"/>
      <c r="P196" s="70"/>
      <c r="Q196" s="8"/>
      <c r="R196" s="70"/>
      <c r="S196" s="70"/>
      <c r="T196" s="70"/>
      <c r="U196" s="8"/>
      <c r="V196" s="70"/>
      <c r="W196" s="70"/>
      <c r="X196" s="70"/>
      <c r="Y196" s="200"/>
      <c r="Z196" s="195"/>
      <c r="AA196" s="195"/>
      <c r="AB196" s="195"/>
      <c r="AC196" s="8"/>
      <c r="AD196" s="70"/>
      <c r="AE196" s="70"/>
      <c r="AF196" s="70"/>
      <c r="AG196" s="201"/>
      <c r="AH196" s="202"/>
      <c r="AI196" s="201"/>
      <c r="AJ196" s="201"/>
      <c r="AK196" s="70"/>
      <c r="AL196" s="70"/>
      <c r="AM196" s="70"/>
      <c r="AN196" s="70"/>
      <c r="AO196" s="70"/>
      <c r="AP196" s="70"/>
      <c r="AQ196" s="70"/>
      <c r="AR196" s="70"/>
      <c r="AS196" s="70"/>
      <c r="AT196" s="70"/>
      <c r="AU196" s="70"/>
      <c r="AV196" s="70"/>
      <c r="AW196" s="70"/>
      <c r="AX196" s="70"/>
    </row>
    <row r="197">
      <c r="A197" s="8"/>
      <c r="B197" s="70"/>
      <c r="C197" s="70"/>
      <c r="D197" s="70"/>
      <c r="E197" s="8"/>
      <c r="F197" s="70"/>
      <c r="G197" s="70"/>
      <c r="H197" s="70"/>
      <c r="I197" s="8"/>
      <c r="J197" s="70"/>
      <c r="K197" s="70"/>
      <c r="L197" s="70"/>
      <c r="M197" s="8"/>
      <c r="N197" s="70"/>
      <c r="O197" s="70"/>
      <c r="P197" s="70"/>
      <c r="Q197" s="8"/>
      <c r="R197" s="70"/>
      <c r="S197" s="70"/>
      <c r="T197" s="70"/>
      <c r="U197" s="8"/>
      <c r="V197" s="70"/>
      <c r="W197" s="70"/>
      <c r="X197" s="70"/>
      <c r="Y197" s="200"/>
      <c r="Z197" s="195"/>
      <c r="AA197" s="195"/>
      <c r="AB197" s="195"/>
      <c r="AC197" s="8"/>
      <c r="AD197" s="70"/>
      <c r="AE197" s="70"/>
      <c r="AF197" s="70"/>
      <c r="AG197" s="201"/>
      <c r="AH197" s="202"/>
      <c r="AI197" s="201"/>
      <c r="AJ197" s="201"/>
      <c r="AK197" s="70"/>
      <c r="AL197" s="70"/>
      <c r="AM197" s="70"/>
      <c r="AN197" s="70"/>
      <c r="AO197" s="70"/>
      <c r="AP197" s="70"/>
      <c r="AQ197" s="70"/>
      <c r="AR197" s="70"/>
      <c r="AS197" s="70"/>
      <c r="AT197" s="70"/>
      <c r="AU197" s="70"/>
      <c r="AV197" s="70"/>
      <c r="AW197" s="70"/>
      <c r="AX197" s="70"/>
    </row>
    <row r="198">
      <c r="A198" s="8"/>
      <c r="B198" s="70"/>
      <c r="C198" s="70"/>
      <c r="D198" s="70"/>
      <c r="E198" s="8"/>
      <c r="F198" s="70"/>
      <c r="G198" s="70"/>
      <c r="H198" s="70"/>
      <c r="I198" s="8"/>
      <c r="J198" s="70"/>
      <c r="K198" s="70"/>
      <c r="L198" s="70"/>
      <c r="M198" s="8"/>
      <c r="N198" s="70"/>
      <c r="O198" s="70"/>
      <c r="P198" s="70"/>
      <c r="Q198" s="8"/>
      <c r="R198" s="70"/>
      <c r="S198" s="70"/>
      <c r="T198" s="70"/>
      <c r="U198" s="8"/>
      <c r="V198" s="70"/>
      <c r="W198" s="70"/>
      <c r="X198" s="70"/>
      <c r="Y198" s="200"/>
      <c r="Z198" s="195"/>
      <c r="AA198" s="195"/>
      <c r="AB198" s="195"/>
      <c r="AC198" s="8"/>
      <c r="AD198" s="70"/>
      <c r="AE198" s="70"/>
      <c r="AF198" s="70"/>
      <c r="AG198" s="201"/>
      <c r="AH198" s="202"/>
      <c r="AI198" s="201"/>
      <c r="AJ198" s="201"/>
      <c r="AK198" s="70"/>
      <c r="AL198" s="70"/>
      <c r="AM198" s="70"/>
      <c r="AN198" s="70"/>
      <c r="AO198" s="70"/>
      <c r="AP198" s="70"/>
      <c r="AQ198" s="70"/>
      <c r="AR198" s="70"/>
      <c r="AS198" s="70"/>
      <c r="AT198" s="70"/>
      <c r="AU198" s="70"/>
      <c r="AV198" s="70"/>
      <c r="AW198" s="70"/>
      <c r="AX198" s="70"/>
    </row>
    <row r="199">
      <c r="A199" s="8"/>
      <c r="B199" s="70"/>
      <c r="C199" s="70"/>
      <c r="D199" s="70"/>
      <c r="E199" s="8"/>
      <c r="F199" s="70"/>
      <c r="G199" s="70"/>
      <c r="H199" s="70"/>
      <c r="I199" s="8"/>
      <c r="J199" s="70"/>
      <c r="K199" s="70"/>
      <c r="L199" s="70"/>
      <c r="M199" s="8"/>
      <c r="N199" s="70"/>
      <c r="O199" s="70"/>
      <c r="P199" s="70"/>
      <c r="Q199" s="8"/>
      <c r="R199" s="70"/>
      <c r="S199" s="70"/>
      <c r="T199" s="70"/>
      <c r="U199" s="8"/>
      <c r="V199" s="70"/>
      <c r="W199" s="70"/>
      <c r="X199" s="70"/>
      <c r="Y199" s="200"/>
      <c r="Z199" s="195"/>
      <c r="AA199" s="195"/>
      <c r="AB199" s="195"/>
      <c r="AC199" s="8"/>
      <c r="AD199" s="70"/>
      <c r="AE199" s="70"/>
      <c r="AF199" s="70"/>
      <c r="AG199" s="201"/>
      <c r="AH199" s="202"/>
      <c r="AI199" s="201"/>
      <c r="AJ199" s="201"/>
      <c r="AK199" s="70"/>
      <c r="AL199" s="70"/>
      <c r="AM199" s="70"/>
      <c r="AN199" s="70"/>
      <c r="AO199" s="70"/>
      <c r="AP199" s="70"/>
      <c r="AQ199" s="70"/>
      <c r="AR199" s="70"/>
      <c r="AS199" s="70"/>
      <c r="AT199" s="70"/>
      <c r="AU199" s="70"/>
      <c r="AV199" s="70"/>
      <c r="AW199" s="70"/>
      <c r="AX199" s="70"/>
    </row>
    <row r="200">
      <c r="A200" s="8"/>
      <c r="B200" s="70"/>
      <c r="C200" s="70"/>
      <c r="D200" s="70"/>
      <c r="E200" s="8"/>
      <c r="F200" s="70"/>
      <c r="G200" s="70"/>
      <c r="H200" s="70"/>
      <c r="I200" s="8"/>
      <c r="J200" s="70"/>
      <c r="K200" s="70"/>
      <c r="L200" s="70"/>
      <c r="M200" s="8"/>
      <c r="N200" s="70"/>
      <c r="O200" s="70"/>
      <c r="P200" s="70"/>
      <c r="Q200" s="8"/>
      <c r="R200" s="70"/>
      <c r="S200" s="70"/>
      <c r="T200" s="70"/>
      <c r="U200" s="8"/>
      <c r="V200" s="70"/>
      <c r="W200" s="70"/>
      <c r="X200" s="70"/>
      <c r="Y200" s="200"/>
      <c r="Z200" s="195"/>
      <c r="AA200" s="195"/>
      <c r="AB200" s="195"/>
      <c r="AC200" s="8"/>
      <c r="AD200" s="70"/>
      <c r="AE200" s="70"/>
      <c r="AF200" s="70"/>
      <c r="AG200" s="201"/>
      <c r="AH200" s="202"/>
      <c r="AI200" s="201"/>
      <c r="AJ200" s="201"/>
      <c r="AK200" s="70"/>
      <c r="AL200" s="70"/>
      <c r="AM200" s="70"/>
      <c r="AN200" s="70"/>
      <c r="AO200" s="70"/>
      <c r="AP200" s="70"/>
      <c r="AQ200" s="70"/>
      <c r="AR200" s="70"/>
      <c r="AS200" s="70"/>
      <c r="AT200" s="70"/>
      <c r="AU200" s="70"/>
      <c r="AV200" s="70"/>
      <c r="AW200" s="70"/>
      <c r="AX200" s="70"/>
    </row>
    <row r="201">
      <c r="A201" s="8"/>
      <c r="B201" s="70"/>
      <c r="C201" s="70"/>
      <c r="D201" s="70"/>
      <c r="E201" s="8"/>
      <c r="F201" s="70"/>
      <c r="G201" s="70"/>
      <c r="H201" s="70"/>
      <c r="I201" s="8"/>
      <c r="J201" s="70"/>
      <c r="K201" s="70"/>
      <c r="L201" s="70"/>
      <c r="M201" s="8"/>
      <c r="N201" s="70"/>
      <c r="O201" s="70"/>
      <c r="P201" s="70"/>
      <c r="Q201" s="8"/>
      <c r="R201" s="70"/>
      <c r="S201" s="70"/>
      <c r="T201" s="70"/>
      <c r="U201" s="8"/>
      <c r="V201" s="70"/>
      <c r="W201" s="70"/>
      <c r="X201" s="70"/>
      <c r="Y201" s="200"/>
      <c r="Z201" s="195"/>
      <c r="AA201" s="195"/>
      <c r="AB201" s="195"/>
      <c r="AC201" s="8"/>
      <c r="AD201" s="70"/>
      <c r="AE201" s="70"/>
      <c r="AF201" s="70"/>
      <c r="AG201" s="201"/>
      <c r="AH201" s="202"/>
      <c r="AI201" s="201"/>
      <c r="AJ201" s="201"/>
      <c r="AK201" s="70"/>
      <c r="AL201" s="70"/>
      <c r="AM201" s="70"/>
      <c r="AN201" s="70"/>
      <c r="AO201" s="70"/>
      <c r="AP201" s="70"/>
      <c r="AQ201" s="70"/>
      <c r="AR201" s="70"/>
      <c r="AS201" s="70"/>
      <c r="AT201" s="70"/>
      <c r="AU201" s="70"/>
      <c r="AV201" s="70"/>
      <c r="AW201" s="70"/>
      <c r="AX201" s="70"/>
    </row>
    <row r="202">
      <c r="A202" s="8"/>
      <c r="B202" s="70"/>
      <c r="C202" s="70"/>
      <c r="D202" s="70"/>
      <c r="E202" s="8"/>
      <c r="F202" s="70"/>
      <c r="G202" s="70"/>
      <c r="H202" s="70"/>
      <c r="I202" s="8"/>
      <c r="J202" s="70"/>
      <c r="K202" s="70"/>
      <c r="L202" s="70"/>
      <c r="M202" s="8"/>
      <c r="N202" s="70"/>
      <c r="O202" s="70"/>
      <c r="P202" s="70"/>
      <c r="Q202" s="8"/>
      <c r="R202" s="70"/>
      <c r="S202" s="70"/>
      <c r="T202" s="70"/>
      <c r="U202" s="8"/>
      <c r="V202" s="70"/>
      <c r="W202" s="70"/>
      <c r="X202" s="70"/>
      <c r="Y202" s="200"/>
      <c r="Z202" s="195"/>
      <c r="AA202" s="195"/>
      <c r="AB202" s="195"/>
      <c r="AC202" s="8"/>
      <c r="AD202" s="70"/>
      <c r="AE202" s="70"/>
      <c r="AF202" s="70"/>
      <c r="AG202" s="201"/>
      <c r="AH202" s="202"/>
      <c r="AI202" s="201"/>
      <c r="AJ202" s="201"/>
      <c r="AK202" s="70"/>
      <c r="AL202" s="70"/>
      <c r="AM202" s="70"/>
      <c r="AN202" s="70"/>
      <c r="AO202" s="70"/>
      <c r="AP202" s="70"/>
      <c r="AQ202" s="70"/>
      <c r="AR202" s="70"/>
      <c r="AS202" s="70"/>
      <c r="AT202" s="70"/>
      <c r="AU202" s="70"/>
      <c r="AV202" s="70"/>
      <c r="AW202" s="70"/>
      <c r="AX202" s="70"/>
    </row>
    <row r="203">
      <c r="A203" s="8"/>
      <c r="B203" s="70"/>
      <c r="C203" s="70"/>
      <c r="D203" s="70"/>
      <c r="E203" s="8"/>
      <c r="F203" s="70"/>
      <c r="G203" s="70"/>
      <c r="H203" s="70"/>
      <c r="I203" s="8"/>
      <c r="J203" s="70"/>
      <c r="K203" s="70"/>
      <c r="L203" s="70"/>
      <c r="M203" s="8"/>
      <c r="N203" s="70"/>
      <c r="O203" s="70"/>
      <c r="P203" s="70"/>
      <c r="Q203" s="8"/>
      <c r="R203" s="70"/>
      <c r="S203" s="70"/>
      <c r="T203" s="70"/>
      <c r="U203" s="8"/>
      <c r="V203" s="70"/>
      <c r="W203" s="70"/>
      <c r="X203" s="70"/>
      <c r="Y203" s="200"/>
      <c r="Z203" s="195"/>
      <c r="AA203" s="195"/>
      <c r="AB203" s="195"/>
      <c r="AC203" s="8"/>
      <c r="AD203" s="70"/>
      <c r="AE203" s="70"/>
      <c r="AF203" s="70"/>
      <c r="AG203" s="201"/>
      <c r="AH203" s="202"/>
      <c r="AI203" s="201"/>
      <c r="AJ203" s="201"/>
      <c r="AK203" s="70"/>
      <c r="AL203" s="70"/>
      <c r="AM203" s="70"/>
      <c r="AN203" s="70"/>
      <c r="AO203" s="70"/>
      <c r="AP203" s="70"/>
      <c r="AQ203" s="70"/>
      <c r="AR203" s="70"/>
      <c r="AS203" s="70"/>
      <c r="AT203" s="70"/>
      <c r="AU203" s="70"/>
      <c r="AV203" s="70"/>
      <c r="AW203" s="70"/>
      <c r="AX203" s="70"/>
    </row>
    <row r="204">
      <c r="A204" s="8"/>
      <c r="B204" s="70"/>
      <c r="C204" s="70"/>
      <c r="D204" s="70"/>
      <c r="E204" s="8"/>
      <c r="F204" s="70"/>
      <c r="G204" s="70"/>
      <c r="H204" s="70"/>
      <c r="I204" s="8"/>
      <c r="J204" s="70"/>
      <c r="K204" s="70"/>
      <c r="L204" s="70"/>
      <c r="M204" s="8"/>
      <c r="N204" s="70"/>
      <c r="O204" s="70"/>
      <c r="P204" s="70"/>
      <c r="Q204" s="8"/>
      <c r="R204" s="70"/>
      <c r="S204" s="70"/>
      <c r="T204" s="70"/>
      <c r="U204" s="8"/>
      <c r="V204" s="70"/>
      <c r="W204" s="70"/>
      <c r="X204" s="70"/>
      <c r="Y204" s="200"/>
      <c r="Z204" s="195"/>
      <c r="AA204" s="195"/>
      <c r="AB204" s="195"/>
      <c r="AC204" s="8"/>
      <c r="AD204" s="70"/>
      <c r="AE204" s="70"/>
      <c r="AF204" s="70"/>
      <c r="AG204" s="201"/>
      <c r="AH204" s="202"/>
      <c r="AI204" s="201"/>
      <c r="AJ204" s="201"/>
      <c r="AK204" s="70"/>
      <c r="AL204" s="70"/>
      <c r="AM204" s="70"/>
      <c r="AN204" s="70"/>
      <c r="AO204" s="70"/>
      <c r="AP204" s="70"/>
      <c r="AQ204" s="70"/>
      <c r="AR204" s="70"/>
      <c r="AS204" s="70"/>
      <c r="AT204" s="70"/>
      <c r="AU204" s="70"/>
      <c r="AV204" s="70"/>
      <c r="AW204" s="70"/>
      <c r="AX204" s="70"/>
    </row>
    <row r="205">
      <c r="A205" s="8"/>
      <c r="B205" s="70"/>
      <c r="C205" s="70"/>
      <c r="D205" s="70"/>
      <c r="E205" s="8"/>
      <c r="F205" s="70"/>
      <c r="G205" s="70"/>
      <c r="H205" s="70"/>
      <c r="I205" s="8"/>
      <c r="J205" s="70"/>
      <c r="K205" s="70"/>
      <c r="L205" s="70"/>
      <c r="M205" s="8"/>
      <c r="N205" s="70"/>
      <c r="O205" s="70"/>
      <c r="P205" s="70"/>
      <c r="Q205" s="8"/>
      <c r="R205" s="70"/>
      <c r="S205" s="70"/>
      <c r="T205" s="70"/>
      <c r="U205" s="8"/>
      <c r="V205" s="70"/>
      <c r="W205" s="70"/>
      <c r="X205" s="70"/>
      <c r="Y205" s="200"/>
      <c r="Z205" s="195"/>
      <c r="AA205" s="195"/>
      <c r="AB205" s="195"/>
      <c r="AC205" s="8"/>
      <c r="AD205" s="70"/>
      <c r="AE205" s="70"/>
      <c r="AF205" s="70"/>
      <c r="AG205" s="201"/>
      <c r="AH205" s="202"/>
      <c r="AI205" s="201"/>
      <c r="AJ205" s="201"/>
      <c r="AK205" s="70"/>
      <c r="AL205" s="70"/>
      <c r="AM205" s="70"/>
      <c r="AN205" s="70"/>
      <c r="AO205" s="70"/>
      <c r="AP205" s="70"/>
      <c r="AQ205" s="70"/>
      <c r="AR205" s="70"/>
      <c r="AS205" s="70"/>
      <c r="AT205" s="70"/>
      <c r="AU205" s="70"/>
      <c r="AV205" s="70"/>
      <c r="AW205" s="70"/>
      <c r="AX205" s="70"/>
    </row>
    <row r="206">
      <c r="A206" s="8"/>
      <c r="B206" s="70"/>
      <c r="C206" s="70"/>
      <c r="D206" s="70"/>
      <c r="E206" s="8"/>
      <c r="F206" s="70"/>
      <c r="G206" s="70"/>
      <c r="H206" s="70"/>
      <c r="I206" s="8"/>
      <c r="J206" s="70"/>
      <c r="K206" s="70"/>
      <c r="L206" s="70"/>
      <c r="M206" s="8"/>
      <c r="N206" s="70"/>
      <c r="O206" s="70"/>
      <c r="P206" s="70"/>
      <c r="Q206" s="8"/>
      <c r="R206" s="70"/>
      <c r="S206" s="70"/>
      <c r="T206" s="70"/>
      <c r="U206" s="8"/>
      <c r="V206" s="70"/>
      <c r="W206" s="70"/>
      <c r="X206" s="70"/>
      <c r="Y206" s="200"/>
      <c r="Z206" s="195"/>
      <c r="AA206" s="195"/>
      <c r="AB206" s="195"/>
      <c r="AC206" s="8"/>
      <c r="AD206" s="70"/>
      <c r="AE206" s="70"/>
      <c r="AF206" s="70"/>
      <c r="AG206" s="201"/>
      <c r="AH206" s="202"/>
      <c r="AI206" s="201"/>
      <c r="AJ206" s="201"/>
      <c r="AK206" s="70"/>
      <c r="AL206" s="70"/>
      <c r="AM206" s="70"/>
      <c r="AN206" s="70"/>
      <c r="AO206" s="70"/>
      <c r="AP206" s="70"/>
      <c r="AQ206" s="70"/>
      <c r="AR206" s="70"/>
      <c r="AS206" s="70"/>
      <c r="AT206" s="70"/>
      <c r="AU206" s="70"/>
      <c r="AV206" s="70"/>
      <c r="AW206" s="70"/>
      <c r="AX206" s="70"/>
    </row>
    <row r="207">
      <c r="A207" s="8"/>
      <c r="B207" s="70"/>
      <c r="C207" s="70"/>
      <c r="D207" s="70"/>
      <c r="E207" s="8"/>
      <c r="F207" s="70"/>
      <c r="G207" s="70"/>
      <c r="H207" s="70"/>
      <c r="I207" s="8"/>
      <c r="J207" s="70"/>
      <c r="K207" s="70"/>
      <c r="L207" s="70"/>
      <c r="M207" s="8"/>
      <c r="N207" s="70"/>
      <c r="O207" s="70"/>
      <c r="P207" s="70"/>
      <c r="Q207" s="8"/>
      <c r="R207" s="70"/>
      <c r="S207" s="70"/>
      <c r="T207" s="70"/>
      <c r="U207" s="8"/>
      <c r="V207" s="70"/>
      <c r="W207" s="70"/>
      <c r="X207" s="70"/>
      <c r="Y207" s="200"/>
      <c r="Z207" s="195"/>
      <c r="AA207" s="195"/>
      <c r="AB207" s="195"/>
      <c r="AC207" s="8"/>
      <c r="AD207" s="70"/>
      <c r="AE207" s="70"/>
      <c r="AF207" s="70"/>
      <c r="AG207" s="201"/>
      <c r="AH207" s="202"/>
      <c r="AI207" s="201"/>
      <c r="AJ207" s="201"/>
      <c r="AK207" s="70"/>
      <c r="AL207" s="70"/>
      <c r="AM207" s="70"/>
      <c r="AN207" s="70"/>
      <c r="AO207" s="70"/>
      <c r="AP207" s="70"/>
      <c r="AQ207" s="70"/>
      <c r="AR207" s="70"/>
      <c r="AS207" s="70"/>
      <c r="AT207" s="70"/>
      <c r="AU207" s="70"/>
      <c r="AV207" s="70"/>
      <c r="AW207" s="70"/>
      <c r="AX207" s="70"/>
    </row>
    <row r="208">
      <c r="A208" s="8"/>
      <c r="B208" s="70"/>
      <c r="C208" s="70"/>
      <c r="D208" s="70"/>
      <c r="E208" s="8"/>
      <c r="F208" s="70"/>
      <c r="G208" s="70"/>
      <c r="H208" s="70"/>
      <c r="I208" s="8"/>
      <c r="J208" s="70"/>
      <c r="K208" s="70"/>
      <c r="L208" s="70"/>
      <c r="M208" s="8"/>
      <c r="N208" s="70"/>
      <c r="O208" s="70"/>
      <c r="P208" s="70"/>
      <c r="Q208" s="8"/>
      <c r="R208" s="70"/>
      <c r="S208" s="70"/>
      <c r="T208" s="70"/>
      <c r="U208" s="8"/>
      <c r="V208" s="70"/>
      <c r="W208" s="70"/>
      <c r="X208" s="70"/>
      <c r="Y208" s="200"/>
      <c r="Z208" s="195"/>
      <c r="AA208" s="195"/>
      <c r="AB208" s="195"/>
      <c r="AC208" s="8"/>
      <c r="AD208" s="70"/>
      <c r="AE208" s="70"/>
      <c r="AF208" s="70"/>
      <c r="AG208" s="201"/>
      <c r="AH208" s="202"/>
      <c r="AI208" s="201"/>
      <c r="AJ208" s="201"/>
      <c r="AK208" s="70"/>
      <c r="AL208" s="70"/>
      <c r="AM208" s="70"/>
      <c r="AN208" s="70"/>
      <c r="AO208" s="70"/>
      <c r="AP208" s="70"/>
      <c r="AQ208" s="70"/>
      <c r="AR208" s="70"/>
      <c r="AS208" s="70"/>
      <c r="AT208" s="70"/>
      <c r="AU208" s="70"/>
      <c r="AV208" s="70"/>
      <c r="AW208" s="70"/>
      <c r="AX208" s="70"/>
    </row>
    <row r="209">
      <c r="A209" s="8"/>
      <c r="B209" s="70"/>
      <c r="C209" s="70"/>
      <c r="D209" s="70"/>
      <c r="E209" s="8"/>
      <c r="F209" s="70"/>
      <c r="G209" s="70"/>
      <c r="H209" s="70"/>
      <c r="I209" s="8"/>
      <c r="J209" s="70"/>
      <c r="K209" s="70"/>
      <c r="L209" s="70"/>
      <c r="M209" s="8"/>
      <c r="N209" s="70"/>
      <c r="O209" s="70"/>
      <c r="P209" s="70"/>
      <c r="Q209" s="8"/>
      <c r="R209" s="70"/>
      <c r="S209" s="70"/>
      <c r="T209" s="70"/>
      <c r="U209" s="8"/>
      <c r="V209" s="70"/>
      <c r="W209" s="70"/>
      <c r="X209" s="70"/>
      <c r="Y209" s="200"/>
      <c r="Z209" s="195"/>
      <c r="AA209" s="195"/>
      <c r="AB209" s="195"/>
      <c r="AC209" s="8"/>
      <c r="AD209" s="70"/>
      <c r="AE209" s="70"/>
      <c r="AF209" s="70"/>
      <c r="AG209" s="201"/>
      <c r="AH209" s="202"/>
      <c r="AI209" s="201"/>
      <c r="AJ209" s="201"/>
      <c r="AK209" s="70"/>
      <c r="AL209" s="70"/>
      <c r="AM209" s="70"/>
      <c r="AN209" s="70"/>
      <c r="AO209" s="70"/>
      <c r="AP209" s="70"/>
      <c r="AQ209" s="70"/>
      <c r="AR209" s="70"/>
      <c r="AS209" s="70"/>
      <c r="AT209" s="70"/>
      <c r="AU209" s="70"/>
      <c r="AV209" s="70"/>
      <c r="AW209" s="70"/>
      <c r="AX209" s="70"/>
    </row>
    <row r="210">
      <c r="A210" s="8"/>
      <c r="B210" s="70"/>
      <c r="C210" s="70"/>
      <c r="D210" s="70"/>
      <c r="E210" s="8"/>
      <c r="F210" s="70"/>
      <c r="G210" s="70"/>
      <c r="H210" s="70"/>
      <c r="I210" s="8"/>
      <c r="J210" s="70"/>
      <c r="K210" s="70"/>
      <c r="L210" s="70"/>
      <c r="M210" s="8"/>
      <c r="N210" s="70"/>
      <c r="O210" s="70"/>
      <c r="P210" s="70"/>
      <c r="Q210" s="8"/>
      <c r="R210" s="70"/>
      <c r="S210" s="70"/>
      <c r="T210" s="70"/>
      <c r="U210" s="8"/>
      <c r="V210" s="70"/>
      <c r="W210" s="70"/>
      <c r="X210" s="70"/>
      <c r="Y210" s="200"/>
      <c r="Z210" s="195"/>
      <c r="AA210" s="195"/>
      <c r="AB210" s="195"/>
      <c r="AC210" s="8"/>
      <c r="AD210" s="70"/>
      <c r="AE210" s="70"/>
      <c r="AF210" s="70"/>
      <c r="AG210" s="201"/>
      <c r="AH210" s="202"/>
      <c r="AI210" s="201"/>
      <c r="AJ210" s="201"/>
      <c r="AK210" s="70"/>
      <c r="AL210" s="70"/>
      <c r="AM210" s="70"/>
      <c r="AN210" s="70"/>
      <c r="AO210" s="70"/>
      <c r="AP210" s="70"/>
      <c r="AQ210" s="70"/>
      <c r="AR210" s="70"/>
      <c r="AS210" s="70"/>
      <c r="AT210" s="70"/>
      <c r="AU210" s="70"/>
      <c r="AV210" s="70"/>
      <c r="AW210" s="70"/>
      <c r="AX210" s="70"/>
    </row>
    <row r="211">
      <c r="A211" s="8"/>
      <c r="B211" s="70"/>
      <c r="C211" s="70"/>
      <c r="D211" s="70"/>
      <c r="E211" s="8"/>
      <c r="F211" s="70"/>
      <c r="G211" s="70"/>
      <c r="H211" s="70"/>
      <c r="I211" s="8"/>
      <c r="J211" s="70"/>
      <c r="K211" s="70"/>
      <c r="L211" s="70"/>
      <c r="M211" s="8"/>
      <c r="N211" s="70"/>
      <c r="O211" s="70"/>
      <c r="P211" s="70"/>
      <c r="Q211" s="8"/>
      <c r="R211" s="70"/>
      <c r="S211" s="70"/>
      <c r="T211" s="70"/>
      <c r="U211" s="8"/>
      <c r="V211" s="70"/>
      <c r="W211" s="70"/>
      <c r="X211" s="70"/>
      <c r="Y211" s="200"/>
      <c r="Z211" s="195"/>
      <c r="AA211" s="195"/>
      <c r="AB211" s="195"/>
      <c r="AC211" s="8"/>
      <c r="AD211" s="70"/>
      <c r="AE211" s="70"/>
      <c r="AF211" s="70"/>
      <c r="AG211" s="201"/>
      <c r="AH211" s="202"/>
      <c r="AI211" s="201"/>
      <c r="AJ211" s="201"/>
      <c r="AK211" s="70"/>
      <c r="AL211" s="70"/>
      <c r="AM211" s="70"/>
      <c r="AN211" s="70"/>
      <c r="AO211" s="70"/>
      <c r="AP211" s="70"/>
      <c r="AQ211" s="70"/>
      <c r="AR211" s="70"/>
      <c r="AS211" s="70"/>
      <c r="AT211" s="70"/>
      <c r="AU211" s="70"/>
      <c r="AV211" s="70"/>
      <c r="AW211" s="70"/>
      <c r="AX211" s="70"/>
    </row>
    <row r="212">
      <c r="A212" s="8"/>
      <c r="B212" s="70"/>
      <c r="C212" s="70"/>
      <c r="D212" s="70"/>
      <c r="E212" s="8"/>
      <c r="F212" s="70"/>
      <c r="G212" s="70"/>
      <c r="H212" s="70"/>
      <c r="I212" s="8"/>
      <c r="J212" s="70"/>
      <c r="K212" s="70"/>
      <c r="L212" s="70"/>
      <c r="M212" s="8"/>
      <c r="N212" s="70"/>
      <c r="O212" s="70"/>
      <c r="P212" s="70"/>
      <c r="Q212" s="8"/>
      <c r="R212" s="70"/>
      <c r="S212" s="70"/>
      <c r="T212" s="70"/>
      <c r="U212" s="8"/>
      <c r="V212" s="70"/>
      <c r="W212" s="70"/>
      <c r="X212" s="70"/>
      <c r="Y212" s="200"/>
      <c r="Z212" s="195"/>
      <c r="AA212" s="195"/>
      <c r="AB212" s="195"/>
      <c r="AC212" s="8"/>
      <c r="AD212" s="70"/>
      <c r="AE212" s="70"/>
      <c r="AF212" s="70"/>
      <c r="AG212" s="201"/>
      <c r="AH212" s="202"/>
      <c r="AI212" s="201"/>
      <c r="AJ212" s="201"/>
      <c r="AK212" s="70"/>
      <c r="AL212" s="70"/>
      <c r="AM212" s="70"/>
      <c r="AN212" s="70"/>
      <c r="AO212" s="70"/>
      <c r="AP212" s="70"/>
      <c r="AQ212" s="70"/>
      <c r="AR212" s="70"/>
      <c r="AS212" s="70"/>
      <c r="AT212" s="70"/>
      <c r="AU212" s="70"/>
      <c r="AV212" s="70"/>
      <c r="AW212" s="70"/>
      <c r="AX212" s="70"/>
    </row>
    <row r="213">
      <c r="A213" s="8"/>
      <c r="B213" s="70"/>
      <c r="C213" s="70"/>
      <c r="D213" s="70"/>
      <c r="E213" s="8"/>
      <c r="F213" s="70"/>
      <c r="G213" s="70"/>
      <c r="H213" s="70"/>
      <c r="I213" s="8"/>
      <c r="J213" s="70"/>
      <c r="K213" s="70"/>
      <c r="L213" s="70"/>
      <c r="M213" s="8"/>
      <c r="N213" s="70"/>
      <c r="O213" s="70"/>
      <c r="P213" s="70"/>
      <c r="Q213" s="8"/>
      <c r="R213" s="70"/>
      <c r="S213" s="70"/>
      <c r="T213" s="70"/>
      <c r="U213" s="8"/>
      <c r="V213" s="70"/>
      <c r="W213" s="70"/>
      <c r="X213" s="70"/>
      <c r="Y213" s="200"/>
      <c r="Z213" s="195"/>
      <c r="AA213" s="195"/>
      <c r="AB213" s="195"/>
      <c r="AC213" s="8"/>
      <c r="AD213" s="70"/>
      <c r="AE213" s="70"/>
      <c r="AF213" s="70"/>
      <c r="AG213" s="201"/>
      <c r="AH213" s="202"/>
      <c r="AI213" s="201"/>
      <c r="AJ213" s="201"/>
      <c r="AK213" s="70"/>
      <c r="AL213" s="70"/>
      <c r="AM213" s="70"/>
      <c r="AN213" s="70"/>
      <c r="AO213" s="70"/>
      <c r="AP213" s="70"/>
      <c r="AQ213" s="70"/>
      <c r="AR213" s="70"/>
      <c r="AS213" s="70"/>
      <c r="AT213" s="70"/>
      <c r="AU213" s="70"/>
      <c r="AV213" s="70"/>
      <c r="AW213" s="70"/>
      <c r="AX213" s="70"/>
    </row>
    <row r="214">
      <c r="A214" s="8"/>
      <c r="B214" s="70"/>
      <c r="C214" s="70"/>
      <c r="D214" s="70"/>
      <c r="E214" s="8"/>
      <c r="F214" s="70"/>
      <c r="G214" s="70"/>
      <c r="H214" s="70"/>
      <c r="I214" s="8"/>
      <c r="J214" s="70"/>
      <c r="K214" s="70"/>
      <c r="L214" s="70"/>
      <c r="M214" s="8"/>
      <c r="N214" s="70"/>
      <c r="O214" s="70"/>
      <c r="P214" s="70"/>
      <c r="Q214" s="8"/>
      <c r="R214" s="70"/>
      <c r="S214" s="70"/>
      <c r="T214" s="70"/>
      <c r="U214" s="8"/>
      <c r="V214" s="70"/>
      <c r="W214" s="70"/>
      <c r="X214" s="70"/>
      <c r="Y214" s="200"/>
      <c r="Z214" s="195"/>
      <c r="AA214" s="195"/>
      <c r="AB214" s="195"/>
      <c r="AC214" s="8"/>
      <c r="AD214" s="70"/>
      <c r="AE214" s="70"/>
      <c r="AF214" s="70"/>
      <c r="AG214" s="201"/>
      <c r="AH214" s="202"/>
      <c r="AI214" s="201"/>
      <c r="AJ214" s="201"/>
      <c r="AK214" s="70"/>
      <c r="AL214" s="70"/>
      <c r="AM214" s="70"/>
      <c r="AN214" s="70"/>
      <c r="AO214" s="70"/>
      <c r="AP214" s="70"/>
      <c r="AQ214" s="70"/>
      <c r="AR214" s="70"/>
      <c r="AS214" s="70"/>
      <c r="AT214" s="70"/>
      <c r="AU214" s="70"/>
      <c r="AV214" s="70"/>
      <c r="AW214" s="70"/>
      <c r="AX214" s="70"/>
    </row>
    <row r="215">
      <c r="A215" s="8"/>
      <c r="B215" s="70"/>
      <c r="C215" s="70"/>
      <c r="D215" s="70"/>
      <c r="E215" s="8"/>
      <c r="F215" s="70"/>
      <c r="G215" s="70"/>
      <c r="H215" s="70"/>
      <c r="I215" s="8"/>
      <c r="J215" s="70"/>
      <c r="K215" s="70"/>
      <c r="L215" s="70"/>
      <c r="M215" s="8"/>
      <c r="N215" s="70"/>
      <c r="O215" s="70"/>
      <c r="P215" s="70"/>
      <c r="Q215" s="8"/>
      <c r="R215" s="70"/>
      <c r="S215" s="70"/>
      <c r="T215" s="70"/>
      <c r="U215" s="8"/>
      <c r="V215" s="70"/>
      <c r="W215" s="70"/>
      <c r="X215" s="70"/>
      <c r="Y215" s="200"/>
      <c r="Z215" s="195"/>
      <c r="AA215" s="195"/>
      <c r="AB215" s="195"/>
      <c r="AC215" s="8"/>
      <c r="AD215" s="70"/>
      <c r="AE215" s="70"/>
      <c r="AF215" s="70"/>
      <c r="AG215" s="201"/>
      <c r="AH215" s="202"/>
      <c r="AI215" s="201"/>
      <c r="AJ215" s="201"/>
      <c r="AK215" s="70"/>
      <c r="AL215" s="70"/>
      <c r="AM215" s="70"/>
      <c r="AN215" s="70"/>
      <c r="AO215" s="70"/>
      <c r="AP215" s="70"/>
      <c r="AQ215" s="70"/>
      <c r="AR215" s="70"/>
      <c r="AS215" s="70"/>
      <c r="AT215" s="70"/>
      <c r="AU215" s="70"/>
      <c r="AV215" s="70"/>
      <c r="AW215" s="70"/>
      <c r="AX215" s="70"/>
    </row>
    <row r="216">
      <c r="A216" s="8"/>
      <c r="B216" s="70"/>
      <c r="C216" s="70"/>
      <c r="D216" s="70"/>
      <c r="E216" s="8"/>
      <c r="F216" s="70"/>
      <c r="G216" s="70"/>
      <c r="H216" s="70"/>
      <c r="I216" s="8"/>
      <c r="J216" s="70"/>
      <c r="K216" s="70"/>
      <c r="L216" s="70"/>
      <c r="M216" s="8"/>
      <c r="N216" s="70"/>
      <c r="O216" s="70"/>
      <c r="P216" s="70"/>
      <c r="Q216" s="8"/>
      <c r="R216" s="70"/>
      <c r="S216" s="70"/>
      <c r="T216" s="70"/>
      <c r="U216" s="8"/>
      <c r="V216" s="70"/>
      <c r="W216" s="70"/>
      <c r="X216" s="70"/>
      <c r="Y216" s="200"/>
      <c r="Z216" s="195"/>
      <c r="AA216" s="195"/>
      <c r="AB216" s="195"/>
      <c r="AC216" s="8"/>
      <c r="AD216" s="70"/>
      <c r="AE216" s="70"/>
      <c r="AF216" s="70"/>
      <c r="AG216" s="201"/>
      <c r="AH216" s="202"/>
      <c r="AI216" s="201"/>
      <c r="AJ216" s="201"/>
      <c r="AK216" s="70"/>
      <c r="AL216" s="70"/>
      <c r="AM216" s="70"/>
      <c r="AN216" s="70"/>
      <c r="AO216" s="70"/>
      <c r="AP216" s="70"/>
      <c r="AQ216" s="70"/>
      <c r="AR216" s="70"/>
      <c r="AS216" s="70"/>
      <c r="AT216" s="70"/>
      <c r="AU216" s="70"/>
      <c r="AV216" s="70"/>
      <c r="AW216" s="70"/>
      <c r="AX216" s="70"/>
    </row>
    <row r="217">
      <c r="A217" s="8"/>
      <c r="B217" s="70"/>
      <c r="C217" s="70"/>
      <c r="D217" s="70"/>
      <c r="E217" s="8"/>
      <c r="F217" s="70"/>
      <c r="G217" s="70"/>
      <c r="H217" s="70"/>
      <c r="I217" s="8"/>
      <c r="J217" s="70"/>
      <c r="K217" s="70"/>
      <c r="L217" s="70"/>
      <c r="M217" s="8"/>
      <c r="N217" s="70"/>
      <c r="O217" s="70"/>
      <c r="P217" s="70"/>
      <c r="Q217" s="8"/>
      <c r="R217" s="70"/>
      <c r="S217" s="70"/>
      <c r="T217" s="70"/>
      <c r="U217" s="8"/>
      <c r="V217" s="70"/>
      <c r="W217" s="70"/>
      <c r="X217" s="70"/>
      <c r="Y217" s="200"/>
      <c r="Z217" s="195"/>
      <c r="AA217" s="195"/>
      <c r="AB217" s="195"/>
      <c r="AC217" s="8"/>
      <c r="AD217" s="70"/>
      <c r="AE217" s="70"/>
      <c r="AF217" s="70"/>
      <c r="AG217" s="201"/>
      <c r="AH217" s="202"/>
      <c r="AI217" s="201"/>
      <c r="AJ217" s="201"/>
      <c r="AK217" s="70"/>
      <c r="AL217" s="70"/>
      <c r="AM217" s="70"/>
      <c r="AN217" s="70"/>
      <c r="AO217" s="70"/>
      <c r="AP217" s="70"/>
      <c r="AQ217" s="70"/>
      <c r="AR217" s="70"/>
      <c r="AS217" s="70"/>
      <c r="AT217" s="70"/>
      <c r="AU217" s="70"/>
      <c r="AV217" s="70"/>
      <c r="AW217" s="70"/>
      <c r="AX217" s="70"/>
    </row>
    <row r="218">
      <c r="A218" s="8"/>
      <c r="B218" s="70"/>
      <c r="C218" s="70"/>
      <c r="D218" s="70"/>
      <c r="E218" s="8"/>
      <c r="F218" s="70"/>
      <c r="G218" s="70"/>
      <c r="H218" s="70"/>
      <c r="I218" s="8"/>
      <c r="J218" s="70"/>
      <c r="K218" s="70"/>
      <c r="L218" s="70"/>
      <c r="M218" s="8"/>
      <c r="N218" s="70"/>
      <c r="O218" s="70"/>
      <c r="P218" s="70"/>
      <c r="Q218" s="8"/>
      <c r="R218" s="70"/>
      <c r="S218" s="70"/>
      <c r="T218" s="70"/>
      <c r="U218" s="8"/>
      <c r="V218" s="70"/>
      <c r="W218" s="70"/>
      <c r="X218" s="70"/>
      <c r="Y218" s="200"/>
      <c r="Z218" s="195"/>
      <c r="AA218" s="195"/>
      <c r="AB218" s="195"/>
      <c r="AC218" s="8"/>
      <c r="AD218" s="70"/>
      <c r="AE218" s="70"/>
      <c r="AF218" s="70"/>
      <c r="AG218" s="201"/>
      <c r="AH218" s="202"/>
      <c r="AI218" s="201"/>
      <c r="AJ218" s="201"/>
      <c r="AK218" s="70"/>
      <c r="AL218" s="70"/>
      <c r="AM218" s="70"/>
      <c r="AN218" s="70"/>
      <c r="AO218" s="70"/>
      <c r="AP218" s="70"/>
      <c r="AQ218" s="70"/>
      <c r="AR218" s="70"/>
      <c r="AS218" s="70"/>
      <c r="AT218" s="70"/>
      <c r="AU218" s="70"/>
      <c r="AV218" s="70"/>
      <c r="AW218" s="70"/>
      <c r="AX218" s="70"/>
    </row>
    <row r="219">
      <c r="A219" s="8"/>
      <c r="B219" s="70"/>
      <c r="C219" s="70"/>
      <c r="D219" s="70"/>
      <c r="E219" s="8"/>
      <c r="F219" s="70"/>
      <c r="G219" s="70"/>
      <c r="H219" s="70"/>
      <c r="I219" s="8"/>
      <c r="J219" s="70"/>
      <c r="K219" s="70"/>
      <c r="L219" s="70"/>
      <c r="M219" s="8"/>
      <c r="N219" s="70"/>
      <c r="O219" s="70"/>
      <c r="P219" s="70"/>
      <c r="Q219" s="8"/>
      <c r="R219" s="70"/>
      <c r="S219" s="70"/>
      <c r="T219" s="70"/>
      <c r="U219" s="8"/>
      <c r="V219" s="70"/>
      <c r="W219" s="70"/>
      <c r="X219" s="70"/>
      <c r="Y219" s="200"/>
      <c r="Z219" s="195"/>
      <c r="AA219" s="195"/>
      <c r="AB219" s="195"/>
      <c r="AC219" s="8"/>
      <c r="AD219" s="70"/>
      <c r="AE219" s="70"/>
      <c r="AF219" s="70"/>
      <c r="AG219" s="201"/>
      <c r="AH219" s="202"/>
      <c r="AI219" s="201"/>
      <c r="AJ219" s="201"/>
      <c r="AK219" s="70"/>
      <c r="AL219" s="70"/>
      <c r="AM219" s="70"/>
      <c r="AN219" s="70"/>
      <c r="AO219" s="70"/>
      <c r="AP219" s="70"/>
      <c r="AQ219" s="70"/>
      <c r="AR219" s="70"/>
      <c r="AS219" s="70"/>
      <c r="AT219" s="70"/>
      <c r="AU219" s="70"/>
      <c r="AV219" s="70"/>
      <c r="AW219" s="70"/>
      <c r="AX219" s="70"/>
    </row>
    <row r="220">
      <c r="A220" s="8"/>
      <c r="B220" s="70"/>
      <c r="C220" s="70"/>
      <c r="D220" s="70"/>
      <c r="E220" s="8"/>
      <c r="F220" s="70"/>
      <c r="G220" s="70"/>
      <c r="H220" s="70"/>
      <c r="I220" s="8"/>
      <c r="J220" s="70"/>
      <c r="K220" s="70"/>
      <c r="L220" s="70"/>
      <c r="M220" s="8"/>
      <c r="N220" s="70"/>
      <c r="O220" s="70"/>
      <c r="P220" s="70"/>
      <c r="Q220" s="8"/>
      <c r="R220" s="70"/>
      <c r="S220" s="70"/>
      <c r="T220" s="70"/>
      <c r="U220" s="8"/>
      <c r="V220" s="70"/>
      <c r="W220" s="70"/>
      <c r="X220" s="70"/>
      <c r="Y220" s="200"/>
      <c r="Z220" s="195"/>
      <c r="AA220" s="195"/>
      <c r="AB220" s="195"/>
      <c r="AC220" s="8"/>
      <c r="AD220" s="70"/>
      <c r="AE220" s="70"/>
      <c r="AF220" s="70"/>
      <c r="AG220" s="201"/>
      <c r="AH220" s="202"/>
      <c r="AI220" s="201"/>
      <c r="AJ220" s="201"/>
      <c r="AK220" s="70"/>
      <c r="AL220" s="70"/>
      <c r="AM220" s="70"/>
      <c r="AN220" s="70"/>
      <c r="AO220" s="70"/>
      <c r="AP220" s="70"/>
      <c r="AQ220" s="70"/>
      <c r="AR220" s="70"/>
      <c r="AS220" s="70"/>
      <c r="AT220" s="70"/>
      <c r="AU220" s="70"/>
      <c r="AV220" s="70"/>
      <c r="AW220" s="70"/>
      <c r="AX220" s="70"/>
    </row>
    <row r="221">
      <c r="A221" s="8"/>
      <c r="B221" s="70"/>
      <c r="C221" s="70"/>
      <c r="D221" s="70"/>
      <c r="E221" s="8"/>
      <c r="F221" s="70"/>
      <c r="G221" s="70"/>
      <c r="H221" s="70"/>
      <c r="I221" s="8"/>
      <c r="J221" s="70"/>
      <c r="K221" s="70"/>
      <c r="L221" s="70"/>
      <c r="M221" s="8"/>
      <c r="N221" s="70"/>
      <c r="O221" s="70"/>
      <c r="P221" s="70"/>
      <c r="Q221" s="8"/>
      <c r="R221" s="70"/>
      <c r="S221" s="70"/>
      <c r="T221" s="70"/>
      <c r="U221" s="8"/>
      <c r="V221" s="70"/>
      <c r="W221" s="70"/>
      <c r="X221" s="70"/>
      <c r="Y221" s="200"/>
      <c r="Z221" s="195"/>
      <c r="AA221" s="195"/>
      <c r="AB221" s="195"/>
      <c r="AC221" s="8"/>
      <c r="AD221" s="70"/>
      <c r="AE221" s="70"/>
      <c r="AF221" s="70"/>
      <c r="AG221" s="201"/>
      <c r="AH221" s="202"/>
      <c r="AI221" s="201"/>
      <c r="AJ221" s="201"/>
      <c r="AK221" s="70"/>
      <c r="AL221" s="70"/>
      <c r="AM221" s="70"/>
      <c r="AN221" s="70"/>
      <c r="AO221" s="70"/>
      <c r="AP221" s="70"/>
      <c r="AQ221" s="70"/>
      <c r="AR221" s="70"/>
      <c r="AS221" s="70"/>
      <c r="AT221" s="70"/>
      <c r="AU221" s="70"/>
      <c r="AV221" s="70"/>
      <c r="AW221" s="70"/>
      <c r="AX221" s="70"/>
    </row>
    <row r="222">
      <c r="A222" s="8"/>
      <c r="B222" s="70"/>
      <c r="C222" s="70"/>
      <c r="D222" s="70"/>
      <c r="E222" s="8"/>
      <c r="F222" s="70"/>
      <c r="G222" s="70"/>
      <c r="H222" s="70"/>
      <c r="I222" s="8"/>
      <c r="J222" s="70"/>
      <c r="K222" s="70"/>
      <c r="L222" s="70"/>
      <c r="M222" s="8"/>
      <c r="N222" s="70"/>
      <c r="O222" s="70"/>
      <c r="P222" s="70"/>
      <c r="Q222" s="8"/>
      <c r="R222" s="70"/>
      <c r="S222" s="70"/>
      <c r="T222" s="70"/>
      <c r="U222" s="8"/>
      <c r="V222" s="70"/>
      <c r="W222" s="70"/>
      <c r="X222" s="70"/>
      <c r="Y222" s="200"/>
      <c r="Z222" s="195"/>
      <c r="AA222" s="195"/>
      <c r="AB222" s="195"/>
      <c r="AC222" s="8"/>
      <c r="AD222" s="70"/>
      <c r="AE222" s="70"/>
      <c r="AF222" s="70"/>
      <c r="AG222" s="201"/>
      <c r="AH222" s="202"/>
      <c r="AI222" s="201"/>
      <c r="AJ222" s="201"/>
      <c r="AK222" s="70"/>
      <c r="AL222" s="70"/>
      <c r="AM222" s="70"/>
      <c r="AN222" s="70"/>
      <c r="AO222" s="70"/>
      <c r="AP222" s="70"/>
      <c r="AQ222" s="70"/>
      <c r="AR222" s="70"/>
      <c r="AS222" s="70"/>
      <c r="AT222" s="70"/>
      <c r="AU222" s="70"/>
      <c r="AV222" s="70"/>
      <c r="AW222" s="70"/>
      <c r="AX222" s="70"/>
    </row>
    <row r="223">
      <c r="A223" s="8"/>
      <c r="B223" s="70"/>
      <c r="C223" s="70"/>
      <c r="D223" s="70"/>
      <c r="E223" s="8"/>
      <c r="F223" s="70"/>
      <c r="G223" s="70"/>
      <c r="H223" s="70"/>
      <c r="I223" s="8"/>
      <c r="J223" s="70"/>
      <c r="K223" s="70"/>
      <c r="L223" s="70"/>
      <c r="M223" s="8"/>
      <c r="N223" s="70"/>
      <c r="O223" s="70"/>
      <c r="P223" s="70"/>
      <c r="Q223" s="8"/>
      <c r="R223" s="70"/>
      <c r="S223" s="70"/>
      <c r="T223" s="70"/>
      <c r="U223" s="8"/>
      <c r="V223" s="70"/>
      <c r="W223" s="70"/>
      <c r="X223" s="70"/>
      <c r="Y223" s="200"/>
      <c r="Z223" s="195"/>
      <c r="AA223" s="195"/>
      <c r="AB223" s="195"/>
      <c r="AC223" s="8"/>
      <c r="AD223" s="70"/>
      <c r="AE223" s="70"/>
      <c r="AF223" s="70"/>
      <c r="AG223" s="201"/>
      <c r="AH223" s="202"/>
      <c r="AI223" s="201"/>
      <c r="AJ223" s="201"/>
      <c r="AK223" s="70"/>
      <c r="AL223" s="70"/>
      <c r="AM223" s="70"/>
      <c r="AN223" s="70"/>
      <c r="AO223" s="70"/>
      <c r="AP223" s="70"/>
      <c r="AQ223" s="70"/>
      <c r="AR223" s="70"/>
      <c r="AS223" s="70"/>
      <c r="AT223" s="70"/>
      <c r="AU223" s="70"/>
      <c r="AV223" s="70"/>
      <c r="AW223" s="70"/>
      <c r="AX223" s="70"/>
    </row>
    <row r="224">
      <c r="A224" s="8"/>
      <c r="B224" s="70"/>
      <c r="C224" s="70"/>
      <c r="D224" s="70"/>
      <c r="E224" s="8"/>
      <c r="F224" s="70"/>
      <c r="G224" s="70"/>
      <c r="H224" s="70"/>
      <c r="I224" s="8"/>
      <c r="J224" s="70"/>
      <c r="K224" s="70"/>
      <c r="L224" s="70"/>
      <c r="M224" s="8"/>
      <c r="N224" s="70"/>
      <c r="O224" s="70"/>
      <c r="P224" s="70"/>
      <c r="Q224" s="8"/>
      <c r="R224" s="70"/>
      <c r="S224" s="70"/>
      <c r="T224" s="70"/>
      <c r="U224" s="8"/>
      <c r="V224" s="70"/>
      <c r="W224" s="70"/>
      <c r="X224" s="70"/>
      <c r="Y224" s="200"/>
      <c r="Z224" s="195"/>
      <c r="AA224" s="195"/>
      <c r="AB224" s="195"/>
      <c r="AC224" s="8"/>
      <c r="AD224" s="70"/>
      <c r="AE224" s="70"/>
      <c r="AF224" s="70"/>
      <c r="AG224" s="201"/>
      <c r="AH224" s="202"/>
      <c r="AI224" s="201"/>
      <c r="AJ224" s="201"/>
      <c r="AK224" s="70"/>
      <c r="AL224" s="70"/>
      <c r="AM224" s="70"/>
      <c r="AN224" s="70"/>
      <c r="AO224" s="70"/>
      <c r="AP224" s="70"/>
      <c r="AQ224" s="70"/>
      <c r="AR224" s="70"/>
      <c r="AS224" s="70"/>
      <c r="AT224" s="70"/>
      <c r="AU224" s="70"/>
      <c r="AV224" s="70"/>
      <c r="AW224" s="70"/>
      <c r="AX224" s="70"/>
    </row>
    <row r="225">
      <c r="A225" s="8"/>
      <c r="B225" s="70"/>
      <c r="C225" s="70"/>
      <c r="D225" s="70"/>
      <c r="E225" s="8"/>
      <c r="F225" s="70"/>
      <c r="G225" s="70"/>
      <c r="H225" s="70"/>
      <c r="I225" s="8"/>
      <c r="J225" s="70"/>
      <c r="K225" s="70"/>
      <c r="L225" s="70"/>
      <c r="M225" s="8"/>
      <c r="N225" s="70"/>
      <c r="O225" s="70"/>
      <c r="P225" s="70"/>
      <c r="Q225" s="8"/>
      <c r="R225" s="70"/>
      <c r="S225" s="70"/>
      <c r="T225" s="70"/>
      <c r="U225" s="8"/>
      <c r="V225" s="70"/>
      <c r="W225" s="70"/>
      <c r="X225" s="70"/>
      <c r="Y225" s="200"/>
      <c r="Z225" s="195"/>
      <c r="AA225" s="195"/>
      <c r="AB225" s="195"/>
      <c r="AC225" s="8"/>
      <c r="AD225" s="70"/>
      <c r="AE225" s="70"/>
      <c r="AF225" s="70"/>
      <c r="AG225" s="201"/>
      <c r="AH225" s="202"/>
      <c r="AI225" s="201"/>
      <c r="AJ225" s="201"/>
      <c r="AK225" s="70"/>
      <c r="AL225" s="70"/>
      <c r="AM225" s="70"/>
      <c r="AN225" s="70"/>
      <c r="AO225" s="70"/>
      <c r="AP225" s="70"/>
      <c r="AQ225" s="70"/>
      <c r="AR225" s="70"/>
      <c r="AS225" s="70"/>
      <c r="AT225" s="70"/>
      <c r="AU225" s="70"/>
      <c r="AV225" s="70"/>
      <c r="AW225" s="70"/>
      <c r="AX225" s="70"/>
    </row>
    <row r="226">
      <c r="A226" s="8"/>
      <c r="B226" s="70"/>
      <c r="C226" s="70"/>
      <c r="D226" s="70"/>
      <c r="E226" s="8"/>
      <c r="F226" s="70"/>
      <c r="G226" s="70"/>
      <c r="H226" s="70"/>
      <c r="I226" s="8"/>
      <c r="J226" s="70"/>
      <c r="K226" s="70"/>
      <c r="L226" s="70"/>
      <c r="M226" s="8"/>
      <c r="N226" s="70"/>
      <c r="O226" s="70"/>
      <c r="P226" s="70"/>
      <c r="Q226" s="8"/>
      <c r="R226" s="70"/>
      <c r="S226" s="70"/>
      <c r="T226" s="70"/>
      <c r="U226" s="8"/>
      <c r="V226" s="70"/>
      <c r="W226" s="70"/>
      <c r="X226" s="70"/>
      <c r="Y226" s="200"/>
      <c r="Z226" s="195"/>
      <c r="AA226" s="195"/>
      <c r="AB226" s="195"/>
      <c r="AC226" s="8"/>
      <c r="AD226" s="70"/>
      <c r="AE226" s="70"/>
      <c r="AF226" s="70"/>
      <c r="AG226" s="201"/>
      <c r="AH226" s="202"/>
      <c r="AI226" s="201"/>
      <c r="AJ226" s="201"/>
      <c r="AK226" s="70"/>
      <c r="AL226" s="70"/>
      <c r="AM226" s="70"/>
      <c r="AN226" s="70"/>
      <c r="AO226" s="70"/>
      <c r="AP226" s="70"/>
      <c r="AQ226" s="70"/>
      <c r="AR226" s="70"/>
      <c r="AS226" s="70"/>
      <c r="AT226" s="70"/>
      <c r="AU226" s="70"/>
      <c r="AV226" s="70"/>
      <c r="AW226" s="70"/>
      <c r="AX226" s="70"/>
    </row>
    <row r="227">
      <c r="A227" s="8"/>
      <c r="B227" s="70"/>
      <c r="C227" s="70"/>
      <c r="D227" s="70"/>
      <c r="E227" s="8"/>
      <c r="F227" s="70"/>
      <c r="G227" s="70"/>
      <c r="H227" s="70"/>
      <c r="I227" s="8"/>
      <c r="J227" s="70"/>
      <c r="K227" s="70"/>
      <c r="L227" s="70"/>
      <c r="M227" s="8"/>
      <c r="N227" s="70"/>
      <c r="O227" s="70"/>
      <c r="P227" s="70"/>
      <c r="Q227" s="8"/>
      <c r="R227" s="70"/>
      <c r="S227" s="70"/>
      <c r="T227" s="70"/>
      <c r="U227" s="8"/>
      <c r="V227" s="70"/>
      <c r="W227" s="70"/>
      <c r="X227" s="70"/>
      <c r="Y227" s="200"/>
      <c r="Z227" s="195"/>
      <c r="AA227" s="195"/>
      <c r="AB227" s="195"/>
      <c r="AC227" s="8"/>
      <c r="AD227" s="70"/>
      <c r="AE227" s="70"/>
      <c r="AF227" s="70"/>
      <c r="AG227" s="201"/>
      <c r="AH227" s="202"/>
      <c r="AI227" s="201"/>
      <c r="AJ227" s="201"/>
      <c r="AK227" s="70"/>
      <c r="AL227" s="70"/>
      <c r="AM227" s="70"/>
      <c r="AN227" s="70"/>
      <c r="AO227" s="70"/>
      <c r="AP227" s="70"/>
      <c r="AQ227" s="70"/>
      <c r="AR227" s="70"/>
      <c r="AS227" s="70"/>
      <c r="AT227" s="70"/>
      <c r="AU227" s="70"/>
      <c r="AV227" s="70"/>
      <c r="AW227" s="70"/>
      <c r="AX227" s="70"/>
    </row>
    <row r="228">
      <c r="A228" s="8"/>
      <c r="B228" s="70"/>
      <c r="C228" s="70"/>
      <c r="D228" s="70"/>
      <c r="E228" s="8"/>
      <c r="F228" s="70"/>
      <c r="G228" s="70"/>
      <c r="H228" s="70"/>
      <c r="I228" s="8"/>
      <c r="J228" s="70"/>
      <c r="K228" s="70"/>
      <c r="L228" s="70"/>
      <c r="M228" s="8"/>
      <c r="N228" s="70"/>
      <c r="O228" s="70"/>
      <c r="P228" s="70"/>
      <c r="Q228" s="8"/>
      <c r="R228" s="70"/>
      <c r="S228" s="70"/>
      <c r="T228" s="70"/>
      <c r="U228" s="8"/>
      <c r="V228" s="70"/>
      <c r="W228" s="70"/>
      <c r="X228" s="70"/>
      <c r="Y228" s="200"/>
      <c r="Z228" s="195"/>
      <c r="AA228" s="195"/>
      <c r="AB228" s="195"/>
      <c r="AC228" s="8"/>
      <c r="AD228" s="70"/>
      <c r="AE228" s="70"/>
      <c r="AF228" s="70"/>
      <c r="AG228" s="201"/>
      <c r="AH228" s="202"/>
      <c r="AI228" s="201"/>
      <c r="AJ228" s="201"/>
      <c r="AK228" s="70"/>
      <c r="AL228" s="70"/>
      <c r="AM228" s="70"/>
      <c r="AN228" s="70"/>
      <c r="AO228" s="70"/>
      <c r="AP228" s="70"/>
      <c r="AQ228" s="70"/>
      <c r="AR228" s="70"/>
      <c r="AS228" s="70"/>
      <c r="AT228" s="70"/>
      <c r="AU228" s="70"/>
      <c r="AV228" s="70"/>
      <c r="AW228" s="70"/>
      <c r="AX228" s="70"/>
    </row>
    <row r="229">
      <c r="A229" s="8"/>
      <c r="B229" s="70"/>
      <c r="C229" s="70"/>
      <c r="D229" s="70"/>
      <c r="E229" s="8"/>
      <c r="F229" s="70"/>
      <c r="G229" s="70"/>
      <c r="H229" s="70"/>
      <c r="I229" s="8"/>
      <c r="J229" s="70"/>
      <c r="K229" s="70"/>
      <c r="L229" s="70"/>
      <c r="M229" s="8"/>
      <c r="N229" s="70"/>
      <c r="O229" s="70"/>
      <c r="P229" s="70"/>
      <c r="Q229" s="8"/>
      <c r="R229" s="70"/>
      <c r="S229" s="70"/>
      <c r="T229" s="70"/>
      <c r="U229" s="8"/>
      <c r="V229" s="70"/>
      <c r="W229" s="70"/>
      <c r="X229" s="70"/>
      <c r="Y229" s="200"/>
      <c r="Z229" s="195"/>
      <c r="AA229" s="195"/>
      <c r="AB229" s="195"/>
      <c r="AC229" s="8"/>
      <c r="AD229" s="70"/>
      <c r="AE229" s="70"/>
      <c r="AF229" s="70"/>
      <c r="AG229" s="201"/>
      <c r="AH229" s="202"/>
      <c r="AI229" s="201"/>
      <c r="AJ229" s="201"/>
      <c r="AK229" s="70"/>
      <c r="AL229" s="70"/>
      <c r="AM229" s="70"/>
      <c r="AN229" s="70"/>
      <c r="AO229" s="70"/>
      <c r="AP229" s="70"/>
      <c r="AQ229" s="70"/>
      <c r="AR229" s="70"/>
      <c r="AS229" s="70"/>
      <c r="AT229" s="70"/>
      <c r="AU229" s="70"/>
      <c r="AV229" s="70"/>
      <c r="AW229" s="70"/>
      <c r="AX229" s="70"/>
    </row>
    <row r="230">
      <c r="A230" s="8"/>
      <c r="B230" s="70"/>
      <c r="C230" s="70"/>
      <c r="D230" s="70"/>
      <c r="E230" s="8"/>
      <c r="F230" s="70"/>
      <c r="G230" s="70"/>
      <c r="H230" s="70"/>
      <c r="I230" s="8"/>
      <c r="J230" s="70"/>
      <c r="K230" s="70"/>
      <c r="L230" s="70"/>
      <c r="M230" s="8"/>
      <c r="N230" s="70"/>
      <c r="O230" s="70"/>
      <c r="P230" s="70"/>
      <c r="Q230" s="8"/>
      <c r="R230" s="70"/>
      <c r="S230" s="70"/>
      <c r="T230" s="70"/>
      <c r="U230" s="8"/>
      <c r="V230" s="70"/>
      <c r="W230" s="70"/>
      <c r="X230" s="70"/>
      <c r="Y230" s="200"/>
      <c r="Z230" s="195"/>
      <c r="AA230" s="195"/>
      <c r="AB230" s="195"/>
      <c r="AC230" s="8"/>
      <c r="AD230" s="70"/>
      <c r="AE230" s="70"/>
      <c r="AF230" s="70"/>
      <c r="AG230" s="201"/>
      <c r="AH230" s="202"/>
      <c r="AI230" s="201"/>
      <c r="AJ230" s="201"/>
      <c r="AK230" s="70"/>
      <c r="AL230" s="70"/>
      <c r="AM230" s="70"/>
      <c r="AN230" s="70"/>
      <c r="AO230" s="70"/>
      <c r="AP230" s="70"/>
      <c r="AQ230" s="70"/>
      <c r="AR230" s="70"/>
      <c r="AS230" s="70"/>
      <c r="AT230" s="70"/>
      <c r="AU230" s="70"/>
      <c r="AV230" s="70"/>
      <c r="AW230" s="70"/>
      <c r="AX230" s="70"/>
    </row>
    <row r="231">
      <c r="A231" s="8"/>
      <c r="B231" s="70"/>
      <c r="C231" s="70"/>
      <c r="D231" s="70"/>
      <c r="E231" s="8"/>
      <c r="F231" s="70"/>
      <c r="G231" s="70"/>
      <c r="H231" s="70"/>
      <c r="I231" s="8"/>
      <c r="J231" s="70"/>
      <c r="K231" s="70"/>
      <c r="L231" s="70"/>
      <c r="M231" s="8"/>
      <c r="N231" s="70"/>
      <c r="O231" s="70"/>
      <c r="P231" s="70"/>
      <c r="Q231" s="8"/>
      <c r="R231" s="70"/>
      <c r="S231" s="70"/>
      <c r="T231" s="70"/>
      <c r="U231" s="8"/>
      <c r="V231" s="70"/>
      <c r="W231" s="70"/>
      <c r="X231" s="70"/>
      <c r="Y231" s="200"/>
      <c r="Z231" s="195"/>
      <c r="AA231" s="195"/>
      <c r="AB231" s="195"/>
      <c r="AC231" s="8"/>
      <c r="AD231" s="70"/>
      <c r="AE231" s="70"/>
      <c r="AF231" s="70"/>
      <c r="AG231" s="201"/>
      <c r="AH231" s="202"/>
      <c r="AI231" s="201"/>
      <c r="AJ231" s="201"/>
      <c r="AK231" s="70"/>
      <c r="AL231" s="70"/>
      <c r="AM231" s="70"/>
      <c r="AN231" s="70"/>
      <c r="AO231" s="70"/>
      <c r="AP231" s="70"/>
      <c r="AQ231" s="70"/>
      <c r="AR231" s="70"/>
      <c r="AS231" s="70"/>
      <c r="AT231" s="70"/>
      <c r="AU231" s="70"/>
      <c r="AV231" s="70"/>
      <c r="AW231" s="70"/>
      <c r="AX231" s="70"/>
    </row>
    <row r="232">
      <c r="A232" s="8"/>
      <c r="B232" s="70"/>
      <c r="C232" s="70"/>
      <c r="D232" s="70"/>
      <c r="E232" s="8"/>
      <c r="F232" s="70"/>
      <c r="G232" s="70"/>
      <c r="H232" s="70"/>
      <c r="I232" s="8"/>
      <c r="J232" s="70"/>
      <c r="K232" s="70"/>
      <c r="L232" s="70"/>
      <c r="M232" s="8"/>
      <c r="N232" s="70"/>
      <c r="O232" s="70"/>
      <c r="P232" s="70"/>
      <c r="Q232" s="8"/>
      <c r="R232" s="70"/>
      <c r="S232" s="70"/>
      <c r="T232" s="70"/>
      <c r="U232" s="8"/>
      <c r="V232" s="70"/>
      <c r="W232" s="70"/>
      <c r="X232" s="70"/>
      <c r="Y232" s="200"/>
      <c r="Z232" s="195"/>
      <c r="AA232" s="195"/>
      <c r="AB232" s="195"/>
      <c r="AC232" s="8"/>
      <c r="AD232" s="70"/>
      <c r="AE232" s="70"/>
      <c r="AF232" s="70"/>
      <c r="AG232" s="201"/>
      <c r="AH232" s="202"/>
      <c r="AI232" s="201"/>
      <c r="AJ232" s="201"/>
      <c r="AK232" s="70"/>
      <c r="AL232" s="70"/>
      <c r="AM232" s="70"/>
      <c r="AN232" s="70"/>
      <c r="AO232" s="70"/>
      <c r="AP232" s="70"/>
      <c r="AQ232" s="70"/>
      <c r="AR232" s="70"/>
      <c r="AS232" s="70"/>
      <c r="AT232" s="70"/>
      <c r="AU232" s="70"/>
      <c r="AV232" s="70"/>
      <c r="AW232" s="70"/>
      <c r="AX232" s="70"/>
    </row>
    <row r="233">
      <c r="A233" s="8"/>
      <c r="B233" s="70"/>
      <c r="C233" s="70"/>
      <c r="D233" s="70"/>
      <c r="E233" s="8"/>
      <c r="F233" s="70"/>
      <c r="G233" s="70"/>
      <c r="H233" s="70"/>
      <c r="I233" s="8"/>
      <c r="J233" s="70"/>
      <c r="K233" s="70"/>
      <c r="L233" s="70"/>
      <c r="M233" s="8"/>
      <c r="N233" s="70"/>
      <c r="O233" s="70"/>
      <c r="P233" s="70"/>
      <c r="Q233" s="8"/>
      <c r="R233" s="70"/>
      <c r="S233" s="70"/>
      <c r="T233" s="70"/>
      <c r="U233" s="8"/>
      <c r="V233" s="70"/>
      <c r="W233" s="70"/>
      <c r="X233" s="70"/>
      <c r="Y233" s="200"/>
      <c r="Z233" s="195"/>
      <c r="AA233" s="195"/>
      <c r="AB233" s="195"/>
      <c r="AC233" s="8"/>
      <c r="AD233" s="70"/>
      <c r="AE233" s="70"/>
      <c r="AF233" s="70"/>
      <c r="AG233" s="201"/>
      <c r="AH233" s="202"/>
      <c r="AI233" s="201"/>
      <c r="AJ233" s="201"/>
      <c r="AK233" s="70"/>
      <c r="AL233" s="70"/>
      <c r="AM233" s="70"/>
      <c r="AN233" s="70"/>
      <c r="AO233" s="70"/>
      <c r="AP233" s="70"/>
      <c r="AQ233" s="70"/>
      <c r="AR233" s="70"/>
      <c r="AS233" s="70"/>
      <c r="AT233" s="70"/>
      <c r="AU233" s="70"/>
      <c r="AV233" s="70"/>
      <c r="AW233" s="70"/>
      <c r="AX233" s="70"/>
    </row>
    <row r="234">
      <c r="A234" s="8"/>
      <c r="B234" s="70"/>
      <c r="C234" s="70"/>
      <c r="D234" s="70"/>
      <c r="E234" s="8"/>
      <c r="F234" s="70"/>
      <c r="G234" s="70"/>
      <c r="H234" s="70"/>
      <c r="I234" s="8"/>
      <c r="J234" s="70"/>
      <c r="K234" s="70"/>
      <c r="L234" s="70"/>
      <c r="M234" s="8"/>
      <c r="N234" s="70"/>
      <c r="O234" s="70"/>
      <c r="P234" s="70"/>
      <c r="Q234" s="8"/>
      <c r="R234" s="70"/>
      <c r="S234" s="70"/>
      <c r="T234" s="70"/>
      <c r="U234" s="8"/>
      <c r="V234" s="70"/>
      <c r="W234" s="70"/>
      <c r="X234" s="70"/>
      <c r="Y234" s="200"/>
      <c r="Z234" s="195"/>
      <c r="AA234" s="195"/>
      <c r="AB234" s="195"/>
      <c r="AC234" s="8"/>
      <c r="AD234" s="70"/>
      <c r="AE234" s="70"/>
      <c r="AF234" s="70"/>
      <c r="AG234" s="201"/>
      <c r="AH234" s="202"/>
      <c r="AI234" s="201"/>
      <c r="AJ234" s="201"/>
      <c r="AK234" s="70"/>
      <c r="AL234" s="70"/>
      <c r="AM234" s="70"/>
      <c r="AN234" s="70"/>
      <c r="AO234" s="70"/>
      <c r="AP234" s="70"/>
      <c r="AQ234" s="70"/>
      <c r="AR234" s="70"/>
      <c r="AS234" s="70"/>
      <c r="AT234" s="70"/>
      <c r="AU234" s="70"/>
      <c r="AV234" s="70"/>
      <c r="AW234" s="70"/>
      <c r="AX234" s="70"/>
    </row>
    <row r="235">
      <c r="A235" s="8"/>
      <c r="B235" s="70"/>
      <c r="C235" s="70"/>
      <c r="D235" s="70"/>
      <c r="E235" s="8"/>
      <c r="F235" s="70"/>
      <c r="G235" s="70"/>
      <c r="H235" s="70"/>
      <c r="I235" s="8"/>
      <c r="J235" s="70"/>
      <c r="K235" s="70"/>
      <c r="L235" s="70"/>
      <c r="M235" s="8"/>
      <c r="N235" s="70"/>
      <c r="O235" s="70"/>
      <c r="P235" s="70"/>
      <c r="Q235" s="8"/>
      <c r="R235" s="70"/>
      <c r="S235" s="70"/>
      <c r="T235" s="70"/>
      <c r="U235" s="8"/>
      <c r="V235" s="70"/>
      <c r="W235" s="70"/>
      <c r="X235" s="70"/>
      <c r="Y235" s="200"/>
      <c r="Z235" s="195"/>
      <c r="AA235" s="195"/>
      <c r="AB235" s="195"/>
      <c r="AC235" s="8"/>
      <c r="AD235" s="70"/>
      <c r="AE235" s="70"/>
      <c r="AF235" s="70"/>
      <c r="AG235" s="201"/>
      <c r="AH235" s="202"/>
      <c r="AI235" s="201"/>
      <c r="AJ235" s="201"/>
      <c r="AK235" s="70"/>
      <c r="AL235" s="70"/>
      <c r="AM235" s="70"/>
      <c r="AN235" s="70"/>
      <c r="AO235" s="70"/>
      <c r="AP235" s="70"/>
      <c r="AQ235" s="70"/>
      <c r="AR235" s="70"/>
      <c r="AS235" s="70"/>
      <c r="AT235" s="70"/>
      <c r="AU235" s="70"/>
      <c r="AV235" s="70"/>
      <c r="AW235" s="70"/>
      <c r="AX235" s="70"/>
    </row>
    <row r="236">
      <c r="A236" s="8"/>
      <c r="B236" s="70"/>
      <c r="C236" s="70"/>
      <c r="D236" s="70"/>
      <c r="E236" s="8"/>
      <c r="F236" s="70"/>
      <c r="G236" s="70"/>
      <c r="H236" s="70"/>
      <c r="I236" s="8"/>
      <c r="J236" s="70"/>
      <c r="K236" s="70"/>
      <c r="L236" s="70"/>
      <c r="M236" s="8"/>
      <c r="N236" s="70"/>
      <c r="O236" s="70"/>
      <c r="P236" s="70"/>
      <c r="Q236" s="8"/>
      <c r="R236" s="70"/>
      <c r="S236" s="70"/>
      <c r="T236" s="70"/>
      <c r="U236" s="8"/>
      <c r="V236" s="70"/>
      <c r="W236" s="70"/>
      <c r="X236" s="70"/>
      <c r="Y236" s="200"/>
      <c r="Z236" s="195"/>
      <c r="AA236" s="195"/>
      <c r="AB236" s="195"/>
      <c r="AC236" s="8"/>
      <c r="AD236" s="70"/>
      <c r="AE236" s="70"/>
      <c r="AF236" s="70"/>
      <c r="AG236" s="201"/>
      <c r="AH236" s="202"/>
      <c r="AI236" s="201"/>
      <c r="AJ236" s="201"/>
      <c r="AK236" s="70"/>
      <c r="AL236" s="70"/>
      <c r="AM236" s="70"/>
      <c r="AN236" s="70"/>
      <c r="AO236" s="70"/>
      <c r="AP236" s="70"/>
      <c r="AQ236" s="70"/>
      <c r="AR236" s="70"/>
      <c r="AS236" s="70"/>
      <c r="AT236" s="70"/>
      <c r="AU236" s="70"/>
      <c r="AV236" s="70"/>
      <c r="AW236" s="70"/>
      <c r="AX236" s="70"/>
    </row>
    <row r="237">
      <c r="A237" s="8"/>
      <c r="B237" s="70"/>
      <c r="C237" s="70"/>
      <c r="D237" s="70"/>
      <c r="E237" s="8"/>
      <c r="F237" s="70"/>
      <c r="G237" s="70"/>
      <c r="H237" s="70"/>
      <c r="I237" s="8"/>
      <c r="J237" s="70"/>
      <c r="K237" s="70"/>
      <c r="L237" s="70"/>
      <c r="M237" s="8"/>
      <c r="N237" s="70"/>
      <c r="O237" s="70"/>
      <c r="P237" s="70"/>
      <c r="Q237" s="8"/>
      <c r="R237" s="70"/>
      <c r="S237" s="70"/>
      <c r="T237" s="70"/>
      <c r="U237" s="8"/>
      <c r="V237" s="70"/>
      <c r="W237" s="70"/>
      <c r="X237" s="70"/>
      <c r="Y237" s="200"/>
      <c r="Z237" s="195"/>
      <c r="AA237" s="195"/>
      <c r="AB237" s="195"/>
      <c r="AC237" s="8"/>
      <c r="AD237" s="70"/>
      <c r="AE237" s="70"/>
      <c r="AF237" s="70"/>
      <c r="AG237" s="201"/>
      <c r="AH237" s="202"/>
      <c r="AI237" s="201"/>
      <c r="AJ237" s="201"/>
      <c r="AK237" s="70"/>
      <c r="AL237" s="70"/>
      <c r="AM237" s="70"/>
      <c r="AN237" s="70"/>
      <c r="AO237" s="70"/>
      <c r="AP237" s="70"/>
      <c r="AQ237" s="70"/>
      <c r="AR237" s="70"/>
      <c r="AS237" s="70"/>
      <c r="AT237" s="70"/>
      <c r="AU237" s="70"/>
      <c r="AV237" s="70"/>
      <c r="AW237" s="70"/>
      <c r="AX237" s="70"/>
    </row>
    <row r="238">
      <c r="A238" s="8"/>
      <c r="B238" s="70"/>
      <c r="C238" s="70"/>
      <c r="D238" s="70"/>
      <c r="E238" s="8"/>
      <c r="F238" s="70"/>
      <c r="G238" s="70"/>
      <c r="H238" s="70"/>
      <c r="I238" s="8"/>
      <c r="J238" s="70"/>
      <c r="K238" s="70"/>
      <c r="L238" s="70"/>
      <c r="M238" s="8"/>
      <c r="N238" s="70"/>
      <c r="O238" s="70"/>
      <c r="P238" s="70"/>
      <c r="Q238" s="8"/>
      <c r="R238" s="70"/>
      <c r="S238" s="70"/>
      <c r="T238" s="70"/>
      <c r="U238" s="8"/>
      <c r="V238" s="70"/>
      <c r="W238" s="70"/>
      <c r="X238" s="70"/>
      <c r="Y238" s="200"/>
      <c r="Z238" s="195"/>
      <c r="AA238" s="195"/>
      <c r="AB238" s="195"/>
      <c r="AC238" s="8"/>
      <c r="AD238" s="70"/>
      <c r="AE238" s="70"/>
      <c r="AF238" s="70"/>
      <c r="AG238" s="201"/>
      <c r="AH238" s="202"/>
      <c r="AI238" s="201"/>
      <c r="AJ238" s="201"/>
      <c r="AK238" s="70"/>
      <c r="AL238" s="70"/>
      <c r="AM238" s="70"/>
      <c r="AN238" s="70"/>
      <c r="AO238" s="70"/>
      <c r="AP238" s="70"/>
      <c r="AQ238" s="70"/>
      <c r="AR238" s="70"/>
      <c r="AS238" s="70"/>
      <c r="AT238" s="70"/>
      <c r="AU238" s="70"/>
      <c r="AV238" s="70"/>
      <c r="AW238" s="70"/>
      <c r="AX238" s="70"/>
    </row>
    <row r="239">
      <c r="A239" s="8"/>
      <c r="B239" s="70"/>
      <c r="C239" s="70"/>
      <c r="D239" s="70"/>
      <c r="E239" s="8"/>
      <c r="F239" s="70"/>
      <c r="G239" s="70"/>
      <c r="H239" s="70"/>
      <c r="I239" s="8"/>
      <c r="J239" s="70"/>
      <c r="K239" s="70"/>
      <c r="L239" s="70"/>
      <c r="M239" s="8"/>
      <c r="N239" s="70"/>
      <c r="O239" s="70"/>
      <c r="P239" s="70"/>
      <c r="Q239" s="8"/>
      <c r="R239" s="70"/>
      <c r="S239" s="70"/>
      <c r="T239" s="70"/>
      <c r="U239" s="8"/>
      <c r="V239" s="70"/>
      <c r="W239" s="70"/>
      <c r="X239" s="70"/>
      <c r="Y239" s="200"/>
      <c r="Z239" s="195"/>
      <c r="AA239" s="195"/>
      <c r="AB239" s="195"/>
      <c r="AC239" s="8"/>
      <c r="AD239" s="70"/>
      <c r="AE239" s="70"/>
      <c r="AF239" s="70"/>
      <c r="AG239" s="201"/>
      <c r="AH239" s="202"/>
      <c r="AI239" s="201"/>
      <c r="AJ239" s="201"/>
      <c r="AK239" s="70"/>
      <c r="AL239" s="70"/>
      <c r="AM239" s="70"/>
      <c r="AN239" s="70"/>
      <c r="AO239" s="70"/>
      <c r="AP239" s="70"/>
      <c r="AQ239" s="70"/>
      <c r="AR239" s="70"/>
      <c r="AS239" s="70"/>
      <c r="AT239" s="70"/>
      <c r="AU239" s="70"/>
      <c r="AV239" s="70"/>
      <c r="AW239" s="70"/>
      <c r="AX239" s="70"/>
    </row>
    <row r="240">
      <c r="A240" s="8"/>
      <c r="B240" s="70"/>
      <c r="C240" s="70"/>
      <c r="D240" s="70"/>
      <c r="E240" s="8"/>
      <c r="F240" s="70"/>
      <c r="G240" s="70"/>
      <c r="H240" s="70"/>
      <c r="I240" s="8"/>
      <c r="J240" s="70"/>
      <c r="K240" s="70"/>
      <c r="L240" s="70"/>
      <c r="M240" s="8"/>
      <c r="N240" s="70"/>
      <c r="O240" s="70"/>
      <c r="P240" s="70"/>
      <c r="Q240" s="8"/>
      <c r="R240" s="70"/>
      <c r="S240" s="70"/>
      <c r="T240" s="70"/>
      <c r="U240" s="8"/>
      <c r="V240" s="70"/>
      <c r="W240" s="70"/>
      <c r="X240" s="70"/>
      <c r="Y240" s="200"/>
      <c r="Z240" s="195"/>
      <c r="AA240" s="195"/>
      <c r="AB240" s="195"/>
      <c r="AC240" s="8"/>
      <c r="AD240" s="70"/>
      <c r="AE240" s="70"/>
      <c r="AF240" s="70"/>
      <c r="AG240" s="201"/>
      <c r="AH240" s="202"/>
      <c r="AI240" s="201"/>
      <c r="AJ240" s="201"/>
      <c r="AK240" s="70"/>
      <c r="AL240" s="70"/>
      <c r="AM240" s="70"/>
      <c r="AN240" s="70"/>
      <c r="AO240" s="70"/>
      <c r="AP240" s="70"/>
      <c r="AQ240" s="70"/>
      <c r="AR240" s="70"/>
      <c r="AS240" s="70"/>
      <c r="AT240" s="70"/>
      <c r="AU240" s="70"/>
      <c r="AV240" s="70"/>
      <c r="AW240" s="70"/>
      <c r="AX240" s="70"/>
    </row>
    <row r="241">
      <c r="A241" s="8"/>
      <c r="B241" s="70"/>
      <c r="C241" s="70"/>
      <c r="D241" s="70"/>
      <c r="E241" s="8"/>
      <c r="F241" s="70"/>
      <c r="G241" s="70"/>
      <c r="H241" s="70"/>
      <c r="I241" s="8"/>
      <c r="J241" s="70"/>
      <c r="K241" s="70"/>
      <c r="L241" s="70"/>
      <c r="M241" s="8"/>
      <c r="N241" s="70"/>
      <c r="O241" s="70"/>
      <c r="P241" s="70"/>
      <c r="Q241" s="8"/>
      <c r="R241" s="70"/>
      <c r="S241" s="70"/>
      <c r="T241" s="70"/>
      <c r="U241" s="8"/>
      <c r="V241" s="70"/>
      <c r="W241" s="70"/>
      <c r="X241" s="70"/>
      <c r="Y241" s="200"/>
      <c r="Z241" s="195"/>
      <c r="AA241" s="195"/>
      <c r="AB241" s="195"/>
      <c r="AC241" s="8"/>
      <c r="AD241" s="70"/>
      <c r="AE241" s="70"/>
      <c r="AF241" s="70"/>
      <c r="AG241" s="201"/>
      <c r="AH241" s="202"/>
      <c r="AI241" s="201"/>
      <c r="AJ241" s="201"/>
      <c r="AK241" s="70"/>
      <c r="AL241" s="70"/>
      <c r="AM241" s="70"/>
      <c r="AN241" s="70"/>
      <c r="AO241" s="70"/>
      <c r="AP241" s="70"/>
      <c r="AQ241" s="70"/>
      <c r="AR241" s="70"/>
      <c r="AS241" s="70"/>
      <c r="AT241" s="70"/>
      <c r="AU241" s="70"/>
      <c r="AV241" s="70"/>
      <c r="AW241" s="70"/>
      <c r="AX241" s="70"/>
    </row>
    <row r="242">
      <c r="A242" s="8"/>
      <c r="B242" s="70"/>
      <c r="C242" s="70"/>
      <c r="D242" s="70"/>
      <c r="E242" s="8"/>
      <c r="F242" s="70"/>
      <c r="G242" s="70"/>
      <c r="H242" s="70"/>
      <c r="I242" s="8"/>
      <c r="J242" s="70"/>
      <c r="K242" s="70"/>
      <c r="L242" s="70"/>
      <c r="M242" s="8"/>
      <c r="N242" s="70"/>
      <c r="O242" s="70"/>
      <c r="P242" s="70"/>
      <c r="Q242" s="8"/>
      <c r="R242" s="70"/>
      <c r="S242" s="70"/>
      <c r="T242" s="70"/>
      <c r="U242" s="8"/>
      <c r="V242" s="70"/>
      <c r="W242" s="70"/>
      <c r="X242" s="70"/>
      <c r="Y242" s="200"/>
      <c r="Z242" s="195"/>
      <c r="AA242" s="195"/>
      <c r="AB242" s="195"/>
      <c r="AC242" s="8"/>
      <c r="AD242" s="70"/>
      <c r="AE242" s="70"/>
      <c r="AF242" s="70"/>
      <c r="AG242" s="201"/>
      <c r="AH242" s="202"/>
      <c r="AI242" s="201"/>
      <c r="AJ242" s="201"/>
      <c r="AK242" s="70"/>
      <c r="AL242" s="70"/>
      <c r="AM242" s="70"/>
      <c r="AN242" s="70"/>
      <c r="AO242" s="70"/>
      <c r="AP242" s="70"/>
      <c r="AQ242" s="70"/>
      <c r="AR242" s="70"/>
      <c r="AS242" s="70"/>
      <c r="AT242" s="70"/>
      <c r="AU242" s="70"/>
      <c r="AV242" s="70"/>
      <c r="AW242" s="70"/>
      <c r="AX242" s="70"/>
    </row>
    <row r="243">
      <c r="A243" s="8"/>
      <c r="B243" s="70"/>
      <c r="C243" s="70"/>
      <c r="D243" s="70"/>
      <c r="E243" s="8"/>
      <c r="F243" s="70"/>
      <c r="G243" s="70"/>
      <c r="H243" s="70"/>
      <c r="I243" s="8"/>
      <c r="J243" s="70"/>
      <c r="K243" s="70"/>
      <c r="L243" s="70"/>
      <c r="M243" s="8"/>
      <c r="N243" s="70"/>
      <c r="O243" s="70"/>
      <c r="P243" s="70"/>
      <c r="Q243" s="8"/>
      <c r="R243" s="70"/>
      <c r="S243" s="70"/>
      <c r="T243" s="70"/>
      <c r="U243" s="8"/>
      <c r="V243" s="70"/>
      <c r="W243" s="70"/>
      <c r="X243" s="70"/>
      <c r="Y243" s="200"/>
      <c r="Z243" s="195"/>
      <c r="AA243" s="195"/>
      <c r="AB243" s="195"/>
      <c r="AC243" s="8"/>
      <c r="AD243" s="70"/>
      <c r="AE243" s="70"/>
      <c r="AF243" s="70"/>
      <c r="AG243" s="201"/>
      <c r="AH243" s="202"/>
      <c r="AI243" s="201"/>
      <c r="AJ243" s="201"/>
      <c r="AK243" s="70"/>
      <c r="AL243" s="70"/>
      <c r="AM243" s="70"/>
      <c r="AN243" s="70"/>
      <c r="AO243" s="70"/>
      <c r="AP243" s="70"/>
      <c r="AQ243" s="70"/>
      <c r="AR243" s="70"/>
      <c r="AS243" s="70"/>
      <c r="AT243" s="70"/>
      <c r="AU243" s="70"/>
      <c r="AV243" s="70"/>
      <c r="AW243" s="70"/>
      <c r="AX243" s="70"/>
    </row>
    <row r="244">
      <c r="A244" s="8"/>
      <c r="B244" s="70"/>
      <c r="C244" s="70"/>
      <c r="D244" s="70"/>
      <c r="E244" s="8"/>
      <c r="F244" s="70"/>
      <c r="G244" s="70"/>
      <c r="H244" s="70"/>
      <c r="I244" s="8"/>
      <c r="J244" s="70"/>
      <c r="K244" s="70"/>
      <c r="L244" s="70"/>
      <c r="M244" s="8"/>
      <c r="N244" s="70"/>
      <c r="O244" s="70"/>
      <c r="P244" s="70"/>
      <c r="Q244" s="8"/>
      <c r="R244" s="70"/>
      <c r="S244" s="70"/>
      <c r="T244" s="70"/>
      <c r="U244" s="8"/>
      <c r="V244" s="70"/>
      <c r="W244" s="70"/>
      <c r="X244" s="70"/>
      <c r="Y244" s="200"/>
      <c r="Z244" s="195"/>
      <c r="AA244" s="195"/>
      <c r="AB244" s="195"/>
      <c r="AC244" s="8"/>
      <c r="AD244" s="70"/>
      <c r="AE244" s="70"/>
      <c r="AF244" s="70"/>
      <c r="AG244" s="201"/>
      <c r="AH244" s="202"/>
      <c r="AI244" s="201"/>
      <c r="AJ244" s="201"/>
      <c r="AK244" s="70"/>
      <c r="AL244" s="70"/>
      <c r="AM244" s="70"/>
      <c r="AN244" s="70"/>
      <c r="AO244" s="70"/>
      <c r="AP244" s="70"/>
      <c r="AQ244" s="70"/>
      <c r="AR244" s="70"/>
      <c r="AS244" s="70"/>
      <c r="AT244" s="70"/>
      <c r="AU244" s="70"/>
      <c r="AV244" s="70"/>
      <c r="AW244" s="70"/>
      <c r="AX244" s="70"/>
    </row>
    <row r="245">
      <c r="A245" s="8"/>
      <c r="B245" s="70"/>
      <c r="C245" s="70"/>
      <c r="D245" s="70"/>
      <c r="E245" s="8"/>
      <c r="F245" s="70"/>
      <c r="G245" s="70"/>
      <c r="H245" s="70"/>
      <c r="I245" s="8"/>
      <c r="J245" s="70"/>
      <c r="K245" s="70"/>
      <c r="L245" s="70"/>
      <c r="M245" s="8"/>
      <c r="N245" s="70"/>
      <c r="O245" s="70"/>
      <c r="P245" s="70"/>
      <c r="Q245" s="8"/>
      <c r="R245" s="70"/>
      <c r="S245" s="70"/>
      <c r="T245" s="70"/>
      <c r="U245" s="8"/>
      <c r="V245" s="70"/>
      <c r="W245" s="70"/>
      <c r="X245" s="70"/>
      <c r="Y245" s="200"/>
      <c r="Z245" s="195"/>
      <c r="AA245" s="195"/>
      <c r="AB245" s="195"/>
      <c r="AC245" s="8"/>
      <c r="AD245" s="70"/>
      <c r="AE245" s="70"/>
      <c r="AF245" s="70"/>
      <c r="AG245" s="201"/>
      <c r="AH245" s="202"/>
      <c r="AI245" s="201"/>
      <c r="AJ245" s="201"/>
      <c r="AK245" s="70"/>
      <c r="AL245" s="70"/>
      <c r="AM245" s="70"/>
      <c r="AN245" s="70"/>
      <c r="AO245" s="70"/>
      <c r="AP245" s="70"/>
      <c r="AQ245" s="70"/>
      <c r="AR245" s="70"/>
      <c r="AS245" s="70"/>
      <c r="AT245" s="70"/>
      <c r="AU245" s="70"/>
      <c r="AV245" s="70"/>
      <c r="AW245" s="70"/>
      <c r="AX245" s="70"/>
    </row>
    <row r="246">
      <c r="A246" s="8"/>
      <c r="B246" s="70"/>
      <c r="C246" s="70"/>
      <c r="D246" s="70"/>
      <c r="E246" s="8"/>
      <c r="F246" s="70"/>
      <c r="G246" s="70"/>
      <c r="H246" s="70"/>
      <c r="I246" s="8"/>
      <c r="J246" s="70"/>
      <c r="K246" s="70"/>
      <c r="L246" s="70"/>
      <c r="M246" s="8"/>
      <c r="N246" s="70"/>
      <c r="O246" s="70"/>
      <c r="P246" s="70"/>
      <c r="Q246" s="8"/>
      <c r="R246" s="70"/>
      <c r="S246" s="70"/>
      <c r="T246" s="70"/>
      <c r="U246" s="8"/>
      <c r="V246" s="70"/>
      <c r="W246" s="70"/>
      <c r="X246" s="70"/>
      <c r="Y246" s="200"/>
      <c r="Z246" s="195"/>
      <c r="AA246" s="195"/>
      <c r="AB246" s="195"/>
      <c r="AC246" s="8"/>
      <c r="AD246" s="70"/>
      <c r="AE246" s="70"/>
      <c r="AF246" s="70"/>
      <c r="AG246" s="201"/>
      <c r="AH246" s="202"/>
      <c r="AI246" s="201"/>
      <c r="AJ246" s="201"/>
      <c r="AK246" s="70"/>
      <c r="AL246" s="70"/>
      <c r="AM246" s="70"/>
      <c r="AN246" s="70"/>
      <c r="AO246" s="70"/>
      <c r="AP246" s="70"/>
      <c r="AQ246" s="70"/>
      <c r="AR246" s="70"/>
      <c r="AS246" s="70"/>
      <c r="AT246" s="70"/>
      <c r="AU246" s="70"/>
      <c r="AV246" s="70"/>
      <c r="AW246" s="70"/>
      <c r="AX246" s="70"/>
    </row>
    <row r="247">
      <c r="A247" s="8"/>
      <c r="B247" s="70"/>
      <c r="C247" s="70"/>
      <c r="D247" s="70"/>
      <c r="E247" s="8"/>
      <c r="F247" s="70"/>
      <c r="G247" s="70"/>
      <c r="H247" s="70"/>
      <c r="I247" s="8"/>
      <c r="J247" s="70"/>
      <c r="K247" s="70"/>
      <c r="L247" s="70"/>
      <c r="M247" s="8"/>
      <c r="N247" s="70"/>
      <c r="O247" s="70"/>
      <c r="P247" s="70"/>
      <c r="Q247" s="8"/>
      <c r="R247" s="70"/>
      <c r="S247" s="70"/>
      <c r="T247" s="70"/>
      <c r="U247" s="8"/>
      <c r="V247" s="70"/>
      <c r="W247" s="70"/>
      <c r="X247" s="70"/>
      <c r="Y247" s="200"/>
      <c r="Z247" s="195"/>
      <c r="AA247" s="195"/>
      <c r="AB247" s="195"/>
      <c r="AC247" s="8"/>
      <c r="AD247" s="70"/>
      <c r="AE247" s="70"/>
      <c r="AF247" s="70"/>
      <c r="AG247" s="201"/>
      <c r="AH247" s="202"/>
      <c r="AI247" s="201"/>
      <c r="AJ247" s="201"/>
      <c r="AK247" s="70"/>
      <c r="AL247" s="70"/>
      <c r="AM247" s="70"/>
      <c r="AN247" s="70"/>
      <c r="AO247" s="70"/>
      <c r="AP247" s="70"/>
      <c r="AQ247" s="70"/>
      <c r="AR247" s="70"/>
      <c r="AS247" s="70"/>
      <c r="AT247" s="70"/>
      <c r="AU247" s="70"/>
      <c r="AV247" s="70"/>
      <c r="AW247" s="70"/>
      <c r="AX247" s="70"/>
    </row>
    <row r="248">
      <c r="A248" s="8"/>
      <c r="B248" s="70"/>
      <c r="C248" s="70"/>
      <c r="D248" s="70"/>
      <c r="E248" s="8"/>
      <c r="F248" s="70"/>
      <c r="G248" s="70"/>
      <c r="H248" s="70"/>
      <c r="I248" s="8"/>
      <c r="J248" s="70"/>
      <c r="K248" s="70"/>
      <c r="L248" s="70"/>
      <c r="M248" s="8"/>
      <c r="N248" s="70"/>
      <c r="O248" s="70"/>
      <c r="P248" s="70"/>
      <c r="Q248" s="8"/>
      <c r="R248" s="70"/>
      <c r="S248" s="70"/>
      <c r="T248" s="70"/>
      <c r="U248" s="8"/>
      <c r="V248" s="70"/>
      <c r="W248" s="70"/>
      <c r="X248" s="70"/>
      <c r="Y248" s="200"/>
      <c r="Z248" s="195"/>
      <c r="AA248" s="195"/>
      <c r="AB248" s="195"/>
      <c r="AC248" s="8"/>
      <c r="AD248" s="70"/>
      <c r="AE248" s="70"/>
      <c r="AF248" s="70"/>
      <c r="AG248" s="201"/>
      <c r="AH248" s="202"/>
      <c r="AI248" s="201"/>
      <c r="AJ248" s="201"/>
      <c r="AK248" s="70"/>
      <c r="AL248" s="70"/>
      <c r="AM248" s="70"/>
      <c r="AN248" s="70"/>
      <c r="AO248" s="70"/>
      <c r="AP248" s="70"/>
      <c r="AQ248" s="70"/>
      <c r="AR248" s="70"/>
      <c r="AS248" s="70"/>
      <c r="AT248" s="70"/>
      <c r="AU248" s="70"/>
      <c r="AV248" s="70"/>
      <c r="AW248" s="70"/>
      <c r="AX248" s="70"/>
    </row>
    <row r="249">
      <c r="A249" s="8"/>
      <c r="B249" s="70"/>
      <c r="C249" s="70"/>
      <c r="D249" s="70"/>
      <c r="E249" s="8"/>
      <c r="F249" s="70"/>
      <c r="G249" s="70"/>
      <c r="H249" s="70"/>
      <c r="I249" s="8"/>
      <c r="J249" s="70"/>
      <c r="K249" s="70"/>
      <c r="L249" s="70"/>
      <c r="M249" s="8"/>
      <c r="N249" s="70"/>
      <c r="O249" s="70"/>
      <c r="P249" s="70"/>
      <c r="Q249" s="8"/>
      <c r="R249" s="70"/>
      <c r="S249" s="70"/>
      <c r="T249" s="70"/>
      <c r="U249" s="8"/>
      <c r="V249" s="70"/>
      <c r="W249" s="70"/>
      <c r="X249" s="70"/>
      <c r="Y249" s="200"/>
      <c r="Z249" s="195"/>
      <c r="AA249" s="195"/>
      <c r="AB249" s="195"/>
      <c r="AC249" s="8"/>
      <c r="AD249" s="70"/>
      <c r="AE249" s="70"/>
      <c r="AF249" s="70"/>
      <c r="AG249" s="201"/>
      <c r="AH249" s="202"/>
      <c r="AI249" s="201"/>
      <c r="AJ249" s="201"/>
      <c r="AK249" s="70"/>
      <c r="AL249" s="70"/>
      <c r="AM249" s="70"/>
      <c r="AN249" s="70"/>
      <c r="AO249" s="70"/>
      <c r="AP249" s="70"/>
      <c r="AQ249" s="70"/>
      <c r="AR249" s="70"/>
      <c r="AS249" s="70"/>
      <c r="AT249" s="70"/>
      <c r="AU249" s="70"/>
      <c r="AV249" s="70"/>
      <c r="AW249" s="70"/>
      <c r="AX249" s="70"/>
    </row>
    <row r="250">
      <c r="A250" s="8"/>
      <c r="B250" s="70"/>
      <c r="C250" s="70"/>
      <c r="D250" s="70"/>
      <c r="E250" s="8"/>
      <c r="F250" s="70"/>
      <c r="G250" s="70"/>
      <c r="H250" s="70"/>
      <c r="I250" s="8"/>
      <c r="J250" s="70"/>
      <c r="K250" s="70"/>
      <c r="L250" s="70"/>
      <c r="M250" s="8"/>
      <c r="N250" s="70"/>
      <c r="O250" s="70"/>
      <c r="P250" s="70"/>
      <c r="Q250" s="8"/>
      <c r="R250" s="70"/>
      <c r="S250" s="70"/>
      <c r="T250" s="70"/>
      <c r="U250" s="8"/>
      <c r="V250" s="70"/>
      <c r="W250" s="70"/>
      <c r="X250" s="70"/>
      <c r="Y250" s="200"/>
      <c r="Z250" s="195"/>
      <c r="AA250" s="195"/>
      <c r="AB250" s="195"/>
      <c r="AC250" s="8"/>
      <c r="AD250" s="70"/>
      <c r="AE250" s="70"/>
      <c r="AF250" s="70"/>
      <c r="AG250" s="201"/>
      <c r="AH250" s="202"/>
      <c r="AI250" s="201"/>
      <c r="AJ250" s="201"/>
      <c r="AK250" s="70"/>
      <c r="AL250" s="70"/>
      <c r="AM250" s="70"/>
      <c r="AN250" s="70"/>
      <c r="AO250" s="70"/>
      <c r="AP250" s="70"/>
      <c r="AQ250" s="70"/>
      <c r="AR250" s="70"/>
      <c r="AS250" s="70"/>
      <c r="AT250" s="70"/>
      <c r="AU250" s="70"/>
      <c r="AV250" s="70"/>
      <c r="AW250" s="70"/>
      <c r="AX250" s="70"/>
    </row>
    <row r="251">
      <c r="A251" s="8"/>
      <c r="B251" s="70"/>
      <c r="C251" s="70"/>
      <c r="D251" s="70"/>
      <c r="E251" s="8"/>
      <c r="F251" s="70"/>
      <c r="G251" s="70"/>
      <c r="H251" s="70"/>
      <c r="I251" s="8"/>
      <c r="J251" s="70"/>
      <c r="K251" s="70"/>
      <c r="L251" s="70"/>
      <c r="M251" s="8"/>
      <c r="N251" s="70"/>
      <c r="O251" s="70"/>
      <c r="P251" s="70"/>
      <c r="Q251" s="8"/>
      <c r="R251" s="70"/>
      <c r="S251" s="70"/>
      <c r="T251" s="70"/>
      <c r="U251" s="8"/>
      <c r="V251" s="70"/>
      <c r="W251" s="70"/>
      <c r="X251" s="70"/>
      <c r="Y251" s="200"/>
      <c r="Z251" s="195"/>
      <c r="AA251" s="195"/>
      <c r="AB251" s="195"/>
      <c r="AC251" s="8"/>
      <c r="AD251" s="70"/>
      <c r="AE251" s="70"/>
      <c r="AF251" s="70"/>
      <c r="AG251" s="201"/>
      <c r="AH251" s="202"/>
      <c r="AI251" s="201"/>
      <c r="AJ251" s="201"/>
      <c r="AK251" s="70"/>
      <c r="AL251" s="70"/>
      <c r="AM251" s="70"/>
      <c r="AN251" s="70"/>
      <c r="AO251" s="70"/>
      <c r="AP251" s="70"/>
      <c r="AQ251" s="70"/>
      <c r="AR251" s="70"/>
      <c r="AS251" s="70"/>
      <c r="AT251" s="70"/>
      <c r="AU251" s="70"/>
      <c r="AV251" s="70"/>
      <c r="AW251" s="70"/>
      <c r="AX251" s="70"/>
    </row>
    <row r="252">
      <c r="A252" s="8"/>
      <c r="B252" s="70"/>
      <c r="C252" s="70"/>
      <c r="D252" s="70"/>
      <c r="E252" s="8"/>
      <c r="F252" s="70"/>
      <c r="G252" s="70"/>
      <c r="H252" s="70"/>
      <c r="I252" s="8"/>
      <c r="J252" s="70"/>
      <c r="K252" s="70"/>
      <c r="L252" s="70"/>
      <c r="M252" s="8"/>
      <c r="N252" s="70"/>
      <c r="O252" s="70"/>
      <c r="P252" s="70"/>
      <c r="Q252" s="8"/>
      <c r="R252" s="70"/>
      <c r="S252" s="70"/>
      <c r="T252" s="70"/>
      <c r="U252" s="8"/>
      <c r="V252" s="70"/>
      <c r="W252" s="70"/>
      <c r="X252" s="70"/>
      <c r="Y252" s="200"/>
      <c r="Z252" s="195"/>
      <c r="AA252" s="195"/>
      <c r="AB252" s="195"/>
      <c r="AC252" s="8"/>
      <c r="AD252" s="70"/>
      <c r="AE252" s="70"/>
      <c r="AF252" s="70"/>
      <c r="AG252" s="201"/>
      <c r="AH252" s="202"/>
      <c r="AI252" s="201"/>
      <c r="AJ252" s="201"/>
      <c r="AK252" s="70"/>
      <c r="AL252" s="70"/>
      <c r="AM252" s="70"/>
      <c r="AN252" s="70"/>
      <c r="AO252" s="70"/>
      <c r="AP252" s="70"/>
      <c r="AQ252" s="70"/>
      <c r="AR252" s="70"/>
      <c r="AS252" s="70"/>
      <c r="AT252" s="70"/>
      <c r="AU252" s="70"/>
      <c r="AV252" s="70"/>
      <c r="AW252" s="70"/>
      <c r="AX252" s="70"/>
    </row>
    <row r="253">
      <c r="A253" s="8"/>
      <c r="B253" s="70"/>
      <c r="C253" s="70"/>
      <c r="D253" s="70"/>
      <c r="E253" s="8"/>
      <c r="F253" s="70"/>
      <c r="G253" s="70"/>
      <c r="H253" s="70"/>
      <c r="I253" s="8"/>
      <c r="J253" s="70"/>
      <c r="K253" s="70"/>
      <c r="L253" s="70"/>
      <c r="M253" s="8"/>
      <c r="N253" s="70"/>
      <c r="O253" s="70"/>
      <c r="P253" s="70"/>
      <c r="Q253" s="8"/>
      <c r="R253" s="70"/>
      <c r="S253" s="70"/>
      <c r="T253" s="70"/>
      <c r="U253" s="8"/>
      <c r="V253" s="70"/>
      <c r="W253" s="70"/>
      <c r="X253" s="70"/>
      <c r="Y253" s="200"/>
      <c r="Z253" s="195"/>
      <c r="AA253" s="195"/>
      <c r="AB253" s="195"/>
      <c r="AC253" s="8"/>
      <c r="AD253" s="70"/>
      <c r="AE253" s="70"/>
      <c r="AF253" s="70"/>
      <c r="AG253" s="201"/>
      <c r="AH253" s="202"/>
      <c r="AI253" s="201"/>
      <c r="AJ253" s="201"/>
      <c r="AK253" s="70"/>
      <c r="AL253" s="70"/>
      <c r="AM253" s="70"/>
      <c r="AN253" s="70"/>
      <c r="AO253" s="70"/>
      <c r="AP253" s="70"/>
      <c r="AQ253" s="70"/>
      <c r="AR253" s="70"/>
      <c r="AS253" s="70"/>
      <c r="AT253" s="70"/>
      <c r="AU253" s="70"/>
      <c r="AV253" s="70"/>
      <c r="AW253" s="70"/>
      <c r="AX253" s="70"/>
    </row>
    <row r="254">
      <c r="A254" s="8"/>
      <c r="B254" s="70"/>
      <c r="C254" s="70"/>
      <c r="D254" s="70"/>
      <c r="E254" s="8"/>
      <c r="F254" s="70"/>
      <c r="G254" s="70"/>
      <c r="H254" s="70"/>
      <c r="I254" s="8"/>
      <c r="J254" s="70"/>
      <c r="K254" s="70"/>
      <c r="L254" s="70"/>
      <c r="M254" s="8"/>
      <c r="N254" s="70"/>
      <c r="O254" s="70"/>
      <c r="P254" s="70"/>
      <c r="Q254" s="8"/>
      <c r="R254" s="70"/>
      <c r="S254" s="70"/>
      <c r="T254" s="70"/>
      <c r="U254" s="8"/>
      <c r="V254" s="70"/>
      <c r="W254" s="70"/>
      <c r="X254" s="70"/>
      <c r="Y254" s="200"/>
      <c r="Z254" s="195"/>
      <c r="AA254" s="195"/>
      <c r="AB254" s="195"/>
      <c r="AC254" s="8"/>
      <c r="AD254" s="70"/>
      <c r="AE254" s="70"/>
      <c r="AF254" s="70"/>
      <c r="AG254" s="201"/>
      <c r="AH254" s="202"/>
      <c r="AI254" s="201"/>
      <c r="AJ254" s="201"/>
      <c r="AK254" s="70"/>
      <c r="AL254" s="70"/>
      <c r="AM254" s="70"/>
      <c r="AN254" s="70"/>
      <c r="AO254" s="70"/>
      <c r="AP254" s="70"/>
      <c r="AQ254" s="70"/>
      <c r="AR254" s="70"/>
      <c r="AS254" s="70"/>
      <c r="AT254" s="70"/>
      <c r="AU254" s="70"/>
      <c r="AV254" s="70"/>
      <c r="AW254" s="70"/>
      <c r="AX254" s="70"/>
    </row>
    <row r="255">
      <c r="A255" s="8"/>
      <c r="B255" s="70"/>
      <c r="C255" s="70"/>
      <c r="D255" s="70"/>
      <c r="E255" s="8"/>
      <c r="F255" s="70"/>
      <c r="G255" s="70"/>
      <c r="H255" s="70"/>
      <c r="I255" s="8"/>
      <c r="J255" s="70"/>
      <c r="K255" s="70"/>
      <c r="L255" s="70"/>
      <c r="M255" s="8"/>
      <c r="N255" s="70"/>
      <c r="O255" s="70"/>
      <c r="P255" s="70"/>
      <c r="Q255" s="8"/>
      <c r="R255" s="70"/>
      <c r="S255" s="70"/>
      <c r="T255" s="70"/>
      <c r="U255" s="8"/>
      <c r="V255" s="70"/>
      <c r="W255" s="70"/>
      <c r="X255" s="70"/>
      <c r="Y255" s="200"/>
      <c r="Z255" s="195"/>
      <c r="AA255" s="195"/>
      <c r="AB255" s="195"/>
      <c r="AC255" s="8"/>
      <c r="AD255" s="70"/>
      <c r="AE255" s="70"/>
      <c r="AF255" s="70"/>
      <c r="AG255" s="201"/>
      <c r="AH255" s="202"/>
      <c r="AI255" s="201"/>
      <c r="AJ255" s="201"/>
      <c r="AK255" s="70"/>
      <c r="AL255" s="70"/>
      <c r="AM255" s="70"/>
      <c r="AN255" s="70"/>
      <c r="AO255" s="70"/>
      <c r="AP255" s="70"/>
      <c r="AQ255" s="70"/>
      <c r="AR255" s="70"/>
      <c r="AS255" s="70"/>
      <c r="AT255" s="70"/>
      <c r="AU255" s="70"/>
      <c r="AV255" s="70"/>
      <c r="AW255" s="70"/>
      <c r="AX255" s="70"/>
    </row>
    <row r="256">
      <c r="A256" s="8"/>
      <c r="B256" s="70"/>
      <c r="C256" s="70"/>
      <c r="D256" s="70"/>
      <c r="E256" s="8"/>
      <c r="F256" s="70"/>
      <c r="G256" s="70"/>
      <c r="H256" s="70"/>
      <c r="I256" s="8"/>
      <c r="J256" s="70"/>
      <c r="K256" s="70"/>
      <c r="L256" s="70"/>
      <c r="M256" s="8"/>
      <c r="N256" s="70"/>
      <c r="O256" s="70"/>
      <c r="P256" s="70"/>
      <c r="Q256" s="8"/>
      <c r="R256" s="70"/>
      <c r="S256" s="70"/>
      <c r="T256" s="70"/>
      <c r="U256" s="8"/>
      <c r="V256" s="70"/>
      <c r="W256" s="70"/>
      <c r="X256" s="70"/>
      <c r="Y256" s="200"/>
      <c r="Z256" s="195"/>
      <c r="AA256" s="195"/>
      <c r="AB256" s="195"/>
      <c r="AC256" s="8"/>
      <c r="AD256" s="70"/>
      <c r="AE256" s="70"/>
      <c r="AF256" s="70"/>
      <c r="AG256" s="201"/>
      <c r="AH256" s="202"/>
      <c r="AI256" s="201"/>
      <c r="AJ256" s="201"/>
      <c r="AK256" s="70"/>
      <c r="AL256" s="70"/>
      <c r="AM256" s="70"/>
      <c r="AN256" s="70"/>
      <c r="AO256" s="70"/>
      <c r="AP256" s="70"/>
      <c r="AQ256" s="70"/>
      <c r="AR256" s="70"/>
      <c r="AS256" s="70"/>
      <c r="AT256" s="70"/>
      <c r="AU256" s="70"/>
      <c r="AV256" s="70"/>
      <c r="AW256" s="70"/>
      <c r="AX256" s="70"/>
    </row>
    <row r="257">
      <c r="A257" s="8"/>
      <c r="B257" s="70"/>
      <c r="C257" s="70"/>
      <c r="D257" s="70"/>
      <c r="E257" s="8"/>
      <c r="F257" s="70"/>
      <c r="G257" s="70"/>
      <c r="H257" s="70"/>
      <c r="I257" s="8"/>
      <c r="J257" s="70"/>
      <c r="K257" s="70"/>
      <c r="L257" s="70"/>
      <c r="M257" s="8"/>
      <c r="N257" s="70"/>
      <c r="O257" s="70"/>
      <c r="P257" s="70"/>
      <c r="Q257" s="8"/>
      <c r="R257" s="70"/>
      <c r="S257" s="70"/>
      <c r="T257" s="70"/>
      <c r="U257" s="8"/>
      <c r="V257" s="70"/>
      <c r="W257" s="70"/>
      <c r="X257" s="70"/>
      <c r="Y257" s="200"/>
      <c r="Z257" s="195"/>
      <c r="AA257" s="195"/>
      <c r="AB257" s="195"/>
      <c r="AC257" s="8"/>
      <c r="AD257" s="70"/>
      <c r="AE257" s="70"/>
      <c r="AF257" s="70"/>
      <c r="AG257" s="201"/>
      <c r="AH257" s="202"/>
      <c r="AI257" s="201"/>
      <c r="AJ257" s="201"/>
      <c r="AK257" s="70"/>
      <c r="AL257" s="70"/>
      <c r="AM257" s="70"/>
      <c r="AN257" s="70"/>
      <c r="AO257" s="70"/>
      <c r="AP257" s="70"/>
      <c r="AQ257" s="70"/>
      <c r="AR257" s="70"/>
      <c r="AS257" s="70"/>
      <c r="AT257" s="70"/>
      <c r="AU257" s="70"/>
      <c r="AV257" s="70"/>
      <c r="AW257" s="70"/>
      <c r="AX257" s="70"/>
    </row>
    <row r="258">
      <c r="A258" s="8"/>
      <c r="B258" s="70"/>
      <c r="C258" s="70"/>
      <c r="D258" s="70"/>
      <c r="E258" s="8"/>
      <c r="F258" s="70"/>
      <c r="G258" s="70"/>
      <c r="H258" s="70"/>
      <c r="I258" s="8"/>
      <c r="J258" s="70"/>
      <c r="K258" s="70"/>
      <c r="L258" s="70"/>
      <c r="M258" s="8"/>
      <c r="N258" s="70"/>
      <c r="O258" s="70"/>
      <c r="P258" s="70"/>
      <c r="Q258" s="8"/>
      <c r="R258" s="70"/>
      <c r="S258" s="70"/>
      <c r="T258" s="70"/>
      <c r="U258" s="8"/>
      <c r="V258" s="70"/>
      <c r="W258" s="70"/>
      <c r="X258" s="70"/>
      <c r="Y258" s="200"/>
      <c r="Z258" s="195"/>
      <c r="AA258" s="195"/>
      <c r="AB258" s="195"/>
      <c r="AC258" s="8"/>
      <c r="AD258" s="70"/>
      <c r="AE258" s="70"/>
      <c r="AF258" s="70"/>
      <c r="AG258" s="201"/>
      <c r="AH258" s="202"/>
      <c r="AI258" s="201"/>
      <c r="AJ258" s="201"/>
      <c r="AK258" s="70"/>
      <c r="AL258" s="70"/>
      <c r="AM258" s="70"/>
      <c r="AN258" s="70"/>
      <c r="AO258" s="70"/>
      <c r="AP258" s="70"/>
      <c r="AQ258" s="70"/>
      <c r="AR258" s="70"/>
      <c r="AS258" s="70"/>
      <c r="AT258" s="70"/>
      <c r="AU258" s="70"/>
      <c r="AV258" s="70"/>
      <c r="AW258" s="70"/>
      <c r="AX258" s="70"/>
    </row>
    <row r="259">
      <c r="A259" s="8"/>
      <c r="B259" s="70"/>
      <c r="C259" s="70"/>
      <c r="D259" s="70"/>
      <c r="E259" s="8"/>
      <c r="F259" s="70"/>
      <c r="G259" s="70"/>
      <c r="H259" s="70"/>
      <c r="I259" s="8"/>
      <c r="J259" s="70"/>
      <c r="K259" s="70"/>
      <c r="L259" s="70"/>
      <c r="M259" s="8"/>
      <c r="N259" s="70"/>
      <c r="O259" s="70"/>
      <c r="P259" s="70"/>
      <c r="Q259" s="8"/>
      <c r="R259" s="70"/>
      <c r="S259" s="70"/>
      <c r="T259" s="70"/>
      <c r="U259" s="8"/>
      <c r="V259" s="70"/>
      <c r="W259" s="70"/>
      <c r="X259" s="70"/>
      <c r="Y259" s="200"/>
      <c r="Z259" s="195"/>
      <c r="AA259" s="195"/>
      <c r="AB259" s="195"/>
      <c r="AC259" s="8"/>
      <c r="AD259" s="70"/>
      <c r="AE259" s="70"/>
      <c r="AF259" s="70"/>
      <c r="AG259" s="201"/>
      <c r="AH259" s="202"/>
      <c r="AI259" s="201"/>
      <c r="AJ259" s="201"/>
      <c r="AK259" s="70"/>
      <c r="AL259" s="70"/>
      <c r="AM259" s="70"/>
      <c r="AN259" s="70"/>
      <c r="AO259" s="70"/>
      <c r="AP259" s="70"/>
      <c r="AQ259" s="70"/>
      <c r="AR259" s="70"/>
      <c r="AS259" s="70"/>
      <c r="AT259" s="70"/>
      <c r="AU259" s="70"/>
      <c r="AV259" s="70"/>
      <c r="AW259" s="70"/>
      <c r="AX259" s="70"/>
    </row>
    <row r="260">
      <c r="A260" s="8"/>
      <c r="B260" s="70"/>
      <c r="C260" s="70"/>
      <c r="D260" s="70"/>
      <c r="E260" s="8"/>
      <c r="F260" s="70"/>
      <c r="G260" s="70"/>
      <c r="H260" s="70"/>
      <c r="I260" s="8"/>
      <c r="J260" s="70"/>
      <c r="K260" s="70"/>
      <c r="L260" s="70"/>
      <c r="M260" s="8"/>
      <c r="N260" s="70"/>
      <c r="O260" s="70"/>
      <c r="P260" s="70"/>
      <c r="Q260" s="8"/>
      <c r="R260" s="70"/>
      <c r="S260" s="70"/>
      <c r="T260" s="70"/>
      <c r="U260" s="8"/>
      <c r="V260" s="70"/>
      <c r="W260" s="70"/>
      <c r="X260" s="70"/>
      <c r="Y260" s="200"/>
      <c r="Z260" s="195"/>
      <c r="AA260" s="195"/>
      <c r="AB260" s="195"/>
      <c r="AC260" s="8"/>
      <c r="AD260" s="70"/>
      <c r="AE260" s="70"/>
      <c r="AF260" s="70"/>
      <c r="AG260" s="201"/>
      <c r="AH260" s="202"/>
      <c r="AI260" s="201"/>
      <c r="AJ260" s="201"/>
      <c r="AK260" s="70"/>
      <c r="AL260" s="70"/>
      <c r="AM260" s="70"/>
      <c r="AN260" s="70"/>
      <c r="AO260" s="70"/>
      <c r="AP260" s="70"/>
      <c r="AQ260" s="70"/>
      <c r="AR260" s="70"/>
      <c r="AS260" s="70"/>
      <c r="AT260" s="70"/>
      <c r="AU260" s="70"/>
      <c r="AV260" s="70"/>
      <c r="AW260" s="70"/>
      <c r="AX260" s="70"/>
    </row>
    <row r="261">
      <c r="A261" s="8"/>
      <c r="B261" s="70"/>
      <c r="C261" s="70"/>
      <c r="D261" s="70"/>
      <c r="E261" s="8"/>
      <c r="F261" s="70"/>
      <c r="G261" s="70"/>
      <c r="H261" s="70"/>
      <c r="I261" s="8"/>
      <c r="J261" s="70"/>
      <c r="K261" s="70"/>
      <c r="L261" s="70"/>
      <c r="M261" s="8"/>
      <c r="N261" s="70"/>
      <c r="O261" s="70"/>
      <c r="P261" s="70"/>
      <c r="Q261" s="8"/>
      <c r="R261" s="70"/>
      <c r="S261" s="70"/>
      <c r="T261" s="70"/>
      <c r="U261" s="8"/>
      <c r="V261" s="70"/>
      <c r="W261" s="70"/>
      <c r="X261" s="70"/>
      <c r="Y261" s="200"/>
      <c r="Z261" s="195"/>
      <c r="AA261" s="195"/>
      <c r="AB261" s="195"/>
      <c r="AC261" s="8"/>
      <c r="AD261" s="70"/>
      <c r="AE261" s="70"/>
      <c r="AF261" s="70"/>
      <c r="AG261" s="201"/>
      <c r="AH261" s="202"/>
      <c r="AI261" s="201"/>
      <c r="AJ261" s="201"/>
      <c r="AK261" s="70"/>
      <c r="AL261" s="70"/>
      <c r="AM261" s="70"/>
      <c r="AN261" s="70"/>
      <c r="AO261" s="70"/>
      <c r="AP261" s="70"/>
      <c r="AQ261" s="70"/>
      <c r="AR261" s="70"/>
      <c r="AS261" s="70"/>
      <c r="AT261" s="70"/>
      <c r="AU261" s="70"/>
      <c r="AV261" s="70"/>
      <c r="AW261" s="70"/>
      <c r="AX261" s="70"/>
    </row>
    <row r="262">
      <c r="A262" s="8"/>
      <c r="B262" s="70"/>
      <c r="C262" s="70"/>
      <c r="D262" s="70"/>
      <c r="E262" s="8"/>
      <c r="F262" s="70"/>
      <c r="G262" s="70"/>
      <c r="H262" s="70"/>
      <c r="I262" s="8"/>
      <c r="J262" s="70"/>
      <c r="K262" s="70"/>
      <c r="L262" s="70"/>
      <c r="M262" s="8"/>
      <c r="N262" s="70"/>
      <c r="O262" s="70"/>
      <c r="P262" s="70"/>
      <c r="Q262" s="8"/>
      <c r="R262" s="70"/>
      <c r="S262" s="70"/>
      <c r="T262" s="70"/>
      <c r="U262" s="8"/>
      <c r="V262" s="70"/>
      <c r="W262" s="70"/>
      <c r="X262" s="70"/>
      <c r="Y262" s="200"/>
      <c r="Z262" s="195"/>
      <c r="AA262" s="195"/>
      <c r="AB262" s="195"/>
      <c r="AC262" s="8"/>
      <c r="AD262" s="70"/>
      <c r="AE262" s="70"/>
      <c r="AF262" s="70"/>
      <c r="AG262" s="201"/>
      <c r="AH262" s="202"/>
      <c r="AI262" s="201"/>
      <c r="AJ262" s="201"/>
      <c r="AK262" s="70"/>
      <c r="AL262" s="70"/>
      <c r="AM262" s="70"/>
      <c r="AN262" s="70"/>
      <c r="AO262" s="70"/>
      <c r="AP262" s="70"/>
      <c r="AQ262" s="70"/>
      <c r="AR262" s="70"/>
      <c r="AS262" s="70"/>
      <c r="AT262" s="70"/>
      <c r="AU262" s="70"/>
      <c r="AV262" s="70"/>
      <c r="AW262" s="70"/>
      <c r="AX262" s="70"/>
    </row>
    <row r="263">
      <c r="A263" s="8"/>
      <c r="B263" s="70"/>
      <c r="C263" s="70"/>
      <c r="D263" s="70"/>
      <c r="E263" s="8"/>
      <c r="F263" s="70"/>
      <c r="G263" s="70"/>
      <c r="H263" s="70"/>
      <c r="I263" s="8"/>
      <c r="J263" s="70"/>
      <c r="K263" s="70"/>
      <c r="L263" s="70"/>
      <c r="M263" s="8"/>
      <c r="N263" s="70"/>
      <c r="O263" s="70"/>
      <c r="P263" s="70"/>
      <c r="Q263" s="8"/>
      <c r="R263" s="70"/>
      <c r="S263" s="70"/>
      <c r="T263" s="70"/>
      <c r="U263" s="8"/>
      <c r="V263" s="70"/>
      <c r="W263" s="70"/>
      <c r="X263" s="70"/>
      <c r="Y263" s="200"/>
      <c r="Z263" s="195"/>
      <c r="AA263" s="195"/>
      <c r="AB263" s="195"/>
      <c r="AC263" s="8"/>
      <c r="AD263" s="70"/>
      <c r="AE263" s="70"/>
      <c r="AF263" s="70"/>
      <c r="AG263" s="201"/>
      <c r="AH263" s="202"/>
      <c r="AI263" s="201"/>
      <c r="AJ263" s="201"/>
      <c r="AK263" s="70"/>
      <c r="AL263" s="70"/>
      <c r="AM263" s="70"/>
      <c r="AN263" s="70"/>
      <c r="AO263" s="70"/>
      <c r="AP263" s="70"/>
      <c r="AQ263" s="70"/>
      <c r="AR263" s="70"/>
      <c r="AS263" s="70"/>
      <c r="AT263" s="70"/>
      <c r="AU263" s="70"/>
      <c r="AV263" s="70"/>
      <c r="AW263" s="70"/>
      <c r="AX263" s="70"/>
    </row>
    <row r="264">
      <c r="A264" s="8"/>
      <c r="B264" s="70"/>
      <c r="C264" s="70"/>
      <c r="D264" s="70"/>
      <c r="E264" s="8"/>
      <c r="F264" s="70"/>
      <c r="G264" s="70"/>
      <c r="H264" s="70"/>
      <c r="I264" s="8"/>
      <c r="J264" s="70"/>
      <c r="K264" s="70"/>
      <c r="L264" s="70"/>
      <c r="M264" s="8"/>
      <c r="N264" s="70"/>
      <c r="O264" s="70"/>
      <c r="P264" s="70"/>
      <c r="Q264" s="8"/>
      <c r="R264" s="70"/>
      <c r="S264" s="70"/>
      <c r="T264" s="70"/>
      <c r="U264" s="8"/>
      <c r="V264" s="70"/>
      <c r="W264" s="70"/>
      <c r="X264" s="70"/>
      <c r="Y264" s="200"/>
      <c r="Z264" s="195"/>
      <c r="AA264" s="195"/>
      <c r="AB264" s="195"/>
      <c r="AC264" s="8"/>
      <c r="AD264" s="70"/>
      <c r="AE264" s="70"/>
      <c r="AF264" s="70"/>
      <c r="AG264" s="201"/>
      <c r="AH264" s="202"/>
      <c r="AI264" s="201"/>
      <c r="AJ264" s="201"/>
      <c r="AK264" s="70"/>
      <c r="AL264" s="70"/>
      <c r="AM264" s="70"/>
      <c r="AN264" s="70"/>
      <c r="AO264" s="70"/>
      <c r="AP264" s="70"/>
      <c r="AQ264" s="70"/>
      <c r="AR264" s="70"/>
      <c r="AS264" s="70"/>
      <c r="AT264" s="70"/>
      <c r="AU264" s="70"/>
      <c r="AV264" s="70"/>
      <c r="AW264" s="70"/>
      <c r="AX264" s="70"/>
    </row>
    <row r="265">
      <c r="A265" s="8"/>
      <c r="B265" s="70"/>
      <c r="C265" s="70"/>
      <c r="D265" s="70"/>
      <c r="E265" s="8"/>
      <c r="F265" s="70"/>
      <c r="G265" s="70"/>
      <c r="H265" s="70"/>
      <c r="I265" s="8"/>
      <c r="J265" s="70"/>
      <c r="K265" s="70"/>
      <c r="L265" s="70"/>
      <c r="M265" s="8"/>
      <c r="N265" s="70"/>
      <c r="O265" s="70"/>
      <c r="P265" s="70"/>
      <c r="Q265" s="8"/>
      <c r="R265" s="70"/>
      <c r="S265" s="70"/>
      <c r="T265" s="70"/>
      <c r="U265" s="8"/>
      <c r="V265" s="70"/>
      <c r="W265" s="70"/>
      <c r="X265" s="70"/>
      <c r="Y265" s="200"/>
      <c r="Z265" s="195"/>
      <c r="AA265" s="195"/>
      <c r="AB265" s="195"/>
      <c r="AC265" s="8"/>
      <c r="AD265" s="70"/>
      <c r="AE265" s="70"/>
      <c r="AF265" s="70"/>
      <c r="AG265" s="201"/>
      <c r="AH265" s="202"/>
      <c r="AI265" s="201"/>
      <c r="AJ265" s="201"/>
      <c r="AK265" s="70"/>
      <c r="AL265" s="70"/>
      <c r="AM265" s="70"/>
      <c r="AN265" s="70"/>
      <c r="AO265" s="70"/>
      <c r="AP265" s="70"/>
      <c r="AQ265" s="70"/>
      <c r="AR265" s="70"/>
      <c r="AS265" s="70"/>
      <c r="AT265" s="70"/>
      <c r="AU265" s="70"/>
      <c r="AV265" s="70"/>
      <c r="AW265" s="70"/>
      <c r="AX265" s="70"/>
    </row>
    <row r="266">
      <c r="A266" s="8"/>
      <c r="B266" s="70"/>
      <c r="C266" s="70"/>
      <c r="D266" s="70"/>
      <c r="E266" s="8"/>
      <c r="F266" s="70"/>
      <c r="G266" s="70"/>
      <c r="H266" s="70"/>
      <c r="I266" s="8"/>
      <c r="J266" s="70"/>
      <c r="K266" s="70"/>
      <c r="L266" s="70"/>
      <c r="M266" s="8"/>
      <c r="N266" s="70"/>
      <c r="O266" s="70"/>
      <c r="P266" s="70"/>
      <c r="Q266" s="8"/>
      <c r="R266" s="70"/>
      <c r="S266" s="70"/>
      <c r="T266" s="70"/>
      <c r="U266" s="8"/>
      <c r="V266" s="70"/>
      <c r="W266" s="70"/>
      <c r="X266" s="70"/>
      <c r="Y266" s="200"/>
      <c r="Z266" s="195"/>
      <c r="AA266" s="195"/>
      <c r="AB266" s="195"/>
      <c r="AC266" s="8"/>
      <c r="AD266" s="70"/>
      <c r="AE266" s="70"/>
      <c r="AF266" s="70"/>
      <c r="AG266" s="201"/>
      <c r="AH266" s="202"/>
      <c r="AI266" s="201"/>
      <c r="AJ266" s="201"/>
      <c r="AK266" s="70"/>
      <c r="AL266" s="70"/>
      <c r="AM266" s="70"/>
      <c r="AN266" s="70"/>
      <c r="AO266" s="70"/>
      <c r="AP266" s="70"/>
      <c r="AQ266" s="70"/>
      <c r="AR266" s="70"/>
      <c r="AS266" s="70"/>
      <c r="AT266" s="70"/>
      <c r="AU266" s="70"/>
      <c r="AV266" s="70"/>
      <c r="AW266" s="70"/>
      <c r="AX266" s="70"/>
    </row>
    <row r="267">
      <c r="A267" s="8"/>
      <c r="B267" s="70"/>
      <c r="C267" s="70"/>
      <c r="D267" s="70"/>
      <c r="E267" s="8"/>
      <c r="F267" s="70"/>
      <c r="G267" s="70"/>
      <c r="H267" s="70"/>
      <c r="I267" s="8"/>
      <c r="J267" s="70"/>
      <c r="K267" s="70"/>
      <c r="L267" s="70"/>
      <c r="M267" s="8"/>
      <c r="N267" s="70"/>
      <c r="O267" s="70"/>
      <c r="P267" s="70"/>
      <c r="Q267" s="8"/>
      <c r="R267" s="70"/>
      <c r="S267" s="70"/>
      <c r="T267" s="70"/>
      <c r="U267" s="8"/>
      <c r="V267" s="70"/>
      <c r="W267" s="70"/>
      <c r="X267" s="70"/>
      <c r="Y267" s="200"/>
      <c r="Z267" s="195"/>
      <c r="AA267" s="195"/>
      <c r="AB267" s="195"/>
      <c r="AC267" s="8"/>
      <c r="AD267" s="70"/>
      <c r="AE267" s="70"/>
      <c r="AF267" s="70"/>
      <c r="AG267" s="201"/>
      <c r="AH267" s="202"/>
      <c r="AI267" s="201"/>
      <c r="AJ267" s="201"/>
      <c r="AK267" s="70"/>
      <c r="AL267" s="70"/>
      <c r="AM267" s="70"/>
      <c r="AN267" s="70"/>
      <c r="AO267" s="70"/>
      <c r="AP267" s="70"/>
      <c r="AQ267" s="70"/>
      <c r="AR267" s="70"/>
      <c r="AS267" s="70"/>
      <c r="AT267" s="70"/>
      <c r="AU267" s="70"/>
      <c r="AV267" s="70"/>
      <c r="AW267" s="70"/>
      <c r="AX267" s="70"/>
    </row>
    <row r="268">
      <c r="A268" s="8"/>
      <c r="B268" s="70"/>
      <c r="C268" s="70"/>
      <c r="D268" s="70"/>
      <c r="E268" s="8"/>
      <c r="F268" s="70"/>
      <c r="G268" s="70"/>
      <c r="H268" s="70"/>
      <c r="I268" s="8"/>
      <c r="J268" s="70"/>
      <c r="K268" s="70"/>
      <c r="L268" s="70"/>
      <c r="M268" s="8"/>
      <c r="N268" s="70"/>
      <c r="O268" s="70"/>
      <c r="P268" s="70"/>
      <c r="Q268" s="8"/>
      <c r="R268" s="70"/>
      <c r="S268" s="70"/>
      <c r="T268" s="70"/>
      <c r="U268" s="8"/>
      <c r="V268" s="70"/>
      <c r="W268" s="70"/>
      <c r="X268" s="70"/>
      <c r="Y268" s="200"/>
      <c r="Z268" s="195"/>
      <c r="AA268" s="195"/>
      <c r="AB268" s="195"/>
      <c r="AC268" s="8"/>
      <c r="AD268" s="70"/>
      <c r="AE268" s="70"/>
      <c r="AF268" s="70"/>
      <c r="AG268" s="201"/>
      <c r="AH268" s="202"/>
      <c r="AI268" s="201"/>
      <c r="AJ268" s="201"/>
      <c r="AK268" s="70"/>
      <c r="AL268" s="70"/>
      <c r="AM268" s="70"/>
      <c r="AN268" s="70"/>
      <c r="AO268" s="70"/>
      <c r="AP268" s="70"/>
      <c r="AQ268" s="70"/>
      <c r="AR268" s="70"/>
      <c r="AS268" s="70"/>
      <c r="AT268" s="70"/>
      <c r="AU268" s="70"/>
      <c r="AV268" s="70"/>
      <c r="AW268" s="70"/>
      <c r="AX268" s="70"/>
    </row>
    <row r="269">
      <c r="A269" s="8"/>
      <c r="B269" s="70"/>
      <c r="C269" s="70"/>
      <c r="D269" s="70"/>
      <c r="E269" s="8"/>
      <c r="F269" s="70"/>
      <c r="G269" s="70"/>
      <c r="H269" s="70"/>
      <c r="I269" s="8"/>
      <c r="J269" s="70"/>
      <c r="K269" s="70"/>
      <c r="L269" s="70"/>
      <c r="M269" s="8"/>
      <c r="N269" s="70"/>
      <c r="O269" s="70"/>
      <c r="P269" s="70"/>
      <c r="Q269" s="8"/>
      <c r="R269" s="70"/>
      <c r="S269" s="70"/>
      <c r="T269" s="70"/>
      <c r="U269" s="8"/>
      <c r="V269" s="70"/>
      <c r="W269" s="70"/>
      <c r="X269" s="70"/>
      <c r="Y269" s="200"/>
      <c r="Z269" s="195"/>
      <c r="AA269" s="195"/>
      <c r="AB269" s="195"/>
      <c r="AC269" s="8"/>
      <c r="AD269" s="70"/>
      <c r="AE269" s="70"/>
      <c r="AF269" s="70"/>
      <c r="AG269" s="201"/>
      <c r="AH269" s="202"/>
      <c r="AI269" s="201"/>
      <c r="AJ269" s="201"/>
      <c r="AK269" s="70"/>
      <c r="AL269" s="70"/>
      <c r="AM269" s="70"/>
      <c r="AN269" s="70"/>
      <c r="AO269" s="70"/>
      <c r="AP269" s="70"/>
      <c r="AQ269" s="70"/>
      <c r="AR269" s="70"/>
      <c r="AS269" s="70"/>
      <c r="AT269" s="70"/>
      <c r="AU269" s="70"/>
      <c r="AV269" s="70"/>
      <c r="AW269" s="70"/>
      <c r="AX269" s="70"/>
    </row>
    <row r="270">
      <c r="A270" s="8"/>
      <c r="B270" s="70"/>
      <c r="C270" s="70"/>
      <c r="D270" s="70"/>
      <c r="E270" s="8"/>
      <c r="F270" s="70"/>
      <c r="G270" s="70"/>
      <c r="H270" s="70"/>
      <c r="I270" s="8"/>
      <c r="J270" s="70"/>
      <c r="K270" s="70"/>
      <c r="L270" s="70"/>
      <c r="M270" s="8"/>
      <c r="N270" s="70"/>
      <c r="O270" s="70"/>
      <c r="P270" s="70"/>
      <c r="Q270" s="8"/>
      <c r="R270" s="70"/>
      <c r="S270" s="70"/>
      <c r="T270" s="70"/>
      <c r="U270" s="8"/>
      <c r="V270" s="70"/>
      <c r="W270" s="70"/>
      <c r="X270" s="70"/>
      <c r="Y270" s="200"/>
      <c r="Z270" s="195"/>
      <c r="AA270" s="195"/>
      <c r="AB270" s="195"/>
      <c r="AC270" s="8"/>
      <c r="AD270" s="70"/>
      <c r="AE270" s="70"/>
      <c r="AF270" s="70"/>
      <c r="AG270" s="201"/>
      <c r="AH270" s="202"/>
      <c r="AI270" s="201"/>
      <c r="AJ270" s="201"/>
      <c r="AK270" s="70"/>
      <c r="AL270" s="70"/>
      <c r="AM270" s="70"/>
      <c r="AN270" s="70"/>
      <c r="AO270" s="70"/>
      <c r="AP270" s="70"/>
      <c r="AQ270" s="70"/>
      <c r="AR270" s="70"/>
      <c r="AS270" s="70"/>
      <c r="AT270" s="70"/>
      <c r="AU270" s="70"/>
      <c r="AV270" s="70"/>
      <c r="AW270" s="70"/>
      <c r="AX270" s="70"/>
    </row>
    <row r="271">
      <c r="A271" s="8"/>
      <c r="B271" s="70"/>
      <c r="C271" s="70"/>
      <c r="D271" s="70"/>
      <c r="E271" s="8"/>
      <c r="F271" s="70"/>
      <c r="G271" s="70"/>
      <c r="H271" s="70"/>
      <c r="I271" s="8"/>
      <c r="J271" s="70"/>
      <c r="K271" s="70"/>
      <c r="L271" s="70"/>
      <c r="M271" s="8"/>
      <c r="N271" s="70"/>
      <c r="O271" s="70"/>
      <c r="P271" s="70"/>
      <c r="Q271" s="8"/>
      <c r="R271" s="70"/>
      <c r="S271" s="70"/>
      <c r="T271" s="70"/>
      <c r="U271" s="8"/>
      <c r="V271" s="70"/>
      <c r="W271" s="70"/>
      <c r="X271" s="70"/>
      <c r="Y271" s="200"/>
      <c r="Z271" s="195"/>
      <c r="AA271" s="195"/>
      <c r="AB271" s="195"/>
      <c r="AC271" s="8"/>
      <c r="AD271" s="70"/>
      <c r="AE271" s="70"/>
      <c r="AF271" s="70"/>
      <c r="AG271" s="201"/>
      <c r="AH271" s="202"/>
      <c r="AI271" s="201"/>
      <c r="AJ271" s="201"/>
      <c r="AK271" s="70"/>
      <c r="AL271" s="70"/>
      <c r="AM271" s="70"/>
      <c r="AN271" s="70"/>
      <c r="AO271" s="70"/>
      <c r="AP271" s="70"/>
      <c r="AQ271" s="70"/>
      <c r="AR271" s="70"/>
      <c r="AS271" s="70"/>
      <c r="AT271" s="70"/>
      <c r="AU271" s="70"/>
      <c r="AV271" s="70"/>
      <c r="AW271" s="70"/>
      <c r="AX271" s="70"/>
    </row>
    <row r="272">
      <c r="A272" s="8"/>
      <c r="B272" s="70"/>
      <c r="C272" s="70"/>
      <c r="D272" s="70"/>
      <c r="E272" s="8"/>
      <c r="F272" s="70"/>
      <c r="G272" s="70"/>
      <c r="H272" s="70"/>
      <c r="I272" s="8"/>
      <c r="J272" s="70"/>
      <c r="K272" s="70"/>
      <c r="L272" s="70"/>
      <c r="M272" s="8"/>
      <c r="N272" s="70"/>
      <c r="O272" s="70"/>
      <c r="P272" s="70"/>
      <c r="Q272" s="8"/>
      <c r="R272" s="70"/>
      <c r="S272" s="70"/>
      <c r="T272" s="70"/>
      <c r="U272" s="8"/>
      <c r="V272" s="70"/>
      <c r="W272" s="70"/>
      <c r="X272" s="70"/>
      <c r="Y272" s="200"/>
      <c r="Z272" s="195"/>
      <c r="AA272" s="195"/>
      <c r="AB272" s="195"/>
      <c r="AC272" s="8"/>
      <c r="AD272" s="70"/>
      <c r="AE272" s="70"/>
      <c r="AF272" s="70"/>
      <c r="AG272" s="201"/>
      <c r="AH272" s="202"/>
      <c r="AI272" s="201"/>
      <c r="AJ272" s="201"/>
      <c r="AK272" s="70"/>
      <c r="AL272" s="70"/>
      <c r="AM272" s="70"/>
      <c r="AN272" s="70"/>
      <c r="AO272" s="70"/>
      <c r="AP272" s="70"/>
      <c r="AQ272" s="70"/>
      <c r="AR272" s="70"/>
      <c r="AS272" s="70"/>
      <c r="AT272" s="70"/>
      <c r="AU272" s="70"/>
      <c r="AV272" s="70"/>
      <c r="AW272" s="70"/>
      <c r="AX272" s="70"/>
    </row>
    <row r="273">
      <c r="A273" s="8"/>
      <c r="B273" s="70"/>
      <c r="C273" s="70"/>
      <c r="D273" s="70"/>
      <c r="E273" s="8"/>
      <c r="F273" s="70"/>
      <c r="G273" s="70"/>
      <c r="H273" s="70"/>
      <c r="I273" s="8"/>
      <c r="J273" s="70"/>
      <c r="K273" s="70"/>
      <c r="L273" s="70"/>
      <c r="M273" s="8"/>
      <c r="N273" s="70"/>
      <c r="O273" s="70"/>
      <c r="P273" s="70"/>
      <c r="Q273" s="8"/>
      <c r="R273" s="70"/>
      <c r="S273" s="70"/>
      <c r="T273" s="70"/>
      <c r="U273" s="8"/>
      <c r="V273" s="70"/>
      <c r="W273" s="70"/>
      <c r="X273" s="70"/>
      <c r="Y273" s="200"/>
      <c r="Z273" s="195"/>
      <c r="AA273" s="195"/>
      <c r="AB273" s="195"/>
      <c r="AC273" s="8"/>
      <c r="AD273" s="70"/>
      <c r="AE273" s="70"/>
      <c r="AF273" s="70"/>
      <c r="AG273" s="201"/>
      <c r="AH273" s="202"/>
      <c r="AI273" s="201"/>
      <c r="AJ273" s="201"/>
      <c r="AK273" s="70"/>
      <c r="AL273" s="70"/>
      <c r="AM273" s="70"/>
      <c r="AN273" s="70"/>
      <c r="AO273" s="70"/>
      <c r="AP273" s="70"/>
      <c r="AQ273" s="70"/>
      <c r="AR273" s="70"/>
      <c r="AS273" s="70"/>
      <c r="AT273" s="70"/>
      <c r="AU273" s="70"/>
      <c r="AV273" s="70"/>
      <c r="AW273" s="70"/>
      <c r="AX273" s="70"/>
    </row>
    <row r="274">
      <c r="A274" s="8"/>
      <c r="B274" s="70"/>
      <c r="C274" s="70"/>
      <c r="D274" s="70"/>
      <c r="E274" s="8"/>
      <c r="F274" s="70"/>
      <c r="G274" s="70"/>
      <c r="H274" s="70"/>
      <c r="I274" s="8"/>
      <c r="J274" s="70"/>
      <c r="K274" s="70"/>
      <c r="L274" s="70"/>
      <c r="M274" s="8"/>
      <c r="N274" s="70"/>
      <c r="O274" s="70"/>
      <c r="P274" s="70"/>
      <c r="Q274" s="8"/>
      <c r="R274" s="70"/>
      <c r="S274" s="70"/>
      <c r="T274" s="70"/>
      <c r="U274" s="8"/>
      <c r="V274" s="70"/>
      <c r="W274" s="70"/>
      <c r="X274" s="70"/>
      <c r="Y274" s="200"/>
      <c r="Z274" s="195"/>
      <c r="AA274" s="195"/>
      <c r="AB274" s="195"/>
      <c r="AC274" s="8"/>
      <c r="AD274" s="70"/>
      <c r="AE274" s="70"/>
      <c r="AF274" s="70"/>
      <c r="AG274" s="201"/>
      <c r="AH274" s="202"/>
      <c r="AI274" s="201"/>
      <c r="AJ274" s="201"/>
      <c r="AK274" s="70"/>
      <c r="AL274" s="70"/>
      <c r="AM274" s="70"/>
      <c r="AN274" s="70"/>
      <c r="AO274" s="70"/>
      <c r="AP274" s="70"/>
      <c r="AQ274" s="70"/>
      <c r="AR274" s="70"/>
      <c r="AS274" s="70"/>
      <c r="AT274" s="70"/>
      <c r="AU274" s="70"/>
      <c r="AV274" s="70"/>
      <c r="AW274" s="70"/>
      <c r="AX274" s="70"/>
    </row>
    <row r="275">
      <c r="A275" s="8"/>
      <c r="B275" s="70"/>
      <c r="C275" s="70"/>
      <c r="D275" s="70"/>
      <c r="E275" s="8"/>
      <c r="F275" s="70"/>
      <c r="G275" s="70"/>
      <c r="H275" s="70"/>
      <c r="I275" s="8"/>
      <c r="J275" s="70"/>
      <c r="K275" s="70"/>
      <c r="L275" s="70"/>
      <c r="M275" s="8"/>
      <c r="N275" s="70"/>
      <c r="O275" s="70"/>
      <c r="P275" s="70"/>
      <c r="Q275" s="8"/>
      <c r="R275" s="70"/>
      <c r="S275" s="70"/>
      <c r="T275" s="70"/>
      <c r="U275" s="8"/>
      <c r="V275" s="70"/>
      <c r="W275" s="70"/>
      <c r="X275" s="70"/>
      <c r="Y275" s="200"/>
      <c r="Z275" s="195"/>
      <c r="AA275" s="195"/>
      <c r="AB275" s="195"/>
      <c r="AC275" s="8"/>
      <c r="AD275" s="70"/>
      <c r="AE275" s="70"/>
      <c r="AF275" s="70"/>
      <c r="AG275" s="201"/>
      <c r="AH275" s="202"/>
      <c r="AI275" s="201"/>
      <c r="AJ275" s="201"/>
      <c r="AK275" s="70"/>
      <c r="AL275" s="70"/>
      <c r="AM275" s="70"/>
      <c r="AN275" s="70"/>
      <c r="AO275" s="70"/>
      <c r="AP275" s="70"/>
      <c r="AQ275" s="70"/>
      <c r="AR275" s="70"/>
      <c r="AS275" s="70"/>
      <c r="AT275" s="70"/>
      <c r="AU275" s="70"/>
      <c r="AV275" s="70"/>
      <c r="AW275" s="70"/>
      <c r="AX275" s="70"/>
    </row>
    <row r="276">
      <c r="A276" s="8"/>
      <c r="B276" s="70"/>
      <c r="C276" s="70"/>
      <c r="D276" s="70"/>
      <c r="E276" s="8"/>
      <c r="F276" s="70"/>
      <c r="G276" s="70"/>
      <c r="H276" s="70"/>
      <c r="I276" s="8"/>
      <c r="J276" s="70"/>
      <c r="K276" s="70"/>
      <c r="L276" s="70"/>
      <c r="M276" s="8"/>
      <c r="N276" s="70"/>
      <c r="O276" s="70"/>
      <c r="P276" s="70"/>
      <c r="Q276" s="8"/>
      <c r="R276" s="70"/>
      <c r="S276" s="70"/>
      <c r="T276" s="70"/>
      <c r="U276" s="8"/>
      <c r="V276" s="70"/>
      <c r="W276" s="70"/>
      <c r="X276" s="70"/>
      <c r="Y276" s="200"/>
      <c r="Z276" s="195"/>
      <c r="AA276" s="195"/>
      <c r="AB276" s="195"/>
      <c r="AC276" s="8"/>
      <c r="AD276" s="70"/>
      <c r="AE276" s="70"/>
      <c r="AF276" s="70"/>
      <c r="AG276" s="201"/>
      <c r="AH276" s="202"/>
      <c r="AI276" s="201"/>
      <c r="AJ276" s="201"/>
      <c r="AK276" s="70"/>
      <c r="AL276" s="70"/>
      <c r="AM276" s="70"/>
      <c r="AN276" s="70"/>
      <c r="AO276" s="70"/>
      <c r="AP276" s="70"/>
      <c r="AQ276" s="70"/>
      <c r="AR276" s="70"/>
      <c r="AS276" s="70"/>
      <c r="AT276" s="70"/>
      <c r="AU276" s="70"/>
      <c r="AV276" s="70"/>
      <c r="AW276" s="70"/>
      <c r="AX276" s="70"/>
    </row>
    <row r="277">
      <c r="A277" s="8"/>
      <c r="B277" s="70"/>
      <c r="C277" s="70"/>
      <c r="D277" s="70"/>
      <c r="E277" s="8"/>
      <c r="F277" s="70"/>
      <c r="G277" s="70"/>
      <c r="H277" s="70"/>
      <c r="I277" s="8"/>
      <c r="J277" s="70"/>
      <c r="K277" s="70"/>
      <c r="L277" s="70"/>
      <c r="M277" s="8"/>
      <c r="N277" s="70"/>
      <c r="O277" s="70"/>
      <c r="P277" s="70"/>
      <c r="Q277" s="8"/>
      <c r="R277" s="70"/>
      <c r="S277" s="70"/>
      <c r="T277" s="70"/>
      <c r="U277" s="8"/>
      <c r="V277" s="70"/>
      <c r="W277" s="70"/>
      <c r="X277" s="70"/>
      <c r="Y277" s="200"/>
      <c r="Z277" s="195"/>
      <c r="AA277" s="195"/>
      <c r="AB277" s="195"/>
      <c r="AC277" s="8"/>
      <c r="AD277" s="70"/>
      <c r="AE277" s="70"/>
      <c r="AF277" s="70"/>
      <c r="AG277" s="201"/>
      <c r="AH277" s="202"/>
      <c r="AI277" s="201"/>
      <c r="AJ277" s="201"/>
      <c r="AK277" s="70"/>
      <c r="AL277" s="70"/>
      <c r="AM277" s="70"/>
      <c r="AN277" s="70"/>
      <c r="AO277" s="70"/>
      <c r="AP277" s="70"/>
      <c r="AQ277" s="70"/>
      <c r="AR277" s="70"/>
      <c r="AS277" s="70"/>
      <c r="AT277" s="70"/>
      <c r="AU277" s="70"/>
      <c r="AV277" s="70"/>
      <c r="AW277" s="70"/>
      <c r="AX277" s="70"/>
    </row>
    <row r="278">
      <c r="A278" s="8"/>
      <c r="B278" s="70"/>
      <c r="C278" s="70"/>
      <c r="D278" s="70"/>
      <c r="E278" s="8"/>
      <c r="F278" s="70"/>
      <c r="G278" s="70"/>
      <c r="H278" s="70"/>
      <c r="I278" s="8"/>
      <c r="J278" s="70"/>
      <c r="K278" s="70"/>
      <c r="L278" s="70"/>
      <c r="M278" s="8"/>
      <c r="N278" s="70"/>
      <c r="O278" s="70"/>
      <c r="P278" s="70"/>
      <c r="Q278" s="8"/>
      <c r="R278" s="70"/>
      <c r="S278" s="70"/>
      <c r="T278" s="70"/>
      <c r="U278" s="8"/>
      <c r="V278" s="70"/>
      <c r="W278" s="70"/>
      <c r="X278" s="70"/>
      <c r="Y278" s="200"/>
      <c r="Z278" s="195"/>
      <c r="AA278" s="195"/>
      <c r="AB278" s="195"/>
      <c r="AC278" s="8"/>
      <c r="AD278" s="70"/>
      <c r="AE278" s="70"/>
      <c r="AF278" s="70"/>
      <c r="AG278" s="201"/>
      <c r="AH278" s="202"/>
      <c r="AI278" s="201"/>
      <c r="AJ278" s="201"/>
      <c r="AK278" s="70"/>
      <c r="AL278" s="70"/>
      <c r="AM278" s="70"/>
      <c r="AN278" s="70"/>
      <c r="AO278" s="70"/>
      <c r="AP278" s="70"/>
      <c r="AQ278" s="70"/>
      <c r="AR278" s="70"/>
      <c r="AS278" s="70"/>
      <c r="AT278" s="70"/>
      <c r="AU278" s="70"/>
      <c r="AV278" s="70"/>
      <c r="AW278" s="70"/>
      <c r="AX278" s="70"/>
    </row>
    <row r="279">
      <c r="A279" s="8"/>
      <c r="B279" s="70"/>
      <c r="C279" s="70"/>
      <c r="D279" s="70"/>
      <c r="E279" s="8"/>
      <c r="F279" s="70"/>
      <c r="G279" s="70"/>
      <c r="H279" s="70"/>
      <c r="I279" s="8"/>
      <c r="J279" s="70"/>
      <c r="K279" s="70"/>
      <c r="L279" s="70"/>
      <c r="M279" s="8"/>
      <c r="N279" s="70"/>
      <c r="O279" s="70"/>
      <c r="P279" s="70"/>
      <c r="Q279" s="8"/>
      <c r="R279" s="70"/>
      <c r="S279" s="70"/>
      <c r="T279" s="70"/>
      <c r="U279" s="8"/>
      <c r="V279" s="70"/>
      <c r="W279" s="70"/>
      <c r="X279" s="70"/>
      <c r="Y279" s="200"/>
      <c r="Z279" s="195"/>
      <c r="AA279" s="195"/>
      <c r="AB279" s="195"/>
      <c r="AC279" s="8"/>
      <c r="AD279" s="70"/>
      <c r="AE279" s="70"/>
      <c r="AF279" s="70"/>
      <c r="AG279" s="201"/>
      <c r="AH279" s="202"/>
      <c r="AI279" s="201"/>
      <c r="AJ279" s="201"/>
      <c r="AK279" s="70"/>
      <c r="AL279" s="70"/>
      <c r="AM279" s="70"/>
      <c r="AN279" s="70"/>
      <c r="AO279" s="70"/>
      <c r="AP279" s="70"/>
      <c r="AQ279" s="70"/>
      <c r="AR279" s="70"/>
      <c r="AS279" s="70"/>
      <c r="AT279" s="70"/>
      <c r="AU279" s="70"/>
      <c r="AV279" s="70"/>
      <c r="AW279" s="70"/>
      <c r="AX279" s="70"/>
    </row>
    <row r="280">
      <c r="A280" s="8"/>
      <c r="B280" s="70"/>
      <c r="C280" s="70"/>
      <c r="D280" s="70"/>
      <c r="E280" s="8"/>
      <c r="F280" s="70"/>
      <c r="G280" s="70"/>
      <c r="H280" s="70"/>
      <c r="I280" s="8"/>
      <c r="J280" s="70"/>
      <c r="K280" s="70"/>
      <c r="L280" s="70"/>
      <c r="M280" s="8"/>
      <c r="N280" s="70"/>
      <c r="O280" s="70"/>
      <c r="P280" s="70"/>
      <c r="Q280" s="8"/>
      <c r="R280" s="70"/>
      <c r="S280" s="70"/>
      <c r="T280" s="70"/>
      <c r="U280" s="8"/>
      <c r="V280" s="70"/>
      <c r="W280" s="70"/>
      <c r="X280" s="70"/>
      <c r="Y280" s="200"/>
      <c r="Z280" s="195"/>
      <c r="AA280" s="195"/>
      <c r="AB280" s="195"/>
      <c r="AC280" s="8"/>
      <c r="AD280" s="70"/>
      <c r="AE280" s="70"/>
      <c r="AF280" s="70"/>
      <c r="AG280" s="201"/>
      <c r="AH280" s="202"/>
      <c r="AI280" s="201"/>
      <c r="AJ280" s="201"/>
      <c r="AK280" s="70"/>
      <c r="AL280" s="70"/>
      <c r="AM280" s="70"/>
      <c r="AN280" s="70"/>
      <c r="AO280" s="70"/>
      <c r="AP280" s="70"/>
      <c r="AQ280" s="70"/>
      <c r="AR280" s="70"/>
      <c r="AS280" s="70"/>
      <c r="AT280" s="70"/>
      <c r="AU280" s="70"/>
      <c r="AV280" s="70"/>
      <c r="AW280" s="70"/>
      <c r="AX280" s="70"/>
    </row>
    <row r="281">
      <c r="A281" s="8"/>
      <c r="B281" s="70"/>
      <c r="C281" s="70"/>
      <c r="D281" s="70"/>
      <c r="E281" s="8"/>
      <c r="F281" s="70"/>
      <c r="G281" s="70"/>
      <c r="H281" s="70"/>
      <c r="I281" s="8"/>
      <c r="J281" s="70"/>
      <c r="K281" s="70"/>
      <c r="L281" s="70"/>
      <c r="M281" s="8"/>
      <c r="N281" s="70"/>
      <c r="O281" s="70"/>
      <c r="P281" s="70"/>
      <c r="Q281" s="8"/>
      <c r="R281" s="70"/>
      <c r="S281" s="70"/>
      <c r="T281" s="70"/>
      <c r="U281" s="8"/>
      <c r="V281" s="70"/>
      <c r="W281" s="70"/>
      <c r="X281" s="70"/>
      <c r="Y281" s="200"/>
      <c r="Z281" s="195"/>
      <c r="AA281" s="195"/>
      <c r="AB281" s="195"/>
      <c r="AC281" s="8"/>
      <c r="AD281" s="70"/>
      <c r="AE281" s="70"/>
      <c r="AF281" s="70"/>
      <c r="AG281" s="201"/>
      <c r="AH281" s="202"/>
      <c r="AI281" s="201"/>
      <c r="AJ281" s="201"/>
      <c r="AK281" s="70"/>
      <c r="AL281" s="70"/>
      <c r="AM281" s="70"/>
      <c r="AN281" s="70"/>
      <c r="AO281" s="70"/>
      <c r="AP281" s="70"/>
      <c r="AQ281" s="70"/>
      <c r="AR281" s="70"/>
      <c r="AS281" s="70"/>
      <c r="AT281" s="70"/>
      <c r="AU281" s="70"/>
      <c r="AV281" s="70"/>
      <c r="AW281" s="70"/>
      <c r="AX281" s="70"/>
    </row>
    <row r="282">
      <c r="A282" s="8"/>
      <c r="B282" s="70"/>
      <c r="C282" s="70"/>
      <c r="D282" s="70"/>
      <c r="E282" s="8"/>
      <c r="F282" s="70"/>
      <c r="G282" s="70"/>
      <c r="H282" s="70"/>
      <c r="I282" s="8"/>
      <c r="J282" s="70"/>
      <c r="K282" s="70"/>
      <c r="L282" s="70"/>
      <c r="M282" s="8"/>
      <c r="N282" s="70"/>
      <c r="O282" s="70"/>
      <c r="P282" s="70"/>
      <c r="Q282" s="8"/>
      <c r="R282" s="70"/>
      <c r="S282" s="70"/>
      <c r="T282" s="70"/>
      <c r="U282" s="8"/>
      <c r="V282" s="70"/>
      <c r="W282" s="70"/>
      <c r="X282" s="70"/>
      <c r="Y282" s="200"/>
      <c r="Z282" s="195"/>
      <c r="AA282" s="195"/>
      <c r="AB282" s="195"/>
      <c r="AC282" s="8"/>
      <c r="AD282" s="70"/>
      <c r="AE282" s="70"/>
      <c r="AF282" s="70"/>
      <c r="AG282" s="201"/>
      <c r="AH282" s="202"/>
      <c r="AI282" s="201"/>
      <c r="AJ282" s="201"/>
      <c r="AK282" s="70"/>
      <c r="AL282" s="70"/>
      <c r="AM282" s="70"/>
      <c r="AN282" s="70"/>
      <c r="AO282" s="70"/>
      <c r="AP282" s="70"/>
      <c r="AQ282" s="70"/>
      <c r="AR282" s="70"/>
      <c r="AS282" s="70"/>
      <c r="AT282" s="70"/>
      <c r="AU282" s="70"/>
      <c r="AV282" s="70"/>
      <c r="AW282" s="70"/>
      <c r="AX282" s="70"/>
    </row>
    <row r="283">
      <c r="A283" s="8"/>
      <c r="B283" s="70"/>
      <c r="C283" s="70"/>
      <c r="D283" s="70"/>
      <c r="E283" s="8"/>
      <c r="F283" s="70"/>
      <c r="G283" s="70"/>
      <c r="H283" s="70"/>
      <c r="I283" s="8"/>
      <c r="J283" s="70"/>
      <c r="K283" s="70"/>
      <c r="L283" s="70"/>
      <c r="M283" s="8"/>
      <c r="N283" s="70"/>
      <c r="O283" s="70"/>
      <c r="P283" s="70"/>
      <c r="Q283" s="8"/>
      <c r="R283" s="70"/>
      <c r="S283" s="70"/>
      <c r="T283" s="70"/>
      <c r="U283" s="8"/>
      <c r="V283" s="70"/>
      <c r="W283" s="70"/>
      <c r="X283" s="70"/>
      <c r="Y283" s="200"/>
      <c r="Z283" s="195"/>
      <c r="AA283" s="195"/>
      <c r="AB283" s="195"/>
      <c r="AC283" s="8"/>
      <c r="AD283" s="70"/>
      <c r="AE283" s="70"/>
      <c r="AF283" s="70"/>
      <c r="AG283" s="201"/>
      <c r="AH283" s="202"/>
      <c r="AI283" s="201"/>
      <c r="AJ283" s="201"/>
      <c r="AK283" s="70"/>
      <c r="AL283" s="70"/>
      <c r="AM283" s="70"/>
      <c r="AN283" s="70"/>
      <c r="AO283" s="70"/>
      <c r="AP283" s="70"/>
      <c r="AQ283" s="70"/>
      <c r="AR283" s="70"/>
      <c r="AS283" s="70"/>
      <c r="AT283" s="70"/>
      <c r="AU283" s="70"/>
      <c r="AV283" s="70"/>
      <c r="AW283" s="70"/>
      <c r="AX283" s="70"/>
    </row>
    <row r="284">
      <c r="A284" s="8"/>
      <c r="B284" s="70"/>
      <c r="C284" s="70"/>
      <c r="D284" s="70"/>
      <c r="E284" s="8"/>
      <c r="F284" s="70"/>
      <c r="G284" s="70"/>
      <c r="H284" s="70"/>
      <c r="I284" s="8"/>
      <c r="J284" s="70"/>
      <c r="K284" s="70"/>
      <c r="L284" s="70"/>
      <c r="M284" s="8"/>
      <c r="N284" s="70"/>
      <c r="O284" s="70"/>
      <c r="P284" s="70"/>
      <c r="Q284" s="8"/>
      <c r="R284" s="70"/>
      <c r="S284" s="70"/>
      <c r="T284" s="70"/>
      <c r="U284" s="8"/>
      <c r="V284" s="70"/>
      <c r="W284" s="70"/>
      <c r="X284" s="70"/>
      <c r="Y284" s="200"/>
      <c r="Z284" s="195"/>
      <c r="AA284" s="195"/>
      <c r="AB284" s="195"/>
      <c r="AC284" s="8"/>
      <c r="AD284" s="70"/>
      <c r="AE284" s="70"/>
      <c r="AF284" s="70"/>
      <c r="AG284" s="201"/>
      <c r="AH284" s="202"/>
      <c r="AI284" s="201"/>
      <c r="AJ284" s="201"/>
      <c r="AK284" s="70"/>
      <c r="AL284" s="70"/>
      <c r="AM284" s="70"/>
      <c r="AN284" s="70"/>
      <c r="AO284" s="70"/>
      <c r="AP284" s="70"/>
      <c r="AQ284" s="70"/>
      <c r="AR284" s="70"/>
      <c r="AS284" s="70"/>
      <c r="AT284" s="70"/>
      <c r="AU284" s="70"/>
      <c r="AV284" s="70"/>
      <c r="AW284" s="70"/>
      <c r="AX284" s="70"/>
    </row>
    <row r="285">
      <c r="A285" s="8"/>
      <c r="B285" s="70"/>
      <c r="C285" s="70"/>
      <c r="D285" s="70"/>
      <c r="E285" s="8"/>
      <c r="F285" s="70"/>
      <c r="G285" s="70"/>
      <c r="H285" s="70"/>
      <c r="I285" s="8"/>
      <c r="J285" s="70"/>
      <c r="K285" s="70"/>
      <c r="L285" s="70"/>
      <c r="M285" s="8"/>
      <c r="N285" s="70"/>
      <c r="O285" s="70"/>
      <c r="P285" s="70"/>
      <c r="Q285" s="8"/>
      <c r="R285" s="70"/>
      <c r="S285" s="70"/>
      <c r="T285" s="70"/>
      <c r="U285" s="8"/>
      <c r="V285" s="70"/>
      <c r="W285" s="70"/>
      <c r="X285" s="70"/>
      <c r="Y285" s="200"/>
      <c r="Z285" s="195"/>
      <c r="AA285" s="195"/>
      <c r="AB285" s="195"/>
      <c r="AC285" s="8"/>
      <c r="AD285" s="70"/>
      <c r="AE285" s="70"/>
      <c r="AF285" s="70"/>
      <c r="AG285" s="201"/>
      <c r="AH285" s="202"/>
      <c r="AI285" s="201"/>
      <c r="AJ285" s="201"/>
      <c r="AK285" s="70"/>
      <c r="AL285" s="70"/>
      <c r="AM285" s="70"/>
      <c r="AN285" s="70"/>
      <c r="AO285" s="70"/>
      <c r="AP285" s="70"/>
      <c r="AQ285" s="70"/>
      <c r="AR285" s="70"/>
      <c r="AS285" s="70"/>
      <c r="AT285" s="70"/>
      <c r="AU285" s="70"/>
      <c r="AV285" s="70"/>
      <c r="AW285" s="70"/>
      <c r="AX285" s="70"/>
    </row>
    <row r="286">
      <c r="A286" s="8"/>
      <c r="B286" s="70"/>
      <c r="C286" s="70"/>
      <c r="D286" s="70"/>
      <c r="E286" s="8"/>
      <c r="F286" s="70"/>
      <c r="G286" s="70"/>
      <c r="H286" s="70"/>
      <c r="I286" s="8"/>
      <c r="J286" s="70"/>
      <c r="K286" s="70"/>
      <c r="L286" s="70"/>
      <c r="M286" s="8"/>
      <c r="N286" s="70"/>
      <c r="O286" s="70"/>
      <c r="P286" s="70"/>
      <c r="Q286" s="8"/>
      <c r="R286" s="70"/>
      <c r="S286" s="70"/>
      <c r="T286" s="70"/>
      <c r="U286" s="8"/>
      <c r="V286" s="70"/>
      <c r="W286" s="70"/>
      <c r="X286" s="70"/>
      <c r="Y286" s="200"/>
      <c r="Z286" s="195"/>
      <c r="AA286" s="195"/>
      <c r="AB286" s="195"/>
      <c r="AC286" s="8"/>
      <c r="AD286" s="70"/>
      <c r="AE286" s="70"/>
      <c r="AF286" s="70"/>
      <c r="AG286" s="201"/>
      <c r="AH286" s="202"/>
      <c r="AI286" s="201"/>
      <c r="AJ286" s="201"/>
      <c r="AK286" s="70"/>
      <c r="AL286" s="70"/>
      <c r="AM286" s="70"/>
      <c r="AN286" s="70"/>
      <c r="AO286" s="70"/>
      <c r="AP286" s="70"/>
      <c r="AQ286" s="70"/>
      <c r="AR286" s="70"/>
      <c r="AS286" s="70"/>
      <c r="AT286" s="70"/>
      <c r="AU286" s="70"/>
      <c r="AV286" s="70"/>
      <c r="AW286" s="70"/>
      <c r="AX286" s="70"/>
    </row>
    <row r="287">
      <c r="A287" s="8"/>
      <c r="B287" s="70"/>
      <c r="C287" s="70"/>
      <c r="D287" s="70"/>
      <c r="E287" s="8"/>
      <c r="F287" s="70"/>
      <c r="G287" s="70"/>
      <c r="H287" s="70"/>
      <c r="I287" s="8"/>
      <c r="J287" s="70"/>
      <c r="K287" s="70"/>
      <c r="L287" s="70"/>
      <c r="M287" s="8"/>
      <c r="N287" s="70"/>
      <c r="O287" s="70"/>
      <c r="P287" s="70"/>
      <c r="Q287" s="8"/>
      <c r="R287" s="70"/>
      <c r="S287" s="70"/>
      <c r="T287" s="70"/>
      <c r="U287" s="8"/>
      <c r="V287" s="70"/>
      <c r="W287" s="70"/>
      <c r="X287" s="70"/>
      <c r="Y287" s="200"/>
      <c r="Z287" s="195"/>
      <c r="AA287" s="195"/>
      <c r="AB287" s="195"/>
      <c r="AC287" s="8"/>
      <c r="AD287" s="70"/>
      <c r="AE287" s="70"/>
      <c r="AF287" s="70"/>
      <c r="AG287" s="201"/>
      <c r="AH287" s="202"/>
      <c r="AI287" s="201"/>
      <c r="AJ287" s="201"/>
      <c r="AK287" s="70"/>
      <c r="AL287" s="70"/>
      <c r="AM287" s="70"/>
      <c r="AN287" s="70"/>
      <c r="AO287" s="70"/>
      <c r="AP287" s="70"/>
      <c r="AQ287" s="70"/>
      <c r="AR287" s="70"/>
      <c r="AS287" s="70"/>
      <c r="AT287" s="70"/>
      <c r="AU287" s="70"/>
      <c r="AV287" s="70"/>
      <c r="AW287" s="70"/>
      <c r="AX287" s="70"/>
    </row>
    <row r="288">
      <c r="A288" s="8"/>
      <c r="B288" s="70"/>
      <c r="C288" s="70"/>
      <c r="D288" s="70"/>
      <c r="E288" s="8"/>
      <c r="F288" s="70"/>
      <c r="G288" s="70"/>
      <c r="H288" s="70"/>
      <c r="I288" s="8"/>
      <c r="J288" s="70"/>
      <c r="K288" s="70"/>
      <c r="L288" s="70"/>
      <c r="M288" s="8"/>
      <c r="N288" s="70"/>
      <c r="O288" s="70"/>
      <c r="P288" s="70"/>
      <c r="Q288" s="8"/>
      <c r="R288" s="70"/>
      <c r="S288" s="70"/>
      <c r="T288" s="70"/>
      <c r="U288" s="8"/>
      <c r="V288" s="70"/>
      <c r="W288" s="70"/>
      <c r="X288" s="70"/>
      <c r="Y288" s="200"/>
      <c r="Z288" s="195"/>
      <c r="AA288" s="195"/>
      <c r="AB288" s="195"/>
      <c r="AC288" s="8"/>
      <c r="AD288" s="70"/>
      <c r="AE288" s="70"/>
      <c r="AF288" s="70"/>
      <c r="AG288" s="201"/>
      <c r="AH288" s="202"/>
      <c r="AI288" s="201"/>
      <c r="AJ288" s="201"/>
      <c r="AK288" s="70"/>
      <c r="AL288" s="70"/>
      <c r="AM288" s="70"/>
      <c r="AN288" s="70"/>
      <c r="AO288" s="70"/>
      <c r="AP288" s="70"/>
      <c r="AQ288" s="70"/>
      <c r="AR288" s="70"/>
      <c r="AS288" s="70"/>
      <c r="AT288" s="70"/>
      <c r="AU288" s="70"/>
      <c r="AV288" s="70"/>
      <c r="AW288" s="70"/>
      <c r="AX288" s="70"/>
    </row>
    <row r="289">
      <c r="A289" s="8"/>
      <c r="B289" s="70"/>
      <c r="C289" s="70"/>
      <c r="D289" s="70"/>
      <c r="E289" s="8"/>
      <c r="F289" s="70"/>
      <c r="G289" s="70"/>
      <c r="H289" s="70"/>
      <c r="I289" s="8"/>
      <c r="J289" s="70"/>
      <c r="K289" s="70"/>
      <c r="L289" s="70"/>
      <c r="M289" s="8"/>
      <c r="N289" s="70"/>
      <c r="O289" s="70"/>
      <c r="P289" s="70"/>
      <c r="Q289" s="8"/>
      <c r="R289" s="70"/>
      <c r="S289" s="70"/>
      <c r="T289" s="70"/>
      <c r="U289" s="8"/>
      <c r="V289" s="70"/>
      <c r="W289" s="70"/>
      <c r="X289" s="70"/>
      <c r="Y289" s="200"/>
      <c r="Z289" s="195"/>
      <c r="AA289" s="195"/>
      <c r="AB289" s="195"/>
      <c r="AC289" s="8"/>
      <c r="AD289" s="70"/>
      <c r="AE289" s="70"/>
      <c r="AF289" s="70"/>
      <c r="AG289" s="201"/>
      <c r="AH289" s="202"/>
      <c r="AI289" s="201"/>
      <c r="AJ289" s="201"/>
      <c r="AK289" s="70"/>
      <c r="AL289" s="70"/>
      <c r="AM289" s="70"/>
      <c r="AN289" s="70"/>
      <c r="AO289" s="70"/>
      <c r="AP289" s="70"/>
      <c r="AQ289" s="70"/>
      <c r="AR289" s="70"/>
      <c r="AS289" s="70"/>
      <c r="AT289" s="70"/>
      <c r="AU289" s="70"/>
      <c r="AV289" s="70"/>
      <c r="AW289" s="70"/>
      <c r="AX289" s="70"/>
    </row>
    <row r="290">
      <c r="A290" s="8"/>
      <c r="B290" s="70"/>
      <c r="C290" s="70"/>
      <c r="D290" s="70"/>
      <c r="E290" s="8"/>
      <c r="F290" s="70"/>
      <c r="G290" s="70"/>
      <c r="H290" s="70"/>
      <c r="I290" s="8"/>
      <c r="J290" s="70"/>
      <c r="K290" s="70"/>
      <c r="L290" s="70"/>
      <c r="M290" s="8"/>
      <c r="N290" s="70"/>
      <c r="O290" s="70"/>
      <c r="P290" s="70"/>
      <c r="Q290" s="8"/>
      <c r="R290" s="70"/>
      <c r="S290" s="70"/>
      <c r="T290" s="70"/>
      <c r="U290" s="8"/>
      <c r="V290" s="70"/>
      <c r="W290" s="70"/>
      <c r="X290" s="70"/>
      <c r="Y290" s="200"/>
      <c r="Z290" s="195"/>
      <c r="AA290" s="195"/>
      <c r="AB290" s="195"/>
      <c r="AC290" s="8"/>
      <c r="AD290" s="70"/>
      <c r="AE290" s="70"/>
      <c r="AF290" s="70"/>
      <c r="AG290" s="201"/>
      <c r="AH290" s="202"/>
      <c r="AI290" s="201"/>
      <c r="AJ290" s="201"/>
      <c r="AK290" s="70"/>
      <c r="AL290" s="70"/>
      <c r="AM290" s="70"/>
      <c r="AN290" s="70"/>
      <c r="AO290" s="70"/>
      <c r="AP290" s="70"/>
      <c r="AQ290" s="70"/>
      <c r="AR290" s="70"/>
      <c r="AS290" s="70"/>
      <c r="AT290" s="70"/>
      <c r="AU290" s="70"/>
      <c r="AV290" s="70"/>
      <c r="AW290" s="70"/>
      <c r="AX290" s="70"/>
    </row>
    <row r="291">
      <c r="A291" s="8"/>
      <c r="B291" s="70"/>
      <c r="C291" s="70"/>
      <c r="D291" s="70"/>
      <c r="E291" s="8"/>
      <c r="F291" s="70"/>
      <c r="G291" s="70"/>
      <c r="H291" s="70"/>
      <c r="I291" s="8"/>
      <c r="J291" s="70"/>
      <c r="K291" s="70"/>
      <c r="L291" s="70"/>
      <c r="M291" s="8"/>
      <c r="N291" s="70"/>
      <c r="O291" s="70"/>
      <c r="P291" s="70"/>
      <c r="Q291" s="8"/>
      <c r="R291" s="70"/>
      <c r="S291" s="70"/>
      <c r="T291" s="70"/>
      <c r="U291" s="8"/>
      <c r="V291" s="70"/>
      <c r="W291" s="70"/>
      <c r="X291" s="70"/>
      <c r="Y291" s="200"/>
      <c r="Z291" s="195"/>
      <c r="AA291" s="195"/>
      <c r="AB291" s="195"/>
      <c r="AC291" s="8"/>
      <c r="AD291" s="70"/>
      <c r="AE291" s="70"/>
      <c r="AF291" s="70"/>
      <c r="AG291" s="201"/>
      <c r="AH291" s="202"/>
      <c r="AI291" s="201"/>
      <c r="AJ291" s="201"/>
      <c r="AK291" s="70"/>
      <c r="AL291" s="70"/>
      <c r="AM291" s="70"/>
      <c r="AN291" s="70"/>
      <c r="AO291" s="70"/>
      <c r="AP291" s="70"/>
      <c r="AQ291" s="70"/>
      <c r="AR291" s="70"/>
      <c r="AS291" s="70"/>
      <c r="AT291" s="70"/>
      <c r="AU291" s="70"/>
      <c r="AV291" s="70"/>
      <c r="AW291" s="70"/>
      <c r="AX291" s="70"/>
    </row>
    <row r="292">
      <c r="A292" s="8"/>
      <c r="B292" s="70"/>
      <c r="C292" s="70"/>
      <c r="D292" s="70"/>
      <c r="E292" s="8"/>
      <c r="F292" s="70"/>
      <c r="G292" s="70"/>
      <c r="H292" s="70"/>
      <c r="I292" s="8"/>
      <c r="J292" s="70"/>
      <c r="K292" s="70"/>
      <c r="L292" s="70"/>
      <c r="M292" s="8"/>
      <c r="N292" s="70"/>
      <c r="O292" s="70"/>
      <c r="P292" s="70"/>
      <c r="Q292" s="8"/>
      <c r="R292" s="70"/>
      <c r="S292" s="70"/>
      <c r="T292" s="70"/>
      <c r="U292" s="8"/>
      <c r="V292" s="70"/>
      <c r="W292" s="70"/>
      <c r="X292" s="70"/>
      <c r="Y292" s="200"/>
      <c r="Z292" s="195"/>
      <c r="AA292" s="195"/>
      <c r="AB292" s="195"/>
      <c r="AC292" s="8"/>
      <c r="AD292" s="70"/>
      <c r="AE292" s="70"/>
      <c r="AF292" s="70"/>
      <c r="AG292" s="201"/>
      <c r="AH292" s="202"/>
      <c r="AI292" s="201"/>
      <c r="AJ292" s="201"/>
      <c r="AK292" s="70"/>
      <c r="AL292" s="70"/>
      <c r="AM292" s="70"/>
      <c r="AN292" s="70"/>
      <c r="AO292" s="70"/>
      <c r="AP292" s="70"/>
      <c r="AQ292" s="70"/>
      <c r="AR292" s="70"/>
      <c r="AS292" s="70"/>
      <c r="AT292" s="70"/>
      <c r="AU292" s="70"/>
      <c r="AV292" s="70"/>
      <c r="AW292" s="70"/>
      <c r="AX292" s="70"/>
    </row>
    <row r="293">
      <c r="A293" s="8"/>
      <c r="B293" s="70"/>
      <c r="C293" s="70"/>
      <c r="D293" s="70"/>
      <c r="E293" s="8"/>
      <c r="F293" s="70"/>
      <c r="G293" s="70"/>
      <c r="H293" s="70"/>
      <c r="I293" s="8"/>
      <c r="J293" s="70"/>
      <c r="K293" s="70"/>
      <c r="L293" s="70"/>
      <c r="M293" s="8"/>
      <c r="N293" s="70"/>
      <c r="O293" s="70"/>
      <c r="P293" s="70"/>
      <c r="Q293" s="8"/>
      <c r="R293" s="70"/>
      <c r="S293" s="70"/>
      <c r="T293" s="70"/>
      <c r="U293" s="8"/>
      <c r="V293" s="70"/>
      <c r="W293" s="70"/>
      <c r="X293" s="70"/>
      <c r="Y293" s="200"/>
      <c r="Z293" s="195"/>
      <c r="AA293" s="195"/>
      <c r="AB293" s="195"/>
      <c r="AC293" s="8"/>
      <c r="AD293" s="70"/>
      <c r="AE293" s="70"/>
      <c r="AF293" s="70"/>
      <c r="AG293" s="201"/>
      <c r="AH293" s="202"/>
      <c r="AI293" s="201"/>
      <c r="AJ293" s="201"/>
      <c r="AK293" s="70"/>
      <c r="AL293" s="70"/>
      <c r="AM293" s="70"/>
      <c r="AN293" s="70"/>
      <c r="AO293" s="70"/>
      <c r="AP293" s="70"/>
      <c r="AQ293" s="70"/>
      <c r="AR293" s="70"/>
      <c r="AS293" s="70"/>
      <c r="AT293" s="70"/>
      <c r="AU293" s="70"/>
      <c r="AV293" s="70"/>
      <c r="AW293" s="70"/>
      <c r="AX293" s="70"/>
    </row>
    <row r="294">
      <c r="A294" s="8"/>
      <c r="B294" s="70"/>
      <c r="C294" s="70"/>
      <c r="D294" s="70"/>
      <c r="E294" s="8"/>
      <c r="F294" s="70"/>
      <c r="G294" s="70"/>
      <c r="H294" s="70"/>
      <c r="I294" s="8"/>
      <c r="J294" s="70"/>
      <c r="K294" s="70"/>
      <c r="L294" s="70"/>
      <c r="M294" s="8"/>
      <c r="N294" s="70"/>
      <c r="O294" s="70"/>
      <c r="P294" s="70"/>
      <c r="Q294" s="8"/>
      <c r="R294" s="70"/>
      <c r="S294" s="70"/>
      <c r="T294" s="70"/>
      <c r="U294" s="8"/>
      <c r="V294" s="70"/>
      <c r="W294" s="70"/>
      <c r="X294" s="70"/>
      <c r="Y294" s="200"/>
      <c r="Z294" s="195"/>
      <c r="AA294" s="195"/>
      <c r="AB294" s="195"/>
      <c r="AC294" s="8"/>
      <c r="AD294" s="70"/>
      <c r="AE294" s="70"/>
      <c r="AF294" s="70"/>
      <c r="AG294" s="201"/>
      <c r="AH294" s="202"/>
      <c r="AI294" s="201"/>
      <c r="AJ294" s="201"/>
      <c r="AK294" s="70"/>
      <c r="AL294" s="70"/>
      <c r="AM294" s="70"/>
      <c r="AN294" s="70"/>
      <c r="AO294" s="70"/>
      <c r="AP294" s="70"/>
      <c r="AQ294" s="70"/>
      <c r="AR294" s="70"/>
      <c r="AS294" s="70"/>
      <c r="AT294" s="70"/>
      <c r="AU294" s="70"/>
      <c r="AV294" s="70"/>
      <c r="AW294" s="70"/>
      <c r="AX294" s="70"/>
    </row>
    <row r="295">
      <c r="A295" s="8"/>
      <c r="B295" s="70"/>
      <c r="C295" s="70"/>
      <c r="D295" s="70"/>
      <c r="E295" s="8"/>
      <c r="F295" s="70"/>
      <c r="G295" s="70"/>
      <c r="H295" s="70"/>
      <c r="I295" s="8"/>
      <c r="J295" s="70"/>
      <c r="K295" s="70"/>
      <c r="L295" s="70"/>
      <c r="M295" s="8"/>
      <c r="N295" s="70"/>
      <c r="O295" s="70"/>
      <c r="P295" s="70"/>
      <c r="Q295" s="8"/>
      <c r="R295" s="70"/>
      <c r="S295" s="70"/>
      <c r="T295" s="70"/>
      <c r="U295" s="8"/>
      <c r="V295" s="70"/>
      <c r="W295" s="70"/>
      <c r="X295" s="70"/>
      <c r="Y295" s="200"/>
      <c r="Z295" s="195"/>
      <c r="AA295" s="195"/>
      <c r="AB295" s="195"/>
      <c r="AC295" s="8"/>
      <c r="AD295" s="70"/>
      <c r="AE295" s="70"/>
      <c r="AF295" s="70"/>
      <c r="AG295" s="201"/>
      <c r="AH295" s="202"/>
      <c r="AI295" s="201"/>
      <c r="AJ295" s="201"/>
      <c r="AK295" s="70"/>
      <c r="AL295" s="70"/>
      <c r="AM295" s="70"/>
      <c r="AN295" s="70"/>
      <c r="AO295" s="70"/>
      <c r="AP295" s="70"/>
      <c r="AQ295" s="70"/>
      <c r="AR295" s="70"/>
      <c r="AS295" s="70"/>
      <c r="AT295" s="70"/>
      <c r="AU295" s="70"/>
      <c r="AV295" s="70"/>
      <c r="AW295" s="70"/>
      <c r="AX295" s="70"/>
    </row>
    <row r="296">
      <c r="A296" s="8"/>
      <c r="B296" s="70"/>
      <c r="C296" s="70"/>
      <c r="D296" s="70"/>
      <c r="E296" s="8"/>
      <c r="F296" s="70"/>
      <c r="G296" s="70"/>
      <c r="H296" s="70"/>
      <c r="I296" s="8"/>
      <c r="J296" s="70"/>
      <c r="K296" s="70"/>
      <c r="L296" s="70"/>
      <c r="M296" s="8"/>
      <c r="N296" s="70"/>
      <c r="O296" s="70"/>
      <c r="P296" s="70"/>
      <c r="Q296" s="8"/>
      <c r="R296" s="70"/>
      <c r="S296" s="70"/>
      <c r="T296" s="70"/>
      <c r="U296" s="8"/>
      <c r="V296" s="70"/>
      <c r="W296" s="70"/>
      <c r="X296" s="70"/>
      <c r="Y296" s="200"/>
      <c r="Z296" s="195"/>
      <c r="AA296" s="195"/>
      <c r="AB296" s="195"/>
      <c r="AC296" s="8"/>
      <c r="AD296" s="70"/>
      <c r="AE296" s="70"/>
      <c r="AF296" s="70"/>
      <c r="AG296" s="201"/>
      <c r="AH296" s="202"/>
      <c r="AI296" s="201"/>
      <c r="AJ296" s="201"/>
      <c r="AK296" s="70"/>
      <c r="AL296" s="70"/>
      <c r="AM296" s="70"/>
      <c r="AN296" s="70"/>
      <c r="AO296" s="70"/>
      <c r="AP296" s="70"/>
      <c r="AQ296" s="70"/>
      <c r="AR296" s="70"/>
      <c r="AS296" s="70"/>
      <c r="AT296" s="70"/>
      <c r="AU296" s="70"/>
      <c r="AV296" s="70"/>
      <c r="AW296" s="70"/>
      <c r="AX296" s="70"/>
    </row>
    <row r="297">
      <c r="A297" s="8"/>
      <c r="B297" s="70"/>
      <c r="C297" s="70"/>
      <c r="D297" s="70"/>
      <c r="E297" s="8"/>
      <c r="F297" s="70"/>
      <c r="G297" s="70"/>
      <c r="H297" s="70"/>
      <c r="I297" s="8"/>
      <c r="J297" s="70"/>
      <c r="K297" s="70"/>
      <c r="L297" s="70"/>
      <c r="M297" s="8"/>
      <c r="N297" s="70"/>
      <c r="O297" s="70"/>
      <c r="P297" s="70"/>
      <c r="Q297" s="8"/>
      <c r="R297" s="70"/>
      <c r="S297" s="70"/>
      <c r="T297" s="70"/>
      <c r="U297" s="8"/>
      <c r="V297" s="70"/>
      <c r="W297" s="70"/>
      <c r="X297" s="70"/>
      <c r="Y297" s="200"/>
      <c r="Z297" s="195"/>
      <c r="AA297" s="195"/>
      <c r="AB297" s="195"/>
      <c r="AC297" s="8"/>
      <c r="AD297" s="70"/>
      <c r="AE297" s="70"/>
      <c r="AF297" s="70"/>
      <c r="AG297" s="201"/>
      <c r="AH297" s="202"/>
      <c r="AI297" s="201"/>
      <c r="AJ297" s="201"/>
      <c r="AK297" s="70"/>
      <c r="AL297" s="70"/>
      <c r="AM297" s="70"/>
      <c r="AN297" s="70"/>
      <c r="AO297" s="70"/>
      <c r="AP297" s="70"/>
      <c r="AQ297" s="70"/>
      <c r="AR297" s="70"/>
      <c r="AS297" s="70"/>
      <c r="AT297" s="70"/>
      <c r="AU297" s="70"/>
      <c r="AV297" s="70"/>
      <c r="AW297" s="70"/>
      <c r="AX297" s="70"/>
    </row>
    <row r="298">
      <c r="A298" s="8"/>
      <c r="B298" s="70"/>
      <c r="C298" s="70"/>
      <c r="D298" s="70"/>
      <c r="E298" s="8"/>
      <c r="F298" s="70"/>
      <c r="G298" s="70"/>
      <c r="H298" s="70"/>
      <c r="I298" s="8"/>
      <c r="J298" s="70"/>
      <c r="K298" s="70"/>
      <c r="L298" s="70"/>
      <c r="M298" s="8"/>
      <c r="N298" s="70"/>
      <c r="O298" s="70"/>
      <c r="P298" s="70"/>
      <c r="Q298" s="8"/>
      <c r="R298" s="70"/>
      <c r="S298" s="70"/>
      <c r="T298" s="70"/>
      <c r="U298" s="8"/>
      <c r="V298" s="70"/>
      <c r="W298" s="70"/>
      <c r="X298" s="70"/>
      <c r="Y298" s="200"/>
      <c r="Z298" s="195"/>
      <c r="AA298" s="195"/>
      <c r="AB298" s="195"/>
      <c r="AC298" s="8"/>
      <c r="AD298" s="70"/>
      <c r="AE298" s="70"/>
      <c r="AF298" s="70"/>
      <c r="AG298" s="201"/>
      <c r="AH298" s="202"/>
      <c r="AI298" s="201"/>
      <c r="AJ298" s="201"/>
      <c r="AK298" s="70"/>
      <c r="AL298" s="70"/>
      <c r="AM298" s="70"/>
      <c r="AN298" s="70"/>
      <c r="AO298" s="70"/>
      <c r="AP298" s="70"/>
      <c r="AQ298" s="70"/>
      <c r="AR298" s="70"/>
      <c r="AS298" s="70"/>
      <c r="AT298" s="70"/>
      <c r="AU298" s="70"/>
      <c r="AV298" s="70"/>
      <c r="AW298" s="70"/>
      <c r="AX298" s="70"/>
    </row>
    <row r="299">
      <c r="A299" s="8"/>
      <c r="B299" s="70"/>
      <c r="C299" s="70"/>
      <c r="D299" s="70"/>
      <c r="E299" s="8"/>
      <c r="F299" s="70"/>
      <c r="G299" s="70"/>
      <c r="H299" s="70"/>
      <c r="I299" s="8"/>
      <c r="J299" s="70"/>
      <c r="K299" s="70"/>
      <c r="L299" s="70"/>
      <c r="M299" s="8"/>
      <c r="N299" s="70"/>
      <c r="O299" s="70"/>
      <c r="P299" s="70"/>
      <c r="Q299" s="8"/>
      <c r="R299" s="70"/>
      <c r="S299" s="70"/>
      <c r="T299" s="70"/>
      <c r="U299" s="8"/>
      <c r="V299" s="70"/>
      <c r="W299" s="70"/>
      <c r="X299" s="70"/>
      <c r="Y299" s="200"/>
      <c r="Z299" s="195"/>
      <c r="AA299" s="195"/>
      <c r="AB299" s="195"/>
      <c r="AC299" s="8"/>
      <c r="AD299" s="70"/>
      <c r="AE299" s="70"/>
      <c r="AF299" s="70"/>
      <c r="AG299" s="201"/>
      <c r="AH299" s="202"/>
      <c r="AI299" s="201"/>
      <c r="AJ299" s="201"/>
      <c r="AK299" s="70"/>
      <c r="AL299" s="70"/>
      <c r="AM299" s="70"/>
      <c r="AN299" s="70"/>
      <c r="AO299" s="70"/>
      <c r="AP299" s="70"/>
      <c r="AQ299" s="70"/>
      <c r="AR299" s="70"/>
      <c r="AS299" s="70"/>
      <c r="AT299" s="70"/>
      <c r="AU299" s="70"/>
      <c r="AV299" s="70"/>
      <c r="AW299" s="70"/>
      <c r="AX299" s="70"/>
    </row>
    <row r="300">
      <c r="A300" s="8"/>
      <c r="B300" s="70"/>
      <c r="C300" s="70"/>
      <c r="D300" s="70"/>
      <c r="E300" s="8"/>
      <c r="F300" s="70"/>
      <c r="G300" s="70"/>
      <c r="H300" s="70"/>
      <c r="I300" s="8"/>
      <c r="J300" s="70"/>
      <c r="K300" s="70"/>
      <c r="L300" s="70"/>
      <c r="M300" s="8"/>
      <c r="N300" s="70"/>
      <c r="O300" s="70"/>
      <c r="P300" s="70"/>
      <c r="Q300" s="8"/>
      <c r="R300" s="70"/>
      <c r="S300" s="70"/>
      <c r="T300" s="70"/>
      <c r="U300" s="8"/>
      <c r="V300" s="70"/>
      <c r="W300" s="70"/>
      <c r="X300" s="70"/>
      <c r="Y300" s="200"/>
      <c r="Z300" s="195"/>
      <c r="AA300" s="195"/>
      <c r="AB300" s="195"/>
      <c r="AC300" s="8"/>
      <c r="AD300" s="70"/>
      <c r="AE300" s="70"/>
      <c r="AF300" s="70"/>
      <c r="AG300" s="201"/>
      <c r="AH300" s="202"/>
      <c r="AI300" s="201"/>
      <c r="AJ300" s="201"/>
      <c r="AK300" s="70"/>
      <c r="AL300" s="70"/>
      <c r="AM300" s="70"/>
      <c r="AN300" s="70"/>
      <c r="AO300" s="70"/>
      <c r="AP300" s="70"/>
      <c r="AQ300" s="70"/>
      <c r="AR300" s="70"/>
      <c r="AS300" s="70"/>
      <c r="AT300" s="70"/>
      <c r="AU300" s="70"/>
      <c r="AV300" s="70"/>
      <c r="AW300" s="70"/>
      <c r="AX300" s="70"/>
    </row>
    <row r="301">
      <c r="A301" s="8"/>
      <c r="B301" s="70"/>
      <c r="C301" s="70"/>
      <c r="D301" s="70"/>
      <c r="E301" s="8"/>
      <c r="F301" s="70"/>
      <c r="G301" s="70"/>
      <c r="H301" s="70"/>
      <c r="I301" s="8"/>
      <c r="J301" s="70"/>
      <c r="K301" s="70"/>
      <c r="L301" s="70"/>
      <c r="M301" s="8"/>
      <c r="N301" s="70"/>
      <c r="O301" s="70"/>
      <c r="P301" s="70"/>
      <c r="Q301" s="8"/>
      <c r="R301" s="70"/>
      <c r="S301" s="70"/>
      <c r="T301" s="70"/>
      <c r="U301" s="8"/>
      <c r="V301" s="70"/>
      <c r="W301" s="70"/>
      <c r="X301" s="70"/>
      <c r="Y301" s="200"/>
      <c r="Z301" s="195"/>
      <c r="AA301" s="195"/>
      <c r="AB301" s="195"/>
      <c r="AC301" s="8"/>
      <c r="AD301" s="70"/>
      <c r="AE301" s="70"/>
      <c r="AF301" s="70"/>
      <c r="AG301" s="201"/>
      <c r="AH301" s="202"/>
      <c r="AI301" s="201"/>
      <c r="AJ301" s="201"/>
      <c r="AK301" s="70"/>
      <c r="AL301" s="70"/>
      <c r="AM301" s="70"/>
      <c r="AN301" s="70"/>
      <c r="AO301" s="70"/>
      <c r="AP301" s="70"/>
      <c r="AQ301" s="70"/>
      <c r="AR301" s="70"/>
      <c r="AS301" s="70"/>
      <c r="AT301" s="70"/>
      <c r="AU301" s="70"/>
      <c r="AV301" s="70"/>
      <c r="AW301" s="70"/>
      <c r="AX301" s="70"/>
    </row>
    <row r="302">
      <c r="A302" s="8"/>
      <c r="B302" s="70"/>
      <c r="C302" s="70"/>
      <c r="D302" s="70"/>
      <c r="E302" s="8"/>
      <c r="F302" s="70"/>
      <c r="G302" s="70"/>
      <c r="H302" s="70"/>
      <c r="I302" s="8"/>
      <c r="J302" s="70"/>
      <c r="K302" s="70"/>
      <c r="L302" s="70"/>
      <c r="M302" s="8"/>
      <c r="N302" s="70"/>
      <c r="O302" s="70"/>
      <c r="P302" s="70"/>
      <c r="Q302" s="8"/>
      <c r="R302" s="70"/>
      <c r="S302" s="70"/>
      <c r="T302" s="70"/>
      <c r="U302" s="8"/>
      <c r="V302" s="70"/>
      <c r="W302" s="70"/>
      <c r="X302" s="70"/>
      <c r="Y302" s="200"/>
      <c r="Z302" s="195"/>
      <c r="AA302" s="195"/>
      <c r="AB302" s="195"/>
      <c r="AC302" s="8"/>
      <c r="AD302" s="70"/>
      <c r="AE302" s="70"/>
      <c r="AF302" s="70"/>
      <c r="AG302" s="201"/>
      <c r="AH302" s="202"/>
      <c r="AI302" s="201"/>
      <c r="AJ302" s="201"/>
      <c r="AK302" s="70"/>
      <c r="AL302" s="70"/>
      <c r="AM302" s="70"/>
      <c r="AN302" s="70"/>
      <c r="AO302" s="70"/>
      <c r="AP302" s="70"/>
      <c r="AQ302" s="70"/>
      <c r="AR302" s="70"/>
      <c r="AS302" s="70"/>
      <c r="AT302" s="70"/>
      <c r="AU302" s="70"/>
      <c r="AV302" s="70"/>
      <c r="AW302" s="70"/>
      <c r="AX302" s="70"/>
    </row>
    <row r="303">
      <c r="A303" s="8"/>
      <c r="B303" s="70"/>
      <c r="C303" s="70"/>
      <c r="D303" s="70"/>
      <c r="E303" s="8"/>
      <c r="F303" s="70"/>
      <c r="G303" s="70"/>
      <c r="H303" s="70"/>
      <c r="I303" s="8"/>
      <c r="J303" s="70"/>
      <c r="K303" s="70"/>
      <c r="L303" s="70"/>
      <c r="M303" s="8"/>
      <c r="N303" s="70"/>
      <c r="O303" s="70"/>
      <c r="P303" s="70"/>
      <c r="Q303" s="8"/>
      <c r="R303" s="70"/>
      <c r="S303" s="70"/>
      <c r="T303" s="70"/>
      <c r="U303" s="8"/>
      <c r="V303" s="70"/>
      <c r="W303" s="70"/>
      <c r="X303" s="70"/>
      <c r="Y303" s="200"/>
      <c r="Z303" s="195"/>
      <c r="AA303" s="195"/>
      <c r="AB303" s="195"/>
      <c r="AC303" s="8"/>
      <c r="AD303" s="70"/>
      <c r="AE303" s="70"/>
      <c r="AF303" s="70"/>
      <c r="AG303" s="201"/>
      <c r="AH303" s="202"/>
      <c r="AI303" s="201"/>
      <c r="AJ303" s="201"/>
      <c r="AK303" s="70"/>
      <c r="AL303" s="70"/>
      <c r="AM303" s="70"/>
      <c r="AN303" s="70"/>
      <c r="AO303" s="70"/>
      <c r="AP303" s="70"/>
      <c r="AQ303" s="70"/>
      <c r="AR303" s="70"/>
      <c r="AS303" s="70"/>
      <c r="AT303" s="70"/>
      <c r="AU303" s="70"/>
      <c r="AV303" s="70"/>
      <c r="AW303" s="70"/>
      <c r="AX303" s="70"/>
    </row>
    <row r="304">
      <c r="A304" s="8"/>
      <c r="B304" s="70"/>
      <c r="C304" s="70"/>
      <c r="D304" s="70"/>
      <c r="E304" s="8"/>
      <c r="F304" s="70"/>
      <c r="G304" s="70"/>
      <c r="H304" s="70"/>
      <c r="I304" s="8"/>
      <c r="J304" s="70"/>
      <c r="K304" s="70"/>
      <c r="L304" s="70"/>
      <c r="M304" s="8"/>
      <c r="N304" s="70"/>
      <c r="O304" s="70"/>
      <c r="P304" s="70"/>
      <c r="Q304" s="8"/>
      <c r="R304" s="70"/>
      <c r="S304" s="70"/>
      <c r="T304" s="70"/>
      <c r="U304" s="8"/>
      <c r="V304" s="70"/>
      <c r="W304" s="70"/>
      <c r="X304" s="70"/>
      <c r="Y304" s="200"/>
      <c r="Z304" s="195"/>
      <c r="AA304" s="195"/>
      <c r="AB304" s="195"/>
      <c r="AC304" s="8"/>
      <c r="AD304" s="70"/>
      <c r="AE304" s="70"/>
      <c r="AF304" s="70"/>
      <c r="AG304" s="201"/>
      <c r="AH304" s="202"/>
      <c r="AI304" s="201"/>
      <c r="AJ304" s="201"/>
      <c r="AK304" s="70"/>
      <c r="AL304" s="70"/>
      <c r="AM304" s="70"/>
      <c r="AN304" s="70"/>
      <c r="AO304" s="70"/>
      <c r="AP304" s="70"/>
      <c r="AQ304" s="70"/>
      <c r="AR304" s="70"/>
      <c r="AS304" s="70"/>
      <c r="AT304" s="70"/>
      <c r="AU304" s="70"/>
      <c r="AV304" s="70"/>
      <c r="AW304" s="70"/>
      <c r="AX304" s="70"/>
    </row>
    <row r="305">
      <c r="A305" s="8"/>
      <c r="B305" s="70"/>
      <c r="C305" s="70"/>
      <c r="D305" s="70"/>
      <c r="E305" s="8"/>
      <c r="F305" s="70"/>
      <c r="G305" s="70"/>
      <c r="H305" s="70"/>
      <c r="I305" s="8"/>
      <c r="J305" s="70"/>
      <c r="K305" s="70"/>
      <c r="L305" s="70"/>
      <c r="M305" s="8"/>
      <c r="N305" s="70"/>
      <c r="O305" s="70"/>
      <c r="P305" s="70"/>
      <c r="Q305" s="8"/>
      <c r="R305" s="70"/>
      <c r="S305" s="70"/>
      <c r="T305" s="70"/>
      <c r="U305" s="8"/>
      <c r="V305" s="70"/>
      <c r="W305" s="70"/>
      <c r="X305" s="70"/>
      <c r="Y305" s="200"/>
      <c r="Z305" s="195"/>
      <c r="AA305" s="195"/>
      <c r="AB305" s="195"/>
      <c r="AC305" s="8"/>
      <c r="AD305" s="70"/>
      <c r="AE305" s="70"/>
      <c r="AF305" s="70"/>
      <c r="AG305" s="201"/>
      <c r="AH305" s="202"/>
      <c r="AI305" s="201"/>
      <c r="AJ305" s="201"/>
      <c r="AK305" s="70"/>
      <c r="AL305" s="70"/>
      <c r="AM305" s="70"/>
      <c r="AN305" s="70"/>
      <c r="AO305" s="70"/>
      <c r="AP305" s="70"/>
      <c r="AQ305" s="70"/>
      <c r="AR305" s="70"/>
      <c r="AS305" s="70"/>
      <c r="AT305" s="70"/>
      <c r="AU305" s="70"/>
      <c r="AV305" s="70"/>
      <c r="AW305" s="70"/>
      <c r="AX305" s="70"/>
    </row>
    <row r="306">
      <c r="A306" s="8"/>
      <c r="B306" s="70"/>
      <c r="C306" s="70"/>
      <c r="D306" s="70"/>
      <c r="E306" s="8"/>
      <c r="F306" s="70"/>
      <c r="G306" s="70"/>
      <c r="H306" s="70"/>
      <c r="I306" s="8"/>
      <c r="J306" s="70"/>
      <c r="K306" s="70"/>
      <c r="L306" s="70"/>
      <c r="M306" s="8"/>
      <c r="N306" s="70"/>
      <c r="O306" s="70"/>
      <c r="P306" s="70"/>
      <c r="Q306" s="8"/>
      <c r="R306" s="70"/>
      <c r="S306" s="70"/>
      <c r="T306" s="70"/>
      <c r="U306" s="8"/>
      <c r="V306" s="70"/>
      <c r="W306" s="70"/>
      <c r="X306" s="70"/>
      <c r="Y306" s="200"/>
      <c r="Z306" s="195"/>
      <c r="AA306" s="195"/>
      <c r="AB306" s="195"/>
      <c r="AC306" s="8"/>
      <c r="AD306" s="70"/>
      <c r="AE306" s="70"/>
      <c r="AF306" s="70"/>
      <c r="AG306" s="201"/>
      <c r="AH306" s="202"/>
      <c r="AI306" s="201"/>
      <c r="AJ306" s="201"/>
      <c r="AK306" s="70"/>
      <c r="AL306" s="70"/>
      <c r="AM306" s="70"/>
      <c r="AN306" s="70"/>
      <c r="AO306" s="70"/>
      <c r="AP306" s="70"/>
      <c r="AQ306" s="70"/>
      <c r="AR306" s="70"/>
      <c r="AS306" s="70"/>
      <c r="AT306" s="70"/>
      <c r="AU306" s="70"/>
      <c r="AV306" s="70"/>
      <c r="AW306" s="70"/>
      <c r="AX306" s="70"/>
    </row>
    <row r="307">
      <c r="A307" s="8"/>
      <c r="B307" s="70"/>
      <c r="C307" s="70"/>
      <c r="D307" s="70"/>
      <c r="E307" s="8"/>
      <c r="F307" s="70"/>
      <c r="G307" s="70"/>
      <c r="H307" s="70"/>
      <c r="I307" s="8"/>
      <c r="J307" s="70"/>
      <c r="K307" s="70"/>
      <c r="L307" s="70"/>
      <c r="M307" s="8"/>
      <c r="N307" s="70"/>
      <c r="O307" s="70"/>
      <c r="P307" s="70"/>
      <c r="Q307" s="8"/>
      <c r="R307" s="70"/>
      <c r="S307" s="70"/>
      <c r="T307" s="70"/>
      <c r="U307" s="8"/>
      <c r="V307" s="70"/>
      <c r="W307" s="70"/>
      <c r="X307" s="70"/>
      <c r="Y307" s="200"/>
      <c r="Z307" s="195"/>
      <c r="AA307" s="195"/>
      <c r="AB307" s="195"/>
      <c r="AC307" s="8"/>
      <c r="AD307" s="70"/>
      <c r="AE307" s="70"/>
      <c r="AF307" s="70"/>
      <c r="AG307" s="201"/>
      <c r="AH307" s="202"/>
      <c r="AI307" s="201"/>
      <c r="AJ307" s="201"/>
      <c r="AK307" s="70"/>
      <c r="AL307" s="70"/>
      <c r="AM307" s="70"/>
      <c r="AN307" s="70"/>
      <c r="AO307" s="70"/>
      <c r="AP307" s="70"/>
      <c r="AQ307" s="70"/>
      <c r="AR307" s="70"/>
      <c r="AS307" s="70"/>
      <c r="AT307" s="70"/>
      <c r="AU307" s="70"/>
      <c r="AV307" s="70"/>
      <c r="AW307" s="70"/>
      <c r="AX307" s="70"/>
    </row>
    <row r="308">
      <c r="A308" s="8"/>
      <c r="B308" s="70"/>
      <c r="C308" s="70"/>
      <c r="D308" s="70"/>
      <c r="E308" s="8"/>
      <c r="F308" s="70"/>
      <c r="G308" s="70"/>
      <c r="H308" s="70"/>
      <c r="I308" s="8"/>
      <c r="J308" s="70"/>
      <c r="K308" s="70"/>
      <c r="L308" s="70"/>
      <c r="M308" s="8"/>
      <c r="N308" s="70"/>
      <c r="O308" s="70"/>
      <c r="P308" s="70"/>
      <c r="Q308" s="8"/>
      <c r="R308" s="70"/>
      <c r="S308" s="70"/>
      <c r="T308" s="70"/>
      <c r="U308" s="8"/>
      <c r="V308" s="70"/>
      <c r="W308" s="70"/>
      <c r="X308" s="70"/>
      <c r="Y308" s="200"/>
      <c r="Z308" s="195"/>
      <c r="AA308" s="195"/>
      <c r="AB308" s="195"/>
      <c r="AC308" s="8"/>
      <c r="AD308" s="70"/>
      <c r="AE308" s="70"/>
      <c r="AF308" s="70"/>
      <c r="AG308" s="201"/>
      <c r="AH308" s="202"/>
      <c r="AI308" s="201"/>
      <c r="AJ308" s="201"/>
      <c r="AK308" s="70"/>
      <c r="AL308" s="70"/>
      <c r="AM308" s="70"/>
      <c r="AN308" s="70"/>
      <c r="AO308" s="70"/>
      <c r="AP308" s="70"/>
      <c r="AQ308" s="70"/>
      <c r="AR308" s="70"/>
      <c r="AS308" s="70"/>
      <c r="AT308" s="70"/>
      <c r="AU308" s="70"/>
      <c r="AV308" s="70"/>
      <c r="AW308" s="70"/>
      <c r="AX308" s="70"/>
    </row>
    <row r="309">
      <c r="A309" s="8"/>
      <c r="B309" s="70"/>
      <c r="C309" s="70"/>
      <c r="D309" s="70"/>
      <c r="E309" s="8"/>
      <c r="F309" s="70"/>
      <c r="G309" s="70"/>
      <c r="H309" s="70"/>
      <c r="I309" s="8"/>
      <c r="J309" s="70"/>
      <c r="K309" s="70"/>
      <c r="L309" s="70"/>
      <c r="M309" s="8"/>
      <c r="N309" s="70"/>
      <c r="O309" s="70"/>
      <c r="P309" s="70"/>
      <c r="Q309" s="8"/>
      <c r="R309" s="70"/>
      <c r="S309" s="70"/>
      <c r="T309" s="70"/>
      <c r="U309" s="8"/>
      <c r="V309" s="70"/>
      <c r="W309" s="70"/>
      <c r="X309" s="70"/>
      <c r="Y309" s="200"/>
      <c r="Z309" s="195"/>
      <c r="AA309" s="195"/>
      <c r="AB309" s="195"/>
      <c r="AC309" s="8"/>
      <c r="AD309" s="70"/>
      <c r="AE309" s="70"/>
      <c r="AF309" s="70"/>
      <c r="AG309" s="201"/>
      <c r="AH309" s="202"/>
      <c r="AI309" s="201"/>
      <c r="AJ309" s="201"/>
      <c r="AK309" s="70"/>
      <c r="AL309" s="70"/>
      <c r="AM309" s="70"/>
      <c r="AN309" s="70"/>
      <c r="AO309" s="70"/>
      <c r="AP309" s="70"/>
      <c r="AQ309" s="70"/>
      <c r="AR309" s="70"/>
      <c r="AS309" s="70"/>
      <c r="AT309" s="70"/>
      <c r="AU309" s="70"/>
      <c r="AV309" s="70"/>
      <c r="AW309" s="70"/>
      <c r="AX309" s="70"/>
    </row>
    <row r="310">
      <c r="A310" s="8"/>
      <c r="B310" s="70"/>
      <c r="C310" s="70"/>
      <c r="D310" s="70"/>
      <c r="E310" s="8"/>
      <c r="F310" s="70"/>
      <c r="G310" s="70"/>
      <c r="H310" s="70"/>
      <c r="I310" s="8"/>
      <c r="J310" s="70"/>
      <c r="K310" s="70"/>
      <c r="L310" s="70"/>
      <c r="M310" s="8"/>
      <c r="N310" s="70"/>
      <c r="O310" s="70"/>
      <c r="P310" s="70"/>
      <c r="Q310" s="8"/>
      <c r="R310" s="70"/>
      <c r="S310" s="70"/>
      <c r="T310" s="70"/>
      <c r="U310" s="8"/>
      <c r="V310" s="70"/>
      <c r="W310" s="70"/>
      <c r="X310" s="70"/>
      <c r="Y310" s="200"/>
      <c r="Z310" s="195"/>
      <c r="AA310" s="195"/>
      <c r="AB310" s="195"/>
      <c r="AC310" s="8"/>
      <c r="AD310" s="70"/>
      <c r="AE310" s="70"/>
      <c r="AF310" s="70"/>
      <c r="AG310" s="201"/>
      <c r="AH310" s="202"/>
      <c r="AI310" s="201"/>
      <c r="AJ310" s="201"/>
      <c r="AK310" s="70"/>
      <c r="AL310" s="70"/>
      <c r="AM310" s="70"/>
      <c r="AN310" s="70"/>
      <c r="AO310" s="70"/>
      <c r="AP310" s="70"/>
      <c r="AQ310" s="70"/>
      <c r="AR310" s="70"/>
      <c r="AS310" s="70"/>
      <c r="AT310" s="70"/>
      <c r="AU310" s="70"/>
      <c r="AV310" s="70"/>
      <c r="AW310" s="70"/>
      <c r="AX310" s="70"/>
    </row>
    <row r="311">
      <c r="A311" s="8"/>
      <c r="B311" s="70"/>
      <c r="C311" s="70"/>
      <c r="D311" s="70"/>
      <c r="E311" s="8"/>
      <c r="F311" s="70"/>
      <c r="G311" s="70"/>
      <c r="H311" s="70"/>
      <c r="I311" s="8"/>
      <c r="J311" s="70"/>
      <c r="K311" s="70"/>
      <c r="L311" s="70"/>
      <c r="M311" s="8"/>
      <c r="N311" s="70"/>
      <c r="O311" s="70"/>
      <c r="P311" s="70"/>
      <c r="Q311" s="8"/>
      <c r="R311" s="70"/>
      <c r="S311" s="70"/>
      <c r="T311" s="70"/>
      <c r="U311" s="8"/>
      <c r="V311" s="70"/>
      <c r="W311" s="70"/>
      <c r="X311" s="70"/>
      <c r="Y311" s="200"/>
      <c r="Z311" s="195"/>
      <c r="AA311" s="195"/>
      <c r="AB311" s="195"/>
      <c r="AC311" s="8"/>
      <c r="AD311" s="70"/>
      <c r="AE311" s="70"/>
      <c r="AF311" s="70"/>
      <c r="AG311" s="201"/>
      <c r="AH311" s="202"/>
      <c r="AI311" s="201"/>
      <c r="AJ311" s="201"/>
      <c r="AK311" s="70"/>
      <c r="AL311" s="70"/>
      <c r="AM311" s="70"/>
      <c r="AN311" s="70"/>
      <c r="AO311" s="70"/>
      <c r="AP311" s="70"/>
      <c r="AQ311" s="70"/>
      <c r="AR311" s="70"/>
      <c r="AS311" s="70"/>
      <c r="AT311" s="70"/>
      <c r="AU311" s="70"/>
      <c r="AV311" s="70"/>
      <c r="AW311" s="70"/>
      <c r="AX311" s="70"/>
    </row>
    <row r="312">
      <c r="A312" s="8"/>
      <c r="B312" s="70"/>
      <c r="C312" s="70"/>
      <c r="D312" s="70"/>
      <c r="E312" s="8"/>
      <c r="F312" s="70"/>
      <c r="G312" s="70"/>
      <c r="H312" s="70"/>
      <c r="I312" s="8"/>
      <c r="J312" s="70"/>
      <c r="K312" s="70"/>
      <c r="L312" s="70"/>
      <c r="M312" s="8"/>
      <c r="N312" s="70"/>
      <c r="O312" s="70"/>
      <c r="P312" s="70"/>
      <c r="Q312" s="8"/>
      <c r="R312" s="70"/>
      <c r="S312" s="70"/>
      <c r="T312" s="70"/>
      <c r="U312" s="8"/>
      <c r="V312" s="70"/>
      <c r="W312" s="70"/>
      <c r="X312" s="70"/>
      <c r="Y312" s="200"/>
      <c r="Z312" s="195"/>
      <c r="AA312" s="195"/>
      <c r="AB312" s="195"/>
      <c r="AC312" s="8"/>
      <c r="AD312" s="70"/>
      <c r="AE312" s="70"/>
      <c r="AF312" s="70"/>
      <c r="AG312" s="201"/>
      <c r="AH312" s="202"/>
      <c r="AI312" s="201"/>
      <c r="AJ312" s="201"/>
      <c r="AK312" s="70"/>
      <c r="AL312" s="70"/>
      <c r="AM312" s="70"/>
      <c r="AN312" s="70"/>
      <c r="AO312" s="70"/>
      <c r="AP312" s="70"/>
      <c r="AQ312" s="70"/>
      <c r="AR312" s="70"/>
      <c r="AS312" s="70"/>
      <c r="AT312" s="70"/>
      <c r="AU312" s="70"/>
      <c r="AV312" s="70"/>
      <c r="AW312" s="70"/>
      <c r="AX312" s="70"/>
    </row>
    <row r="313">
      <c r="A313" s="8"/>
      <c r="B313" s="70"/>
      <c r="C313" s="70"/>
      <c r="D313" s="70"/>
      <c r="E313" s="8"/>
      <c r="F313" s="70"/>
      <c r="G313" s="70"/>
      <c r="H313" s="70"/>
      <c r="I313" s="8"/>
      <c r="J313" s="70"/>
      <c r="K313" s="70"/>
      <c r="L313" s="70"/>
      <c r="M313" s="8"/>
      <c r="N313" s="70"/>
      <c r="O313" s="70"/>
      <c r="P313" s="70"/>
      <c r="Q313" s="8"/>
      <c r="R313" s="70"/>
      <c r="S313" s="70"/>
      <c r="T313" s="70"/>
      <c r="U313" s="8"/>
      <c r="V313" s="70"/>
      <c r="W313" s="70"/>
      <c r="X313" s="70"/>
      <c r="Y313" s="200"/>
      <c r="Z313" s="195"/>
      <c r="AA313" s="195"/>
      <c r="AB313" s="195"/>
      <c r="AC313" s="8"/>
      <c r="AD313" s="70"/>
      <c r="AE313" s="70"/>
      <c r="AF313" s="70"/>
      <c r="AG313" s="201"/>
      <c r="AH313" s="202"/>
      <c r="AI313" s="201"/>
      <c r="AJ313" s="201"/>
      <c r="AK313" s="70"/>
      <c r="AL313" s="70"/>
      <c r="AM313" s="70"/>
      <c r="AN313" s="70"/>
      <c r="AO313" s="70"/>
      <c r="AP313" s="70"/>
      <c r="AQ313" s="70"/>
      <c r="AR313" s="70"/>
      <c r="AS313" s="70"/>
      <c r="AT313" s="70"/>
      <c r="AU313" s="70"/>
      <c r="AV313" s="70"/>
      <c r="AW313" s="70"/>
      <c r="AX313" s="70"/>
    </row>
    <row r="314">
      <c r="A314" s="8"/>
      <c r="B314" s="70"/>
      <c r="C314" s="70"/>
      <c r="D314" s="70"/>
      <c r="E314" s="8"/>
      <c r="F314" s="70"/>
      <c r="G314" s="70"/>
      <c r="H314" s="70"/>
      <c r="I314" s="8"/>
      <c r="J314" s="70"/>
      <c r="K314" s="70"/>
      <c r="L314" s="70"/>
      <c r="M314" s="8"/>
      <c r="N314" s="70"/>
      <c r="O314" s="70"/>
      <c r="P314" s="70"/>
      <c r="Q314" s="8"/>
      <c r="R314" s="70"/>
      <c r="S314" s="70"/>
      <c r="T314" s="70"/>
      <c r="U314" s="8"/>
      <c r="V314" s="70"/>
      <c r="W314" s="70"/>
      <c r="X314" s="70"/>
      <c r="Y314" s="200"/>
      <c r="Z314" s="195"/>
      <c r="AA314" s="195"/>
      <c r="AB314" s="195"/>
      <c r="AC314" s="8"/>
      <c r="AD314" s="70"/>
      <c r="AE314" s="70"/>
      <c r="AF314" s="70"/>
      <c r="AG314" s="201"/>
      <c r="AH314" s="202"/>
      <c r="AI314" s="201"/>
      <c r="AJ314" s="201"/>
      <c r="AK314" s="70"/>
      <c r="AL314" s="70"/>
      <c r="AM314" s="70"/>
      <c r="AN314" s="70"/>
      <c r="AO314" s="70"/>
      <c r="AP314" s="70"/>
      <c r="AQ314" s="70"/>
      <c r="AR314" s="70"/>
      <c r="AS314" s="70"/>
      <c r="AT314" s="70"/>
      <c r="AU314" s="70"/>
      <c r="AV314" s="70"/>
      <c r="AW314" s="70"/>
      <c r="AX314" s="70"/>
    </row>
    <row r="315">
      <c r="A315" s="8"/>
      <c r="B315" s="70"/>
      <c r="C315" s="70"/>
      <c r="D315" s="70"/>
      <c r="E315" s="8"/>
      <c r="F315" s="70"/>
      <c r="G315" s="70"/>
      <c r="H315" s="70"/>
      <c r="I315" s="8"/>
      <c r="J315" s="70"/>
      <c r="K315" s="70"/>
      <c r="L315" s="70"/>
      <c r="M315" s="8"/>
      <c r="N315" s="70"/>
      <c r="O315" s="70"/>
      <c r="P315" s="70"/>
      <c r="Q315" s="8"/>
      <c r="R315" s="70"/>
      <c r="S315" s="70"/>
      <c r="T315" s="70"/>
      <c r="U315" s="8"/>
      <c r="V315" s="70"/>
      <c r="W315" s="70"/>
      <c r="X315" s="70"/>
      <c r="Y315" s="200"/>
      <c r="Z315" s="195"/>
      <c r="AA315" s="195"/>
      <c r="AB315" s="195"/>
      <c r="AC315" s="8"/>
      <c r="AD315" s="70"/>
      <c r="AE315" s="70"/>
      <c r="AF315" s="70"/>
      <c r="AG315" s="201"/>
      <c r="AH315" s="202"/>
      <c r="AI315" s="201"/>
      <c r="AJ315" s="201"/>
      <c r="AK315" s="70"/>
      <c r="AL315" s="70"/>
      <c r="AM315" s="70"/>
      <c r="AN315" s="70"/>
      <c r="AO315" s="70"/>
      <c r="AP315" s="70"/>
      <c r="AQ315" s="70"/>
      <c r="AR315" s="70"/>
      <c r="AS315" s="70"/>
      <c r="AT315" s="70"/>
      <c r="AU315" s="70"/>
      <c r="AV315" s="70"/>
      <c r="AW315" s="70"/>
      <c r="AX315" s="70"/>
    </row>
    <row r="316">
      <c r="A316" s="8"/>
      <c r="B316" s="70"/>
      <c r="C316" s="70"/>
      <c r="D316" s="70"/>
      <c r="E316" s="8"/>
      <c r="F316" s="70"/>
      <c r="G316" s="70"/>
      <c r="H316" s="70"/>
      <c r="I316" s="8"/>
      <c r="J316" s="70"/>
      <c r="K316" s="70"/>
      <c r="L316" s="70"/>
      <c r="M316" s="8"/>
      <c r="N316" s="70"/>
      <c r="O316" s="70"/>
      <c r="P316" s="70"/>
      <c r="Q316" s="8"/>
      <c r="R316" s="70"/>
      <c r="S316" s="70"/>
      <c r="T316" s="70"/>
      <c r="U316" s="8"/>
      <c r="V316" s="70"/>
      <c r="W316" s="70"/>
      <c r="X316" s="70"/>
      <c r="Y316" s="200"/>
      <c r="Z316" s="195"/>
      <c r="AA316" s="195"/>
      <c r="AB316" s="195"/>
      <c r="AC316" s="8"/>
      <c r="AD316" s="70"/>
      <c r="AE316" s="70"/>
      <c r="AF316" s="70"/>
      <c r="AG316" s="201"/>
      <c r="AH316" s="202"/>
      <c r="AI316" s="201"/>
      <c r="AJ316" s="201"/>
      <c r="AK316" s="70"/>
      <c r="AL316" s="70"/>
      <c r="AM316" s="70"/>
      <c r="AN316" s="70"/>
      <c r="AO316" s="70"/>
      <c r="AP316" s="70"/>
      <c r="AQ316" s="70"/>
      <c r="AR316" s="70"/>
      <c r="AS316" s="70"/>
      <c r="AT316" s="70"/>
      <c r="AU316" s="70"/>
      <c r="AV316" s="70"/>
      <c r="AW316" s="70"/>
      <c r="AX316" s="70"/>
    </row>
    <row r="317">
      <c r="A317" s="8"/>
      <c r="B317" s="70"/>
      <c r="C317" s="70"/>
      <c r="D317" s="70"/>
      <c r="E317" s="8"/>
      <c r="F317" s="70"/>
      <c r="G317" s="70"/>
      <c r="H317" s="70"/>
      <c r="I317" s="8"/>
      <c r="J317" s="70"/>
      <c r="K317" s="70"/>
      <c r="L317" s="70"/>
      <c r="M317" s="8"/>
      <c r="N317" s="70"/>
      <c r="O317" s="70"/>
      <c r="P317" s="70"/>
      <c r="Q317" s="8"/>
      <c r="R317" s="70"/>
      <c r="S317" s="70"/>
      <c r="T317" s="70"/>
      <c r="U317" s="8"/>
      <c r="V317" s="70"/>
      <c r="W317" s="70"/>
      <c r="X317" s="70"/>
      <c r="Y317" s="200"/>
      <c r="Z317" s="195"/>
      <c r="AA317" s="195"/>
      <c r="AB317" s="195"/>
      <c r="AC317" s="8"/>
      <c r="AD317" s="70"/>
      <c r="AE317" s="70"/>
      <c r="AF317" s="70"/>
      <c r="AG317" s="201"/>
      <c r="AH317" s="202"/>
      <c r="AI317" s="201"/>
      <c r="AJ317" s="201"/>
      <c r="AK317" s="70"/>
      <c r="AL317" s="70"/>
      <c r="AM317" s="70"/>
      <c r="AN317" s="70"/>
      <c r="AO317" s="70"/>
      <c r="AP317" s="70"/>
      <c r="AQ317" s="70"/>
      <c r="AR317" s="70"/>
      <c r="AS317" s="70"/>
      <c r="AT317" s="70"/>
      <c r="AU317" s="70"/>
      <c r="AV317" s="70"/>
      <c r="AW317" s="70"/>
      <c r="AX317" s="70"/>
    </row>
    <row r="318">
      <c r="A318" s="8"/>
      <c r="B318" s="70"/>
      <c r="C318" s="70"/>
      <c r="D318" s="70"/>
      <c r="E318" s="8"/>
      <c r="F318" s="70"/>
      <c r="G318" s="70"/>
      <c r="H318" s="70"/>
      <c r="I318" s="8"/>
      <c r="J318" s="70"/>
      <c r="K318" s="70"/>
      <c r="L318" s="70"/>
      <c r="M318" s="8"/>
      <c r="N318" s="70"/>
      <c r="O318" s="70"/>
      <c r="P318" s="70"/>
      <c r="Q318" s="8"/>
      <c r="R318" s="70"/>
      <c r="S318" s="70"/>
      <c r="T318" s="70"/>
      <c r="U318" s="8"/>
      <c r="V318" s="70"/>
      <c r="W318" s="70"/>
      <c r="X318" s="70"/>
      <c r="Y318" s="200"/>
      <c r="Z318" s="195"/>
      <c r="AA318" s="195"/>
      <c r="AB318" s="195"/>
      <c r="AC318" s="8"/>
      <c r="AD318" s="70"/>
      <c r="AE318" s="70"/>
      <c r="AF318" s="70"/>
      <c r="AG318" s="201"/>
      <c r="AH318" s="202"/>
      <c r="AI318" s="201"/>
      <c r="AJ318" s="201"/>
      <c r="AK318" s="70"/>
      <c r="AL318" s="70"/>
      <c r="AM318" s="70"/>
      <c r="AN318" s="70"/>
      <c r="AO318" s="70"/>
      <c r="AP318" s="70"/>
      <c r="AQ318" s="70"/>
      <c r="AR318" s="70"/>
      <c r="AS318" s="70"/>
      <c r="AT318" s="70"/>
      <c r="AU318" s="70"/>
      <c r="AV318" s="70"/>
      <c r="AW318" s="70"/>
      <c r="AX318" s="70"/>
    </row>
    <row r="319">
      <c r="A319" s="8"/>
      <c r="B319" s="70"/>
      <c r="C319" s="70"/>
      <c r="D319" s="70"/>
      <c r="E319" s="8"/>
      <c r="F319" s="70"/>
      <c r="G319" s="70"/>
      <c r="H319" s="70"/>
      <c r="I319" s="8"/>
      <c r="J319" s="70"/>
      <c r="K319" s="70"/>
      <c r="L319" s="70"/>
      <c r="M319" s="8"/>
      <c r="N319" s="70"/>
      <c r="O319" s="70"/>
      <c r="P319" s="70"/>
      <c r="Q319" s="8"/>
      <c r="R319" s="70"/>
      <c r="S319" s="70"/>
      <c r="T319" s="70"/>
      <c r="U319" s="8"/>
      <c r="V319" s="70"/>
      <c r="W319" s="70"/>
      <c r="X319" s="70"/>
      <c r="Y319" s="200"/>
      <c r="Z319" s="195"/>
      <c r="AA319" s="195"/>
      <c r="AB319" s="195"/>
      <c r="AC319" s="8"/>
      <c r="AD319" s="70"/>
      <c r="AE319" s="70"/>
      <c r="AF319" s="70"/>
      <c r="AG319" s="201"/>
      <c r="AH319" s="202"/>
      <c r="AI319" s="201"/>
      <c r="AJ319" s="201"/>
      <c r="AK319" s="70"/>
      <c r="AL319" s="70"/>
      <c r="AM319" s="70"/>
      <c r="AN319" s="70"/>
      <c r="AO319" s="70"/>
      <c r="AP319" s="70"/>
      <c r="AQ319" s="70"/>
      <c r="AR319" s="70"/>
      <c r="AS319" s="70"/>
      <c r="AT319" s="70"/>
      <c r="AU319" s="70"/>
      <c r="AV319" s="70"/>
      <c r="AW319" s="70"/>
      <c r="AX319" s="70"/>
    </row>
    <row r="320">
      <c r="A320" s="8"/>
      <c r="B320" s="70"/>
      <c r="C320" s="70"/>
      <c r="D320" s="70"/>
      <c r="E320" s="8"/>
      <c r="F320" s="70"/>
      <c r="G320" s="70"/>
      <c r="H320" s="70"/>
      <c r="I320" s="8"/>
      <c r="J320" s="70"/>
      <c r="K320" s="70"/>
      <c r="L320" s="70"/>
      <c r="M320" s="8"/>
      <c r="N320" s="70"/>
      <c r="O320" s="70"/>
      <c r="P320" s="70"/>
      <c r="Q320" s="8"/>
      <c r="R320" s="70"/>
      <c r="S320" s="70"/>
      <c r="T320" s="70"/>
      <c r="U320" s="8"/>
      <c r="V320" s="70"/>
      <c r="W320" s="70"/>
      <c r="X320" s="70"/>
      <c r="Y320" s="200"/>
      <c r="Z320" s="195"/>
      <c r="AA320" s="195"/>
      <c r="AB320" s="195"/>
      <c r="AC320" s="8"/>
      <c r="AD320" s="70"/>
      <c r="AE320" s="70"/>
      <c r="AF320" s="70"/>
      <c r="AG320" s="201"/>
      <c r="AH320" s="202"/>
      <c r="AI320" s="201"/>
      <c r="AJ320" s="201"/>
      <c r="AK320" s="70"/>
      <c r="AL320" s="70"/>
      <c r="AM320" s="70"/>
      <c r="AN320" s="70"/>
      <c r="AO320" s="70"/>
      <c r="AP320" s="70"/>
      <c r="AQ320" s="70"/>
      <c r="AR320" s="70"/>
      <c r="AS320" s="70"/>
      <c r="AT320" s="70"/>
      <c r="AU320" s="70"/>
      <c r="AV320" s="70"/>
      <c r="AW320" s="70"/>
      <c r="AX320" s="70"/>
    </row>
    <row r="321">
      <c r="A321" s="8"/>
      <c r="B321" s="70"/>
      <c r="C321" s="70"/>
      <c r="D321" s="70"/>
      <c r="E321" s="8"/>
      <c r="F321" s="70"/>
      <c r="G321" s="70"/>
      <c r="H321" s="70"/>
      <c r="I321" s="8"/>
      <c r="J321" s="70"/>
      <c r="K321" s="70"/>
      <c r="L321" s="70"/>
      <c r="M321" s="8"/>
      <c r="N321" s="70"/>
      <c r="O321" s="70"/>
      <c r="P321" s="70"/>
      <c r="Q321" s="8"/>
      <c r="R321" s="70"/>
      <c r="S321" s="70"/>
      <c r="T321" s="70"/>
      <c r="U321" s="8"/>
      <c r="V321" s="70"/>
      <c r="W321" s="70"/>
      <c r="X321" s="70"/>
      <c r="Y321" s="200"/>
      <c r="Z321" s="195"/>
      <c r="AA321" s="195"/>
      <c r="AB321" s="195"/>
      <c r="AC321" s="8"/>
      <c r="AD321" s="70"/>
      <c r="AE321" s="70"/>
      <c r="AF321" s="70"/>
      <c r="AG321" s="201"/>
      <c r="AH321" s="202"/>
      <c r="AI321" s="201"/>
      <c r="AJ321" s="201"/>
      <c r="AK321" s="70"/>
      <c r="AL321" s="70"/>
      <c r="AM321" s="70"/>
      <c r="AN321" s="70"/>
      <c r="AO321" s="70"/>
      <c r="AP321" s="70"/>
      <c r="AQ321" s="70"/>
      <c r="AR321" s="70"/>
      <c r="AS321" s="70"/>
      <c r="AT321" s="70"/>
      <c r="AU321" s="70"/>
      <c r="AV321" s="70"/>
      <c r="AW321" s="70"/>
      <c r="AX321" s="70"/>
    </row>
    <row r="322">
      <c r="A322" s="8"/>
      <c r="B322" s="70"/>
      <c r="C322" s="70"/>
      <c r="D322" s="70"/>
      <c r="E322" s="8"/>
      <c r="F322" s="70"/>
      <c r="G322" s="70"/>
      <c r="H322" s="70"/>
      <c r="I322" s="8"/>
      <c r="J322" s="70"/>
      <c r="K322" s="70"/>
      <c r="L322" s="70"/>
      <c r="M322" s="8"/>
      <c r="N322" s="70"/>
      <c r="O322" s="70"/>
      <c r="P322" s="70"/>
      <c r="Q322" s="8"/>
      <c r="R322" s="70"/>
      <c r="S322" s="70"/>
      <c r="T322" s="70"/>
      <c r="U322" s="8"/>
      <c r="V322" s="70"/>
      <c r="W322" s="70"/>
      <c r="X322" s="70"/>
      <c r="Y322" s="200"/>
      <c r="Z322" s="195"/>
      <c r="AA322" s="195"/>
      <c r="AB322" s="195"/>
      <c r="AC322" s="8"/>
      <c r="AD322" s="70"/>
      <c r="AE322" s="70"/>
      <c r="AF322" s="70"/>
      <c r="AG322" s="201"/>
      <c r="AH322" s="202"/>
      <c r="AI322" s="201"/>
      <c r="AJ322" s="201"/>
      <c r="AK322" s="70"/>
      <c r="AL322" s="70"/>
      <c r="AM322" s="70"/>
      <c r="AN322" s="70"/>
      <c r="AO322" s="70"/>
      <c r="AP322" s="70"/>
      <c r="AQ322" s="70"/>
      <c r="AR322" s="70"/>
      <c r="AS322" s="70"/>
      <c r="AT322" s="70"/>
      <c r="AU322" s="70"/>
      <c r="AV322" s="70"/>
      <c r="AW322" s="70"/>
      <c r="AX322" s="70"/>
    </row>
    <row r="323">
      <c r="A323" s="8"/>
      <c r="B323" s="70"/>
      <c r="C323" s="70"/>
      <c r="D323" s="70"/>
      <c r="E323" s="8"/>
      <c r="F323" s="70"/>
      <c r="G323" s="70"/>
      <c r="H323" s="70"/>
      <c r="I323" s="8"/>
      <c r="J323" s="70"/>
      <c r="K323" s="70"/>
      <c r="L323" s="70"/>
      <c r="M323" s="8"/>
      <c r="N323" s="70"/>
      <c r="O323" s="70"/>
      <c r="P323" s="70"/>
      <c r="Q323" s="8"/>
      <c r="R323" s="70"/>
      <c r="S323" s="70"/>
      <c r="T323" s="70"/>
      <c r="U323" s="8"/>
      <c r="V323" s="70"/>
      <c r="W323" s="70"/>
      <c r="X323" s="70"/>
      <c r="Y323" s="200"/>
      <c r="Z323" s="195"/>
      <c r="AA323" s="195"/>
      <c r="AB323" s="195"/>
      <c r="AC323" s="8"/>
      <c r="AD323" s="70"/>
      <c r="AE323" s="70"/>
      <c r="AF323" s="70"/>
      <c r="AG323" s="201"/>
      <c r="AH323" s="202"/>
      <c r="AI323" s="201"/>
      <c r="AJ323" s="201"/>
      <c r="AK323" s="70"/>
      <c r="AL323" s="70"/>
      <c r="AM323" s="70"/>
      <c r="AN323" s="70"/>
      <c r="AO323" s="70"/>
      <c r="AP323" s="70"/>
      <c r="AQ323" s="70"/>
      <c r="AR323" s="70"/>
      <c r="AS323" s="70"/>
      <c r="AT323" s="70"/>
      <c r="AU323" s="70"/>
      <c r="AV323" s="70"/>
      <c r="AW323" s="70"/>
      <c r="AX323" s="70"/>
    </row>
    <row r="324">
      <c r="A324" s="8"/>
      <c r="B324" s="70"/>
      <c r="C324" s="70"/>
      <c r="D324" s="70"/>
      <c r="E324" s="8"/>
      <c r="F324" s="70"/>
      <c r="G324" s="70"/>
      <c r="H324" s="70"/>
      <c r="I324" s="8"/>
      <c r="J324" s="70"/>
      <c r="K324" s="70"/>
      <c r="L324" s="70"/>
      <c r="M324" s="8"/>
      <c r="N324" s="70"/>
      <c r="O324" s="70"/>
      <c r="P324" s="70"/>
      <c r="Q324" s="8"/>
      <c r="R324" s="70"/>
      <c r="S324" s="70"/>
      <c r="T324" s="70"/>
      <c r="U324" s="8"/>
      <c r="V324" s="70"/>
      <c r="W324" s="70"/>
      <c r="X324" s="70"/>
      <c r="Y324" s="200"/>
      <c r="Z324" s="195"/>
      <c r="AA324" s="195"/>
      <c r="AB324" s="195"/>
      <c r="AC324" s="8"/>
      <c r="AD324" s="70"/>
      <c r="AE324" s="70"/>
      <c r="AF324" s="70"/>
      <c r="AG324" s="201"/>
      <c r="AH324" s="202"/>
      <c r="AI324" s="201"/>
      <c r="AJ324" s="201"/>
      <c r="AK324" s="70"/>
      <c r="AL324" s="70"/>
      <c r="AM324" s="70"/>
      <c r="AN324" s="70"/>
      <c r="AO324" s="70"/>
      <c r="AP324" s="70"/>
      <c r="AQ324" s="70"/>
      <c r="AR324" s="70"/>
      <c r="AS324" s="70"/>
      <c r="AT324" s="70"/>
      <c r="AU324" s="70"/>
      <c r="AV324" s="70"/>
      <c r="AW324" s="70"/>
      <c r="AX324" s="70"/>
    </row>
    <row r="325">
      <c r="A325" s="8"/>
      <c r="B325" s="70"/>
      <c r="C325" s="70"/>
      <c r="D325" s="70"/>
      <c r="E325" s="8"/>
      <c r="F325" s="70"/>
      <c r="G325" s="70"/>
      <c r="H325" s="70"/>
      <c r="I325" s="8"/>
      <c r="J325" s="70"/>
      <c r="K325" s="70"/>
      <c r="L325" s="70"/>
      <c r="M325" s="8"/>
      <c r="N325" s="70"/>
      <c r="O325" s="70"/>
      <c r="P325" s="70"/>
      <c r="Q325" s="8"/>
      <c r="R325" s="70"/>
      <c r="S325" s="70"/>
      <c r="T325" s="70"/>
      <c r="U325" s="8"/>
      <c r="V325" s="70"/>
      <c r="W325" s="70"/>
      <c r="X325" s="70"/>
      <c r="Y325" s="200"/>
      <c r="Z325" s="195"/>
      <c r="AA325" s="195"/>
      <c r="AB325" s="195"/>
      <c r="AC325" s="8"/>
      <c r="AD325" s="70"/>
      <c r="AE325" s="70"/>
      <c r="AF325" s="70"/>
      <c r="AG325" s="201"/>
      <c r="AH325" s="202"/>
      <c r="AI325" s="201"/>
      <c r="AJ325" s="201"/>
      <c r="AK325" s="70"/>
      <c r="AL325" s="70"/>
      <c r="AM325" s="70"/>
      <c r="AN325" s="70"/>
      <c r="AO325" s="70"/>
      <c r="AP325" s="70"/>
      <c r="AQ325" s="70"/>
      <c r="AR325" s="70"/>
      <c r="AS325" s="70"/>
      <c r="AT325" s="70"/>
      <c r="AU325" s="70"/>
      <c r="AV325" s="70"/>
      <c r="AW325" s="70"/>
      <c r="AX325" s="70"/>
    </row>
    <row r="326">
      <c r="A326" s="8"/>
      <c r="B326" s="70"/>
      <c r="C326" s="70"/>
      <c r="D326" s="70"/>
      <c r="E326" s="8"/>
      <c r="F326" s="70"/>
      <c r="G326" s="70"/>
      <c r="H326" s="70"/>
      <c r="I326" s="8"/>
      <c r="J326" s="70"/>
      <c r="K326" s="70"/>
      <c r="L326" s="70"/>
      <c r="M326" s="8"/>
      <c r="N326" s="70"/>
      <c r="O326" s="70"/>
      <c r="P326" s="70"/>
      <c r="Q326" s="8"/>
      <c r="R326" s="70"/>
      <c r="S326" s="70"/>
      <c r="T326" s="70"/>
      <c r="U326" s="8"/>
      <c r="V326" s="70"/>
      <c r="W326" s="70"/>
      <c r="X326" s="70"/>
      <c r="Y326" s="200"/>
      <c r="Z326" s="195"/>
      <c r="AA326" s="195"/>
      <c r="AB326" s="195"/>
      <c r="AC326" s="8"/>
      <c r="AD326" s="70"/>
      <c r="AE326" s="70"/>
      <c r="AF326" s="70"/>
      <c r="AG326" s="201"/>
      <c r="AH326" s="202"/>
      <c r="AI326" s="201"/>
      <c r="AJ326" s="201"/>
      <c r="AK326" s="70"/>
      <c r="AL326" s="70"/>
      <c r="AM326" s="70"/>
      <c r="AN326" s="70"/>
      <c r="AO326" s="70"/>
      <c r="AP326" s="70"/>
      <c r="AQ326" s="70"/>
      <c r="AR326" s="70"/>
      <c r="AS326" s="70"/>
      <c r="AT326" s="70"/>
      <c r="AU326" s="70"/>
      <c r="AV326" s="70"/>
      <c r="AW326" s="70"/>
      <c r="AX326" s="70"/>
    </row>
    <row r="327">
      <c r="A327" s="8"/>
      <c r="B327" s="70"/>
      <c r="C327" s="70"/>
      <c r="D327" s="70"/>
      <c r="E327" s="8"/>
      <c r="F327" s="70"/>
      <c r="G327" s="70"/>
      <c r="H327" s="70"/>
      <c r="I327" s="8"/>
      <c r="J327" s="70"/>
      <c r="K327" s="70"/>
      <c r="L327" s="70"/>
      <c r="M327" s="8"/>
      <c r="N327" s="70"/>
      <c r="O327" s="70"/>
      <c r="P327" s="70"/>
      <c r="Q327" s="8"/>
      <c r="R327" s="70"/>
      <c r="S327" s="70"/>
      <c r="T327" s="70"/>
      <c r="U327" s="8"/>
      <c r="V327" s="70"/>
      <c r="W327" s="70"/>
      <c r="X327" s="70"/>
      <c r="Y327" s="200"/>
      <c r="Z327" s="195"/>
      <c r="AA327" s="195"/>
      <c r="AB327" s="195"/>
      <c r="AC327" s="8"/>
      <c r="AD327" s="70"/>
      <c r="AE327" s="70"/>
      <c r="AF327" s="70"/>
      <c r="AG327" s="201"/>
      <c r="AH327" s="202"/>
      <c r="AI327" s="201"/>
      <c r="AJ327" s="201"/>
      <c r="AK327" s="70"/>
      <c r="AL327" s="70"/>
      <c r="AM327" s="70"/>
      <c r="AN327" s="70"/>
      <c r="AO327" s="70"/>
      <c r="AP327" s="70"/>
      <c r="AQ327" s="70"/>
      <c r="AR327" s="70"/>
      <c r="AS327" s="70"/>
      <c r="AT327" s="70"/>
      <c r="AU327" s="70"/>
      <c r="AV327" s="70"/>
      <c r="AW327" s="70"/>
      <c r="AX327" s="70"/>
    </row>
    <row r="328">
      <c r="A328" s="8"/>
      <c r="B328" s="70"/>
      <c r="C328" s="70"/>
      <c r="D328" s="70"/>
      <c r="E328" s="8"/>
      <c r="F328" s="70"/>
      <c r="G328" s="70"/>
      <c r="H328" s="70"/>
      <c r="I328" s="8"/>
      <c r="J328" s="70"/>
      <c r="K328" s="70"/>
      <c r="L328" s="70"/>
      <c r="M328" s="8"/>
      <c r="N328" s="70"/>
      <c r="O328" s="70"/>
      <c r="P328" s="70"/>
      <c r="Q328" s="8"/>
      <c r="R328" s="70"/>
      <c r="S328" s="70"/>
      <c r="T328" s="70"/>
      <c r="U328" s="8"/>
      <c r="V328" s="70"/>
      <c r="W328" s="70"/>
      <c r="X328" s="70"/>
      <c r="Y328" s="200"/>
      <c r="Z328" s="195"/>
      <c r="AA328" s="195"/>
      <c r="AB328" s="195"/>
      <c r="AC328" s="8"/>
      <c r="AD328" s="70"/>
      <c r="AE328" s="70"/>
      <c r="AF328" s="70"/>
      <c r="AG328" s="201"/>
      <c r="AH328" s="202"/>
      <c r="AI328" s="201"/>
      <c r="AJ328" s="201"/>
      <c r="AK328" s="70"/>
      <c r="AL328" s="70"/>
      <c r="AM328" s="70"/>
      <c r="AN328" s="70"/>
      <c r="AO328" s="70"/>
      <c r="AP328" s="70"/>
      <c r="AQ328" s="70"/>
      <c r="AR328" s="70"/>
      <c r="AS328" s="70"/>
      <c r="AT328" s="70"/>
      <c r="AU328" s="70"/>
      <c r="AV328" s="70"/>
      <c r="AW328" s="70"/>
      <c r="AX328" s="70"/>
    </row>
    <row r="329">
      <c r="A329" s="8"/>
      <c r="B329" s="70"/>
      <c r="C329" s="70"/>
      <c r="D329" s="70"/>
      <c r="E329" s="8"/>
      <c r="F329" s="70"/>
      <c r="G329" s="70"/>
      <c r="H329" s="70"/>
      <c r="I329" s="8"/>
      <c r="J329" s="70"/>
      <c r="K329" s="70"/>
      <c r="L329" s="70"/>
      <c r="M329" s="8"/>
      <c r="N329" s="70"/>
      <c r="O329" s="70"/>
      <c r="P329" s="70"/>
      <c r="Q329" s="8"/>
      <c r="R329" s="70"/>
      <c r="S329" s="70"/>
      <c r="T329" s="70"/>
      <c r="U329" s="8"/>
      <c r="V329" s="70"/>
      <c r="W329" s="70"/>
      <c r="X329" s="70"/>
      <c r="Y329" s="200"/>
      <c r="Z329" s="195"/>
      <c r="AA329" s="195"/>
      <c r="AB329" s="195"/>
      <c r="AC329" s="8"/>
      <c r="AD329" s="70"/>
      <c r="AE329" s="70"/>
      <c r="AF329" s="70"/>
      <c r="AG329" s="201"/>
      <c r="AH329" s="202"/>
      <c r="AI329" s="201"/>
      <c r="AJ329" s="201"/>
      <c r="AK329" s="70"/>
      <c r="AL329" s="70"/>
      <c r="AM329" s="70"/>
      <c r="AN329" s="70"/>
      <c r="AO329" s="70"/>
      <c r="AP329" s="70"/>
      <c r="AQ329" s="70"/>
      <c r="AR329" s="70"/>
      <c r="AS329" s="70"/>
      <c r="AT329" s="70"/>
      <c r="AU329" s="70"/>
      <c r="AV329" s="70"/>
      <c r="AW329" s="70"/>
      <c r="AX329" s="70"/>
    </row>
    <row r="330">
      <c r="A330" s="8"/>
      <c r="B330" s="70"/>
      <c r="C330" s="70"/>
      <c r="D330" s="70"/>
      <c r="E330" s="8"/>
      <c r="F330" s="70"/>
      <c r="G330" s="70"/>
      <c r="H330" s="70"/>
      <c r="I330" s="8"/>
      <c r="J330" s="70"/>
      <c r="K330" s="70"/>
      <c r="L330" s="70"/>
      <c r="M330" s="8"/>
      <c r="N330" s="70"/>
      <c r="O330" s="70"/>
      <c r="P330" s="70"/>
      <c r="Q330" s="8"/>
      <c r="R330" s="70"/>
      <c r="S330" s="70"/>
      <c r="T330" s="70"/>
      <c r="U330" s="8"/>
      <c r="V330" s="70"/>
      <c r="W330" s="70"/>
      <c r="X330" s="70"/>
      <c r="Y330" s="200"/>
      <c r="Z330" s="195"/>
      <c r="AA330" s="195"/>
      <c r="AB330" s="195"/>
      <c r="AC330" s="8"/>
      <c r="AD330" s="70"/>
      <c r="AE330" s="70"/>
      <c r="AF330" s="70"/>
      <c r="AG330" s="201"/>
      <c r="AH330" s="202"/>
      <c r="AI330" s="201"/>
      <c r="AJ330" s="201"/>
      <c r="AK330" s="70"/>
      <c r="AL330" s="70"/>
      <c r="AM330" s="70"/>
      <c r="AN330" s="70"/>
      <c r="AO330" s="70"/>
      <c r="AP330" s="70"/>
      <c r="AQ330" s="70"/>
      <c r="AR330" s="70"/>
      <c r="AS330" s="70"/>
      <c r="AT330" s="70"/>
      <c r="AU330" s="70"/>
      <c r="AV330" s="70"/>
      <c r="AW330" s="70"/>
      <c r="AX330" s="70"/>
    </row>
    <row r="331">
      <c r="A331" s="8"/>
      <c r="B331" s="70"/>
      <c r="C331" s="70"/>
      <c r="D331" s="70"/>
      <c r="E331" s="8"/>
      <c r="F331" s="70"/>
      <c r="G331" s="70"/>
      <c r="H331" s="70"/>
      <c r="I331" s="8"/>
      <c r="J331" s="70"/>
      <c r="K331" s="70"/>
      <c r="L331" s="70"/>
      <c r="M331" s="8"/>
      <c r="N331" s="70"/>
      <c r="O331" s="70"/>
      <c r="P331" s="70"/>
      <c r="Q331" s="8"/>
      <c r="R331" s="70"/>
      <c r="S331" s="70"/>
      <c r="T331" s="70"/>
      <c r="U331" s="8"/>
      <c r="V331" s="70"/>
      <c r="W331" s="70"/>
      <c r="X331" s="70"/>
      <c r="Y331" s="200"/>
      <c r="Z331" s="195"/>
      <c r="AA331" s="195"/>
      <c r="AB331" s="195"/>
      <c r="AC331" s="8"/>
      <c r="AD331" s="70"/>
      <c r="AE331" s="70"/>
      <c r="AF331" s="70"/>
      <c r="AG331" s="201"/>
      <c r="AH331" s="202"/>
      <c r="AI331" s="201"/>
      <c r="AJ331" s="201"/>
      <c r="AK331" s="70"/>
      <c r="AL331" s="70"/>
      <c r="AM331" s="70"/>
      <c r="AN331" s="70"/>
      <c r="AO331" s="70"/>
      <c r="AP331" s="70"/>
      <c r="AQ331" s="70"/>
      <c r="AR331" s="70"/>
      <c r="AS331" s="70"/>
      <c r="AT331" s="70"/>
      <c r="AU331" s="70"/>
      <c r="AV331" s="70"/>
      <c r="AW331" s="70"/>
      <c r="AX331" s="70"/>
    </row>
    <row r="332">
      <c r="A332" s="8"/>
      <c r="B332" s="70"/>
      <c r="C332" s="70"/>
      <c r="D332" s="70"/>
      <c r="E332" s="8"/>
      <c r="F332" s="70"/>
      <c r="G332" s="70"/>
      <c r="H332" s="70"/>
      <c r="I332" s="8"/>
      <c r="J332" s="70"/>
      <c r="K332" s="70"/>
      <c r="L332" s="70"/>
      <c r="M332" s="8"/>
      <c r="N332" s="70"/>
      <c r="O332" s="70"/>
      <c r="P332" s="70"/>
      <c r="Q332" s="8"/>
      <c r="R332" s="70"/>
      <c r="S332" s="70"/>
      <c r="T332" s="70"/>
      <c r="U332" s="8"/>
      <c r="V332" s="70"/>
      <c r="W332" s="70"/>
      <c r="X332" s="70"/>
      <c r="Y332" s="200"/>
      <c r="Z332" s="195"/>
      <c r="AA332" s="195"/>
      <c r="AB332" s="195"/>
      <c r="AC332" s="8"/>
      <c r="AD332" s="70"/>
      <c r="AE332" s="70"/>
      <c r="AF332" s="70"/>
      <c r="AG332" s="201"/>
      <c r="AH332" s="202"/>
      <c r="AI332" s="201"/>
      <c r="AJ332" s="201"/>
      <c r="AK332" s="70"/>
      <c r="AL332" s="70"/>
      <c r="AM332" s="70"/>
      <c r="AN332" s="70"/>
      <c r="AO332" s="70"/>
      <c r="AP332" s="70"/>
      <c r="AQ332" s="70"/>
      <c r="AR332" s="70"/>
      <c r="AS332" s="70"/>
      <c r="AT332" s="70"/>
      <c r="AU332" s="70"/>
      <c r="AV332" s="70"/>
      <c r="AW332" s="70"/>
      <c r="AX332" s="70"/>
    </row>
    <row r="333">
      <c r="A333" s="8"/>
      <c r="B333" s="70"/>
      <c r="C333" s="70"/>
      <c r="D333" s="70"/>
      <c r="E333" s="8"/>
      <c r="F333" s="70"/>
      <c r="G333" s="70"/>
      <c r="H333" s="70"/>
      <c r="I333" s="8"/>
      <c r="J333" s="70"/>
      <c r="K333" s="70"/>
      <c r="L333" s="70"/>
      <c r="M333" s="8"/>
      <c r="N333" s="70"/>
      <c r="O333" s="70"/>
      <c r="P333" s="70"/>
      <c r="Q333" s="8"/>
      <c r="R333" s="70"/>
      <c r="S333" s="70"/>
      <c r="T333" s="70"/>
      <c r="U333" s="8"/>
      <c r="V333" s="70"/>
      <c r="W333" s="70"/>
      <c r="X333" s="70"/>
      <c r="Y333" s="200"/>
      <c r="Z333" s="195"/>
      <c r="AA333" s="195"/>
      <c r="AB333" s="195"/>
      <c r="AC333" s="8"/>
      <c r="AD333" s="70"/>
      <c r="AE333" s="70"/>
      <c r="AF333" s="70"/>
      <c r="AG333" s="201"/>
      <c r="AH333" s="202"/>
      <c r="AI333" s="201"/>
      <c r="AJ333" s="201"/>
      <c r="AK333" s="70"/>
      <c r="AL333" s="70"/>
      <c r="AM333" s="70"/>
      <c r="AN333" s="70"/>
      <c r="AO333" s="70"/>
      <c r="AP333" s="70"/>
      <c r="AQ333" s="70"/>
      <c r="AR333" s="70"/>
      <c r="AS333" s="70"/>
      <c r="AT333" s="70"/>
      <c r="AU333" s="70"/>
      <c r="AV333" s="70"/>
      <c r="AW333" s="70"/>
      <c r="AX333" s="70"/>
    </row>
    <row r="334">
      <c r="A334" s="8"/>
      <c r="B334" s="70"/>
      <c r="C334" s="70"/>
      <c r="D334" s="70"/>
      <c r="E334" s="8"/>
      <c r="F334" s="70"/>
      <c r="G334" s="70"/>
      <c r="H334" s="70"/>
      <c r="I334" s="8"/>
      <c r="J334" s="70"/>
      <c r="K334" s="70"/>
      <c r="L334" s="70"/>
      <c r="M334" s="8"/>
      <c r="N334" s="70"/>
      <c r="O334" s="70"/>
      <c r="P334" s="70"/>
      <c r="Q334" s="8"/>
      <c r="R334" s="70"/>
      <c r="S334" s="70"/>
      <c r="T334" s="70"/>
      <c r="U334" s="8"/>
      <c r="V334" s="70"/>
      <c r="W334" s="70"/>
      <c r="X334" s="70"/>
      <c r="Y334" s="200"/>
      <c r="Z334" s="195"/>
      <c r="AA334" s="195"/>
      <c r="AB334" s="195"/>
      <c r="AC334" s="8"/>
      <c r="AD334" s="70"/>
      <c r="AE334" s="70"/>
      <c r="AF334" s="70"/>
      <c r="AG334" s="201"/>
      <c r="AH334" s="202"/>
      <c r="AI334" s="201"/>
      <c r="AJ334" s="201"/>
      <c r="AK334" s="70"/>
      <c r="AL334" s="70"/>
      <c r="AM334" s="70"/>
      <c r="AN334" s="70"/>
      <c r="AO334" s="70"/>
      <c r="AP334" s="70"/>
      <c r="AQ334" s="70"/>
      <c r="AR334" s="70"/>
      <c r="AS334" s="70"/>
      <c r="AT334" s="70"/>
      <c r="AU334" s="70"/>
      <c r="AV334" s="70"/>
      <c r="AW334" s="70"/>
      <c r="AX334" s="70"/>
    </row>
    <row r="335">
      <c r="A335" s="8"/>
      <c r="B335" s="70"/>
      <c r="C335" s="70"/>
      <c r="D335" s="70"/>
      <c r="E335" s="8"/>
      <c r="F335" s="70"/>
      <c r="G335" s="70"/>
      <c r="H335" s="70"/>
      <c r="I335" s="8"/>
      <c r="J335" s="70"/>
      <c r="K335" s="70"/>
      <c r="L335" s="70"/>
      <c r="M335" s="8"/>
      <c r="N335" s="70"/>
      <c r="O335" s="70"/>
      <c r="P335" s="70"/>
      <c r="Q335" s="8"/>
      <c r="R335" s="70"/>
      <c r="S335" s="70"/>
      <c r="T335" s="70"/>
      <c r="U335" s="8"/>
      <c r="V335" s="70"/>
      <c r="W335" s="70"/>
      <c r="X335" s="70"/>
      <c r="Y335" s="200"/>
      <c r="Z335" s="195"/>
      <c r="AA335" s="195"/>
      <c r="AB335" s="195"/>
      <c r="AC335" s="8"/>
      <c r="AD335" s="70"/>
      <c r="AE335" s="70"/>
      <c r="AF335" s="70"/>
      <c r="AG335" s="201"/>
      <c r="AH335" s="202"/>
      <c r="AI335" s="201"/>
      <c r="AJ335" s="201"/>
      <c r="AK335" s="70"/>
      <c r="AL335" s="70"/>
      <c r="AM335" s="70"/>
      <c r="AN335" s="70"/>
      <c r="AO335" s="70"/>
      <c r="AP335" s="70"/>
      <c r="AQ335" s="70"/>
      <c r="AR335" s="70"/>
      <c r="AS335" s="70"/>
      <c r="AT335" s="70"/>
      <c r="AU335" s="70"/>
      <c r="AV335" s="70"/>
      <c r="AW335" s="70"/>
      <c r="AX335" s="70"/>
    </row>
    <row r="336">
      <c r="A336" s="8"/>
      <c r="B336" s="70"/>
      <c r="C336" s="70"/>
      <c r="D336" s="70"/>
      <c r="E336" s="8"/>
      <c r="F336" s="70"/>
      <c r="G336" s="70"/>
      <c r="H336" s="70"/>
      <c r="I336" s="8"/>
      <c r="J336" s="70"/>
      <c r="K336" s="70"/>
      <c r="L336" s="70"/>
      <c r="M336" s="8"/>
      <c r="N336" s="70"/>
      <c r="O336" s="70"/>
      <c r="P336" s="70"/>
      <c r="Q336" s="8"/>
      <c r="R336" s="70"/>
      <c r="S336" s="70"/>
      <c r="T336" s="70"/>
      <c r="U336" s="8"/>
      <c r="V336" s="70"/>
      <c r="W336" s="70"/>
      <c r="X336" s="70"/>
      <c r="Y336" s="200"/>
      <c r="Z336" s="195"/>
      <c r="AA336" s="195"/>
      <c r="AB336" s="195"/>
      <c r="AC336" s="8"/>
      <c r="AD336" s="70"/>
      <c r="AE336" s="70"/>
      <c r="AF336" s="70"/>
      <c r="AG336" s="201"/>
      <c r="AH336" s="202"/>
      <c r="AI336" s="201"/>
      <c r="AJ336" s="201"/>
      <c r="AK336" s="70"/>
      <c r="AL336" s="70"/>
      <c r="AM336" s="70"/>
      <c r="AN336" s="70"/>
      <c r="AO336" s="70"/>
      <c r="AP336" s="70"/>
      <c r="AQ336" s="70"/>
      <c r="AR336" s="70"/>
      <c r="AS336" s="70"/>
      <c r="AT336" s="70"/>
      <c r="AU336" s="70"/>
      <c r="AV336" s="70"/>
      <c r="AW336" s="70"/>
      <c r="AX336" s="70"/>
    </row>
    <row r="337">
      <c r="A337" s="8"/>
      <c r="B337" s="70"/>
      <c r="C337" s="70"/>
      <c r="D337" s="70"/>
      <c r="E337" s="8"/>
      <c r="F337" s="70"/>
      <c r="G337" s="70"/>
      <c r="H337" s="70"/>
      <c r="I337" s="8"/>
      <c r="J337" s="70"/>
      <c r="K337" s="70"/>
      <c r="L337" s="70"/>
      <c r="M337" s="8"/>
      <c r="N337" s="70"/>
      <c r="O337" s="70"/>
      <c r="P337" s="70"/>
      <c r="Q337" s="8"/>
      <c r="R337" s="70"/>
      <c r="S337" s="70"/>
      <c r="T337" s="70"/>
      <c r="U337" s="8"/>
      <c r="V337" s="70"/>
      <c r="W337" s="70"/>
      <c r="X337" s="70"/>
      <c r="Y337" s="200"/>
      <c r="Z337" s="195"/>
      <c r="AA337" s="195"/>
      <c r="AB337" s="195"/>
      <c r="AC337" s="8"/>
      <c r="AD337" s="70"/>
      <c r="AE337" s="70"/>
      <c r="AF337" s="70"/>
      <c r="AG337" s="201"/>
      <c r="AH337" s="202"/>
      <c r="AI337" s="201"/>
      <c r="AJ337" s="201"/>
      <c r="AK337" s="70"/>
      <c r="AL337" s="70"/>
      <c r="AM337" s="70"/>
      <c r="AN337" s="70"/>
      <c r="AO337" s="70"/>
      <c r="AP337" s="70"/>
      <c r="AQ337" s="70"/>
      <c r="AR337" s="70"/>
      <c r="AS337" s="70"/>
      <c r="AT337" s="70"/>
      <c r="AU337" s="70"/>
      <c r="AV337" s="70"/>
      <c r="AW337" s="70"/>
      <c r="AX337" s="70"/>
    </row>
    <row r="338">
      <c r="A338" s="8"/>
      <c r="B338" s="70"/>
      <c r="C338" s="70"/>
      <c r="D338" s="70"/>
      <c r="E338" s="8"/>
      <c r="F338" s="70"/>
      <c r="G338" s="70"/>
      <c r="H338" s="70"/>
      <c r="I338" s="8"/>
      <c r="J338" s="70"/>
      <c r="K338" s="70"/>
      <c r="L338" s="70"/>
      <c r="M338" s="8"/>
      <c r="N338" s="70"/>
      <c r="O338" s="70"/>
      <c r="P338" s="70"/>
      <c r="Q338" s="8"/>
      <c r="R338" s="70"/>
      <c r="S338" s="70"/>
      <c r="T338" s="70"/>
      <c r="U338" s="8"/>
      <c r="V338" s="70"/>
      <c r="W338" s="70"/>
      <c r="X338" s="70"/>
      <c r="Y338" s="200"/>
      <c r="Z338" s="195"/>
      <c r="AA338" s="195"/>
      <c r="AB338" s="195"/>
      <c r="AC338" s="8"/>
      <c r="AD338" s="70"/>
      <c r="AE338" s="70"/>
      <c r="AF338" s="70"/>
      <c r="AG338" s="201"/>
      <c r="AH338" s="202"/>
      <c r="AI338" s="201"/>
      <c r="AJ338" s="201"/>
      <c r="AK338" s="70"/>
      <c r="AL338" s="70"/>
      <c r="AM338" s="70"/>
      <c r="AN338" s="70"/>
      <c r="AO338" s="70"/>
      <c r="AP338" s="70"/>
      <c r="AQ338" s="70"/>
      <c r="AR338" s="70"/>
      <c r="AS338" s="70"/>
      <c r="AT338" s="70"/>
      <c r="AU338" s="70"/>
      <c r="AV338" s="70"/>
      <c r="AW338" s="70"/>
      <c r="AX338" s="70"/>
    </row>
    <row r="339">
      <c r="A339" s="8"/>
      <c r="B339" s="70"/>
      <c r="C339" s="70"/>
      <c r="D339" s="70"/>
      <c r="E339" s="8"/>
      <c r="F339" s="70"/>
      <c r="G339" s="70"/>
      <c r="H339" s="70"/>
      <c r="I339" s="8"/>
      <c r="J339" s="70"/>
      <c r="K339" s="70"/>
      <c r="L339" s="70"/>
      <c r="M339" s="8"/>
      <c r="N339" s="70"/>
      <c r="O339" s="70"/>
      <c r="P339" s="70"/>
      <c r="Q339" s="8"/>
      <c r="R339" s="70"/>
      <c r="S339" s="70"/>
      <c r="T339" s="70"/>
      <c r="U339" s="8"/>
      <c r="V339" s="70"/>
      <c r="W339" s="70"/>
      <c r="X339" s="70"/>
      <c r="Y339" s="200"/>
      <c r="Z339" s="195"/>
      <c r="AA339" s="195"/>
      <c r="AB339" s="195"/>
      <c r="AC339" s="8"/>
      <c r="AD339" s="70"/>
      <c r="AE339" s="70"/>
      <c r="AF339" s="70"/>
      <c r="AG339" s="201"/>
      <c r="AH339" s="202"/>
      <c r="AI339" s="201"/>
      <c r="AJ339" s="201"/>
      <c r="AK339" s="70"/>
      <c r="AL339" s="70"/>
      <c r="AM339" s="70"/>
      <c r="AN339" s="70"/>
      <c r="AO339" s="70"/>
      <c r="AP339" s="70"/>
      <c r="AQ339" s="70"/>
      <c r="AR339" s="70"/>
      <c r="AS339" s="70"/>
      <c r="AT339" s="70"/>
      <c r="AU339" s="70"/>
      <c r="AV339" s="70"/>
      <c r="AW339" s="70"/>
      <c r="AX339" s="70"/>
    </row>
    <row r="340">
      <c r="A340" s="8"/>
      <c r="B340" s="70"/>
      <c r="C340" s="70"/>
      <c r="D340" s="70"/>
      <c r="E340" s="8"/>
      <c r="F340" s="70"/>
      <c r="G340" s="70"/>
      <c r="H340" s="70"/>
      <c r="I340" s="8"/>
      <c r="J340" s="70"/>
      <c r="K340" s="70"/>
      <c r="L340" s="70"/>
      <c r="M340" s="8"/>
      <c r="N340" s="70"/>
      <c r="O340" s="70"/>
      <c r="P340" s="70"/>
      <c r="Q340" s="8"/>
      <c r="R340" s="70"/>
      <c r="S340" s="70"/>
      <c r="T340" s="70"/>
      <c r="U340" s="8"/>
      <c r="V340" s="70"/>
      <c r="W340" s="70"/>
      <c r="X340" s="70"/>
      <c r="Y340" s="200"/>
      <c r="Z340" s="195"/>
      <c r="AA340" s="195"/>
      <c r="AB340" s="195"/>
      <c r="AC340" s="8"/>
      <c r="AD340" s="70"/>
      <c r="AE340" s="70"/>
      <c r="AF340" s="70"/>
      <c r="AG340" s="201"/>
      <c r="AH340" s="202"/>
      <c r="AI340" s="201"/>
      <c r="AJ340" s="201"/>
      <c r="AK340" s="70"/>
      <c r="AL340" s="70"/>
      <c r="AM340" s="70"/>
      <c r="AN340" s="70"/>
      <c r="AO340" s="70"/>
      <c r="AP340" s="70"/>
      <c r="AQ340" s="70"/>
      <c r="AR340" s="70"/>
      <c r="AS340" s="70"/>
      <c r="AT340" s="70"/>
      <c r="AU340" s="70"/>
      <c r="AV340" s="70"/>
      <c r="AW340" s="70"/>
      <c r="AX340" s="70"/>
    </row>
    <row r="341">
      <c r="A341" s="8"/>
      <c r="B341" s="70"/>
      <c r="C341" s="70"/>
      <c r="D341" s="70"/>
      <c r="E341" s="8"/>
      <c r="F341" s="70"/>
      <c r="G341" s="70"/>
      <c r="H341" s="70"/>
      <c r="I341" s="8"/>
      <c r="J341" s="70"/>
      <c r="K341" s="70"/>
      <c r="L341" s="70"/>
      <c r="M341" s="8"/>
      <c r="N341" s="70"/>
      <c r="O341" s="70"/>
      <c r="P341" s="70"/>
      <c r="Q341" s="8"/>
      <c r="R341" s="70"/>
      <c r="S341" s="70"/>
      <c r="T341" s="70"/>
      <c r="U341" s="8"/>
      <c r="V341" s="70"/>
      <c r="W341" s="70"/>
      <c r="X341" s="70"/>
      <c r="Y341" s="200"/>
      <c r="Z341" s="195"/>
      <c r="AA341" s="195"/>
      <c r="AB341" s="195"/>
      <c r="AC341" s="8"/>
      <c r="AD341" s="70"/>
      <c r="AE341" s="70"/>
      <c r="AF341" s="70"/>
      <c r="AG341" s="201"/>
      <c r="AH341" s="202"/>
      <c r="AI341" s="201"/>
      <c r="AJ341" s="201"/>
      <c r="AK341" s="70"/>
      <c r="AL341" s="70"/>
      <c r="AM341" s="70"/>
      <c r="AN341" s="70"/>
      <c r="AO341" s="70"/>
      <c r="AP341" s="70"/>
      <c r="AQ341" s="70"/>
      <c r="AR341" s="70"/>
      <c r="AS341" s="70"/>
      <c r="AT341" s="70"/>
      <c r="AU341" s="70"/>
      <c r="AV341" s="70"/>
      <c r="AW341" s="70"/>
      <c r="AX341" s="70"/>
    </row>
    <row r="342">
      <c r="A342" s="8"/>
      <c r="B342" s="70"/>
      <c r="C342" s="70"/>
      <c r="D342" s="70"/>
      <c r="E342" s="8"/>
      <c r="F342" s="70"/>
      <c r="G342" s="70"/>
      <c r="H342" s="70"/>
      <c r="I342" s="8"/>
      <c r="J342" s="70"/>
      <c r="K342" s="70"/>
      <c r="L342" s="70"/>
      <c r="M342" s="8"/>
      <c r="N342" s="70"/>
      <c r="O342" s="70"/>
      <c r="P342" s="70"/>
      <c r="Q342" s="8"/>
      <c r="R342" s="70"/>
      <c r="S342" s="70"/>
      <c r="T342" s="70"/>
      <c r="U342" s="8"/>
      <c r="V342" s="70"/>
      <c r="W342" s="70"/>
      <c r="X342" s="70"/>
      <c r="Y342" s="200"/>
      <c r="Z342" s="195"/>
      <c r="AA342" s="195"/>
      <c r="AB342" s="195"/>
      <c r="AC342" s="8"/>
      <c r="AD342" s="70"/>
      <c r="AE342" s="70"/>
      <c r="AF342" s="70"/>
      <c r="AG342" s="201"/>
      <c r="AH342" s="202"/>
      <c r="AI342" s="201"/>
      <c r="AJ342" s="201"/>
      <c r="AK342" s="70"/>
      <c r="AL342" s="70"/>
      <c r="AM342" s="70"/>
      <c r="AN342" s="70"/>
      <c r="AO342" s="70"/>
      <c r="AP342" s="70"/>
      <c r="AQ342" s="70"/>
      <c r="AR342" s="70"/>
      <c r="AS342" s="70"/>
      <c r="AT342" s="70"/>
      <c r="AU342" s="70"/>
      <c r="AV342" s="70"/>
      <c r="AW342" s="70"/>
      <c r="AX342" s="70"/>
    </row>
    <row r="343">
      <c r="A343" s="8"/>
      <c r="B343" s="70"/>
      <c r="C343" s="70"/>
      <c r="D343" s="70"/>
      <c r="E343" s="8"/>
      <c r="F343" s="70"/>
      <c r="G343" s="70"/>
      <c r="H343" s="70"/>
      <c r="I343" s="8"/>
      <c r="J343" s="70"/>
      <c r="K343" s="70"/>
      <c r="L343" s="70"/>
      <c r="M343" s="8"/>
      <c r="N343" s="70"/>
      <c r="O343" s="70"/>
      <c r="P343" s="70"/>
      <c r="Q343" s="8"/>
      <c r="R343" s="70"/>
      <c r="S343" s="70"/>
      <c r="T343" s="70"/>
      <c r="U343" s="8"/>
      <c r="V343" s="70"/>
      <c r="W343" s="70"/>
      <c r="X343" s="70"/>
      <c r="Y343" s="200"/>
      <c r="Z343" s="195"/>
      <c r="AA343" s="195"/>
      <c r="AB343" s="195"/>
      <c r="AC343" s="8"/>
      <c r="AD343" s="70"/>
      <c r="AE343" s="70"/>
      <c r="AF343" s="70"/>
      <c r="AG343" s="201"/>
      <c r="AH343" s="202"/>
      <c r="AI343" s="201"/>
      <c r="AJ343" s="201"/>
      <c r="AK343" s="70"/>
      <c r="AL343" s="70"/>
      <c r="AM343" s="70"/>
      <c r="AN343" s="70"/>
      <c r="AO343" s="70"/>
      <c r="AP343" s="70"/>
      <c r="AQ343" s="70"/>
      <c r="AR343" s="70"/>
      <c r="AS343" s="70"/>
      <c r="AT343" s="70"/>
      <c r="AU343" s="70"/>
      <c r="AV343" s="70"/>
      <c r="AW343" s="70"/>
      <c r="AX343" s="70"/>
    </row>
    <row r="344">
      <c r="A344" s="8"/>
      <c r="B344" s="70"/>
      <c r="C344" s="70"/>
      <c r="D344" s="70"/>
      <c r="E344" s="8"/>
      <c r="F344" s="70"/>
      <c r="G344" s="70"/>
      <c r="H344" s="70"/>
      <c r="I344" s="8"/>
      <c r="J344" s="70"/>
      <c r="K344" s="70"/>
      <c r="L344" s="70"/>
      <c r="M344" s="8"/>
      <c r="N344" s="70"/>
      <c r="O344" s="70"/>
      <c r="P344" s="70"/>
      <c r="Q344" s="8"/>
      <c r="R344" s="70"/>
      <c r="S344" s="70"/>
      <c r="T344" s="70"/>
      <c r="U344" s="8"/>
      <c r="V344" s="70"/>
      <c r="W344" s="70"/>
      <c r="X344" s="70"/>
      <c r="Y344" s="200"/>
      <c r="Z344" s="195"/>
      <c r="AA344" s="195"/>
      <c r="AB344" s="195"/>
      <c r="AC344" s="8"/>
      <c r="AD344" s="70"/>
      <c r="AE344" s="70"/>
      <c r="AF344" s="70"/>
      <c r="AG344" s="201"/>
      <c r="AH344" s="202"/>
      <c r="AI344" s="201"/>
      <c r="AJ344" s="201"/>
      <c r="AK344" s="70"/>
      <c r="AL344" s="70"/>
      <c r="AM344" s="70"/>
      <c r="AN344" s="70"/>
      <c r="AO344" s="70"/>
      <c r="AP344" s="70"/>
      <c r="AQ344" s="70"/>
      <c r="AR344" s="70"/>
      <c r="AS344" s="70"/>
      <c r="AT344" s="70"/>
      <c r="AU344" s="70"/>
      <c r="AV344" s="70"/>
      <c r="AW344" s="70"/>
      <c r="AX344" s="70"/>
    </row>
    <row r="345">
      <c r="A345" s="8"/>
      <c r="B345" s="70"/>
      <c r="C345" s="70"/>
      <c r="D345" s="70"/>
      <c r="E345" s="8"/>
      <c r="F345" s="70"/>
      <c r="G345" s="70"/>
      <c r="H345" s="70"/>
      <c r="I345" s="8"/>
      <c r="J345" s="70"/>
      <c r="K345" s="70"/>
      <c r="L345" s="70"/>
      <c r="M345" s="8"/>
      <c r="N345" s="70"/>
      <c r="O345" s="70"/>
      <c r="P345" s="70"/>
      <c r="Q345" s="8"/>
      <c r="R345" s="70"/>
      <c r="S345" s="70"/>
      <c r="T345" s="70"/>
      <c r="U345" s="8"/>
      <c r="V345" s="70"/>
      <c r="W345" s="70"/>
      <c r="X345" s="70"/>
      <c r="Y345" s="200"/>
      <c r="Z345" s="195"/>
      <c r="AA345" s="195"/>
      <c r="AB345" s="195"/>
      <c r="AC345" s="8"/>
      <c r="AD345" s="70"/>
      <c r="AE345" s="70"/>
      <c r="AF345" s="70"/>
      <c r="AG345" s="201"/>
      <c r="AH345" s="202"/>
      <c r="AI345" s="201"/>
      <c r="AJ345" s="201"/>
      <c r="AK345" s="70"/>
      <c r="AL345" s="70"/>
      <c r="AM345" s="70"/>
      <c r="AN345" s="70"/>
      <c r="AO345" s="70"/>
      <c r="AP345" s="70"/>
      <c r="AQ345" s="70"/>
      <c r="AR345" s="70"/>
      <c r="AS345" s="70"/>
      <c r="AT345" s="70"/>
      <c r="AU345" s="70"/>
      <c r="AV345" s="70"/>
      <c r="AW345" s="70"/>
      <c r="AX345" s="70"/>
    </row>
    <row r="346">
      <c r="A346" s="8"/>
      <c r="B346" s="70"/>
      <c r="C346" s="70"/>
      <c r="D346" s="70"/>
      <c r="E346" s="8"/>
      <c r="F346" s="70"/>
      <c r="G346" s="70"/>
      <c r="H346" s="70"/>
      <c r="I346" s="8"/>
      <c r="J346" s="70"/>
      <c r="K346" s="70"/>
      <c r="L346" s="70"/>
      <c r="M346" s="8"/>
      <c r="N346" s="70"/>
      <c r="O346" s="70"/>
      <c r="P346" s="70"/>
      <c r="Q346" s="8"/>
      <c r="R346" s="70"/>
      <c r="S346" s="70"/>
      <c r="T346" s="70"/>
      <c r="U346" s="8"/>
      <c r="V346" s="70"/>
      <c r="W346" s="70"/>
      <c r="X346" s="70"/>
      <c r="Y346" s="200"/>
      <c r="Z346" s="195"/>
      <c r="AA346" s="195"/>
      <c r="AB346" s="195"/>
      <c r="AC346" s="8"/>
      <c r="AD346" s="70"/>
      <c r="AE346" s="70"/>
      <c r="AF346" s="70"/>
      <c r="AG346" s="201"/>
      <c r="AH346" s="202"/>
      <c r="AI346" s="201"/>
      <c r="AJ346" s="201"/>
      <c r="AK346" s="70"/>
      <c r="AL346" s="70"/>
      <c r="AM346" s="70"/>
      <c r="AN346" s="70"/>
      <c r="AO346" s="70"/>
      <c r="AP346" s="70"/>
      <c r="AQ346" s="70"/>
      <c r="AR346" s="70"/>
      <c r="AS346" s="70"/>
      <c r="AT346" s="70"/>
      <c r="AU346" s="70"/>
      <c r="AV346" s="70"/>
      <c r="AW346" s="70"/>
      <c r="AX346" s="70"/>
    </row>
    <row r="347">
      <c r="A347" s="8"/>
      <c r="B347" s="70"/>
      <c r="C347" s="70"/>
      <c r="D347" s="70"/>
      <c r="E347" s="8"/>
      <c r="F347" s="70"/>
      <c r="G347" s="70"/>
      <c r="H347" s="70"/>
      <c r="I347" s="8"/>
      <c r="J347" s="70"/>
      <c r="K347" s="70"/>
      <c r="L347" s="70"/>
      <c r="M347" s="8"/>
      <c r="N347" s="70"/>
      <c r="O347" s="70"/>
      <c r="P347" s="70"/>
      <c r="Q347" s="8"/>
      <c r="R347" s="70"/>
      <c r="S347" s="70"/>
      <c r="T347" s="70"/>
      <c r="U347" s="8"/>
      <c r="V347" s="70"/>
      <c r="W347" s="70"/>
      <c r="X347" s="70"/>
      <c r="Y347" s="200"/>
      <c r="Z347" s="195"/>
      <c r="AA347" s="195"/>
      <c r="AB347" s="195"/>
      <c r="AC347" s="8"/>
      <c r="AD347" s="70"/>
      <c r="AE347" s="70"/>
      <c r="AF347" s="70"/>
      <c r="AG347" s="201"/>
      <c r="AH347" s="202"/>
      <c r="AI347" s="201"/>
      <c r="AJ347" s="201"/>
      <c r="AK347" s="70"/>
      <c r="AL347" s="70"/>
      <c r="AM347" s="70"/>
      <c r="AN347" s="70"/>
      <c r="AO347" s="70"/>
      <c r="AP347" s="70"/>
      <c r="AQ347" s="70"/>
      <c r="AR347" s="70"/>
      <c r="AS347" s="70"/>
      <c r="AT347" s="70"/>
      <c r="AU347" s="70"/>
      <c r="AV347" s="70"/>
      <c r="AW347" s="70"/>
      <c r="AX347" s="70"/>
    </row>
    <row r="348">
      <c r="A348" s="8"/>
      <c r="B348" s="70"/>
      <c r="C348" s="70"/>
      <c r="D348" s="70"/>
      <c r="E348" s="8"/>
      <c r="F348" s="70"/>
      <c r="G348" s="70"/>
      <c r="H348" s="70"/>
      <c r="I348" s="8"/>
      <c r="J348" s="70"/>
      <c r="K348" s="70"/>
      <c r="L348" s="70"/>
      <c r="M348" s="8"/>
      <c r="N348" s="70"/>
      <c r="O348" s="70"/>
      <c r="P348" s="70"/>
      <c r="Q348" s="8"/>
      <c r="R348" s="70"/>
      <c r="S348" s="70"/>
      <c r="T348" s="70"/>
      <c r="U348" s="8"/>
      <c r="V348" s="70"/>
      <c r="W348" s="70"/>
      <c r="X348" s="70"/>
      <c r="Y348" s="200"/>
      <c r="Z348" s="195"/>
      <c r="AA348" s="195"/>
      <c r="AB348" s="195"/>
      <c r="AC348" s="8"/>
      <c r="AD348" s="70"/>
      <c r="AE348" s="70"/>
      <c r="AF348" s="70"/>
      <c r="AG348" s="201"/>
      <c r="AH348" s="202"/>
      <c r="AI348" s="201"/>
      <c r="AJ348" s="201"/>
      <c r="AK348" s="70"/>
      <c r="AL348" s="70"/>
      <c r="AM348" s="70"/>
      <c r="AN348" s="70"/>
      <c r="AO348" s="70"/>
      <c r="AP348" s="70"/>
      <c r="AQ348" s="70"/>
      <c r="AR348" s="70"/>
      <c r="AS348" s="70"/>
      <c r="AT348" s="70"/>
      <c r="AU348" s="70"/>
      <c r="AV348" s="70"/>
      <c r="AW348" s="70"/>
      <c r="AX348" s="70"/>
    </row>
    <row r="349">
      <c r="A349" s="8"/>
      <c r="B349" s="70"/>
      <c r="C349" s="70"/>
      <c r="D349" s="70"/>
      <c r="E349" s="8"/>
      <c r="F349" s="70"/>
      <c r="G349" s="70"/>
      <c r="H349" s="70"/>
      <c r="I349" s="8"/>
      <c r="J349" s="70"/>
      <c r="K349" s="70"/>
      <c r="L349" s="70"/>
      <c r="M349" s="8"/>
      <c r="N349" s="70"/>
      <c r="O349" s="70"/>
      <c r="P349" s="70"/>
      <c r="Q349" s="8"/>
      <c r="R349" s="70"/>
      <c r="S349" s="70"/>
      <c r="T349" s="70"/>
      <c r="U349" s="8"/>
      <c r="V349" s="70"/>
      <c r="W349" s="70"/>
      <c r="X349" s="70"/>
      <c r="Y349" s="200"/>
      <c r="Z349" s="195"/>
      <c r="AA349" s="195"/>
      <c r="AB349" s="195"/>
      <c r="AC349" s="8"/>
      <c r="AD349" s="70"/>
      <c r="AE349" s="70"/>
      <c r="AF349" s="70"/>
      <c r="AG349" s="201"/>
      <c r="AH349" s="202"/>
      <c r="AI349" s="201"/>
      <c r="AJ349" s="201"/>
      <c r="AK349" s="70"/>
      <c r="AL349" s="70"/>
      <c r="AM349" s="70"/>
      <c r="AN349" s="70"/>
      <c r="AO349" s="70"/>
      <c r="AP349" s="70"/>
      <c r="AQ349" s="70"/>
      <c r="AR349" s="70"/>
      <c r="AS349" s="70"/>
      <c r="AT349" s="70"/>
      <c r="AU349" s="70"/>
      <c r="AV349" s="70"/>
      <c r="AW349" s="70"/>
      <c r="AX349" s="70"/>
    </row>
    <row r="350">
      <c r="A350" s="8"/>
      <c r="B350" s="70"/>
      <c r="C350" s="70"/>
      <c r="D350" s="70"/>
      <c r="E350" s="8"/>
      <c r="F350" s="70"/>
      <c r="G350" s="70"/>
      <c r="H350" s="70"/>
      <c r="I350" s="8"/>
      <c r="J350" s="70"/>
      <c r="K350" s="70"/>
      <c r="L350" s="70"/>
      <c r="M350" s="8"/>
      <c r="N350" s="70"/>
      <c r="O350" s="70"/>
      <c r="P350" s="70"/>
      <c r="Q350" s="8"/>
      <c r="R350" s="70"/>
      <c r="S350" s="70"/>
      <c r="T350" s="70"/>
      <c r="U350" s="8"/>
      <c r="V350" s="70"/>
      <c r="W350" s="70"/>
      <c r="X350" s="70"/>
      <c r="Y350" s="200"/>
      <c r="Z350" s="195"/>
      <c r="AA350" s="195"/>
      <c r="AB350" s="195"/>
      <c r="AC350" s="8"/>
      <c r="AD350" s="70"/>
      <c r="AE350" s="70"/>
      <c r="AF350" s="70"/>
      <c r="AG350" s="201"/>
      <c r="AH350" s="202"/>
      <c r="AI350" s="201"/>
      <c r="AJ350" s="201"/>
      <c r="AK350" s="70"/>
      <c r="AL350" s="70"/>
      <c r="AM350" s="70"/>
      <c r="AN350" s="70"/>
      <c r="AO350" s="70"/>
      <c r="AP350" s="70"/>
      <c r="AQ350" s="70"/>
      <c r="AR350" s="70"/>
      <c r="AS350" s="70"/>
      <c r="AT350" s="70"/>
      <c r="AU350" s="70"/>
      <c r="AV350" s="70"/>
      <c r="AW350" s="70"/>
      <c r="AX350" s="70"/>
    </row>
    <row r="351">
      <c r="A351" s="8"/>
      <c r="B351" s="70"/>
      <c r="C351" s="70"/>
      <c r="D351" s="70"/>
      <c r="E351" s="8"/>
      <c r="F351" s="70"/>
      <c r="G351" s="70"/>
      <c r="H351" s="70"/>
      <c r="I351" s="8"/>
      <c r="J351" s="70"/>
      <c r="K351" s="70"/>
      <c r="L351" s="70"/>
      <c r="M351" s="8"/>
      <c r="N351" s="70"/>
      <c r="O351" s="70"/>
      <c r="P351" s="70"/>
      <c r="Q351" s="8"/>
      <c r="R351" s="70"/>
      <c r="S351" s="70"/>
      <c r="T351" s="70"/>
      <c r="U351" s="8"/>
      <c r="V351" s="70"/>
      <c r="W351" s="70"/>
      <c r="X351" s="70"/>
      <c r="Y351" s="200"/>
      <c r="Z351" s="195"/>
      <c r="AA351" s="195"/>
      <c r="AB351" s="195"/>
      <c r="AC351" s="8"/>
      <c r="AD351" s="70"/>
      <c r="AE351" s="70"/>
      <c r="AF351" s="70"/>
      <c r="AG351" s="201"/>
      <c r="AH351" s="202"/>
      <c r="AI351" s="201"/>
      <c r="AJ351" s="201"/>
      <c r="AK351" s="70"/>
      <c r="AL351" s="70"/>
      <c r="AM351" s="70"/>
      <c r="AN351" s="70"/>
      <c r="AO351" s="70"/>
      <c r="AP351" s="70"/>
      <c r="AQ351" s="70"/>
      <c r="AR351" s="70"/>
      <c r="AS351" s="70"/>
      <c r="AT351" s="70"/>
      <c r="AU351" s="70"/>
      <c r="AV351" s="70"/>
      <c r="AW351" s="70"/>
      <c r="AX351" s="70"/>
    </row>
    <row r="352">
      <c r="A352" s="8"/>
      <c r="B352" s="70"/>
      <c r="C352" s="70"/>
      <c r="D352" s="70"/>
      <c r="E352" s="8"/>
      <c r="F352" s="70"/>
      <c r="G352" s="70"/>
      <c r="H352" s="70"/>
      <c r="I352" s="8"/>
      <c r="J352" s="70"/>
      <c r="K352" s="70"/>
      <c r="L352" s="70"/>
      <c r="M352" s="8"/>
      <c r="N352" s="70"/>
      <c r="O352" s="70"/>
      <c r="P352" s="70"/>
      <c r="Q352" s="8"/>
      <c r="R352" s="70"/>
      <c r="S352" s="70"/>
      <c r="T352" s="70"/>
      <c r="U352" s="8"/>
      <c r="V352" s="70"/>
      <c r="W352" s="70"/>
      <c r="X352" s="70"/>
      <c r="Y352" s="200"/>
      <c r="Z352" s="195"/>
      <c r="AA352" s="195"/>
      <c r="AB352" s="195"/>
      <c r="AC352" s="8"/>
      <c r="AD352" s="70"/>
      <c r="AE352" s="70"/>
      <c r="AF352" s="70"/>
      <c r="AG352" s="201"/>
      <c r="AH352" s="202"/>
      <c r="AI352" s="201"/>
      <c r="AJ352" s="201"/>
      <c r="AK352" s="70"/>
      <c r="AL352" s="70"/>
      <c r="AM352" s="70"/>
      <c r="AN352" s="70"/>
      <c r="AO352" s="70"/>
      <c r="AP352" s="70"/>
      <c r="AQ352" s="70"/>
      <c r="AR352" s="70"/>
      <c r="AS352" s="70"/>
      <c r="AT352" s="70"/>
      <c r="AU352" s="70"/>
      <c r="AV352" s="70"/>
      <c r="AW352" s="70"/>
      <c r="AX352" s="70"/>
    </row>
    <row r="353">
      <c r="A353" s="8"/>
      <c r="B353" s="70"/>
      <c r="C353" s="70"/>
      <c r="D353" s="70"/>
      <c r="E353" s="8"/>
      <c r="F353" s="70"/>
      <c r="G353" s="70"/>
      <c r="H353" s="70"/>
      <c r="I353" s="8"/>
      <c r="J353" s="70"/>
      <c r="K353" s="70"/>
      <c r="L353" s="70"/>
      <c r="M353" s="8"/>
      <c r="N353" s="70"/>
      <c r="O353" s="70"/>
      <c r="P353" s="70"/>
      <c r="Q353" s="8"/>
      <c r="R353" s="70"/>
      <c r="S353" s="70"/>
      <c r="T353" s="70"/>
      <c r="U353" s="8"/>
      <c r="V353" s="70"/>
      <c r="W353" s="70"/>
      <c r="X353" s="70"/>
      <c r="Y353" s="200"/>
      <c r="Z353" s="195"/>
      <c r="AA353" s="195"/>
      <c r="AB353" s="195"/>
      <c r="AC353" s="8"/>
      <c r="AD353" s="70"/>
      <c r="AE353" s="70"/>
      <c r="AF353" s="70"/>
      <c r="AG353" s="201"/>
      <c r="AH353" s="202"/>
      <c r="AI353" s="201"/>
      <c r="AJ353" s="201"/>
      <c r="AK353" s="70"/>
      <c r="AL353" s="70"/>
      <c r="AM353" s="70"/>
      <c r="AN353" s="70"/>
      <c r="AO353" s="70"/>
      <c r="AP353" s="70"/>
      <c r="AQ353" s="70"/>
      <c r="AR353" s="70"/>
      <c r="AS353" s="70"/>
      <c r="AT353" s="70"/>
      <c r="AU353" s="70"/>
      <c r="AV353" s="70"/>
      <c r="AW353" s="70"/>
      <c r="AX353" s="70"/>
    </row>
    <row r="354">
      <c r="A354" s="8"/>
      <c r="B354" s="70"/>
      <c r="C354" s="70"/>
      <c r="D354" s="70"/>
      <c r="E354" s="8"/>
      <c r="F354" s="70"/>
      <c r="G354" s="70"/>
      <c r="H354" s="70"/>
      <c r="I354" s="8"/>
      <c r="J354" s="70"/>
      <c r="K354" s="70"/>
      <c r="L354" s="70"/>
      <c r="M354" s="8"/>
      <c r="N354" s="70"/>
      <c r="O354" s="70"/>
      <c r="P354" s="70"/>
      <c r="Q354" s="8"/>
      <c r="R354" s="70"/>
      <c r="S354" s="70"/>
      <c r="T354" s="70"/>
      <c r="U354" s="8"/>
      <c r="V354" s="70"/>
      <c r="W354" s="70"/>
      <c r="X354" s="70"/>
      <c r="Y354" s="200"/>
      <c r="Z354" s="195"/>
      <c r="AA354" s="195"/>
      <c r="AB354" s="195"/>
      <c r="AC354" s="8"/>
      <c r="AD354" s="70"/>
      <c r="AE354" s="70"/>
      <c r="AF354" s="70"/>
      <c r="AG354" s="201"/>
      <c r="AH354" s="202"/>
      <c r="AI354" s="201"/>
      <c r="AJ354" s="201"/>
      <c r="AK354" s="70"/>
      <c r="AL354" s="70"/>
      <c r="AM354" s="70"/>
      <c r="AN354" s="70"/>
      <c r="AO354" s="70"/>
      <c r="AP354" s="70"/>
      <c r="AQ354" s="70"/>
      <c r="AR354" s="70"/>
      <c r="AS354" s="70"/>
      <c r="AT354" s="70"/>
      <c r="AU354" s="70"/>
      <c r="AV354" s="70"/>
      <c r="AW354" s="70"/>
      <c r="AX354" s="70"/>
    </row>
    <row r="355">
      <c r="A355" s="8"/>
      <c r="B355" s="70"/>
      <c r="C355" s="70"/>
      <c r="D355" s="70"/>
      <c r="E355" s="8"/>
      <c r="F355" s="70"/>
      <c r="G355" s="70"/>
      <c r="H355" s="70"/>
      <c r="I355" s="8"/>
      <c r="J355" s="70"/>
      <c r="K355" s="70"/>
      <c r="L355" s="70"/>
      <c r="M355" s="8"/>
      <c r="N355" s="70"/>
      <c r="O355" s="70"/>
      <c r="P355" s="70"/>
      <c r="Q355" s="8"/>
      <c r="R355" s="70"/>
      <c r="S355" s="70"/>
      <c r="T355" s="70"/>
      <c r="U355" s="8"/>
      <c r="V355" s="70"/>
      <c r="W355" s="70"/>
      <c r="X355" s="70"/>
      <c r="Y355" s="200"/>
      <c r="Z355" s="195"/>
      <c r="AA355" s="195"/>
      <c r="AB355" s="195"/>
      <c r="AC355" s="8"/>
      <c r="AD355" s="70"/>
      <c r="AE355" s="70"/>
      <c r="AF355" s="70"/>
      <c r="AG355" s="201"/>
      <c r="AH355" s="202"/>
      <c r="AI355" s="201"/>
      <c r="AJ355" s="201"/>
      <c r="AK355" s="70"/>
      <c r="AL355" s="70"/>
      <c r="AM355" s="70"/>
      <c r="AN355" s="70"/>
      <c r="AO355" s="70"/>
      <c r="AP355" s="70"/>
      <c r="AQ355" s="70"/>
      <c r="AR355" s="70"/>
      <c r="AS355" s="70"/>
      <c r="AT355" s="70"/>
      <c r="AU355" s="70"/>
      <c r="AV355" s="70"/>
      <c r="AW355" s="70"/>
      <c r="AX355" s="70"/>
    </row>
    <row r="356">
      <c r="A356" s="8"/>
      <c r="B356" s="70"/>
      <c r="C356" s="70"/>
      <c r="D356" s="70"/>
      <c r="E356" s="8"/>
      <c r="F356" s="70"/>
      <c r="G356" s="70"/>
      <c r="H356" s="70"/>
      <c r="I356" s="8"/>
      <c r="J356" s="70"/>
      <c r="K356" s="70"/>
      <c r="L356" s="70"/>
      <c r="M356" s="8"/>
      <c r="N356" s="70"/>
      <c r="O356" s="70"/>
      <c r="P356" s="70"/>
      <c r="Q356" s="8"/>
      <c r="R356" s="70"/>
      <c r="S356" s="70"/>
      <c r="T356" s="70"/>
      <c r="U356" s="8"/>
      <c r="V356" s="70"/>
      <c r="W356" s="70"/>
      <c r="X356" s="70"/>
      <c r="Y356" s="200"/>
      <c r="Z356" s="195"/>
      <c r="AA356" s="195"/>
      <c r="AB356" s="195"/>
      <c r="AC356" s="8"/>
      <c r="AD356" s="70"/>
      <c r="AE356" s="70"/>
      <c r="AF356" s="70"/>
      <c r="AG356" s="201"/>
      <c r="AH356" s="202"/>
      <c r="AI356" s="201"/>
      <c r="AJ356" s="201"/>
      <c r="AK356" s="70"/>
      <c r="AL356" s="70"/>
      <c r="AM356" s="70"/>
      <c r="AN356" s="70"/>
      <c r="AO356" s="70"/>
      <c r="AP356" s="70"/>
      <c r="AQ356" s="70"/>
      <c r="AR356" s="70"/>
      <c r="AS356" s="70"/>
      <c r="AT356" s="70"/>
      <c r="AU356" s="70"/>
      <c r="AV356" s="70"/>
      <c r="AW356" s="70"/>
      <c r="AX356" s="70"/>
    </row>
    <row r="357">
      <c r="A357" s="8"/>
      <c r="B357" s="70"/>
      <c r="C357" s="70"/>
      <c r="D357" s="70"/>
      <c r="E357" s="8"/>
      <c r="F357" s="70"/>
      <c r="G357" s="70"/>
      <c r="H357" s="70"/>
      <c r="I357" s="8"/>
      <c r="J357" s="70"/>
      <c r="K357" s="70"/>
      <c r="L357" s="70"/>
      <c r="M357" s="8"/>
      <c r="N357" s="70"/>
      <c r="O357" s="70"/>
      <c r="P357" s="70"/>
      <c r="Q357" s="8"/>
      <c r="R357" s="70"/>
      <c r="S357" s="70"/>
      <c r="T357" s="70"/>
      <c r="U357" s="8"/>
      <c r="V357" s="70"/>
      <c r="W357" s="70"/>
      <c r="X357" s="70"/>
      <c r="Y357" s="200"/>
      <c r="Z357" s="195"/>
      <c r="AA357" s="195"/>
      <c r="AB357" s="195"/>
      <c r="AC357" s="8"/>
      <c r="AD357" s="70"/>
      <c r="AE357" s="70"/>
      <c r="AF357" s="70"/>
      <c r="AG357" s="201"/>
      <c r="AH357" s="202"/>
      <c r="AI357" s="201"/>
      <c r="AJ357" s="201"/>
      <c r="AK357" s="70"/>
      <c r="AL357" s="70"/>
      <c r="AM357" s="70"/>
      <c r="AN357" s="70"/>
      <c r="AO357" s="70"/>
      <c r="AP357" s="70"/>
      <c r="AQ357" s="70"/>
      <c r="AR357" s="70"/>
      <c r="AS357" s="70"/>
      <c r="AT357" s="70"/>
      <c r="AU357" s="70"/>
      <c r="AV357" s="70"/>
      <c r="AW357" s="70"/>
      <c r="AX357" s="70"/>
    </row>
    <row r="358">
      <c r="A358" s="8"/>
      <c r="B358" s="70"/>
      <c r="C358" s="70"/>
      <c r="D358" s="70"/>
      <c r="E358" s="8"/>
      <c r="F358" s="70"/>
      <c r="G358" s="70"/>
      <c r="H358" s="70"/>
      <c r="I358" s="8"/>
      <c r="J358" s="70"/>
      <c r="K358" s="70"/>
      <c r="L358" s="70"/>
      <c r="M358" s="8"/>
      <c r="N358" s="70"/>
      <c r="O358" s="70"/>
      <c r="P358" s="70"/>
      <c r="Q358" s="8"/>
      <c r="R358" s="70"/>
      <c r="S358" s="70"/>
      <c r="T358" s="70"/>
      <c r="U358" s="8"/>
      <c r="V358" s="70"/>
      <c r="W358" s="70"/>
      <c r="X358" s="70"/>
      <c r="Y358" s="200"/>
      <c r="Z358" s="195"/>
      <c r="AA358" s="195"/>
      <c r="AB358" s="195"/>
      <c r="AC358" s="8"/>
      <c r="AD358" s="70"/>
      <c r="AE358" s="70"/>
      <c r="AF358" s="70"/>
      <c r="AG358" s="201"/>
      <c r="AH358" s="202"/>
      <c r="AI358" s="201"/>
      <c r="AJ358" s="201"/>
      <c r="AK358" s="70"/>
      <c r="AL358" s="70"/>
      <c r="AM358" s="70"/>
      <c r="AN358" s="70"/>
      <c r="AO358" s="70"/>
      <c r="AP358" s="70"/>
      <c r="AQ358" s="70"/>
      <c r="AR358" s="70"/>
      <c r="AS358" s="70"/>
      <c r="AT358" s="70"/>
      <c r="AU358" s="70"/>
      <c r="AV358" s="70"/>
      <c r="AW358" s="70"/>
      <c r="AX358" s="70"/>
    </row>
    <row r="359">
      <c r="A359" s="8"/>
      <c r="B359" s="70"/>
      <c r="C359" s="70"/>
      <c r="D359" s="70"/>
      <c r="E359" s="8"/>
      <c r="F359" s="70"/>
      <c r="G359" s="70"/>
      <c r="H359" s="70"/>
      <c r="I359" s="8"/>
      <c r="J359" s="70"/>
      <c r="K359" s="70"/>
      <c r="L359" s="70"/>
      <c r="M359" s="8"/>
      <c r="N359" s="70"/>
      <c r="O359" s="70"/>
      <c r="P359" s="70"/>
      <c r="Q359" s="8"/>
      <c r="R359" s="70"/>
      <c r="S359" s="70"/>
      <c r="T359" s="70"/>
      <c r="U359" s="8"/>
      <c r="V359" s="70"/>
      <c r="W359" s="70"/>
      <c r="X359" s="70"/>
      <c r="Y359" s="200"/>
      <c r="Z359" s="195"/>
      <c r="AA359" s="195"/>
      <c r="AB359" s="195"/>
      <c r="AC359" s="8"/>
      <c r="AD359" s="70"/>
      <c r="AE359" s="70"/>
      <c r="AF359" s="70"/>
      <c r="AG359" s="201"/>
      <c r="AH359" s="202"/>
      <c r="AI359" s="201"/>
      <c r="AJ359" s="201"/>
      <c r="AK359" s="70"/>
      <c r="AL359" s="70"/>
      <c r="AM359" s="70"/>
      <c r="AN359" s="70"/>
      <c r="AO359" s="70"/>
      <c r="AP359" s="70"/>
      <c r="AQ359" s="70"/>
      <c r="AR359" s="70"/>
      <c r="AS359" s="70"/>
      <c r="AT359" s="70"/>
      <c r="AU359" s="70"/>
      <c r="AV359" s="70"/>
      <c r="AW359" s="70"/>
      <c r="AX359" s="70"/>
    </row>
    <row r="360">
      <c r="A360" s="8"/>
      <c r="B360" s="70"/>
      <c r="C360" s="70"/>
      <c r="D360" s="70"/>
      <c r="E360" s="8"/>
      <c r="F360" s="70"/>
      <c r="G360" s="70"/>
      <c r="H360" s="70"/>
      <c r="I360" s="8"/>
      <c r="J360" s="70"/>
      <c r="K360" s="70"/>
      <c r="L360" s="70"/>
      <c r="M360" s="8"/>
      <c r="N360" s="70"/>
      <c r="O360" s="70"/>
      <c r="P360" s="70"/>
      <c r="Q360" s="8"/>
      <c r="R360" s="70"/>
      <c r="S360" s="70"/>
      <c r="T360" s="70"/>
      <c r="U360" s="8"/>
      <c r="V360" s="70"/>
      <c r="W360" s="70"/>
      <c r="X360" s="70"/>
      <c r="Y360" s="200"/>
      <c r="Z360" s="195"/>
      <c r="AA360" s="195"/>
      <c r="AB360" s="195"/>
      <c r="AC360" s="8"/>
      <c r="AD360" s="70"/>
      <c r="AE360" s="70"/>
      <c r="AF360" s="70"/>
      <c r="AG360" s="201"/>
      <c r="AH360" s="202"/>
      <c r="AI360" s="201"/>
      <c r="AJ360" s="201"/>
      <c r="AK360" s="70"/>
      <c r="AL360" s="70"/>
      <c r="AM360" s="70"/>
      <c r="AN360" s="70"/>
      <c r="AO360" s="70"/>
      <c r="AP360" s="70"/>
      <c r="AQ360" s="70"/>
      <c r="AR360" s="70"/>
      <c r="AS360" s="70"/>
      <c r="AT360" s="70"/>
      <c r="AU360" s="70"/>
      <c r="AV360" s="70"/>
      <c r="AW360" s="70"/>
      <c r="AX360" s="70"/>
    </row>
    <row r="361">
      <c r="A361" s="8"/>
      <c r="B361" s="70"/>
      <c r="C361" s="70"/>
      <c r="D361" s="70"/>
      <c r="E361" s="8"/>
      <c r="F361" s="70"/>
      <c r="G361" s="70"/>
      <c r="H361" s="70"/>
      <c r="I361" s="8"/>
      <c r="J361" s="70"/>
      <c r="K361" s="70"/>
      <c r="L361" s="70"/>
      <c r="M361" s="8"/>
      <c r="N361" s="70"/>
      <c r="O361" s="70"/>
      <c r="P361" s="70"/>
      <c r="Q361" s="8"/>
      <c r="R361" s="70"/>
      <c r="S361" s="70"/>
      <c r="T361" s="70"/>
      <c r="U361" s="8"/>
      <c r="V361" s="70"/>
      <c r="W361" s="70"/>
      <c r="X361" s="70"/>
      <c r="Y361" s="200"/>
      <c r="Z361" s="195"/>
      <c r="AA361" s="195"/>
      <c r="AB361" s="195"/>
      <c r="AC361" s="8"/>
      <c r="AD361" s="70"/>
      <c r="AE361" s="70"/>
      <c r="AF361" s="70"/>
      <c r="AG361" s="201"/>
      <c r="AH361" s="202"/>
      <c r="AI361" s="201"/>
      <c r="AJ361" s="201"/>
      <c r="AK361" s="70"/>
      <c r="AL361" s="70"/>
      <c r="AM361" s="70"/>
      <c r="AN361" s="70"/>
      <c r="AO361" s="70"/>
      <c r="AP361" s="70"/>
      <c r="AQ361" s="70"/>
      <c r="AR361" s="70"/>
      <c r="AS361" s="70"/>
      <c r="AT361" s="70"/>
      <c r="AU361" s="70"/>
      <c r="AV361" s="70"/>
      <c r="AW361" s="70"/>
      <c r="AX361" s="70"/>
    </row>
    <row r="362">
      <c r="A362" s="8"/>
      <c r="B362" s="70"/>
      <c r="C362" s="70"/>
      <c r="D362" s="70"/>
      <c r="E362" s="8"/>
      <c r="F362" s="70"/>
      <c r="G362" s="70"/>
      <c r="H362" s="70"/>
      <c r="I362" s="8"/>
      <c r="J362" s="70"/>
      <c r="K362" s="70"/>
      <c r="L362" s="70"/>
      <c r="M362" s="8"/>
      <c r="N362" s="70"/>
      <c r="O362" s="70"/>
      <c r="P362" s="70"/>
      <c r="Q362" s="8"/>
      <c r="R362" s="70"/>
      <c r="S362" s="70"/>
      <c r="T362" s="70"/>
      <c r="U362" s="8"/>
      <c r="V362" s="70"/>
      <c r="W362" s="70"/>
      <c r="X362" s="70"/>
      <c r="Y362" s="200"/>
      <c r="Z362" s="195"/>
      <c r="AA362" s="195"/>
      <c r="AB362" s="195"/>
      <c r="AC362" s="8"/>
      <c r="AD362" s="70"/>
      <c r="AE362" s="70"/>
      <c r="AF362" s="70"/>
      <c r="AG362" s="201"/>
      <c r="AH362" s="202"/>
      <c r="AI362" s="201"/>
      <c r="AJ362" s="201"/>
      <c r="AK362" s="70"/>
      <c r="AL362" s="70"/>
      <c r="AM362" s="70"/>
      <c r="AN362" s="70"/>
      <c r="AO362" s="70"/>
      <c r="AP362" s="70"/>
      <c r="AQ362" s="70"/>
      <c r="AR362" s="70"/>
      <c r="AS362" s="70"/>
      <c r="AT362" s="70"/>
      <c r="AU362" s="70"/>
      <c r="AV362" s="70"/>
      <c r="AW362" s="70"/>
      <c r="AX362" s="70"/>
    </row>
    <row r="363">
      <c r="A363" s="8"/>
      <c r="B363" s="70"/>
      <c r="C363" s="70"/>
      <c r="D363" s="70"/>
      <c r="E363" s="8"/>
      <c r="F363" s="70"/>
      <c r="G363" s="70"/>
      <c r="H363" s="70"/>
      <c r="I363" s="8"/>
      <c r="J363" s="70"/>
      <c r="K363" s="70"/>
      <c r="L363" s="70"/>
      <c r="M363" s="8"/>
      <c r="N363" s="70"/>
      <c r="O363" s="70"/>
      <c r="P363" s="70"/>
      <c r="Q363" s="8"/>
      <c r="R363" s="70"/>
      <c r="S363" s="70"/>
      <c r="T363" s="70"/>
      <c r="U363" s="8"/>
      <c r="V363" s="70"/>
      <c r="W363" s="70"/>
      <c r="X363" s="70"/>
      <c r="Y363" s="200"/>
      <c r="Z363" s="195"/>
      <c r="AA363" s="195"/>
      <c r="AB363" s="195"/>
      <c r="AC363" s="8"/>
      <c r="AD363" s="70"/>
      <c r="AE363" s="70"/>
      <c r="AF363" s="70"/>
      <c r="AG363" s="201"/>
      <c r="AH363" s="202"/>
      <c r="AI363" s="201"/>
      <c r="AJ363" s="201"/>
      <c r="AK363" s="70"/>
      <c r="AL363" s="70"/>
      <c r="AM363" s="70"/>
      <c r="AN363" s="70"/>
      <c r="AO363" s="70"/>
      <c r="AP363" s="70"/>
      <c r="AQ363" s="70"/>
      <c r="AR363" s="70"/>
      <c r="AS363" s="70"/>
      <c r="AT363" s="70"/>
      <c r="AU363" s="70"/>
      <c r="AV363" s="70"/>
      <c r="AW363" s="70"/>
      <c r="AX363" s="70"/>
    </row>
    <row r="364">
      <c r="A364" s="8"/>
      <c r="B364" s="70"/>
      <c r="C364" s="70"/>
      <c r="D364" s="70"/>
      <c r="E364" s="8"/>
      <c r="F364" s="70"/>
      <c r="G364" s="70"/>
      <c r="H364" s="70"/>
      <c r="I364" s="8"/>
      <c r="J364" s="70"/>
      <c r="K364" s="70"/>
      <c r="L364" s="70"/>
      <c r="M364" s="8"/>
      <c r="N364" s="70"/>
      <c r="O364" s="70"/>
      <c r="P364" s="70"/>
      <c r="Q364" s="8"/>
      <c r="R364" s="70"/>
      <c r="S364" s="70"/>
      <c r="T364" s="70"/>
      <c r="U364" s="8"/>
      <c r="V364" s="70"/>
      <c r="W364" s="70"/>
      <c r="X364" s="70"/>
      <c r="Y364" s="200"/>
      <c r="Z364" s="195"/>
      <c r="AA364" s="195"/>
      <c r="AB364" s="195"/>
      <c r="AC364" s="8"/>
      <c r="AD364" s="70"/>
      <c r="AE364" s="70"/>
      <c r="AF364" s="70"/>
      <c r="AG364" s="201"/>
      <c r="AH364" s="202"/>
      <c r="AI364" s="201"/>
      <c r="AJ364" s="201"/>
      <c r="AK364" s="70"/>
      <c r="AL364" s="70"/>
      <c r="AM364" s="70"/>
      <c r="AN364" s="70"/>
      <c r="AO364" s="70"/>
      <c r="AP364" s="70"/>
      <c r="AQ364" s="70"/>
      <c r="AR364" s="70"/>
      <c r="AS364" s="70"/>
      <c r="AT364" s="70"/>
      <c r="AU364" s="70"/>
      <c r="AV364" s="70"/>
      <c r="AW364" s="70"/>
      <c r="AX364" s="70"/>
    </row>
    <row r="365">
      <c r="A365" s="8"/>
      <c r="B365" s="70"/>
      <c r="C365" s="70"/>
      <c r="D365" s="70"/>
      <c r="E365" s="8"/>
      <c r="F365" s="70"/>
      <c r="G365" s="70"/>
      <c r="H365" s="70"/>
      <c r="I365" s="8"/>
      <c r="J365" s="70"/>
      <c r="K365" s="70"/>
      <c r="L365" s="70"/>
      <c r="M365" s="8"/>
      <c r="N365" s="70"/>
      <c r="O365" s="70"/>
      <c r="P365" s="70"/>
      <c r="Q365" s="8"/>
      <c r="R365" s="70"/>
      <c r="S365" s="70"/>
      <c r="T365" s="70"/>
      <c r="U365" s="8"/>
      <c r="V365" s="70"/>
      <c r="W365" s="70"/>
      <c r="X365" s="70"/>
      <c r="Y365" s="200"/>
      <c r="Z365" s="195"/>
      <c r="AA365" s="195"/>
      <c r="AB365" s="195"/>
      <c r="AC365" s="8"/>
      <c r="AD365" s="70"/>
      <c r="AE365" s="70"/>
      <c r="AF365" s="70"/>
      <c r="AG365" s="201"/>
      <c r="AH365" s="202"/>
      <c r="AI365" s="201"/>
      <c r="AJ365" s="201"/>
      <c r="AK365" s="70"/>
      <c r="AL365" s="70"/>
      <c r="AM365" s="70"/>
      <c r="AN365" s="70"/>
      <c r="AO365" s="70"/>
      <c r="AP365" s="70"/>
      <c r="AQ365" s="70"/>
      <c r="AR365" s="70"/>
      <c r="AS365" s="70"/>
      <c r="AT365" s="70"/>
      <c r="AU365" s="70"/>
      <c r="AV365" s="70"/>
      <c r="AW365" s="70"/>
      <c r="AX365" s="70"/>
    </row>
    <row r="366">
      <c r="A366" s="8"/>
      <c r="B366" s="70"/>
      <c r="C366" s="70"/>
      <c r="D366" s="70"/>
      <c r="E366" s="8"/>
      <c r="F366" s="70"/>
      <c r="G366" s="70"/>
      <c r="H366" s="70"/>
      <c r="I366" s="8"/>
      <c r="J366" s="70"/>
      <c r="K366" s="70"/>
      <c r="L366" s="70"/>
      <c r="M366" s="8"/>
      <c r="N366" s="70"/>
      <c r="O366" s="70"/>
      <c r="P366" s="70"/>
      <c r="Q366" s="8"/>
      <c r="R366" s="70"/>
      <c r="S366" s="70"/>
      <c r="T366" s="70"/>
      <c r="U366" s="8"/>
      <c r="V366" s="70"/>
      <c r="W366" s="70"/>
      <c r="X366" s="70"/>
      <c r="Y366" s="200"/>
      <c r="Z366" s="195"/>
      <c r="AA366" s="195"/>
      <c r="AB366" s="195"/>
      <c r="AC366" s="8"/>
      <c r="AD366" s="70"/>
      <c r="AE366" s="70"/>
      <c r="AF366" s="70"/>
      <c r="AG366" s="201"/>
      <c r="AH366" s="202"/>
      <c r="AI366" s="201"/>
      <c r="AJ366" s="201"/>
      <c r="AK366" s="70"/>
      <c r="AL366" s="70"/>
      <c r="AM366" s="70"/>
      <c r="AN366" s="70"/>
      <c r="AO366" s="70"/>
      <c r="AP366" s="70"/>
      <c r="AQ366" s="70"/>
      <c r="AR366" s="70"/>
      <c r="AS366" s="70"/>
      <c r="AT366" s="70"/>
      <c r="AU366" s="70"/>
      <c r="AV366" s="70"/>
      <c r="AW366" s="70"/>
      <c r="AX366" s="70"/>
    </row>
    <row r="367">
      <c r="A367" s="8"/>
      <c r="B367" s="70"/>
      <c r="C367" s="70"/>
      <c r="D367" s="70"/>
      <c r="E367" s="8"/>
      <c r="F367" s="70"/>
      <c r="G367" s="70"/>
      <c r="H367" s="70"/>
      <c r="I367" s="8"/>
      <c r="J367" s="70"/>
      <c r="K367" s="70"/>
      <c r="L367" s="70"/>
      <c r="M367" s="8"/>
      <c r="N367" s="70"/>
      <c r="O367" s="70"/>
      <c r="P367" s="70"/>
      <c r="Q367" s="8"/>
      <c r="R367" s="70"/>
      <c r="S367" s="70"/>
      <c r="T367" s="70"/>
      <c r="U367" s="8"/>
      <c r="V367" s="70"/>
      <c r="W367" s="70"/>
      <c r="X367" s="70"/>
      <c r="Y367" s="200"/>
      <c r="Z367" s="195"/>
      <c r="AA367" s="195"/>
      <c r="AB367" s="195"/>
      <c r="AC367" s="8"/>
      <c r="AD367" s="70"/>
      <c r="AE367" s="70"/>
      <c r="AF367" s="70"/>
      <c r="AG367" s="201"/>
      <c r="AH367" s="202"/>
      <c r="AI367" s="201"/>
      <c r="AJ367" s="201"/>
      <c r="AK367" s="70"/>
      <c r="AL367" s="70"/>
      <c r="AM367" s="70"/>
      <c r="AN367" s="70"/>
      <c r="AO367" s="70"/>
      <c r="AP367" s="70"/>
      <c r="AQ367" s="70"/>
      <c r="AR367" s="70"/>
      <c r="AS367" s="70"/>
      <c r="AT367" s="70"/>
      <c r="AU367" s="70"/>
      <c r="AV367" s="70"/>
      <c r="AW367" s="70"/>
      <c r="AX367" s="70"/>
    </row>
    <row r="368">
      <c r="A368" s="8"/>
      <c r="B368" s="70"/>
      <c r="C368" s="70"/>
      <c r="D368" s="70"/>
      <c r="E368" s="8"/>
      <c r="F368" s="70"/>
      <c r="G368" s="70"/>
      <c r="H368" s="70"/>
      <c r="I368" s="8"/>
      <c r="J368" s="70"/>
      <c r="K368" s="70"/>
      <c r="L368" s="70"/>
      <c r="M368" s="8"/>
      <c r="N368" s="70"/>
      <c r="O368" s="70"/>
      <c r="P368" s="70"/>
      <c r="Q368" s="8"/>
      <c r="R368" s="70"/>
      <c r="S368" s="70"/>
      <c r="T368" s="70"/>
      <c r="U368" s="8"/>
      <c r="V368" s="70"/>
      <c r="W368" s="70"/>
      <c r="X368" s="70"/>
      <c r="Y368" s="200"/>
      <c r="Z368" s="195"/>
      <c r="AA368" s="195"/>
      <c r="AB368" s="195"/>
      <c r="AC368" s="8"/>
      <c r="AD368" s="70"/>
      <c r="AE368" s="70"/>
      <c r="AF368" s="70"/>
      <c r="AG368" s="201"/>
      <c r="AH368" s="202"/>
      <c r="AI368" s="201"/>
      <c r="AJ368" s="201"/>
      <c r="AK368" s="70"/>
      <c r="AL368" s="70"/>
      <c r="AM368" s="70"/>
      <c r="AN368" s="70"/>
      <c r="AO368" s="70"/>
      <c r="AP368" s="70"/>
      <c r="AQ368" s="70"/>
      <c r="AR368" s="70"/>
      <c r="AS368" s="70"/>
      <c r="AT368" s="70"/>
      <c r="AU368" s="70"/>
      <c r="AV368" s="70"/>
      <c r="AW368" s="70"/>
      <c r="AX368" s="70"/>
    </row>
    <row r="369">
      <c r="A369" s="8"/>
      <c r="B369" s="70"/>
      <c r="C369" s="70"/>
      <c r="D369" s="70"/>
      <c r="E369" s="8"/>
      <c r="F369" s="70"/>
      <c r="G369" s="70"/>
      <c r="H369" s="70"/>
      <c r="I369" s="8"/>
      <c r="J369" s="70"/>
      <c r="K369" s="70"/>
      <c r="L369" s="70"/>
      <c r="M369" s="8"/>
      <c r="N369" s="70"/>
      <c r="O369" s="70"/>
      <c r="P369" s="70"/>
      <c r="Q369" s="8"/>
      <c r="R369" s="70"/>
      <c r="S369" s="70"/>
      <c r="T369" s="70"/>
      <c r="U369" s="8"/>
      <c r="V369" s="70"/>
      <c r="W369" s="70"/>
      <c r="X369" s="70"/>
      <c r="Y369" s="200"/>
      <c r="Z369" s="195"/>
      <c r="AA369" s="195"/>
      <c r="AB369" s="195"/>
      <c r="AC369" s="8"/>
      <c r="AD369" s="70"/>
      <c r="AE369" s="70"/>
      <c r="AF369" s="70"/>
      <c r="AG369" s="201"/>
      <c r="AH369" s="202"/>
      <c r="AI369" s="201"/>
      <c r="AJ369" s="201"/>
      <c r="AK369" s="70"/>
      <c r="AL369" s="70"/>
      <c r="AM369" s="70"/>
      <c r="AN369" s="70"/>
      <c r="AO369" s="70"/>
      <c r="AP369" s="70"/>
      <c r="AQ369" s="70"/>
      <c r="AR369" s="70"/>
      <c r="AS369" s="70"/>
      <c r="AT369" s="70"/>
      <c r="AU369" s="70"/>
      <c r="AV369" s="70"/>
      <c r="AW369" s="70"/>
      <c r="AX369" s="70"/>
    </row>
    <row r="370">
      <c r="A370" s="8"/>
      <c r="B370" s="70"/>
      <c r="C370" s="70"/>
      <c r="D370" s="70"/>
      <c r="E370" s="8"/>
      <c r="F370" s="70"/>
      <c r="G370" s="70"/>
      <c r="H370" s="70"/>
      <c r="I370" s="8"/>
      <c r="J370" s="70"/>
      <c r="K370" s="70"/>
      <c r="L370" s="70"/>
      <c r="M370" s="8"/>
      <c r="N370" s="70"/>
      <c r="O370" s="70"/>
      <c r="P370" s="70"/>
      <c r="Q370" s="8"/>
      <c r="R370" s="70"/>
      <c r="S370" s="70"/>
      <c r="T370" s="70"/>
      <c r="U370" s="8"/>
      <c r="V370" s="70"/>
      <c r="W370" s="70"/>
      <c r="X370" s="70"/>
      <c r="Y370" s="200"/>
      <c r="Z370" s="195"/>
      <c r="AA370" s="195"/>
      <c r="AB370" s="195"/>
      <c r="AC370" s="8"/>
      <c r="AD370" s="70"/>
      <c r="AE370" s="70"/>
      <c r="AF370" s="70"/>
      <c r="AG370" s="201"/>
      <c r="AH370" s="202"/>
      <c r="AI370" s="201"/>
      <c r="AJ370" s="201"/>
      <c r="AK370" s="70"/>
      <c r="AL370" s="70"/>
      <c r="AM370" s="70"/>
      <c r="AN370" s="70"/>
      <c r="AO370" s="70"/>
      <c r="AP370" s="70"/>
      <c r="AQ370" s="70"/>
      <c r="AR370" s="70"/>
      <c r="AS370" s="70"/>
      <c r="AT370" s="70"/>
      <c r="AU370" s="70"/>
      <c r="AV370" s="70"/>
      <c r="AW370" s="70"/>
      <c r="AX370" s="70"/>
    </row>
    <row r="371">
      <c r="A371" s="8"/>
      <c r="B371" s="70"/>
      <c r="C371" s="70"/>
      <c r="D371" s="70"/>
      <c r="E371" s="8"/>
      <c r="F371" s="70"/>
      <c r="G371" s="70"/>
      <c r="H371" s="70"/>
      <c r="I371" s="8"/>
      <c r="J371" s="70"/>
      <c r="K371" s="70"/>
      <c r="L371" s="70"/>
      <c r="M371" s="8"/>
      <c r="N371" s="70"/>
      <c r="O371" s="70"/>
      <c r="P371" s="70"/>
      <c r="Q371" s="8"/>
      <c r="R371" s="70"/>
      <c r="S371" s="70"/>
      <c r="T371" s="70"/>
      <c r="U371" s="8"/>
      <c r="V371" s="70"/>
      <c r="W371" s="70"/>
      <c r="X371" s="70"/>
      <c r="Y371" s="200"/>
      <c r="Z371" s="195"/>
      <c r="AA371" s="195"/>
      <c r="AB371" s="195"/>
      <c r="AC371" s="8"/>
      <c r="AD371" s="70"/>
      <c r="AE371" s="70"/>
      <c r="AF371" s="70"/>
      <c r="AG371" s="201"/>
      <c r="AH371" s="202"/>
      <c r="AI371" s="201"/>
      <c r="AJ371" s="201"/>
      <c r="AK371" s="70"/>
      <c r="AL371" s="70"/>
      <c r="AM371" s="70"/>
      <c r="AN371" s="70"/>
      <c r="AO371" s="70"/>
      <c r="AP371" s="70"/>
      <c r="AQ371" s="70"/>
      <c r="AR371" s="70"/>
      <c r="AS371" s="70"/>
      <c r="AT371" s="70"/>
      <c r="AU371" s="70"/>
      <c r="AV371" s="70"/>
      <c r="AW371" s="70"/>
      <c r="AX371" s="70"/>
    </row>
    <row r="372">
      <c r="A372" s="8"/>
      <c r="B372" s="70"/>
      <c r="C372" s="70"/>
      <c r="D372" s="70"/>
      <c r="E372" s="8"/>
      <c r="F372" s="70"/>
      <c r="G372" s="70"/>
      <c r="H372" s="70"/>
      <c r="I372" s="8"/>
      <c r="J372" s="70"/>
      <c r="K372" s="70"/>
      <c r="L372" s="70"/>
      <c r="M372" s="8"/>
      <c r="N372" s="70"/>
      <c r="O372" s="70"/>
      <c r="P372" s="70"/>
      <c r="Q372" s="8"/>
      <c r="R372" s="70"/>
      <c r="S372" s="70"/>
      <c r="T372" s="70"/>
      <c r="U372" s="8"/>
      <c r="V372" s="70"/>
      <c r="W372" s="70"/>
      <c r="X372" s="70"/>
      <c r="Y372" s="200"/>
      <c r="Z372" s="195"/>
      <c r="AA372" s="195"/>
      <c r="AB372" s="195"/>
      <c r="AC372" s="8"/>
      <c r="AD372" s="70"/>
      <c r="AE372" s="70"/>
      <c r="AF372" s="70"/>
      <c r="AG372" s="201"/>
      <c r="AH372" s="202"/>
      <c r="AI372" s="201"/>
      <c r="AJ372" s="201"/>
      <c r="AK372" s="70"/>
      <c r="AL372" s="70"/>
      <c r="AM372" s="70"/>
      <c r="AN372" s="70"/>
      <c r="AO372" s="70"/>
      <c r="AP372" s="70"/>
      <c r="AQ372" s="70"/>
      <c r="AR372" s="70"/>
      <c r="AS372" s="70"/>
      <c r="AT372" s="70"/>
      <c r="AU372" s="70"/>
      <c r="AV372" s="70"/>
      <c r="AW372" s="70"/>
      <c r="AX372" s="70"/>
    </row>
    <row r="373">
      <c r="A373" s="8"/>
      <c r="B373" s="70"/>
      <c r="C373" s="70"/>
      <c r="D373" s="70"/>
      <c r="E373" s="8"/>
      <c r="F373" s="70"/>
      <c r="G373" s="70"/>
      <c r="H373" s="70"/>
      <c r="I373" s="8"/>
      <c r="J373" s="70"/>
      <c r="K373" s="70"/>
      <c r="L373" s="70"/>
      <c r="M373" s="8"/>
      <c r="N373" s="70"/>
      <c r="O373" s="70"/>
      <c r="P373" s="70"/>
      <c r="Q373" s="8"/>
      <c r="R373" s="70"/>
      <c r="S373" s="70"/>
      <c r="T373" s="70"/>
      <c r="U373" s="8"/>
      <c r="V373" s="70"/>
      <c r="W373" s="70"/>
      <c r="X373" s="70"/>
      <c r="Y373" s="200"/>
      <c r="Z373" s="195"/>
      <c r="AA373" s="195"/>
      <c r="AB373" s="195"/>
      <c r="AC373" s="8"/>
      <c r="AD373" s="70"/>
      <c r="AE373" s="70"/>
      <c r="AF373" s="70"/>
      <c r="AG373" s="201"/>
      <c r="AH373" s="202"/>
      <c r="AI373" s="201"/>
      <c r="AJ373" s="201"/>
      <c r="AK373" s="70"/>
      <c r="AL373" s="70"/>
      <c r="AM373" s="70"/>
      <c r="AN373" s="70"/>
      <c r="AO373" s="70"/>
      <c r="AP373" s="70"/>
      <c r="AQ373" s="70"/>
      <c r="AR373" s="70"/>
      <c r="AS373" s="70"/>
      <c r="AT373" s="70"/>
      <c r="AU373" s="70"/>
      <c r="AV373" s="70"/>
      <c r="AW373" s="70"/>
      <c r="AX373" s="70"/>
    </row>
    <row r="374">
      <c r="A374" s="8"/>
      <c r="B374" s="70"/>
      <c r="C374" s="70"/>
      <c r="D374" s="70"/>
      <c r="E374" s="8"/>
      <c r="F374" s="70"/>
      <c r="G374" s="70"/>
      <c r="H374" s="70"/>
      <c r="I374" s="8"/>
      <c r="J374" s="70"/>
      <c r="K374" s="70"/>
      <c r="L374" s="70"/>
      <c r="M374" s="8"/>
      <c r="N374" s="70"/>
      <c r="O374" s="70"/>
      <c r="P374" s="70"/>
      <c r="Q374" s="8"/>
      <c r="R374" s="70"/>
      <c r="S374" s="70"/>
      <c r="T374" s="70"/>
      <c r="U374" s="8"/>
      <c r="V374" s="70"/>
      <c r="W374" s="70"/>
      <c r="X374" s="70"/>
      <c r="Y374" s="200"/>
      <c r="Z374" s="195"/>
      <c r="AA374" s="195"/>
      <c r="AB374" s="195"/>
      <c r="AC374" s="8"/>
      <c r="AD374" s="70"/>
      <c r="AE374" s="70"/>
      <c r="AF374" s="70"/>
      <c r="AG374" s="201"/>
      <c r="AH374" s="202"/>
      <c r="AI374" s="201"/>
      <c r="AJ374" s="201"/>
      <c r="AK374" s="70"/>
      <c r="AL374" s="70"/>
      <c r="AM374" s="70"/>
      <c r="AN374" s="70"/>
      <c r="AO374" s="70"/>
      <c r="AP374" s="70"/>
      <c r="AQ374" s="70"/>
      <c r="AR374" s="70"/>
      <c r="AS374" s="70"/>
      <c r="AT374" s="70"/>
      <c r="AU374" s="70"/>
      <c r="AV374" s="70"/>
      <c r="AW374" s="70"/>
      <c r="AX374" s="70"/>
    </row>
    <row r="375">
      <c r="A375" s="8"/>
      <c r="B375" s="70"/>
      <c r="C375" s="70"/>
      <c r="D375" s="70"/>
      <c r="E375" s="8"/>
      <c r="F375" s="70"/>
      <c r="G375" s="70"/>
      <c r="H375" s="70"/>
      <c r="I375" s="8"/>
      <c r="J375" s="70"/>
      <c r="K375" s="70"/>
      <c r="L375" s="70"/>
      <c r="M375" s="8"/>
      <c r="N375" s="70"/>
      <c r="O375" s="70"/>
      <c r="P375" s="70"/>
      <c r="Q375" s="8"/>
      <c r="R375" s="70"/>
      <c r="S375" s="70"/>
      <c r="T375" s="70"/>
      <c r="U375" s="8"/>
      <c r="V375" s="70"/>
      <c r="W375" s="70"/>
      <c r="X375" s="70"/>
      <c r="Y375" s="200"/>
      <c r="Z375" s="195"/>
      <c r="AA375" s="195"/>
      <c r="AB375" s="195"/>
      <c r="AC375" s="8"/>
      <c r="AD375" s="70"/>
      <c r="AE375" s="70"/>
      <c r="AF375" s="70"/>
      <c r="AG375" s="201"/>
      <c r="AH375" s="202"/>
      <c r="AI375" s="201"/>
      <c r="AJ375" s="201"/>
      <c r="AK375" s="70"/>
      <c r="AL375" s="70"/>
      <c r="AM375" s="70"/>
      <c r="AN375" s="70"/>
      <c r="AO375" s="70"/>
      <c r="AP375" s="70"/>
      <c r="AQ375" s="70"/>
      <c r="AR375" s="70"/>
      <c r="AS375" s="70"/>
      <c r="AT375" s="70"/>
      <c r="AU375" s="70"/>
      <c r="AV375" s="70"/>
      <c r="AW375" s="70"/>
      <c r="AX375" s="70"/>
    </row>
    <row r="376">
      <c r="A376" s="8"/>
      <c r="B376" s="70"/>
      <c r="C376" s="70"/>
      <c r="D376" s="70"/>
      <c r="E376" s="8"/>
      <c r="F376" s="70"/>
      <c r="G376" s="70"/>
      <c r="H376" s="70"/>
      <c r="I376" s="8"/>
      <c r="J376" s="70"/>
      <c r="K376" s="70"/>
      <c r="L376" s="70"/>
      <c r="M376" s="8"/>
      <c r="N376" s="70"/>
      <c r="O376" s="70"/>
      <c r="P376" s="70"/>
      <c r="Q376" s="8"/>
      <c r="R376" s="70"/>
      <c r="S376" s="70"/>
      <c r="T376" s="70"/>
      <c r="U376" s="8"/>
      <c r="V376" s="70"/>
      <c r="W376" s="70"/>
      <c r="X376" s="70"/>
      <c r="Y376" s="200"/>
      <c r="Z376" s="195"/>
      <c r="AA376" s="195"/>
      <c r="AB376" s="195"/>
      <c r="AC376" s="8"/>
      <c r="AD376" s="70"/>
      <c r="AE376" s="70"/>
      <c r="AF376" s="70"/>
      <c r="AG376" s="201"/>
      <c r="AH376" s="202"/>
      <c r="AI376" s="201"/>
      <c r="AJ376" s="201"/>
      <c r="AK376" s="70"/>
      <c r="AL376" s="70"/>
      <c r="AM376" s="70"/>
      <c r="AN376" s="70"/>
      <c r="AO376" s="70"/>
      <c r="AP376" s="70"/>
      <c r="AQ376" s="70"/>
      <c r="AR376" s="70"/>
      <c r="AS376" s="70"/>
      <c r="AT376" s="70"/>
      <c r="AU376" s="70"/>
      <c r="AV376" s="70"/>
      <c r="AW376" s="70"/>
      <c r="AX376" s="70"/>
    </row>
    <row r="377">
      <c r="A377" s="8"/>
      <c r="B377" s="70"/>
      <c r="C377" s="70"/>
      <c r="D377" s="70"/>
      <c r="E377" s="8"/>
      <c r="F377" s="70"/>
      <c r="G377" s="70"/>
      <c r="H377" s="70"/>
      <c r="I377" s="8"/>
      <c r="J377" s="70"/>
      <c r="K377" s="70"/>
      <c r="L377" s="70"/>
      <c r="M377" s="8"/>
      <c r="N377" s="70"/>
      <c r="O377" s="70"/>
      <c r="P377" s="70"/>
      <c r="Q377" s="8"/>
      <c r="R377" s="70"/>
      <c r="S377" s="70"/>
      <c r="T377" s="70"/>
      <c r="U377" s="8"/>
      <c r="V377" s="70"/>
      <c r="W377" s="70"/>
      <c r="X377" s="70"/>
      <c r="Y377" s="200"/>
      <c r="Z377" s="195"/>
      <c r="AA377" s="195"/>
      <c r="AB377" s="195"/>
      <c r="AC377" s="8"/>
      <c r="AD377" s="70"/>
      <c r="AE377" s="70"/>
      <c r="AF377" s="70"/>
      <c r="AG377" s="201"/>
      <c r="AH377" s="202"/>
      <c r="AI377" s="201"/>
      <c r="AJ377" s="201"/>
      <c r="AK377" s="70"/>
      <c r="AL377" s="70"/>
      <c r="AM377" s="70"/>
      <c r="AN377" s="70"/>
      <c r="AO377" s="70"/>
      <c r="AP377" s="70"/>
      <c r="AQ377" s="70"/>
      <c r="AR377" s="70"/>
      <c r="AS377" s="70"/>
      <c r="AT377" s="70"/>
      <c r="AU377" s="70"/>
      <c r="AV377" s="70"/>
      <c r="AW377" s="70"/>
      <c r="AX377" s="70"/>
    </row>
    <row r="378">
      <c r="A378" s="8"/>
      <c r="B378" s="70"/>
      <c r="C378" s="70"/>
      <c r="D378" s="70"/>
      <c r="E378" s="8"/>
      <c r="F378" s="70"/>
      <c r="G378" s="70"/>
      <c r="H378" s="70"/>
      <c r="I378" s="8"/>
      <c r="J378" s="70"/>
      <c r="K378" s="70"/>
      <c r="L378" s="70"/>
      <c r="M378" s="8"/>
      <c r="N378" s="70"/>
      <c r="O378" s="70"/>
      <c r="P378" s="70"/>
      <c r="Q378" s="8"/>
      <c r="R378" s="70"/>
      <c r="S378" s="70"/>
      <c r="T378" s="70"/>
      <c r="U378" s="8"/>
      <c r="V378" s="70"/>
      <c r="W378" s="70"/>
      <c r="X378" s="70"/>
      <c r="Y378" s="200"/>
      <c r="Z378" s="195"/>
      <c r="AA378" s="195"/>
      <c r="AB378" s="195"/>
      <c r="AC378" s="8"/>
      <c r="AD378" s="70"/>
      <c r="AE378" s="70"/>
      <c r="AF378" s="70"/>
      <c r="AG378" s="201"/>
      <c r="AH378" s="202"/>
      <c r="AI378" s="201"/>
      <c r="AJ378" s="201"/>
      <c r="AK378" s="70"/>
      <c r="AL378" s="70"/>
      <c r="AM378" s="70"/>
      <c r="AN378" s="70"/>
      <c r="AO378" s="70"/>
      <c r="AP378" s="70"/>
      <c r="AQ378" s="70"/>
      <c r="AR378" s="70"/>
      <c r="AS378" s="70"/>
      <c r="AT378" s="70"/>
      <c r="AU378" s="70"/>
      <c r="AV378" s="70"/>
      <c r="AW378" s="70"/>
      <c r="AX378" s="70"/>
    </row>
    <row r="379">
      <c r="A379" s="8"/>
      <c r="B379" s="70"/>
      <c r="C379" s="70"/>
      <c r="D379" s="70"/>
      <c r="E379" s="8"/>
      <c r="F379" s="70"/>
      <c r="G379" s="70"/>
      <c r="H379" s="70"/>
      <c r="I379" s="8"/>
      <c r="J379" s="70"/>
      <c r="K379" s="70"/>
      <c r="L379" s="70"/>
      <c r="M379" s="8"/>
      <c r="N379" s="70"/>
      <c r="O379" s="70"/>
      <c r="P379" s="70"/>
      <c r="Q379" s="8"/>
      <c r="R379" s="70"/>
      <c r="S379" s="70"/>
      <c r="T379" s="70"/>
      <c r="U379" s="8"/>
      <c r="V379" s="70"/>
      <c r="W379" s="70"/>
      <c r="X379" s="70"/>
      <c r="Y379" s="200"/>
      <c r="Z379" s="195"/>
      <c r="AA379" s="195"/>
      <c r="AB379" s="195"/>
      <c r="AC379" s="8"/>
      <c r="AD379" s="70"/>
      <c r="AE379" s="70"/>
      <c r="AF379" s="70"/>
      <c r="AG379" s="201"/>
      <c r="AH379" s="202"/>
      <c r="AI379" s="201"/>
      <c r="AJ379" s="201"/>
      <c r="AK379" s="70"/>
      <c r="AL379" s="70"/>
      <c r="AM379" s="70"/>
      <c r="AN379" s="70"/>
      <c r="AO379" s="70"/>
      <c r="AP379" s="70"/>
      <c r="AQ379" s="70"/>
      <c r="AR379" s="70"/>
      <c r="AS379" s="70"/>
      <c r="AT379" s="70"/>
      <c r="AU379" s="70"/>
      <c r="AV379" s="70"/>
      <c r="AW379" s="70"/>
      <c r="AX379" s="70"/>
    </row>
    <row r="380">
      <c r="A380" s="8"/>
      <c r="B380" s="70"/>
      <c r="C380" s="70"/>
      <c r="D380" s="70"/>
      <c r="E380" s="8"/>
      <c r="F380" s="70"/>
      <c r="G380" s="70"/>
      <c r="H380" s="70"/>
      <c r="I380" s="8"/>
      <c r="J380" s="70"/>
      <c r="K380" s="70"/>
      <c r="L380" s="70"/>
      <c r="M380" s="8"/>
      <c r="N380" s="70"/>
      <c r="O380" s="70"/>
      <c r="P380" s="70"/>
      <c r="Q380" s="8"/>
      <c r="R380" s="70"/>
      <c r="S380" s="70"/>
      <c r="T380" s="70"/>
      <c r="U380" s="8"/>
      <c r="V380" s="70"/>
      <c r="W380" s="70"/>
      <c r="X380" s="70"/>
      <c r="Y380" s="200"/>
      <c r="Z380" s="195"/>
      <c r="AA380" s="195"/>
      <c r="AB380" s="195"/>
      <c r="AC380" s="8"/>
      <c r="AD380" s="70"/>
      <c r="AE380" s="70"/>
      <c r="AF380" s="70"/>
      <c r="AG380" s="201"/>
      <c r="AH380" s="202"/>
      <c r="AI380" s="201"/>
      <c r="AJ380" s="201"/>
      <c r="AK380" s="70"/>
      <c r="AL380" s="70"/>
      <c r="AM380" s="70"/>
      <c r="AN380" s="70"/>
      <c r="AO380" s="70"/>
      <c r="AP380" s="70"/>
      <c r="AQ380" s="70"/>
      <c r="AR380" s="70"/>
      <c r="AS380" s="70"/>
      <c r="AT380" s="70"/>
      <c r="AU380" s="70"/>
      <c r="AV380" s="70"/>
      <c r="AW380" s="70"/>
      <c r="AX380" s="70"/>
    </row>
    <row r="381">
      <c r="A381" s="8"/>
      <c r="B381" s="70"/>
      <c r="C381" s="70"/>
      <c r="D381" s="70"/>
      <c r="E381" s="8"/>
      <c r="F381" s="70"/>
      <c r="G381" s="70"/>
      <c r="H381" s="70"/>
      <c r="I381" s="8"/>
      <c r="J381" s="70"/>
      <c r="K381" s="70"/>
      <c r="L381" s="70"/>
      <c r="M381" s="8"/>
      <c r="N381" s="70"/>
      <c r="O381" s="70"/>
      <c r="P381" s="70"/>
      <c r="Q381" s="8"/>
      <c r="R381" s="70"/>
      <c r="S381" s="70"/>
      <c r="T381" s="70"/>
      <c r="U381" s="8"/>
      <c r="V381" s="70"/>
      <c r="W381" s="70"/>
      <c r="X381" s="70"/>
      <c r="Y381" s="200"/>
      <c r="Z381" s="195"/>
      <c r="AA381" s="195"/>
      <c r="AB381" s="195"/>
      <c r="AC381" s="8"/>
      <c r="AD381" s="70"/>
      <c r="AE381" s="70"/>
      <c r="AF381" s="70"/>
      <c r="AG381" s="201"/>
      <c r="AH381" s="202"/>
      <c r="AI381" s="201"/>
      <c r="AJ381" s="201"/>
      <c r="AK381" s="70"/>
      <c r="AL381" s="70"/>
      <c r="AM381" s="70"/>
      <c r="AN381" s="70"/>
      <c r="AO381" s="70"/>
      <c r="AP381" s="70"/>
      <c r="AQ381" s="70"/>
      <c r="AR381" s="70"/>
      <c r="AS381" s="70"/>
      <c r="AT381" s="70"/>
      <c r="AU381" s="70"/>
      <c r="AV381" s="70"/>
      <c r="AW381" s="70"/>
      <c r="AX381" s="70"/>
    </row>
    <row r="382">
      <c r="A382" s="8"/>
      <c r="B382" s="70"/>
      <c r="C382" s="70"/>
      <c r="D382" s="70"/>
      <c r="E382" s="8"/>
      <c r="F382" s="70"/>
      <c r="G382" s="70"/>
      <c r="H382" s="70"/>
      <c r="I382" s="8"/>
      <c r="J382" s="70"/>
      <c r="K382" s="70"/>
      <c r="L382" s="70"/>
      <c r="M382" s="8"/>
      <c r="N382" s="70"/>
      <c r="O382" s="70"/>
      <c r="P382" s="70"/>
      <c r="Q382" s="8"/>
      <c r="R382" s="70"/>
      <c r="S382" s="70"/>
      <c r="T382" s="70"/>
      <c r="U382" s="8"/>
      <c r="V382" s="70"/>
      <c r="W382" s="70"/>
      <c r="X382" s="70"/>
      <c r="Y382" s="200"/>
      <c r="Z382" s="195"/>
      <c r="AA382" s="195"/>
      <c r="AB382" s="195"/>
      <c r="AC382" s="8"/>
      <c r="AD382" s="70"/>
      <c r="AE382" s="70"/>
      <c r="AF382" s="70"/>
      <c r="AG382" s="201"/>
      <c r="AH382" s="202"/>
      <c r="AI382" s="201"/>
      <c r="AJ382" s="201"/>
      <c r="AK382" s="70"/>
      <c r="AL382" s="70"/>
      <c r="AM382" s="70"/>
      <c r="AN382" s="70"/>
      <c r="AO382" s="70"/>
      <c r="AP382" s="70"/>
      <c r="AQ382" s="70"/>
      <c r="AR382" s="70"/>
      <c r="AS382" s="70"/>
      <c r="AT382" s="70"/>
      <c r="AU382" s="70"/>
      <c r="AV382" s="70"/>
      <c r="AW382" s="70"/>
      <c r="AX382" s="70"/>
    </row>
    <row r="383">
      <c r="A383" s="8"/>
      <c r="B383" s="70"/>
      <c r="C383" s="70"/>
      <c r="D383" s="70"/>
      <c r="E383" s="8"/>
      <c r="F383" s="70"/>
      <c r="G383" s="70"/>
      <c r="H383" s="70"/>
      <c r="I383" s="8"/>
      <c r="J383" s="70"/>
      <c r="K383" s="70"/>
      <c r="L383" s="70"/>
      <c r="M383" s="8"/>
      <c r="N383" s="70"/>
      <c r="O383" s="70"/>
      <c r="P383" s="70"/>
      <c r="Q383" s="8"/>
      <c r="R383" s="70"/>
      <c r="S383" s="70"/>
      <c r="T383" s="70"/>
      <c r="U383" s="8"/>
      <c r="V383" s="70"/>
      <c r="W383" s="70"/>
      <c r="X383" s="70"/>
      <c r="Y383" s="200"/>
      <c r="Z383" s="195"/>
      <c r="AA383" s="195"/>
      <c r="AB383" s="195"/>
      <c r="AC383" s="8"/>
      <c r="AD383" s="70"/>
      <c r="AE383" s="70"/>
      <c r="AF383" s="70"/>
      <c r="AG383" s="201"/>
      <c r="AH383" s="202"/>
      <c r="AI383" s="201"/>
      <c r="AJ383" s="201"/>
      <c r="AK383" s="70"/>
      <c r="AL383" s="70"/>
      <c r="AM383" s="70"/>
      <c r="AN383" s="70"/>
      <c r="AO383" s="70"/>
      <c r="AP383" s="70"/>
      <c r="AQ383" s="70"/>
      <c r="AR383" s="70"/>
      <c r="AS383" s="70"/>
      <c r="AT383" s="70"/>
      <c r="AU383" s="70"/>
      <c r="AV383" s="70"/>
      <c r="AW383" s="70"/>
      <c r="AX383" s="70"/>
    </row>
    <row r="384">
      <c r="A384" s="8"/>
      <c r="B384" s="70"/>
      <c r="C384" s="70"/>
      <c r="D384" s="70"/>
      <c r="E384" s="8"/>
      <c r="F384" s="70"/>
      <c r="G384" s="70"/>
      <c r="H384" s="70"/>
      <c r="I384" s="8"/>
      <c r="J384" s="70"/>
      <c r="K384" s="70"/>
      <c r="L384" s="70"/>
      <c r="M384" s="8"/>
      <c r="N384" s="70"/>
      <c r="O384" s="70"/>
      <c r="P384" s="70"/>
      <c r="Q384" s="8"/>
      <c r="R384" s="70"/>
      <c r="S384" s="70"/>
      <c r="T384" s="70"/>
      <c r="U384" s="8"/>
      <c r="V384" s="70"/>
      <c r="W384" s="70"/>
      <c r="X384" s="70"/>
      <c r="Y384" s="200"/>
      <c r="Z384" s="195"/>
      <c r="AA384" s="195"/>
      <c r="AB384" s="195"/>
      <c r="AC384" s="8"/>
      <c r="AD384" s="70"/>
      <c r="AE384" s="70"/>
      <c r="AF384" s="70"/>
      <c r="AG384" s="201"/>
      <c r="AH384" s="202"/>
      <c r="AI384" s="201"/>
      <c r="AJ384" s="201"/>
      <c r="AK384" s="70"/>
      <c r="AL384" s="70"/>
      <c r="AM384" s="70"/>
      <c r="AN384" s="70"/>
      <c r="AO384" s="70"/>
      <c r="AP384" s="70"/>
      <c r="AQ384" s="70"/>
      <c r="AR384" s="70"/>
      <c r="AS384" s="70"/>
      <c r="AT384" s="70"/>
      <c r="AU384" s="70"/>
      <c r="AV384" s="70"/>
      <c r="AW384" s="70"/>
      <c r="AX384" s="70"/>
    </row>
    <row r="385">
      <c r="A385" s="8"/>
      <c r="B385" s="70"/>
      <c r="C385" s="70"/>
      <c r="D385" s="70"/>
      <c r="E385" s="8"/>
      <c r="F385" s="70"/>
      <c r="G385" s="70"/>
      <c r="H385" s="70"/>
      <c r="I385" s="8"/>
      <c r="J385" s="70"/>
      <c r="K385" s="70"/>
      <c r="L385" s="70"/>
      <c r="M385" s="8"/>
      <c r="N385" s="70"/>
      <c r="O385" s="70"/>
      <c r="P385" s="70"/>
      <c r="Q385" s="8"/>
      <c r="R385" s="70"/>
      <c r="S385" s="70"/>
      <c r="T385" s="70"/>
      <c r="U385" s="8"/>
      <c r="V385" s="70"/>
      <c r="W385" s="70"/>
      <c r="X385" s="70"/>
      <c r="Y385" s="200"/>
      <c r="Z385" s="195"/>
      <c r="AA385" s="195"/>
      <c r="AB385" s="195"/>
      <c r="AC385" s="8"/>
      <c r="AD385" s="70"/>
      <c r="AE385" s="70"/>
      <c r="AF385" s="70"/>
      <c r="AG385" s="201"/>
      <c r="AH385" s="202"/>
      <c r="AI385" s="201"/>
      <c r="AJ385" s="201"/>
      <c r="AK385" s="70"/>
      <c r="AL385" s="70"/>
      <c r="AM385" s="70"/>
      <c r="AN385" s="70"/>
      <c r="AO385" s="70"/>
      <c r="AP385" s="70"/>
      <c r="AQ385" s="70"/>
      <c r="AR385" s="70"/>
      <c r="AS385" s="70"/>
      <c r="AT385" s="70"/>
      <c r="AU385" s="70"/>
      <c r="AV385" s="70"/>
      <c r="AW385" s="70"/>
      <c r="AX385" s="70"/>
    </row>
    <row r="386">
      <c r="A386" s="8"/>
      <c r="B386" s="70"/>
      <c r="C386" s="70"/>
      <c r="D386" s="70"/>
      <c r="E386" s="8"/>
      <c r="F386" s="70"/>
      <c r="G386" s="70"/>
      <c r="H386" s="70"/>
      <c r="I386" s="8"/>
      <c r="J386" s="70"/>
      <c r="K386" s="70"/>
      <c r="L386" s="70"/>
      <c r="M386" s="8"/>
      <c r="N386" s="70"/>
      <c r="O386" s="70"/>
      <c r="P386" s="70"/>
      <c r="Q386" s="8"/>
      <c r="R386" s="70"/>
      <c r="S386" s="70"/>
      <c r="T386" s="70"/>
      <c r="U386" s="8"/>
      <c r="V386" s="70"/>
      <c r="W386" s="70"/>
      <c r="X386" s="70"/>
      <c r="Y386" s="200"/>
      <c r="Z386" s="195"/>
      <c r="AA386" s="195"/>
      <c r="AB386" s="195"/>
      <c r="AC386" s="8"/>
      <c r="AD386" s="70"/>
      <c r="AE386" s="70"/>
      <c r="AF386" s="70"/>
      <c r="AG386" s="201"/>
      <c r="AH386" s="202"/>
      <c r="AI386" s="201"/>
      <c r="AJ386" s="201"/>
      <c r="AK386" s="70"/>
      <c r="AL386" s="70"/>
      <c r="AM386" s="70"/>
      <c r="AN386" s="70"/>
      <c r="AO386" s="70"/>
      <c r="AP386" s="70"/>
      <c r="AQ386" s="70"/>
      <c r="AR386" s="70"/>
      <c r="AS386" s="70"/>
      <c r="AT386" s="70"/>
      <c r="AU386" s="70"/>
      <c r="AV386" s="70"/>
      <c r="AW386" s="70"/>
      <c r="AX386" s="70"/>
    </row>
    <row r="387">
      <c r="A387" s="8"/>
      <c r="B387" s="70"/>
      <c r="C387" s="70"/>
      <c r="D387" s="70"/>
      <c r="E387" s="8"/>
      <c r="F387" s="70"/>
      <c r="G387" s="70"/>
      <c r="H387" s="70"/>
      <c r="I387" s="8"/>
      <c r="J387" s="70"/>
      <c r="K387" s="70"/>
      <c r="L387" s="70"/>
      <c r="M387" s="8"/>
      <c r="N387" s="70"/>
      <c r="O387" s="70"/>
      <c r="P387" s="70"/>
      <c r="Q387" s="8"/>
      <c r="R387" s="70"/>
      <c r="S387" s="70"/>
      <c r="T387" s="70"/>
      <c r="U387" s="8"/>
      <c r="V387" s="70"/>
      <c r="W387" s="70"/>
      <c r="X387" s="70"/>
      <c r="Y387" s="200"/>
      <c r="Z387" s="195"/>
      <c r="AA387" s="195"/>
      <c r="AB387" s="195"/>
      <c r="AC387" s="8"/>
      <c r="AD387" s="70"/>
      <c r="AE387" s="70"/>
      <c r="AF387" s="70"/>
      <c r="AG387" s="201"/>
      <c r="AH387" s="202"/>
      <c r="AI387" s="201"/>
      <c r="AJ387" s="201"/>
      <c r="AK387" s="70"/>
      <c r="AL387" s="70"/>
      <c r="AM387" s="70"/>
      <c r="AN387" s="70"/>
      <c r="AO387" s="70"/>
      <c r="AP387" s="70"/>
      <c r="AQ387" s="70"/>
      <c r="AR387" s="70"/>
      <c r="AS387" s="70"/>
      <c r="AT387" s="70"/>
      <c r="AU387" s="70"/>
      <c r="AV387" s="70"/>
      <c r="AW387" s="70"/>
      <c r="AX387" s="70"/>
    </row>
    <row r="388">
      <c r="A388" s="8"/>
      <c r="B388" s="70"/>
      <c r="C388" s="70"/>
      <c r="D388" s="70"/>
      <c r="E388" s="8"/>
      <c r="F388" s="70"/>
      <c r="G388" s="70"/>
      <c r="H388" s="70"/>
      <c r="I388" s="8"/>
      <c r="J388" s="70"/>
      <c r="K388" s="70"/>
      <c r="L388" s="70"/>
      <c r="M388" s="8"/>
      <c r="N388" s="70"/>
      <c r="O388" s="70"/>
      <c r="P388" s="70"/>
      <c r="Q388" s="8"/>
      <c r="R388" s="70"/>
      <c r="S388" s="70"/>
      <c r="T388" s="70"/>
      <c r="U388" s="8"/>
      <c r="V388" s="70"/>
      <c r="W388" s="70"/>
      <c r="X388" s="70"/>
      <c r="Y388" s="200"/>
      <c r="Z388" s="195"/>
      <c r="AA388" s="195"/>
      <c r="AB388" s="195"/>
      <c r="AC388" s="8"/>
      <c r="AD388" s="70"/>
      <c r="AE388" s="70"/>
      <c r="AF388" s="70"/>
      <c r="AG388" s="201"/>
      <c r="AH388" s="202"/>
      <c r="AI388" s="201"/>
      <c r="AJ388" s="201"/>
      <c r="AK388" s="70"/>
      <c r="AL388" s="70"/>
      <c r="AM388" s="70"/>
      <c r="AN388" s="70"/>
      <c r="AO388" s="70"/>
      <c r="AP388" s="70"/>
      <c r="AQ388" s="70"/>
      <c r="AR388" s="70"/>
      <c r="AS388" s="70"/>
      <c r="AT388" s="70"/>
      <c r="AU388" s="70"/>
      <c r="AV388" s="70"/>
      <c r="AW388" s="70"/>
      <c r="AX388" s="70"/>
    </row>
    <row r="389">
      <c r="A389" s="8"/>
      <c r="B389" s="70"/>
      <c r="C389" s="70"/>
      <c r="D389" s="70"/>
      <c r="E389" s="8"/>
      <c r="F389" s="70"/>
      <c r="G389" s="70"/>
      <c r="H389" s="70"/>
      <c r="I389" s="8"/>
      <c r="J389" s="70"/>
      <c r="K389" s="70"/>
      <c r="L389" s="70"/>
      <c r="M389" s="8"/>
      <c r="N389" s="70"/>
      <c r="O389" s="70"/>
      <c r="P389" s="70"/>
      <c r="Q389" s="8"/>
      <c r="R389" s="70"/>
      <c r="S389" s="70"/>
      <c r="T389" s="70"/>
      <c r="U389" s="8"/>
      <c r="V389" s="70"/>
      <c r="W389" s="70"/>
      <c r="X389" s="70"/>
      <c r="Y389" s="200"/>
      <c r="Z389" s="195"/>
      <c r="AA389" s="195"/>
      <c r="AB389" s="195"/>
      <c r="AC389" s="8"/>
      <c r="AD389" s="70"/>
      <c r="AE389" s="70"/>
      <c r="AF389" s="70"/>
      <c r="AG389" s="201"/>
      <c r="AH389" s="202"/>
      <c r="AI389" s="201"/>
      <c r="AJ389" s="201"/>
      <c r="AK389" s="70"/>
      <c r="AL389" s="70"/>
      <c r="AM389" s="70"/>
      <c r="AN389" s="70"/>
      <c r="AO389" s="70"/>
      <c r="AP389" s="70"/>
      <c r="AQ389" s="70"/>
      <c r="AR389" s="70"/>
      <c r="AS389" s="70"/>
      <c r="AT389" s="70"/>
      <c r="AU389" s="70"/>
      <c r="AV389" s="70"/>
      <c r="AW389" s="70"/>
      <c r="AX389" s="70"/>
    </row>
    <row r="390">
      <c r="A390" s="8"/>
      <c r="B390" s="70"/>
      <c r="C390" s="70"/>
      <c r="D390" s="70"/>
      <c r="E390" s="8"/>
      <c r="F390" s="70"/>
      <c r="G390" s="70"/>
      <c r="H390" s="70"/>
      <c r="I390" s="8"/>
      <c r="J390" s="70"/>
      <c r="K390" s="70"/>
      <c r="L390" s="70"/>
      <c r="M390" s="8"/>
      <c r="N390" s="70"/>
      <c r="O390" s="70"/>
      <c r="P390" s="70"/>
      <c r="Q390" s="8"/>
      <c r="R390" s="70"/>
      <c r="S390" s="70"/>
      <c r="T390" s="70"/>
      <c r="U390" s="8"/>
      <c r="V390" s="70"/>
      <c r="W390" s="70"/>
      <c r="X390" s="70"/>
      <c r="Y390" s="200"/>
      <c r="Z390" s="195"/>
      <c r="AA390" s="195"/>
      <c r="AB390" s="195"/>
      <c r="AC390" s="8"/>
      <c r="AD390" s="70"/>
      <c r="AE390" s="70"/>
      <c r="AF390" s="70"/>
      <c r="AG390" s="201"/>
      <c r="AH390" s="202"/>
      <c r="AI390" s="201"/>
      <c r="AJ390" s="201"/>
      <c r="AK390" s="70"/>
      <c r="AL390" s="70"/>
      <c r="AM390" s="70"/>
      <c r="AN390" s="70"/>
      <c r="AO390" s="70"/>
      <c r="AP390" s="70"/>
      <c r="AQ390" s="70"/>
      <c r="AR390" s="70"/>
      <c r="AS390" s="70"/>
      <c r="AT390" s="70"/>
      <c r="AU390" s="70"/>
      <c r="AV390" s="70"/>
      <c r="AW390" s="70"/>
      <c r="AX390" s="70"/>
    </row>
    <row r="391">
      <c r="A391" s="8"/>
      <c r="B391" s="70"/>
      <c r="C391" s="70"/>
      <c r="D391" s="70"/>
      <c r="E391" s="8"/>
      <c r="F391" s="70"/>
      <c r="G391" s="70"/>
      <c r="H391" s="70"/>
      <c r="I391" s="8"/>
      <c r="J391" s="70"/>
      <c r="K391" s="70"/>
      <c r="L391" s="70"/>
      <c r="M391" s="8"/>
      <c r="N391" s="70"/>
      <c r="O391" s="70"/>
      <c r="P391" s="70"/>
      <c r="Q391" s="8"/>
      <c r="R391" s="70"/>
      <c r="S391" s="70"/>
      <c r="T391" s="70"/>
      <c r="U391" s="8"/>
      <c r="V391" s="70"/>
      <c r="W391" s="70"/>
      <c r="X391" s="70"/>
      <c r="Y391" s="200"/>
      <c r="Z391" s="195"/>
      <c r="AA391" s="195"/>
      <c r="AB391" s="195"/>
      <c r="AC391" s="8"/>
      <c r="AD391" s="70"/>
      <c r="AE391" s="70"/>
      <c r="AF391" s="70"/>
      <c r="AG391" s="201"/>
      <c r="AH391" s="202"/>
      <c r="AI391" s="201"/>
      <c r="AJ391" s="201"/>
      <c r="AK391" s="70"/>
      <c r="AL391" s="70"/>
      <c r="AM391" s="70"/>
      <c r="AN391" s="70"/>
      <c r="AO391" s="70"/>
      <c r="AP391" s="70"/>
      <c r="AQ391" s="70"/>
      <c r="AR391" s="70"/>
      <c r="AS391" s="70"/>
      <c r="AT391" s="70"/>
      <c r="AU391" s="70"/>
      <c r="AV391" s="70"/>
      <c r="AW391" s="70"/>
      <c r="AX391" s="70"/>
    </row>
    <row r="392">
      <c r="A392" s="8"/>
      <c r="B392" s="70"/>
      <c r="C392" s="70"/>
      <c r="D392" s="70"/>
      <c r="E392" s="8"/>
      <c r="F392" s="70"/>
      <c r="G392" s="70"/>
      <c r="H392" s="70"/>
      <c r="I392" s="8"/>
      <c r="J392" s="70"/>
      <c r="K392" s="70"/>
      <c r="L392" s="70"/>
      <c r="M392" s="8"/>
      <c r="N392" s="70"/>
      <c r="O392" s="70"/>
      <c r="P392" s="70"/>
      <c r="Q392" s="8"/>
      <c r="R392" s="70"/>
      <c r="S392" s="70"/>
      <c r="T392" s="70"/>
      <c r="U392" s="8"/>
      <c r="V392" s="70"/>
      <c r="W392" s="70"/>
      <c r="X392" s="70"/>
      <c r="Y392" s="200"/>
      <c r="Z392" s="195"/>
      <c r="AA392" s="195"/>
      <c r="AB392" s="195"/>
      <c r="AC392" s="8"/>
      <c r="AD392" s="70"/>
      <c r="AE392" s="70"/>
      <c r="AF392" s="70"/>
      <c r="AG392" s="201"/>
      <c r="AH392" s="202"/>
      <c r="AI392" s="201"/>
      <c r="AJ392" s="201"/>
      <c r="AK392" s="70"/>
      <c r="AL392" s="70"/>
      <c r="AM392" s="70"/>
      <c r="AN392" s="70"/>
      <c r="AO392" s="70"/>
      <c r="AP392" s="70"/>
      <c r="AQ392" s="70"/>
      <c r="AR392" s="70"/>
      <c r="AS392" s="70"/>
      <c r="AT392" s="70"/>
      <c r="AU392" s="70"/>
      <c r="AV392" s="70"/>
      <c r="AW392" s="70"/>
      <c r="AX392" s="70"/>
    </row>
    <row r="393">
      <c r="A393" s="8"/>
      <c r="B393" s="70"/>
      <c r="C393" s="70"/>
      <c r="D393" s="70"/>
      <c r="E393" s="8"/>
      <c r="F393" s="70"/>
      <c r="G393" s="70"/>
      <c r="H393" s="70"/>
      <c r="I393" s="8"/>
      <c r="J393" s="70"/>
      <c r="K393" s="70"/>
      <c r="L393" s="70"/>
      <c r="M393" s="8"/>
      <c r="N393" s="70"/>
      <c r="O393" s="70"/>
      <c r="P393" s="70"/>
      <c r="Q393" s="8"/>
      <c r="R393" s="70"/>
      <c r="S393" s="70"/>
      <c r="T393" s="70"/>
      <c r="U393" s="8"/>
      <c r="V393" s="70"/>
      <c r="W393" s="70"/>
      <c r="X393" s="70"/>
      <c r="Y393" s="200"/>
      <c r="Z393" s="195"/>
      <c r="AA393" s="195"/>
      <c r="AB393" s="195"/>
      <c r="AC393" s="8"/>
      <c r="AD393" s="70"/>
      <c r="AE393" s="70"/>
      <c r="AF393" s="70"/>
      <c r="AG393" s="201"/>
      <c r="AH393" s="202"/>
      <c r="AI393" s="201"/>
      <c r="AJ393" s="201"/>
      <c r="AK393" s="70"/>
      <c r="AL393" s="70"/>
      <c r="AM393" s="70"/>
      <c r="AN393" s="70"/>
      <c r="AO393" s="70"/>
      <c r="AP393" s="70"/>
      <c r="AQ393" s="70"/>
      <c r="AR393" s="70"/>
      <c r="AS393" s="70"/>
      <c r="AT393" s="70"/>
      <c r="AU393" s="70"/>
      <c r="AV393" s="70"/>
      <c r="AW393" s="70"/>
      <c r="AX393" s="70"/>
    </row>
    <row r="394">
      <c r="A394" s="8"/>
      <c r="B394" s="70"/>
      <c r="C394" s="70"/>
      <c r="D394" s="70"/>
      <c r="E394" s="8"/>
      <c r="F394" s="70"/>
      <c r="G394" s="70"/>
      <c r="H394" s="70"/>
      <c r="I394" s="8"/>
      <c r="J394" s="70"/>
      <c r="K394" s="70"/>
      <c r="L394" s="70"/>
      <c r="M394" s="8"/>
      <c r="N394" s="70"/>
      <c r="O394" s="70"/>
      <c r="P394" s="70"/>
      <c r="Q394" s="8"/>
      <c r="R394" s="70"/>
      <c r="S394" s="70"/>
      <c r="T394" s="70"/>
      <c r="U394" s="8"/>
      <c r="V394" s="70"/>
      <c r="W394" s="70"/>
      <c r="X394" s="70"/>
      <c r="Y394" s="200"/>
      <c r="Z394" s="195"/>
      <c r="AA394" s="195"/>
      <c r="AB394" s="195"/>
      <c r="AC394" s="8"/>
      <c r="AD394" s="70"/>
      <c r="AE394" s="70"/>
      <c r="AF394" s="70"/>
      <c r="AG394" s="201"/>
      <c r="AH394" s="202"/>
      <c r="AI394" s="201"/>
      <c r="AJ394" s="201"/>
      <c r="AK394" s="70"/>
      <c r="AL394" s="70"/>
      <c r="AM394" s="70"/>
      <c r="AN394" s="70"/>
      <c r="AO394" s="70"/>
      <c r="AP394" s="70"/>
      <c r="AQ394" s="70"/>
      <c r="AR394" s="70"/>
      <c r="AS394" s="70"/>
      <c r="AT394" s="70"/>
      <c r="AU394" s="70"/>
      <c r="AV394" s="70"/>
      <c r="AW394" s="70"/>
      <c r="AX394" s="70"/>
    </row>
    <row r="395">
      <c r="A395" s="8"/>
      <c r="B395" s="70"/>
      <c r="C395" s="70"/>
      <c r="D395" s="70"/>
      <c r="E395" s="8"/>
      <c r="F395" s="70"/>
      <c r="G395" s="70"/>
      <c r="H395" s="70"/>
      <c r="I395" s="8"/>
      <c r="J395" s="70"/>
      <c r="K395" s="70"/>
      <c r="L395" s="70"/>
      <c r="M395" s="8"/>
      <c r="N395" s="70"/>
      <c r="O395" s="70"/>
      <c r="P395" s="70"/>
      <c r="Q395" s="8"/>
      <c r="R395" s="70"/>
      <c r="S395" s="70"/>
      <c r="T395" s="70"/>
      <c r="U395" s="8"/>
      <c r="V395" s="70"/>
      <c r="W395" s="70"/>
      <c r="X395" s="70"/>
      <c r="Y395" s="200"/>
      <c r="Z395" s="195"/>
      <c r="AA395" s="195"/>
      <c r="AB395" s="195"/>
      <c r="AC395" s="8"/>
      <c r="AD395" s="70"/>
      <c r="AE395" s="70"/>
      <c r="AF395" s="70"/>
      <c r="AG395" s="201"/>
      <c r="AH395" s="202"/>
      <c r="AI395" s="201"/>
      <c r="AJ395" s="201"/>
      <c r="AK395" s="70"/>
      <c r="AL395" s="70"/>
      <c r="AM395" s="70"/>
      <c r="AN395" s="70"/>
      <c r="AO395" s="70"/>
      <c r="AP395" s="70"/>
      <c r="AQ395" s="70"/>
      <c r="AR395" s="70"/>
      <c r="AS395" s="70"/>
      <c r="AT395" s="70"/>
      <c r="AU395" s="70"/>
      <c r="AV395" s="70"/>
      <c r="AW395" s="70"/>
      <c r="AX395" s="70"/>
    </row>
    <row r="396">
      <c r="A396" s="8"/>
      <c r="B396" s="70"/>
      <c r="C396" s="70"/>
      <c r="D396" s="70"/>
      <c r="E396" s="8"/>
      <c r="F396" s="70"/>
      <c r="G396" s="70"/>
      <c r="H396" s="70"/>
      <c r="I396" s="8"/>
      <c r="J396" s="70"/>
      <c r="K396" s="70"/>
      <c r="L396" s="70"/>
      <c r="M396" s="8"/>
      <c r="N396" s="70"/>
      <c r="O396" s="70"/>
      <c r="P396" s="70"/>
      <c r="Q396" s="8"/>
      <c r="R396" s="70"/>
      <c r="S396" s="70"/>
      <c r="T396" s="70"/>
      <c r="U396" s="8"/>
      <c r="V396" s="70"/>
      <c r="W396" s="70"/>
      <c r="X396" s="70"/>
      <c r="Y396" s="200"/>
      <c r="Z396" s="195"/>
      <c r="AA396" s="195"/>
      <c r="AB396" s="195"/>
      <c r="AC396" s="8"/>
      <c r="AD396" s="70"/>
      <c r="AE396" s="70"/>
      <c r="AF396" s="70"/>
      <c r="AG396" s="201"/>
      <c r="AH396" s="202"/>
      <c r="AI396" s="201"/>
      <c r="AJ396" s="201"/>
      <c r="AK396" s="70"/>
      <c r="AL396" s="70"/>
      <c r="AM396" s="70"/>
      <c r="AN396" s="70"/>
      <c r="AO396" s="70"/>
      <c r="AP396" s="70"/>
      <c r="AQ396" s="70"/>
      <c r="AR396" s="70"/>
      <c r="AS396" s="70"/>
      <c r="AT396" s="70"/>
      <c r="AU396" s="70"/>
      <c r="AV396" s="70"/>
      <c r="AW396" s="70"/>
      <c r="AX396" s="70"/>
    </row>
    <row r="397">
      <c r="A397" s="8"/>
      <c r="B397" s="70"/>
      <c r="C397" s="70"/>
      <c r="D397" s="70"/>
      <c r="E397" s="8"/>
      <c r="F397" s="70"/>
      <c r="G397" s="70"/>
      <c r="H397" s="70"/>
      <c r="I397" s="8"/>
      <c r="J397" s="70"/>
      <c r="K397" s="70"/>
      <c r="L397" s="70"/>
      <c r="M397" s="8"/>
      <c r="N397" s="70"/>
      <c r="O397" s="70"/>
      <c r="P397" s="70"/>
      <c r="Q397" s="8"/>
      <c r="R397" s="70"/>
      <c r="S397" s="70"/>
      <c r="T397" s="70"/>
      <c r="U397" s="8"/>
      <c r="V397" s="70"/>
      <c r="W397" s="70"/>
      <c r="X397" s="70"/>
      <c r="Y397" s="200"/>
      <c r="Z397" s="195"/>
      <c r="AA397" s="195"/>
      <c r="AB397" s="195"/>
      <c r="AC397" s="8"/>
      <c r="AD397" s="70"/>
      <c r="AE397" s="70"/>
      <c r="AF397" s="70"/>
      <c r="AG397" s="201"/>
      <c r="AH397" s="202"/>
      <c r="AI397" s="201"/>
      <c r="AJ397" s="201"/>
      <c r="AK397" s="70"/>
      <c r="AL397" s="70"/>
      <c r="AM397" s="70"/>
      <c r="AN397" s="70"/>
      <c r="AO397" s="70"/>
      <c r="AP397" s="70"/>
      <c r="AQ397" s="70"/>
      <c r="AR397" s="70"/>
      <c r="AS397" s="70"/>
      <c r="AT397" s="70"/>
      <c r="AU397" s="70"/>
      <c r="AV397" s="70"/>
      <c r="AW397" s="70"/>
      <c r="AX397" s="70"/>
    </row>
    <row r="398">
      <c r="A398" s="8"/>
      <c r="B398" s="70"/>
      <c r="C398" s="70"/>
      <c r="D398" s="70"/>
      <c r="E398" s="8"/>
      <c r="F398" s="70"/>
      <c r="G398" s="70"/>
      <c r="H398" s="70"/>
      <c r="I398" s="8"/>
      <c r="J398" s="70"/>
      <c r="K398" s="70"/>
      <c r="L398" s="70"/>
      <c r="M398" s="8"/>
      <c r="N398" s="70"/>
      <c r="O398" s="70"/>
      <c r="P398" s="70"/>
      <c r="Q398" s="8"/>
      <c r="R398" s="70"/>
      <c r="S398" s="70"/>
      <c r="T398" s="70"/>
      <c r="U398" s="8"/>
      <c r="V398" s="70"/>
      <c r="W398" s="70"/>
      <c r="X398" s="70"/>
      <c r="Y398" s="200"/>
      <c r="Z398" s="195"/>
      <c r="AA398" s="195"/>
      <c r="AB398" s="195"/>
      <c r="AC398" s="8"/>
      <c r="AD398" s="70"/>
      <c r="AE398" s="70"/>
      <c r="AF398" s="70"/>
      <c r="AG398" s="201"/>
      <c r="AH398" s="202"/>
      <c r="AI398" s="201"/>
      <c r="AJ398" s="201"/>
      <c r="AK398" s="70"/>
      <c r="AL398" s="70"/>
      <c r="AM398" s="70"/>
      <c r="AN398" s="70"/>
      <c r="AO398" s="70"/>
      <c r="AP398" s="70"/>
      <c r="AQ398" s="70"/>
      <c r="AR398" s="70"/>
      <c r="AS398" s="70"/>
      <c r="AT398" s="70"/>
      <c r="AU398" s="70"/>
      <c r="AV398" s="70"/>
      <c r="AW398" s="70"/>
      <c r="AX398" s="70"/>
    </row>
    <row r="399">
      <c r="A399" s="8"/>
      <c r="B399" s="70"/>
      <c r="C399" s="70"/>
      <c r="D399" s="70"/>
      <c r="E399" s="8"/>
      <c r="F399" s="70"/>
      <c r="G399" s="70"/>
      <c r="H399" s="70"/>
      <c r="I399" s="8"/>
      <c r="J399" s="70"/>
      <c r="K399" s="70"/>
      <c r="L399" s="70"/>
      <c r="M399" s="8"/>
      <c r="N399" s="70"/>
      <c r="O399" s="70"/>
      <c r="P399" s="70"/>
      <c r="Q399" s="8"/>
      <c r="R399" s="70"/>
      <c r="S399" s="70"/>
      <c r="T399" s="70"/>
      <c r="U399" s="8"/>
      <c r="V399" s="70"/>
      <c r="W399" s="70"/>
      <c r="X399" s="70"/>
      <c r="Y399" s="200"/>
      <c r="Z399" s="195"/>
      <c r="AA399" s="195"/>
      <c r="AB399" s="195"/>
      <c r="AC399" s="8"/>
      <c r="AD399" s="70"/>
      <c r="AE399" s="70"/>
      <c r="AF399" s="70"/>
      <c r="AG399" s="201"/>
      <c r="AH399" s="202"/>
      <c r="AI399" s="201"/>
      <c r="AJ399" s="201"/>
      <c r="AK399" s="70"/>
      <c r="AL399" s="70"/>
      <c r="AM399" s="70"/>
      <c r="AN399" s="70"/>
      <c r="AO399" s="70"/>
      <c r="AP399" s="70"/>
      <c r="AQ399" s="70"/>
      <c r="AR399" s="70"/>
      <c r="AS399" s="70"/>
      <c r="AT399" s="70"/>
      <c r="AU399" s="70"/>
      <c r="AV399" s="70"/>
      <c r="AW399" s="70"/>
      <c r="AX399" s="70"/>
    </row>
    <row r="400">
      <c r="A400" s="8"/>
      <c r="B400" s="70"/>
      <c r="C400" s="70"/>
      <c r="D400" s="70"/>
      <c r="E400" s="8"/>
      <c r="F400" s="70"/>
      <c r="G400" s="70"/>
      <c r="H400" s="70"/>
      <c r="I400" s="8"/>
      <c r="J400" s="70"/>
      <c r="K400" s="70"/>
      <c r="L400" s="70"/>
      <c r="M400" s="8"/>
      <c r="N400" s="70"/>
      <c r="O400" s="70"/>
      <c r="P400" s="70"/>
      <c r="Q400" s="8"/>
      <c r="R400" s="70"/>
      <c r="S400" s="70"/>
      <c r="T400" s="70"/>
      <c r="U400" s="8"/>
      <c r="V400" s="70"/>
      <c r="W400" s="70"/>
      <c r="X400" s="70"/>
      <c r="Y400" s="200"/>
      <c r="Z400" s="195"/>
      <c r="AA400" s="195"/>
      <c r="AB400" s="195"/>
      <c r="AC400" s="8"/>
      <c r="AD400" s="70"/>
      <c r="AE400" s="70"/>
      <c r="AF400" s="70"/>
      <c r="AG400" s="201"/>
      <c r="AH400" s="202"/>
      <c r="AI400" s="201"/>
      <c r="AJ400" s="201"/>
      <c r="AK400" s="70"/>
      <c r="AL400" s="70"/>
      <c r="AM400" s="70"/>
      <c r="AN400" s="70"/>
      <c r="AO400" s="70"/>
      <c r="AP400" s="70"/>
      <c r="AQ400" s="70"/>
      <c r="AR400" s="70"/>
      <c r="AS400" s="70"/>
      <c r="AT400" s="70"/>
      <c r="AU400" s="70"/>
      <c r="AV400" s="70"/>
      <c r="AW400" s="70"/>
      <c r="AX400" s="70"/>
    </row>
    <row r="401">
      <c r="A401" s="8"/>
      <c r="B401" s="70"/>
      <c r="C401" s="70"/>
      <c r="D401" s="70"/>
      <c r="E401" s="8"/>
      <c r="F401" s="70"/>
      <c r="G401" s="70"/>
      <c r="H401" s="70"/>
      <c r="I401" s="8"/>
      <c r="J401" s="70"/>
      <c r="K401" s="70"/>
      <c r="L401" s="70"/>
      <c r="M401" s="8"/>
      <c r="N401" s="70"/>
      <c r="O401" s="70"/>
      <c r="P401" s="70"/>
      <c r="Q401" s="8"/>
      <c r="R401" s="70"/>
      <c r="S401" s="70"/>
      <c r="T401" s="70"/>
      <c r="U401" s="8"/>
      <c r="V401" s="70"/>
      <c r="W401" s="70"/>
      <c r="X401" s="70"/>
      <c r="Y401" s="200"/>
      <c r="Z401" s="195"/>
      <c r="AA401" s="195"/>
      <c r="AB401" s="195"/>
      <c r="AC401" s="8"/>
      <c r="AD401" s="70"/>
      <c r="AE401" s="70"/>
      <c r="AF401" s="70"/>
      <c r="AG401" s="201"/>
      <c r="AH401" s="202"/>
      <c r="AI401" s="201"/>
      <c r="AJ401" s="201"/>
      <c r="AK401" s="70"/>
      <c r="AL401" s="70"/>
      <c r="AM401" s="70"/>
      <c r="AN401" s="70"/>
      <c r="AO401" s="70"/>
      <c r="AP401" s="70"/>
      <c r="AQ401" s="70"/>
      <c r="AR401" s="70"/>
      <c r="AS401" s="70"/>
      <c r="AT401" s="70"/>
      <c r="AU401" s="70"/>
      <c r="AV401" s="70"/>
      <c r="AW401" s="70"/>
      <c r="AX401" s="70"/>
    </row>
    <row r="402">
      <c r="A402" s="8"/>
      <c r="B402" s="70"/>
      <c r="C402" s="70"/>
      <c r="D402" s="70"/>
      <c r="E402" s="8"/>
      <c r="F402" s="70"/>
      <c r="G402" s="70"/>
      <c r="H402" s="70"/>
      <c r="I402" s="8"/>
      <c r="J402" s="70"/>
      <c r="K402" s="70"/>
      <c r="L402" s="70"/>
      <c r="M402" s="8"/>
      <c r="N402" s="70"/>
      <c r="O402" s="70"/>
      <c r="P402" s="70"/>
      <c r="Q402" s="8"/>
      <c r="R402" s="70"/>
      <c r="S402" s="70"/>
      <c r="T402" s="70"/>
      <c r="U402" s="8"/>
      <c r="V402" s="70"/>
      <c r="W402" s="70"/>
      <c r="X402" s="70"/>
      <c r="Y402" s="200"/>
      <c r="Z402" s="195"/>
      <c r="AA402" s="195"/>
      <c r="AB402" s="195"/>
      <c r="AC402" s="8"/>
      <c r="AD402" s="70"/>
      <c r="AE402" s="70"/>
      <c r="AF402" s="70"/>
      <c r="AG402" s="201"/>
      <c r="AH402" s="202"/>
      <c r="AI402" s="201"/>
      <c r="AJ402" s="201"/>
      <c r="AK402" s="70"/>
      <c r="AL402" s="70"/>
      <c r="AM402" s="70"/>
      <c r="AN402" s="70"/>
      <c r="AO402" s="70"/>
      <c r="AP402" s="70"/>
      <c r="AQ402" s="70"/>
      <c r="AR402" s="70"/>
      <c r="AS402" s="70"/>
      <c r="AT402" s="70"/>
      <c r="AU402" s="70"/>
      <c r="AV402" s="70"/>
      <c r="AW402" s="70"/>
      <c r="AX402" s="70"/>
    </row>
    <row r="403">
      <c r="A403" s="8"/>
      <c r="B403" s="70"/>
      <c r="C403" s="70"/>
      <c r="D403" s="70"/>
      <c r="E403" s="8"/>
      <c r="F403" s="70"/>
      <c r="G403" s="70"/>
      <c r="H403" s="70"/>
      <c r="I403" s="8"/>
      <c r="J403" s="70"/>
      <c r="K403" s="70"/>
      <c r="L403" s="70"/>
      <c r="M403" s="8"/>
      <c r="N403" s="70"/>
      <c r="O403" s="70"/>
      <c r="P403" s="70"/>
      <c r="Q403" s="8"/>
      <c r="R403" s="70"/>
      <c r="S403" s="70"/>
      <c r="T403" s="70"/>
      <c r="U403" s="8"/>
      <c r="V403" s="70"/>
      <c r="W403" s="70"/>
      <c r="X403" s="70"/>
      <c r="Y403" s="200"/>
      <c r="Z403" s="195"/>
      <c r="AA403" s="195"/>
      <c r="AB403" s="195"/>
      <c r="AC403" s="8"/>
      <c r="AD403" s="70"/>
      <c r="AE403" s="70"/>
      <c r="AF403" s="70"/>
      <c r="AG403" s="201"/>
      <c r="AH403" s="202"/>
      <c r="AI403" s="201"/>
      <c r="AJ403" s="201"/>
      <c r="AK403" s="70"/>
      <c r="AL403" s="70"/>
      <c r="AM403" s="70"/>
      <c r="AN403" s="70"/>
      <c r="AO403" s="70"/>
      <c r="AP403" s="70"/>
      <c r="AQ403" s="70"/>
      <c r="AR403" s="70"/>
      <c r="AS403" s="70"/>
      <c r="AT403" s="70"/>
      <c r="AU403" s="70"/>
      <c r="AV403" s="70"/>
      <c r="AW403" s="70"/>
      <c r="AX403" s="70"/>
    </row>
    <row r="404">
      <c r="A404" s="8"/>
      <c r="B404" s="70"/>
      <c r="C404" s="70"/>
      <c r="D404" s="70"/>
      <c r="E404" s="8"/>
      <c r="F404" s="70"/>
      <c r="G404" s="70"/>
      <c r="H404" s="70"/>
      <c r="I404" s="8"/>
      <c r="J404" s="70"/>
      <c r="K404" s="70"/>
      <c r="L404" s="70"/>
      <c r="M404" s="8"/>
      <c r="N404" s="70"/>
      <c r="O404" s="70"/>
      <c r="P404" s="70"/>
      <c r="Q404" s="8"/>
      <c r="R404" s="70"/>
      <c r="S404" s="70"/>
      <c r="T404" s="70"/>
      <c r="U404" s="8"/>
      <c r="V404" s="70"/>
      <c r="W404" s="70"/>
      <c r="X404" s="70"/>
      <c r="Y404" s="200"/>
      <c r="Z404" s="195"/>
      <c r="AA404" s="195"/>
      <c r="AB404" s="195"/>
      <c r="AC404" s="8"/>
      <c r="AD404" s="70"/>
      <c r="AE404" s="70"/>
      <c r="AF404" s="70"/>
      <c r="AG404" s="201"/>
      <c r="AH404" s="202"/>
      <c r="AI404" s="201"/>
      <c r="AJ404" s="201"/>
      <c r="AK404" s="70"/>
      <c r="AL404" s="70"/>
      <c r="AM404" s="70"/>
      <c r="AN404" s="70"/>
      <c r="AO404" s="70"/>
      <c r="AP404" s="70"/>
      <c r="AQ404" s="70"/>
      <c r="AR404" s="70"/>
      <c r="AS404" s="70"/>
      <c r="AT404" s="70"/>
      <c r="AU404" s="70"/>
      <c r="AV404" s="70"/>
      <c r="AW404" s="70"/>
      <c r="AX404" s="70"/>
    </row>
    <row r="405">
      <c r="A405" s="8"/>
      <c r="B405" s="70"/>
      <c r="C405" s="70"/>
      <c r="D405" s="70"/>
      <c r="E405" s="8"/>
      <c r="F405" s="70"/>
      <c r="G405" s="70"/>
      <c r="H405" s="70"/>
      <c r="I405" s="8"/>
      <c r="J405" s="70"/>
      <c r="K405" s="70"/>
      <c r="L405" s="70"/>
      <c r="M405" s="8"/>
      <c r="N405" s="70"/>
      <c r="O405" s="70"/>
      <c r="P405" s="70"/>
      <c r="Q405" s="8"/>
      <c r="R405" s="70"/>
      <c r="S405" s="70"/>
      <c r="T405" s="70"/>
      <c r="U405" s="8"/>
      <c r="V405" s="70"/>
      <c r="W405" s="70"/>
      <c r="X405" s="70"/>
      <c r="Y405" s="200"/>
      <c r="Z405" s="195"/>
      <c r="AA405" s="195"/>
      <c r="AB405" s="195"/>
      <c r="AC405" s="8"/>
      <c r="AD405" s="70"/>
      <c r="AE405" s="70"/>
      <c r="AF405" s="70"/>
      <c r="AG405" s="201"/>
      <c r="AH405" s="202"/>
      <c r="AI405" s="201"/>
      <c r="AJ405" s="201"/>
      <c r="AK405" s="70"/>
      <c r="AL405" s="70"/>
      <c r="AM405" s="70"/>
      <c r="AN405" s="70"/>
      <c r="AO405" s="70"/>
      <c r="AP405" s="70"/>
      <c r="AQ405" s="70"/>
      <c r="AR405" s="70"/>
      <c r="AS405" s="70"/>
      <c r="AT405" s="70"/>
      <c r="AU405" s="70"/>
      <c r="AV405" s="70"/>
      <c r="AW405" s="70"/>
      <c r="AX405" s="70"/>
    </row>
    <row r="406">
      <c r="A406" s="8"/>
      <c r="B406" s="70"/>
      <c r="C406" s="70"/>
      <c r="D406" s="70"/>
      <c r="E406" s="8"/>
      <c r="F406" s="70"/>
      <c r="G406" s="70"/>
      <c r="H406" s="70"/>
      <c r="I406" s="8"/>
      <c r="J406" s="70"/>
      <c r="K406" s="70"/>
      <c r="L406" s="70"/>
      <c r="M406" s="8"/>
      <c r="N406" s="70"/>
      <c r="O406" s="70"/>
      <c r="P406" s="70"/>
      <c r="Q406" s="8"/>
      <c r="R406" s="70"/>
      <c r="S406" s="70"/>
      <c r="T406" s="70"/>
      <c r="U406" s="8"/>
      <c r="V406" s="70"/>
      <c r="W406" s="70"/>
      <c r="X406" s="70"/>
      <c r="Y406" s="200"/>
      <c r="Z406" s="195"/>
      <c r="AA406" s="195"/>
      <c r="AB406" s="195"/>
      <c r="AC406" s="8"/>
      <c r="AD406" s="70"/>
      <c r="AE406" s="70"/>
      <c r="AF406" s="70"/>
      <c r="AG406" s="201"/>
      <c r="AH406" s="202"/>
      <c r="AI406" s="201"/>
      <c r="AJ406" s="201"/>
      <c r="AK406" s="70"/>
      <c r="AL406" s="70"/>
      <c r="AM406" s="70"/>
      <c r="AN406" s="70"/>
      <c r="AO406" s="70"/>
      <c r="AP406" s="70"/>
      <c r="AQ406" s="70"/>
      <c r="AR406" s="70"/>
      <c r="AS406" s="70"/>
      <c r="AT406" s="70"/>
      <c r="AU406" s="70"/>
      <c r="AV406" s="70"/>
      <c r="AW406" s="70"/>
      <c r="AX406" s="70"/>
    </row>
    <row r="407">
      <c r="A407" s="8"/>
      <c r="B407" s="70"/>
      <c r="C407" s="70"/>
      <c r="D407" s="70"/>
      <c r="E407" s="8"/>
      <c r="F407" s="70"/>
      <c r="G407" s="70"/>
      <c r="H407" s="70"/>
      <c r="I407" s="8"/>
      <c r="J407" s="70"/>
      <c r="K407" s="70"/>
      <c r="L407" s="70"/>
      <c r="M407" s="8"/>
      <c r="N407" s="70"/>
      <c r="O407" s="70"/>
      <c r="P407" s="70"/>
      <c r="Q407" s="8"/>
      <c r="R407" s="70"/>
      <c r="S407" s="70"/>
      <c r="T407" s="70"/>
      <c r="U407" s="8"/>
      <c r="V407" s="70"/>
      <c r="W407" s="70"/>
      <c r="X407" s="70"/>
      <c r="Y407" s="200"/>
      <c r="Z407" s="195"/>
      <c r="AA407" s="195"/>
      <c r="AB407" s="195"/>
      <c r="AC407" s="8"/>
      <c r="AD407" s="70"/>
      <c r="AE407" s="70"/>
      <c r="AF407" s="70"/>
      <c r="AG407" s="201"/>
      <c r="AH407" s="202"/>
      <c r="AI407" s="201"/>
      <c r="AJ407" s="201"/>
      <c r="AK407" s="70"/>
      <c r="AL407" s="70"/>
      <c r="AM407" s="70"/>
      <c r="AN407" s="70"/>
      <c r="AO407" s="70"/>
      <c r="AP407" s="70"/>
      <c r="AQ407" s="70"/>
      <c r="AR407" s="70"/>
      <c r="AS407" s="70"/>
      <c r="AT407" s="70"/>
      <c r="AU407" s="70"/>
      <c r="AV407" s="70"/>
      <c r="AW407" s="70"/>
      <c r="AX407" s="70"/>
    </row>
    <row r="408">
      <c r="A408" s="8"/>
      <c r="B408" s="70"/>
      <c r="C408" s="70"/>
      <c r="D408" s="70"/>
      <c r="E408" s="8"/>
      <c r="F408" s="70"/>
      <c r="G408" s="70"/>
      <c r="H408" s="70"/>
      <c r="I408" s="8"/>
      <c r="J408" s="70"/>
      <c r="K408" s="70"/>
      <c r="L408" s="70"/>
      <c r="M408" s="8"/>
      <c r="N408" s="70"/>
      <c r="O408" s="70"/>
      <c r="P408" s="70"/>
      <c r="Q408" s="8"/>
      <c r="R408" s="70"/>
      <c r="S408" s="70"/>
      <c r="T408" s="70"/>
      <c r="U408" s="8"/>
      <c r="V408" s="70"/>
      <c r="W408" s="70"/>
      <c r="X408" s="70"/>
      <c r="Y408" s="200"/>
      <c r="Z408" s="195"/>
      <c r="AA408" s="195"/>
      <c r="AB408" s="195"/>
      <c r="AC408" s="8"/>
      <c r="AD408" s="70"/>
      <c r="AE408" s="70"/>
      <c r="AF408" s="70"/>
      <c r="AG408" s="201"/>
      <c r="AH408" s="202"/>
      <c r="AI408" s="201"/>
      <c r="AJ408" s="201"/>
      <c r="AK408" s="70"/>
      <c r="AL408" s="70"/>
      <c r="AM408" s="70"/>
      <c r="AN408" s="70"/>
      <c r="AO408" s="70"/>
      <c r="AP408" s="70"/>
      <c r="AQ408" s="70"/>
      <c r="AR408" s="70"/>
      <c r="AS408" s="70"/>
      <c r="AT408" s="70"/>
      <c r="AU408" s="70"/>
      <c r="AV408" s="70"/>
      <c r="AW408" s="70"/>
      <c r="AX408" s="70"/>
    </row>
    <row r="409">
      <c r="A409" s="8"/>
      <c r="B409" s="70"/>
      <c r="C409" s="70"/>
      <c r="D409" s="70"/>
      <c r="E409" s="8"/>
      <c r="F409" s="70"/>
      <c r="G409" s="70"/>
      <c r="H409" s="70"/>
      <c r="I409" s="8"/>
      <c r="J409" s="70"/>
      <c r="K409" s="70"/>
      <c r="L409" s="70"/>
      <c r="M409" s="8"/>
      <c r="N409" s="70"/>
      <c r="O409" s="70"/>
      <c r="P409" s="70"/>
      <c r="Q409" s="8"/>
      <c r="R409" s="70"/>
      <c r="S409" s="70"/>
      <c r="T409" s="70"/>
      <c r="U409" s="8"/>
      <c r="V409" s="70"/>
      <c r="W409" s="70"/>
      <c r="X409" s="70"/>
      <c r="Y409" s="200"/>
      <c r="Z409" s="195"/>
      <c r="AA409" s="195"/>
      <c r="AB409" s="195"/>
      <c r="AC409" s="8"/>
      <c r="AD409" s="70"/>
      <c r="AE409" s="70"/>
      <c r="AF409" s="70"/>
      <c r="AG409" s="201"/>
      <c r="AH409" s="202"/>
      <c r="AI409" s="201"/>
      <c r="AJ409" s="201"/>
      <c r="AK409" s="70"/>
      <c r="AL409" s="70"/>
      <c r="AM409" s="70"/>
      <c r="AN409" s="70"/>
      <c r="AO409" s="70"/>
      <c r="AP409" s="70"/>
      <c r="AQ409" s="70"/>
      <c r="AR409" s="70"/>
      <c r="AS409" s="70"/>
      <c r="AT409" s="70"/>
      <c r="AU409" s="70"/>
      <c r="AV409" s="70"/>
      <c r="AW409" s="70"/>
      <c r="AX409" s="70"/>
    </row>
    <row r="410">
      <c r="A410" s="8"/>
      <c r="B410" s="70"/>
      <c r="C410" s="70"/>
      <c r="D410" s="70"/>
      <c r="E410" s="8"/>
      <c r="F410" s="70"/>
      <c r="G410" s="70"/>
      <c r="H410" s="70"/>
      <c r="I410" s="8"/>
      <c r="J410" s="70"/>
      <c r="K410" s="70"/>
      <c r="L410" s="70"/>
      <c r="M410" s="8"/>
      <c r="N410" s="70"/>
      <c r="O410" s="70"/>
      <c r="P410" s="70"/>
      <c r="Q410" s="8"/>
      <c r="R410" s="70"/>
      <c r="S410" s="70"/>
      <c r="T410" s="70"/>
      <c r="U410" s="8"/>
      <c r="V410" s="70"/>
      <c r="W410" s="70"/>
      <c r="X410" s="70"/>
      <c r="Y410" s="200"/>
      <c r="Z410" s="195"/>
      <c r="AA410" s="195"/>
      <c r="AB410" s="195"/>
      <c r="AC410" s="8"/>
      <c r="AD410" s="70"/>
      <c r="AE410" s="70"/>
      <c r="AF410" s="70"/>
      <c r="AG410" s="201"/>
      <c r="AH410" s="202"/>
      <c r="AI410" s="201"/>
      <c r="AJ410" s="201"/>
      <c r="AK410" s="70"/>
      <c r="AL410" s="70"/>
      <c r="AM410" s="70"/>
      <c r="AN410" s="70"/>
      <c r="AO410" s="70"/>
      <c r="AP410" s="70"/>
      <c r="AQ410" s="70"/>
      <c r="AR410" s="70"/>
      <c r="AS410" s="70"/>
      <c r="AT410" s="70"/>
      <c r="AU410" s="70"/>
      <c r="AV410" s="70"/>
      <c r="AW410" s="70"/>
      <c r="AX410" s="70"/>
    </row>
    <row r="411">
      <c r="A411" s="8"/>
      <c r="B411" s="70"/>
      <c r="C411" s="70"/>
      <c r="D411" s="70"/>
      <c r="E411" s="8"/>
      <c r="F411" s="70"/>
      <c r="G411" s="70"/>
      <c r="H411" s="70"/>
      <c r="I411" s="8"/>
      <c r="J411" s="70"/>
      <c r="K411" s="70"/>
      <c r="L411" s="70"/>
      <c r="M411" s="8"/>
      <c r="N411" s="70"/>
      <c r="O411" s="70"/>
      <c r="P411" s="70"/>
      <c r="Q411" s="8"/>
      <c r="R411" s="70"/>
      <c r="S411" s="70"/>
      <c r="T411" s="70"/>
      <c r="U411" s="8"/>
      <c r="V411" s="70"/>
      <c r="W411" s="70"/>
      <c r="X411" s="70"/>
      <c r="Y411" s="200"/>
      <c r="Z411" s="195"/>
      <c r="AA411" s="195"/>
      <c r="AB411" s="195"/>
      <c r="AC411" s="8"/>
      <c r="AD411" s="70"/>
      <c r="AE411" s="70"/>
      <c r="AF411" s="70"/>
      <c r="AG411" s="201"/>
      <c r="AH411" s="202"/>
      <c r="AI411" s="201"/>
      <c r="AJ411" s="201"/>
      <c r="AK411" s="70"/>
      <c r="AL411" s="70"/>
      <c r="AM411" s="70"/>
      <c r="AN411" s="70"/>
      <c r="AO411" s="70"/>
      <c r="AP411" s="70"/>
      <c r="AQ411" s="70"/>
      <c r="AR411" s="70"/>
      <c r="AS411" s="70"/>
      <c r="AT411" s="70"/>
      <c r="AU411" s="70"/>
      <c r="AV411" s="70"/>
      <c r="AW411" s="70"/>
      <c r="AX411" s="70"/>
    </row>
    <row r="412">
      <c r="A412" s="8"/>
      <c r="B412" s="70"/>
      <c r="C412" s="70"/>
      <c r="D412" s="70"/>
      <c r="E412" s="8"/>
      <c r="F412" s="70"/>
      <c r="G412" s="70"/>
      <c r="H412" s="70"/>
      <c r="I412" s="8"/>
      <c r="J412" s="70"/>
      <c r="K412" s="70"/>
      <c r="L412" s="70"/>
      <c r="M412" s="8"/>
      <c r="N412" s="70"/>
      <c r="O412" s="70"/>
      <c r="P412" s="70"/>
      <c r="Q412" s="8"/>
      <c r="R412" s="70"/>
      <c r="S412" s="70"/>
      <c r="T412" s="70"/>
      <c r="U412" s="8"/>
      <c r="V412" s="70"/>
      <c r="W412" s="70"/>
      <c r="X412" s="70"/>
      <c r="Y412" s="200"/>
      <c r="Z412" s="195"/>
      <c r="AA412" s="195"/>
      <c r="AB412" s="195"/>
      <c r="AC412" s="8"/>
      <c r="AD412" s="70"/>
      <c r="AE412" s="70"/>
      <c r="AF412" s="70"/>
      <c r="AG412" s="201"/>
      <c r="AH412" s="202"/>
      <c r="AI412" s="201"/>
      <c r="AJ412" s="201"/>
      <c r="AK412" s="70"/>
      <c r="AL412" s="70"/>
      <c r="AM412" s="70"/>
      <c r="AN412" s="70"/>
      <c r="AO412" s="70"/>
      <c r="AP412" s="70"/>
      <c r="AQ412" s="70"/>
      <c r="AR412" s="70"/>
      <c r="AS412" s="70"/>
      <c r="AT412" s="70"/>
      <c r="AU412" s="70"/>
      <c r="AV412" s="70"/>
      <c r="AW412" s="70"/>
      <c r="AX412" s="70"/>
    </row>
    <row r="413">
      <c r="A413" s="8"/>
      <c r="B413" s="70"/>
      <c r="C413" s="70"/>
      <c r="D413" s="70"/>
      <c r="E413" s="8"/>
      <c r="F413" s="70"/>
      <c r="G413" s="70"/>
      <c r="H413" s="70"/>
      <c r="I413" s="8"/>
      <c r="J413" s="70"/>
      <c r="K413" s="70"/>
      <c r="L413" s="70"/>
      <c r="M413" s="8"/>
      <c r="N413" s="70"/>
      <c r="O413" s="70"/>
      <c r="P413" s="70"/>
      <c r="Q413" s="8"/>
      <c r="R413" s="70"/>
      <c r="S413" s="70"/>
      <c r="T413" s="70"/>
      <c r="U413" s="8"/>
      <c r="V413" s="70"/>
      <c r="W413" s="70"/>
      <c r="X413" s="70"/>
      <c r="Y413" s="200"/>
      <c r="Z413" s="195"/>
      <c r="AA413" s="195"/>
      <c r="AB413" s="195"/>
      <c r="AC413" s="8"/>
      <c r="AD413" s="70"/>
      <c r="AE413" s="70"/>
      <c r="AF413" s="70"/>
      <c r="AG413" s="201"/>
      <c r="AH413" s="202"/>
      <c r="AI413" s="201"/>
      <c r="AJ413" s="201"/>
      <c r="AK413" s="70"/>
      <c r="AL413" s="70"/>
      <c r="AM413" s="70"/>
      <c r="AN413" s="70"/>
      <c r="AO413" s="70"/>
      <c r="AP413" s="70"/>
      <c r="AQ413" s="70"/>
      <c r="AR413" s="70"/>
      <c r="AS413" s="70"/>
      <c r="AT413" s="70"/>
      <c r="AU413" s="70"/>
      <c r="AV413" s="70"/>
      <c r="AW413" s="70"/>
      <c r="AX413" s="70"/>
    </row>
    <row r="414">
      <c r="A414" s="8"/>
      <c r="B414" s="70"/>
      <c r="C414" s="70"/>
      <c r="D414" s="70"/>
      <c r="E414" s="8"/>
      <c r="F414" s="70"/>
      <c r="G414" s="70"/>
      <c r="H414" s="70"/>
      <c r="I414" s="8"/>
      <c r="J414" s="70"/>
      <c r="K414" s="70"/>
      <c r="L414" s="70"/>
      <c r="M414" s="8"/>
      <c r="N414" s="70"/>
      <c r="O414" s="70"/>
      <c r="P414" s="70"/>
      <c r="Q414" s="8"/>
      <c r="R414" s="70"/>
      <c r="S414" s="70"/>
      <c r="T414" s="70"/>
      <c r="U414" s="8"/>
      <c r="V414" s="70"/>
      <c r="W414" s="70"/>
      <c r="X414" s="70"/>
      <c r="Y414" s="200"/>
      <c r="Z414" s="195"/>
      <c r="AA414" s="195"/>
      <c r="AB414" s="195"/>
      <c r="AC414" s="8"/>
      <c r="AD414" s="70"/>
      <c r="AE414" s="70"/>
      <c r="AF414" s="70"/>
      <c r="AG414" s="201"/>
      <c r="AH414" s="202"/>
      <c r="AI414" s="201"/>
      <c r="AJ414" s="201"/>
      <c r="AK414" s="70"/>
      <c r="AL414" s="70"/>
      <c r="AM414" s="70"/>
      <c r="AN414" s="70"/>
      <c r="AO414" s="70"/>
      <c r="AP414" s="70"/>
      <c r="AQ414" s="70"/>
      <c r="AR414" s="70"/>
      <c r="AS414" s="70"/>
      <c r="AT414" s="70"/>
      <c r="AU414" s="70"/>
      <c r="AV414" s="70"/>
      <c r="AW414" s="70"/>
      <c r="AX414" s="70"/>
    </row>
    <row r="415">
      <c r="A415" s="8"/>
      <c r="B415" s="70"/>
      <c r="C415" s="70"/>
      <c r="D415" s="70"/>
      <c r="E415" s="8"/>
      <c r="F415" s="70"/>
      <c r="G415" s="70"/>
      <c r="H415" s="70"/>
      <c r="I415" s="8"/>
      <c r="J415" s="70"/>
      <c r="K415" s="70"/>
      <c r="L415" s="70"/>
      <c r="M415" s="8"/>
      <c r="N415" s="70"/>
      <c r="O415" s="70"/>
      <c r="P415" s="70"/>
      <c r="Q415" s="8"/>
      <c r="R415" s="70"/>
      <c r="S415" s="70"/>
      <c r="T415" s="70"/>
      <c r="U415" s="8"/>
      <c r="V415" s="70"/>
      <c r="W415" s="70"/>
      <c r="X415" s="70"/>
      <c r="Y415" s="200"/>
      <c r="Z415" s="195"/>
      <c r="AA415" s="195"/>
      <c r="AB415" s="195"/>
      <c r="AC415" s="8"/>
      <c r="AD415" s="70"/>
      <c r="AE415" s="70"/>
      <c r="AF415" s="70"/>
      <c r="AG415" s="201"/>
      <c r="AH415" s="202"/>
      <c r="AI415" s="201"/>
      <c r="AJ415" s="201"/>
      <c r="AK415" s="70"/>
      <c r="AL415" s="70"/>
      <c r="AM415" s="70"/>
      <c r="AN415" s="70"/>
      <c r="AO415" s="70"/>
      <c r="AP415" s="70"/>
      <c r="AQ415" s="70"/>
      <c r="AR415" s="70"/>
      <c r="AS415" s="70"/>
      <c r="AT415" s="70"/>
      <c r="AU415" s="70"/>
      <c r="AV415" s="70"/>
      <c r="AW415" s="70"/>
      <c r="AX415" s="70"/>
    </row>
    <row r="416">
      <c r="A416" s="8"/>
      <c r="B416" s="70"/>
      <c r="C416" s="70"/>
      <c r="D416" s="70"/>
      <c r="E416" s="8"/>
      <c r="F416" s="70"/>
      <c r="G416" s="70"/>
      <c r="H416" s="70"/>
      <c r="I416" s="8"/>
      <c r="J416" s="70"/>
      <c r="K416" s="70"/>
      <c r="L416" s="70"/>
      <c r="M416" s="8"/>
      <c r="N416" s="70"/>
      <c r="O416" s="70"/>
      <c r="P416" s="70"/>
      <c r="Q416" s="8"/>
      <c r="R416" s="70"/>
      <c r="S416" s="70"/>
      <c r="T416" s="70"/>
      <c r="U416" s="8"/>
      <c r="V416" s="70"/>
      <c r="W416" s="70"/>
      <c r="X416" s="70"/>
      <c r="Y416" s="200"/>
      <c r="Z416" s="195"/>
      <c r="AA416" s="195"/>
      <c r="AB416" s="195"/>
      <c r="AC416" s="8"/>
      <c r="AD416" s="70"/>
      <c r="AE416" s="70"/>
      <c r="AF416" s="70"/>
      <c r="AG416" s="201"/>
      <c r="AH416" s="202"/>
      <c r="AI416" s="201"/>
      <c r="AJ416" s="201"/>
      <c r="AK416" s="70"/>
      <c r="AL416" s="70"/>
      <c r="AM416" s="70"/>
      <c r="AN416" s="70"/>
      <c r="AO416" s="70"/>
      <c r="AP416" s="70"/>
      <c r="AQ416" s="70"/>
      <c r="AR416" s="70"/>
      <c r="AS416" s="70"/>
      <c r="AT416" s="70"/>
      <c r="AU416" s="70"/>
      <c r="AV416" s="70"/>
      <c r="AW416" s="70"/>
      <c r="AX416" s="70"/>
    </row>
    <row r="417">
      <c r="A417" s="8"/>
      <c r="B417" s="70"/>
      <c r="C417" s="70"/>
      <c r="D417" s="70"/>
      <c r="E417" s="8"/>
      <c r="F417" s="70"/>
      <c r="G417" s="70"/>
      <c r="H417" s="70"/>
      <c r="I417" s="8"/>
      <c r="J417" s="70"/>
      <c r="K417" s="70"/>
      <c r="L417" s="70"/>
      <c r="M417" s="8"/>
      <c r="N417" s="70"/>
      <c r="O417" s="70"/>
      <c r="P417" s="70"/>
      <c r="Q417" s="8"/>
      <c r="R417" s="70"/>
      <c r="S417" s="70"/>
      <c r="T417" s="70"/>
      <c r="U417" s="8"/>
      <c r="V417" s="70"/>
      <c r="W417" s="70"/>
      <c r="X417" s="70"/>
      <c r="Y417" s="200"/>
      <c r="Z417" s="195"/>
      <c r="AA417" s="195"/>
      <c r="AB417" s="195"/>
      <c r="AC417" s="8"/>
      <c r="AD417" s="70"/>
      <c r="AE417" s="70"/>
      <c r="AF417" s="70"/>
      <c r="AG417" s="201"/>
      <c r="AH417" s="202"/>
      <c r="AI417" s="201"/>
      <c r="AJ417" s="201"/>
      <c r="AK417" s="70"/>
      <c r="AL417" s="70"/>
      <c r="AM417" s="70"/>
      <c r="AN417" s="70"/>
      <c r="AO417" s="70"/>
      <c r="AP417" s="70"/>
      <c r="AQ417" s="70"/>
      <c r="AR417" s="70"/>
      <c r="AS417" s="70"/>
      <c r="AT417" s="70"/>
      <c r="AU417" s="70"/>
      <c r="AV417" s="70"/>
      <c r="AW417" s="70"/>
      <c r="AX417" s="70"/>
    </row>
    <row r="418">
      <c r="A418" s="8"/>
      <c r="B418" s="70"/>
      <c r="C418" s="70"/>
      <c r="D418" s="70"/>
      <c r="E418" s="8"/>
      <c r="F418" s="70"/>
      <c r="G418" s="70"/>
      <c r="H418" s="70"/>
      <c r="I418" s="8"/>
      <c r="J418" s="70"/>
      <c r="K418" s="70"/>
      <c r="L418" s="70"/>
      <c r="M418" s="8"/>
      <c r="N418" s="70"/>
      <c r="O418" s="70"/>
      <c r="P418" s="70"/>
      <c r="Q418" s="8"/>
      <c r="R418" s="70"/>
      <c r="S418" s="70"/>
      <c r="T418" s="70"/>
      <c r="U418" s="8"/>
      <c r="V418" s="70"/>
      <c r="W418" s="70"/>
      <c r="X418" s="70"/>
      <c r="Y418" s="200"/>
      <c r="Z418" s="195"/>
      <c r="AA418" s="195"/>
      <c r="AB418" s="195"/>
      <c r="AC418" s="8"/>
      <c r="AD418" s="70"/>
      <c r="AE418" s="70"/>
      <c r="AF418" s="70"/>
      <c r="AG418" s="201"/>
      <c r="AH418" s="202"/>
      <c r="AI418" s="201"/>
      <c r="AJ418" s="201"/>
      <c r="AK418" s="70"/>
      <c r="AL418" s="70"/>
      <c r="AM418" s="70"/>
      <c r="AN418" s="70"/>
      <c r="AO418" s="70"/>
      <c r="AP418" s="70"/>
      <c r="AQ418" s="70"/>
      <c r="AR418" s="70"/>
      <c r="AS418" s="70"/>
      <c r="AT418" s="70"/>
      <c r="AU418" s="70"/>
      <c r="AV418" s="70"/>
      <c r="AW418" s="70"/>
      <c r="AX418" s="70"/>
    </row>
    <row r="419">
      <c r="A419" s="8"/>
      <c r="B419" s="70"/>
      <c r="C419" s="70"/>
      <c r="D419" s="70"/>
      <c r="E419" s="8"/>
      <c r="F419" s="70"/>
      <c r="G419" s="70"/>
      <c r="H419" s="70"/>
      <c r="I419" s="8"/>
      <c r="J419" s="70"/>
      <c r="K419" s="70"/>
      <c r="L419" s="70"/>
      <c r="M419" s="8"/>
      <c r="N419" s="70"/>
      <c r="O419" s="70"/>
      <c r="P419" s="70"/>
      <c r="Q419" s="8"/>
      <c r="R419" s="70"/>
      <c r="S419" s="70"/>
      <c r="T419" s="70"/>
      <c r="U419" s="8"/>
      <c r="V419" s="70"/>
      <c r="W419" s="70"/>
      <c r="X419" s="70"/>
      <c r="Y419" s="200"/>
      <c r="Z419" s="195"/>
      <c r="AA419" s="195"/>
      <c r="AB419" s="195"/>
      <c r="AC419" s="8"/>
      <c r="AD419" s="70"/>
      <c r="AE419" s="70"/>
      <c r="AF419" s="70"/>
      <c r="AG419" s="201"/>
      <c r="AH419" s="202"/>
      <c r="AI419" s="201"/>
      <c r="AJ419" s="201"/>
      <c r="AK419" s="70"/>
      <c r="AL419" s="70"/>
      <c r="AM419" s="70"/>
      <c r="AN419" s="70"/>
      <c r="AO419" s="70"/>
      <c r="AP419" s="70"/>
      <c r="AQ419" s="70"/>
      <c r="AR419" s="70"/>
      <c r="AS419" s="70"/>
      <c r="AT419" s="70"/>
      <c r="AU419" s="70"/>
      <c r="AV419" s="70"/>
      <c r="AW419" s="70"/>
      <c r="AX419" s="70"/>
    </row>
    <row r="420">
      <c r="A420" s="8"/>
      <c r="B420" s="70"/>
      <c r="C420" s="70"/>
      <c r="D420" s="70"/>
      <c r="E420" s="8"/>
      <c r="F420" s="70"/>
      <c r="G420" s="70"/>
      <c r="H420" s="70"/>
      <c r="I420" s="8"/>
      <c r="J420" s="70"/>
      <c r="K420" s="70"/>
      <c r="L420" s="70"/>
      <c r="M420" s="8"/>
      <c r="N420" s="70"/>
      <c r="O420" s="70"/>
      <c r="P420" s="70"/>
      <c r="Q420" s="8"/>
      <c r="R420" s="70"/>
      <c r="S420" s="70"/>
      <c r="T420" s="70"/>
      <c r="U420" s="8"/>
      <c r="V420" s="70"/>
      <c r="W420" s="70"/>
      <c r="X420" s="70"/>
      <c r="Y420" s="200"/>
      <c r="Z420" s="195"/>
      <c r="AA420" s="195"/>
      <c r="AB420" s="195"/>
      <c r="AC420" s="8"/>
      <c r="AD420" s="70"/>
      <c r="AE420" s="70"/>
      <c r="AF420" s="70"/>
      <c r="AG420" s="201"/>
      <c r="AH420" s="202"/>
      <c r="AI420" s="201"/>
      <c r="AJ420" s="201"/>
      <c r="AK420" s="70"/>
      <c r="AL420" s="70"/>
      <c r="AM420" s="70"/>
      <c r="AN420" s="70"/>
      <c r="AO420" s="70"/>
      <c r="AP420" s="70"/>
      <c r="AQ420" s="70"/>
      <c r="AR420" s="70"/>
      <c r="AS420" s="70"/>
      <c r="AT420" s="70"/>
      <c r="AU420" s="70"/>
      <c r="AV420" s="70"/>
      <c r="AW420" s="70"/>
      <c r="AX420" s="70"/>
    </row>
    <row r="421">
      <c r="A421" s="8"/>
      <c r="B421" s="70"/>
      <c r="C421" s="70"/>
      <c r="D421" s="70"/>
      <c r="E421" s="8"/>
      <c r="F421" s="70"/>
      <c r="G421" s="70"/>
      <c r="H421" s="70"/>
      <c r="I421" s="8"/>
      <c r="J421" s="70"/>
      <c r="K421" s="70"/>
      <c r="L421" s="70"/>
      <c r="M421" s="8"/>
      <c r="N421" s="70"/>
      <c r="O421" s="70"/>
      <c r="P421" s="70"/>
      <c r="Q421" s="8"/>
      <c r="R421" s="70"/>
      <c r="S421" s="70"/>
      <c r="T421" s="70"/>
      <c r="U421" s="8"/>
      <c r="V421" s="70"/>
      <c r="W421" s="70"/>
      <c r="X421" s="70"/>
      <c r="Y421" s="200"/>
      <c r="Z421" s="195"/>
      <c r="AA421" s="195"/>
      <c r="AB421" s="195"/>
      <c r="AC421" s="8"/>
      <c r="AD421" s="70"/>
      <c r="AE421" s="70"/>
      <c r="AF421" s="70"/>
      <c r="AG421" s="201"/>
      <c r="AH421" s="202"/>
      <c r="AI421" s="201"/>
      <c r="AJ421" s="201"/>
      <c r="AK421" s="70"/>
      <c r="AL421" s="70"/>
      <c r="AM421" s="70"/>
      <c r="AN421" s="70"/>
      <c r="AO421" s="70"/>
      <c r="AP421" s="70"/>
      <c r="AQ421" s="70"/>
      <c r="AR421" s="70"/>
      <c r="AS421" s="70"/>
      <c r="AT421" s="70"/>
      <c r="AU421" s="70"/>
      <c r="AV421" s="70"/>
      <c r="AW421" s="70"/>
      <c r="AX421" s="70"/>
    </row>
    <row r="422">
      <c r="A422" s="8"/>
      <c r="B422" s="70"/>
      <c r="C422" s="70"/>
      <c r="D422" s="70"/>
      <c r="E422" s="8"/>
      <c r="F422" s="70"/>
      <c r="G422" s="70"/>
      <c r="H422" s="70"/>
      <c r="I422" s="8"/>
      <c r="J422" s="70"/>
      <c r="K422" s="70"/>
      <c r="L422" s="70"/>
      <c r="M422" s="8"/>
      <c r="N422" s="70"/>
      <c r="O422" s="70"/>
      <c r="P422" s="70"/>
      <c r="Q422" s="8"/>
      <c r="R422" s="70"/>
      <c r="S422" s="70"/>
      <c r="T422" s="70"/>
      <c r="U422" s="8"/>
      <c r="V422" s="70"/>
      <c r="W422" s="70"/>
      <c r="X422" s="70"/>
      <c r="Y422" s="200"/>
      <c r="Z422" s="195"/>
      <c r="AA422" s="195"/>
      <c r="AB422" s="195"/>
      <c r="AC422" s="8"/>
      <c r="AD422" s="70"/>
      <c r="AE422" s="70"/>
      <c r="AF422" s="70"/>
      <c r="AG422" s="201"/>
      <c r="AH422" s="202"/>
      <c r="AI422" s="201"/>
      <c r="AJ422" s="201"/>
      <c r="AK422" s="70"/>
      <c r="AL422" s="70"/>
      <c r="AM422" s="70"/>
      <c r="AN422" s="70"/>
      <c r="AO422" s="70"/>
      <c r="AP422" s="70"/>
      <c r="AQ422" s="70"/>
      <c r="AR422" s="70"/>
      <c r="AS422" s="70"/>
      <c r="AT422" s="70"/>
      <c r="AU422" s="70"/>
      <c r="AV422" s="70"/>
      <c r="AW422" s="70"/>
      <c r="AX422" s="70"/>
    </row>
    <row r="423">
      <c r="A423" s="8"/>
      <c r="B423" s="70"/>
      <c r="C423" s="70"/>
      <c r="D423" s="70"/>
      <c r="E423" s="8"/>
      <c r="F423" s="70"/>
      <c r="G423" s="70"/>
      <c r="H423" s="70"/>
      <c r="I423" s="8"/>
      <c r="J423" s="70"/>
      <c r="K423" s="70"/>
      <c r="L423" s="70"/>
      <c r="M423" s="8"/>
      <c r="N423" s="70"/>
      <c r="O423" s="70"/>
      <c r="P423" s="70"/>
      <c r="Q423" s="8"/>
      <c r="R423" s="70"/>
      <c r="S423" s="70"/>
      <c r="T423" s="70"/>
      <c r="U423" s="8"/>
      <c r="V423" s="70"/>
      <c r="W423" s="70"/>
      <c r="X423" s="70"/>
      <c r="Y423" s="200"/>
      <c r="Z423" s="195"/>
      <c r="AA423" s="195"/>
      <c r="AB423" s="195"/>
      <c r="AC423" s="8"/>
      <c r="AD423" s="70"/>
      <c r="AE423" s="70"/>
      <c r="AF423" s="70"/>
      <c r="AG423" s="201"/>
      <c r="AH423" s="202"/>
      <c r="AI423" s="201"/>
      <c r="AJ423" s="201"/>
      <c r="AK423" s="70"/>
      <c r="AL423" s="70"/>
      <c r="AM423" s="70"/>
      <c r="AN423" s="70"/>
      <c r="AO423" s="70"/>
      <c r="AP423" s="70"/>
      <c r="AQ423" s="70"/>
      <c r="AR423" s="70"/>
      <c r="AS423" s="70"/>
      <c r="AT423" s="70"/>
      <c r="AU423" s="70"/>
      <c r="AV423" s="70"/>
      <c r="AW423" s="70"/>
      <c r="AX423" s="70"/>
    </row>
    <row r="424">
      <c r="A424" s="8"/>
      <c r="B424" s="70"/>
      <c r="C424" s="70"/>
      <c r="D424" s="70"/>
      <c r="E424" s="8"/>
      <c r="F424" s="70"/>
      <c r="G424" s="70"/>
      <c r="H424" s="70"/>
      <c r="I424" s="8"/>
      <c r="J424" s="70"/>
      <c r="K424" s="70"/>
      <c r="L424" s="70"/>
      <c r="M424" s="8"/>
      <c r="N424" s="70"/>
      <c r="O424" s="70"/>
      <c r="P424" s="70"/>
      <c r="Q424" s="8"/>
      <c r="R424" s="70"/>
      <c r="S424" s="70"/>
      <c r="T424" s="70"/>
      <c r="U424" s="8"/>
      <c r="V424" s="70"/>
      <c r="W424" s="70"/>
      <c r="X424" s="70"/>
      <c r="Y424" s="200"/>
      <c r="Z424" s="195"/>
      <c r="AA424" s="195"/>
      <c r="AB424" s="195"/>
      <c r="AC424" s="8"/>
      <c r="AD424" s="70"/>
      <c r="AE424" s="70"/>
      <c r="AF424" s="70"/>
      <c r="AG424" s="201"/>
      <c r="AH424" s="202"/>
      <c r="AI424" s="201"/>
      <c r="AJ424" s="201"/>
      <c r="AK424" s="70"/>
      <c r="AL424" s="70"/>
      <c r="AM424" s="70"/>
      <c r="AN424" s="70"/>
      <c r="AO424" s="70"/>
      <c r="AP424" s="70"/>
      <c r="AQ424" s="70"/>
      <c r="AR424" s="70"/>
      <c r="AS424" s="70"/>
      <c r="AT424" s="70"/>
      <c r="AU424" s="70"/>
      <c r="AV424" s="70"/>
      <c r="AW424" s="70"/>
      <c r="AX424" s="70"/>
    </row>
    <row r="425">
      <c r="A425" s="8"/>
      <c r="B425" s="70"/>
      <c r="C425" s="70"/>
      <c r="D425" s="70"/>
      <c r="E425" s="8"/>
      <c r="F425" s="70"/>
      <c r="G425" s="70"/>
      <c r="H425" s="70"/>
      <c r="I425" s="8"/>
      <c r="J425" s="70"/>
      <c r="K425" s="70"/>
      <c r="L425" s="70"/>
      <c r="M425" s="8"/>
      <c r="N425" s="70"/>
      <c r="O425" s="70"/>
      <c r="P425" s="70"/>
      <c r="Q425" s="8"/>
      <c r="R425" s="70"/>
      <c r="S425" s="70"/>
      <c r="T425" s="70"/>
      <c r="U425" s="8"/>
      <c r="V425" s="70"/>
      <c r="W425" s="70"/>
      <c r="X425" s="70"/>
      <c r="Y425" s="200"/>
      <c r="Z425" s="195"/>
      <c r="AA425" s="195"/>
      <c r="AB425" s="195"/>
      <c r="AC425" s="8"/>
      <c r="AD425" s="70"/>
      <c r="AE425" s="70"/>
      <c r="AF425" s="70"/>
      <c r="AG425" s="201"/>
      <c r="AH425" s="202"/>
      <c r="AI425" s="201"/>
      <c r="AJ425" s="201"/>
      <c r="AK425" s="70"/>
      <c r="AL425" s="70"/>
      <c r="AM425" s="70"/>
      <c r="AN425" s="70"/>
      <c r="AO425" s="70"/>
      <c r="AP425" s="70"/>
      <c r="AQ425" s="70"/>
      <c r="AR425" s="70"/>
      <c r="AS425" s="70"/>
      <c r="AT425" s="70"/>
      <c r="AU425" s="70"/>
      <c r="AV425" s="70"/>
      <c r="AW425" s="70"/>
      <c r="AX425" s="70"/>
    </row>
    <row r="426">
      <c r="A426" s="8"/>
      <c r="B426" s="70"/>
      <c r="C426" s="70"/>
      <c r="D426" s="70"/>
      <c r="E426" s="8"/>
      <c r="F426" s="70"/>
      <c r="G426" s="70"/>
      <c r="H426" s="70"/>
      <c r="I426" s="8"/>
      <c r="J426" s="70"/>
      <c r="K426" s="70"/>
      <c r="L426" s="70"/>
      <c r="M426" s="8"/>
      <c r="N426" s="70"/>
      <c r="O426" s="70"/>
      <c r="P426" s="70"/>
      <c r="Q426" s="8"/>
      <c r="R426" s="70"/>
      <c r="S426" s="70"/>
      <c r="T426" s="70"/>
      <c r="U426" s="8"/>
      <c r="V426" s="70"/>
      <c r="W426" s="70"/>
      <c r="X426" s="70"/>
      <c r="Y426" s="200"/>
      <c r="Z426" s="195"/>
      <c r="AA426" s="195"/>
      <c r="AB426" s="195"/>
      <c r="AC426" s="8"/>
      <c r="AD426" s="70"/>
      <c r="AE426" s="70"/>
      <c r="AF426" s="70"/>
      <c r="AG426" s="201"/>
      <c r="AH426" s="202"/>
      <c r="AI426" s="201"/>
      <c r="AJ426" s="201"/>
      <c r="AK426" s="70"/>
      <c r="AL426" s="70"/>
      <c r="AM426" s="70"/>
      <c r="AN426" s="70"/>
      <c r="AO426" s="70"/>
      <c r="AP426" s="70"/>
      <c r="AQ426" s="70"/>
      <c r="AR426" s="70"/>
      <c r="AS426" s="70"/>
      <c r="AT426" s="70"/>
      <c r="AU426" s="70"/>
      <c r="AV426" s="70"/>
      <c r="AW426" s="70"/>
      <c r="AX426" s="70"/>
    </row>
    <row r="427">
      <c r="A427" s="8"/>
      <c r="B427" s="70"/>
      <c r="C427" s="70"/>
      <c r="D427" s="70"/>
      <c r="E427" s="8"/>
      <c r="F427" s="70"/>
      <c r="G427" s="70"/>
      <c r="H427" s="70"/>
      <c r="I427" s="8"/>
      <c r="J427" s="70"/>
      <c r="K427" s="70"/>
      <c r="L427" s="70"/>
      <c r="M427" s="8"/>
      <c r="N427" s="70"/>
      <c r="O427" s="70"/>
      <c r="P427" s="70"/>
      <c r="Q427" s="8"/>
      <c r="R427" s="70"/>
      <c r="S427" s="70"/>
      <c r="T427" s="70"/>
      <c r="U427" s="8"/>
      <c r="V427" s="70"/>
      <c r="W427" s="70"/>
      <c r="X427" s="70"/>
      <c r="Y427" s="200"/>
      <c r="Z427" s="195"/>
      <c r="AA427" s="195"/>
      <c r="AB427" s="195"/>
      <c r="AC427" s="8"/>
      <c r="AD427" s="70"/>
      <c r="AE427" s="70"/>
      <c r="AF427" s="70"/>
      <c r="AG427" s="201"/>
      <c r="AH427" s="202"/>
      <c r="AI427" s="201"/>
      <c r="AJ427" s="201"/>
      <c r="AK427" s="70"/>
      <c r="AL427" s="70"/>
      <c r="AM427" s="70"/>
      <c r="AN427" s="70"/>
      <c r="AO427" s="70"/>
      <c r="AP427" s="70"/>
      <c r="AQ427" s="70"/>
      <c r="AR427" s="70"/>
      <c r="AS427" s="70"/>
      <c r="AT427" s="70"/>
      <c r="AU427" s="70"/>
      <c r="AV427" s="70"/>
      <c r="AW427" s="70"/>
      <c r="AX427" s="70"/>
    </row>
    <row r="428">
      <c r="A428" s="8"/>
      <c r="B428" s="70"/>
      <c r="C428" s="70"/>
      <c r="D428" s="70"/>
      <c r="E428" s="8"/>
      <c r="F428" s="70"/>
      <c r="G428" s="70"/>
      <c r="H428" s="70"/>
      <c r="I428" s="8"/>
      <c r="J428" s="70"/>
      <c r="K428" s="70"/>
      <c r="L428" s="70"/>
      <c r="M428" s="8"/>
      <c r="N428" s="70"/>
      <c r="O428" s="70"/>
      <c r="P428" s="70"/>
      <c r="Q428" s="8"/>
      <c r="R428" s="70"/>
      <c r="S428" s="70"/>
      <c r="T428" s="70"/>
      <c r="U428" s="8"/>
      <c r="V428" s="70"/>
      <c r="W428" s="70"/>
      <c r="X428" s="70"/>
      <c r="Y428" s="200"/>
      <c r="Z428" s="195"/>
      <c r="AA428" s="195"/>
      <c r="AB428" s="195"/>
      <c r="AC428" s="8"/>
      <c r="AD428" s="70"/>
      <c r="AE428" s="70"/>
      <c r="AF428" s="70"/>
      <c r="AG428" s="201"/>
      <c r="AH428" s="202"/>
      <c r="AI428" s="201"/>
      <c r="AJ428" s="201"/>
      <c r="AK428" s="70"/>
      <c r="AL428" s="70"/>
      <c r="AM428" s="70"/>
      <c r="AN428" s="70"/>
      <c r="AO428" s="70"/>
      <c r="AP428" s="70"/>
      <c r="AQ428" s="70"/>
      <c r="AR428" s="70"/>
      <c r="AS428" s="70"/>
      <c r="AT428" s="70"/>
      <c r="AU428" s="70"/>
      <c r="AV428" s="70"/>
      <c r="AW428" s="70"/>
      <c r="AX428" s="70"/>
    </row>
    <row r="429">
      <c r="A429" s="8"/>
      <c r="B429" s="70"/>
      <c r="C429" s="70"/>
      <c r="D429" s="70"/>
      <c r="E429" s="8"/>
      <c r="F429" s="70"/>
      <c r="G429" s="70"/>
      <c r="H429" s="70"/>
      <c r="I429" s="8"/>
      <c r="J429" s="70"/>
      <c r="K429" s="70"/>
      <c r="L429" s="70"/>
      <c r="M429" s="8"/>
      <c r="N429" s="70"/>
      <c r="O429" s="70"/>
      <c r="P429" s="70"/>
      <c r="Q429" s="8"/>
      <c r="R429" s="70"/>
      <c r="S429" s="70"/>
      <c r="T429" s="70"/>
      <c r="U429" s="8"/>
      <c r="V429" s="70"/>
      <c r="W429" s="70"/>
      <c r="X429" s="70"/>
      <c r="Y429" s="200"/>
      <c r="Z429" s="195"/>
      <c r="AA429" s="195"/>
      <c r="AB429" s="195"/>
      <c r="AC429" s="8"/>
      <c r="AD429" s="70"/>
      <c r="AE429" s="70"/>
      <c r="AF429" s="70"/>
      <c r="AG429" s="201"/>
      <c r="AH429" s="202"/>
      <c r="AI429" s="201"/>
      <c r="AJ429" s="201"/>
      <c r="AK429" s="70"/>
      <c r="AL429" s="70"/>
      <c r="AM429" s="70"/>
      <c r="AN429" s="70"/>
      <c r="AO429" s="70"/>
      <c r="AP429" s="70"/>
      <c r="AQ429" s="70"/>
      <c r="AR429" s="70"/>
      <c r="AS429" s="70"/>
      <c r="AT429" s="70"/>
      <c r="AU429" s="70"/>
      <c r="AV429" s="70"/>
      <c r="AW429" s="70"/>
      <c r="AX429" s="70"/>
    </row>
    <row r="430">
      <c r="A430" s="8"/>
      <c r="B430" s="70"/>
      <c r="C430" s="70"/>
      <c r="D430" s="70"/>
      <c r="E430" s="8"/>
      <c r="F430" s="70"/>
      <c r="G430" s="70"/>
      <c r="H430" s="70"/>
      <c r="I430" s="8"/>
      <c r="J430" s="70"/>
      <c r="K430" s="70"/>
      <c r="L430" s="70"/>
      <c r="M430" s="8"/>
      <c r="N430" s="70"/>
      <c r="O430" s="70"/>
      <c r="P430" s="70"/>
      <c r="Q430" s="8"/>
      <c r="R430" s="70"/>
      <c r="S430" s="70"/>
      <c r="T430" s="70"/>
      <c r="U430" s="8"/>
      <c r="V430" s="70"/>
      <c r="W430" s="70"/>
      <c r="X430" s="70"/>
      <c r="Y430" s="200"/>
      <c r="Z430" s="195"/>
      <c r="AA430" s="195"/>
      <c r="AB430" s="195"/>
      <c r="AC430" s="8"/>
      <c r="AD430" s="70"/>
      <c r="AE430" s="70"/>
      <c r="AF430" s="70"/>
      <c r="AG430" s="201"/>
      <c r="AH430" s="202"/>
      <c r="AI430" s="201"/>
      <c r="AJ430" s="201"/>
      <c r="AK430" s="70"/>
      <c r="AL430" s="70"/>
      <c r="AM430" s="70"/>
      <c r="AN430" s="70"/>
      <c r="AO430" s="70"/>
      <c r="AP430" s="70"/>
      <c r="AQ430" s="70"/>
      <c r="AR430" s="70"/>
      <c r="AS430" s="70"/>
      <c r="AT430" s="70"/>
      <c r="AU430" s="70"/>
      <c r="AV430" s="70"/>
      <c r="AW430" s="70"/>
      <c r="AX430" s="70"/>
    </row>
    <row r="431">
      <c r="A431" s="8"/>
      <c r="B431" s="70"/>
      <c r="C431" s="70"/>
      <c r="D431" s="70"/>
      <c r="E431" s="8"/>
      <c r="F431" s="70"/>
      <c r="G431" s="70"/>
      <c r="H431" s="70"/>
      <c r="I431" s="8"/>
      <c r="J431" s="70"/>
      <c r="K431" s="70"/>
      <c r="L431" s="70"/>
      <c r="M431" s="8"/>
      <c r="N431" s="70"/>
      <c r="O431" s="70"/>
      <c r="P431" s="70"/>
      <c r="Q431" s="8"/>
      <c r="R431" s="70"/>
      <c r="S431" s="70"/>
      <c r="T431" s="70"/>
      <c r="U431" s="8"/>
      <c r="V431" s="70"/>
      <c r="W431" s="70"/>
      <c r="X431" s="70"/>
      <c r="Y431" s="200"/>
      <c r="Z431" s="195"/>
      <c r="AA431" s="195"/>
      <c r="AB431" s="195"/>
      <c r="AC431" s="8"/>
      <c r="AD431" s="70"/>
      <c r="AE431" s="70"/>
      <c r="AF431" s="70"/>
      <c r="AG431" s="201"/>
      <c r="AH431" s="202"/>
      <c r="AI431" s="201"/>
      <c r="AJ431" s="201"/>
      <c r="AK431" s="70"/>
      <c r="AL431" s="70"/>
      <c r="AM431" s="70"/>
      <c r="AN431" s="70"/>
      <c r="AO431" s="70"/>
      <c r="AP431" s="70"/>
      <c r="AQ431" s="70"/>
      <c r="AR431" s="70"/>
      <c r="AS431" s="70"/>
      <c r="AT431" s="70"/>
      <c r="AU431" s="70"/>
      <c r="AV431" s="70"/>
      <c r="AW431" s="70"/>
      <c r="AX431" s="70"/>
    </row>
    <row r="432">
      <c r="A432" s="8"/>
      <c r="B432" s="70"/>
      <c r="C432" s="70"/>
      <c r="D432" s="70"/>
      <c r="E432" s="8"/>
      <c r="F432" s="70"/>
      <c r="G432" s="70"/>
      <c r="H432" s="70"/>
      <c r="I432" s="8"/>
      <c r="J432" s="70"/>
      <c r="K432" s="70"/>
      <c r="L432" s="70"/>
      <c r="M432" s="8"/>
      <c r="N432" s="70"/>
      <c r="O432" s="70"/>
      <c r="P432" s="70"/>
      <c r="Q432" s="8"/>
      <c r="R432" s="70"/>
      <c r="S432" s="70"/>
      <c r="T432" s="70"/>
      <c r="U432" s="8"/>
      <c r="V432" s="70"/>
      <c r="W432" s="70"/>
      <c r="X432" s="70"/>
      <c r="Y432" s="200"/>
      <c r="Z432" s="195"/>
      <c r="AA432" s="195"/>
      <c r="AB432" s="195"/>
      <c r="AC432" s="8"/>
      <c r="AD432" s="70"/>
      <c r="AE432" s="70"/>
      <c r="AF432" s="70"/>
      <c r="AG432" s="201"/>
      <c r="AH432" s="202"/>
      <c r="AI432" s="201"/>
      <c r="AJ432" s="201"/>
      <c r="AK432" s="70"/>
      <c r="AL432" s="70"/>
      <c r="AM432" s="70"/>
      <c r="AN432" s="70"/>
      <c r="AO432" s="70"/>
      <c r="AP432" s="70"/>
      <c r="AQ432" s="70"/>
      <c r="AR432" s="70"/>
      <c r="AS432" s="70"/>
      <c r="AT432" s="70"/>
      <c r="AU432" s="70"/>
      <c r="AV432" s="70"/>
      <c r="AW432" s="70"/>
      <c r="AX432" s="70"/>
    </row>
    <row r="433">
      <c r="A433" s="8"/>
      <c r="B433" s="70"/>
      <c r="C433" s="70"/>
      <c r="D433" s="70"/>
      <c r="E433" s="8"/>
      <c r="F433" s="70"/>
      <c r="G433" s="70"/>
      <c r="H433" s="70"/>
      <c r="I433" s="8"/>
      <c r="J433" s="70"/>
      <c r="K433" s="70"/>
      <c r="L433" s="70"/>
      <c r="M433" s="8"/>
      <c r="N433" s="70"/>
      <c r="O433" s="70"/>
      <c r="P433" s="70"/>
      <c r="Q433" s="8"/>
      <c r="R433" s="70"/>
      <c r="S433" s="70"/>
      <c r="T433" s="70"/>
      <c r="U433" s="8"/>
      <c r="V433" s="70"/>
      <c r="W433" s="70"/>
      <c r="X433" s="70"/>
      <c r="Y433" s="200"/>
      <c r="Z433" s="195"/>
      <c r="AA433" s="195"/>
      <c r="AB433" s="195"/>
      <c r="AC433" s="8"/>
      <c r="AD433" s="70"/>
      <c r="AE433" s="70"/>
      <c r="AF433" s="70"/>
      <c r="AG433" s="201"/>
      <c r="AH433" s="202"/>
      <c r="AI433" s="201"/>
      <c r="AJ433" s="201"/>
      <c r="AK433" s="70"/>
      <c r="AL433" s="70"/>
      <c r="AM433" s="70"/>
      <c r="AN433" s="70"/>
      <c r="AO433" s="70"/>
      <c r="AP433" s="70"/>
      <c r="AQ433" s="70"/>
      <c r="AR433" s="70"/>
      <c r="AS433" s="70"/>
      <c r="AT433" s="70"/>
      <c r="AU433" s="70"/>
      <c r="AV433" s="70"/>
      <c r="AW433" s="70"/>
      <c r="AX433" s="70"/>
    </row>
    <row r="434">
      <c r="A434" s="8"/>
      <c r="B434" s="70"/>
      <c r="C434" s="70"/>
      <c r="D434" s="70"/>
      <c r="E434" s="8"/>
      <c r="F434" s="70"/>
      <c r="G434" s="70"/>
      <c r="H434" s="70"/>
      <c r="I434" s="8"/>
      <c r="J434" s="70"/>
      <c r="K434" s="70"/>
      <c r="L434" s="70"/>
      <c r="M434" s="8"/>
      <c r="N434" s="70"/>
      <c r="O434" s="70"/>
      <c r="P434" s="70"/>
      <c r="Q434" s="8"/>
      <c r="R434" s="70"/>
      <c r="S434" s="70"/>
      <c r="T434" s="70"/>
      <c r="U434" s="8"/>
      <c r="V434" s="70"/>
      <c r="W434" s="70"/>
      <c r="X434" s="70"/>
      <c r="Y434" s="200"/>
      <c r="Z434" s="195"/>
      <c r="AA434" s="195"/>
      <c r="AB434" s="195"/>
      <c r="AC434" s="8"/>
      <c r="AD434" s="70"/>
      <c r="AE434" s="70"/>
      <c r="AF434" s="70"/>
      <c r="AG434" s="201"/>
      <c r="AH434" s="202"/>
      <c r="AI434" s="201"/>
      <c r="AJ434" s="201"/>
      <c r="AK434" s="70"/>
      <c r="AL434" s="70"/>
      <c r="AM434" s="70"/>
      <c r="AN434" s="70"/>
      <c r="AO434" s="70"/>
      <c r="AP434" s="70"/>
      <c r="AQ434" s="70"/>
      <c r="AR434" s="70"/>
      <c r="AS434" s="70"/>
      <c r="AT434" s="70"/>
      <c r="AU434" s="70"/>
      <c r="AV434" s="70"/>
      <c r="AW434" s="70"/>
      <c r="AX434" s="70"/>
    </row>
    <row r="435">
      <c r="A435" s="8"/>
      <c r="B435" s="70"/>
      <c r="C435" s="70"/>
      <c r="D435" s="70"/>
      <c r="E435" s="8"/>
      <c r="F435" s="70"/>
      <c r="G435" s="70"/>
      <c r="H435" s="70"/>
      <c r="I435" s="8"/>
      <c r="J435" s="70"/>
      <c r="K435" s="70"/>
      <c r="L435" s="70"/>
      <c r="M435" s="8"/>
      <c r="N435" s="70"/>
      <c r="O435" s="70"/>
      <c r="P435" s="70"/>
      <c r="Q435" s="8"/>
      <c r="R435" s="70"/>
      <c r="S435" s="70"/>
      <c r="T435" s="70"/>
      <c r="U435" s="8"/>
      <c r="V435" s="70"/>
      <c r="W435" s="70"/>
      <c r="X435" s="70"/>
      <c r="Y435" s="200"/>
      <c r="Z435" s="195"/>
      <c r="AA435" s="195"/>
      <c r="AB435" s="195"/>
      <c r="AC435" s="8"/>
      <c r="AD435" s="70"/>
      <c r="AE435" s="70"/>
      <c r="AF435" s="70"/>
      <c r="AG435" s="201"/>
      <c r="AH435" s="202"/>
      <c r="AI435" s="201"/>
      <c r="AJ435" s="201"/>
      <c r="AK435" s="70"/>
      <c r="AL435" s="70"/>
      <c r="AM435" s="70"/>
      <c r="AN435" s="70"/>
      <c r="AO435" s="70"/>
      <c r="AP435" s="70"/>
      <c r="AQ435" s="70"/>
      <c r="AR435" s="70"/>
      <c r="AS435" s="70"/>
      <c r="AT435" s="70"/>
      <c r="AU435" s="70"/>
      <c r="AV435" s="70"/>
      <c r="AW435" s="70"/>
      <c r="AX435" s="70"/>
    </row>
    <row r="436">
      <c r="A436" s="8"/>
      <c r="B436" s="70"/>
      <c r="C436" s="70"/>
      <c r="D436" s="70"/>
      <c r="E436" s="8"/>
      <c r="F436" s="70"/>
      <c r="G436" s="70"/>
      <c r="H436" s="70"/>
      <c r="I436" s="8"/>
      <c r="J436" s="70"/>
      <c r="K436" s="70"/>
      <c r="L436" s="70"/>
      <c r="M436" s="8"/>
      <c r="N436" s="70"/>
      <c r="O436" s="70"/>
      <c r="P436" s="70"/>
      <c r="Q436" s="8"/>
      <c r="R436" s="70"/>
      <c r="S436" s="70"/>
      <c r="T436" s="70"/>
      <c r="U436" s="8"/>
      <c r="V436" s="70"/>
      <c r="W436" s="70"/>
      <c r="X436" s="70"/>
      <c r="Y436" s="200"/>
      <c r="Z436" s="195"/>
      <c r="AA436" s="195"/>
      <c r="AB436" s="195"/>
      <c r="AC436" s="8"/>
      <c r="AD436" s="70"/>
      <c r="AE436" s="70"/>
      <c r="AF436" s="70"/>
      <c r="AG436" s="201"/>
      <c r="AH436" s="202"/>
      <c r="AI436" s="201"/>
      <c r="AJ436" s="201"/>
      <c r="AK436" s="70"/>
      <c r="AL436" s="70"/>
      <c r="AM436" s="70"/>
      <c r="AN436" s="70"/>
      <c r="AO436" s="70"/>
      <c r="AP436" s="70"/>
      <c r="AQ436" s="70"/>
      <c r="AR436" s="70"/>
      <c r="AS436" s="70"/>
      <c r="AT436" s="70"/>
      <c r="AU436" s="70"/>
      <c r="AV436" s="70"/>
      <c r="AW436" s="70"/>
      <c r="AX436" s="70"/>
    </row>
    <row r="437">
      <c r="A437" s="8"/>
      <c r="B437" s="70"/>
      <c r="C437" s="70"/>
      <c r="D437" s="70"/>
      <c r="E437" s="8"/>
      <c r="F437" s="70"/>
      <c r="G437" s="70"/>
      <c r="H437" s="70"/>
      <c r="I437" s="8"/>
      <c r="J437" s="70"/>
      <c r="K437" s="70"/>
      <c r="L437" s="70"/>
      <c r="M437" s="8"/>
      <c r="N437" s="70"/>
      <c r="O437" s="70"/>
      <c r="P437" s="70"/>
      <c r="Q437" s="8"/>
      <c r="R437" s="70"/>
      <c r="S437" s="70"/>
      <c r="T437" s="70"/>
      <c r="U437" s="8"/>
      <c r="V437" s="70"/>
      <c r="W437" s="70"/>
      <c r="X437" s="70"/>
      <c r="Y437" s="200"/>
      <c r="Z437" s="195"/>
      <c r="AA437" s="195"/>
      <c r="AB437" s="195"/>
      <c r="AC437" s="8"/>
      <c r="AD437" s="70"/>
      <c r="AE437" s="70"/>
      <c r="AF437" s="70"/>
      <c r="AG437" s="201"/>
      <c r="AH437" s="202"/>
      <c r="AI437" s="201"/>
      <c r="AJ437" s="201"/>
      <c r="AK437" s="70"/>
      <c r="AL437" s="70"/>
      <c r="AM437" s="70"/>
      <c r="AN437" s="70"/>
      <c r="AO437" s="70"/>
      <c r="AP437" s="70"/>
      <c r="AQ437" s="70"/>
      <c r="AR437" s="70"/>
      <c r="AS437" s="70"/>
      <c r="AT437" s="70"/>
      <c r="AU437" s="70"/>
      <c r="AV437" s="70"/>
      <c r="AW437" s="70"/>
      <c r="AX437" s="70"/>
    </row>
    <row r="438">
      <c r="A438" s="8"/>
      <c r="B438" s="70"/>
      <c r="C438" s="70"/>
      <c r="D438" s="70"/>
      <c r="E438" s="8"/>
      <c r="F438" s="70"/>
      <c r="G438" s="70"/>
      <c r="H438" s="70"/>
      <c r="I438" s="8"/>
      <c r="J438" s="70"/>
      <c r="K438" s="70"/>
      <c r="L438" s="70"/>
      <c r="M438" s="8"/>
      <c r="N438" s="70"/>
      <c r="O438" s="70"/>
      <c r="P438" s="70"/>
      <c r="Q438" s="8"/>
      <c r="R438" s="70"/>
      <c r="S438" s="70"/>
      <c r="T438" s="70"/>
      <c r="U438" s="8"/>
      <c r="V438" s="70"/>
      <c r="W438" s="70"/>
      <c r="X438" s="70"/>
      <c r="Y438" s="200"/>
      <c r="Z438" s="195"/>
      <c r="AA438" s="195"/>
      <c r="AB438" s="195"/>
      <c r="AC438" s="8"/>
      <c r="AD438" s="70"/>
      <c r="AE438" s="70"/>
      <c r="AF438" s="70"/>
      <c r="AG438" s="201"/>
      <c r="AH438" s="202"/>
      <c r="AI438" s="201"/>
      <c r="AJ438" s="201"/>
      <c r="AK438" s="70"/>
      <c r="AL438" s="70"/>
      <c r="AM438" s="70"/>
      <c r="AN438" s="70"/>
      <c r="AO438" s="70"/>
      <c r="AP438" s="70"/>
      <c r="AQ438" s="70"/>
      <c r="AR438" s="70"/>
      <c r="AS438" s="70"/>
      <c r="AT438" s="70"/>
      <c r="AU438" s="70"/>
      <c r="AV438" s="70"/>
      <c r="AW438" s="70"/>
      <c r="AX438" s="70"/>
    </row>
    <row r="439">
      <c r="A439" s="8"/>
      <c r="B439" s="70"/>
      <c r="C439" s="70"/>
      <c r="D439" s="70"/>
      <c r="E439" s="8"/>
      <c r="F439" s="70"/>
      <c r="G439" s="70"/>
      <c r="H439" s="70"/>
      <c r="I439" s="8"/>
      <c r="J439" s="70"/>
      <c r="K439" s="70"/>
      <c r="L439" s="70"/>
      <c r="M439" s="8"/>
      <c r="N439" s="70"/>
      <c r="O439" s="70"/>
      <c r="P439" s="70"/>
      <c r="Q439" s="8"/>
      <c r="R439" s="70"/>
      <c r="S439" s="70"/>
      <c r="T439" s="70"/>
      <c r="U439" s="8"/>
      <c r="V439" s="70"/>
      <c r="W439" s="70"/>
      <c r="X439" s="70"/>
      <c r="Y439" s="200"/>
      <c r="Z439" s="195"/>
      <c r="AA439" s="195"/>
      <c r="AB439" s="195"/>
      <c r="AC439" s="8"/>
      <c r="AD439" s="70"/>
      <c r="AE439" s="70"/>
      <c r="AF439" s="70"/>
      <c r="AG439" s="201"/>
      <c r="AH439" s="202"/>
      <c r="AI439" s="201"/>
      <c r="AJ439" s="201"/>
      <c r="AK439" s="70"/>
      <c r="AL439" s="70"/>
      <c r="AM439" s="70"/>
      <c r="AN439" s="70"/>
      <c r="AO439" s="70"/>
      <c r="AP439" s="70"/>
      <c r="AQ439" s="70"/>
      <c r="AR439" s="70"/>
      <c r="AS439" s="70"/>
      <c r="AT439" s="70"/>
      <c r="AU439" s="70"/>
      <c r="AV439" s="70"/>
      <c r="AW439" s="70"/>
      <c r="AX439" s="70"/>
    </row>
    <row r="440">
      <c r="A440" s="8"/>
      <c r="B440" s="70"/>
      <c r="C440" s="70"/>
      <c r="D440" s="70"/>
      <c r="E440" s="8"/>
      <c r="F440" s="70"/>
      <c r="G440" s="70"/>
      <c r="H440" s="70"/>
      <c r="I440" s="8"/>
      <c r="J440" s="70"/>
      <c r="K440" s="70"/>
      <c r="L440" s="70"/>
      <c r="M440" s="8"/>
      <c r="N440" s="70"/>
      <c r="O440" s="70"/>
      <c r="P440" s="70"/>
      <c r="Q440" s="8"/>
      <c r="R440" s="70"/>
      <c r="S440" s="70"/>
      <c r="T440" s="70"/>
      <c r="U440" s="8"/>
      <c r="V440" s="70"/>
      <c r="W440" s="70"/>
      <c r="X440" s="70"/>
      <c r="Y440" s="200"/>
      <c r="Z440" s="195"/>
      <c r="AA440" s="195"/>
      <c r="AB440" s="195"/>
      <c r="AC440" s="8"/>
      <c r="AD440" s="70"/>
      <c r="AE440" s="70"/>
      <c r="AF440" s="70"/>
      <c r="AG440" s="201"/>
      <c r="AH440" s="202"/>
      <c r="AI440" s="201"/>
      <c r="AJ440" s="201"/>
      <c r="AK440" s="70"/>
      <c r="AL440" s="70"/>
      <c r="AM440" s="70"/>
      <c r="AN440" s="70"/>
      <c r="AO440" s="70"/>
      <c r="AP440" s="70"/>
      <c r="AQ440" s="70"/>
      <c r="AR440" s="70"/>
      <c r="AS440" s="70"/>
      <c r="AT440" s="70"/>
      <c r="AU440" s="70"/>
      <c r="AV440" s="70"/>
      <c r="AW440" s="70"/>
      <c r="AX440" s="70"/>
    </row>
    <row r="441">
      <c r="A441" s="8"/>
      <c r="B441" s="70"/>
      <c r="C441" s="70"/>
      <c r="D441" s="70"/>
      <c r="E441" s="8"/>
      <c r="F441" s="70"/>
      <c r="G441" s="70"/>
      <c r="H441" s="70"/>
      <c r="I441" s="8"/>
      <c r="J441" s="70"/>
      <c r="K441" s="70"/>
      <c r="L441" s="70"/>
      <c r="M441" s="8"/>
      <c r="N441" s="70"/>
      <c r="O441" s="70"/>
      <c r="P441" s="70"/>
      <c r="Q441" s="8"/>
      <c r="R441" s="70"/>
      <c r="S441" s="70"/>
      <c r="T441" s="70"/>
      <c r="U441" s="8"/>
      <c r="V441" s="70"/>
      <c r="W441" s="70"/>
      <c r="X441" s="70"/>
      <c r="Y441" s="200"/>
      <c r="Z441" s="195"/>
      <c r="AA441" s="195"/>
      <c r="AB441" s="195"/>
      <c r="AC441" s="8"/>
      <c r="AD441" s="70"/>
      <c r="AE441" s="70"/>
      <c r="AF441" s="70"/>
      <c r="AG441" s="201"/>
      <c r="AH441" s="202"/>
      <c r="AI441" s="201"/>
      <c r="AJ441" s="201"/>
      <c r="AK441" s="70"/>
      <c r="AL441" s="70"/>
      <c r="AM441" s="70"/>
      <c r="AN441" s="70"/>
      <c r="AO441" s="70"/>
      <c r="AP441" s="70"/>
      <c r="AQ441" s="70"/>
      <c r="AR441" s="70"/>
      <c r="AS441" s="70"/>
      <c r="AT441" s="70"/>
      <c r="AU441" s="70"/>
      <c r="AV441" s="70"/>
      <c r="AW441" s="70"/>
      <c r="AX441" s="70"/>
    </row>
    <row r="442">
      <c r="A442" s="8"/>
      <c r="B442" s="70"/>
      <c r="C442" s="70"/>
      <c r="D442" s="70"/>
      <c r="E442" s="8"/>
      <c r="F442" s="70"/>
      <c r="G442" s="70"/>
      <c r="H442" s="70"/>
      <c r="I442" s="8"/>
      <c r="J442" s="70"/>
      <c r="K442" s="70"/>
      <c r="L442" s="70"/>
      <c r="M442" s="8"/>
      <c r="N442" s="70"/>
      <c r="O442" s="70"/>
      <c r="P442" s="70"/>
      <c r="Q442" s="8"/>
      <c r="R442" s="70"/>
      <c r="S442" s="70"/>
      <c r="T442" s="70"/>
      <c r="U442" s="8"/>
      <c r="V442" s="70"/>
      <c r="W442" s="70"/>
      <c r="X442" s="70"/>
      <c r="Y442" s="200"/>
      <c r="Z442" s="195"/>
      <c r="AA442" s="195"/>
      <c r="AB442" s="195"/>
      <c r="AC442" s="8"/>
      <c r="AD442" s="70"/>
      <c r="AE442" s="70"/>
      <c r="AF442" s="70"/>
      <c r="AG442" s="201"/>
      <c r="AH442" s="202"/>
      <c r="AI442" s="201"/>
      <c r="AJ442" s="201"/>
      <c r="AK442" s="70"/>
      <c r="AL442" s="70"/>
      <c r="AM442" s="70"/>
      <c r="AN442" s="70"/>
      <c r="AO442" s="70"/>
      <c r="AP442" s="70"/>
      <c r="AQ442" s="70"/>
      <c r="AR442" s="70"/>
      <c r="AS442" s="70"/>
      <c r="AT442" s="70"/>
      <c r="AU442" s="70"/>
      <c r="AV442" s="70"/>
      <c r="AW442" s="70"/>
      <c r="AX442" s="70"/>
    </row>
    <row r="443">
      <c r="A443" s="8"/>
      <c r="B443" s="70"/>
      <c r="C443" s="70"/>
      <c r="D443" s="70"/>
      <c r="E443" s="8"/>
      <c r="F443" s="70"/>
      <c r="G443" s="70"/>
      <c r="H443" s="70"/>
      <c r="I443" s="8"/>
      <c r="J443" s="70"/>
      <c r="K443" s="70"/>
      <c r="L443" s="70"/>
      <c r="M443" s="8"/>
      <c r="N443" s="70"/>
      <c r="O443" s="70"/>
      <c r="P443" s="70"/>
      <c r="Q443" s="8"/>
      <c r="R443" s="70"/>
      <c r="S443" s="70"/>
      <c r="T443" s="70"/>
      <c r="U443" s="8"/>
      <c r="V443" s="70"/>
      <c r="W443" s="70"/>
      <c r="X443" s="70"/>
      <c r="Y443" s="200"/>
      <c r="Z443" s="195"/>
      <c r="AA443" s="195"/>
      <c r="AB443" s="195"/>
      <c r="AC443" s="8"/>
      <c r="AD443" s="70"/>
      <c r="AE443" s="70"/>
      <c r="AF443" s="70"/>
      <c r="AG443" s="201"/>
      <c r="AH443" s="202"/>
      <c r="AI443" s="201"/>
      <c r="AJ443" s="201"/>
      <c r="AK443" s="70"/>
      <c r="AL443" s="70"/>
      <c r="AM443" s="70"/>
      <c r="AN443" s="70"/>
      <c r="AO443" s="70"/>
      <c r="AP443" s="70"/>
      <c r="AQ443" s="70"/>
      <c r="AR443" s="70"/>
      <c r="AS443" s="70"/>
      <c r="AT443" s="70"/>
      <c r="AU443" s="70"/>
      <c r="AV443" s="70"/>
      <c r="AW443" s="70"/>
      <c r="AX443" s="70"/>
    </row>
    <row r="444">
      <c r="A444" s="8"/>
      <c r="B444" s="70"/>
      <c r="C444" s="70"/>
      <c r="D444" s="70"/>
      <c r="E444" s="8"/>
      <c r="F444" s="70"/>
      <c r="G444" s="70"/>
      <c r="H444" s="70"/>
      <c r="I444" s="8"/>
      <c r="J444" s="70"/>
      <c r="K444" s="70"/>
      <c r="L444" s="70"/>
      <c r="M444" s="8"/>
      <c r="N444" s="70"/>
      <c r="O444" s="70"/>
      <c r="P444" s="70"/>
      <c r="Q444" s="8"/>
      <c r="R444" s="70"/>
      <c r="S444" s="70"/>
      <c r="T444" s="70"/>
      <c r="U444" s="8"/>
      <c r="V444" s="70"/>
      <c r="W444" s="70"/>
      <c r="X444" s="70"/>
      <c r="Y444" s="200"/>
      <c r="Z444" s="195"/>
      <c r="AA444" s="195"/>
      <c r="AB444" s="195"/>
      <c r="AC444" s="8"/>
      <c r="AD444" s="70"/>
      <c r="AE444" s="70"/>
      <c r="AF444" s="70"/>
      <c r="AG444" s="201"/>
      <c r="AH444" s="202"/>
      <c r="AI444" s="201"/>
      <c r="AJ444" s="201"/>
      <c r="AK444" s="70"/>
      <c r="AL444" s="70"/>
      <c r="AM444" s="70"/>
      <c r="AN444" s="70"/>
      <c r="AO444" s="70"/>
      <c r="AP444" s="70"/>
      <c r="AQ444" s="70"/>
      <c r="AR444" s="70"/>
      <c r="AS444" s="70"/>
      <c r="AT444" s="70"/>
      <c r="AU444" s="70"/>
      <c r="AV444" s="70"/>
      <c r="AW444" s="70"/>
      <c r="AX444" s="70"/>
    </row>
    <row r="445">
      <c r="A445" s="8"/>
      <c r="B445" s="70"/>
      <c r="C445" s="70"/>
      <c r="D445" s="70"/>
      <c r="E445" s="8"/>
      <c r="F445" s="70"/>
      <c r="G445" s="70"/>
      <c r="H445" s="70"/>
      <c r="I445" s="8"/>
      <c r="J445" s="70"/>
      <c r="K445" s="70"/>
      <c r="L445" s="70"/>
      <c r="M445" s="8"/>
      <c r="N445" s="70"/>
      <c r="O445" s="70"/>
      <c r="P445" s="70"/>
      <c r="Q445" s="8"/>
      <c r="R445" s="70"/>
      <c r="S445" s="70"/>
      <c r="T445" s="70"/>
      <c r="U445" s="8"/>
      <c r="V445" s="70"/>
      <c r="W445" s="70"/>
      <c r="X445" s="70"/>
      <c r="Y445" s="200"/>
      <c r="Z445" s="195"/>
      <c r="AA445" s="195"/>
      <c r="AB445" s="195"/>
      <c r="AC445" s="8"/>
      <c r="AD445" s="70"/>
      <c r="AE445" s="70"/>
      <c r="AF445" s="70"/>
      <c r="AG445" s="201"/>
      <c r="AH445" s="202"/>
      <c r="AI445" s="201"/>
      <c r="AJ445" s="201"/>
      <c r="AK445" s="70"/>
      <c r="AL445" s="70"/>
      <c r="AM445" s="70"/>
      <c r="AN445" s="70"/>
      <c r="AO445" s="70"/>
      <c r="AP445" s="70"/>
      <c r="AQ445" s="70"/>
      <c r="AR445" s="70"/>
      <c r="AS445" s="70"/>
      <c r="AT445" s="70"/>
      <c r="AU445" s="70"/>
      <c r="AV445" s="70"/>
      <c r="AW445" s="70"/>
      <c r="AX445" s="70"/>
    </row>
    <row r="446">
      <c r="A446" s="8"/>
      <c r="B446" s="70"/>
      <c r="C446" s="70"/>
      <c r="D446" s="70"/>
      <c r="E446" s="8"/>
      <c r="F446" s="70"/>
      <c r="G446" s="70"/>
      <c r="H446" s="70"/>
      <c r="I446" s="8"/>
      <c r="J446" s="70"/>
      <c r="K446" s="70"/>
      <c r="L446" s="70"/>
      <c r="M446" s="8"/>
      <c r="N446" s="70"/>
      <c r="O446" s="70"/>
      <c r="P446" s="70"/>
      <c r="Q446" s="8"/>
      <c r="R446" s="70"/>
      <c r="S446" s="70"/>
      <c r="T446" s="70"/>
      <c r="U446" s="8"/>
      <c r="V446" s="70"/>
      <c r="W446" s="70"/>
      <c r="X446" s="70"/>
      <c r="Y446" s="200"/>
      <c r="Z446" s="195"/>
      <c r="AA446" s="195"/>
      <c r="AB446" s="195"/>
      <c r="AC446" s="8"/>
      <c r="AD446" s="70"/>
      <c r="AE446" s="70"/>
      <c r="AF446" s="70"/>
      <c r="AG446" s="201"/>
      <c r="AH446" s="202"/>
      <c r="AI446" s="201"/>
      <c r="AJ446" s="201"/>
      <c r="AK446" s="70"/>
      <c r="AL446" s="70"/>
      <c r="AM446" s="70"/>
      <c r="AN446" s="70"/>
      <c r="AO446" s="70"/>
      <c r="AP446" s="70"/>
      <c r="AQ446" s="70"/>
      <c r="AR446" s="70"/>
      <c r="AS446" s="70"/>
      <c r="AT446" s="70"/>
      <c r="AU446" s="70"/>
      <c r="AV446" s="70"/>
      <c r="AW446" s="70"/>
      <c r="AX446" s="70"/>
    </row>
    <row r="447">
      <c r="A447" s="8"/>
      <c r="B447" s="70"/>
      <c r="C447" s="70"/>
      <c r="D447" s="70"/>
      <c r="E447" s="8"/>
      <c r="F447" s="70"/>
      <c r="G447" s="70"/>
      <c r="H447" s="70"/>
      <c r="I447" s="8"/>
      <c r="J447" s="70"/>
      <c r="K447" s="70"/>
      <c r="L447" s="70"/>
      <c r="M447" s="8"/>
      <c r="N447" s="70"/>
      <c r="O447" s="70"/>
      <c r="P447" s="70"/>
      <c r="Q447" s="8"/>
      <c r="R447" s="70"/>
      <c r="S447" s="70"/>
      <c r="T447" s="70"/>
      <c r="U447" s="8"/>
      <c r="V447" s="70"/>
      <c r="W447" s="70"/>
      <c r="X447" s="70"/>
      <c r="Y447" s="200"/>
      <c r="Z447" s="195"/>
      <c r="AA447" s="195"/>
      <c r="AB447" s="195"/>
      <c r="AC447" s="8"/>
      <c r="AD447" s="70"/>
      <c r="AE447" s="70"/>
      <c r="AF447" s="70"/>
      <c r="AG447" s="201"/>
      <c r="AH447" s="202"/>
      <c r="AI447" s="201"/>
      <c r="AJ447" s="201"/>
      <c r="AK447" s="70"/>
      <c r="AL447" s="70"/>
      <c r="AM447" s="70"/>
      <c r="AN447" s="70"/>
      <c r="AO447" s="70"/>
      <c r="AP447" s="70"/>
      <c r="AQ447" s="70"/>
      <c r="AR447" s="70"/>
      <c r="AS447" s="70"/>
      <c r="AT447" s="70"/>
      <c r="AU447" s="70"/>
      <c r="AV447" s="70"/>
      <c r="AW447" s="70"/>
      <c r="AX447" s="70"/>
    </row>
    <row r="448">
      <c r="A448" s="8"/>
      <c r="B448" s="70"/>
      <c r="C448" s="70"/>
      <c r="D448" s="70"/>
      <c r="E448" s="8"/>
      <c r="F448" s="70"/>
      <c r="G448" s="70"/>
      <c r="H448" s="70"/>
      <c r="I448" s="8"/>
      <c r="J448" s="70"/>
      <c r="K448" s="70"/>
      <c r="L448" s="70"/>
      <c r="M448" s="8"/>
      <c r="N448" s="70"/>
      <c r="O448" s="70"/>
      <c r="P448" s="70"/>
      <c r="Q448" s="8"/>
      <c r="R448" s="70"/>
      <c r="S448" s="70"/>
      <c r="T448" s="70"/>
      <c r="U448" s="8"/>
      <c r="V448" s="70"/>
      <c r="W448" s="70"/>
      <c r="X448" s="70"/>
      <c r="Y448" s="200"/>
      <c r="Z448" s="195"/>
      <c r="AA448" s="195"/>
      <c r="AB448" s="195"/>
      <c r="AC448" s="8"/>
      <c r="AD448" s="70"/>
      <c r="AE448" s="70"/>
      <c r="AF448" s="70"/>
      <c r="AG448" s="201"/>
      <c r="AH448" s="202"/>
      <c r="AI448" s="201"/>
      <c r="AJ448" s="201"/>
      <c r="AK448" s="70"/>
      <c r="AL448" s="70"/>
      <c r="AM448" s="70"/>
      <c r="AN448" s="70"/>
      <c r="AO448" s="70"/>
      <c r="AP448" s="70"/>
      <c r="AQ448" s="70"/>
      <c r="AR448" s="70"/>
      <c r="AS448" s="70"/>
      <c r="AT448" s="70"/>
      <c r="AU448" s="70"/>
      <c r="AV448" s="70"/>
      <c r="AW448" s="70"/>
      <c r="AX448" s="70"/>
    </row>
    <row r="449">
      <c r="A449" s="8"/>
      <c r="B449" s="70"/>
      <c r="C449" s="70"/>
      <c r="D449" s="70"/>
      <c r="E449" s="8"/>
      <c r="F449" s="70"/>
      <c r="G449" s="70"/>
      <c r="H449" s="70"/>
      <c r="I449" s="8"/>
      <c r="J449" s="70"/>
      <c r="K449" s="70"/>
      <c r="L449" s="70"/>
      <c r="M449" s="8"/>
      <c r="N449" s="70"/>
      <c r="O449" s="70"/>
      <c r="P449" s="70"/>
      <c r="Q449" s="8"/>
      <c r="R449" s="70"/>
      <c r="S449" s="70"/>
      <c r="T449" s="70"/>
      <c r="U449" s="8"/>
      <c r="V449" s="70"/>
      <c r="W449" s="70"/>
      <c r="X449" s="70"/>
      <c r="Y449" s="200"/>
      <c r="Z449" s="195"/>
      <c r="AA449" s="195"/>
      <c r="AB449" s="195"/>
      <c r="AC449" s="8"/>
      <c r="AD449" s="70"/>
      <c r="AE449" s="70"/>
      <c r="AF449" s="70"/>
      <c r="AG449" s="201"/>
      <c r="AH449" s="202"/>
      <c r="AI449" s="201"/>
      <c r="AJ449" s="201"/>
      <c r="AK449" s="70"/>
      <c r="AL449" s="70"/>
      <c r="AM449" s="70"/>
      <c r="AN449" s="70"/>
      <c r="AO449" s="70"/>
      <c r="AP449" s="70"/>
      <c r="AQ449" s="70"/>
      <c r="AR449" s="70"/>
      <c r="AS449" s="70"/>
      <c r="AT449" s="70"/>
      <c r="AU449" s="70"/>
      <c r="AV449" s="70"/>
      <c r="AW449" s="70"/>
      <c r="AX449" s="70"/>
    </row>
    <row r="450">
      <c r="A450" s="8"/>
      <c r="B450" s="70"/>
      <c r="C450" s="70"/>
      <c r="D450" s="70"/>
      <c r="E450" s="8"/>
      <c r="F450" s="70"/>
      <c r="G450" s="70"/>
      <c r="H450" s="70"/>
      <c r="I450" s="8"/>
      <c r="J450" s="70"/>
      <c r="K450" s="70"/>
      <c r="L450" s="70"/>
      <c r="M450" s="8"/>
      <c r="N450" s="70"/>
      <c r="O450" s="70"/>
      <c r="P450" s="70"/>
      <c r="Q450" s="8"/>
      <c r="R450" s="70"/>
      <c r="S450" s="70"/>
      <c r="T450" s="70"/>
      <c r="U450" s="8"/>
      <c r="V450" s="70"/>
      <c r="W450" s="70"/>
      <c r="X450" s="70"/>
      <c r="Y450" s="200"/>
      <c r="Z450" s="195"/>
      <c r="AA450" s="195"/>
      <c r="AB450" s="195"/>
      <c r="AC450" s="8"/>
      <c r="AD450" s="70"/>
      <c r="AE450" s="70"/>
      <c r="AF450" s="70"/>
      <c r="AG450" s="201"/>
      <c r="AH450" s="202"/>
      <c r="AI450" s="201"/>
      <c r="AJ450" s="201"/>
      <c r="AK450" s="70"/>
      <c r="AL450" s="70"/>
      <c r="AM450" s="70"/>
      <c r="AN450" s="70"/>
      <c r="AO450" s="70"/>
      <c r="AP450" s="70"/>
      <c r="AQ450" s="70"/>
      <c r="AR450" s="70"/>
      <c r="AS450" s="70"/>
      <c r="AT450" s="70"/>
      <c r="AU450" s="70"/>
      <c r="AV450" s="70"/>
      <c r="AW450" s="70"/>
      <c r="AX450" s="70"/>
    </row>
    <row r="451">
      <c r="A451" s="8"/>
      <c r="B451" s="70"/>
      <c r="C451" s="70"/>
      <c r="D451" s="70"/>
      <c r="E451" s="8"/>
      <c r="F451" s="70"/>
      <c r="G451" s="70"/>
      <c r="H451" s="70"/>
      <c r="I451" s="8"/>
      <c r="J451" s="70"/>
      <c r="K451" s="70"/>
      <c r="L451" s="70"/>
      <c r="M451" s="8"/>
      <c r="N451" s="70"/>
      <c r="O451" s="70"/>
      <c r="P451" s="70"/>
      <c r="Q451" s="8"/>
      <c r="R451" s="70"/>
      <c r="S451" s="70"/>
      <c r="T451" s="70"/>
      <c r="U451" s="8"/>
      <c r="V451" s="70"/>
      <c r="W451" s="70"/>
      <c r="X451" s="70"/>
      <c r="Y451" s="200"/>
      <c r="Z451" s="195"/>
      <c r="AA451" s="195"/>
      <c r="AB451" s="195"/>
      <c r="AC451" s="8"/>
      <c r="AD451" s="70"/>
      <c r="AE451" s="70"/>
      <c r="AF451" s="70"/>
      <c r="AG451" s="201"/>
      <c r="AH451" s="202"/>
      <c r="AI451" s="201"/>
      <c r="AJ451" s="201"/>
      <c r="AK451" s="70"/>
      <c r="AL451" s="70"/>
      <c r="AM451" s="70"/>
      <c r="AN451" s="70"/>
      <c r="AO451" s="70"/>
      <c r="AP451" s="70"/>
      <c r="AQ451" s="70"/>
      <c r="AR451" s="70"/>
      <c r="AS451" s="70"/>
      <c r="AT451" s="70"/>
      <c r="AU451" s="70"/>
      <c r="AV451" s="70"/>
      <c r="AW451" s="70"/>
      <c r="AX451" s="70"/>
    </row>
    <row r="452">
      <c r="A452" s="8"/>
      <c r="B452" s="70"/>
      <c r="C452" s="70"/>
      <c r="D452" s="70"/>
      <c r="E452" s="8"/>
      <c r="F452" s="70"/>
      <c r="G452" s="70"/>
      <c r="H452" s="70"/>
      <c r="I452" s="8"/>
      <c r="J452" s="70"/>
      <c r="K452" s="70"/>
      <c r="L452" s="70"/>
      <c r="M452" s="8"/>
      <c r="N452" s="70"/>
      <c r="O452" s="70"/>
      <c r="P452" s="70"/>
      <c r="Q452" s="8"/>
      <c r="R452" s="70"/>
      <c r="S452" s="70"/>
      <c r="T452" s="70"/>
      <c r="U452" s="8"/>
      <c r="V452" s="70"/>
      <c r="W452" s="70"/>
      <c r="X452" s="70"/>
      <c r="Y452" s="200"/>
      <c r="Z452" s="195"/>
      <c r="AA452" s="195"/>
      <c r="AB452" s="195"/>
      <c r="AC452" s="8"/>
      <c r="AD452" s="70"/>
      <c r="AE452" s="70"/>
      <c r="AF452" s="70"/>
      <c r="AG452" s="201"/>
      <c r="AH452" s="202"/>
      <c r="AI452" s="201"/>
      <c r="AJ452" s="201"/>
      <c r="AK452" s="70"/>
      <c r="AL452" s="70"/>
      <c r="AM452" s="70"/>
      <c r="AN452" s="70"/>
      <c r="AO452" s="70"/>
      <c r="AP452" s="70"/>
      <c r="AQ452" s="70"/>
      <c r="AR452" s="70"/>
      <c r="AS452" s="70"/>
      <c r="AT452" s="70"/>
      <c r="AU452" s="70"/>
      <c r="AV452" s="70"/>
      <c r="AW452" s="70"/>
      <c r="AX452" s="70"/>
    </row>
    <row r="453">
      <c r="A453" s="8"/>
      <c r="B453" s="70"/>
      <c r="C453" s="70"/>
      <c r="D453" s="70"/>
      <c r="E453" s="8"/>
      <c r="F453" s="70"/>
      <c r="G453" s="70"/>
      <c r="H453" s="70"/>
      <c r="I453" s="8"/>
      <c r="J453" s="70"/>
      <c r="K453" s="70"/>
      <c r="L453" s="70"/>
      <c r="M453" s="8"/>
      <c r="N453" s="70"/>
      <c r="O453" s="70"/>
      <c r="P453" s="70"/>
      <c r="Q453" s="8"/>
      <c r="R453" s="70"/>
      <c r="S453" s="70"/>
      <c r="T453" s="70"/>
      <c r="U453" s="8"/>
      <c r="V453" s="70"/>
      <c r="W453" s="70"/>
      <c r="X453" s="70"/>
      <c r="Y453" s="200"/>
      <c r="Z453" s="195"/>
      <c r="AA453" s="195"/>
      <c r="AB453" s="195"/>
      <c r="AC453" s="8"/>
      <c r="AD453" s="70"/>
      <c r="AE453" s="70"/>
      <c r="AF453" s="70"/>
      <c r="AG453" s="201"/>
      <c r="AH453" s="202"/>
      <c r="AI453" s="201"/>
      <c r="AJ453" s="201"/>
      <c r="AK453" s="70"/>
      <c r="AL453" s="70"/>
      <c r="AM453" s="70"/>
      <c r="AN453" s="70"/>
      <c r="AO453" s="70"/>
      <c r="AP453" s="70"/>
      <c r="AQ453" s="70"/>
      <c r="AR453" s="70"/>
      <c r="AS453" s="70"/>
      <c r="AT453" s="70"/>
      <c r="AU453" s="70"/>
      <c r="AV453" s="70"/>
      <c r="AW453" s="70"/>
      <c r="AX453" s="70"/>
    </row>
    <row r="454">
      <c r="A454" s="8"/>
      <c r="B454" s="70"/>
      <c r="C454" s="70"/>
      <c r="D454" s="70"/>
      <c r="E454" s="8"/>
      <c r="F454" s="70"/>
      <c r="G454" s="70"/>
      <c r="H454" s="70"/>
      <c r="I454" s="8"/>
      <c r="J454" s="70"/>
      <c r="K454" s="70"/>
      <c r="L454" s="70"/>
      <c r="M454" s="8"/>
      <c r="N454" s="70"/>
      <c r="O454" s="70"/>
      <c r="P454" s="70"/>
      <c r="Q454" s="8"/>
      <c r="R454" s="70"/>
      <c r="S454" s="70"/>
      <c r="T454" s="70"/>
      <c r="U454" s="8"/>
      <c r="V454" s="70"/>
      <c r="W454" s="70"/>
      <c r="X454" s="70"/>
      <c r="Y454" s="200"/>
      <c r="Z454" s="195"/>
      <c r="AA454" s="195"/>
      <c r="AB454" s="195"/>
      <c r="AC454" s="8"/>
      <c r="AD454" s="70"/>
      <c r="AE454" s="70"/>
      <c r="AF454" s="70"/>
      <c r="AG454" s="201"/>
      <c r="AH454" s="202"/>
      <c r="AI454" s="201"/>
      <c r="AJ454" s="201"/>
      <c r="AK454" s="70"/>
      <c r="AL454" s="70"/>
      <c r="AM454" s="70"/>
      <c r="AN454" s="70"/>
      <c r="AO454" s="70"/>
      <c r="AP454" s="70"/>
      <c r="AQ454" s="70"/>
      <c r="AR454" s="70"/>
      <c r="AS454" s="70"/>
      <c r="AT454" s="70"/>
      <c r="AU454" s="70"/>
      <c r="AV454" s="70"/>
      <c r="AW454" s="70"/>
      <c r="AX454" s="70"/>
    </row>
    <row r="455">
      <c r="A455" s="8"/>
      <c r="B455" s="70"/>
      <c r="C455" s="70"/>
      <c r="D455" s="70"/>
      <c r="E455" s="8"/>
      <c r="F455" s="70"/>
      <c r="G455" s="70"/>
      <c r="H455" s="70"/>
      <c r="I455" s="8"/>
      <c r="J455" s="70"/>
      <c r="K455" s="70"/>
      <c r="L455" s="70"/>
      <c r="M455" s="8"/>
      <c r="N455" s="70"/>
      <c r="O455" s="70"/>
      <c r="P455" s="70"/>
      <c r="Q455" s="8"/>
      <c r="R455" s="70"/>
      <c r="S455" s="70"/>
      <c r="T455" s="70"/>
      <c r="U455" s="8"/>
      <c r="V455" s="70"/>
      <c r="W455" s="70"/>
      <c r="X455" s="70"/>
      <c r="Y455" s="200"/>
      <c r="Z455" s="195"/>
      <c r="AA455" s="195"/>
      <c r="AB455" s="195"/>
      <c r="AC455" s="8"/>
      <c r="AD455" s="70"/>
      <c r="AE455" s="70"/>
      <c r="AF455" s="70"/>
      <c r="AG455" s="201"/>
      <c r="AH455" s="202"/>
      <c r="AI455" s="201"/>
      <c r="AJ455" s="201"/>
      <c r="AK455" s="70"/>
      <c r="AL455" s="70"/>
      <c r="AM455" s="70"/>
      <c r="AN455" s="70"/>
      <c r="AO455" s="70"/>
      <c r="AP455" s="70"/>
      <c r="AQ455" s="70"/>
      <c r="AR455" s="70"/>
      <c r="AS455" s="70"/>
      <c r="AT455" s="70"/>
      <c r="AU455" s="70"/>
      <c r="AV455" s="70"/>
      <c r="AW455" s="70"/>
      <c r="AX455" s="70"/>
    </row>
    <row r="456">
      <c r="A456" s="8"/>
      <c r="B456" s="70"/>
      <c r="C456" s="70"/>
      <c r="D456" s="70"/>
      <c r="E456" s="8"/>
      <c r="F456" s="70"/>
      <c r="G456" s="70"/>
      <c r="H456" s="70"/>
      <c r="I456" s="8"/>
      <c r="J456" s="70"/>
      <c r="K456" s="70"/>
      <c r="L456" s="70"/>
      <c r="M456" s="8"/>
      <c r="N456" s="70"/>
      <c r="O456" s="70"/>
      <c r="P456" s="70"/>
      <c r="Q456" s="8"/>
      <c r="R456" s="70"/>
      <c r="S456" s="70"/>
      <c r="T456" s="70"/>
      <c r="U456" s="8"/>
      <c r="V456" s="70"/>
      <c r="W456" s="70"/>
      <c r="X456" s="70"/>
      <c r="Y456" s="200"/>
      <c r="Z456" s="195"/>
      <c r="AA456" s="195"/>
      <c r="AB456" s="195"/>
      <c r="AC456" s="8"/>
      <c r="AD456" s="70"/>
      <c r="AE456" s="70"/>
      <c r="AF456" s="70"/>
      <c r="AG456" s="201"/>
      <c r="AH456" s="202"/>
      <c r="AI456" s="201"/>
      <c r="AJ456" s="201"/>
      <c r="AK456" s="70"/>
      <c r="AL456" s="70"/>
      <c r="AM456" s="70"/>
      <c r="AN456" s="70"/>
      <c r="AO456" s="70"/>
      <c r="AP456" s="70"/>
      <c r="AQ456" s="70"/>
      <c r="AR456" s="70"/>
      <c r="AS456" s="70"/>
      <c r="AT456" s="70"/>
      <c r="AU456" s="70"/>
      <c r="AV456" s="70"/>
      <c r="AW456" s="70"/>
      <c r="AX456" s="70"/>
    </row>
    <row r="457">
      <c r="A457" s="8"/>
      <c r="B457" s="70"/>
      <c r="C457" s="70"/>
      <c r="D457" s="70"/>
      <c r="E457" s="8"/>
      <c r="F457" s="70"/>
      <c r="G457" s="70"/>
      <c r="H457" s="70"/>
      <c r="I457" s="8"/>
      <c r="J457" s="70"/>
      <c r="K457" s="70"/>
      <c r="L457" s="70"/>
      <c r="M457" s="8"/>
      <c r="N457" s="70"/>
      <c r="O457" s="70"/>
      <c r="P457" s="70"/>
      <c r="Q457" s="8"/>
      <c r="R457" s="70"/>
      <c r="S457" s="70"/>
      <c r="T457" s="70"/>
      <c r="U457" s="8"/>
      <c r="V457" s="70"/>
      <c r="W457" s="70"/>
      <c r="X457" s="70"/>
      <c r="Y457" s="200"/>
      <c r="Z457" s="195"/>
      <c r="AA457" s="195"/>
      <c r="AB457" s="195"/>
      <c r="AC457" s="8"/>
      <c r="AD457" s="70"/>
      <c r="AE457" s="70"/>
      <c r="AF457" s="70"/>
      <c r="AG457" s="201"/>
      <c r="AH457" s="202"/>
      <c r="AI457" s="201"/>
      <c r="AJ457" s="201"/>
      <c r="AK457" s="70"/>
      <c r="AL457" s="70"/>
      <c r="AM457" s="70"/>
      <c r="AN457" s="70"/>
      <c r="AO457" s="70"/>
      <c r="AP457" s="70"/>
      <c r="AQ457" s="70"/>
      <c r="AR457" s="70"/>
      <c r="AS457" s="70"/>
      <c r="AT457" s="70"/>
      <c r="AU457" s="70"/>
      <c r="AV457" s="70"/>
      <c r="AW457" s="70"/>
      <c r="AX457" s="70"/>
    </row>
    <row r="458">
      <c r="A458" s="8"/>
      <c r="B458" s="70"/>
      <c r="C458" s="70"/>
      <c r="D458" s="70"/>
      <c r="E458" s="8"/>
      <c r="F458" s="70"/>
      <c r="G458" s="70"/>
      <c r="H458" s="70"/>
      <c r="I458" s="8"/>
      <c r="J458" s="70"/>
      <c r="K458" s="70"/>
      <c r="L458" s="70"/>
      <c r="M458" s="8"/>
      <c r="N458" s="70"/>
      <c r="O458" s="70"/>
      <c r="P458" s="70"/>
      <c r="Q458" s="8"/>
      <c r="R458" s="70"/>
      <c r="S458" s="70"/>
      <c r="T458" s="70"/>
      <c r="U458" s="8"/>
      <c r="V458" s="70"/>
      <c r="W458" s="70"/>
      <c r="X458" s="70"/>
      <c r="Y458" s="200"/>
      <c r="Z458" s="195"/>
      <c r="AA458" s="195"/>
      <c r="AB458" s="195"/>
      <c r="AC458" s="8"/>
      <c r="AD458" s="70"/>
      <c r="AE458" s="70"/>
      <c r="AF458" s="70"/>
      <c r="AG458" s="201"/>
      <c r="AH458" s="202"/>
      <c r="AI458" s="201"/>
      <c r="AJ458" s="201"/>
      <c r="AK458" s="70"/>
      <c r="AL458" s="70"/>
      <c r="AM458" s="70"/>
      <c r="AN458" s="70"/>
      <c r="AO458" s="70"/>
      <c r="AP458" s="70"/>
      <c r="AQ458" s="70"/>
      <c r="AR458" s="70"/>
      <c r="AS458" s="70"/>
      <c r="AT458" s="70"/>
      <c r="AU458" s="70"/>
      <c r="AV458" s="70"/>
      <c r="AW458" s="70"/>
      <c r="AX458" s="70"/>
    </row>
    <row r="459">
      <c r="A459" s="8"/>
      <c r="B459" s="70"/>
      <c r="C459" s="70"/>
      <c r="D459" s="70"/>
      <c r="E459" s="8"/>
      <c r="F459" s="70"/>
      <c r="G459" s="70"/>
      <c r="H459" s="70"/>
      <c r="I459" s="8"/>
      <c r="J459" s="70"/>
      <c r="K459" s="70"/>
      <c r="L459" s="70"/>
      <c r="M459" s="8"/>
      <c r="N459" s="70"/>
      <c r="O459" s="70"/>
      <c r="P459" s="70"/>
      <c r="Q459" s="8"/>
      <c r="R459" s="70"/>
      <c r="S459" s="70"/>
      <c r="T459" s="70"/>
      <c r="U459" s="8"/>
      <c r="V459" s="70"/>
      <c r="W459" s="70"/>
      <c r="X459" s="70"/>
      <c r="Y459" s="200"/>
      <c r="Z459" s="195"/>
      <c r="AA459" s="195"/>
      <c r="AB459" s="195"/>
      <c r="AC459" s="8"/>
      <c r="AD459" s="70"/>
      <c r="AE459" s="70"/>
      <c r="AF459" s="70"/>
      <c r="AG459" s="201"/>
      <c r="AH459" s="202"/>
      <c r="AI459" s="201"/>
      <c r="AJ459" s="201"/>
      <c r="AK459" s="70"/>
      <c r="AL459" s="70"/>
      <c r="AM459" s="70"/>
      <c r="AN459" s="70"/>
      <c r="AO459" s="70"/>
      <c r="AP459" s="70"/>
      <c r="AQ459" s="70"/>
      <c r="AR459" s="70"/>
      <c r="AS459" s="70"/>
      <c r="AT459" s="70"/>
      <c r="AU459" s="70"/>
      <c r="AV459" s="70"/>
      <c r="AW459" s="70"/>
      <c r="AX459" s="70"/>
    </row>
    <row r="460">
      <c r="A460" s="8"/>
      <c r="B460" s="70"/>
      <c r="C460" s="70"/>
      <c r="D460" s="70"/>
      <c r="E460" s="8"/>
      <c r="F460" s="70"/>
      <c r="G460" s="70"/>
      <c r="H460" s="70"/>
      <c r="I460" s="8"/>
      <c r="J460" s="70"/>
      <c r="K460" s="70"/>
      <c r="L460" s="70"/>
      <c r="M460" s="8"/>
      <c r="N460" s="70"/>
      <c r="O460" s="70"/>
      <c r="P460" s="70"/>
      <c r="Q460" s="8"/>
      <c r="R460" s="70"/>
      <c r="S460" s="70"/>
      <c r="T460" s="70"/>
      <c r="U460" s="8"/>
      <c r="V460" s="70"/>
      <c r="W460" s="70"/>
      <c r="X460" s="70"/>
      <c r="Y460" s="200"/>
      <c r="Z460" s="195"/>
      <c r="AA460" s="195"/>
      <c r="AB460" s="195"/>
      <c r="AC460" s="8"/>
      <c r="AD460" s="70"/>
      <c r="AE460" s="70"/>
      <c r="AF460" s="70"/>
      <c r="AG460" s="201"/>
      <c r="AH460" s="202"/>
      <c r="AI460" s="201"/>
      <c r="AJ460" s="201"/>
      <c r="AK460" s="70"/>
      <c r="AL460" s="70"/>
      <c r="AM460" s="70"/>
      <c r="AN460" s="70"/>
      <c r="AO460" s="70"/>
      <c r="AP460" s="70"/>
      <c r="AQ460" s="70"/>
      <c r="AR460" s="70"/>
      <c r="AS460" s="70"/>
      <c r="AT460" s="70"/>
      <c r="AU460" s="70"/>
      <c r="AV460" s="70"/>
      <c r="AW460" s="70"/>
      <c r="AX460" s="70"/>
    </row>
    <row r="461">
      <c r="A461" s="8"/>
      <c r="B461" s="70"/>
      <c r="C461" s="70"/>
      <c r="D461" s="70"/>
      <c r="E461" s="8"/>
      <c r="F461" s="70"/>
      <c r="G461" s="70"/>
      <c r="H461" s="70"/>
      <c r="I461" s="8"/>
      <c r="J461" s="70"/>
      <c r="K461" s="70"/>
      <c r="L461" s="70"/>
      <c r="M461" s="8"/>
      <c r="N461" s="70"/>
      <c r="O461" s="70"/>
      <c r="P461" s="70"/>
      <c r="Q461" s="8"/>
      <c r="R461" s="70"/>
      <c r="S461" s="70"/>
      <c r="T461" s="70"/>
      <c r="U461" s="8"/>
      <c r="V461" s="70"/>
      <c r="W461" s="70"/>
      <c r="X461" s="70"/>
      <c r="Y461" s="200"/>
      <c r="Z461" s="195"/>
      <c r="AA461" s="195"/>
      <c r="AB461" s="195"/>
      <c r="AC461" s="8"/>
      <c r="AD461" s="70"/>
      <c r="AE461" s="70"/>
      <c r="AF461" s="70"/>
      <c r="AG461" s="201"/>
      <c r="AH461" s="202"/>
      <c r="AI461" s="201"/>
      <c r="AJ461" s="201"/>
      <c r="AK461" s="70"/>
      <c r="AL461" s="70"/>
      <c r="AM461" s="70"/>
      <c r="AN461" s="70"/>
      <c r="AO461" s="70"/>
      <c r="AP461" s="70"/>
      <c r="AQ461" s="70"/>
      <c r="AR461" s="70"/>
      <c r="AS461" s="70"/>
      <c r="AT461" s="70"/>
      <c r="AU461" s="70"/>
      <c r="AV461" s="70"/>
      <c r="AW461" s="70"/>
      <c r="AX461" s="70"/>
    </row>
    <row r="462">
      <c r="A462" s="8"/>
      <c r="B462" s="70"/>
      <c r="C462" s="70"/>
      <c r="D462" s="70"/>
      <c r="E462" s="8"/>
      <c r="F462" s="70"/>
      <c r="G462" s="70"/>
      <c r="H462" s="70"/>
      <c r="I462" s="8"/>
      <c r="J462" s="70"/>
      <c r="K462" s="70"/>
      <c r="L462" s="70"/>
      <c r="M462" s="8"/>
      <c r="N462" s="70"/>
      <c r="O462" s="70"/>
      <c r="P462" s="70"/>
      <c r="Q462" s="8"/>
      <c r="R462" s="70"/>
      <c r="S462" s="70"/>
      <c r="T462" s="70"/>
      <c r="U462" s="8"/>
      <c r="V462" s="70"/>
      <c r="W462" s="70"/>
      <c r="X462" s="70"/>
      <c r="Y462" s="200"/>
      <c r="Z462" s="195"/>
      <c r="AA462" s="195"/>
      <c r="AB462" s="195"/>
      <c r="AC462" s="8"/>
      <c r="AD462" s="70"/>
      <c r="AE462" s="70"/>
      <c r="AF462" s="70"/>
      <c r="AG462" s="201"/>
      <c r="AH462" s="202"/>
      <c r="AI462" s="201"/>
      <c r="AJ462" s="201"/>
      <c r="AK462" s="70"/>
      <c r="AL462" s="70"/>
      <c r="AM462" s="70"/>
      <c r="AN462" s="70"/>
      <c r="AO462" s="70"/>
      <c r="AP462" s="70"/>
      <c r="AQ462" s="70"/>
      <c r="AR462" s="70"/>
      <c r="AS462" s="70"/>
      <c r="AT462" s="70"/>
      <c r="AU462" s="70"/>
      <c r="AV462" s="70"/>
      <c r="AW462" s="70"/>
      <c r="AX462" s="70"/>
    </row>
    <row r="463">
      <c r="A463" s="8"/>
      <c r="B463" s="70"/>
      <c r="C463" s="70"/>
      <c r="D463" s="70"/>
      <c r="E463" s="8"/>
      <c r="F463" s="70"/>
      <c r="G463" s="70"/>
      <c r="H463" s="70"/>
      <c r="I463" s="8"/>
      <c r="J463" s="70"/>
      <c r="K463" s="70"/>
      <c r="L463" s="70"/>
      <c r="M463" s="8"/>
      <c r="N463" s="70"/>
      <c r="O463" s="70"/>
      <c r="P463" s="70"/>
      <c r="Q463" s="8"/>
      <c r="R463" s="70"/>
      <c r="S463" s="70"/>
      <c r="T463" s="70"/>
      <c r="U463" s="8"/>
      <c r="V463" s="70"/>
      <c r="W463" s="70"/>
      <c r="X463" s="70"/>
      <c r="Y463" s="200"/>
      <c r="Z463" s="195"/>
      <c r="AA463" s="195"/>
      <c r="AB463" s="195"/>
      <c r="AC463" s="8"/>
      <c r="AD463" s="70"/>
      <c r="AE463" s="70"/>
      <c r="AF463" s="70"/>
      <c r="AG463" s="201"/>
      <c r="AH463" s="202"/>
      <c r="AI463" s="201"/>
      <c r="AJ463" s="201"/>
      <c r="AK463" s="70"/>
      <c r="AL463" s="70"/>
      <c r="AM463" s="70"/>
      <c r="AN463" s="70"/>
      <c r="AO463" s="70"/>
      <c r="AP463" s="70"/>
      <c r="AQ463" s="70"/>
      <c r="AR463" s="70"/>
      <c r="AS463" s="70"/>
      <c r="AT463" s="70"/>
      <c r="AU463" s="70"/>
      <c r="AV463" s="70"/>
      <c r="AW463" s="70"/>
      <c r="AX463" s="70"/>
    </row>
    <row r="464">
      <c r="A464" s="8"/>
      <c r="B464" s="70"/>
      <c r="C464" s="70"/>
      <c r="D464" s="70"/>
      <c r="E464" s="8"/>
      <c r="F464" s="70"/>
      <c r="G464" s="70"/>
      <c r="H464" s="70"/>
      <c r="I464" s="8"/>
      <c r="J464" s="70"/>
      <c r="K464" s="70"/>
      <c r="L464" s="70"/>
      <c r="M464" s="8"/>
      <c r="N464" s="70"/>
      <c r="O464" s="70"/>
      <c r="P464" s="70"/>
      <c r="Q464" s="8"/>
      <c r="R464" s="70"/>
      <c r="S464" s="70"/>
      <c r="T464" s="70"/>
      <c r="U464" s="8"/>
      <c r="V464" s="70"/>
      <c r="W464" s="70"/>
      <c r="X464" s="70"/>
      <c r="Y464" s="200"/>
      <c r="Z464" s="195"/>
      <c r="AA464" s="195"/>
      <c r="AB464" s="195"/>
      <c r="AC464" s="8"/>
      <c r="AD464" s="70"/>
      <c r="AE464" s="70"/>
      <c r="AF464" s="70"/>
      <c r="AG464" s="201"/>
      <c r="AH464" s="202"/>
      <c r="AI464" s="201"/>
      <c r="AJ464" s="201"/>
      <c r="AK464" s="70"/>
      <c r="AL464" s="70"/>
      <c r="AM464" s="70"/>
      <c r="AN464" s="70"/>
      <c r="AO464" s="70"/>
      <c r="AP464" s="70"/>
      <c r="AQ464" s="70"/>
      <c r="AR464" s="70"/>
      <c r="AS464" s="70"/>
      <c r="AT464" s="70"/>
      <c r="AU464" s="70"/>
      <c r="AV464" s="70"/>
      <c r="AW464" s="70"/>
      <c r="AX464" s="70"/>
    </row>
    <row r="465">
      <c r="A465" s="8"/>
      <c r="B465" s="70"/>
      <c r="C465" s="70"/>
      <c r="D465" s="70"/>
      <c r="E465" s="8"/>
      <c r="F465" s="70"/>
      <c r="G465" s="70"/>
      <c r="H465" s="70"/>
      <c r="I465" s="8"/>
      <c r="J465" s="70"/>
      <c r="K465" s="70"/>
      <c r="L465" s="70"/>
      <c r="M465" s="8"/>
      <c r="N465" s="70"/>
      <c r="O465" s="70"/>
      <c r="P465" s="70"/>
      <c r="Q465" s="8"/>
      <c r="R465" s="70"/>
      <c r="S465" s="70"/>
      <c r="T465" s="70"/>
      <c r="U465" s="8"/>
      <c r="V465" s="70"/>
      <c r="W465" s="70"/>
      <c r="X465" s="70"/>
      <c r="Y465" s="200"/>
      <c r="Z465" s="195"/>
      <c r="AA465" s="195"/>
      <c r="AB465" s="195"/>
      <c r="AC465" s="8"/>
      <c r="AD465" s="70"/>
      <c r="AE465" s="70"/>
      <c r="AF465" s="70"/>
      <c r="AG465" s="201"/>
      <c r="AH465" s="202"/>
      <c r="AI465" s="201"/>
      <c r="AJ465" s="201"/>
      <c r="AK465" s="70"/>
      <c r="AL465" s="70"/>
      <c r="AM465" s="70"/>
      <c r="AN465" s="70"/>
      <c r="AO465" s="70"/>
      <c r="AP465" s="70"/>
      <c r="AQ465" s="70"/>
      <c r="AR465" s="70"/>
      <c r="AS465" s="70"/>
      <c r="AT465" s="70"/>
      <c r="AU465" s="70"/>
      <c r="AV465" s="70"/>
      <c r="AW465" s="70"/>
      <c r="AX465" s="70"/>
    </row>
    <row r="466">
      <c r="A466" s="8"/>
      <c r="B466" s="70"/>
      <c r="C466" s="70"/>
      <c r="D466" s="70"/>
      <c r="E466" s="8"/>
      <c r="F466" s="70"/>
      <c r="G466" s="70"/>
      <c r="H466" s="70"/>
      <c r="I466" s="8"/>
      <c r="J466" s="70"/>
      <c r="K466" s="70"/>
      <c r="L466" s="70"/>
      <c r="M466" s="8"/>
      <c r="N466" s="70"/>
      <c r="O466" s="70"/>
      <c r="P466" s="70"/>
      <c r="Q466" s="8"/>
      <c r="R466" s="70"/>
      <c r="S466" s="70"/>
      <c r="T466" s="70"/>
      <c r="U466" s="8"/>
      <c r="V466" s="70"/>
      <c r="W466" s="70"/>
      <c r="X466" s="70"/>
      <c r="Y466" s="200"/>
      <c r="Z466" s="195"/>
      <c r="AA466" s="195"/>
      <c r="AB466" s="195"/>
      <c r="AC466" s="8"/>
      <c r="AD466" s="70"/>
      <c r="AE466" s="70"/>
      <c r="AF466" s="70"/>
      <c r="AG466" s="201"/>
      <c r="AH466" s="202"/>
      <c r="AI466" s="201"/>
      <c r="AJ466" s="201"/>
      <c r="AK466" s="70"/>
      <c r="AL466" s="70"/>
      <c r="AM466" s="70"/>
      <c r="AN466" s="70"/>
      <c r="AO466" s="70"/>
      <c r="AP466" s="70"/>
      <c r="AQ466" s="70"/>
      <c r="AR466" s="70"/>
      <c r="AS466" s="70"/>
      <c r="AT466" s="70"/>
      <c r="AU466" s="70"/>
      <c r="AV466" s="70"/>
      <c r="AW466" s="70"/>
      <c r="AX466" s="70"/>
    </row>
    <row r="467">
      <c r="A467" s="8"/>
      <c r="B467" s="70"/>
      <c r="C467" s="70"/>
      <c r="D467" s="70"/>
      <c r="E467" s="8"/>
      <c r="F467" s="70"/>
      <c r="G467" s="70"/>
      <c r="H467" s="70"/>
      <c r="I467" s="8"/>
      <c r="J467" s="70"/>
      <c r="K467" s="70"/>
      <c r="L467" s="70"/>
      <c r="M467" s="8"/>
      <c r="N467" s="70"/>
      <c r="O467" s="70"/>
      <c r="P467" s="70"/>
      <c r="Q467" s="8"/>
      <c r="R467" s="70"/>
      <c r="S467" s="70"/>
      <c r="T467" s="70"/>
      <c r="U467" s="8"/>
      <c r="V467" s="70"/>
      <c r="W467" s="70"/>
      <c r="X467" s="70"/>
      <c r="Y467" s="200"/>
      <c r="Z467" s="195"/>
      <c r="AA467" s="195"/>
      <c r="AB467" s="195"/>
      <c r="AC467" s="8"/>
      <c r="AD467" s="70"/>
      <c r="AE467" s="70"/>
      <c r="AF467" s="70"/>
      <c r="AG467" s="201"/>
      <c r="AH467" s="202"/>
      <c r="AI467" s="201"/>
      <c r="AJ467" s="201"/>
      <c r="AK467" s="70"/>
      <c r="AL467" s="70"/>
      <c r="AM467" s="70"/>
      <c r="AN467" s="70"/>
      <c r="AO467" s="70"/>
      <c r="AP467" s="70"/>
      <c r="AQ467" s="70"/>
      <c r="AR467" s="70"/>
      <c r="AS467" s="70"/>
      <c r="AT467" s="70"/>
      <c r="AU467" s="70"/>
      <c r="AV467" s="70"/>
      <c r="AW467" s="70"/>
      <c r="AX467" s="70"/>
    </row>
    <row r="468">
      <c r="A468" s="8"/>
      <c r="B468" s="70"/>
      <c r="C468" s="70"/>
      <c r="D468" s="70"/>
      <c r="E468" s="8"/>
      <c r="F468" s="70"/>
      <c r="G468" s="70"/>
      <c r="H468" s="70"/>
      <c r="I468" s="8"/>
      <c r="J468" s="70"/>
      <c r="K468" s="70"/>
      <c r="L468" s="70"/>
      <c r="M468" s="8"/>
      <c r="N468" s="70"/>
      <c r="O468" s="70"/>
      <c r="P468" s="70"/>
      <c r="Q468" s="8"/>
      <c r="R468" s="70"/>
      <c r="S468" s="70"/>
      <c r="T468" s="70"/>
      <c r="U468" s="8"/>
      <c r="V468" s="70"/>
      <c r="W468" s="70"/>
      <c r="X468" s="70"/>
      <c r="Y468" s="200"/>
      <c r="Z468" s="195"/>
      <c r="AA468" s="195"/>
      <c r="AB468" s="195"/>
      <c r="AC468" s="8"/>
      <c r="AD468" s="70"/>
      <c r="AE468" s="70"/>
      <c r="AF468" s="70"/>
      <c r="AG468" s="201"/>
      <c r="AH468" s="202"/>
      <c r="AI468" s="201"/>
      <c r="AJ468" s="201"/>
      <c r="AK468" s="70"/>
      <c r="AL468" s="70"/>
      <c r="AM468" s="70"/>
      <c r="AN468" s="70"/>
      <c r="AO468" s="70"/>
      <c r="AP468" s="70"/>
      <c r="AQ468" s="70"/>
      <c r="AR468" s="70"/>
      <c r="AS468" s="70"/>
      <c r="AT468" s="70"/>
      <c r="AU468" s="70"/>
      <c r="AV468" s="70"/>
      <c r="AW468" s="70"/>
      <c r="AX468" s="70"/>
    </row>
    <row r="469">
      <c r="A469" s="8"/>
      <c r="B469" s="70"/>
      <c r="C469" s="70"/>
      <c r="D469" s="70"/>
      <c r="E469" s="8"/>
      <c r="F469" s="70"/>
      <c r="G469" s="70"/>
      <c r="H469" s="70"/>
      <c r="I469" s="8"/>
      <c r="J469" s="70"/>
      <c r="K469" s="70"/>
      <c r="L469" s="70"/>
      <c r="M469" s="8"/>
      <c r="N469" s="70"/>
      <c r="O469" s="70"/>
      <c r="P469" s="70"/>
      <c r="Q469" s="8"/>
      <c r="R469" s="70"/>
      <c r="S469" s="70"/>
      <c r="T469" s="70"/>
      <c r="U469" s="8"/>
      <c r="V469" s="70"/>
      <c r="W469" s="70"/>
      <c r="X469" s="70"/>
      <c r="Y469" s="200"/>
      <c r="Z469" s="195"/>
      <c r="AA469" s="195"/>
      <c r="AB469" s="195"/>
      <c r="AC469" s="8"/>
      <c r="AD469" s="70"/>
      <c r="AE469" s="70"/>
      <c r="AF469" s="70"/>
      <c r="AG469" s="201"/>
      <c r="AH469" s="202"/>
      <c r="AI469" s="201"/>
      <c r="AJ469" s="201"/>
      <c r="AK469" s="70"/>
      <c r="AL469" s="70"/>
      <c r="AM469" s="70"/>
      <c r="AN469" s="70"/>
      <c r="AO469" s="70"/>
      <c r="AP469" s="70"/>
      <c r="AQ469" s="70"/>
      <c r="AR469" s="70"/>
      <c r="AS469" s="70"/>
      <c r="AT469" s="70"/>
      <c r="AU469" s="70"/>
      <c r="AV469" s="70"/>
      <c r="AW469" s="70"/>
      <c r="AX469" s="70"/>
    </row>
    <row r="470">
      <c r="A470" s="8"/>
      <c r="B470" s="70"/>
      <c r="C470" s="70"/>
      <c r="D470" s="70"/>
      <c r="E470" s="8"/>
      <c r="F470" s="70"/>
      <c r="G470" s="70"/>
      <c r="H470" s="70"/>
      <c r="I470" s="8"/>
      <c r="J470" s="70"/>
      <c r="K470" s="70"/>
      <c r="L470" s="70"/>
      <c r="M470" s="8"/>
      <c r="N470" s="70"/>
      <c r="O470" s="70"/>
      <c r="P470" s="70"/>
      <c r="Q470" s="8"/>
      <c r="R470" s="70"/>
      <c r="S470" s="70"/>
      <c r="T470" s="70"/>
      <c r="U470" s="8"/>
      <c r="V470" s="70"/>
      <c r="W470" s="70"/>
      <c r="X470" s="70"/>
      <c r="Y470" s="200"/>
      <c r="Z470" s="195"/>
      <c r="AA470" s="195"/>
      <c r="AB470" s="195"/>
      <c r="AC470" s="8"/>
      <c r="AD470" s="70"/>
      <c r="AE470" s="70"/>
      <c r="AF470" s="70"/>
      <c r="AG470" s="201"/>
      <c r="AH470" s="202"/>
      <c r="AI470" s="201"/>
      <c r="AJ470" s="201"/>
      <c r="AK470" s="70"/>
      <c r="AL470" s="70"/>
      <c r="AM470" s="70"/>
      <c r="AN470" s="70"/>
      <c r="AO470" s="70"/>
      <c r="AP470" s="70"/>
      <c r="AQ470" s="70"/>
      <c r="AR470" s="70"/>
      <c r="AS470" s="70"/>
      <c r="AT470" s="70"/>
      <c r="AU470" s="70"/>
      <c r="AV470" s="70"/>
      <c r="AW470" s="70"/>
      <c r="AX470" s="70"/>
    </row>
    <row r="471">
      <c r="A471" s="8"/>
      <c r="B471" s="70"/>
      <c r="C471" s="70"/>
      <c r="D471" s="70"/>
      <c r="E471" s="8"/>
      <c r="F471" s="70"/>
      <c r="G471" s="70"/>
      <c r="H471" s="70"/>
      <c r="I471" s="8"/>
      <c r="J471" s="70"/>
      <c r="K471" s="70"/>
      <c r="L471" s="70"/>
      <c r="M471" s="8"/>
      <c r="N471" s="70"/>
      <c r="O471" s="70"/>
      <c r="P471" s="70"/>
      <c r="Q471" s="8"/>
      <c r="R471" s="70"/>
      <c r="S471" s="70"/>
      <c r="T471" s="70"/>
      <c r="U471" s="8"/>
      <c r="V471" s="70"/>
      <c r="W471" s="70"/>
      <c r="X471" s="70"/>
      <c r="Y471" s="200"/>
      <c r="Z471" s="195"/>
      <c r="AA471" s="195"/>
      <c r="AB471" s="195"/>
      <c r="AC471" s="8"/>
      <c r="AD471" s="70"/>
      <c r="AE471" s="70"/>
      <c r="AF471" s="70"/>
      <c r="AG471" s="201"/>
      <c r="AH471" s="202"/>
      <c r="AI471" s="201"/>
      <c r="AJ471" s="201"/>
      <c r="AK471" s="70"/>
      <c r="AL471" s="70"/>
      <c r="AM471" s="70"/>
      <c r="AN471" s="70"/>
      <c r="AO471" s="70"/>
      <c r="AP471" s="70"/>
      <c r="AQ471" s="70"/>
      <c r="AR471" s="70"/>
      <c r="AS471" s="70"/>
      <c r="AT471" s="70"/>
      <c r="AU471" s="70"/>
      <c r="AV471" s="70"/>
      <c r="AW471" s="70"/>
      <c r="AX471" s="70"/>
    </row>
    <row r="472">
      <c r="A472" s="8"/>
      <c r="B472" s="70"/>
      <c r="C472" s="70"/>
      <c r="D472" s="70"/>
      <c r="E472" s="8"/>
      <c r="F472" s="70"/>
      <c r="G472" s="70"/>
      <c r="H472" s="70"/>
      <c r="I472" s="8"/>
      <c r="J472" s="70"/>
      <c r="K472" s="70"/>
      <c r="L472" s="70"/>
      <c r="M472" s="8"/>
      <c r="N472" s="70"/>
      <c r="O472" s="70"/>
      <c r="P472" s="70"/>
      <c r="Q472" s="8"/>
      <c r="R472" s="70"/>
      <c r="S472" s="70"/>
      <c r="T472" s="70"/>
      <c r="U472" s="8"/>
      <c r="V472" s="70"/>
      <c r="W472" s="70"/>
      <c r="X472" s="70"/>
      <c r="Y472" s="200"/>
      <c r="Z472" s="195"/>
      <c r="AA472" s="195"/>
      <c r="AB472" s="195"/>
      <c r="AC472" s="8"/>
      <c r="AD472" s="70"/>
      <c r="AE472" s="70"/>
      <c r="AF472" s="70"/>
      <c r="AG472" s="201"/>
      <c r="AH472" s="202"/>
      <c r="AI472" s="201"/>
      <c r="AJ472" s="201"/>
      <c r="AK472" s="70"/>
      <c r="AL472" s="70"/>
      <c r="AM472" s="70"/>
      <c r="AN472" s="70"/>
      <c r="AO472" s="70"/>
      <c r="AP472" s="70"/>
      <c r="AQ472" s="70"/>
      <c r="AR472" s="70"/>
      <c r="AS472" s="70"/>
      <c r="AT472" s="70"/>
      <c r="AU472" s="70"/>
      <c r="AV472" s="70"/>
      <c r="AW472" s="70"/>
      <c r="AX472" s="70"/>
    </row>
    <row r="473">
      <c r="A473" s="8"/>
      <c r="B473" s="70"/>
      <c r="C473" s="70"/>
      <c r="D473" s="70"/>
      <c r="E473" s="8"/>
      <c r="F473" s="70"/>
      <c r="G473" s="70"/>
      <c r="H473" s="70"/>
      <c r="I473" s="8"/>
      <c r="J473" s="70"/>
      <c r="K473" s="70"/>
      <c r="L473" s="70"/>
      <c r="M473" s="8"/>
      <c r="N473" s="70"/>
      <c r="O473" s="70"/>
      <c r="P473" s="70"/>
      <c r="Q473" s="8"/>
      <c r="R473" s="70"/>
      <c r="S473" s="70"/>
      <c r="T473" s="70"/>
      <c r="U473" s="8"/>
      <c r="V473" s="70"/>
      <c r="W473" s="70"/>
      <c r="X473" s="70"/>
      <c r="Y473" s="200"/>
      <c r="Z473" s="195"/>
      <c r="AA473" s="195"/>
      <c r="AB473" s="195"/>
      <c r="AC473" s="8"/>
      <c r="AD473" s="70"/>
      <c r="AE473" s="70"/>
      <c r="AF473" s="70"/>
      <c r="AG473" s="201"/>
      <c r="AH473" s="202"/>
      <c r="AI473" s="201"/>
      <c r="AJ473" s="201"/>
      <c r="AK473" s="70"/>
      <c r="AL473" s="70"/>
      <c r="AM473" s="70"/>
      <c r="AN473" s="70"/>
      <c r="AO473" s="70"/>
      <c r="AP473" s="70"/>
      <c r="AQ473" s="70"/>
      <c r="AR473" s="70"/>
      <c r="AS473" s="70"/>
      <c r="AT473" s="70"/>
      <c r="AU473" s="70"/>
      <c r="AV473" s="70"/>
      <c r="AW473" s="70"/>
      <c r="AX473" s="70"/>
    </row>
    <row r="474">
      <c r="A474" s="8"/>
      <c r="B474" s="70"/>
      <c r="C474" s="70"/>
      <c r="D474" s="70"/>
      <c r="E474" s="8"/>
      <c r="F474" s="70"/>
      <c r="G474" s="70"/>
      <c r="H474" s="70"/>
      <c r="I474" s="8"/>
      <c r="J474" s="70"/>
      <c r="K474" s="70"/>
      <c r="L474" s="70"/>
      <c r="M474" s="8"/>
      <c r="N474" s="70"/>
      <c r="O474" s="70"/>
      <c r="P474" s="70"/>
      <c r="Q474" s="8"/>
      <c r="R474" s="70"/>
      <c r="S474" s="70"/>
      <c r="T474" s="70"/>
      <c r="U474" s="8"/>
      <c r="V474" s="70"/>
      <c r="W474" s="70"/>
      <c r="X474" s="70"/>
      <c r="Y474" s="200"/>
      <c r="Z474" s="195"/>
      <c r="AA474" s="195"/>
      <c r="AB474" s="195"/>
      <c r="AC474" s="8"/>
      <c r="AD474" s="70"/>
      <c r="AE474" s="70"/>
      <c r="AF474" s="70"/>
      <c r="AG474" s="201"/>
      <c r="AH474" s="202"/>
      <c r="AI474" s="201"/>
      <c r="AJ474" s="201"/>
      <c r="AK474" s="70"/>
      <c r="AL474" s="70"/>
      <c r="AM474" s="70"/>
      <c r="AN474" s="70"/>
      <c r="AO474" s="70"/>
      <c r="AP474" s="70"/>
      <c r="AQ474" s="70"/>
      <c r="AR474" s="70"/>
      <c r="AS474" s="70"/>
      <c r="AT474" s="70"/>
      <c r="AU474" s="70"/>
      <c r="AV474" s="70"/>
      <c r="AW474" s="70"/>
      <c r="AX474" s="70"/>
    </row>
    <row r="475">
      <c r="A475" s="8"/>
      <c r="B475" s="70"/>
      <c r="C475" s="70"/>
      <c r="D475" s="70"/>
      <c r="E475" s="8"/>
      <c r="F475" s="70"/>
      <c r="G475" s="70"/>
      <c r="H475" s="70"/>
      <c r="I475" s="8"/>
      <c r="J475" s="70"/>
      <c r="K475" s="70"/>
      <c r="L475" s="70"/>
      <c r="M475" s="8"/>
      <c r="N475" s="70"/>
      <c r="O475" s="70"/>
      <c r="P475" s="70"/>
      <c r="Q475" s="8"/>
      <c r="R475" s="70"/>
      <c r="S475" s="70"/>
      <c r="T475" s="70"/>
      <c r="U475" s="8"/>
      <c r="V475" s="70"/>
      <c r="W475" s="70"/>
      <c r="X475" s="70"/>
      <c r="Y475" s="200"/>
      <c r="Z475" s="195"/>
      <c r="AA475" s="195"/>
      <c r="AB475" s="195"/>
      <c r="AC475" s="8"/>
      <c r="AD475" s="70"/>
      <c r="AE475" s="70"/>
      <c r="AF475" s="70"/>
      <c r="AG475" s="201"/>
      <c r="AH475" s="202"/>
      <c r="AI475" s="201"/>
      <c r="AJ475" s="201"/>
      <c r="AK475" s="70"/>
      <c r="AL475" s="70"/>
      <c r="AM475" s="70"/>
      <c r="AN475" s="70"/>
      <c r="AO475" s="70"/>
      <c r="AP475" s="70"/>
      <c r="AQ475" s="70"/>
      <c r="AR475" s="70"/>
      <c r="AS475" s="70"/>
      <c r="AT475" s="70"/>
      <c r="AU475" s="70"/>
      <c r="AV475" s="70"/>
      <c r="AW475" s="70"/>
      <c r="AX475" s="70"/>
    </row>
    <row r="476">
      <c r="A476" s="8"/>
      <c r="B476" s="70"/>
      <c r="C476" s="70"/>
      <c r="D476" s="70"/>
      <c r="E476" s="8"/>
      <c r="F476" s="70"/>
      <c r="G476" s="70"/>
      <c r="H476" s="70"/>
      <c r="I476" s="8"/>
      <c r="J476" s="70"/>
      <c r="K476" s="70"/>
      <c r="L476" s="70"/>
      <c r="M476" s="8"/>
      <c r="N476" s="70"/>
      <c r="O476" s="70"/>
      <c r="P476" s="70"/>
      <c r="Q476" s="8"/>
      <c r="R476" s="70"/>
      <c r="S476" s="70"/>
      <c r="T476" s="70"/>
      <c r="U476" s="8"/>
      <c r="V476" s="70"/>
      <c r="W476" s="70"/>
      <c r="X476" s="70"/>
      <c r="Y476" s="200"/>
      <c r="Z476" s="195"/>
      <c r="AA476" s="195"/>
      <c r="AB476" s="195"/>
      <c r="AC476" s="8"/>
      <c r="AD476" s="70"/>
      <c r="AE476" s="70"/>
      <c r="AF476" s="70"/>
      <c r="AG476" s="201"/>
      <c r="AH476" s="202"/>
      <c r="AI476" s="201"/>
      <c r="AJ476" s="201"/>
      <c r="AK476" s="70"/>
      <c r="AL476" s="70"/>
      <c r="AM476" s="70"/>
      <c r="AN476" s="70"/>
      <c r="AO476" s="70"/>
      <c r="AP476" s="70"/>
      <c r="AQ476" s="70"/>
      <c r="AR476" s="70"/>
      <c r="AS476" s="70"/>
      <c r="AT476" s="70"/>
      <c r="AU476" s="70"/>
      <c r="AV476" s="70"/>
      <c r="AW476" s="70"/>
      <c r="AX476" s="70"/>
    </row>
    <row r="477">
      <c r="A477" s="8"/>
      <c r="B477" s="70"/>
      <c r="C477" s="70"/>
      <c r="D477" s="70"/>
      <c r="E477" s="8"/>
      <c r="F477" s="70"/>
      <c r="G477" s="70"/>
      <c r="H477" s="70"/>
      <c r="I477" s="8"/>
      <c r="J477" s="70"/>
      <c r="K477" s="70"/>
      <c r="L477" s="70"/>
      <c r="M477" s="8"/>
      <c r="N477" s="70"/>
      <c r="O477" s="70"/>
      <c r="P477" s="70"/>
      <c r="Q477" s="8"/>
      <c r="R477" s="70"/>
      <c r="S477" s="70"/>
      <c r="T477" s="70"/>
      <c r="U477" s="8"/>
      <c r="V477" s="70"/>
      <c r="W477" s="70"/>
      <c r="X477" s="70"/>
      <c r="Y477" s="200"/>
      <c r="Z477" s="195"/>
      <c r="AA477" s="195"/>
      <c r="AB477" s="195"/>
      <c r="AC477" s="8"/>
      <c r="AD477" s="70"/>
      <c r="AE477" s="70"/>
      <c r="AF477" s="70"/>
      <c r="AG477" s="201"/>
      <c r="AH477" s="202"/>
      <c r="AI477" s="201"/>
      <c r="AJ477" s="201"/>
      <c r="AK477" s="70"/>
      <c r="AL477" s="70"/>
      <c r="AM477" s="70"/>
      <c r="AN477" s="70"/>
      <c r="AO477" s="70"/>
      <c r="AP477" s="70"/>
      <c r="AQ477" s="70"/>
      <c r="AR477" s="70"/>
      <c r="AS477" s="70"/>
      <c r="AT477" s="70"/>
      <c r="AU477" s="70"/>
      <c r="AV477" s="70"/>
      <c r="AW477" s="70"/>
      <c r="AX477" s="70"/>
    </row>
    <row r="478">
      <c r="A478" s="8"/>
      <c r="B478" s="70"/>
      <c r="C478" s="70"/>
      <c r="D478" s="70"/>
      <c r="E478" s="8"/>
      <c r="F478" s="70"/>
      <c r="G478" s="70"/>
      <c r="H478" s="70"/>
      <c r="I478" s="8"/>
      <c r="J478" s="70"/>
      <c r="K478" s="70"/>
      <c r="L478" s="70"/>
      <c r="M478" s="8"/>
      <c r="N478" s="70"/>
      <c r="O478" s="70"/>
      <c r="P478" s="70"/>
      <c r="Q478" s="8"/>
      <c r="R478" s="70"/>
      <c r="S478" s="70"/>
      <c r="T478" s="70"/>
      <c r="U478" s="8"/>
      <c r="V478" s="70"/>
      <c r="W478" s="70"/>
      <c r="X478" s="70"/>
      <c r="Y478" s="200"/>
      <c r="Z478" s="195"/>
      <c r="AA478" s="195"/>
      <c r="AB478" s="195"/>
      <c r="AC478" s="8"/>
      <c r="AD478" s="70"/>
      <c r="AE478" s="70"/>
      <c r="AF478" s="70"/>
      <c r="AG478" s="201"/>
      <c r="AH478" s="202"/>
      <c r="AI478" s="201"/>
      <c r="AJ478" s="201"/>
      <c r="AK478" s="70"/>
      <c r="AL478" s="70"/>
      <c r="AM478" s="70"/>
      <c r="AN478" s="70"/>
      <c r="AO478" s="70"/>
      <c r="AP478" s="70"/>
      <c r="AQ478" s="70"/>
      <c r="AR478" s="70"/>
      <c r="AS478" s="70"/>
      <c r="AT478" s="70"/>
      <c r="AU478" s="70"/>
      <c r="AV478" s="70"/>
      <c r="AW478" s="70"/>
      <c r="AX478" s="70"/>
    </row>
    <row r="479">
      <c r="A479" s="8"/>
      <c r="B479" s="70"/>
      <c r="C479" s="70"/>
      <c r="D479" s="70"/>
      <c r="E479" s="8"/>
      <c r="F479" s="70"/>
      <c r="G479" s="70"/>
      <c r="H479" s="70"/>
      <c r="I479" s="8"/>
      <c r="J479" s="70"/>
      <c r="K479" s="70"/>
      <c r="L479" s="70"/>
      <c r="M479" s="8"/>
      <c r="N479" s="70"/>
      <c r="O479" s="70"/>
      <c r="P479" s="70"/>
      <c r="Q479" s="8"/>
      <c r="R479" s="70"/>
      <c r="S479" s="70"/>
      <c r="T479" s="70"/>
      <c r="U479" s="8"/>
      <c r="V479" s="70"/>
      <c r="W479" s="70"/>
      <c r="X479" s="70"/>
      <c r="Y479" s="200"/>
      <c r="Z479" s="195"/>
      <c r="AA479" s="195"/>
      <c r="AB479" s="195"/>
      <c r="AC479" s="8"/>
      <c r="AD479" s="70"/>
      <c r="AE479" s="70"/>
      <c r="AF479" s="70"/>
      <c r="AG479" s="201"/>
      <c r="AH479" s="202"/>
      <c r="AI479" s="201"/>
      <c r="AJ479" s="201"/>
      <c r="AK479" s="70"/>
      <c r="AL479" s="70"/>
      <c r="AM479" s="70"/>
      <c r="AN479" s="70"/>
      <c r="AO479" s="70"/>
      <c r="AP479" s="70"/>
      <c r="AQ479" s="70"/>
      <c r="AR479" s="70"/>
      <c r="AS479" s="70"/>
      <c r="AT479" s="70"/>
      <c r="AU479" s="70"/>
      <c r="AV479" s="70"/>
      <c r="AW479" s="70"/>
      <c r="AX479" s="70"/>
    </row>
    <row r="480">
      <c r="A480" s="8"/>
      <c r="B480" s="70"/>
      <c r="C480" s="70"/>
      <c r="D480" s="70"/>
      <c r="E480" s="8"/>
      <c r="F480" s="70"/>
      <c r="G480" s="70"/>
      <c r="H480" s="70"/>
      <c r="I480" s="8"/>
      <c r="J480" s="70"/>
      <c r="K480" s="70"/>
      <c r="L480" s="70"/>
      <c r="M480" s="8"/>
      <c r="N480" s="70"/>
      <c r="O480" s="70"/>
      <c r="P480" s="70"/>
      <c r="Q480" s="8"/>
      <c r="R480" s="70"/>
      <c r="S480" s="70"/>
      <c r="T480" s="70"/>
      <c r="U480" s="8"/>
      <c r="V480" s="70"/>
      <c r="W480" s="70"/>
      <c r="X480" s="70"/>
      <c r="Y480" s="200"/>
      <c r="Z480" s="195"/>
      <c r="AA480" s="195"/>
      <c r="AB480" s="195"/>
      <c r="AC480" s="8"/>
      <c r="AD480" s="70"/>
      <c r="AE480" s="70"/>
      <c r="AF480" s="70"/>
      <c r="AG480" s="201"/>
      <c r="AH480" s="202"/>
      <c r="AI480" s="201"/>
      <c r="AJ480" s="201"/>
      <c r="AK480" s="70"/>
      <c r="AL480" s="70"/>
      <c r="AM480" s="70"/>
      <c r="AN480" s="70"/>
      <c r="AO480" s="70"/>
      <c r="AP480" s="70"/>
      <c r="AQ480" s="70"/>
      <c r="AR480" s="70"/>
      <c r="AS480" s="70"/>
      <c r="AT480" s="70"/>
      <c r="AU480" s="70"/>
      <c r="AV480" s="70"/>
      <c r="AW480" s="70"/>
      <c r="AX480" s="70"/>
    </row>
    <row r="481">
      <c r="A481" s="8"/>
      <c r="B481" s="70"/>
      <c r="C481" s="70"/>
      <c r="D481" s="70"/>
      <c r="E481" s="8"/>
      <c r="F481" s="70"/>
      <c r="G481" s="70"/>
      <c r="H481" s="70"/>
      <c r="I481" s="8"/>
      <c r="J481" s="70"/>
      <c r="K481" s="70"/>
      <c r="L481" s="70"/>
      <c r="M481" s="8"/>
      <c r="N481" s="70"/>
      <c r="O481" s="70"/>
      <c r="P481" s="70"/>
      <c r="Q481" s="8"/>
      <c r="R481" s="70"/>
      <c r="S481" s="70"/>
      <c r="T481" s="70"/>
      <c r="U481" s="8"/>
      <c r="V481" s="70"/>
      <c r="W481" s="70"/>
      <c r="X481" s="70"/>
      <c r="Y481" s="200"/>
      <c r="Z481" s="195"/>
      <c r="AA481" s="195"/>
      <c r="AB481" s="195"/>
      <c r="AC481" s="8"/>
      <c r="AD481" s="70"/>
      <c r="AE481" s="70"/>
      <c r="AF481" s="70"/>
      <c r="AG481" s="201"/>
      <c r="AH481" s="202"/>
      <c r="AI481" s="201"/>
      <c r="AJ481" s="201"/>
      <c r="AK481" s="70"/>
      <c r="AL481" s="70"/>
      <c r="AM481" s="70"/>
      <c r="AN481" s="70"/>
      <c r="AO481" s="70"/>
      <c r="AP481" s="70"/>
      <c r="AQ481" s="70"/>
      <c r="AR481" s="70"/>
      <c r="AS481" s="70"/>
      <c r="AT481" s="70"/>
      <c r="AU481" s="70"/>
      <c r="AV481" s="70"/>
      <c r="AW481" s="70"/>
      <c r="AX481" s="70"/>
    </row>
    <row r="482">
      <c r="A482" s="8"/>
      <c r="B482" s="70"/>
      <c r="C482" s="70"/>
      <c r="D482" s="70"/>
      <c r="E482" s="8"/>
      <c r="F482" s="70"/>
      <c r="G482" s="70"/>
      <c r="H482" s="70"/>
      <c r="I482" s="8"/>
      <c r="J482" s="70"/>
      <c r="K482" s="70"/>
      <c r="L482" s="70"/>
      <c r="M482" s="8"/>
      <c r="N482" s="70"/>
      <c r="O482" s="70"/>
      <c r="P482" s="70"/>
      <c r="Q482" s="8"/>
      <c r="R482" s="70"/>
      <c r="S482" s="70"/>
      <c r="T482" s="70"/>
      <c r="U482" s="8"/>
      <c r="V482" s="70"/>
      <c r="W482" s="70"/>
      <c r="X482" s="70"/>
      <c r="Y482" s="200"/>
      <c r="Z482" s="195"/>
      <c r="AA482" s="195"/>
      <c r="AB482" s="195"/>
      <c r="AC482" s="8"/>
      <c r="AD482" s="70"/>
      <c r="AE482" s="70"/>
      <c r="AF482" s="70"/>
      <c r="AG482" s="201"/>
      <c r="AH482" s="202"/>
      <c r="AI482" s="201"/>
      <c r="AJ482" s="201"/>
      <c r="AK482" s="70"/>
      <c r="AL482" s="70"/>
      <c r="AM482" s="70"/>
      <c r="AN482" s="70"/>
      <c r="AO482" s="70"/>
      <c r="AP482" s="70"/>
      <c r="AQ482" s="70"/>
      <c r="AR482" s="70"/>
      <c r="AS482" s="70"/>
      <c r="AT482" s="70"/>
      <c r="AU482" s="70"/>
      <c r="AV482" s="70"/>
      <c r="AW482" s="70"/>
      <c r="AX482" s="70"/>
    </row>
    <row r="483">
      <c r="A483" s="8"/>
      <c r="B483" s="70"/>
      <c r="C483" s="70"/>
      <c r="D483" s="70"/>
      <c r="E483" s="8"/>
      <c r="F483" s="70"/>
      <c r="G483" s="70"/>
      <c r="H483" s="70"/>
      <c r="I483" s="8"/>
      <c r="J483" s="70"/>
      <c r="K483" s="70"/>
      <c r="L483" s="70"/>
      <c r="M483" s="8"/>
      <c r="N483" s="70"/>
      <c r="O483" s="70"/>
      <c r="P483" s="70"/>
      <c r="Q483" s="8"/>
      <c r="R483" s="70"/>
      <c r="S483" s="70"/>
      <c r="T483" s="70"/>
      <c r="U483" s="8"/>
      <c r="V483" s="70"/>
      <c r="W483" s="70"/>
      <c r="X483" s="70"/>
      <c r="Y483" s="200"/>
      <c r="Z483" s="195"/>
      <c r="AA483" s="195"/>
      <c r="AB483" s="195"/>
      <c r="AC483" s="8"/>
      <c r="AD483" s="70"/>
      <c r="AE483" s="70"/>
      <c r="AF483" s="70"/>
      <c r="AG483" s="201"/>
      <c r="AH483" s="202"/>
      <c r="AI483" s="201"/>
      <c r="AJ483" s="201"/>
      <c r="AK483" s="70"/>
      <c r="AL483" s="70"/>
      <c r="AM483" s="70"/>
      <c r="AN483" s="70"/>
      <c r="AO483" s="70"/>
      <c r="AP483" s="70"/>
      <c r="AQ483" s="70"/>
      <c r="AR483" s="70"/>
      <c r="AS483" s="70"/>
      <c r="AT483" s="70"/>
      <c r="AU483" s="70"/>
      <c r="AV483" s="70"/>
      <c r="AW483" s="70"/>
      <c r="AX483" s="70"/>
    </row>
    <row r="484">
      <c r="A484" s="8"/>
      <c r="B484" s="70"/>
      <c r="C484" s="70"/>
      <c r="D484" s="70"/>
      <c r="E484" s="8"/>
      <c r="F484" s="70"/>
      <c r="G484" s="70"/>
      <c r="H484" s="70"/>
      <c r="I484" s="8"/>
      <c r="J484" s="70"/>
      <c r="K484" s="70"/>
      <c r="L484" s="70"/>
      <c r="M484" s="8"/>
      <c r="N484" s="70"/>
      <c r="O484" s="70"/>
      <c r="P484" s="70"/>
      <c r="Q484" s="8"/>
      <c r="R484" s="70"/>
      <c r="S484" s="70"/>
      <c r="T484" s="70"/>
      <c r="U484" s="8"/>
      <c r="V484" s="70"/>
      <c r="W484" s="70"/>
      <c r="X484" s="70"/>
      <c r="Y484" s="200"/>
      <c r="Z484" s="195"/>
      <c r="AA484" s="195"/>
      <c r="AB484" s="195"/>
      <c r="AC484" s="8"/>
      <c r="AD484" s="70"/>
      <c r="AE484" s="70"/>
      <c r="AF484" s="70"/>
      <c r="AG484" s="201"/>
      <c r="AH484" s="202"/>
      <c r="AI484" s="201"/>
      <c r="AJ484" s="201"/>
      <c r="AK484" s="70"/>
      <c r="AL484" s="70"/>
      <c r="AM484" s="70"/>
      <c r="AN484" s="70"/>
      <c r="AO484" s="70"/>
      <c r="AP484" s="70"/>
      <c r="AQ484" s="70"/>
      <c r="AR484" s="70"/>
      <c r="AS484" s="70"/>
      <c r="AT484" s="70"/>
      <c r="AU484" s="70"/>
      <c r="AV484" s="70"/>
      <c r="AW484" s="70"/>
      <c r="AX484" s="70"/>
    </row>
    <row r="485">
      <c r="A485" s="8"/>
      <c r="B485" s="70"/>
      <c r="C485" s="70"/>
      <c r="D485" s="70"/>
      <c r="E485" s="8"/>
      <c r="F485" s="70"/>
      <c r="G485" s="70"/>
      <c r="H485" s="70"/>
      <c r="I485" s="8"/>
      <c r="J485" s="70"/>
      <c r="K485" s="70"/>
      <c r="L485" s="70"/>
      <c r="M485" s="8"/>
      <c r="N485" s="70"/>
      <c r="O485" s="70"/>
      <c r="P485" s="70"/>
      <c r="Q485" s="8"/>
      <c r="R485" s="70"/>
      <c r="S485" s="70"/>
      <c r="T485" s="70"/>
      <c r="U485" s="8"/>
      <c r="V485" s="70"/>
      <c r="W485" s="70"/>
      <c r="X485" s="70"/>
      <c r="Y485" s="200"/>
      <c r="Z485" s="195"/>
      <c r="AA485" s="195"/>
      <c r="AB485" s="195"/>
      <c r="AC485" s="8"/>
      <c r="AD485" s="70"/>
      <c r="AE485" s="70"/>
      <c r="AF485" s="70"/>
      <c r="AG485" s="201"/>
      <c r="AH485" s="202"/>
      <c r="AI485" s="201"/>
      <c r="AJ485" s="201"/>
      <c r="AK485" s="70"/>
      <c r="AL485" s="70"/>
      <c r="AM485" s="70"/>
      <c r="AN485" s="70"/>
      <c r="AO485" s="70"/>
      <c r="AP485" s="70"/>
      <c r="AQ485" s="70"/>
      <c r="AR485" s="70"/>
      <c r="AS485" s="70"/>
      <c r="AT485" s="70"/>
      <c r="AU485" s="70"/>
      <c r="AV485" s="70"/>
      <c r="AW485" s="70"/>
      <c r="AX485" s="70"/>
    </row>
    <row r="486">
      <c r="A486" s="8"/>
      <c r="B486" s="70"/>
      <c r="C486" s="70"/>
      <c r="D486" s="70"/>
      <c r="E486" s="8"/>
      <c r="F486" s="70"/>
      <c r="G486" s="70"/>
      <c r="H486" s="70"/>
      <c r="I486" s="8"/>
      <c r="J486" s="70"/>
      <c r="K486" s="70"/>
      <c r="L486" s="70"/>
      <c r="M486" s="8"/>
      <c r="N486" s="70"/>
      <c r="O486" s="70"/>
      <c r="P486" s="70"/>
      <c r="Q486" s="8"/>
      <c r="R486" s="70"/>
      <c r="S486" s="70"/>
      <c r="T486" s="70"/>
      <c r="U486" s="8"/>
      <c r="V486" s="70"/>
      <c r="W486" s="70"/>
      <c r="X486" s="70"/>
      <c r="Y486" s="200"/>
      <c r="Z486" s="195"/>
      <c r="AA486" s="195"/>
      <c r="AB486" s="195"/>
      <c r="AC486" s="8"/>
      <c r="AD486" s="70"/>
      <c r="AE486" s="70"/>
      <c r="AF486" s="70"/>
      <c r="AG486" s="201"/>
      <c r="AH486" s="202"/>
      <c r="AI486" s="201"/>
      <c r="AJ486" s="201"/>
      <c r="AK486" s="70"/>
      <c r="AL486" s="70"/>
      <c r="AM486" s="70"/>
      <c r="AN486" s="70"/>
      <c r="AO486" s="70"/>
      <c r="AP486" s="70"/>
      <c r="AQ486" s="70"/>
      <c r="AR486" s="70"/>
      <c r="AS486" s="70"/>
      <c r="AT486" s="70"/>
      <c r="AU486" s="70"/>
      <c r="AV486" s="70"/>
      <c r="AW486" s="70"/>
      <c r="AX486" s="70"/>
    </row>
    <row r="487">
      <c r="A487" s="8"/>
      <c r="B487" s="70"/>
      <c r="C487" s="70"/>
      <c r="D487" s="70"/>
      <c r="E487" s="8"/>
      <c r="F487" s="70"/>
      <c r="G487" s="70"/>
      <c r="H487" s="70"/>
      <c r="I487" s="8"/>
      <c r="J487" s="70"/>
      <c r="K487" s="70"/>
      <c r="L487" s="70"/>
      <c r="M487" s="8"/>
      <c r="N487" s="70"/>
      <c r="O487" s="70"/>
      <c r="P487" s="70"/>
      <c r="Q487" s="8"/>
      <c r="R487" s="70"/>
      <c r="S487" s="70"/>
      <c r="T487" s="70"/>
      <c r="U487" s="8"/>
      <c r="V487" s="70"/>
      <c r="W487" s="70"/>
      <c r="X487" s="70"/>
      <c r="Y487" s="200"/>
      <c r="Z487" s="195"/>
      <c r="AA487" s="195"/>
      <c r="AB487" s="195"/>
      <c r="AC487" s="8"/>
      <c r="AD487" s="70"/>
      <c r="AE487" s="70"/>
      <c r="AF487" s="70"/>
      <c r="AG487" s="201"/>
      <c r="AH487" s="202"/>
      <c r="AI487" s="201"/>
      <c r="AJ487" s="201"/>
      <c r="AK487" s="70"/>
      <c r="AL487" s="70"/>
      <c r="AM487" s="70"/>
      <c r="AN487" s="70"/>
      <c r="AO487" s="70"/>
      <c r="AP487" s="70"/>
      <c r="AQ487" s="70"/>
      <c r="AR487" s="70"/>
      <c r="AS487" s="70"/>
      <c r="AT487" s="70"/>
      <c r="AU487" s="70"/>
      <c r="AV487" s="70"/>
      <c r="AW487" s="70"/>
      <c r="AX487" s="70"/>
    </row>
    <row r="488">
      <c r="A488" s="8"/>
      <c r="B488" s="70"/>
      <c r="C488" s="70"/>
      <c r="D488" s="70"/>
      <c r="E488" s="8"/>
      <c r="F488" s="70"/>
      <c r="G488" s="70"/>
      <c r="H488" s="70"/>
      <c r="I488" s="8"/>
      <c r="J488" s="70"/>
      <c r="K488" s="70"/>
      <c r="L488" s="70"/>
      <c r="M488" s="8"/>
      <c r="N488" s="70"/>
      <c r="O488" s="70"/>
      <c r="P488" s="70"/>
      <c r="Q488" s="8"/>
      <c r="R488" s="70"/>
      <c r="S488" s="70"/>
      <c r="T488" s="70"/>
      <c r="U488" s="8"/>
      <c r="V488" s="70"/>
      <c r="W488" s="70"/>
      <c r="X488" s="70"/>
      <c r="Y488" s="200"/>
      <c r="Z488" s="195"/>
      <c r="AA488" s="195"/>
      <c r="AB488" s="195"/>
      <c r="AC488" s="8"/>
      <c r="AD488" s="70"/>
      <c r="AE488" s="70"/>
      <c r="AF488" s="70"/>
      <c r="AG488" s="201"/>
      <c r="AH488" s="202"/>
      <c r="AI488" s="201"/>
      <c r="AJ488" s="201"/>
      <c r="AK488" s="70"/>
      <c r="AL488" s="70"/>
      <c r="AM488" s="70"/>
      <c r="AN488" s="70"/>
      <c r="AO488" s="70"/>
      <c r="AP488" s="70"/>
      <c r="AQ488" s="70"/>
      <c r="AR488" s="70"/>
      <c r="AS488" s="70"/>
      <c r="AT488" s="70"/>
      <c r="AU488" s="70"/>
      <c r="AV488" s="70"/>
      <c r="AW488" s="70"/>
      <c r="AX488" s="70"/>
    </row>
    <row r="489">
      <c r="A489" s="8"/>
      <c r="B489" s="70"/>
      <c r="C489" s="70"/>
      <c r="D489" s="70"/>
      <c r="E489" s="8"/>
      <c r="F489" s="70"/>
      <c r="G489" s="70"/>
      <c r="H489" s="70"/>
      <c r="I489" s="8"/>
      <c r="J489" s="70"/>
      <c r="K489" s="70"/>
      <c r="L489" s="70"/>
      <c r="M489" s="8"/>
      <c r="N489" s="70"/>
      <c r="O489" s="70"/>
      <c r="P489" s="70"/>
      <c r="Q489" s="8"/>
      <c r="R489" s="70"/>
      <c r="S489" s="70"/>
      <c r="T489" s="70"/>
      <c r="U489" s="8"/>
      <c r="V489" s="70"/>
      <c r="W489" s="70"/>
      <c r="X489" s="70"/>
      <c r="Y489" s="200"/>
      <c r="Z489" s="195"/>
      <c r="AA489" s="195"/>
      <c r="AB489" s="195"/>
      <c r="AC489" s="8"/>
      <c r="AD489" s="70"/>
      <c r="AE489" s="70"/>
      <c r="AF489" s="70"/>
      <c r="AG489" s="201"/>
      <c r="AH489" s="202"/>
      <c r="AI489" s="201"/>
      <c r="AJ489" s="201"/>
      <c r="AK489" s="70"/>
      <c r="AL489" s="70"/>
      <c r="AM489" s="70"/>
      <c r="AN489" s="70"/>
      <c r="AO489" s="70"/>
      <c r="AP489" s="70"/>
      <c r="AQ489" s="70"/>
      <c r="AR489" s="70"/>
      <c r="AS489" s="70"/>
      <c r="AT489" s="70"/>
      <c r="AU489" s="70"/>
      <c r="AV489" s="70"/>
      <c r="AW489" s="70"/>
      <c r="AX489" s="70"/>
    </row>
    <row r="490">
      <c r="A490" s="8"/>
      <c r="B490" s="70"/>
      <c r="C490" s="70"/>
      <c r="D490" s="70"/>
      <c r="E490" s="8"/>
      <c r="F490" s="70"/>
      <c r="G490" s="70"/>
      <c r="H490" s="70"/>
      <c r="I490" s="8"/>
      <c r="J490" s="70"/>
      <c r="K490" s="70"/>
      <c r="L490" s="70"/>
      <c r="M490" s="8"/>
      <c r="N490" s="70"/>
      <c r="O490" s="70"/>
      <c r="P490" s="70"/>
      <c r="Q490" s="8"/>
      <c r="R490" s="70"/>
      <c r="S490" s="70"/>
      <c r="T490" s="70"/>
      <c r="U490" s="8"/>
      <c r="V490" s="70"/>
      <c r="W490" s="70"/>
      <c r="X490" s="70"/>
      <c r="Y490" s="200"/>
      <c r="Z490" s="195"/>
      <c r="AA490" s="195"/>
      <c r="AB490" s="195"/>
      <c r="AC490" s="8"/>
      <c r="AD490" s="70"/>
      <c r="AE490" s="70"/>
      <c r="AF490" s="70"/>
      <c r="AG490" s="201"/>
      <c r="AH490" s="202"/>
      <c r="AI490" s="201"/>
      <c r="AJ490" s="201"/>
      <c r="AK490" s="70"/>
      <c r="AL490" s="70"/>
      <c r="AM490" s="70"/>
      <c r="AN490" s="70"/>
      <c r="AO490" s="70"/>
      <c r="AP490" s="70"/>
      <c r="AQ490" s="70"/>
      <c r="AR490" s="70"/>
      <c r="AS490" s="70"/>
      <c r="AT490" s="70"/>
      <c r="AU490" s="70"/>
      <c r="AV490" s="70"/>
      <c r="AW490" s="70"/>
      <c r="AX490" s="70"/>
    </row>
    <row r="491">
      <c r="A491" s="8"/>
      <c r="B491" s="70"/>
      <c r="C491" s="70"/>
      <c r="D491" s="70"/>
      <c r="E491" s="8"/>
      <c r="F491" s="70"/>
      <c r="G491" s="70"/>
      <c r="H491" s="70"/>
      <c r="I491" s="8"/>
      <c r="J491" s="70"/>
      <c r="K491" s="70"/>
      <c r="L491" s="70"/>
      <c r="M491" s="8"/>
      <c r="N491" s="70"/>
      <c r="O491" s="70"/>
      <c r="P491" s="70"/>
      <c r="Q491" s="8"/>
      <c r="R491" s="70"/>
      <c r="S491" s="70"/>
      <c r="T491" s="70"/>
      <c r="U491" s="8"/>
      <c r="V491" s="70"/>
      <c r="W491" s="70"/>
      <c r="X491" s="70"/>
      <c r="Y491" s="200"/>
      <c r="Z491" s="195"/>
      <c r="AA491" s="195"/>
      <c r="AB491" s="195"/>
      <c r="AC491" s="8"/>
      <c r="AD491" s="70"/>
      <c r="AE491" s="70"/>
      <c r="AF491" s="70"/>
      <c r="AG491" s="201"/>
      <c r="AH491" s="202"/>
      <c r="AI491" s="201"/>
      <c r="AJ491" s="201"/>
      <c r="AK491" s="70"/>
      <c r="AL491" s="70"/>
      <c r="AM491" s="70"/>
      <c r="AN491" s="70"/>
      <c r="AO491" s="70"/>
      <c r="AP491" s="70"/>
      <c r="AQ491" s="70"/>
      <c r="AR491" s="70"/>
      <c r="AS491" s="70"/>
      <c r="AT491" s="70"/>
      <c r="AU491" s="70"/>
      <c r="AV491" s="70"/>
      <c r="AW491" s="70"/>
      <c r="AX491" s="70"/>
    </row>
    <row r="492">
      <c r="A492" s="8"/>
      <c r="B492" s="70"/>
      <c r="C492" s="70"/>
      <c r="D492" s="70"/>
      <c r="E492" s="8"/>
      <c r="F492" s="70"/>
      <c r="G492" s="70"/>
      <c r="H492" s="70"/>
      <c r="I492" s="8"/>
      <c r="J492" s="70"/>
      <c r="K492" s="70"/>
      <c r="L492" s="70"/>
      <c r="M492" s="8"/>
      <c r="N492" s="70"/>
      <c r="O492" s="70"/>
      <c r="P492" s="70"/>
      <c r="Q492" s="8"/>
      <c r="R492" s="70"/>
      <c r="S492" s="70"/>
      <c r="T492" s="70"/>
      <c r="U492" s="8"/>
      <c r="V492" s="70"/>
      <c r="W492" s="70"/>
      <c r="X492" s="70"/>
      <c r="Y492" s="200"/>
      <c r="Z492" s="195"/>
      <c r="AA492" s="195"/>
      <c r="AB492" s="195"/>
      <c r="AC492" s="8"/>
      <c r="AD492" s="70"/>
      <c r="AE492" s="70"/>
      <c r="AF492" s="70"/>
      <c r="AG492" s="201"/>
      <c r="AH492" s="202"/>
      <c r="AI492" s="201"/>
      <c r="AJ492" s="201"/>
      <c r="AK492" s="70"/>
      <c r="AL492" s="70"/>
      <c r="AM492" s="70"/>
      <c r="AN492" s="70"/>
      <c r="AO492" s="70"/>
      <c r="AP492" s="70"/>
      <c r="AQ492" s="70"/>
      <c r="AR492" s="70"/>
      <c r="AS492" s="70"/>
      <c r="AT492" s="70"/>
      <c r="AU492" s="70"/>
      <c r="AV492" s="70"/>
      <c r="AW492" s="70"/>
      <c r="AX492" s="70"/>
    </row>
    <row r="493">
      <c r="A493" s="8"/>
      <c r="B493" s="70"/>
      <c r="C493" s="70"/>
      <c r="D493" s="70"/>
      <c r="E493" s="8"/>
      <c r="F493" s="70"/>
      <c r="G493" s="70"/>
      <c r="H493" s="70"/>
      <c r="I493" s="8"/>
      <c r="J493" s="70"/>
      <c r="K493" s="70"/>
      <c r="L493" s="70"/>
      <c r="M493" s="8"/>
      <c r="N493" s="70"/>
      <c r="O493" s="70"/>
      <c r="P493" s="70"/>
      <c r="Q493" s="8"/>
      <c r="R493" s="70"/>
      <c r="S493" s="70"/>
      <c r="T493" s="70"/>
      <c r="U493" s="8"/>
      <c r="V493" s="70"/>
      <c r="W493" s="70"/>
      <c r="X493" s="70"/>
      <c r="Y493" s="200"/>
      <c r="Z493" s="195"/>
      <c r="AA493" s="195"/>
      <c r="AB493" s="195"/>
      <c r="AC493" s="8"/>
      <c r="AD493" s="70"/>
      <c r="AE493" s="70"/>
      <c r="AF493" s="70"/>
      <c r="AG493" s="201"/>
      <c r="AH493" s="202"/>
      <c r="AI493" s="201"/>
      <c r="AJ493" s="201"/>
      <c r="AK493" s="70"/>
      <c r="AL493" s="70"/>
      <c r="AM493" s="70"/>
      <c r="AN493" s="70"/>
      <c r="AO493" s="70"/>
      <c r="AP493" s="70"/>
      <c r="AQ493" s="70"/>
      <c r="AR493" s="70"/>
      <c r="AS493" s="70"/>
      <c r="AT493" s="70"/>
      <c r="AU493" s="70"/>
      <c r="AV493" s="70"/>
      <c r="AW493" s="70"/>
      <c r="AX493" s="70"/>
    </row>
    <row r="494">
      <c r="A494" s="8"/>
      <c r="B494" s="70"/>
      <c r="C494" s="70"/>
      <c r="D494" s="70"/>
      <c r="E494" s="8"/>
      <c r="F494" s="70"/>
      <c r="G494" s="70"/>
      <c r="H494" s="70"/>
      <c r="I494" s="8"/>
      <c r="J494" s="70"/>
      <c r="K494" s="70"/>
      <c r="L494" s="70"/>
      <c r="M494" s="8"/>
      <c r="N494" s="70"/>
      <c r="O494" s="70"/>
      <c r="P494" s="70"/>
      <c r="Q494" s="8"/>
      <c r="R494" s="70"/>
      <c r="S494" s="70"/>
      <c r="T494" s="70"/>
      <c r="U494" s="8"/>
      <c r="V494" s="70"/>
      <c r="W494" s="70"/>
      <c r="X494" s="70"/>
      <c r="Y494" s="200"/>
      <c r="Z494" s="195"/>
      <c r="AA494" s="195"/>
      <c r="AB494" s="195"/>
      <c r="AC494" s="8"/>
      <c r="AD494" s="70"/>
      <c r="AE494" s="70"/>
      <c r="AF494" s="70"/>
      <c r="AG494" s="201"/>
      <c r="AH494" s="202"/>
      <c r="AI494" s="201"/>
      <c r="AJ494" s="201"/>
      <c r="AK494" s="70"/>
      <c r="AL494" s="70"/>
      <c r="AM494" s="70"/>
      <c r="AN494" s="70"/>
      <c r="AO494" s="70"/>
      <c r="AP494" s="70"/>
      <c r="AQ494" s="70"/>
      <c r="AR494" s="70"/>
      <c r="AS494" s="70"/>
      <c r="AT494" s="70"/>
      <c r="AU494" s="70"/>
      <c r="AV494" s="70"/>
      <c r="AW494" s="70"/>
      <c r="AX494" s="70"/>
    </row>
    <row r="495">
      <c r="A495" s="8"/>
      <c r="B495" s="70"/>
      <c r="C495" s="70"/>
      <c r="D495" s="70"/>
      <c r="E495" s="8"/>
      <c r="F495" s="70"/>
      <c r="G495" s="70"/>
      <c r="H495" s="70"/>
      <c r="I495" s="8"/>
      <c r="J495" s="70"/>
      <c r="K495" s="70"/>
      <c r="L495" s="70"/>
      <c r="M495" s="8"/>
      <c r="N495" s="70"/>
      <c r="O495" s="70"/>
      <c r="P495" s="70"/>
      <c r="Q495" s="8"/>
      <c r="R495" s="70"/>
      <c r="S495" s="70"/>
      <c r="T495" s="70"/>
      <c r="U495" s="8"/>
      <c r="V495" s="70"/>
      <c r="W495" s="70"/>
      <c r="X495" s="70"/>
      <c r="Y495" s="200"/>
      <c r="Z495" s="195"/>
      <c r="AA495" s="195"/>
      <c r="AB495" s="195"/>
      <c r="AC495" s="8"/>
      <c r="AD495" s="70"/>
      <c r="AE495" s="70"/>
      <c r="AF495" s="70"/>
      <c r="AG495" s="201"/>
      <c r="AH495" s="202"/>
      <c r="AI495" s="201"/>
      <c r="AJ495" s="201"/>
      <c r="AK495" s="70"/>
      <c r="AL495" s="70"/>
      <c r="AM495" s="70"/>
      <c r="AN495" s="70"/>
      <c r="AO495" s="70"/>
      <c r="AP495" s="70"/>
      <c r="AQ495" s="70"/>
      <c r="AR495" s="70"/>
      <c r="AS495" s="70"/>
      <c r="AT495" s="70"/>
      <c r="AU495" s="70"/>
      <c r="AV495" s="70"/>
      <c r="AW495" s="70"/>
      <c r="AX495" s="70"/>
    </row>
    <row r="496">
      <c r="A496" s="8"/>
      <c r="B496" s="70"/>
      <c r="C496" s="70"/>
      <c r="D496" s="70"/>
      <c r="E496" s="8"/>
      <c r="F496" s="70"/>
      <c r="G496" s="70"/>
      <c r="H496" s="70"/>
      <c r="I496" s="8"/>
      <c r="J496" s="70"/>
      <c r="K496" s="70"/>
      <c r="L496" s="70"/>
      <c r="M496" s="8"/>
      <c r="N496" s="70"/>
      <c r="O496" s="70"/>
      <c r="P496" s="70"/>
      <c r="Q496" s="8"/>
      <c r="R496" s="70"/>
      <c r="S496" s="70"/>
      <c r="T496" s="70"/>
      <c r="U496" s="8"/>
      <c r="V496" s="70"/>
      <c r="W496" s="70"/>
      <c r="X496" s="70"/>
      <c r="Y496" s="200"/>
      <c r="Z496" s="195"/>
      <c r="AA496" s="195"/>
      <c r="AB496" s="195"/>
      <c r="AC496" s="8"/>
      <c r="AD496" s="70"/>
      <c r="AE496" s="70"/>
      <c r="AF496" s="70"/>
      <c r="AG496" s="201"/>
      <c r="AH496" s="202"/>
      <c r="AI496" s="201"/>
      <c r="AJ496" s="201"/>
      <c r="AK496" s="70"/>
      <c r="AL496" s="70"/>
      <c r="AM496" s="70"/>
      <c r="AN496" s="70"/>
      <c r="AO496" s="70"/>
      <c r="AP496" s="70"/>
      <c r="AQ496" s="70"/>
      <c r="AR496" s="70"/>
      <c r="AS496" s="70"/>
      <c r="AT496" s="70"/>
      <c r="AU496" s="70"/>
      <c r="AV496" s="70"/>
      <c r="AW496" s="70"/>
      <c r="AX496" s="70"/>
    </row>
    <row r="497">
      <c r="A497" s="8"/>
      <c r="B497" s="70"/>
      <c r="C497" s="70"/>
      <c r="D497" s="70"/>
      <c r="E497" s="8"/>
      <c r="F497" s="70"/>
      <c r="G497" s="70"/>
      <c r="H497" s="70"/>
      <c r="I497" s="8"/>
      <c r="J497" s="70"/>
      <c r="K497" s="70"/>
      <c r="L497" s="70"/>
      <c r="M497" s="8"/>
      <c r="N497" s="70"/>
      <c r="O497" s="70"/>
      <c r="P497" s="70"/>
      <c r="Q497" s="8"/>
      <c r="R497" s="70"/>
      <c r="S497" s="70"/>
      <c r="T497" s="70"/>
      <c r="U497" s="8"/>
      <c r="V497" s="70"/>
      <c r="W497" s="70"/>
      <c r="X497" s="70"/>
      <c r="Y497" s="200"/>
      <c r="Z497" s="195"/>
      <c r="AA497" s="195"/>
      <c r="AB497" s="195"/>
      <c r="AC497" s="8"/>
      <c r="AD497" s="70"/>
      <c r="AE497" s="70"/>
      <c r="AF497" s="70"/>
      <c r="AG497" s="201"/>
      <c r="AH497" s="202"/>
      <c r="AI497" s="201"/>
      <c r="AJ497" s="201"/>
      <c r="AK497" s="70"/>
      <c r="AL497" s="70"/>
      <c r="AM497" s="70"/>
      <c r="AN497" s="70"/>
      <c r="AO497" s="70"/>
      <c r="AP497" s="70"/>
      <c r="AQ497" s="70"/>
      <c r="AR497" s="70"/>
      <c r="AS497" s="70"/>
      <c r="AT497" s="70"/>
      <c r="AU497" s="70"/>
      <c r="AV497" s="70"/>
      <c r="AW497" s="70"/>
      <c r="AX497" s="70"/>
    </row>
    <row r="498">
      <c r="A498" s="8"/>
      <c r="B498" s="70"/>
      <c r="C498" s="70"/>
      <c r="D498" s="70"/>
      <c r="E498" s="8"/>
      <c r="F498" s="70"/>
      <c r="G498" s="70"/>
      <c r="H498" s="70"/>
      <c r="I498" s="8"/>
      <c r="J498" s="70"/>
      <c r="K498" s="70"/>
      <c r="L498" s="70"/>
      <c r="M498" s="8"/>
      <c r="N498" s="70"/>
      <c r="O498" s="70"/>
      <c r="P498" s="70"/>
      <c r="Q498" s="8"/>
      <c r="R498" s="70"/>
      <c r="S498" s="70"/>
      <c r="T498" s="70"/>
      <c r="U498" s="8"/>
      <c r="V498" s="70"/>
      <c r="W498" s="70"/>
      <c r="X498" s="70"/>
      <c r="Y498" s="200"/>
      <c r="Z498" s="195"/>
      <c r="AA498" s="195"/>
      <c r="AB498" s="195"/>
      <c r="AC498" s="8"/>
      <c r="AD498" s="70"/>
      <c r="AE498" s="70"/>
      <c r="AF498" s="70"/>
      <c r="AG498" s="201"/>
      <c r="AH498" s="202"/>
      <c r="AI498" s="201"/>
      <c r="AJ498" s="201"/>
      <c r="AK498" s="70"/>
      <c r="AL498" s="70"/>
      <c r="AM498" s="70"/>
      <c r="AN498" s="70"/>
      <c r="AO498" s="70"/>
      <c r="AP498" s="70"/>
      <c r="AQ498" s="70"/>
      <c r="AR498" s="70"/>
      <c r="AS498" s="70"/>
      <c r="AT498" s="70"/>
      <c r="AU498" s="70"/>
      <c r="AV498" s="70"/>
      <c r="AW498" s="70"/>
      <c r="AX498" s="70"/>
    </row>
    <row r="499">
      <c r="A499" s="8"/>
      <c r="B499" s="70"/>
      <c r="C499" s="70"/>
      <c r="D499" s="70"/>
      <c r="E499" s="8"/>
      <c r="F499" s="70"/>
      <c r="G499" s="70"/>
      <c r="H499" s="70"/>
      <c r="I499" s="8"/>
      <c r="J499" s="70"/>
      <c r="K499" s="70"/>
      <c r="L499" s="70"/>
      <c r="M499" s="8"/>
      <c r="N499" s="70"/>
      <c r="O499" s="70"/>
      <c r="P499" s="70"/>
      <c r="Q499" s="8"/>
      <c r="R499" s="70"/>
      <c r="S499" s="70"/>
      <c r="T499" s="70"/>
      <c r="U499" s="8"/>
      <c r="V499" s="70"/>
      <c r="W499" s="70"/>
      <c r="X499" s="70"/>
      <c r="Y499" s="200"/>
      <c r="Z499" s="195"/>
      <c r="AA499" s="195"/>
      <c r="AB499" s="195"/>
      <c r="AC499" s="8"/>
      <c r="AD499" s="70"/>
      <c r="AE499" s="70"/>
      <c r="AF499" s="70"/>
      <c r="AG499" s="201"/>
      <c r="AH499" s="202"/>
      <c r="AI499" s="201"/>
      <c r="AJ499" s="201"/>
      <c r="AK499" s="70"/>
      <c r="AL499" s="70"/>
      <c r="AM499" s="70"/>
      <c r="AN499" s="70"/>
      <c r="AO499" s="70"/>
      <c r="AP499" s="70"/>
      <c r="AQ499" s="70"/>
      <c r="AR499" s="70"/>
      <c r="AS499" s="70"/>
      <c r="AT499" s="70"/>
      <c r="AU499" s="70"/>
      <c r="AV499" s="70"/>
      <c r="AW499" s="70"/>
      <c r="AX499" s="70"/>
    </row>
    <row r="500">
      <c r="A500" s="8"/>
      <c r="B500" s="70"/>
      <c r="C500" s="70"/>
      <c r="D500" s="70"/>
      <c r="E500" s="8"/>
      <c r="F500" s="70"/>
      <c r="G500" s="70"/>
      <c r="H500" s="70"/>
      <c r="I500" s="8"/>
      <c r="J500" s="70"/>
      <c r="K500" s="70"/>
      <c r="L500" s="70"/>
      <c r="M500" s="8"/>
      <c r="N500" s="70"/>
      <c r="O500" s="70"/>
      <c r="P500" s="70"/>
      <c r="Q500" s="8"/>
      <c r="R500" s="70"/>
      <c r="S500" s="70"/>
      <c r="T500" s="70"/>
      <c r="U500" s="8"/>
      <c r="V500" s="70"/>
      <c r="W500" s="70"/>
      <c r="X500" s="70"/>
      <c r="Y500" s="200"/>
      <c r="Z500" s="195"/>
      <c r="AA500" s="195"/>
      <c r="AB500" s="195"/>
      <c r="AC500" s="8"/>
      <c r="AD500" s="70"/>
      <c r="AE500" s="70"/>
      <c r="AF500" s="70"/>
      <c r="AG500" s="201"/>
      <c r="AH500" s="202"/>
      <c r="AI500" s="201"/>
      <c r="AJ500" s="201"/>
      <c r="AK500" s="70"/>
      <c r="AL500" s="70"/>
      <c r="AM500" s="70"/>
      <c r="AN500" s="70"/>
      <c r="AO500" s="70"/>
      <c r="AP500" s="70"/>
      <c r="AQ500" s="70"/>
      <c r="AR500" s="70"/>
      <c r="AS500" s="70"/>
      <c r="AT500" s="70"/>
      <c r="AU500" s="70"/>
      <c r="AV500" s="70"/>
      <c r="AW500" s="70"/>
      <c r="AX500" s="70"/>
    </row>
    <row r="501">
      <c r="A501" s="8"/>
      <c r="B501" s="70"/>
      <c r="C501" s="70"/>
      <c r="D501" s="70"/>
      <c r="E501" s="8"/>
      <c r="F501" s="70"/>
      <c r="G501" s="70"/>
      <c r="H501" s="70"/>
      <c r="I501" s="8"/>
      <c r="J501" s="70"/>
      <c r="K501" s="70"/>
      <c r="L501" s="70"/>
      <c r="M501" s="8"/>
      <c r="N501" s="70"/>
      <c r="O501" s="70"/>
      <c r="P501" s="70"/>
      <c r="Q501" s="8"/>
      <c r="R501" s="70"/>
      <c r="S501" s="70"/>
      <c r="T501" s="70"/>
      <c r="U501" s="8"/>
      <c r="V501" s="70"/>
      <c r="W501" s="70"/>
      <c r="X501" s="70"/>
      <c r="Y501" s="200"/>
      <c r="Z501" s="195"/>
      <c r="AA501" s="195"/>
      <c r="AB501" s="195"/>
      <c r="AC501" s="8"/>
      <c r="AD501" s="70"/>
      <c r="AE501" s="70"/>
      <c r="AF501" s="70"/>
      <c r="AG501" s="201"/>
      <c r="AH501" s="202"/>
      <c r="AI501" s="201"/>
      <c r="AJ501" s="201"/>
      <c r="AK501" s="70"/>
      <c r="AL501" s="70"/>
      <c r="AM501" s="70"/>
      <c r="AN501" s="70"/>
      <c r="AO501" s="70"/>
      <c r="AP501" s="70"/>
      <c r="AQ501" s="70"/>
      <c r="AR501" s="70"/>
      <c r="AS501" s="70"/>
      <c r="AT501" s="70"/>
      <c r="AU501" s="70"/>
      <c r="AV501" s="70"/>
      <c r="AW501" s="70"/>
      <c r="AX501" s="70"/>
    </row>
    <row r="502">
      <c r="A502" s="8"/>
      <c r="B502" s="70"/>
      <c r="C502" s="70"/>
      <c r="D502" s="70"/>
      <c r="E502" s="8"/>
      <c r="F502" s="70"/>
      <c r="G502" s="70"/>
      <c r="H502" s="70"/>
      <c r="I502" s="8"/>
      <c r="J502" s="70"/>
      <c r="K502" s="70"/>
      <c r="L502" s="70"/>
      <c r="M502" s="8"/>
      <c r="N502" s="70"/>
      <c r="O502" s="70"/>
      <c r="P502" s="70"/>
      <c r="Q502" s="8"/>
      <c r="R502" s="70"/>
      <c r="S502" s="70"/>
      <c r="T502" s="70"/>
      <c r="U502" s="8"/>
      <c r="V502" s="70"/>
      <c r="W502" s="70"/>
      <c r="X502" s="70"/>
      <c r="Y502" s="200"/>
      <c r="Z502" s="195"/>
      <c r="AA502" s="195"/>
      <c r="AB502" s="195"/>
      <c r="AC502" s="8"/>
      <c r="AD502" s="70"/>
      <c r="AE502" s="70"/>
      <c r="AF502" s="70"/>
      <c r="AG502" s="201"/>
      <c r="AH502" s="202"/>
      <c r="AI502" s="201"/>
      <c r="AJ502" s="201"/>
      <c r="AK502" s="70"/>
      <c r="AL502" s="70"/>
      <c r="AM502" s="70"/>
      <c r="AN502" s="70"/>
      <c r="AO502" s="70"/>
      <c r="AP502" s="70"/>
      <c r="AQ502" s="70"/>
      <c r="AR502" s="70"/>
      <c r="AS502" s="70"/>
      <c r="AT502" s="70"/>
      <c r="AU502" s="70"/>
      <c r="AV502" s="70"/>
      <c r="AW502" s="70"/>
      <c r="AX502" s="70"/>
    </row>
    <row r="503">
      <c r="A503" s="8"/>
      <c r="B503" s="70"/>
      <c r="C503" s="70"/>
      <c r="D503" s="70"/>
      <c r="E503" s="8"/>
      <c r="F503" s="70"/>
      <c r="G503" s="70"/>
      <c r="H503" s="70"/>
      <c r="I503" s="8"/>
      <c r="J503" s="70"/>
      <c r="K503" s="70"/>
      <c r="L503" s="70"/>
      <c r="M503" s="8"/>
      <c r="N503" s="70"/>
      <c r="O503" s="70"/>
      <c r="P503" s="70"/>
      <c r="Q503" s="8"/>
      <c r="R503" s="70"/>
      <c r="S503" s="70"/>
      <c r="T503" s="70"/>
      <c r="U503" s="8"/>
      <c r="V503" s="70"/>
      <c r="W503" s="70"/>
      <c r="X503" s="70"/>
      <c r="Y503" s="200"/>
      <c r="Z503" s="195"/>
      <c r="AA503" s="195"/>
      <c r="AB503" s="195"/>
      <c r="AC503" s="8"/>
      <c r="AD503" s="70"/>
      <c r="AE503" s="70"/>
      <c r="AF503" s="70"/>
      <c r="AG503" s="201"/>
      <c r="AH503" s="202"/>
      <c r="AI503" s="201"/>
      <c r="AJ503" s="201"/>
      <c r="AK503" s="70"/>
      <c r="AL503" s="70"/>
      <c r="AM503" s="70"/>
      <c r="AN503" s="70"/>
      <c r="AO503" s="70"/>
      <c r="AP503" s="70"/>
      <c r="AQ503" s="70"/>
      <c r="AR503" s="70"/>
      <c r="AS503" s="70"/>
      <c r="AT503" s="70"/>
      <c r="AU503" s="70"/>
      <c r="AV503" s="70"/>
      <c r="AW503" s="70"/>
      <c r="AX503" s="70"/>
    </row>
    <row r="504">
      <c r="A504" s="8"/>
      <c r="B504" s="70"/>
      <c r="C504" s="70"/>
      <c r="D504" s="70"/>
      <c r="E504" s="8"/>
      <c r="F504" s="70"/>
      <c r="G504" s="70"/>
      <c r="H504" s="70"/>
      <c r="I504" s="8"/>
      <c r="J504" s="70"/>
      <c r="K504" s="70"/>
      <c r="L504" s="70"/>
      <c r="M504" s="8"/>
      <c r="N504" s="70"/>
      <c r="O504" s="70"/>
      <c r="P504" s="70"/>
      <c r="Q504" s="8"/>
      <c r="R504" s="70"/>
      <c r="S504" s="70"/>
      <c r="T504" s="70"/>
      <c r="U504" s="8"/>
      <c r="V504" s="70"/>
      <c r="W504" s="70"/>
      <c r="X504" s="70"/>
      <c r="Y504" s="200"/>
      <c r="Z504" s="195"/>
      <c r="AA504" s="195"/>
      <c r="AB504" s="195"/>
      <c r="AC504" s="8"/>
      <c r="AD504" s="70"/>
      <c r="AE504" s="70"/>
      <c r="AF504" s="70"/>
      <c r="AG504" s="201"/>
      <c r="AH504" s="202"/>
      <c r="AI504" s="201"/>
      <c r="AJ504" s="201"/>
      <c r="AK504" s="70"/>
      <c r="AL504" s="70"/>
      <c r="AM504" s="70"/>
      <c r="AN504" s="70"/>
      <c r="AO504" s="70"/>
      <c r="AP504" s="70"/>
      <c r="AQ504" s="70"/>
      <c r="AR504" s="70"/>
      <c r="AS504" s="70"/>
      <c r="AT504" s="70"/>
      <c r="AU504" s="70"/>
      <c r="AV504" s="70"/>
      <c r="AW504" s="70"/>
      <c r="AX504" s="70"/>
    </row>
    <row r="505">
      <c r="A505" s="8"/>
      <c r="B505" s="70"/>
      <c r="C505" s="70"/>
      <c r="D505" s="70"/>
      <c r="E505" s="8"/>
      <c r="F505" s="70"/>
      <c r="G505" s="70"/>
      <c r="H505" s="70"/>
      <c r="I505" s="8"/>
      <c r="J505" s="70"/>
      <c r="K505" s="70"/>
      <c r="L505" s="70"/>
      <c r="M505" s="8"/>
      <c r="N505" s="70"/>
      <c r="O505" s="70"/>
      <c r="P505" s="70"/>
      <c r="Q505" s="8"/>
      <c r="R505" s="70"/>
      <c r="S505" s="70"/>
      <c r="T505" s="70"/>
      <c r="U505" s="8"/>
      <c r="V505" s="70"/>
      <c r="W505" s="70"/>
      <c r="X505" s="70"/>
      <c r="Y505" s="200"/>
      <c r="Z505" s="195"/>
      <c r="AA505" s="195"/>
      <c r="AB505" s="195"/>
      <c r="AC505" s="8"/>
      <c r="AD505" s="70"/>
      <c r="AE505" s="70"/>
      <c r="AF505" s="70"/>
      <c r="AG505" s="201"/>
      <c r="AH505" s="202"/>
      <c r="AI505" s="201"/>
      <c r="AJ505" s="201"/>
      <c r="AK505" s="70"/>
      <c r="AL505" s="70"/>
      <c r="AM505" s="70"/>
      <c r="AN505" s="70"/>
      <c r="AO505" s="70"/>
      <c r="AP505" s="70"/>
      <c r="AQ505" s="70"/>
      <c r="AR505" s="70"/>
      <c r="AS505" s="70"/>
      <c r="AT505" s="70"/>
      <c r="AU505" s="70"/>
      <c r="AV505" s="70"/>
      <c r="AW505" s="70"/>
      <c r="AX505" s="70"/>
    </row>
    <row r="506">
      <c r="A506" s="8"/>
      <c r="B506" s="70"/>
      <c r="C506" s="70"/>
      <c r="D506" s="70"/>
      <c r="E506" s="8"/>
      <c r="F506" s="70"/>
      <c r="G506" s="70"/>
      <c r="H506" s="70"/>
      <c r="I506" s="8"/>
      <c r="J506" s="70"/>
      <c r="K506" s="70"/>
      <c r="L506" s="70"/>
      <c r="M506" s="8"/>
      <c r="N506" s="70"/>
      <c r="O506" s="70"/>
      <c r="P506" s="70"/>
      <c r="Q506" s="8"/>
      <c r="R506" s="70"/>
      <c r="S506" s="70"/>
      <c r="T506" s="70"/>
      <c r="U506" s="8"/>
      <c r="V506" s="70"/>
      <c r="W506" s="70"/>
      <c r="X506" s="70"/>
      <c r="Y506" s="200"/>
      <c r="Z506" s="195"/>
      <c r="AA506" s="195"/>
      <c r="AB506" s="195"/>
      <c r="AC506" s="8"/>
      <c r="AD506" s="70"/>
      <c r="AE506" s="70"/>
      <c r="AF506" s="70"/>
      <c r="AG506" s="201"/>
      <c r="AH506" s="202"/>
      <c r="AI506" s="201"/>
      <c r="AJ506" s="201"/>
      <c r="AK506" s="70"/>
      <c r="AL506" s="70"/>
      <c r="AM506" s="70"/>
      <c r="AN506" s="70"/>
      <c r="AO506" s="70"/>
      <c r="AP506" s="70"/>
      <c r="AQ506" s="70"/>
      <c r="AR506" s="70"/>
      <c r="AS506" s="70"/>
      <c r="AT506" s="70"/>
      <c r="AU506" s="70"/>
      <c r="AV506" s="70"/>
      <c r="AW506" s="70"/>
      <c r="AX506" s="70"/>
    </row>
    <row r="507">
      <c r="A507" s="8"/>
      <c r="B507" s="70"/>
      <c r="C507" s="70"/>
      <c r="D507" s="70"/>
      <c r="E507" s="8"/>
      <c r="F507" s="70"/>
      <c r="G507" s="70"/>
      <c r="H507" s="70"/>
      <c r="I507" s="8"/>
      <c r="J507" s="70"/>
      <c r="K507" s="70"/>
      <c r="L507" s="70"/>
      <c r="M507" s="8"/>
      <c r="N507" s="70"/>
      <c r="O507" s="70"/>
      <c r="P507" s="70"/>
      <c r="Q507" s="8"/>
      <c r="R507" s="70"/>
      <c r="S507" s="70"/>
      <c r="T507" s="70"/>
      <c r="U507" s="8"/>
      <c r="V507" s="70"/>
      <c r="W507" s="70"/>
      <c r="X507" s="70"/>
      <c r="Y507" s="200"/>
      <c r="Z507" s="195"/>
      <c r="AA507" s="195"/>
      <c r="AB507" s="195"/>
      <c r="AC507" s="8"/>
      <c r="AD507" s="70"/>
      <c r="AE507" s="70"/>
      <c r="AF507" s="70"/>
      <c r="AG507" s="201"/>
      <c r="AH507" s="202"/>
      <c r="AI507" s="201"/>
      <c r="AJ507" s="201"/>
      <c r="AK507" s="70"/>
      <c r="AL507" s="70"/>
      <c r="AM507" s="70"/>
      <c r="AN507" s="70"/>
      <c r="AO507" s="70"/>
      <c r="AP507" s="70"/>
      <c r="AQ507" s="70"/>
      <c r="AR507" s="70"/>
      <c r="AS507" s="70"/>
      <c r="AT507" s="70"/>
      <c r="AU507" s="70"/>
      <c r="AV507" s="70"/>
      <c r="AW507" s="70"/>
      <c r="AX507" s="70"/>
    </row>
    <row r="508">
      <c r="A508" s="8"/>
      <c r="B508" s="70"/>
      <c r="C508" s="70"/>
      <c r="D508" s="70"/>
      <c r="E508" s="8"/>
      <c r="F508" s="70"/>
      <c r="G508" s="70"/>
      <c r="H508" s="70"/>
      <c r="I508" s="8"/>
      <c r="J508" s="70"/>
      <c r="K508" s="70"/>
      <c r="L508" s="70"/>
      <c r="M508" s="8"/>
      <c r="N508" s="70"/>
      <c r="O508" s="70"/>
      <c r="P508" s="70"/>
      <c r="Q508" s="8"/>
      <c r="R508" s="70"/>
      <c r="S508" s="70"/>
      <c r="T508" s="70"/>
      <c r="U508" s="8"/>
      <c r="V508" s="70"/>
      <c r="W508" s="70"/>
      <c r="X508" s="70"/>
      <c r="Y508" s="200"/>
      <c r="Z508" s="195"/>
      <c r="AA508" s="195"/>
      <c r="AB508" s="195"/>
      <c r="AC508" s="8"/>
      <c r="AD508" s="70"/>
      <c r="AE508" s="70"/>
      <c r="AF508" s="70"/>
      <c r="AG508" s="201"/>
      <c r="AH508" s="202"/>
      <c r="AI508" s="201"/>
      <c r="AJ508" s="201"/>
      <c r="AK508" s="70"/>
      <c r="AL508" s="70"/>
      <c r="AM508" s="70"/>
      <c r="AN508" s="70"/>
      <c r="AO508" s="70"/>
      <c r="AP508" s="70"/>
      <c r="AQ508" s="70"/>
      <c r="AR508" s="70"/>
      <c r="AS508" s="70"/>
      <c r="AT508" s="70"/>
      <c r="AU508" s="70"/>
      <c r="AV508" s="70"/>
      <c r="AW508" s="70"/>
      <c r="AX508" s="70"/>
    </row>
    <row r="509">
      <c r="A509" s="8"/>
      <c r="B509" s="70"/>
      <c r="C509" s="70"/>
      <c r="D509" s="70"/>
      <c r="E509" s="8"/>
      <c r="F509" s="70"/>
      <c r="G509" s="70"/>
      <c r="H509" s="70"/>
      <c r="I509" s="8"/>
      <c r="J509" s="70"/>
      <c r="K509" s="70"/>
      <c r="L509" s="70"/>
      <c r="M509" s="8"/>
      <c r="N509" s="70"/>
      <c r="O509" s="70"/>
      <c r="P509" s="70"/>
      <c r="Q509" s="8"/>
      <c r="R509" s="70"/>
      <c r="S509" s="70"/>
      <c r="T509" s="70"/>
      <c r="U509" s="8"/>
      <c r="V509" s="70"/>
      <c r="W509" s="70"/>
      <c r="X509" s="70"/>
      <c r="Y509" s="200"/>
      <c r="Z509" s="195"/>
      <c r="AA509" s="195"/>
      <c r="AB509" s="195"/>
      <c r="AC509" s="8"/>
      <c r="AD509" s="70"/>
      <c r="AE509" s="70"/>
      <c r="AF509" s="70"/>
      <c r="AG509" s="201"/>
      <c r="AH509" s="202"/>
      <c r="AI509" s="201"/>
      <c r="AJ509" s="201"/>
      <c r="AK509" s="70"/>
      <c r="AL509" s="70"/>
      <c r="AM509" s="70"/>
      <c r="AN509" s="70"/>
      <c r="AO509" s="70"/>
      <c r="AP509" s="70"/>
      <c r="AQ509" s="70"/>
      <c r="AR509" s="70"/>
      <c r="AS509" s="70"/>
      <c r="AT509" s="70"/>
      <c r="AU509" s="70"/>
      <c r="AV509" s="70"/>
      <c r="AW509" s="70"/>
      <c r="AX509" s="70"/>
    </row>
    <row r="510">
      <c r="A510" s="8"/>
      <c r="B510" s="70"/>
      <c r="C510" s="70"/>
      <c r="D510" s="70"/>
      <c r="E510" s="8"/>
      <c r="F510" s="70"/>
      <c r="G510" s="70"/>
      <c r="H510" s="70"/>
      <c r="I510" s="8"/>
      <c r="J510" s="70"/>
      <c r="K510" s="70"/>
      <c r="L510" s="70"/>
      <c r="M510" s="8"/>
      <c r="N510" s="70"/>
      <c r="O510" s="70"/>
      <c r="P510" s="70"/>
      <c r="Q510" s="8"/>
      <c r="R510" s="70"/>
      <c r="S510" s="70"/>
      <c r="T510" s="70"/>
      <c r="U510" s="8"/>
      <c r="V510" s="70"/>
      <c r="W510" s="70"/>
      <c r="X510" s="70"/>
      <c r="Y510" s="200"/>
      <c r="Z510" s="195"/>
      <c r="AA510" s="195"/>
      <c r="AB510" s="195"/>
      <c r="AC510" s="8"/>
      <c r="AD510" s="70"/>
      <c r="AE510" s="70"/>
      <c r="AF510" s="70"/>
      <c r="AG510" s="201"/>
      <c r="AH510" s="202"/>
      <c r="AI510" s="201"/>
      <c r="AJ510" s="201"/>
      <c r="AK510" s="70"/>
      <c r="AL510" s="70"/>
      <c r="AM510" s="70"/>
      <c r="AN510" s="70"/>
      <c r="AO510" s="70"/>
      <c r="AP510" s="70"/>
      <c r="AQ510" s="70"/>
      <c r="AR510" s="70"/>
      <c r="AS510" s="70"/>
      <c r="AT510" s="70"/>
      <c r="AU510" s="70"/>
      <c r="AV510" s="70"/>
      <c r="AW510" s="70"/>
      <c r="AX510" s="70"/>
    </row>
    <row r="511">
      <c r="A511" s="8"/>
      <c r="B511" s="70"/>
      <c r="C511" s="70"/>
      <c r="D511" s="70"/>
      <c r="E511" s="8"/>
      <c r="F511" s="70"/>
      <c r="G511" s="70"/>
      <c r="H511" s="70"/>
      <c r="I511" s="8"/>
      <c r="J511" s="70"/>
      <c r="K511" s="70"/>
      <c r="L511" s="70"/>
      <c r="M511" s="8"/>
      <c r="N511" s="70"/>
      <c r="O511" s="70"/>
      <c r="P511" s="70"/>
      <c r="Q511" s="8"/>
      <c r="R511" s="70"/>
      <c r="S511" s="70"/>
      <c r="T511" s="70"/>
      <c r="U511" s="8"/>
      <c r="V511" s="70"/>
      <c r="W511" s="70"/>
      <c r="X511" s="70"/>
      <c r="Y511" s="200"/>
      <c r="Z511" s="195"/>
      <c r="AA511" s="195"/>
      <c r="AB511" s="195"/>
      <c r="AC511" s="8"/>
      <c r="AD511" s="70"/>
      <c r="AE511" s="70"/>
      <c r="AF511" s="70"/>
      <c r="AG511" s="201"/>
      <c r="AH511" s="202"/>
      <c r="AI511" s="201"/>
      <c r="AJ511" s="201"/>
      <c r="AK511" s="70"/>
      <c r="AL511" s="70"/>
      <c r="AM511" s="70"/>
      <c r="AN511" s="70"/>
      <c r="AO511" s="70"/>
      <c r="AP511" s="70"/>
      <c r="AQ511" s="70"/>
      <c r="AR511" s="70"/>
      <c r="AS511" s="70"/>
      <c r="AT511" s="70"/>
      <c r="AU511" s="70"/>
      <c r="AV511" s="70"/>
      <c r="AW511" s="70"/>
      <c r="AX511" s="70"/>
    </row>
    <row r="512">
      <c r="A512" s="8"/>
      <c r="B512" s="70"/>
      <c r="C512" s="70"/>
      <c r="D512" s="70"/>
      <c r="E512" s="8"/>
      <c r="F512" s="70"/>
      <c r="G512" s="70"/>
      <c r="H512" s="70"/>
      <c r="I512" s="8"/>
      <c r="J512" s="70"/>
      <c r="K512" s="70"/>
      <c r="L512" s="70"/>
      <c r="M512" s="8"/>
      <c r="N512" s="70"/>
      <c r="O512" s="70"/>
      <c r="P512" s="70"/>
      <c r="Q512" s="8"/>
      <c r="R512" s="70"/>
      <c r="S512" s="70"/>
      <c r="T512" s="70"/>
      <c r="U512" s="8"/>
      <c r="V512" s="70"/>
      <c r="W512" s="70"/>
      <c r="X512" s="70"/>
      <c r="Y512" s="200"/>
      <c r="Z512" s="195"/>
      <c r="AA512" s="195"/>
      <c r="AB512" s="195"/>
      <c r="AC512" s="8"/>
      <c r="AD512" s="70"/>
      <c r="AE512" s="70"/>
      <c r="AF512" s="70"/>
      <c r="AG512" s="201"/>
      <c r="AH512" s="202"/>
      <c r="AI512" s="201"/>
      <c r="AJ512" s="201"/>
      <c r="AK512" s="70"/>
      <c r="AL512" s="70"/>
      <c r="AM512" s="70"/>
      <c r="AN512" s="70"/>
      <c r="AO512" s="70"/>
      <c r="AP512" s="70"/>
      <c r="AQ512" s="70"/>
      <c r="AR512" s="70"/>
      <c r="AS512" s="70"/>
      <c r="AT512" s="70"/>
      <c r="AU512" s="70"/>
      <c r="AV512" s="70"/>
      <c r="AW512" s="70"/>
      <c r="AX512" s="70"/>
    </row>
    <row r="513">
      <c r="A513" s="8"/>
      <c r="B513" s="70"/>
      <c r="C513" s="70"/>
      <c r="D513" s="70"/>
      <c r="E513" s="8"/>
      <c r="F513" s="70"/>
      <c r="G513" s="70"/>
      <c r="H513" s="70"/>
      <c r="I513" s="8"/>
      <c r="J513" s="70"/>
      <c r="K513" s="70"/>
      <c r="L513" s="70"/>
      <c r="M513" s="8"/>
      <c r="N513" s="70"/>
      <c r="O513" s="70"/>
      <c r="P513" s="70"/>
      <c r="Q513" s="8"/>
      <c r="R513" s="70"/>
      <c r="S513" s="70"/>
      <c r="T513" s="70"/>
      <c r="U513" s="8"/>
      <c r="V513" s="70"/>
      <c r="W513" s="70"/>
      <c r="X513" s="70"/>
      <c r="Y513" s="200"/>
      <c r="Z513" s="195"/>
      <c r="AA513" s="195"/>
      <c r="AB513" s="195"/>
      <c r="AC513" s="8"/>
      <c r="AD513" s="70"/>
      <c r="AE513" s="70"/>
      <c r="AF513" s="70"/>
      <c r="AG513" s="201"/>
      <c r="AH513" s="202"/>
      <c r="AI513" s="201"/>
      <c r="AJ513" s="201"/>
      <c r="AK513" s="70"/>
      <c r="AL513" s="70"/>
      <c r="AM513" s="70"/>
      <c r="AN513" s="70"/>
      <c r="AO513" s="70"/>
      <c r="AP513" s="70"/>
      <c r="AQ513" s="70"/>
      <c r="AR513" s="70"/>
      <c r="AS513" s="70"/>
      <c r="AT513" s="70"/>
      <c r="AU513" s="70"/>
      <c r="AV513" s="70"/>
      <c r="AW513" s="70"/>
      <c r="AX513" s="70"/>
    </row>
    <row r="514">
      <c r="A514" s="8"/>
      <c r="B514" s="70"/>
      <c r="C514" s="70"/>
      <c r="D514" s="70"/>
      <c r="E514" s="8"/>
      <c r="F514" s="70"/>
      <c r="G514" s="70"/>
      <c r="H514" s="70"/>
      <c r="I514" s="8"/>
      <c r="J514" s="70"/>
      <c r="K514" s="70"/>
      <c r="L514" s="70"/>
      <c r="M514" s="8"/>
      <c r="N514" s="70"/>
      <c r="O514" s="70"/>
      <c r="P514" s="70"/>
      <c r="Q514" s="8"/>
      <c r="R514" s="70"/>
      <c r="S514" s="70"/>
      <c r="T514" s="70"/>
      <c r="U514" s="8"/>
      <c r="V514" s="70"/>
      <c r="W514" s="70"/>
      <c r="X514" s="70"/>
      <c r="Y514" s="200"/>
      <c r="Z514" s="195"/>
      <c r="AA514" s="195"/>
      <c r="AB514" s="195"/>
      <c r="AC514" s="8"/>
      <c r="AD514" s="70"/>
      <c r="AE514" s="70"/>
      <c r="AF514" s="70"/>
      <c r="AG514" s="201"/>
      <c r="AH514" s="202"/>
      <c r="AI514" s="201"/>
      <c r="AJ514" s="201"/>
      <c r="AK514" s="70"/>
      <c r="AL514" s="70"/>
      <c r="AM514" s="70"/>
      <c r="AN514" s="70"/>
      <c r="AO514" s="70"/>
      <c r="AP514" s="70"/>
      <c r="AQ514" s="70"/>
      <c r="AR514" s="70"/>
      <c r="AS514" s="70"/>
      <c r="AT514" s="70"/>
      <c r="AU514" s="70"/>
      <c r="AV514" s="70"/>
      <c r="AW514" s="70"/>
      <c r="AX514" s="70"/>
    </row>
    <row r="515">
      <c r="A515" s="8"/>
      <c r="B515" s="70"/>
      <c r="C515" s="70"/>
      <c r="D515" s="70"/>
      <c r="E515" s="8"/>
      <c r="F515" s="70"/>
      <c r="G515" s="70"/>
      <c r="H515" s="70"/>
      <c r="I515" s="8"/>
      <c r="J515" s="70"/>
      <c r="K515" s="70"/>
      <c r="L515" s="70"/>
      <c r="M515" s="8"/>
      <c r="N515" s="70"/>
      <c r="O515" s="70"/>
      <c r="P515" s="70"/>
      <c r="Q515" s="8"/>
      <c r="R515" s="70"/>
      <c r="S515" s="70"/>
      <c r="T515" s="70"/>
      <c r="U515" s="8"/>
      <c r="V515" s="70"/>
      <c r="W515" s="70"/>
      <c r="X515" s="70"/>
      <c r="Y515" s="200"/>
      <c r="Z515" s="195"/>
      <c r="AA515" s="195"/>
      <c r="AB515" s="195"/>
      <c r="AC515" s="8"/>
      <c r="AD515" s="70"/>
      <c r="AE515" s="70"/>
      <c r="AF515" s="70"/>
      <c r="AG515" s="201"/>
      <c r="AH515" s="202"/>
      <c r="AI515" s="201"/>
      <c r="AJ515" s="201"/>
      <c r="AK515" s="70"/>
      <c r="AL515" s="70"/>
      <c r="AM515" s="70"/>
      <c r="AN515" s="70"/>
      <c r="AO515" s="70"/>
      <c r="AP515" s="70"/>
      <c r="AQ515" s="70"/>
      <c r="AR515" s="70"/>
      <c r="AS515" s="70"/>
      <c r="AT515" s="70"/>
      <c r="AU515" s="70"/>
      <c r="AV515" s="70"/>
      <c r="AW515" s="70"/>
      <c r="AX515" s="70"/>
    </row>
    <row r="516">
      <c r="A516" s="8"/>
      <c r="B516" s="70"/>
      <c r="C516" s="70"/>
      <c r="D516" s="70"/>
      <c r="E516" s="8"/>
      <c r="F516" s="70"/>
      <c r="G516" s="70"/>
      <c r="H516" s="70"/>
      <c r="I516" s="8"/>
      <c r="J516" s="70"/>
      <c r="K516" s="70"/>
      <c r="L516" s="70"/>
      <c r="M516" s="8"/>
      <c r="N516" s="70"/>
      <c r="O516" s="70"/>
      <c r="P516" s="70"/>
      <c r="Q516" s="8"/>
      <c r="R516" s="70"/>
      <c r="S516" s="70"/>
      <c r="T516" s="70"/>
      <c r="U516" s="8"/>
      <c r="V516" s="70"/>
      <c r="W516" s="70"/>
      <c r="X516" s="70"/>
      <c r="Y516" s="200"/>
      <c r="Z516" s="195"/>
      <c r="AA516" s="195"/>
      <c r="AB516" s="195"/>
      <c r="AC516" s="8"/>
      <c r="AD516" s="70"/>
      <c r="AE516" s="70"/>
      <c r="AF516" s="70"/>
      <c r="AG516" s="201"/>
      <c r="AH516" s="202"/>
      <c r="AI516" s="201"/>
      <c r="AJ516" s="201"/>
      <c r="AK516" s="70"/>
      <c r="AL516" s="70"/>
      <c r="AM516" s="70"/>
      <c r="AN516" s="70"/>
      <c r="AO516" s="70"/>
      <c r="AP516" s="70"/>
      <c r="AQ516" s="70"/>
      <c r="AR516" s="70"/>
      <c r="AS516" s="70"/>
      <c r="AT516" s="70"/>
      <c r="AU516" s="70"/>
      <c r="AV516" s="70"/>
      <c r="AW516" s="70"/>
      <c r="AX516" s="70"/>
    </row>
    <row r="517">
      <c r="A517" s="8"/>
      <c r="B517" s="70"/>
      <c r="C517" s="70"/>
      <c r="D517" s="70"/>
      <c r="E517" s="8"/>
      <c r="F517" s="70"/>
      <c r="G517" s="70"/>
      <c r="H517" s="70"/>
      <c r="I517" s="8"/>
      <c r="J517" s="70"/>
      <c r="K517" s="70"/>
      <c r="L517" s="70"/>
      <c r="M517" s="8"/>
      <c r="N517" s="70"/>
      <c r="O517" s="70"/>
      <c r="P517" s="70"/>
      <c r="Q517" s="8"/>
      <c r="R517" s="70"/>
      <c r="S517" s="70"/>
      <c r="T517" s="70"/>
      <c r="U517" s="8"/>
      <c r="V517" s="70"/>
      <c r="W517" s="70"/>
      <c r="X517" s="70"/>
      <c r="Y517" s="200"/>
      <c r="Z517" s="195"/>
      <c r="AA517" s="195"/>
      <c r="AB517" s="195"/>
      <c r="AC517" s="8"/>
      <c r="AD517" s="70"/>
      <c r="AE517" s="70"/>
      <c r="AF517" s="70"/>
      <c r="AG517" s="201"/>
      <c r="AH517" s="202"/>
      <c r="AI517" s="201"/>
      <c r="AJ517" s="201"/>
      <c r="AK517" s="70"/>
      <c r="AL517" s="70"/>
      <c r="AM517" s="70"/>
      <c r="AN517" s="70"/>
      <c r="AO517" s="70"/>
      <c r="AP517" s="70"/>
      <c r="AQ517" s="70"/>
      <c r="AR517" s="70"/>
      <c r="AS517" s="70"/>
      <c r="AT517" s="70"/>
      <c r="AU517" s="70"/>
      <c r="AV517" s="70"/>
      <c r="AW517" s="70"/>
      <c r="AX517" s="70"/>
    </row>
    <row r="518">
      <c r="A518" s="8"/>
      <c r="B518" s="70"/>
      <c r="C518" s="70"/>
      <c r="D518" s="70"/>
      <c r="E518" s="8"/>
      <c r="F518" s="70"/>
      <c r="G518" s="70"/>
      <c r="H518" s="70"/>
      <c r="I518" s="8"/>
      <c r="J518" s="70"/>
      <c r="K518" s="70"/>
      <c r="L518" s="70"/>
      <c r="M518" s="8"/>
      <c r="N518" s="70"/>
      <c r="O518" s="70"/>
      <c r="P518" s="70"/>
      <c r="Q518" s="8"/>
      <c r="R518" s="70"/>
      <c r="S518" s="70"/>
      <c r="T518" s="70"/>
      <c r="U518" s="8"/>
      <c r="V518" s="70"/>
      <c r="W518" s="70"/>
      <c r="X518" s="70"/>
      <c r="Y518" s="200"/>
      <c r="Z518" s="195"/>
      <c r="AA518" s="195"/>
      <c r="AB518" s="195"/>
      <c r="AC518" s="8"/>
      <c r="AD518" s="70"/>
      <c r="AE518" s="70"/>
      <c r="AF518" s="70"/>
      <c r="AG518" s="201"/>
      <c r="AH518" s="202"/>
      <c r="AI518" s="201"/>
      <c r="AJ518" s="201"/>
      <c r="AK518" s="70"/>
      <c r="AL518" s="70"/>
      <c r="AM518" s="70"/>
      <c r="AN518" s="70"/>
      <c r="AO518" s="70"/>
      <c r="AP518" s="70"/>
      <c r="AQ518" s="70"/>
      <c r="AR518" s="70"/>
      <c r="AS518" s="70"/>
      <c r="AT518" s="70"/>
      <c r="AU518" s="70"/>
      <c r="AV518" s="70"/>
      <c r="AW518" s="70"/>
      <c r="AX518" s="70"/>
    </row>
    <row r="519">
      <c r="A519" s="8"/>
      <c r="B519" s="70"/>
      <c r="C519" s="70"/>
      <c r="D519" s="70"/>
      <c r="E519" s="8"/>
      <c r="F519" s="70"/>
      <c r="G519" s="70"/>
      <c r="H519" s="70"/>
      <c r="I519" s="8"/>
      <c r="J519" s="70"/>
      <c r="K519" s="70"/>
      <c r="L519" s="70"/>
      <c r="M519" s="8"/>
      <c r="N519" s="70"/>
      <c r="O519" s="70"/>
      <c r="P519" s="70"/>
      <c r="Q519" s="8"/>
      <c r="R519" s="70"/>
      <c r="S519" s="70"/>
      <c r="T519" s="70"/>
      <c r="U519" s="8"/>
      <c r="V519" s="70"/>
      <c r="W519" s="70"/>
      <c r="X519" s="70"/>
      <c r="Y519" s="200"/>
      <c r="Z519" s="195"/>
      <c r="AA519" s="195"/>
      <c r="AB519" s="195"/>
      <c r="AC519" s="8"/>
      <c r="AD519" s="70"/>
      <c r="AE519" s="70"/>
      <c r="AF519" s="70"/>
      <c r="AG519" s="201"/>
      <c r="AH519" s="202"/>
      <c r="AI519" s="201"/>
      <c r="AJ519" s="201"/>
      <c r="AK519" s="70"/>
      <c r="AL519" s="70"/>
      <c r="AM519" s="70"/>
      <c r="AN519" s="70"/>
      <c r="AO519" s="70"/>
      <c r="AP519" s="70"/>
      <c r="AQ519" s="70"/>
      <c r="AR519" s="70"/>
      <c r="AS519" s="70"/>
      <c r="AT519" s="70"/>
      <c r="AU519" s="70"/>
      <c r="AV519" s="70"/>
      <c r="AW519" s="70"/>
      <c r="AX519" s="70"/>
    </row>
    <row r="520">
      <c r="A520" s="8"/>
      <c r="B520" s="70"/>
      <c r="C520" s="70"/>
      <c r="D520" s="70"/>
      <c r="E520" s="8"/>
      <c r="F520" s="70"/>
      <c r="G520" s="70"/>
      <c r="H520" s="70"/>
      <c r="I520" s="8"/>
      <c r="J520" s="70"/>
      <c r="K520" s="70"/>
      <c r="L520" s="70"/>
      <c r="M520" s="8"/>
      <c r="N520" s="70"/>
      <c r="O520" s="70"/>
      <c r="P520" s="70"/>
      <c r="Q520" s="8"/>
      <c r="R520" s="70"/>
      <c r="S520" s="70"/>
      <c r="T520" s="70"/>
      <c r="U520" s="8"/>
      <c r="V520" s="70"/>
      <c r="W520" s="70"/>
      <c r="X520" s="70"/>
      <c r="Y520" s="200"/>
      <c r="Z520" s="195"/>
      <c r="AA520" s="195"/>
      <c r="AB520" s="195"/>
      <c r="AC520" s="8"/>
      <c r="AD520" s="70"/>
      <c r="AE520" s="70"/>
      <c r="AF520" s="70"/>
      <c r="AG520" s="201"/>
      <c r="AH520" s="202"/>
      <c r="AI520" s="201"/>
      <c r="AJ520" s="201"/>
      <c r="AK520" s="70"/>
      <c r="AL520" s="70"/>
      <c r="AM520" s="70"/>
      <c r="AN520" s="70"/>
      <c r="AO520" s="70"/>
      <c r="AP520" s="70"/>
      <c r="AQ520" s="70"/>
      <c r="AR520" s="70"/>
      <c r="AS520" s="70"/>
      <c r="AT520" s="70"/>
      <c r="AU520" s="70"/>
      <c r="AV520" s="70"/>
      <c r="AW520" s="70"/>
      <c r="AX520" s="70"/>
    </row>
    <row r="521">
      <c r="A521" s="8"/>
      <c r="B521" s="70"/>
      <c r="C521" s="70"/>
      <c r="D521" s="70"/>
      <c r="E521" s="8"/>
      <c r="F521" s="70"/>
      <c r="G521" s="70"/>
      <c r="H521" s="70"/>
      <c r="I521" s="8"/>
      <c r="J521" s="70"/>
      <c r="K521" s="70"/>
      <c r="L521" s="70"/>
      <c r="M521" s="8"/>
      <c r="N521" s="70"/>
      <c r="O521" s="70"/>
      <c r="P521" s="70"/>
      <c r="Q521" s="8"/>
      <c r="R521" s="70"/>
      <c r="S521" s="70"/>
      <c r="T521" s="70"/>
      <c r="U521" s="8"/>
      <c r="V521" s="70"/>
      <c r="W521" s="70"/>
      <c r="X521" s="70"/>
      <c r="Y521" s="200"/>
      <c r="Z521" s="195"/>
      <c r="AA521" s="195"/>
      <c r="AB521" s="195"/>
      <c r="AC521" s="8"/>
      <c r="AD521" s="70"/>
      <c r="AE521" s="70"/>
      <c r="AF521" s="70"/>
      <c r="AG521" s="201"/>
      <c r="AH521" s="202"/>
      <c r="AI521" s="201"/>
      <c r="AJ521" s="201"/>
      <c r="AK521" s="70"/>
      <c r="AL521" s="70"/>
      <c r="AM521" s="70"/>
      <c r="AN521" s="70"/>
      <c r="AO521" s="70"/>
      <c r="AP521" s="70"/>
      <c r="AQ521" s="70"/>
      <c r="AR521" s="70"/>
      <c r="AS521" s="70"/>
      <c r="AT521" s="70"/>
      <c r="AU521" s="70"/>
      <c r="AV521" s="70"/>
      <c r="AW521" s="70"/>
      <c r="AX521" s="70"/>
    </row>
    <row r="522">
      <c r="A522" s="8"/>
      <c r="B522" s="70"/>
      <c r="C522" s="70"/>
      <c r="D522" s="70"/>
      <c r="E522" s="8"/>
      <c r="F522" s="70"/>
      <c r="G522" s="70"/>
      <c r="H522" s="70"/>
      <c r="I522" s="8"/>
      <c r="J522" s="70"/>
      <c r="K522" s="70"/>
      <c r="L522" s="70"/>
      <c r="M522" s="8"/>
      <c r="N522" s="70"/>
      <c r="O522" s="70"/>
      <c r="P522" s="70"/>
      <c r="Q522" s="8"/>
      <c r="R522" s="70"/>
      <c r="S522" s="70"/>
      <c r="T522" s="70"/>
      <c r="U522" s="8"/>
      <c r="V522" s="70"/>
      <c r="W522" s="70"/>
      <c r="X522" s="70"/>
      <c r="Y522" s="200"/>
      <c r="Z522" s="195"/>
      <c r="AA522" s="195"/>
      <c r="AB522" s="195"/>
      <c r="AC522" s="8"/>
      <c r="AD522" s="70"/>
      <c r="AE522" s="70"/>
      <c r="AF522" s="70"/>
      <c r="AG522" s="201"/>
      <c r="AH522" s="202"/>
      <c r="AI522" s="201"/>
      <c r="AJ522" s="201"/>
      <c r="AK522" s="70"/>
      <c r="AL522" s="70"/>
      <c r="AM522" s="70"/>
      <c r="AN522" s="70"/>
      <c r="AO522" s="70"/>
      <c r="AP522" s="70"/>
      <c r="AQ522" s="70"/>
      <c r="AR522" s="70"/>
      <c r="AS522" s="70"/>
      <c r="AT522" s="70"/>
      <c r="AU522" s="70"/>
      <c r="AV522" s="70"/>
      <c r="AW522" s="70"/>
      <c r="AX522" s="70"/>
    </row>
    <row r="523">
      <c r="A523" s="8"/>
      <c r="B523" s="70"/>
      <c r="C523" s="70"/>
      <c r="D523" s="70"/>
      <c r="E523" s="8"/>
      <c r="F523" s="70"/>
      <c r="G523" s="70"/>
      <c r="H523" s="70"/>
      <c r="I523" s="8"/>
      <c r="J523" s="70"/>
      <c r="K523" s="70"/>
      <c r="L523" s="70"/>
      <c r="M523" s="8"/>
      <c r="N523" s="70"/>
      <c r="O523" s="70"/>
      <c r="P523" s="70"/>
      <c r="Q523" s="8"/>
      <c r="R523" s="70"/>
      <c r="S523" s="70"/>
      <c r="T523" s="70"/>
      <c r="U523" s="8"/>
      <c r="V523" s="70"/>
      <c r="W523" s="70"/>
      <c r="X523" s="70"/>
      <c r="Y523" s="200"/>
      <c r="Z523" s="195"/>
      <c r="AA523" s="195"/>
      <c r="AB523" s="195"/>
      <c r="AC523" s="8"/>
      <c r="AD523" s="70"/>
      <c r="AE523" s="70"/>
      <c r="AF523" s="70"/>
      <c r="AG523" s="201"/>
      <c r="AH523" s="202"/>
      <c r="AI523" s="201"/>
      <c r="AJ523" s="201"/>
      <c r="AK523" s="70"/>
      <c r="AL523" s="70"/>
      <c r="AM523" s="70"/>
      <c r="AN523" s="70"/>
      <c r="AO523" s="70"/>
      <c r="AP523" s="70"/>
      <c r="AQ523" s="70"/>
      <c r="AR523" s="70"/>
      <c r="AS523" s="70"/>
      <c r="AT523" s="70"/>
      <c r="AU523" s="70"/>
      <c r="AV523" s="70"/>
      <c r="AW523" s="70"/>
      <c r="AX523" s="70"/>
    </row>
    <row r="524">
      <c r="A524" s="8"/>
      <c r="B524" s="70"/>
      <c r="C524" s="70"/>
      <c r="D524" s="70"/>
      <c r="E524" s="8"/>
      <c r="F524" s="70"/>
      <c r="G524" s="70"/>
      <c r="H524" s="70"/>
      <c r="I524" s="8"/>
      <c r="J524" s="70"/>
      <c r="K524" s="70"/>
      <c r="L524" s="70"/>
      <c r="M524" s="8"/>
      <c r="N524" s="70"/>
      <c r="O524" s="70"/>
      <c r="P524" s="70"/>
      <c r="Q524" s="8"/>
      <c r="R524" s="70"/>
      <c r="S524" s="70"/>
      <c r="T524" s="70"/>
      <c r="U524" s="8"/>
      <c r="V524" s="70"/>
      <c r="W524" s="70"/>
      <c r="X524" s="70"/>
      <c r="Y524" s="200"/>
      <c r="Z524" s="195"/>
      <c r="AA524" s="195"/>
      <c r="AB524" s="195"/>
      <c r="AC524" s="8"/>
      <c r="AD524" s="70"/>
      <c r="AE524" s="70"/>
      <c r="AF524" s="70"/>
      <c r="AG524" s="201"/>
      <c r="AH524" s="202"/>
      <c r="AI524" s="201"/>
      <c r="AJ524" s="201"/>
      <c r="AK524" s="70"/>
      <c r="AL524" s="70"/>
      <c r="AM524" s="70"/>
      <c r="AN524" s="70"/>
      <c r="AO524" s="70"/>
      <c r="AP524" s="70"/>
      <c r="AQ524" s="70"/>
      <c r="AR524" s="70"/>
      <c r="AS524" s="70"/>
      <c r="AT524" s="70"/>
      <c r="AU524" s="70"/>
      <c r="AV524" s="70"/>
      <c r="AW524" s="70"/>
      <c r="AX524" s="70"/>
    </row>
    <row r="525">
      <c r="A525" s="8"/>
      <c r="B525" s="70"/>
      <c r="C525" s="70"/>
      <c r="D525" s="70"/>
      <c r="E525" s="8"/>
      <c r="F525" s="70"/>
      <c r="G525" s="70"/>
      <c r="H525" s="70"/>
      <c r="I525" s="8"/>
      <c r="J525" s="70"/>
      <c r="K525" s="70"/>
      <c r="L525" s="70"/>
      <c r="M525" s="8"/>
      <c r="N525" s="70"/>
      <c r="O525" s="70"/>
      <c r="P525" s="70"/>
      <c r="Q525" s="8"/>
      <c r="R525" s="70"/>
      <c r="S525" s="70"/>
      <c r="T525" s="70"/>
      <c r="U525" s="8"/>
      <c r="V525" s="70"/>
      <c r="W525" s="70"/>
      <c r="X525" s="70"/>
      <c r="Y525" s="200"/>
      <c r="Z525" s="195"/>
      <c r="AA525" s="195"/>
      <c r="AB525" s="195"/>
      <c r="AC525" s="8"/>
      <c r="AD525" s="70"/>
      <c r="AE525" s="70"/>
      <c r="AF525" s="70"/>
      <c r="AG525" s="201"/>
      <c r="AH525" s="202"/>
      <c r="AI525" s="201"/>
      <c r="AJ525" s="201"/>
      <c r="AK525" s="70"/>
      <c r="AL525" s="70"/>
      <c r="AM525" s="70"/>
      <c r="AN525" s="70"/>
      <c r="AO525" s="70"/>
      <c r="AP525" s="70"/>
      <c r="AQ525" s="70"/>
      <c r="AR525" s="70"/>
      <c r="AS525" s="70"/>
      <c r="AT525" s="70"/>
      <c r="AU525" s="70"/>
      <c r="AV525" s="70"/>
      <c r="AW525" s="70"/>
      <c r="AX525" s="70"/>
    </row>
    <row r="526">
      <c r="A526" s="8"/>
      <c r="B526" s="70"/>
      <c r="C526" s="70"/>
      <c r="D526" s="70"/>
      <c r="E526" s="8"/>
      <c r="F526" s="70"/>
      <c r="G526" s="70"/>
      <c r="H526" s="70"/>
      <c r="I526" s="8"/>
      <c r="J526" s="70"/>
      <c r="K526" s="70"/>
      <c r="L526" s="70"/>
      <c r="M526" s="8"/>
      <c r="N526" s="70"/>
      <c r="O526" s="70"/>
      <c r="P526" s="70"/>
      <c r="Q526" s="8"/>
      <c r="R526" s="70"/>
      <c r="S526" s="70"/>
      <c r="T526" s="70"/>
      <c r="U526" s="8"/>
      <c r="V526" s="70"/>
      <c r="W526" s="70"/>
      <c r="X526" s="70"/>
      <c r="Y526" s="200"/>
      <c r="Z526" s="195"/>
      <c r="AA526" s="195"/>
      <c r="AB526" s="195"/>
      <c r="AC526" s="8"/>
      <c r="AD526" s="70"/>
      <c r="AE526" s="70"/>
      <c r="AF526" s="70"/>
      <c r="AG526" s="201"/>
      <c r="AH526" s="202"/>
      <c r="AI526" s="201"/>
      <c r="AJ526" s="201"/>
      <c r="AK526" s="70"/>
      <c r="AL526" s="70"/>
      <c r="AM526" s="70"/>
      <c r="AN526" s="70"/>
      <c r="AO526" s="70"/>
      <c r="AP526" s="70"/>
      <c r="AQ526" s="70"/>
      <c r="AR526" s="70"/>
      <c r="AS526" s="70"/>
      <c r="AT526" s="70"/>
      <c r="AU526" s="70"/>
      <c r="AV526" s="70"/>
      <c r="AW526" s="70"/>
      <c r="AX526" s="70"/>
    </row>
    <row r="527">
      <c r="A527" s="8"/>
      <c r="B527" s="70"/>
      <c r="C527" s="70"/>
      <c r="D527" s="70"/>
      <c r="E527" s="8"/>
      <c r="F527" s="70"/>
      <c r="G527" s="70"/>
      <c r="H527" s="70"/>
      <c r="I527" s="8"/>
      <c r="J527" s="70"/>
      <c r="K527" s="70"/>
      <c r="L527" s="70"/>
      <c r="M527" s="8"/>
      <c r="N527" s="70"/>
      <c r="O527" s="70"/>
      <c r="P527" s="70"/>
      <c r="Q527" s="8"/>
      <c r="R527" s="70"/>
      <c r="S527" s="70"/>
      <c r="T527" s="70"/>
      <c r="U527" s="8"/>
      <c r="V527" s="70"/>
      <c r="W527" s="70"/>
      <c r="X527" s="70"/>
      <c r="Y527" s="200"/>
      <c r="Z527" s="195"/>
      <c r="AA527" s="195"/>
      <c r="AB527" s="195"/>
      <c r="AC527" s="8"/>
      <c r="AD527" s="70"/>
      <c r="AE527" s="70"/>
      <c r="AF527" s="70"/>
      <c r="AG527" s="201"/>
      <c r="AH527" s="202"/>
      <c r="AI527" s="201"/>
      <c r="AJ527" s="201"/>
      <c r="AK527" s="70"/>
      <c r="AL527" s="70"/>
      <c r="AM527" s="70"/>
      <c r="AN527" s="70"/>
      <c r="AO527" s="70"/>
      <c r="AP527" s="70"/>
      <c r="AQ527" s="70"/>
      <c r="AR527" s="70"/>
      <c r="AS527" s="70"/>
      <c r="AT527" s="70"/>
      <c r="AU527" s="70"/>
      <c r="AV527" s="70"/>
      <c r="AW527" s="70"/>
      <c r="AX527" s="70"/>
    </row>
    <row r="528">
      <c r="A528" s="8"/>
      <c r="B528" s="70"/>
      <c r="C528" s="70"/>
      <c r="D528" s="70"/>
      <c r="E528" s="8"/>
      <c r="F528" s="70"/>
      <c r="G528" s="70"/>
      <c r="H528" s="70"/>
      <c r="I528" s="8"/>
      <c r="J528" s="70"/>
      <c r="K528" s="70"/>
      <c r="L528" s="70"/>
      <c r="M528" s="8"/>
      <c r="N528" s="70"/>
      <c r="O528" s="70"/>
      <c r="P528" s="70"/>
      <c r="Q528" s="8"/>
      <c r="R528" s="70"/>
      <c r="S528" s="70"/>
      <c r="T528" s="70"/>
      <c r="U528" s="8"/>
      <c r="V528" s="70"/>
      <c r="W528" s="70"/>
      <c r="X528" s="70"/>
      <c r="Y528" s="200"/>
      <c r="Z528" s="195"/>
      <c r="AA528" s="195"/>
      <c r="AB528" s="195"/>
      <c r="AC528" s="8"/>
      <c r="AD528" s="70"/>
      <c r="AE528" s="70"/>
      <c r="AF528" s="70"/>
      <c r="AG528" s="201"/>
      <c r="AH528" s="202"/>
      <c r="AI528" s="201"/>
      <c r="AJ528" s="201"/>
      <c r="AK528" s="70"/>
      <c r="AL528" s="70"/>
      <c r="AM528" s="70"/>
      <c r="AN528" s="70"/>
      <c r="AO528" s="70"/>
      <c r="AP528" s="70"/>
      <c r="AQ528" s="70"/>
      <c r="AR528" s="70"/>
      <c r="AS528" s="70"/>
      <c r="AT528" s="70"/>
      <c r="AU528" s="70"/>
      <c r="AV528" s="70"/>
      <c r="AW528" s="70"/>
      <c r="AX528" s="70"/>
    </row>
    <row r="529">
      <c r="A529" s="8"/>
      <c r="B529" s="70"/>
      <c r="C529" s="70"/>
      <c r="D529" s="70"/>
      <c r="E529" s="8"/>
      <c r="F529" s="70"/>
      <c r="G529" s="70"/>
      <c r="H529" s="70"/>
      <c r="I529" s="8"/>
      <c r="J529" s="70"/>
      <c r="K529" s="70"/>
      <c r="L529" s="70"/>
      <c r="M529" s="8"/>
      <c r="N529" s="70"/>
      <c r="O529" s="70"/>
      <c r="P529" s="70"/>
      <c r="Q529" s="8"/>
      <c r="R529" s="70"/>
      <c r="S529" s="70"/>
      <c r="T529" s="70"/>
      <c r="U529" s="8"/>
      <c r="V529" s="70"/>
      <c r="W529" s="70"/>
      <c r="X529" s="70"/>
      <c r="Y529" s="200"/>
      <c r="Z529" s="195"/>
      <c r="AA529" s="195"/>
      <c r="AB529" s="195"/>
      <c r="AC529" s="8"/>
      <c r="AD529" s="70"/>
      <c r="AE529" s="70"/>
      <c r="AF529" s="70"/>
      <c r="AG529" s="201"/>
      <c r="AH529" s="202"/>
      <c r="AI529" s="201"/>
      <c r="AJ529" s="201"/>
      <c r="AK529" s="70"/>
      <c r="AL529" s="70"/>
      <c r="AM529" s="70"/>
      <c r="AN529" s="70"/>
      <c r="AO529" s="70"/>
      <c r="AP529" s="70"/>
      <c r="AQ529" s="70"/>
      <c r="AR529" s="70"/>
      <c r="AS529" s="70"/>
      <c r="AT529" s="70"/>
      <c r="AU529" s="70"/>
      <c r="AV529" s="70"/>
      <c r="AW529" s="70"/>
      <c r="AX529" s="70"/>
    </row>
    <row r="530">
      <c r="A530" s="8"/>
      <c r="B530" s="70"/>
      <c r="C530" s="70"/>
      <c r="D530" s="70"/>
      <c r="E530" s="8"/>
      <c r="F530" s="70"/>
      <c r="G530" s="70"/>
      <c r="H530" s="70"/>
      <c r="I530" s="8"/>
      <c r="J530" s="70"/>
      <c r="K530" s="70"/>
      <c r="L530" s="70"/>
      <c r="M530" s="8"/>
      <c r="N530" s="70"/>
      <c r="O530" s="70"/>
      <c r="P530" s="70"/>
      <c r="Q530" s="8"/>
      <c r="R530" s="70"/>
      <c r="S530" s="70"/>
      <c r="T530" s="70"/>
      <c r="U530" s="8"/>
      <c r="V530" s="70"/>
      <c r="W530" s="70"/>
      <c r="X530" s="70"/>
      <c r="Y530" s="200"/>
      <c r="Z530" s="195"/>
      <c r="AA530" s="195"/>
      <c r="AB530" s="195"/>
      <c r="AC530" s="8"/>
      <c r="AD530" s="70"/>
      <c r="AE530" s="70"/>
      <c r="AF530" s="70"/>
      <c r="AG530" s="201"/>
      <c r="AH530" s="202"/>
      <c r="AI530" s="201"/>
      <c r="AJ530" s="201"/>
      <c r="AK530" s="70"/>
      <c r="AL530" s="70"/>
      <c r="AM530" s="70"/>
      <c r="AN530" s="70"/>
      <c r="AO530" s="70"/>
      <c r="AP530" s="70"/>
      <c r="AQ530" s="70"/>
      <c r="AR530" s="70"/>
      <c r="AS530" s="70"/>
      <c r="AT530" s="70"/>
      <c r="AU530" s="70"/>
      <c r="AV530" s="70"/>
      <c r="AW530" s="70"/>
      <c r="AX530" s="70"/>
    </row>
    <row r="531">
      <c r="A531" s="8"/>
      <c r="B531" s="70"/>
      <c r="C531" s="70"/>
      <c r="D531" s="70"/>
      <c r="E531" s="8"/>
      <c r="F531" s="70"/>
      <c r="G531" s="70"/>
      <c r="H531" s="70"/>
      <c r="I531" s="8"/>
      <c r="J531" s="70"/>
      <c r="K531" s="70"/>
      <c r="L531" s="70"/>
      <c r="M531" s="8"/>
      <c r="N531" s="70"/>
      <c r="O531" s="70"/>
      <c r="P531" s="70"/>
      <c r="Q531" s="8"/>
      <c r="R531" s="70"/>
      <c r="S531" s="70"/>
      <c r="T531" s="70"/>
      <c r="U531" s="8"/>
      <c r="V531" s="70"/>
      <c r="W531" s="70"/>
      <c r="X531" s="70"/>
      <c r="Y531" s="200"/>
      <c r="Z531" s="195"/>
      <c r="AA531" s="195"/>
      <c r="AB531" s="195"/>
      <c r="AC531" s="8"/>
      <c r="AD531" s="70"/>
      <c r="AE531" s="70"/>
      <c r="AF531" s="70"/>
      <c r="AG531" s="201"/>
      <c r="AH531" s="202"/>
      <c r="AI531" s="201"/>
      <c r="AJ531" s="201"/>
      <c r="AK531" s="70"/>
      <c r="AL531" s="70"/>
      <c r="AM531" s="70"/>
      <c r="AN531" s="70"/>
      <c r="AO531" s="70"/>
      <c r="AP531" s="70"/>
      <c r="AQ531" s="70"/>
      <c r="AR531" s="70"/>
      <c r="AS531" s="70"/>
      <c r="AT531" s="70"/>
      <c r="AU531" s="70"/>
      <c r="AV531" s="70"/>
      <c r="AW531" s="70"/>
      <c r="AX531" s="70"/>
    </row>
    <row r="532">
      <c r="A532" s="8"/>
      <c r="B532" s="70"/>
      <c r="C532" s="70"/>
      <c r="D532" s="70"/>
      <c r="E532" s="8"/>
      <c r="F532" s="70"/>
      <c r="G532" s="70"/>
      <c r="H532" s="70"/>
      <c r="I532" s="8"/>
      <c r="J532" s="70"/>
      <c r="K532" s="70"/>
      <c r="L532" s="70"/>
      <c r="M532" s="8"/>
      <c r="N532" s="70"/>
      <c r="O532" s="70"/>
      <c r="P532" s="70"/>
      <c r="Q532" s="8"/>
      <c r="R532" s="70"/>
      <c r="S532" s="70"/>
      <c r="T532" s="70"/>
      <c r="U532" s="8"/>
      <c r="V532" s="70"/>
      <c r="W532" s="70"/>
      <c r="X532" s="70"/>
      <c r="Y532" s="200"/>
      <c r="Z532" s="195"/>
      <c r="AA532" s="195"/>
      <c r="AB532" s="195"/>
      <c r="AC532" s="8"/>
      <c r="AD532" s="70"/>
      <c r="AE532" s="70"/>
      <c r="AF532" s="70"/>
      <c r="AG532" s="201"/>
      <c r="AH532" s="202"/>
      <c r="AI532" s="201"/>
      <c r="AJ532" s="201"/>
      <c r="AK532" s="70"/>
      <c r="AL532" s="70"/>
      <c r="AM532" s="70"/>
      <c r="AN532" s="70"/>
      <c r="AO532" s="70"/>
      <c r="AP532" s="70"/>
      <c r="AQ532" s="70"/>
      <c r="AR532" s="70"/>
      <c r="AS532" s="70"/>
      <c r="AT532" s="70"/>
      <c r="AU532" s="70"/>
      <c r="AV532" s="70"/>
      <c r="AW532" s="70"/>
      <c r="AX532" s="70"/>
    </row>
    <row r="533">
      <c r="A533" s="8"/>
      <c r="B533" s="70"/>
      <c r="C533" s="70"/>
      <c r="D533" s="70"/>
      <c r="E533" s="8"/>
      <c r="F533" s="70"/>
      <c r="G533" s="70"/>
      <c r="H533" s="70"/>
      <c r="I533" s="8"/>
      <c r="J533" s="70"/>
      <c r="K533" s="70"/>
      <c r="L533" s="70"/>
      <c r="M533" s="8"/>
      <c r="N533" s="70"/>
      <c r="O533" s="70"/>
      <c r="P533" s="70"/>
      <c r="Q533" s="8"/>
      <c r="R533" s="70"/>
      <c r="S533" s="70"/>
      <c r="T533" s="70"/>
      <c r="U533" s="8"/>
      <c r="V533" s="70"/>
      <c r="W533" s="70"/>
      <c r="X533" s="70"/>
      <c r="Y533" s="200"/>
      <c r="Z533" s="195"/>
      <c r="AA533" s="195"/>
      <c r="AB533" s="195"/>
      <c r="AC533" s="8"/>
      <c r="AD533" s="70"/>
      <c r="AE533" s="70"/>
      <c r="AF533" s="70"/>
      <c r="AG533" s="201"/>
      <c r="AH533" s="202"/>
      <c r="AI533" s="201"/>
      <c r="AJ533" s="201"/>
      <c r="AK533" s="70"/>
      <c r="AL533" s="70"/>
      <c r="AM533" s="70"/>
      <c r="AN533" s="70"/>
      <c r="AO533" s="70"/>
      <c r="AP533" s="70"/>
      <c r="AQ533" s="70"/>
      <c r="AR533" s="70"/>
      <c r="AS533" s="70"/>
      <c r="AT533" s="70"/>
      <c r="AU533" s="70"/>
      <c r="AV533" s="70"/>
      <c r="AW533" s="70"/>
      <c r="AX533" s="70"/>
    </row>
    <row r="534">
      <c r="A534" s="8"/>
      <c r="B534" s="70"/>
      <c r="C534" s="70"/>
      <c r="D534" s="70"/>
      <c r="E534" s="8"/>
      <c r="F534" s="70"/>
      <c r="G534" s="70"/>
      <c r="H534" s="70"/>
      <c r="I534" s="8"/>
      <c r="J534" s="70"/>
      <c r="K534" s="70"/>
      <c r="L534" s="70"/>
      <c r="M534" s="8"/>
      <c r="N534" s="70"/>
      <c r="O534" s="70"/>
      <c r="P534" s="70"/>
      <c r="Q534" s="8"/>
      <c r="R534" s="70"/>
      <c r="S534" s="70"/>
      <c r="T534" s="70"/>
      <c r="U534" s="8"/>
      <c r="V534" s="70"/>
      <c r="W534" s="70"/>
      <c r="X534" s="70"/>
      <c r="Y534" s="200"/>
      <c r="Z534" s="195"/>
      <c r="AA534" s="195"/>
      <c r="AB534" s="195"/>
      <c r="AC534" s="8"/>
      <c r="AD534" s="70"/>
      <c r="AE534" s="70"/>
      <c r="AF534" s="70"/>
      <c r="AG534" s="201"/>
      <c r="AH534" s="202"/>
      <c r="AI534" s="201"/>
      <c r="AJ534" s="201"/>
      <c r="AK534" s="70"/>
      <c r="AL534" s="70"/>
      <c r="AM534" s="70"/>
      <c r="AN534" s="70"/>
      <c r="AO534" s="70"/>
      <c r="AP534" s="70"/>
      <c r="AQ534" s="70"/>
      <c r="AR534" s="70"/>
      <c r="AS534" s="70"/>
      <c r="AT534" s="70"/>
      <c r="AU534" s="70"/>
      <c r="AV534" s="70"/>
      <c r="AW534" s="70"/>
      <c r="AX534" s="70"/>
    </row>
    <row r="535">
      <c r="A535" s="8"/>
      <c r="B535" s="70"/>
      <c r="C535" s="70"/>
      <c r="D535" s="70"/>
      <c r="E535" s="8"/>
      <c r="F535" s="70"/>
      <c r="G535" s="70"/>
      <c r="H535" s="70"/>
      <c r="I535" s="8"/>
      <c r="J535" s="70"/>
      <c r="K535" s="70"/>
      <c r="L535" s="70"/>
      <c r="M535" s="8"/>
      <c r="N535" s="70"/>
      <c r="O535" s="70"/>
      <c r="P535" s="70"/>
      <c r="Q535" s="8"/>
      <c r="R535" s="70"/>
      <c r="S535" s="70"/>
      <c r="T535" s="70"/>
      <c r="U535" s="8"/>
      <c r="V535" s="70"/>
      <c r="W535" s="70"/>
      <c r="X535" s="70"/>
      <c r="Y535" s="200"/>
      <c r="Z535" s="195"/>
      <c r="AA535" s="195"/>
      <c r="AB535" s="195"/>
      <c r="AC535" s="8"/>
      <c r="AD535" s="70"/>
      <c r="AE535" s="70"/>
      <c r="AF535" s="70"/>
      <c r="AG535" s="201"/>
      <c r="AH535" s="202"/>
      <c r="AI535" s="201"/>
      <c r="AJ535" s="201"/>
      <c r="AK535" s="70"/>
      <c r="AL535" s="70"/>
      <c r="AM535" s="70"/>
      <c r="AN535" s="70"/>
      <c r="AO535" s="70"/>
      <c r="AP535" s="70"/>
      <c r="AQ535" s="70"/>
      <c r="AR535" s="70"/>
      <c r="AS535" s="70"/>
      <c r="AT535" s="70"/>
      <c r="AU535" s="70"/>
      <c r="AV535" s="70"/>
      <c r="AW535" s="70"/>
      <c r="AX535" s="70"/>
    </row>
    <row r="536">
      <c r="A536" s="8"/>
      <c r="B536" s="70"/>
      <c r="C536" s="70"/>
      <c r="D536" s="70"/>
      <c r="E536" s="8"/>
      <c r="F536" s="70"/>
      <c r="G536" s="70"/>
      <c r="H536" s="70"/>
      <c r="I536" s="8"/>
      <c r="J536" s="70"/>
      <c r="K536" s="70"/>
      <c r="L536" s="70"/>
      <c r="M536" s="8"/>
      <c r="N536" s="70"/>
      <c r="O536" s="70"/>
      <c r="P536" s="70"/>
      <c r="Q536" s="8"/>
      <c r="R536" s="70"/>
      <c r="S536" s="70"/>
      <c r="T536" s="70"/>
      <c r="U536" s="8"/>
      <c r="V536" s="70"/>
      <c r="W536" s="70"/>
      <c r="X536" s="70"/>
      <c r="Y536" s="200"/>
      <c r="Z536" s="195"/>
      <c r="AA536" s="195"/>
      <c r="AB536" s="195"/>
      <c r="AC536" s="8"/>
      <c r="AD536" s="70"/>
      <c r="AE536" s="70"/>
      <c r="AF536" s="70"/>
      <c r="AG536" s="201"/>
      <c r="AH536" s="202"/>
      <c r="AI536" s="201"/>
      <c r="AJ536" s="201"/>
      <c r="AK536" s="70"/>
      <c r="AL536" s="70"/>
      <c r="AM536" s="70"/>
      <c r="AN536" s="70"/>
      <c r="AO536" s="70"/>
      <c r="AP536" s="70"/>
      <c r="AQ536" s="70"/>
      <c r="AR536" s="70"/>
      <c r="AS536" s="70"/>
      <c r="AT536" s="70"/>
      <c r="AU536" s="70"/>
      <c r="AV536" s="70"/>
      <c r="AW536" s="70"/>
      <c r="AX536" s="70"/>
    </row>
    <row r="537">
      <c r="A537" s="8"/>
      <c r="B537" s="70"/>
      <c r="C537" s="70"/>
      <c r="D537" s="70"/>
      <c r="E537" s="8"/>
      <c r="F537" s="70"/>
      <c r="G537" s="70"/>
      <c r="H537" s="70"/>
      <c r="I537" s="8"/>
      <c r="J537" s="70"/>
      <c r="K537" s="70"/>
      <c r="L537" s="70"/>
      <c r="M537" s="8"/>
      <c r="N537" s="70"/>
      <c r="O537" s="70"/>
      <c r="P537" s="70"/>
      <c r="Q537" s="8"/>
      <c r="R537" s="70"/>
      <c r="S537" s="70"/>
      <c r="T537" s="70"/>
      <c r="U537" s="8"/>
      <c r="V537" s="70"/>
      <c r="W537" s="70"/>
      <c r="X537" s="70"/>
      <c r="Y537" s="200"/>
      <c r="Z537" s="195"/>
      <c r="AA537" s="195"/>
      <c r="AB537" s="195"/>
      <c r="AC537" s="8"/>
      <c r="AD537" s="70"/>
      <c r="AE537" s="70"/>
      <c r="AF537" s="70"/>
      <c r="AG537" s="201"/>
      <c r="AH537" s="202"/>
      <c r="AI537" s="201"/>
      <c r="AJ537" s="201"/>
      <c r="AK537" s="70"/>
      <c r="AL537" s="70"/>
      <c r="AM537" s="70"/>
      <c r="AN537" s="70"/>
      <c r="AO537" s="70"/>
      <c r="AP537" s="70"/>
      <c r="AQ537" s="70"/>
      <c r="AR537" s="70"/>
      <c r="AS537" s="70"/>
      <c r="AT537" s="70"/>
      <c r="AU537" s="70"/>
      <c r="AV537" s="70"/>
      <c r="AW537" s="70"/>
      <c r="AX537" s="70"/>
    </row>
    <row r="538">
      <c r="A538" s="8"/>
      <c r="B538" s="70"/>
      <c r="C538" s="70"/>
      <c r="D538" s="70"/>
      <c r="E538" s="8"/>
      <c r="F538" s="70"/>
      <c r="G538" s="70"/>
      <c r="H538" s="70"/>
      <c r="I538" s="8"/>
      <c r="J538" s="70"/>
      <c r="K538" s="70"/>
      <c r="L538" s="70"/>
      <c r="M538" s="8"/>
      <c r="N538" s="70"/>
      <c r="O538" s="70"/>
      <c r="P538" s="70"/>
      <c r="Q538" s="8"/>
      <c r="R538" s="70"/>
      <c r="S538" s="70"/>
      <c r="T538" s="70"/>
      <c r="U538" s="8"/>
      <c r="V538" s="70"/>
      <c r="W538" s="70"/>
      <c r="X538" s="70"/>
      <c r="Y538" s="200"/>
      <c r="Z538" s="195"/>
      <c r="AA538" s="195"/>
      <c r="AB538" s="195"/>
      <c r="AC538" s="8"/>
      <c r="AD538" s="70"/>
      <c r="AE538" s="70"/>
      <c r="AF538" s="70"/>
      <c r="AG538" s="201"/>
      <c r="AH538" s="202"/>
      <c r="AI538" s="201"/>
      <c r="AJ538" s="201"/>
      <c r="AK538" s="70"/>
      <c r="AL538" s="70"/>
      <c r="AM538" s="70"/>
      <c r="AN538" s="70"/>
      <c r="AO538" s="70"/>
      <c r="AP538" s="70"/>
      <c r="AQ538" s="70"/>
      <c r="AR538" s="70"/>
      <c r="AS538" s="70"/>
      <c r="AT538" s="70"/>
      <c r="AU538" s="70"/>
      <c r="AV538" s="70"/>
      <c r="AW538" s="70"/>
      <c r="AX538" s="70"/>
    </row>
    <row r="539">
      <c r="A539" s="8"/>
      <c r="B539" s="70"/>
      <c r="C539" s="70"/>
      <c r="D539" s="70"/>
      <c r="E539" s="8"/>
      <c r="F539" s="70"/>
      <c r="G539" s="70"/>
      <c r="H539" s="70"/>
      <c r="I539" s="8"/>
      <c r="J539" s="70"/>
      <c r="K539" s="70"/>
      <c r="L539" s="70"/>
      <c r="M539" s="8"/>
      <c r="N539" s="70"/>
      <c r="O539" s="70"/>
      <c r="P539" s="70"/>
      <c r="Q539" s="8"/>
      <c r="R539" s="70"/>
      <c r="S539" s="70"/>
      <c r="T539" s="70"/>
      <c r="U539" s="8"/>
      <c r="V539" s="70"/>
      <c r="W539" s="70"/>
      <c r="X539" s="70"/>
      <c r="Y539" s="200"/>
      <c r="Z539" s="195"/>
      <c r="AA539" s="195"/>
      <c r="AB539" s="195"/>
      <c r="AC539" s="8"/>
      <c r="AD539" s="70"/>
      <c r="AE539" s="70"/>
      <c r="AF539" s="70"/>
      <c r="AG539" s="201"/>
      <c r="AH539" s="202"/>
      <c r="AI539" s="201"/>
      <c r="AJ539" s="201"/>
      <c r="AK539" s="70"/>
      <c r="AL539" s="70"/>
      <c r="AM539" s="70"/>
      <c r="AN539" s="70"/>
      <c r="AO539" s="70"/>
      <c r="AP539" s="70"/>
      <c r="AQ539" s="70"/>
      <c r="AR539" s="70"/>
      <c r="AS539" s="70"/>
      <c r="AT539" s="70"/>
      <c r="AU539" s="70"/>
      <c r="AV539" s="70"/>
      <c r="AW539" s="70"/>
      <c r="AX539" s="70"/>
    </row>
    <row r="540">
      <c r="A540" s="8"/>
      <c r="B540" s="70"/>
      <c r="C540" s="70"/>
      <c r="D540" s="70"/>
      <c r="E540" s="8"/>
      <c r="F540" s="70"/>
      <c r="G540" s="70"/>
      <c r="H540" s="70"/>
      <c r="I540" s="8"/>
      <c r="J540" s="70"/>
      <c r="K540" s="70"/>
      <c r="L540" s="70"/>
      <c r="M540" s="8"/>
      <c r="N540" s="70"/>
      <c r="O540" s="70"/>
      <c r="P540" s="70"/>
      <c r="Q540" s="8"/>
      <c r="R540" s="70"/>
      <c r="S540" s="70"/>
      <c r="T540" s="70"/>
      <c r="U540" s="8"/>
      <c r="V540" s="70"/>
      <c r="W540" s="70"/>
      <c r="X540" s="70"/>
      <c r="Y540" s="200"/>
      <c r="Z540" s="195"/>
      <c r="AA540" s="195"/>
      <c r="AB540" s="195"/>
      <c r="AC540" s="8"/>
      <c r="AD540" s="70"/>
      <c r="AE540" s="70"/>
      <c r="AF540" s="70"/>
      <c r="AG540" s="201"/>
      <c r="AH540" s="202"/>
      <c r="AI540" s="201"/>
      <c r="AJ540" s="201"/>
      <c r="AK540" s="70"/>
      <c r="AL540" s="70"/>
      <c r="AM540" s="70"/>
      <c r="AN540" s="70"/>
      <c r="AO540" s="70"/>
      <c r="AP540" s="70"/>
      <c r="AQ540" s="70"/>
      <c r="AR540" s="70"/>
      <c r="AS540" s="70"/>
      <c r="AT540" s="70"/>
      <c r="AU540" s="70"/>
      <c r="AV540" s="70"/>
      <c r="AW540" s="70"/>
      <c r="AX540" s="70"/>
    </row>
    <row r="541">
      <c r="A541" s="8"/>
      <c r="B541" s="70"/>
      <c r="C541" s="70"/>
      <c r="D541" s="70"/>
      <c r="E541" s="8"/>
      <c r="F541" s="70"/>
      <c r="G541" s="70"/>
      <c r="H541" s="70"/>
      <c r="I541" s="8"/>
      <c r="J541" s="70"/>
      <c r="K541" s="70"/>
      <c r="L541" s="70"/>
      <c r="M541" s="8"/>
      <c r="N541" s="70"/>
      <c r="O541" s="70"/>
      <c r="P541" s="70"/>
      <c r="Q541" s="8"/>
      <c r="R541" s="70"/>
      <c r="S541" s="70"/>
      <c r="T541" s="70"/>
      <c r="U541" s="8"/>
      <c r="V541" s="70"/>
      <c r="W541" s="70"/>
      <c r="X541" s="70"/>
      <c r="Y541" s="200"/>
      <c r="Z541" s="195"/>
      <c r="AA541" s="195"/>
      <c r="AB541" s="195"/>
      <c r="AC541" s="8"/>
      <c r="AD541" s="70"/>
      <c r="AE541" s="70"/>
      <c r="AF541" s="70"/>
      <c r="AG541" s="201"/>
      <c r="AH541" s="202"/>
      <c r="AI541" s="201"/>
      <c r="AJ541" s="201"/>
      <c r="AK541" s="70"/>
      <c r="AL541" s="70"/>
      <c r="AM541" s="70"/>
      <c r="AN541" s="70"/>
      <c r="AO541" s="70"/>
      <c r="AP541" s="70"/>
      <c r="AQ541" s="70"/>
      <c r="AR541" s="70"/>
      <c r="AS541" s="70"/>
      <c r="AT541" s="70"/>
      <c r="AU541" s="70"/>
      <c r="AV541" s="70"/>
      <c r="AW541" s="70"/>
      <c r="AX541" s="70"/>
    </row>
    <row r="542">
      <c r="A542" s="8"/>
      <c r="B542" s="70"/>
      <c r="C542" s="70"/>
      <c r="D542" s="70"/>
      <c r="E542" s="8"/>
      <c r="F542" s="70"/>
      <c r="G542" s="70"/>
      <c r="H542" s="70"/>
      <c r="I542" s="8"/>
      <c r="J542" s="70"/>
      <c r="K542" s="70"/>
      <c r="L542" s="70"/>
      <c r="M542" s="8"/>
      <c r="N542" s="70"/>
      <c r="O542" s="70"/>
      <c r="P542" s="70"/>
      <c r="Q542" s="8"/>
      <c r="R542" s="70"/>
      <c r="S542" s="70"/>
      <c r="T542" s="70"/>
      <c r="U542" s="8"/>
      <c r="V542" s="70"/>
      <c r="W542" s="70"/>
      <c r="X542" s="70"/>
      <c r="Y542" s="200"/>
      <c r="Z542" s="195"/>
      <c r="AA542" s="195"/>
      <c r="AB542" s="195"/>
      <c r="AC542" s="8"/>
      <c r="AD542" s="70"/>
      <c r="AE542" s="70"/>
      <c r="AF542" s="70"/>
      <c r="AG542" s="201"/>
      <c r="AH542" s="202"/>
      <c r="AI542" s="201"/>
      <c r="AJ542" s="201"/>
      <c r="AK542" s="70"/>
      <c r="AL542" s="70"/>
      <c r="AM542" s="70"/>
      <c r="AN542" s="70"/>
      <c r="AO542" s="70"/>
      <c r="AP542" s="70"/>
      <c r="AQ542" s="70"/>
      <c r="AR542" s="70"/>
      <c r="AS542" s="70"/>
      <c r="AT542" s="70"/>
      <c r="AU542" s="70"/>
      <c r="AV542" s="70"/>
      <c r="AW542" s="70"/>
      <c r="AX542" s="70"/>
    </row>
    <row r="543">
      <c r="A543" s="8"/>
      <c r="B543" s="70"/>
      <c r="C543" s="70"/>
      <c r="D543" s="70"/>
      <c r="E543" s="8"/>
      <c r="F543" s="70"/>
      <c r="G543" s="70"/>
      <c r="H543" s="70"/>
      <c r="I543" s="8"/>
      <c r="J543" s="70"/>
      <c r="K543" s="70"/>
      <c r="L543" s="70"/>
      <c r="M543" s="8"/>
      <c r="N543" s="70"/>
      <c r="O543" s="70"/>
      <c r="P543" s="70"/>
      <c r="Q543" s="8"/>
      <c r="R543" s="70"/>
      <c r="S543" s="70"/>
      <c r="T543" s="70"/>
      <c r="U543" s="8"/>
      <c r="V543" s="70"/>
      <c r="W543" s="70"/>
      <c r="X543" s="70"/>
      <c r="Y543" s="200"/>
      <c r="Z543" s="195"/>
      <c r="AA543" s="195"/>
      <c r="AB543" s="195"/>
      <c r="AC543" s="8"/>
      <c r="AD543" s="70"/>
      <c r="AE543" s="70"/>
      <c r="AF543" s="70"/>
      <c r="AG543" s="201"/>
      <c r="AH543" s="202"/>
      <c r="AI543" s="201"/>
      <c r="AJ543" s="201"/>
      <c r="AK543" s="70"/>
      <c r="AL543" s="70"/>
      <c r="AM543" s="70"/>
      <c r="AN543" s="70"/>
      <c r="AO543" s="70"/>
      <c r="AP543" s="70"/>
      <c r="AQ543" s="70"/>
      <c r="AR543" s="70"/>
      <c r="AS543" s="70"/>
      <c r="AT543" s="70"/>
      <c r="AU543" s="70"/>
      <c r="AV543" s="70"/>
      <c r="AW543" s="70"/>
      <c r="AX543" s="70"/>
    </row>
    <row r="544">
      <c r="A544" s="8"/>
      <c r="B544" s="70"/>
      <c r="C544" s="70"/>
      <c r="D544" s="70"/>
      <c r="E544" s="8"/>
      <c r="F544" s="70"/>
      <c r="G544" s="70"/>
      <c r="H544" s="70"/>
      <c r="I544" s="8"/>
      <c r="J544" s="70"/>
      <c r="K544" s="70"/>
      <c r="L544" s="70"/>
      <c r="M544" s="8"/>
      <c r="N544" s="70"/>
      <c r="O544" s="70"/>
      <c r="P544" s="70"/>
      <c r="Q544" s="8"/>
      <c r="R544" s="70"/>
      <c r="S544" s="70"/>
      <c r="T544" s="70"/>
      <c r="U544" s="8"/>
      <c r="V544" s="70"/>
      <c r="W544" s="70"/>
      <c r="X544" s="70"/>
      <c r="Y544" s="200"/>
      <c r="Z544" s="195"/>
      <c r="AA544" s="195"/>
      <c r="AB544" s="195"/>
      <c r="AC544" s="8"/>
      <c r="AD544" s="70"/>
      <c r="AE544" s="70"/>
      <c r="AF544" s="70"/>
      <c r="AG544" s="201"/>
      <c r="AH544" s="202"/>
      <c r="AI544" s="201"/>
      <c r="AJ544" s="201"/>
      <c r="AK544" s="70"/>
      <c r="AL544" s="70"/>
      <c r="AM544" s="70"/>
      <c r="AN544" s="70"/>
      <c r="AO544" s="70"/>
      <c r="AP544" s="70"/>
      <c r="AQ544" s="70"/>
      <c r="AR544" s="70"/>
      <c r="AS544" s="70"/>
      <c r="AT544" s="70"/>
      <c r="AU544" s="70"/>
      <c r="AV544" s="70"/>
      <c r="AW544" s="70"/>
      <c r="AX544" s="70"/>
    </row>
    <row r="545">
      <c r="A545" s="8"/>
      <c r="B545" s="70"/>
      <c r="C545" s="70"/>
      <c r="D545" s="70"/>
      <c r="E545" s="8"/>
      <c r="F545" s="70"/>
      <c r="G545" s="70"/>
      <c r="H545" s="70"/>
      <c r="I545" s="8"/>
      <c r="J545" s="70"/>
      <c r="K545" s="70"/>
      <c r="L545" s="70"/>
      <c r="M545" s="8"/>
      <c r="N545" s="70"/>
      <c r="O545" s="70"/>
      <c r="P545" s="70"/>
      <c r="Q545" s="8"/>
      <c r="R545" s="70"/>
      <c r="S545" s="70"/>
      <c r="T545" s="70"/>
      <c r="U545" s="8"/>
      <c r="V545" s="70"/>
      <c r="W545" s="70"/>
      <c r="X545" s="70"/>
      <c r="Y545" s="200"/>
      <c r="Z545" s="195"/>
      <c r="AA545" s="195"/>
      <c r="AB545" s="195"/>
      <c r="AC545" s="8"/>
      <c r="AD545" s="70"/>
      <c r="AE545" s="70"/>
      <c r="AF545" s="70"/>
      <c r="AG545" s="201"/>
      <c r="AH545" s="202"/>
      <c r="AI545" s="201"/>
      <c r="AJ545" s="201"/>
      <c r="AK545" s="70"/>
      <c r="AL545" s="70"/>
      <c r="AM545" s="70"/>
      <c r="AN545" s="70"/>
      <c r="AO545" s="70"/>
      <c r="AP545" s="70"/>
      <c r="AQ545" s="70"/>
      <c r="AR545" s="70"/>
      <c r="AS545" s="70"/>
      <c r="AT545" s="70"/>
      <c r="AU545" s="70"/>
      <c r="AV545" s="70"/>
      <c r="AW545" s="70"/>
      <c r="AX545" s="70"/>
    </row>
    <row r="546">
      <c r="A546" s="8"/>
      <c r="B546" s="70"/>
      <c r="C546" s="70"/>
      <c r="D546" s="70"/>
      <c r="E546" s="8"/>
      <c r="F546" s="70"/>
      <c r="G546" s="70"/>
      <c r="H546" s="70"/>
      <c r="I546" s="8"/>
      <c r="J546" s="70"/>
      <c r="K546" s="70"/>
      <c r="L546" s="70"/>
      <c r="M546" s="8"/>
      <c r="N546" s="70"/>
      <c r="O546" s="70"/>
      <c r="P546" s="70"/>
      <c r="Q546" s="8"/>
      <c r="R546" s="70"/>
      <c r="S546" s="70"/>
      <c r="T546" s="70"/>
      <c r="U546" s="8"/>
      <c r="V546" s="70"/>
      <c r="W546" s="70"/>
      <c r="X546" s="70"/>
      <c r="Y546" s="200"/>
      <c r="Z546" s="195"/>
      <c r="AA546" s="195"/>
      <c r="AB546" s="195"/>
      <c r="AC546" s="8"/>
      <c r="AD546" s="70"/>
      <c r="AE546" s="70"/>
      <c r="AF546" s="70"/>
      <c r="AG546" s="201"/>
      <c r="AH546" s="202"/>
      <c r="AI546" s="201"/>
      <c r="AJ546" s="201"/>
      <c r="AK546" s="70"/>
      <c r="AL546" s="70"/>
      <c r="AM546" s="70"/>
      <c r="AN546" s="70"/>
      <c r="AO546" s="70"/>
      <c r="AP546" s="70"/>
      <c r="AQ546" s="70"/>
      <c r="AR546" s="70"/>
      <c r="AS546" s="70"/>
      <c r="AT546" s="70"/>
      <c r="AU546" s="70"/>
      <c r="AV546" s="70"/>
      <c r="AW546" s="70"/>
      <c r="AX546" s="70"/>
    </row>
    <row r="547">
      <c r="A547" s="8"/>
      <c r="B547" s="70"/>
      <c r="C547" s="70"/>
      <c r="D547" s="70"/>
      <c r="E547" s="8"/>
      <c r="F547" s="70"/>
      <c r="G547" s="70"/>
      <c r="H547" s="70"/>
      <c r="I547" s="8"/>
      <c r="J547" s="70"/>
      <c r="K547" s="70"/>
      <c r="L547" s="70"/>
      <c r="M547" s="8"/>
      <c r="N547" s="70"/>
      <c r="O547" s="70"/>
      <c r="P547" s="70"/>
      <c r="Q547" s="8"/>
      <c r="R547" s="70"/>
      <c r="S547" s="70"/>
      <c r="T547" s="70"/>
      <c r="U547" s="8"/>
      <c r="V547" s="70"/>
      <c r="W547" s="70"/>
      <c r="X547" s="70"/>
      <c r="Y547" s="200"/>
      <c r="Z547" s="195"/>
      <c r="AA547" s="195"/>
      <c r="AB547" s="195"/>
      <c r="AC547" s="8"/>
      <c r="AD547" s="70"/>
      <c r="AE547" s="70"/>
      <c r="AF547" s="70"/>
      <c r="AG547" s="201"/>
      <c r="AH547" s="202"/>
      <c r="AI547" s="201"/>
      <c r="AJ547" s="201"/>
      <c r="AK547" s="70"/>
      <c r="AL547" s="70"/>
      <c r="AM547" s="70"/>
      <c r="AN547" s="70"/>
      <c r="AO547" s="70"/>
      <c r="AP547" s="70"/>
      <c r="AQ547" s="70"/>
      <c r="AR547" s="70"/>
      <c r="AS547" s="70"/>
      <c r="AT547" s="70"/>
      <c r="AU547" s="70"/>
      <c r="AV547" s="70"/>
      <c r="AW547" s="70"/>
      <c r="AX547" s="70"/>
    </row>
    <row r="548">
      <c r="A548" s="8"/>
      <c r="B548" s="70"/>
      <c r="C548" s="70"/>
      <c r="D548" s="70"/>
      <c r="E548" s="8"/>
      <c r="F548" s="70"/>
      <c r="G548" s="70"/>
      <c r="H548" s="70"/>
      <c r="I548" s="8"/>
      <c r="J548" s="70"/>
      <c r="K548" s="70"/>
      <c r="L548" s="70"/>
      <c r="M548" s="8"/>
      <c r="N548" s="70"/>
      <c r="O548" s="70"/>
      <c r="P548" s="70"/>
      <c r="Q548" s="8"/>
      <c r="R548" s="70"/>
      <c r="S548" s="70"/>
      <c r="T548" s="70"/>
      <c r="U548" s="8"/>
      <c r="V548" s="70"/>
      <c r="W548" s="70"/>
      <c r="X548" s="70"/>
      <c r="Y548" s="200"/>
      <c r="Z548" s="195"/>
      <c r="AA548" s="195"/>
      <c r="AB548" s="195"/>
      <c r="AC548" s="8"/>
      <c r="AD548" s="70"/>
      <c r="AE548" s="70"/>
      <c r="AF548" s="70"/>
      <c r="AG548" s="201"/>
      <c r="AH548" s="202"/>
      <c r="AI548" s="201"/>
      <c r="AJ548" s="201"/>
      <c r="AK548" s="70"/>
      <c r="AL548" s="70"/>
      <c r="AM548" s="70"/>
      <c r="AN548" s="70"/>
      <c r="AO548" s="70"/>
      <c r="AP548" s="70"/>
      <c r="AQ548" s="70"/>
      <c r="AR548" s="70"/>
      <c r="AS548" s="70"/>
      <c r="AT548" s="70"/>
      <c r="AU548" s="70"/>
      <c r="AV548" s="70"/>
      <c r="AW548" s="70"/>
      <c r="AX548" s="70"/>
    </row>
    <row r="549">
      <c r="A549" s="8"/>
      <c r="B549" s="70"/>
      <c r="C549" s="70"/>
      <c r="D549" s="70"/>
      <c r="E549" s="8"/>
      <c r="F549" s="70"/>
      <c r="G549" s="70"/>
      <c r="H549" s="70"/>
      <c r="I549" s="8"/>
      <c r="J549" s="70"/>
      <c r="K549" s="70"/>
      <c r="L549" s="70"/>
      <c r="M549" s="8"/>
      <c r="N549" s="70"/>
      <c r="O549" s="70"/>
      <c r="P549" s="70"/>
      <c r="Q549" s="8"/>
      <c r="R549" s="70"/>
      <c r="S549" s="70"/>
      <c r="T549" s="70"/>
      <c r="U549" s="8"/>
      <c r="V549" s="70"/>
      <c r="W549" s="70"/>
      <c r="X549" s="70"/>
      <c r="Y549" s="200"/>
      <c r="Z549" s="195"/>
      <c r="AA549" s="195"/>
      <c r="AB549" s="195"/>
      <c r="AC549" s="8"/>
      <c r="AD549" s="70"/>
      <c r="AE549" s="70"/>
      <c r="AF549" s="70"/>
      <c r="AG549" s="201"/>
      <c r="AH549" s="202"/>
      <c r="AI549" s="201"/>
      <c r="AJ549" s="201"/>
      <c r="AK549" s="70"/>
      <c r="AL549" s="70"/>
      <c r="AM549" s="70"/>
      <c r="AN549" s="70"/>
      <c r="AO549" s="70"/>
      <c r="AP549" s="70"/>
      <c r="AQ549" s="70"/>
      <c r="AR549" s="70"/>
      <c r="AS549" s="70"/>
      <c r="AT549" s="70"/>
      <c r="AU549" s="70"/>
      <c r="AV549" s="70"/>
      <c r="AW549" s="70"/>
      <c r="AX549" s="70"/>
    </row>
    <row r="550">
      <c r="A550" s="8"/>
      <c r="B550" s="70"/>
      <c r="C550" s="70"/>
      <c r="D550" s="70"/>
      <c r="E550" s="8"/>
      <c r="F550" s="70"/>
      <c r="G550" s="70"/>
      <c r="H550" s="70"/>
      <c r="I550" s="8"/>
      <c r="J550" s="70"/>
      <c r="K550" s="70"/>
      <c r="L550" s="70"/>
      <c r="M550" s="8"/>
      <c r="N550" s="70"/>
      <c r="O550" s="70"/>
      <c r="P550" s="70"/>
      <c r="Q550" s="8"/>
      <c r="R550" s="70"/>
      <c r="S550" s="70"/>
      <c r="T550" s="70"/>
      <c r="U550" s="8"/>
      <c r="V550" s="70"/>
      <c r="W550" s="70"/>
      <c r="X550" s="70"/>
      <c r="Y550" s="200"/>
      <c r="Z550" s="195"/>
      <c r="AA550" s="195"/>
      <c r="AB550" s="195"/>
      <c r="AC550" s="8"/>
      <c r="AD550" s="70"/>
      <c r="AE550" s="70"/>
      <c r="AF550" s="70"/>
      <c r="AG550" s="201"/>
      <c r="AH550" s="202"/>
      <c r="AI550" s="201"/>
      <c r="AJ550" s="201"/>
      <c r="AK550" s="70"/>
      <c r="AL550" s="70"/>
      <c r="AM550" s="70"/>
      <c r="AN550" s="70"/>
      <c r="AO550" s="70"/>
      <c r="AP550" s="70"/>
      <c r="AQ550" s="70"/>
      <c r="AR550" s="70"/>
      <c r="AS550" s="70"/>
      <c r="AT550" s="70"/>
      <c r="AU550" s="70"/>
      <c r="AV550" s="70"/>
      <c r="AW550" s="70"/>
      <c r="AX550" s="70"/>
    </row>
    <row r="551">
      <c r="A551" s="8"/>
      <c r="B551" s="70"/>
      <c r="C551" s="70"/>
      <c r="D551" s="70"/>
      <c r="E551" s="8"/>
      <c r="F551" s="70"/>
      <c r="G551" s="70"/>
      <c r="H551" s="70"/>
      <c r="I551" s="8"/>
      <c r="J551" s="70"/>
      <c r="K551" s="70"/>
      <c r="L551" s="70"/>
      <c r="M551" s="8"/>
      <c r="N551" s="70"/>
      <c r="O551" s="70"/>
      <c r="P551" s="70"/>
      <c r="Q551" s="8"/>
      <c r="R551" s="70"/>
      <c r="S551" s="70"/>
      <c r="T551" s="70"/>
      <c r="U551" s="8"/>
      <c r="V551" s="70"/>
      <c r="W551" s="70"/>
      <c r="X551" s="70"/>
      <c r="Y551" s="200"/>
      <c r="Z551" s="195"/>
      <c r="AA551" s="195"/>
      <c r="AB551" s="195"/>
      <c r="AC551" s="8"/>
      <c r="AD551" s="70"/>
      <c r="AE551" s="70"/>
      <c r="AF551" s="70"/>
      <c r="AG551" s="201"/>
      <c r="AH551" s="202"/>
      <c r="AI551" s="201"/>
      <c r="AJ551" s="201"/>
      <c r="AK551" s="70"/>
      <c r="AL551" s="70"/>
      <c r="AM551" s="70"/>
      <c r="AN551" s="70"/>
      <c r="AO551" s="70"/>
      <c r="AP551" s="70"/>
      <c r="AQ551" s="70"/>
      <c r="AR551" s="70"/>
      <c r="AS551" s="70"/>
      <c r="AT551" s="70"/>
      <c r="AU551" s="70"/>
      <c r="AV551" s="70"/>
      <c r="AW551" s="70"/>
      <c r="AX551" s="70"/>
    </row>
    <row r="552">
      <c r="A552" s="8"/>
      <c r="B552" s="70"/>
      <c r="C552" s="70"/>
      <c r="D552" s="70"/>
      <c r="E552" s="8"/>
      <c r="F552" s="70"/>
      <c r="G552" s="70"/>
      <c r="H552" s="70"/>
      <c r="I552" s="8"/>
      <c r="J552" s="70"/>
      <c r="K552" s="70"/>
      <c r="L552" s="70"/>
      <c r="M552" s="8"/>
      <c r="N552" s="70"/>
      <c r="O552" s="70"/>
      <c r="P552" s="70"/>
      <c r="Q552" s="8"/>
      <c r="R552" s="70"/>
      <c r="S552" s="70"/>
      <c r="T552" s="70"/>
      <c r="U552" s="8"/>
      <c r="V552" s="70"/>
      <c r="W552" s="70"/>
      <c r="X552" s="70"/>
      <c r="Y552" s="200"/>
      <c r="Z552" s="195"/>
      <c r="AA552" s="195"/>
      <c r="AB552" s="195"/>
      <c r="AC552" s="8"/>
      <c r="AD552" s="70"/>
      <c r="AE552" s="70"/>
      <c r="AF552" s="70"/>
      <c r="AG552" s="201"/>
      <c r="AH552" s="202"/>
      <c r="AI552" s="201"/>
      <c r="AJ552" s="201"/>
      <c r="AK552" s="70"/>
      <c r="AL552" s="70"/>
      <c r="AM552" s="70"/>
      <c r="AN552" s="70"/>
      <c r="AO552" s="70"/>
      <c r="AP552" s="70"/>
      <c r="AQ552" s="70"/>
      <c r="AR552" s="70"/>
      <c r="AS552" s="70"/>
      <c r="AT552" s="70"/>
      <c r="AU552" s="70"/>
      <c r="AV552" s="70"/>
      <c r="AW552" s="70"/>
      <c r="AX552" s="70"/>
    </row>
    <row r="553">
      <c r="A553" s="8"/>
      <c r="B553" s="70"/>
      <c r="C553" s="70"/>
      <c r="D553" s="70"/>
      <c r="E553" s="8"/>
      <c r="F553" s="70"/>
      <c r="G553" s="70"/>
      <c r="H553" s="70"/>
      <c r="I553" s="8"/>
      <c r="J553" s="70"/>
      <c r="K553" s="70"/>
      <c r="L553" s="70"/>
      <c r="M553" s="8"/>
      <c r="N553" s="70"/>
      <c r="O553" s="70"/>
      <c r="P553" s="70"/>
      <c r="Q553" s="8"/>
      <c r="R553" s="70"/>
      <c r="S553" s="70"/>
      <c r="T553" s="70"/>
      <c r="U553" s="8"/>
      <c r="V553" s="70"/>
      <c r="W553" s="70"/>
      <c r="X553" s="70"/>
      <c r="Y553" s="200"/>
      <c r="Z553" s="195"/>
      <c r="AA553" s="195"/>
      <c r="AB553" s="195"/>
      <c r="AC553" s="8"/>
      <c r="AD553" s="70"/>
      <c r="AE553" s="70"/>
      <c r="AF553" s="70"/>
      <c r="AG553" s="201"/>
      <c r="AH553" s="202"/>
      <c r="AI553" s="201"/>
      <c r="AJ553" s="201"/>
      <c r="AK553" s="70"/>
      <c r="AL553" s="70"/>
      <c r="AM553" s="70"/>
      <c r="AN553" s="70"/>
      <c r="AO553" s="70"/>
      <c r="AP553" s="70"/>
      <c r="AQ553" s="70"/>
      <c r="AR553" s="70"/>
      <c r="AS553" s="70"/>
      <c r="AT553" s="70"/>
      <c r="AU553" s="70"/>
      <c r="AV553" s="70"/>
      <c r="AW553" s="70"/>
      <c r="AX553" s="70"/>
    </row>
    <row r="554">
      <c r="A554" s="8"/>
      <c r="B554" s="70"/>
      <c r="C554" s="70"/>
      <c r="D554" s="70"/>
      <c r="E554" s="8"/>
      <c r="F554" s="70"/>
      <c r="G554" s="70"/>
      <c r="H554" s="70"/>
      <c r="I554" s="8"/>
      <c r="J554" s="70"/>
      <c r="K554" s="70"/>
      <c r="L554" s="70"/>
      <c r="M554" s="8"/>
      <c r="N554" s="70"/>
      <c r="O554" s="70"/>
      <c r="P554" s="70"/>
      <c r="Q554" s="8"/>
      <c r="R554" s="70"/>
      <c r="S554" s="70"/>
      <c r="T554" s="70"/>
      <c r="U554" s="8"/>
      <c r="V554" s="70"/>
      <c r="W554" s="70"/>
      <c r="X554" s="70"/>
      <c r="Y554" s="200"/>
      <c r="Z554" s="195"/>
      <c r="AA554" s="195"/>
      <c r="AB554" s="195"/>
      <c r="AC554" s="8"/>
      <c r="AD554" s="70"/>
      <c r="AE554" s="70"/>
      <c r="AF554" s="70"/>
      <c r="AG554" s="201"/>
      <c r="AH554" s="202"/>
      <c r="AI554" s="201"/>
      <c r="AJ554" s="201"/>
      <c r="AK554" s="70"/>
      <c r="AL554" s="70"/>
      <c r="AM554" s="70"/>
      <c r="AN554" s="70"/>
      <c r="AO554" s="70"/>
      <c r="AP554" s="70"/>
      <c r="AQ554" s="70"/>
      <c r="AR554" s="70"/>
      <c r="AS554" s="70"/>
      <c r="AT554" s="70"/>
      <c r="AU554" s="70"/>
      <c r="AV554" s="70"/>
      <c r="AW554" s="70"/>
      <c r="AX554" s="70"/>
    </row>
    <row r="555">
      <c r="A555" s="8"/>
      <c r="B555" s="70"/>
      <c r="C555" s="70"/>
      <c r="D555" s="70"/>
      <c r="E555" s="8"/>
      <c r="F555" s="70"/>
      <c r="G555" s="70"/>
      <c r="H555" s="70"/>
      <c r="I555" s="8"/>
      <c r="J555" s="70"/>
      <c r="K555" s="70"/>
      <c r="L555" s="70"/>
      <c r="M555" s="8"/>
      <c r="N555" s="70"/>
      <c r="O555" s="70"/>
      <c r="P555" s="70"/>
      <c r="Q555" s="8"/>
      <c r="R555" s="70"/>
      <c r="S555" s="70"/>
      <c r="T555" s="70"/>
      <c r="U555" s="8"/>
      <c r="V555" s="70"/>
      <c r="W555" s="70"/>
      <c r="X555" s="70"/>
      <c r="Y555" s="200"/>
      <c r="Z555" s="195"/>
      <c r="AA555" s="195"/>
      <c r="AB555" s="195"/>
      <c r="AC555" s="8"/>
      <c r="AD555" s="70"/>
      <c r="AE555" s="70"/>
      <c r="AF555" s="70"/>
      <c r="AG555" s="201"/>
      <c r="AH555" s="202"/>
      <c r="AI555" s="201"/>
      <c r="AJ555" s="201"/>
      <c r="AK555" s="70"/>
      <c r="AL555" s="70"/>
      <c r="AM555" s="70"/>
      <c r="AN555" s="70"/>
      <c r="AO555" s="70"/>
      <c r="AP555" s="70"/>
      <c r="AQ555" s="70"/>
      <c r="AR555" s="70"/>
      <c r="AS555" s="70"/>
      <c r="AT555" s="70"/>
      <c r="AU555" s="70"/>
      <c r="AV555" s="70"/>
      <c r="AW555" s="70"/>
      <c r="AX555" s="70"/>
    </row>
    <row r="556">
      <c r="A556" s="8"/>
      <c r="B556" s="70"/>
      <c r="C556" s="70"/>
      <c r="D556" s="70"/>
      <c r="E556" s="8"/>
      <c r="F556" s="70"/>
      <c r="G556" s="70"/>
      <c r="H556" s="70"/>
      <c r="I556" s="8"/>
      <c r="J556" s="70"/>
      <c r="K556" s="70"/>
      <c r="L556" s="70"/>
      <c r="M556" s="8"/>
      <c r="N556" s="70"/>
      <c r="O556" s="70"/>
      <c r="P556" s="70"/>
      <c r="Q556" s="8"/>
      <c r="R556" s="70"/>
      <c r="S556" s="70"/>
      <c r="T556" s="70"/>
      <c r="U556" s="8"/>
      <c r="V556" s="70"/>
      <c r="W556" s="70"/>
      <c r="X556" s="70"/>
      <c r="Y556" s="200"/>
      <c r="Z556" s="195"/>
      <c r="AA556" s="195"/>
      <c r="AB556" s="195"/>
      <c r="AC556" s="8"/>
      <c r="AD556" s="70"/>
      <c r="AE556" s="70"/>
      <c r="AF556" s="70"/>
      <c r="AG556" s="201"/>
      <c r="AH556" s="202"/>
      <c r="AI556" s="201"/>
      <c r="AJ556" s="201"/>
      <c r="AK556" s="70"/>
      <c r="AL556" s="70"/>
      <c r="AM556" s="70"/>
      <c r="AN556" s="70"/>
      <c r="AO556" s="70"/>
      <c r="AP556" s="70"/>
      <c r="AQ556" s="70"/>
      <c r="AR556" s="70"/>
      <c r="AS556" s="70"/>
      <c r="AT556" s="70"/>
      <c r="AU556" s="70"/>
      <c r="AV556" s="70"/>
      <c r="AW556" s="70"/>
      <c r="AX556" s="70"/>
    </row>
    <row r="557">
      <c r="A557" s="8"/>
      <c r="B557" s="70"/>
      <c r="C557" s="70"/>
      <c r="D557" s="70"/>
      <c r="E557" s="8"/>
      <c r="F557" s="70"/>
      <c r="G557" s="70"/>
      <c r="H557" s="70"/>
      <c r="I557" s="8"/>
      <c r="J557" s="70"/>
      <c r="K557" s="70"/>
      <c r="L557" s="70"/>
      <c r="M557" s="8"/>
      <c r="N557" s="70"/>
      <c r="O557" s="70"/>
      <c r="P557" s="70"/>
      <c r="Q557" s="8"/>
      <c r="R557" s="70"/>
      <c r="S557" s="70"/>
      <c r="T557" s="70"/>
      <c r="U557" s="8"/>
      <c r="V557" s="70"/>
      <c r="W557" s="70"/>
      <c r="X557" s="70"/>
      <c r="Y557" s="200"/>
      <c r="Z557" s="195"/>
      <c r="AA557" s="195"/>
      <c r="AB557" s="195"/>
      <c r="AC557" s="8"/>
      <c r="AD557" s="70"/>
      <c r="AE557" s="70"/>
      <c r="AF557" s="70"/>
      <c r="AG557" s="201"/>
      <c r="AH557" s="202"/>
      <c r="AI557" s="201"/>
      <c r="AJ557" s="201"/>
      <c r="AK557" s="70"/>
      <c r="AL557" s="70"/>
      <c r="AM557" s="70"/>
      <c r="AN557" s="70"/>
      <c r="AO557" s="70"/>
      <c r="AP557" s="70"/>
      <c r="AQ557" s="70"/>
      <c r="AR557" s="70"/>
      <c r="AS557" s="70"/>
      <c r="AT557" s="70"/>
      <c r="AU557" s="70"/>
      <c r="AV557" s="70"/>
      <c r="AW557" s="70"/>
      <c r="AX557" s="70"/>
    </row>
    <row r="558">
      <c r="A558" s="8"/>
      <c r="B558" s="70"/>
      <c r="C558" s="70"/>
      <c r="D558" s="70"/>
      <c r="E558" s="8"/>
      <c r="F558" s="70"/>
      <c r="G558" s="70"/>
      <c r="H558" s="70"/>
      <c r="I558" s="8"/>
      <c r="J558" s="70"/>
      <c r="K558" s="70"/>
      <c r="L558" s="70"/>
      <c r="M558" s="8"/>
      <c r="N558" s="70"/>
      <c r="O558" s="70"/>
      <c r="P558" s="70"/>
      <c r="Q558" s="8"/>
      <c r="R558" s="70"/>
      <c r="S558" s="70"/>
      <c r="T558" s="70"/>
      <c r="U558" s="8"/>
      <c r="V558" s="70"/>
      <c r="W558" s="70"/>
      <c r="X558" s="70"/>
      <c r="Y558" s="200"/>
      <c r="Z558" s="195"/>
      <c r="AA558" s="195"/>
      <c r="AB558" s="195"/>
      <c r="AC558" s="8"/>
      <c r="AD558" s="70"/>
      <c r="AE558" s="70"/>
      <c r="AF558" s="70"/>
      <c r="AG558" s="201"/>
      <c r="AH558" s="202"/>
      <c r="AI558" s="201"/>
      <c r="AJ558" s="201"/>
      <c r="AK558" s="70"/>
      <c r="AL558" s="70"/>
      <c r="AM558" s="70"/>
      <c r="AN558" s="70"/>
      <c r="AO558" s="70"/>
      <c r="AP558" s="70"/>
      <c r="AQ558" s="70"/>
      <c r="AR558" s="70"/>
      <c r="AS558" s="70"/>
      <c r="AT558" s="70"/>
      <c r="AU558" s="70"/>
      <c r="AV558" s="70"/>
      <c r="AW558" s="70"/>
      <c r="AX558" s="70"/>
    </row>
    <row r="559">
      <c r="A559" s="8"/>
      <c r="B559" s="70"/>
      <c r="C559" s="70"/>
      <c r="D559" s="70"/>
      <c r="E559" s="8"/>
      <c r="F559" s="70"/>
      <c r="G559" s="70"/>
      <c r="H559" s="70"/>
      <c r="I559" s="8"/>
      <c r="J559" s="70"/>
      <c r="K559" s="70"/>
      <c r="L559" s="70"/>
      <c r="M559" s="8"/>
      <c r="N559" s="70"/>
      <c r="O559" s="70"/>
      <c r="P559" s="70"/>
      <c r="Q559" s="8"/>
      <c r="R559" s="70"/>
      <c r="S559" s="70"/>
      <c r="T559" s="70"/>
      <c r="U559" s="8"/>
      <c r="V559" s="70"/>
      <c r="W559" s="70"/>
      <c r="X559" s="70"/>
      <c r="Y559" s="200"/>
      <c r="Z559" s="195"/>
      <c r="AA559" s="195"/>
      <c r="AB559" s="195"/>
      <c r="AC559" s="8"/>
      <c r="AD559" s="70"/>
      <c r="AE559" s="70"/>
      <c r="AF559" s="70"/>
      <c r="AG559" s="201"/>
      <c r="AH559" s="202"/>
      <c r="AI559" s="201"/>
      <c r="AJ559" s="201"/>
      <c r="AK559" s="70"/>
      <c r="AL559" s="70"/>
      <c r="AM559" s="70"/>
      <c r="AN559" s="70"/>
      <c r="AO559" s="70"/>
      <c r="AP559" s="70"/>
      <c r="AQ559" s="70"/>
      <c r="AR559" s="70"/>
      <c r="AS559" s="70"/>
      <c r="AT559" s="70"/>
      <c r="AU559" s="70"/>
      <c r="AV559" s="70"/>
      <c r="AW559" s="70"/>
      <c r="AX559" s="70"/>
    </row>
    <row r="560">
      <c r="A560" s="8"/>
      <c r="B560" s="70"/>
      <c r="C560" s="70"/>
      <c r="D560" s="70"/>
      <c r="E560" s="8"/>
      <c r="F560" s="70"/>
      <c r="G560" s="70"/>
      <c r="H560" s="70"/>
      <c r="I560" s="8"/>
      <c r="J560" s="70"/>
      <c r="K560" s="70"/>
      <c r="L560" s="70"/>
      <c r="M560" s="8"/>
      <c r="N560" s="70"/>
      <c r="O560" s="70"/>
      <c r="P560" s="70"/>
      <c r="Q560" s="8"/>
      <c r="R560" s="70"/>
      <c r="S560" s="70"/>
      <c r="T560" s="70"/>
      <c r="U560" s="8"/>
      <c r="V560" s="70"/>
      <c r="W560" s="70"/>
      <c r="X560" s="70"/>
      <c r="Y560" s="200"/>
      <c r="Z560" s="195"/>
      <c r="AA560" s="195"/>
      <c r="AB560" s="195"/>
      <c r="AC560" s="8"/>
      <c r="AD560" s="70"/>
      <c r="AE560" s="70"/>
      <c r="AF560" s="70"/>
      <c r="AG560" s="201"/>
      <c r="AH560" s="202"/>
      <c r="AI560" s="201"/>
      <c r="AJ560" s="201"/>
      <c r="AK560" s="70"/>
      <c r="AL560" s="70"/>
      <c r="AM560" s="70"/>
      <c r="AN560" s="70"/>
      <c r="AO560" s="70"/>
      <c r="AP560" s="70"/>
      <c r="AQ560" s="70"/>
      <c r="AR560" s="70"/>
      <c r="AS560" s="70"/>
      <c r="AT560" s="70"/>
      <c r="AU560" s="70"/>
      <c r="AV560" s="70"/>
      <c r="AW560" s="70"/>
      <c r="AX560" s="70"/>
    </row>
    <row r="561">
      <c r="A561" s="8"/>
      <c r="B561" s="70"/>
      <c r="C561" s="70"/>
      <c r="D561" s="70"/>
      <c r="E561" s="8"/>
      <c r="F561" s="70"/>
      <c r="G561" s="70"/>
      <c r="H561" s="70"/>
      <c r="I561" s="8"/>
      <c r="J561" s="70"/>
      <c r="K561" s="70"/>
      <c r="L561" s="70"/>
      <c r="M561" s="8"/>
      <c r="N561" s="70"/>
      <c r="O561" s="70"/>
      <c r="P561" s="70"/>
      <c r="Q561" s="8"/>
      <c r="R561" s="70"/>
      <c r="S561" s="70"/>
      <c r="T561" s="70"/>
      <c r="U561" s="8"/>
      <c r="V561" s="70"/>
      <c r="W561" s="70"/>
      <c r="X561" s="70"/>
      <c r="Y561" s="200"/>
      <c r="Z561" s="195"/>
      <c r="AA561" s="195"/>
      <c r="AB561" s="195"/>
      <c r="AC561" s="8"/>
      <c r="AD561" s="70"/>
      <c r="AE561" s="70"/>
      <c r="AF561" s="70"/>
      <c r="AG561" s="201"/>
      <c r="AH561" s="202"/>
      <c r="AI561" s="201"/>
      <c r="AJ561" s="201"/>
      <c r="AK561" s="70"/>
      <c r="AL561" s="70"/>
      <c r="AM561" s="70"/>
      <c r="AN561" s="70"/>
      <c r="AO561" s="70"/>
      <c r="AP561" s="70"/>
      <c r="AQ561" s="70"/>
      <c r="AR561" s="70"/>
      <c r="AS561" s="70"/>
      <c r="AT561" s="70"/>
      <c r="AU561" s="70"/>
      <c r="AV561" s="70"/>
      <c r="AW561" s="70"/>
      <c r="AX561" s="70"/>
    </row>
    <row r="562">
      <c r="A562" s="8"/>
      <c r="B562" s="70"/>
      <c r="C562" s="70"/>
      <c r="D562" s="70"/>
      <c r="E562" s="8"/>
      <c r="F562" s="70"/>
      <c r="G562" s="70"/>
      <c r="H562" s="70"/>
      <c r="I562" s="8"/>
      <c r="J562" s="70"/>
      <c r="K562" s="70"/>
      <c r="L562" s="70"/>
      <c r="M562" s="8"/>
      <c r="N562" s="70"/>
      <c r="O562" s="70"/>
      <c r="P562" s="70"/>
      <c r="Q562" s="8"/>
      <c r="R562" s="70"/>
      <c r="S562" s="70"/>
      <c r="T562" s="70"/>
      <c r="U562" s="8"/>
      <c r="V562" s="70"/>
      <c r="W562" s="70"/>
      <c r="X562" s="70"/>
      <c r="Y562" s="200"/>
      <c r="Z562" s="195"/>
      <c r="AA562" s="195"/>
      <c r="AB562" s="195"/>
      <c r="AC562" s="8"/>
      <c r="AD562" s="70"/>
      <c r="AE562" s="70"/>
      <c r="AF562" s="70"/>
      <c r="AG562" s="201"/>
      <c r="AH562" s="202"/>
      <c r="AI562" s="201"/>
      <c r="AJ562" s="201"/>
      <c r="AK562" s="70"/>
      <c r="AL562" s="70"/>
      <c r="AM562" s="70"/>
      <c r="AN562" s="70"/>
      <c r="AO562" s="70"/>
      <c r="AP562" s="70"/>
      <c r="AQ562" s="70"/>
      <c r="AR562" s="70"/>
      <c r="AS562" s="70"/>
      <c r="AT562" s="70"/>
      <c r="AU562" s="70"/>
      <c r="AV562" s="70"/>
      <c r="AW562" s="70"/>
      <c r="AX562" s="70"/>
    </row>
    <row r="563">
      <c r="A563" s="8"/>
      <c r="B563" s="70"/>
      <c r="C563" s="70"/>
      <c r="D563" s="70"/>
      <c r="E563" s="8"/>
      <c r="F563" s="70"/>
      <c r="G563" s="70"/>
      <c r="H563" s="70"/>
      <c r="I563" s="8"/>
      <c r="J563" s="70"/>
      <c r="K563" s="70"/>
      <c r="L563" s="70"/>
      <c r="M563" s="8"/>
      <c r="N563" s="70"/>
      <c r="O563" s="70"/>
      <c r="P563" s="70"/>
      <c r="Q563" s="8"/>
      <c r="R563" s="70"/>
      <c r="S563" s="70"/>
      <c r="T563" s="70"/>
      <c r="U563" s="8"/>
      <c r="V563" s="70"/>
      <c r="W563" s="70"/>
      <c r="X563" s="70"/>
      <c r="Y563" s="200"/>
      <c r="Z563" s="195"/>
      <c r="AA563" s="195"/>
      <c r="AB563" s="195"/>
      <c r="AC563" s="8"/>
      <c r="AD563" s="70"/>
      <c r="AE563" s="70"/>
      <c r="AF563" s="70"/>
      <c r="AG563" s="201"/>
      <c r="AH563" s="202"/>
      <c r="AI563" s="201"/>
      <c r="AJ563" s="201"/>
      <c r="AK563" s="70"/>
      <c r="AL563" s="70"/>
      <c r="AM563" s="70"/>
      <c r="AN563" s="70"/>
      <c r="AO563" s="70"/>
      <c r="AP563" s="70"/>
      <c r="AQ563" s="70"/>
      <c r="AR563" s="70"/>
      <c r="AS563" s="70"/>
      <c r="AT563" s="70"/>
      <c r="AU563" s="70"/>
      <c r="AV563" s="70"/>
      <c r="AW563" s="70"/>
      <c r="AX563" s="70"/>
    </row>
    <row r="564">
      <c r="A564" s="8"/>
      <c r="B564" s="70"/>
      <c r="C564" s="70"/>
      <c r="D564" s="70"/>
      <c r="E564" s="8"/>
      <c r="F564" s="70"/>
      <c r="G564" s="70"/>
      <c r="H564" s="70"/>
      <c r="I564" s="8"/>
      <c r="J564" s="70"/>
      <c r="K564" s="70"/>
      <c r="L564" s="70"/>
      <c r="M564" s="8"/>
      <c r="N564" s="70"/>
      <c r="O564" s="70"/>
      <c r="P564" s="70"/>
      <c r="Q564" s="8"/>
      <c r="R564" s="70"/>
      <c r="S564" s="70"/>
      <c r="T564" s="70"/>
      <c r="U564" s="8"/>
      <c r="V564" s="70"/>
      <c r="W564" s="70"/>
      <c r="X564" s="70"/>
      <c r="Y564" s="200"/>
      <c r="Z564" s="195"/>
      <c r="AA564" s="195"/>
      <c r="AB564" s="195"/>
      <c r="AC564" s="8"/>
      <c r="AD564" s="70"/>
      <c r="AE564" s="70"/>
      <c r="AF564" s="70"/>
      <c r="AG564" s="201"/>
      <c r="AH564" s="202"/>
      <c r="AI564" s="201"/>
      <c r="AJ564" s="201"/>
      <c r="AK564" s="70"/>
      <c r="AL564" s="70"/>
      <c r="AM564" s="70"/>
      <c r="AN564" s="70"/>
      <c r="AO564" s="70"/>
      <c r="AP564" s="70"/>
      <c r="AQ564" s="70"/>
      <c r="AR564" s="70"/>
      <c r="AS564" s="70"/>
      <c r="AT564" s="70"/>
      <c r="AU564" s="70"/>
      <c r="AV564" s="70"/>
      <c r="AW564" s="70"/>
      <c r="AX564" s="70"/>
    </row>
    <row r="565">
      <c r="A565" s="8"/>
      <c r="B565" s="70"/>
      <c r="C565" s="70"/>
      <c r="D565" s="70"/>
      <c r="E565" s="8"/>
      <c r="F565" s="70"/>
      <c r="G565" s="70"/>
      <c r="H565" s="70"/>
      <c r="I565" s="8"/>
      <c r="J565" s="70"/>
      <c r="K565" s="70"/>
      <c r="L565" s="70"/>
      <c r="M565" s="8"/>
      <c r="N565" s="70"/>
      <c r="O565" s="70"/>
      <c r="P565" s="70"/>
      <c r="Q565" s="8"/>
      <c r="R565" s="70"/>
      <c r="S565" s="70"/>
      <c r="T565" s="70"/>
      <c r="U565" s="8"/>
      <c r="V565" s="70"/>
      <c r="W565" s="70"/>
      <c r="X565" s="70"/>
      <c r="Y565" s="200"/>
      <c r="Z565" s="195"/>
      <c r="AA565" s="195"/>
      <c r="AB565" s="195"/>
      <c r="AC565" s="8"/>
      <c r="AD565" s="70"/>
      <c r="AE565" s="70"/>
      <c r="AF565" s="70"/>
      <c r="AG565" s="201"/>
      <c r="AH565" s="202"/>
      <c r="AI565" s="201"/>
      <c r="AJ565" s="201"/>
      <c r="AK565" s="70"/>
      <c r="AL565" s="70"/>
      <c r="AM565" s="70"/>
      <c r="AN565" s="70"/>
      <c r="AO565" s="70"/>
      <c r="AP565" s="70"/>
      <c r="AQ565" s="70"/>
      <c r="AR565" s="70"/>
      <c r="AS565" s="70"/>
      <c r="AT565" s="70"/>
      <c r="AU565" s="70"/>
      <c r="AV565" s="70"/>
      <c r="AW565" s="70"/>
      <c r="AX565" s="70"/>
    </row>
    <row r="566">
      <c r="A566" s="8"/>
      <c r="B566" s="70"/>
      <c r="C566" s="70"/>
      <c r="D566" s="70"/>
      <c r="E566" s="8"/>
      <c r="F566" s="70"/>
      <c r="G566" s="70"/>
      <c r="H566" s="70"/>
      <c r="I566" s="8"/>
      <c r="J566" s="70"/>
      <c r="K566" s="70"/>
      <c r="L566" s="70"/>
      <c r="M566" s="8"/>
      <c r="N566" s="70"/>
      <c r="O566" s="70"/>
      <c r="P566" s="70"/>
      <c r="Q566" s="8"/>
      <c r="R566" s="70"/>
      <c r="S566" s="70"/>
      <c r="T566" s="70"/>
      <c r="U566" s="8"/>
      <c r="V566" s="70"/>
      <c r="W566" s="70"/>
      <c r="X566" s="70"/>
      <c r="Y566" s="200"/>
      <c r="Z566" s="195"/>
      <c r="AA566" s="195"/>
      <c r="AB566" s="195"/>
      <c r="AC566" s="8"/>
      <c r="AD566" s="70"/>
      <c r="AE566" s="70"/>
      <c r="AF566" s="70"/>
      <c r="AG566" s="201"/>
      <c r="AH566" s="202"/>
      <c r="AI566" s="201"/>
      <c r="AJ566" s="201"/>
      <c r="AK566" s="70"/>
      <c r="AL566" s="70"/>
      <c r="AM566" s="70"/>
      <c r="AN566" s="70"/>
      <c r="AO566" s="70"/>
      <c r="AP566" s="70"/>
      <c r="AQ566" s="70"/>
      <c r="AR566" s="70"/>
      <c r="AS566" s="70"/>
      <c r="AT566" s="70"/>
      <c r="AU566" s="70"/>
      <c r="AV566" s="70"/>
      <c r="AW566" s="70"/>
      <c r="AX566" s="70"/>
    </row>
    <row r="567">
      <c r="A567" s="8"/>
      <c r="B567" s="70"/>
      <c r="C567" s="70"/>
      <c r="D567" s="70"/>
      <c r="E567" s="8"/>
      <c r="F567" s="70"/>
      <c r="G567" s="70"/>
      <c r="H567" s="70"/>
      <c r="I567" s="8"/>
      <c r="J567" s="70"/>
      <c r="K567" s="70"/>
      <c r="L567" s="70"/>
      <c r="M567" s="8"/>
      <c r="N567" s="70"/>
      <c r="O567" s="70"/>
      <c r="P567" s="70"/>
      <c r="Q567" s="8"/>
      <c r="R567" s="70"/>
      <c r="S567" s="70"/>
      <c r="T567" s="70"/>
      <c r="U567" s="8"/>
      <c r="V567" s="70"/>
      <c r="W567" s="70"/>
      <c r="X567" s="70"/>
      <c r="Y567" s="200"/>
      <c r="Z567" s="195"/>
      <c r="AA567" s="195"/>
      <c r="AB567" s="195"/>
      <c r="AC567" s="8"/>
      <c r="AD567" s="70"/>
      <c r="AE567" s="70"/>
      <c r="AF567" s="70"/>
      <c r="AG567" s="201"/>
      <c r="AH567" s="202"/>
      <c r="AI567" s="201"/>
      <c r="AJ567" s="201"/>
      <c r="AK567" s="70"/>
      <c r="AL567" s="70"/>
      <c r="AM567" s="70"/>
      <c r="AN567" s="70"/>
      <c r="AO567" s="70"/>
      <c r="AP567" s="70"/>
      <c r="AQ567" s="70"/>
      <c r="AR567" s="70"/>
      <c r="AS567" s="70"/>
      <c r="AT567" s="70"/>
      <c r="AU567" s="70"/>
      <c r="AV567" s="70"/>
      <c r="AW567" s="70"/>
      <c r="AX567" s="70"/>
    </row>
    <row r="568">
      <c r="A568" s="8"/>
      <c r="B568" s="70"/>
      <c r="C568" s="70"/>
      <c r="D568" s="70"/>
      <c r="E568" s="8"/>
      <c r="F568" s="70"/>
      <c r="G568" s="70"/>
      <c r="H568" s="70"/>
      <c r="I568" s="8"/>
      <c r="J568" s="70"/>
      <c r="K568" s="70"/>
      <c r="L568" s="70"/>
      <c r="M568" s="8"/>
      <c r="N568" s="70"/>
      <c r="O568" s="70"/>
      <c r="P568" s="70"/>
      <c r="Q568" s="8"/>
      <c r="R568" s="70"/>
      <c r="S568" s="70"/>
      <c r="T568" s="70"/>
      <c r="U568" s="8"/>
      <c r="V568" s="70"/>
      <c r="W568" s="70"/>
      <c r="X568" s="70"/>
      <c r="Y568" s="200"/>
      <c r="Z568" s="195"/>
      <c r="AA568" s="195"/>
      <c r="AB568" s="195"/>
      <c r="AC568" s="8"/>
      <c r="AD568" s="70"/>
      <c r="AE568" s="70"/>
      <c r="AF568" s="70"/>
      <c r="AG568" s="201"/>
      <c r="AH568" s="202"/>
      <c r="AI568" s="201"/>
      <c r="AJ568" s="201"/>
      <c r="AK568" s="70"/>
      <c r="AL568" s="70"/>
      <c r="AM568" s="70"/>
      <c r="AN568" s="70"/>
      <c r="AO568" s="70"/>
      <c r="AP568" s="70"/>
      <c r="AQ568" s="70"/>
      <c r="AR568" s="70"/>
      <c r="AS568" s="70"/>
      <c r="AT568" s="70"/>
      <c r="AU568" s="70"/>
      <c r="AV568" s="70"/>
      <c r="AW568" s="70"/>
      <c r="AX568" s="70"/>
    </row>
    <row r="569">
      <c r="A569" s="8"/>
      <c r="B569" s="70"/>
      <c r="C569" s="70"/>
      <c r="D569" s="70"/>
      <c r="E569" s="8"/>
      <c r="F569" s="70"/>
      <c r="G569" s="70"/>
      <c r="H569" s="70"/>
      <c r="I569" s="8"/>
      <c r="J569" s="70"/>
      <c r="K569" s="70"/>
      <c r="L569" s="70"/>
      <c r="M569" s="8"/>
      <c r="N569" s="70"/>
      <c r="O569" s="70"/>
      <c r="P569" s="70"/>
      <c r="Q569" s="8"/>
      <c r="R569" s="70"/>
      <c r="S569" s="70"/>
      <c r="T569" s="70"/>
      <c r="U569" s="8"/>
      <c r="V569" s="70"/>
      <c r="W569" s="70"/>
      <c r="X569" s="70"/>
      <c r="Y569" s="200"/>
      <c r="Z569" s="195"/>
      <c r="AA569" s="195"/>
      <c r="AB569" s="195"/>
      <c r="AC569" s="8"/>
      <c r="AD569" s="70"/>
      <c r="AE569" s="70"/>
      <c r="AF569" s="70"/>
      <c r="AG569" s="201"/>
      <c r="AH569" s="202"/>
      <c r="AI569" s="201"/>
      <c r="AJ569" s="201"/>
      <c r="AK569" s="70"/>
      <c r="AL569" s="70"/>
      <c r="AM569" s="70"/>
      <c r="AN569" s="70"/>
      <c r="AO569" s="70"/>
      <c r="AP569" s="70"/>
      <c r="AQ569" s="70"/>
      <c r="AR569" s="70"/>
      <c r="AS569" s="70"/>
      <c r="AT569" s="70"/>
      <c r="AU569" s="70"/>
      <c r="AV569" s="70"/>
      <c r="AW569" s="70"/>
      <c r="AX569" s="70"/>
    </row>
    <row r="570">
      <c r="A570" s="8"/>
      <c r="B570" s="70"/>
      <c r="C570" s="70"/>
      <c r="D570" s="70"/>
      <c r="E570" s="8"/>
      <c r="F570" s="70"/>
      <c r="G570" s="70"/>
      <c r="H570" s="70"/>
      <c r="I570" s="8"/>
      <c r="J570" s="70"/>
      <c r="K570" s="70"/>
      <c r="L570" s="70"/>
      <c r="M570" s="8"/>
      <c r="N570" s="70"/>
      <c r="O570" s="70"/>
      <c r="P570" s="70"/>
      <c r="Q570" s="8"/>
      <c r="R570" s="70"/>
      <c r="S570" s="70"/>
      <c r="T570" s="70"/>
      <c r="U570" s="8"/>
      <c r="V570" s="70"/>
      <c r="W570" s="70"/>
      <c r="X570" s="70"/>
      <c r="Y570" s="200"/>
      <c r="Z570" s="195"/>
      <c r="AA570" s="195"/>
      <c r="AB570" s="195"/>
      <c r="AC570" s="8"/>
      <c r="AD570" s="70"/>
      <c r="AE570" s="70"/>
      <c r="AF570" s="70"/>
      <c r="AG570" s="201"/>
      <c r="AH570" s="202"/>
      <c r="AI570" s="201"/>
      <c r="AJ570" s="201"/>
      <c r="AK570" s="70"/>
      <c r="AL570" s="70"/>
      <c r="AM570" s="70"/>
      <c r="AN570" s="70"/>
      <c r="AO570" s="70"/>
      <c r="AP570" s="70"/>
      <c r="AQ570" s="70"/>
      <c r="AR570" s="70"/>
      <c r="AS570" s="70"/>
      <c r="AT570" s="70"/>
      <c r="AU570" s="70"/>
      <c r="AV570" s="70"/>
      <c r="AW570" s="70"/>
      <c r="AX570" s="70"/>
    </row>
    <row r="571">
      <c r="A571" s="8"/>
      <c r="B571" s="70"/>
      <c r="C571" s="70"/>
      <c r="D571" s="70"/>
      <c r="E571" s="8"/>
      <c r="F571" s="70"/>
      <c r="G571" s="70"/>
      <c r="H571" s="70"/>
      <c r="I571" s="8"/>
      <c r="J571" s="70"/>
      <c r="K571" s="70"/>
      <c r="L571" s="70"/>
      <c r="M571" s="8"/>
      <c r="N571" s="70"/>
      <c r="O571" s="70"/>
      <c r="P571" s="70"/>
      <c r="Q571" s="8"/>
      <c r="R571" s="70"/>
      <c r="S571" s="70"/>
      <c r="T571" s="70"/>
      <c r="U571" s="8"/>
      <c r="V571" s="70"/>
      <c r="W571" s="70"/>
      <c r="X571" s="70"/>
      <c r="Y571" s="200"/>
      <c r="Z571" s="195"/>
      <c r="AA571" s="195"/>
      <c r="AB571" s="195"/>
      <c r="AC571" s="8"/>
      <c r="AD571" s="70"/>
      <c r="AE571" s="70"/>
      <c r="AF571" s="70"/>
      <c r="AG571" s="201"/>
      <c r="AH571" s="202"/>
      <c r="AI571" s="201"/>
      <c r="AJ571" s="201"/>
      <c r="AK571" s="70"/>
      <c r="AL571" s="70"/>
      <c r="AM571" s="70"/>
      <c r="AN571" s="70"/>
      <c r="AO571" s="70"/>
      <c r="AP571" s="70"/>
      <c r="AQ571" s="70"/>
      <c r="AR571" s="70"/>
      <c r="AS571" s="70"/>
      <c r="AT571" s="70"/>
      <c r="AU571" s="70"/>
      <c r="AV571" s="70"/>
      <c r="AW571" s="70"/>
      <c r="AX571" s="70"/>
    </row>
    <row r="572">
      <c r="A572" s="8"/>
      <c r="B572" s="70"/>
      <c r="C572" s="70"/>
      <c r="D572" s="70"/>
      <c r="E572" s="8"/>
      <c r="F572" s="70"/>
      <c r="G572" s="70"/>
      <c r="H572" s="70"/>
      <c r="I572" s="8"/>
      <c r="J572" s="70"/>
      <c r="K572" s="70"/>
      <c r="L572" s="70"/>
      <c r="M572" s="8"/>
      <c r="N572" s="70"/>
      <c r="O572" s="70"/>
      <c r="P572" s="70"/>
      <c r="Q572" s="8"/>
      <c r="R572" s="70"/>
      <c r="S572" s="70"/>
      <c r="T572" s="70"/>
      <c r="U572" s="8"/>
      <c r="V572" s="70"/>
      <c r="W572" s="70"/>
      <c r="X572" s="70"/>
      <c r="Y572" s="200"/>
      <c r="Z572" s="195"/>
      <c r="AA572" s="195"/>
      <c r="AB572" s="195"/>
      <c r="AC572" s="8"/>
      <c r="AD572" s="70"/>
      <c r="AE572" s="70"/>
      <c r="AF572" s="70"/>
      <c r="AG572" s="201"/>
      <c r="AH572" s="202"/>
      <c r="AI572" s="201"/>
      <c r="AJ572" s="201"/>
      <c r="AK572" s="70"/>
      <c r="AL572" s="70"/>
      <c r="AM572" s="70"/>
      <c r="AN572" s="70"/>
      <c r="AO572" s="70"/>
      <c r="AP572" s="70"/>
      <c r="AQ572" s="70"/>
      <c r="AR572" s="70"/>
      <c r="AS572" s="70"/>
      <c r="AT572" s="70"/>
      <c r="AU572" s="70"/>
      <c r="AV572" s="70"/>
      <c r="AW572" s="70"/>
      <c r="AX572" s="70"/>
    </row>
    <row r="573">
      <c r="A573" s="8"/>
      <c r="B573" s="70"/>
      <c r="C573" s="70"/>
      <c r="D573" s="70"/>
      <c r="E573" s="8"/>
      <c r="F573" s="70"/>
      <c r="G573" s="70"/>
      <c r="H573" s="70"/>
      <c r="I573" s="8"/>
      <c r="J573" s="70"/>
      <c r="K573" s="70"/>
      <c r="L573" s="70"/>
      <c r="M573" s="8"/>
      <c r="N573" s="70"/>
      <c r="O573" s="70"/>
      <c r="P573" s="70"/>
      <c r="Q573" s="8"/>
      <c r="R573" s="70"/>
      <c r="S573" s="70"/>
      <c r="T573" s="70"/>
      <c r="U573" s="8"/>
      <c r="V573" s="70"/>
      <c r="W573" s="70"/>
      <c r="X573" s="70"/>
      <c r="Y573" s="200"/>
      <c r="Z573" s="195"/>
      <c r="AA573" s="195"/>
      <c r="AB573" s="195"/>
      <c r="AC573" s="8"/>
      <c r="AD573" s="70"/>
      <c r="AE573" s="70"/>
      <c r="AF573" s="70"/>
      <c r="AG573" s="201"/>
      <c r="AH573" s="202"/>
      <c r="AI573" s="201"/>
      <c r="AJ573" s="201"/>
      <c r="AK573" s="70"/>
      <c r="AL573" s="70"/>
      <c r="AM573" s="70"/>
      <c r="AN573" s="70"/>
      <c r="AO573" s="70"/>
      <c r="AP573" s="70"/>
      <c r="AQ573" s="70"/>
      <c r="AR573" s="70"/>
      <c r="AS573" s="70"/>
      <c r="AT573" s="70"/>
      <c r="AU573" s="70"/>
      <c r="AV573" s="70"/>
      <c r="AW573" s="70"/>
      <c r="AX573" s="70"/>
    </row>
    <row r="574">
      <c r="A574" s="8"/>
      <c r="B574" s="70"/>
      <c r="C574" s="70"/>
      <c r="D574" s="70"/>
      <c r="E574" s="8"/>
      <c r="F574" s="70"/>
      <c r="G574" s="70"/>
      <c r="H574" s="70"/>
      <c r="I574" s="8"/>
      <c r="J574" s="70"/>
      <c r="K574" s="70"/>
      <c r="L574" s="70"/>
      <c r="M574" s="8"/>
      <c r="N574" s="70"/>
      <c r="O574" s="70"/>
      <c r="P574" s="70"/>
      <c r="Q574" s="8"/>
      <c r="R574" s="70"/>
      <c r="S574" s="70"/>
      <c r="T574" s="70"/>
      <c r="U574" s="8"/>
      <c r="V574" s="70"/>
      <c r="W574" s="70"/>
      <c r="X574" s="70"/>
      <c r="Y574" s="200"/>
      <c r="Z574" s="195"/>
      <c r="AA574" s="195"/>
      <c r="AB574" s="195"/>
      <c r="AC574" s="8"/>
      <c r="AD574" s="70"/>
      <c r="AE574" s="70"/>
      <c r="AF574" s="70"/>
      <c r="AG574" s="201"/>
      <c r="AH574" s="202"/>
      <c r="AI574" s="201"/>
      <c r="AJ574" s="201"/>
      <c r="AK574" s="70"/>
      <c r="AL574" s="70"/>
      <c r="AM574" s="70"/>
      <c r="AN574" s="70"/>
      <c r="AO574" s="70"/>
      <c r="AP574" s="70"/>
      <c r="AQ574" s="70"/>
      <c r="AR574" s="70"/>
      <c r="AS574" s="70"/>
      <c r="AT574" s="70"/>
      <c r="AU574" s="70"/>
      <c r="AV574" s="70"/>
      <c r="AW574" s="70"/>
      <c r="AX574" s="70"/>
    </row>
    <row r="575">
      <c r="A575" s="8"/>
      <c r="B575" s="70"/>
      <c r="C575" s="70"/>
      <c r="D575" s="70"/>
      <c r="E575" s="8"/>
      <c r="F575" s="70"/>
      <c r="G575" s="70"/>
      <c r="H575" s="70"/>
      <c r="I575" s="8"/>
      <c r="J575" s="70"/>
      <c r="K575" s="70"/>
      <c r="L575" s="70"/>
      <c r="M575" s="8"/>
      <c r="N575" s="70"/>
      <c r="O575" s="70"/>
      <c r="P575" s="70"/>
      <c r="Q575" s="8"/>
      <c r="R575" s="70"/>
      <c r="S575" s="70"/>
      <c r="T575" s="70"/>
      <c r="U575" s="8"/>
      <c r="V575" s="70"/>
      <c r="W575" s="70"/>
      <c r="X575" s="70"/>
      <c r="Y575" s="200"/>
      <c r="Z575" s="195"/>
      <c r="AA575" s="195"/>
      <c r="AB575" s="195"/>
      <c r="AC575" s="8"/>
      <c r="AD575" s="70"/>
      <c r="AE575" s="70"/>
      <c r="AF575" s="70"/>
      <c r="AG575" s="201"/>
      <c r="AH575" s="202"/>
      <c r="AI575" s="201"/>
      <c r="AJ575" s="201"/>
      <c r="AK575" s="70"/>
      <c r="AL575" s="70"/>
      <c r="AM575" s="70"/>
      <c r="AN575" s="70"/>
      <c r="AO575" s="70"/>
      <c r="AP575" s="70"/>
      <c r="AQ575" s="70"/>
      <c r="AR575" s="70"/>
      <c r="AS575" s="70"/>
      <c r="AT575" s="70"/>
      <c r="AU575" s="70"/>
      <c r="AV575" s="70"/>
      <c r="AW575" s="70"/>
      <c r="AX575" s="70"/>
    </row>
    <row r="576">
      <c r="A576" s="8"/>
      <c r="B576" s="70"/>
      <c r="C576" s="70"/>
      <c r="D576" s="70"/>
      <c r="E576" s="8"/>
      <c r="F576" s="70"/>
      <c r="G576" s="70"/>
      <c r="H576" s="70"/>
      <c r="I576" s="8"/>
      <c r="J576" s="70"/>
      <c r="K576" s="70"/>
      <c r="L576" s="70"/>
      <c r="M576" s="8"/>
      <c r="N576" s="70"/>
      <c r="O576" s="70"/>
      <c r="P576" s="70"/>
      <c r="Q576" s="8"/>
      <c r="R576" s="70"/>
      <c r="S576" s="70"/>
      <c r="T576" s="70"/>
      <c r="U576" s="8"/>
      <c r="V576" s="70"/>
      <c r="W576" s="70"/>
      <c r="X576" s="70"/>
      <c r="Y576" s="200"/>
      <c r="Z576" s="195"/>
      <c r="AA576" s="195"/>
      <c r="AB576" s="195"/>
      <c r="AC576" s="8"/>
      <c r="AD576" s="70"/>
      <c r="AE576" s="70"/>
      <c r="AF576" s="70"/>
      <c r="AG576" s="201"/>
      <c r="AH576" s="202"/>
      <c r="AI576" s="201"/>
      <c r="AJ576" s="201"/>
      <c r="AK576" s="70"/>
      <c r="AL576" s="70"/>
      <c r="AM576" s="70"/>
      <c r="AN576" s="70"/>
      <c r="AO576" s="70"/>
      <c r="AP576" s="70"/>
      <c r="AQ576" s="70"/>
      <c r="AR576" s="70"/>
      <c r="AS576" s="70"/>
      <c r="AT576" s="70"/>
      <c r="AU576" s="70"/>
      <c r="AV576" s="70"/>
      <c r="AW576" s="70"/>
      <c r="AX576" s="70"/>
    </row>
    <row r="577">
      <c r="A577" s="8"/>
      <c r="B577" s="70"/>
      <c r="C577" s="70"/>
      <c r="D577" s="70"/>
      <c r="E577" s="8"/>
      <c r="F577" s="70"/>
      <c r="G577" s="70"/>
      <c r="H577" s="70"/>
      <c r="I577" s="8"/>
      <c r="J577" s="70"/>
      <c r="K577" s="70"/>
      <c r="L577" s="70"/>
      <c r="M577" s="8"/>
      <c r="N577" s="70"/>
      <c r="O577" s="70"/>
      <c r="P577" s="70"/>
      <c r="Q577" s="8"/>
      <c r="R577" s="70"/>
      <c r="S577" s="70"/>
      <c r="T577" s="70"/>
      <c r="U577" s="8"/>
      <c r="V577" s="70"/>
      <c r="W577" s="70"/>
      <c r="X577" s="70"/>
      <c r="Y577" s="200"/>
      <c r="Z577" s="195"/>
      <c r="AA577" s="195"/>
      <c r="AB577" s="195"/>
      <c r="AC577" s="8"/>
      <c r="AD577" s="70"/>
      <c r="AE577" s="70"/>
      <c r="AF577" s="70"/>
      <c r="AG577" s="201"/>
      <c r="AH577" s="202"/>
      <c r="AI577" s="201"/>
      <c r="AJ577" s="201"/>
      <c r="AK577" s="70"/>
      <c r="AL577" s="70"/>
      <c r="AM577" s="70"/>
      <c r="AN577" s="70"/>
      <c r="AO577" s="70"/>
      <c r="AP577" s="70"/>
      <c r="AQ577" s="70"/>
      <c r="AR577" s="70"/>
      <c r="AS577" s="70"/>
      <c r="AT577" s="70"/>
      <c r="AU577" s="70"/>
      <c r="AV577" s="70"/>
      <c r="AW577" s="70"/>
      <c r="AX577" s="70"/>
    </row>
    <row r="578">
      <c r="A578" s="8"/>
      <c r="B578" s="70"/>
      <c r="C578" s="70"/>
      <c r="D578" s="70"/>
      <c r="E578" s="8"/>
      <c r="F578" s="70"/>
      <c r="G578" s="70"/>
      <c r="H578" s="70"/>
      <c r="I578" s="8"/>
      <c r="J578" s="70"/>
      <c r="K578" s="70"/>
      <c r="L578" s="70"/>
      <c r="M578" s="8"/>
      <c r="N578" s="70"/>
      <c r="O578" s="70"/>
      <c r="P578" s="70"/>
      <c r="Q578" s="8"/>
      <c r="R578" s="70"/>
      <c r="S578" s="70"/>
      <c r="T578" s="70"/>
      <c r="U578" s="8"/>
      <c r="V578" s="70"/>
      <c r="W578" s="70"/>
      <c r="X578" s="70"/>
      <c r="Y578" s="200"/>
      <c r="Z578" s="195"/>
      <c r="AA578" s="195"/>
      <c r="AB578" s="195"/>
      <c r="AC578" s="8"/>
      <c r="AD578" s="70"/>
      <c r="AE578" s="70"/>
      <c r="AF578" s="70"/>
      <c r="AG578" s="201"/>
      <c r="AH578" s="202"/>
      <c r="AI578" s="201"/>
      <c r="AJ578" s="201"/>
      <c r="AK578" s="70"/>
      <c r="AL578" s="70"/>
      <c r="AM578" s="70"/>
      <c r="AN578" s="70"/>
      <c r="AO578" s="70"/>
      <c r="AP578" s="70"/>
      <c r="AQ578" s="70"/>
      <c r="AR578" s="70"/>
      <c r="AS578" s="70"/>
      <c r="AT578" s="70"/>
      <c r="AU578" s="70"/>
      <c r="AV578" s="70"/>
      <c r="AW578" s="70"/>
      <c r="AX578" s="70"/>
    </row>
    <row r="579">
      <c r="A579" s="8"/>
      <c r="B579" s="70"/>
      <c r="C579" s="70"/>
      <c r="D579" s="70"/>
      <c r="E579" s="8"/>
      <c r="F579" s="70"/>
      <c r="G579" s="70"/>
      <c r="H579" s="70"/>
      <c r="I579" s="8"/>
      <c r="J579" s="70"/>
      <c r="K579" s="70"/>
      <c r="L579" s="70"/>
      <c r="M579" s="8"/>
      <c r="N579" s="70"/>
      <c r="O579" s="70"/>
      <c r="P579" s="70"/>
      <c r="Q579" s="8"/>
      <c r="R579" s="70"/>
      <c r="S579" s="70"/>
      <c r="T579" s="70"/>
      <c r="U579" s="8"/>
      <c r="V579" s="70"/>
      <c r="W579" s="70"/>
      <c r="X579" s="70"/>
      <c r="Y579" s="200"/>
      <c r="Z579" s="195"/>
      <c r="AA579" s="195"/>
      <c r="AB579" s="195"/>
      <c r="AC579" s="8"/>
      <c r="AD579" s="70"/>
      <c r="AE579" s="70"/>
      <c r="AF579" s="70"/>
      <c r="AG579" s="201"/>
      <c r="AH579" s="202"/>
      <c r="AI579" s="201"/>
      <c r="AJ579" s="201"/>
      <c r="AK579" s="70"/>
      <c r="AL579" s="70"/>
      <c r="AM579" s="70"/>
      <c r="AN579" s="70"/>
      <c r="AO579" s="70"/>
      <c r="AP579" s="70"/>
      <c r="AQ579" s="70"/>
      <c r="AR579" s="70"/>
      <c r="AS579" s="70"/>
      <c r="AT579" s="70"/>
      <c r="AU579" s="70"/>
      <c r="AV579" s="70"/>
      <c r="AW579" s="70"/>
      <c r="AX579" s="70"/>
    </row>
    <row r="580">
      <c r="A580" s="8"/>
      <c r="B580" s="70"/>
      <c r="C580" s="70"/>
      <c r="D580" s="70"/>
      <c r="E580" s="8"/>
      <c r="F580" s="70"/>
      <c r="G580" s="70"/>
      <c r="H580" s="70"/>
      <c r="I580" s="8"/>
      <c r="J580" s="70"/>
      <c r="K580" s="70"/>
      <c r="L580" s="70"/>
      <c r="M580" s="8"/>
      <c r="N580" s="70"/>
      <c r="O580" s="70"/>
      <c r="P580" s="70"/>
      <c r="Q580" s="8"/>
      <c r="R580" s="70"/>
      <c r="S580" s="70"/>
      <c r="T580" s="70"/>
      <c r="U580" s="8"/>
      <c r="V580" s="70"/>
      <c r="W580" s="70"/>
      <c r="X580" s="70"/>
      <c r="Y580" s="200"/>
      <c r="Z580" s="195"/>
      <c r="AA580" s="195"/>
      <c r="AB580" s="195"/>
      <c r="AC580" s="8"/>
      <c r="AD580" s="70"/>
      <c r="AE580" s="70"/>
      <c r="AF580" s="70"/>
      <c r="AG580" s="201"/>
      <c r="AH580" s="202"/>
      <c r="AI580" s="201"/>
      <c r="AJ580" s="201"/>
      <c r="AK580" s="70"/>
      <c r="AL580" s="70"/>
      <c r="AM580" s="70"/>
      <c r="AN580" s="70"/>
      <c r="AO580" s="70"/>
      <c r="AP580" s="70"/>
      <c r="AQ580" s="70"/>
      <c r="AR580" s="70"/>
      <c r="AS580" s="70"/>
      <c r="AT580" s="70"/>
      <c r="AU580" s="70"/>
      <c r="AV580" s="70"/>
      <c r="AW580" s="70"/>
      <c r="AX580" s="70"/>
    </row>
    <row r="581">
      <c r="A581" s="8"/>
      <c r="B581" s="70"/>
      <c r="C581" s="70"/>
      <c r="D581" s="70"/>
      <c r="E581" s="8"/>
      <c r="F581" s="70"/>
      <c r="G581" s="70"/>
      <c r="H581" s="70"/>
      <c r="I581" s="8"/>
      <c r="J581" s="70"/>
      <c r="K581" s="70"/>
      <c r="L581" s="70"/>
      <c r="M581" s="8"/>
      <c r="N581" s="70"/>
      <c r="O581" s="70"/>
      <c r="P581" s="70"/>
      <c r="Q581" s="8"/>
      <c r="R581" s="70"/>
      <c r="S581" s="70"/>
      <c r="T581" s="70"/>
      <c r="U581" s="8"/>
      <c r="V581" s="70"/>
      <c r="W581" s="70"/>
      <c r="X581" s="70"/>
      <c r="Y581" s="200"/>
      <c r="Z581" s="195"/>
      <c r="AA581" s="195"/>
      <c r="AB581" s="195"/>
      <c r="AC581" s="8"/>
      <c r="AD581" s="70"/>
      <c r="AE581" s="70"/>
      <c r="AF581" s="70"/>
      <c r="AG581" s="201"/>
      <c r="AH581" s="202"/>
      <c r="AI581" s="201"/>
      <c r="AJ581" s="201"/>
      <c r="AK581" s="70"/>
      <c r="AL581" s="70"/>
      <c r="AM581" s="70"/>
      <c r="AN581" s="70"/>
      <c r="AO581" s="70"/>
      <c r="AP581" s="70"/>
      <c r="AQ581" s="70"/>
      <c r="AR581" s="70"/>
      <c r="AS581" s="70"/>
      <c r="AT581" s="70"/>
      <c r="AU581" s="70"/>
      <c r="AV581" s="70"/>
      <c r="AW581" s="70"/>
      <c r="AX581" s="70"/>
    </row>
    <row r="582">
      <c r="A582" s="8"/>
      <c r="B582" s="70"/>
      <c r="C582" s="70"/>
      <c r="D582" s="70"/>
      <c r="E582" s="8"/>
      <c r="F582" s="70"/>
      <c r="G582" s="70"/>
      <c r="H582" s="70"/>
      <c r="I582" s="8"/>
      <c r="J582" s="70"/>
      <c r="K582" s="70"/>
      <c r="L582" s="70"/>
      <c r="M582" s="8"/>
      <c r="N582" s="70"/>
      <c r="O582" s="70"/>
      <c r="P582" s="70"/>
      <c r="Q582" s="8"/>
      <c r="R582" s="70"/>
      <c r="S582" s="70"/>
      <c r="T582" s="70"/>
      <c r="U582" s="8"/>
      <c r="V582" s="70"/>
      <c r="W582" s="70"/>
      <c r="X582" s="70"/>
      <c r="Y582" s="200"/>
      <c r="Z582" s="195"/>
      <c r="AA582" s="195"/>
      <c r="AB582" s="195"/>
      <c r="AC582" s="8"/>
      <c r="AD582" s="70"/>
      <c r="AE582" s="70"/>
      <c r="AF582" s="70"/>
      <c r="AG582" s="201"/>
      <c r="AH582" s="202"/>
      <c r="AI582" s="201"/>
      <c r="AJ582" s="201"/>
      <c r="AK582" s="70"/>
      <c r="AL582" s="70"/>
      <c r="AM582" s="70"/>
      <c r="AN582" s="70"/>
      <c r="AO582" s="70"/>
      <c r="AP582" s="70"/>
      <c r="AQ582" s="70"/>
      <c r="AR582" s="70"/>
      <c r="AS582" s="70"/>
      <c r="AT582" s="70"/>
      <c r="AU582" s="70"/>
      <c r="AV582" s="70"/>
      <c r="AW582" s="70"/>
      <c r="AX582" s="70"/>
    </row>
    <row r="583">
      <c r="A583" s="8"/>
      <c r="B583" s="70"/>
      <c r="C583" s="70"/>
      <c r="D583" s="70"/>
      <c r="E583" s="8"/>
      <c r="F583" s="70"/>
      <c r="G583" s="70"/>
      <c r="H583" s="70"/>
      <c r="I583" s="8"/>
      <c r="J583" s="70"/>
      <c r="K583" s="70"/>
      <c r="L583" s="70"/>
      <c r="M583" s="8"/>
      <c r="N583" s="70"/>
      <c r="O583" s="70"/>
      <c r="P583" s="70"/>
      <c r="Q583" s="8"/>
      <c r="R583" s="70"/>
      <c r="S583" s="70"/>
      <c r="T583" s="70"/>
      <c r="U583" s="8"/>
      <c r="V583" s="70"/>
      <c r="W583" s="70"/>
      <c r="X583" s="70"/>
      <c r="Y583" s="200"/>
      <c r="Z583" s="195"/>
      <c r="AA583" s="195"/>
      <c r="AB583" s="195"/>
      <c r="AC583" s="8"/>
      <c r="AD583" s="70"/>
      <c r="AE583" s="70"/>
      <c r="AF583" s="70"/>
      <c r="AG583" s="201"/>
      <c r="AH583" s="202"/>
      <c r="AI583" s="201"/>
      <c r="AJ583" s="201"/>
      <c r="AK583" s="70"/>
      <c r="AL583" s="70"/>
      <c r="AM583" s="70"/>
      <c r="AN583" s="70"/>
      <c r="AO583" s="70"/>
      <c r="AP583" s="70"/>
      <c r="AQ583" s="70"/>
      <c r="AR583" s="70"/>
      <c r="AS583" s="70"/>
      <c r="AT583" s="70"/>
      <c r="AU583" s="70"/>
      <c r="AV583" s="70"/>
      <c r="AW583" s="70"/>
      <c r="AX583" s="70"/>
    </row>
    <row r="584">
      <c r="A584" s="8"/>
      <c r="B584" s="70"/>
      <c r="C584" s="70"/>
      <c r="D584" s="70"/>
      <c r="E584" s="8"/>
      <c r="F584" s="70"/>
      <c r="G584" s="70"/>
      <c r="H584" s="70"/>
      <c r="I584" s="8"/>
      <c r="J584" s="70"/>
      <c r="K584" s="70"/>
      <c r="L584" s="70"/>
      <c r="M584" s="8"/>
      <c r="N584" s="70"/>
      <c r="O584" s="70"/>
      <c r="P584" s="70"/>
      <c r="Q584" s="8"/>
      <c r="R584" s="70"/>
      <c r="S584" s="70"/>
      <c r="T584" s="70"/>
      <c r="U584" s="8"/>
      <c r="V584" s="70"/>
      <c r="W584" s="70"/>
      <c r="X584" s="70"/>
      <c r="Y584" s="200"/>
      <c r="Z584" s="195"/>
      <c r="AA584" s="195"/>
      <c r="AB584" s="195"/>
      <c r="AC584" s="8"/>
      <c r="AD584" s="70"/>
      <c r="AE584" s="70"/>
      <c r="AF584" s="70"/>
      <c r="AG584" s="201"/>
      <c r="AH584" s="202"/>
      <c r="AI584" s="201"/>
      <c r="AJ584" s="201"/>
      <c r="AK584" s="70"/>
      <c r="AL584" s="70"/>
      <c r="AM584" s="70"/>
      <c r="AN584" s="70"/>
      <c r="AO584" s="70"/>
      <c r="AP584" s="70"/>
      <c r="AQ584" s="70"/>
      <c r="AR584" s="70"/>
      <c r="AS584" s="70"/>
      <c r="AT584" s="70"/>
      <c r="AU584" s="70"/>
      <c r="AV584" s="70"/>
      <c r="AW584" s="70"/>
      <c r="AX584" s="70"/>
    </row>
    <row r="585">
      <c r="A585" s="8"/>
      <c r="B585" s="70"/>
      <c r="C585" s="70"/>
      <c r="D585" s="70"/>
      <c r="E585" s="8"/>
      <c r="F585" s="70"/>
      <c r="G585" s="70"/>
      <c r="H585" s="70"/>
      <c r="I585" s="8"/>
      <c r="J585" s="70"/>
      <c r="K585" s="70"/>
      <c r="L585" s="70"/>
      <c r="M585" s="8"/>
      <c r="N585" s="70"/>
      <c r="O585" s="70"/>
      <c r="P585" s="70"/>
      <c r="Q585" s="8"/>
      <c r="R585" s="70"/>
      <c r="S585" s="70"/>
      <c r="T585" s="70"/>
      <c r="U585" s="8"/>
      <c r="V585" s="70"/>
      <c r="W585" s="70"/>
      <c r="X585" s="70"/>
      <c r="Y585" s="200"/>
      <c r="Z585" s="195"/>
      <c r="AA585" s="195"/>
      <c r="AB585" s="195"/>
      <c r="AC585" s="8"/>
      <c r="AD585" s="70"/>
      <c r="AE585" s="70"/>
      <c r="AF585" s="70"/>
      <c r="AG585" s="201"/>
      <c r="AH585" s="202"/>
      <c r="AI585" s="201"/>
      <c r="AJ585" s="201"/>
      <c r="AK585" s="70"/>
      <c r="AL585" s="70"/>
      <c r="AM585" s="70"/>
      <c r="AN585" s="70"/>
      <c r="AO585" s="70"/>
      <c r="AP585" s="70"/>
      <c r="AQ585" s="70"/>
      <c r="AR585" s="70"/>
      <c r="AS585" s="70"/>
      <c r="AT585" s="70"/>
      <c r="AU585" s="70"/>
      <c r="AV585" s="70"/>
      <c r="AW585" s="70"/>
      <c r="AX585" s="70"/>
    </row>
    <row r="586">
      <c r="A586" s="8"/>
      <c r="B586" s="70"/>
      <c r="C586" s="70"/>
      <c r="D586" s="70"/>
      <c r="E586" s="8"/>
      <c r="F586" s="70"/>
      <c r="G586" s="70"/>
      <c r="H586" s="70"/>
      <c r="I586" s="8"/>
      <c r="J586" s="70"/>
      <c r="K586" s="70"/>
      <c r="L586" s="70"/>
      <c r="M586" s="8"/>
      <c r="N586" s="70"/>
      <c r="O586" s="70"/>
      <c r="P586" s="70"/>
      <c r="Q586" s="8"/>
      <c r="R586" s="70"/>
      <c r="S586" s="70"/>
      <c r="T586" s="70"/>
      <c r="U586" s="8"/>
      <c r="V586" s="70"/>
      <c r="W586" s="70"/>
      <c r="X586" s="70"/>
      <c r="Y586" s="200"/>
      <c r="Z586" s="195"/>
      <c r="AA586" s="195"/>
      <c r="AB586" s="195"/>
      <c r="AC586" s="8"/>
      <c r="AD586" s="70"/>
      <c r="AE586" s="70"/>
      <c r="AF586" s="70"/>
      <c r="AG586" s="201"/>
      <c r="AH586" s="202"/>
      <c r="AI586" s="201"/>
      <c r="AJ586" s="201"/>
      <c r="AK586" s="70"/>
      <c r="AL586" s="70"/>
      <c r="AM586" s="70"/>
      <c r="AN586" s="70"/>
      <c r="AO586" s="70"/>
      <c r="AP586" s="70"/>
      <c r="AQ586" s="70"/>
      <c r="AR586" s="70"/>
      <c r="AS586" s="70"/>
      <c r="AT586" s="70"/>
      <c r="AU586" s="70"/>
      <c r="AV586" s="70"/>
      <c r="AW586" s="70"/>
      <c r="AX586" s="70"/>
    </row>
    <row r="587">
      <c r="A587" s="8"/>
      <c r="B587" s="70"/>
      <c r="C587" s="70"/>
      <c r="D587" s="70"/>
      <c r="E587" s="8"/>
      <c r="F587" s="70"/>
      <c r="G587" s="70"/>
      <c r="H587" s="70"/>
      <c r="I587" s="8"/>
      <c r="J587" s="70"/>
      <c r="K587" s="70"/>
      <c r="L587" s="70"/>
      <c r="M587" s="8"/>
      <c r="N587" s="70"/>
      <c r="O587" s="70"/>
      <c r="P587" s="70"/>
      <c r="Q587" s="8"/>
      <c r="R587" s="70"/>
      <c r="S587" s="70"/>
      <c r="T587" s="70"/>
      <c r="U587" s="8"/>
      <c r="V587" s="70"/>
      <c r="W587" s="70"/>
      <c r="X587" s="70"/>
      <c r="Y587" s="200"/>
      <c r="Z587" s="195"/>
      <c r="AA587" s="195"/>
      <c r="AB587" s="195"/>
      <c r="AC587" s="8"/>
      <c r="AD587" s="70"/>
      <c r="AE587" s="70"/>
      <c r="AF587" s="70"/>
      <c r="AG587" s="201"/>
      <c r="AH587" s="202"/>
      <c r="AI587" s="201"/>
      <c r="AJ587" s="201"/>
      <c r="AK587" s="70"/>
      <c r="AL587" s="70"/>
      <c r="AM587" s="70"/>
      <c r="AN587" s="70"/>
      <c r="AO587" s="70"/>
      <c r="AP587" s="70"/>
      <c r="AQ587" s="70"/>
      <c r="AR587" s="70"/>
      <c r="AS587" s="70"/>
      <c r="AT587" s="70"/>
      <c r="AU587" s="70"/>
      <c r="AV587" s="70"/>
      <c r="AW587" s="70"/>
      <c r="AX587" s="70"/>
    </row>
    <row r="588">
      <c r="A588" s="8"/>
      <c r="B588" s="70"/>
      <c r="C588" s="70"/>
      <c r="D588" s="70"/>
      <c r="E588" s="8"/>
      <c r="F588" s="70"/>
      <c r="G588" s="70"/>
      <c r="H588" s="70"/>
      <c r="I588" s="8"/>
      <c r="J588" s="70"/>
      <c r="K588" s="70"/>
      <c r="L588" s="70"/>
      <c r="M588" s="8"/>
      <c r="N588" s="70"/>
      <c r="O588" s="70"/>
      <c r="P588" s="70"/>
      <c r="Q588" s="8"/>
      <c r="R588" s="70"/>
      <c r="S588" s="70"/>
      <c r="T588" s="70"/>
      <c r="U588" s="8"/>
      <c r="V588" s="70"/>
      <c r="W588" s="70"/>
      <c r="X588" s="70"/>
      <c r="Y588" s="200"/>
      <c r="Z588" s="195"/>
      <c r="AA588" s="195"/>
      <c r="AB588" s="195"/>
      <c r="AC588" s="8"/>
      <c r="AD588" s="70"/>
      <c r="AE588" s="70"/>
      <c r="AF588" s="70"/>
      <c r="AG588" s="201"/>
      <c r="AH588" s="202"/>
      <c r="AI588" s="201"/>
      <c r="AJ588" s="201"/>
      <c r="AK588" s="70"/>
      <c r="AL588" s="70"/>
      <c r="AM588" s="70"/>
      <c r="AN588" s="70"/>
      <c r="AO588" s="70"/>
      <c r="AP588" s="70"/>
      <c r="AQ588" s="70"/>
      <c r="AR588" s="70"/>
      <c r="AS588" s="70"/>
      <c r="AT588" s="70"/>
      <c r="AU588" s="70"/>
      <c r="AV588" s="70"/>
      <c r="AW588" s="70"/>
      <c r="AX588" s="70"/>
    </row>
    <row r="589">
      <c r="A589" s="8"/>
      <c r="B589" s="70"/>
      <c r="C589" s="70"/>
      <c r="D589" s="70"/>
      <c r="E589" s="8"/>
      <c r="F589" s="70"/>
      <c r="G589" s="70"/>
      <c r="H589" s="70"/>
      <c r="I589" s="8"/>
      <c r="J589" s="70"/>
      <c r="K589" s="70"/>
      <c r="L589" s="70"/>
      <c r="M589" s="8"/>
      <c r="N589" s="70"/>
      <c r="O589" s="70"/>
      <c r="P589" s="70"/>
      <c r="Q589" s="8"/>
      <c r="R589" s="70"/>
      <c r="S589" s="70"/>
      <c r="T589" s="70"/>
      <c r="U589" s="8"/>
      <c r="V589" s="70"/>
      <c r="W589" s="70"/>
      <c r="X589" s="70"/>
      <c r="Y589" s="200"/>
      <c r="Z589" s="195"/>
      <c r="AA589" s="195"/>
      <c r="AB589" s="195"/>
      <c r="AC589" s="8"/>
      <c r="AD589" s="70"/>
      <c r="AE589" s="70"/>
      <c r="AF589" s="70"/>
      <c r="AG589" s="201"/>
      <c r="AH589" s="202"/>
      <c r="AI589" s="201"/>
      <c r="AJ589" s="201"/>
      <c r="AK589" s="70"/>
      <c r="AL589" s="70"/>
      <c r="AM589" s="70"/>
      <c r="AN589" s="70"/>
      <c r="AO589" s="70"/>
      <c r="AP589" s="70"/>
      <c r="AQ589" s="70"/>
      <c r="AR589" s="70"/>
      <c r="AS589" s="70"/>
      <c r="AT589" s="70"/>
      <c r="AU589" s="70"/>
      <c r="AV589" s="70"/>
      <c r="AW589" s="70"/>
      <c r="AX589" s="70"/>
    </row>
    <row r="590">
      <c r="A590" s="8"/>
      <c r="B590" s="70"/>
      <c r="C590" s="70"/>
      <c r="D590" s="70"/>
      <c r="E590" s="8"/>
      <c r="F590" s="70"/>
      <c r="G590" s="70"/>
      <c r="H590" s="70"/>
      <c r="I590" s="8"/>
      <c r="J590" s="70"/>
      <c r="K590" s="70"/>
      <c r="L590" s="70"/>
      <c r="M590" s="8"/>
      <c r="N590" s="70"/>
      <c r="O590" s="70"/>
      <c r="P590" s="70"/>
      <c r="Q590" s="8"/>
      <c r="R590" s="70"/>
      <c r="S590" s="70"/>
      <c r="T590" s="70"/>
      <c r="U590" s="8"/>
      <c r="V590" s="70"/>
      <c r="W590" s="70"/>
      <c r="X590" s="70"/>
      <c r="Y590" s="200"/>
      <c r="Z590" s="195"/>
      <c r="AA590" s="195"/>
      <c r="AB590" s="195"/>
      <c r="AC590" s="8"/>
      <c r="AD590" s="70"/>
      <c r="AE590" s="70"/>
      <c r="AF590" s="70"/>
      <c r="AG590" s="201"/>
      <c r="AH590" s="202"/>
      <c r="AI590" s="201"/>
      <c r="AJ590" s="201"/>
      <c r="AK590" s="70"/>
      <c r="AL590" s="70"/>
      <c r="AM590" s="70"/>
      <c r="AN590" s="70"/>
      <c r="AO590" s="70"/>
      <c r="AP590" s="70"/>
      <c r="AQ590" s="70"/>
      <c r="AR590" s="70"/>
      <c r="AS590" s="70"/>
      <c r="AT590" s="70"/>
      <c r="AU590" s="70"/>
      <c r="AV590" s="70"/>
      <c r="AW590" s="70"/>
      <c r="AX590" s="70"/>
    </row>
    <row r="591">
      <c r="A591" s="8"/>
      <c r="B591" s="70"/>
      <c r="C591" s="70"/>
      <c r="D591" s="70"/>
      <c r="E591" s="8"/>
      <c r="F591" s="70"/>
      <c r="G591" s="70"/>
      <c r="H591" s="70"/>
      <c r="I591" s="8"/>
      <c r="J591" s="70"/>
      <c r="K591" s="70"/>
      <c r="L591" s="70"/>
      <c r="M591" s="8"/>
      <c r="N591" s="70"/>
      <c r="O591" s="70"/>
      <c r="P591" s="70"/>
      <c r="Q591" s="8"/>
      <c r="R591" s="70"/>
      <c r="S591" s="70"/>
      <c r="T591" s="70"/>
      <c r="U591" s="8"/>
      <c r="V591" s="70"/>
      <c r="W591" s="70"/>
      <c r="X591" s="70"/>
      <c r="Y591" s="200"/>
      <c r="Z591" s="195"/>
      <c r="AA591" s="195"/>
      <c r="AB591" s="195"/>
      <c r="AC591" s="8"/>
      <c r="AD591" s="70"/>
      <c r="AE591" s="70"/>
      <c r="AF591" s="70"/>
      <c r="AG591" s="201"/>
      <c r="AH591" s="202"/>
      <c r="AI591" s="201"/>
      <c r="AJ591" s="201"/>
      <c r="AK591" s="70"/>
      <c r="AL591" s="70"/>
      <c r="AM591" s="70"/>
      <c r="AN591" s="70"/>
      <c r="AO591" s="70"/>
      <c r="AP591" s="70"/>
      <c r="AQ591" s="70"/>
      <c r="AR591" s="70"/>
      <c r="AS591" s="70"/>
      <c r="AT591" s="70"/>
      <c r="AU591" s="70"/>
      <c r="AV591" s="70"/>
      <c r="AW591" s="70"/>
      <c r="AX591" s="70"/>
    </row>
    <row r="592">
      <c r="A592" s="8"/>
      <c r="B592" s="70"/>
      <c r="C592" s="70"/>
      <c r="D592" s="70"/>
      <c r="E592" s="8"/>
      <c r="F592" s="70"/>
      <c r="G592" s="70"/>
      <c r="H592" s="70"/>
      <c r="I592" s="8"/>
      <c r="J592" s="70"/>
      <c r="K592" s="70"/>
      <c r="L592" s="70"/>
      <c r="M592" s="8"/>
      <c r="N592" s="70"/>
      <c r="O592" s="70"/>
      <c r="P592" s="70"/>
      <c r="Q592" s="8"/>
      <c r="R592" s="70"/>
      <c r="S592" s="70"/>
      <c r="T592" s="70"/>
      <c r="U592" s="8"/>
      <c r="V592" s="70"/>
      <c r="W592" s="70"/>
      <c r="X592" s="70"/>
      <c r="Y592" s="200"/>
      <c r="Z592" s="195"/>
      <c r="AA592" s="195"/>
      <c r="AB592" s="195"/>
      <c r="AC592" s="8"/>
      <c r="AD592" s="70"/>
      <c r="AE592" s="70"/>
      <c r="AF592" s="70"/>
      <c r="AG592" s="201"/>
      <c r="AH592" s="202"/>
      <c r="AI592" s="201"/>
      <c r="AJ592" s="201"/>
      <c r="AK592" s="70"/>
      <c r="AL592" s="70"/>
      <c r="AM592" s="70"/>
      <c r="AN592" s="70"/>
      <c r="AO592" s="70"/>
      <c r="AP592" s="70"/>
      <c r="AQ592" s="70"/>
      <c r="AR592" s="70"/>
      <c r="AS592" s="70"/>
      <c r="AT592" s="70"/>
      <c r="AU592" s="70"/>
      <c r="AV592" s="70"/>
      <c r="AW592" s="70"/>
      <c r="AX592" s="70"/>
    </row>
    <row r="593">
      <c r="A593" s="8"/>
      <c r="B593" s="70"/>
      <c r="C593" s="70"/>
      <c r="D593" s="70"/>
      <c r="E593" s="8"/>
      <c r="F593" s="70"/>
      <c r="G593" s="70"/>
      <c r="H593" s="70"/>
      <c r="I593" s="8"/>
      <c r="J593" s="70"/>
      <c r="K593" s="70"/>
      <c r="L593" s="70"/>
      <c r="M593" s="8"/>
      <c r="N593" s="70"/>
      <c r="O593" s="70"/>
      <c r="P593" s="70"/>
      <c r="Q593" s="8"/>
      <c r="R593" s="70"/>
      <c r="S593" s="70"/>
      <c r="T593" s="70"/>
      <c r="U593" s="8"/>
      <c r="V593" s="70"/>
      <c r="W593" s="70"/>
      <c r="X593" s="70"/>
      <c r="Y593" s="200"/>
      <c r="Z593" s="195"/>
      <c r="AA593" s="195"/>
      <c r="AB593" s="195"/>
      <c r="AC593" s="8"/>
      <c r="AD593" s="70"/>
      <c r="AE593" s="70"/>
      <c r="AF593" s="70"/>
      <c r="AG593" s="201"/>
      <c r="AH593" s="202"/>
      <c r="AI593" s="201"/>
      <c r="AJ593" s="201"/>
      <c r="AK593" s="70"/>
      <c r="AL593" s="70"/>
      <c r="AM593" s="70"/>
      <c r="AN593" s="70"/>
      <c r="AO593" s="70"/>
      <c r="AP593" s="70"/>
      <c r="AQ593" s="70"/>
      <c r="AR593" s="70"/>
      <c r="AS593" s="70"/>
      <c r="AT593" s="70"/>
      <c r="AU593" s="70"/>
      <c r="AV593" s="70"/>
      <c r="AW593" s="70"/>
      <c r="AX593" s="70"/>
    </row>
    <row r="594">
      <c r="A594" s="8"/>
      <c r="B594" s="70"/>
      <c r="C594" s="70"/>
      <c r="D594" s="70"/>
      <c r="E594" s="8"/>
      <c r="F594" s="70"/>
      <c r="G594" s="70"/>
      <c r="H594" s="70"/>
      <c r="I594" s="8"/>
      <c r="J594" s="70"/>
      <c r="K594" s="70"/>
      <c r="L594" s="70"/>
      <c r="M594" s="8"/>
      <c r="N594" s="70"/>
      <c r="O594" s="70"/>
      <c r="P594" s="70"/>
      <c r="Q594" s="8"/>
      <c r="R594" s="70"/>
      <c r="S594" s="70"/>
      <c r="T594" s="70"/>
      <c r="U594" s="8"/>
      <c r="V594" s="70"/>
      <c r="W594" s="70"/>
      <c r="X594" s="70"/>
      <c r="Y594" s="200"/>
      <c r="Z594" s="195"/>
      <c r="AA594" s="195"/>
      <c r="AB594" s="195"/>
      <c r="AC594" s="8"/>
      <c r="AD594" s="70"/>
      <c r="AE594" s="70"/>
      <c r="AF594" s="70"/>
      <c r="AG594" s="201"/>
      <c r="AH594" s="202"/>
      <c r="AI594" s="201"/>
      <c r="AJ594" s="201"/>
      <c r="AK594" s="70"/>
      <c r="AL594" s="70"/>
      <c r="AM594" s="70"/>
      <c r="AN594" s="70"/>
      <c r="AO594" s="70"/>
      <c r="AP594" s="70"/>
      <c r="AQ594" s="70"/>
      <c r="AR594" s="70"/>
      <c r="AS594" s="70"/>
      <c r="AT594" s="70"/>
      <c r="AU594" s="70"/>
      <c r="AV594" s="70"/>
      <c r="AW594" s="70"/>
      <c r="AX594" s="70"/>
    </row>
    <row r="595">
      <c r="A595" s="8"/>
      <c r="B595" s="70"/>
      <c r="C595" s="70"/>
      <c r="D595" s="70"/>
      <c r="E595" s="8"/>
      <c r="F595" s="70"/>
      <c r="G595" s="70"/>
      <c r="H595" s="70"/>
      <c r="I595" s="8"/>
      <c r="J595" s="70"/>
      <c r="K595" s="70"/>
      <c r="L595" s="70"/>
      <c r="M595" s="8"/>
      <c r="N595" s="70"/>
      <c r="O595" s="70"/>
      <c r="P595" s="70"/>
      <c r="Q595" s="8"/>
      <c r="R595" s="70"/>
      <c r="S595" s="70"/>
      <c r="T595" s="70"/>
      <c r="U595" s="8"/>
      <c r="V595" s="70"/>
      <c r="W595" s="70"/>
      <c r="X595" s="70"/>
      <c r="Y595" s="200"/>
      <c r="Z595" s="195"/>
      <c r="AA595" s="195"/>
      <c r="AB595" s="195"/>
      <c r="AC595" s="8"/>
      <c r="AD595" s="70"/>
      <c r="AE595" s="70"/>
      <c r="AF595" s="70"/>
      <c r="AG595" s="201"/>
      <c r="AH595" s="202"/>
      <c r="AI595" s="201"/>
      <c r="AJ595" s="201"/>
      <c r="AK595" s="70"/>
      <c r="AL595" s="70"/>
      <c r="AM595" s="70"/>
      <c r="AN595" s="70"/>
      <c r="AO595" s="70"/>
      <c r="AP595" s="70"/>
      <c r="AQ595" s="70"/>
      <c r="AR595" s="70"/>
      <c r="AS595" s="70"/>
      <c r="AT595" s="70"/>
      <c r="AU595" s="70"/>
      <c r="AV595" s="70"/>
      <c r="AW595" s="70"/>
      <c r="AX595" s="70"/>
    </row>
    <row r="596">
      <c r="A596" s="8"/>
      <c r="B596" s="70"/>
      <c r="C596" s="70"/>
      <c r="D596" s="70"/>
      <c r="E596" s="8"/>
      <c r="F596" s="70"/>
      <c r="G596" s="70"/>
      <c r="H596" s="70"/>
      <c r="I596" s="8"/>
      <c r="J596" s="70"/>
      <c r="K596" s="70"/>
      <c r="L596" s="70"/>
      <c r="M596" s="8"/>
      <c r="N596" s="70"/>
      <c r="O596" s="70"/>
      <c r="P596" s="70"/>
      <c r="Q596" s="8"/>
      <c r="R596" s="70"/>
      <c r="S596" s="70"/>
      <c r="T596" s="70"/>
      <c r="U596" s="8"/>
      <c r="V596" s="70"/>
      <c r="W596" s="70"/>
      <c r="X596" s="70"/>
      <c r="Y596" s="200"/>
      <c r="Z596" s="195"/>
      <c r="AA596" s="195"/>
      <c r="AB596" s="195"/>
      <c r="AC596" s="8"/>
      <c r="AD596" s="70"/>
      <c r="AE596" s="70"/>
      <c r="AF596" s="70"/>
      <c r="AG596" s="201"/>
      <c r="AH596" s="202"/>
      <c r="AI596" s="201"/>
      <c r="AJ596" s="201"/>
      <c r="AK596" s="70"/>
      <c r="AL596" s="70"/>
      <c r="AM596" s="70"/>
      <c r="AN596" s="70"/>
      <c r="AO596" s="70"/>
      <c r="AP596" s="70"/>
      <c r="AQ596" s="70"/>
      <c r="AR596" s="70"/>
      <c r="AS596" s="70"/>
      <c r="AT596" s="70"/>
      <c r="AU596" s="70"/>
      <c r="AV596" s="70"/>
      <c r="AW596" s="70"/>
      <c r="AX596" s="70"/>
    </row>
    <row r="597">
      <c r="A597" s="8"/>
      <c r="B597" s="70"/>
      <c r="C597" s="70"/>
      <c r="D597" s="70"/>
      <c r="E597" s="8"/>
      <c r="F597" s="70"/>
      <c r="G597" s="70"/>
      <c r="H597" s="70"/>
      <c r="I597" s="8"/>
      <c r="J597" s="70"/>
      <c r="K597" s="70"/>
      <c r="L597" s="70"/>
      <c r="M597" s="8"/>
      <c r="N597" s="70"/>
      <c r="O597" s="70"/>
      <c r="P597" s="70"/>
      <c r="Q597" s="8"/>
      <c r="R597" s="70"/>
      <c r="S597" s="70"/>
      <c r="T597" s="70"/>
      <c r="U597" s="8"/>
      <c r="V597" s="70"/>
      <c r="W597" s="70"/>
      <c r="X597" s="70"/>
      <c r="Y597" s="200"/>
      <c r="Z597" s="195"/>
      <c r="AA597" s="195"/>
      <c r="AB597" s="195"/>
      <c r="AC597" s="8"/>
      <c r="AD597" s="70"/>
      <c r="AE597" s="70"/>
      <c r="AF597" s="70"/>
      <c r="AG597" s="201"/>
      <c r="AH597" s="202"/>
      <c r="AI597" s="201"/>
      <c r="AJ597" s="201"/>
      <c r="AK597" s="70"/>
      <c r="AL597" s="70"/>
      <c r="AM597" s="70"/>
      <c r="AN597" s="70"/>
      <c r="AO597" s="70"/>
      <c r="AP597" s="70"/>
      <c r="AQ597" s="70"/>
      <c r="AR597" s="70"/>
      <c r="AS597" s="70"/>
      <c r="AT597" s="70"/>
      <c r="AU597" s="70"/>
      <c r="AV597" s="70"/>
      <c r="AW597" s="70"/>
      <c r="AX597" s="70"/>
    </row>
    <row r="598">
      <c r="A598" s="8"/>
      <c r="B598" s="70"/>
      <c r="C598" s="70"/>
      <c r="D598" s="70"/>
      <c r="E598" s="8"/>
      <c r="F598" s="70"/>
      <c r="G598" s="70"/>
      <c r="H598" s="70"/>
      <c r="I598" s="8"/>
      <c r="J598" s="70"/>
      <c r="K598" s="70"/>
      <c r="L598" s="70"/>
      <c r="M598" s="8"/>
      <c r="N598" s="70"/>
      <c r="O598" s="70"/>
      <c r="P598" s="70"/>
      <c r="Q598" s="8"/>
      <c r="R598" s="70"/>
      <c r="S598" s="70"/>
      <c r="T598" s="70"/>
      <c r="U598" s="8"/>
      <c r="V598" s="70"/>
      <c r="W598" s="70"/>
      <c r="X598" s="70"/>
      <c r="Y598" s="200"/>
      <c r="Z598" s="195"/>
      <c r="AA598" s="195"/>
      <c r="AB598" s="195"/>
      <c r="AC598" s="8"/>
      <c r="AD598" s="70"/>
      <c r="AE598" s="70"/>
      <c r="AF598" s="70"/>
      <c r="AG598" s="201"/>
      <c r="AH598" s="202"/>
      <c r="AI598" s="201"/>
      <c r="AJ598" s="201"/>
      <c r="AK598" s="70"/>
      <c r="AL598" s="70"/>
      <c r="AM598" s="70"/>
      <c r="AN598" s="70"/>
      <c r="AO598" s="70"/>
      <c r="AP598" s="70"/>
      <c r="AQ598" s="70"/>
      <c r="AR598" s="70"/>
      <c r="AS598" s="70"/>
      <c r="AT598" s="70"/>
      <c r="AU598" s="70"/>
      <c r="AV598" s="70"/>
      <c r="AW598" s="70"/>
      <c r="AX598" s="70"/>
    </row>
    <row r="599">
      <c r="A599" s="8"/>
      <c r="B599" s="70"/>
      <c r="C599" s="70"/>
      <c r="D599" s="70"/>
      <c r="E599" s="8"/>
      <c r="F599" s="70"/>
      <c r="G599" s="70"/>
      <c r="H599" s="70"/>
      <c r="I599" s="8"/>
      <c r="J599" s="70"/>
      <c r="K599" s="70"/>
      <c r="L599" s="70"/>
      <c r="M599" s="8"/>
      <c r="N599" s="70"/>
      <c r="O599" s="70"/>
      <c r="P599" s="70"/>
      <c r="Q599" s="8"/>
      <c r="R599" s="70"/>
      <c r="S599" s="70"/>
      <c r="T599" s="70"/>
      <c r="U599" s="8"/>
      <c r="V599" s="70"/>
      <c r="W599" s="70"/>
      <c r="X599" s="70"/>
      <c r="Y599" s="200"/>
      <c r="Z599" s="195"/>
      <c r="AA599" s="195"/>
      <c r="AB599" s="195"/>
      <c r="AC599" s="8"/>
      <c r="AD599" s="70"/>
      <c r="AE599" s="70"/>
      <c r="AF599" s="70"/>
      <c r="AG599" s="201"/>
      <c r="AH599" s="202"/>
      <c r="AI599" s="201"/>
      <c r="AJ599" s="201"/>
      <c r="AK599" s="70"/>
      <c r="AL599" s="70"/>
      <c r="AM599" s="70"/>
      <c r="AN599" s="70"/>
      <c r="AO599" s="70"/>
      <c r="AP599" s="70"/>
      <c r="AQ599" s="70"/>
      <c r="AR599" s="70"/>
      <c r="AS599" s="70"/>
      <c r="AT599" s="70"/>
      <c r="AU599" s="70"/>
      <c r="AV599" s="70"/>
      <c r="AW599" s="70"/>
      <c r="AX599" s="70"/>
    </row>
    <row r="600">
      <c r="A600" s="8"/>
      <c r="B600" s="70"/>
      <c r="C600" s="70"/>
      <c r="D600" s="70"/>
      <c r="E600" s="8"/>
      <c r="F600" s="70"/>
      <c r="G600" s="70"/>
      <c r="H600" s="70"/>
      <c r="I600" s="8"/>
      <c r="J600" s="70"/>
      <c r="K600" s="70"/>
      <c r="L600" s="70"/>
      <c r="M600" s="8"/>
      <c r="N600" s="70"/>
      <c r="O600" s="70"/>
      <c r="P600" s="70"/>
      <c r="Q600" s="8"/>
      <c r="R600" s="70"/>
      <c r="S600" s="70"/>
      <c r="T600" s="70"/>
      <c r="U600" s="8"/>
      <c r="V600" s="70"/>
      <c r="W600" s="70"/>
      <c r="X600" s="70"/>
      <c r="Y600" s="200"/>
      <c r="Z600" s="195"/>
      <c r="AA600" s="195"/>
      <c r="AB600" s="195"/>
      <c r="AC600" s="8"/>
      <c r="AD600" s="70"/>
      <c r="AE600" s="70"/>
      <c r="AF600" s="70"/>
      <c r="AG600" s="201"/>
      <c r="AH600" s="202"/>
      <c r="AI600" s="201"/>
      <c r="AJ600" s="201"/>
      <c r="AK600" s="70"/>
      <c r="AL600" s="70"/>
      <c r="AM600" s="70"/>
      <c r="AN600" s="70"/>
      <c r="AO600" s="70"/>
      <c r="AP600" s="70"/>
      <c r="AQ600" s="70"/>
      <c r="AR600" s="70"/>
      <c r="AS600" s="70"/>
      <c r="AT600" s="70"/>
      <c r="AU600" s="70"/>
      <c r="AV600" s="70"/>
      <c r="AW600" s="70"/>
      <c r="AX600" s="70"/>
    </row>
    <row r="601">
      <c r="A601" s="8"/>
      <c r="B601" s="70"/>
      <c r="C601" s="70"/>
      <c r="D601" s="70"/>
      <c r="E601" s="8"/>
      <c r="F601" s="70"/>
      <c r="G601" s="70"/>
      <c r="H601" s="70"/>
      <c r="I601" s="8"/>
      <c r="J601" s="70"/>
      <c r="K601" s="70"/>
      <c r="L601" s="70"/>
      <c r="M601" s="8"/>
      <c r="N601" s="70"/>
      <c r="O601" s="70"/>
      <c r="P601" s="70"/>
      <c r="Q601" s="8"/>
      <c r="R601" s="70"/>
      <c r="S601" s="70"/>
      <c r="T601" s="70"/>
      <c r="U601" s="8"/>
      <c r="V601" s="70"/>
      <c r="W601" s="70"/>
      <c r="X601" s="70"/>
      <c r="Y601" s="200"/>
      <c r="Z601" s="195"/>
      <c r="AA601" s="195"/>
      <c r="AB601" s="195"/>
      <c r="AC601" s="8"/>
      <c r="AD601" s="70"/>
      <c r="AE601" s="70"/>
      <c r="AF601" s="70"/>
      <c r="AG601" s="201"/>
      <c r="AH601" s="202"/>
      <c r="AI601" s="201"/>
      <c r="AJ601" s="201"/>
      <c r="AK601" s="70"/>
      <c r="AL601" s="70"/>
      <c r="AM601" s="70"/>
      <c r="AN601" s="70"/>
      <c r="AO601" s="70"/>
      <c r="AP601" s="70"/>
      <c r="AQ601" s="70"/>
      <c r="AR601" s="70"/>
      <c r="AS601" s="70"/>
      <c r="AT601" s="70"/>
      <c r="AU601" s="70"/>
      <c r="AV601" s="70"/>
      <c r="AW601" s="70"/>
      <c r="AX601" s="70"/>
    </row>
    <row r="602">
      <c r="A602" s="8"/>
      <c r="B602" s="70"/>
      <c r="C602" s="70"/>
      <c r="D602" s="70"/>
      <c r="E602" s="8"/>
      <c r="F602" s="70"/>
      <c r="G602" s="70"/>
      <c r="H602" s="70"/>
      <c r="I602" s="8"/>
      <c r="J602" s="70"/>
      <c r="K602" s="70"/>
      <c r="L602" s="70"/>
      <c r="M602" s="8"/>
      <c r="N602" s="70"/>
      <c r="O602" s="70"/>
      <c r="P602" s="70"/>
      <c r="Q602" s="8"/>
      <c r="R602" s="70"/>
      <c r="S602" s="70"/>
      <c r="T602" s="70"/>
      <c r="U602" s="8"/>
      <c r="V602" s="70"/>
      <c r="W602" s="70"/>
      <c r="X602" s="70"/>
      <c r="Y602" s="200"/>
      <c r="Z602" s="195"/>
      <c r="AA602" s="195"/>
      <c r="AB602" s="195"/>
      <c r="AC602" s="8"/>
      <c r="AD602" s="70"/>
      <c r="AE602" s="70"/>
      <c r="AF602" s="70"/>
      <c r="AG602" s="201"/>
      <c r="AH602" s="202"/>
      <c r="AI602" s="201"/>
      <c r="AJ602" s="201"/>
      <c r="AK602" s="70"/>
      <c r="AL602" s="70"/>
      <c r="AM602" s="70"/>
      <c r="AN602" s="70"/>
      <c r="AO602" s="70"/>
      <c r="AP602" s="70"/>
      <c r="AQ602" s="70"/>
      <c r="AR602" s="70"/>
      <c r="AS602" s="70"/>
      <c r="AT602" s="70"/>
      <c r="AU602" s="70"/>
      <c r="AV602" s="70"/>
      <c r="AW602" s="70"/>
      <c r="AX602" s="70"/>
    </row>
    <row r="603">
      <c r="A603" s="8"/>
      <c r="B603" s="70"/>
      <c r="C603" s="70"/>
      <c r="D603" s="70"/>
      <c r="E603" s="8"/>
      <c r="F603" s="70"/>
      <c r="G603" s="70"/>
      <c r="H603" s="70"/>
      <c r="I603" s="8"/>
      <c r="J603" s="70"/>
      <c r="K603" s="70"/>
      <c r="L603" s="70"/>
      <c r="M603" s="8"/>
      <c r="N603" s="70"/>
      <c r="O603" s="70"/>
      <c r="P603" s="70"/>
      <c r="Q603" s="8"/>
      <c r="R603" s="70"/>
      <c r="S603" s="70"/>
      <c r="T603" s="70"/>
      <c r="U603" s="8"/>
      <c r="V603" s="70"/>
      <c r="W603" s="70"/>
      <c r="X603" s="70"/>
      <c r="Y603" s="200"/>
      <c r="Z603" s="195"/>
      <c r="AA603" s="195"/>
      <c r="AB603" s="195"/>
      <c r="AC603" s="8"/>
      <c r="AD603" s="70"/>
      <c r="AE603" s="70"/>
      <c r="AF603" s="70"/>
      <c r="AG603" s="201"/>
      <c r="AH603" s="202"/>
      <c r="AI603" s="201"/>
      <c r="AJ603" s="201"/>
      <c r="AK603" s="70"/>
      <c r="AL603" s="70"/>
      <c r="AM603" s="70"/>
      <c r="AN603" s="70"/>
      <c r="AO603" s="70"/>
      <c r="AP603" s="70"/>
      <c r="AQ603" s="70"/>
      <c r="AR603" s="70"/>
      <c r="AS603" s="70"/>
      <c r="AT603" s="70"/>
      <c r="AU603" s="70"/>
      <c r="AV603" s="70"/>
      <c r="AW603" s="70"/>
      <c r="AX603" s="70"/>
    </row>
    <row r="604">
      <c r="A604" s="8"/>
      <c r="B604" s="70"/>
      <c r="C604" s="70"/>
      <c r="D604" s="70"/>
      <c r="E604" s="8"/>
      <c r="F604" s="70"/>
      <c r="G604" s="70"/>
      <c r="H604" s="70"/>
      <c r="I604" s="8"/>
      <c r="J604" s="70"/>
      <c r="K604" s="70"/>
      <c r="L604" s="70"/>
      <c r="M604" s="8"/>
      <c r="N604" s="70"/>
      <c r="O604" s="70"/>
      <c r="P604" s="70"/>
      <c r="Q604" s="8"/>
      <c r="R604" s="70"/>
      <c r="S604" s="70"/>
      <c r="T604" s="70"/>
      <c r="U604" s="8"/>
      <c r="V604" s="70"/>
      <c r="W604" s="70"/>
      <c r="X604" s="70"/>
      <c r="Y604" s="200"/>
      <c r="Z604" s="195"/>
      <c r="AA604" s="195"/>
      <c r="AB604" s="195"/>
      <c r="AC604" s="8"/>
      <c r="AD604" s="70"/>
      <c r="AE604" s="70"/>
      <c r="AF604" s="70"/>
      <c r="AG604" s="201"/>
      <c r="AH604" s="202"/>
      <c r="AI604" s="201"/>
      <c r="AJ604" s="201"/>
      <c r="AK604" s="70"/>
      <c r="AL604" s="70"/>
      <c r="AM604" s="70"/>
      <c r="AN604" s="70"/>
      <c r="AO604" s="70"/>
      <c r="AP604" s="70"/>
      <c r="AQ604" s="70"/>
      <c r="AR604" s="70"/>
      <c r="AS604" s="70"/>
      <c r="AT604" s="70"/>
      <c r="AU604" s="70"/>
      <c r="AV604" s="70"/>
      <c r="AW604" s="70"/>
      <c r="AX604" s="70"/>
    </row>
    <row r="605">
      <c r="A605" s="8"/>
      <c r="B605" s="70"/>
      <c r="C605" s="70"/>
      <c r="D605" s="70"/>
      <c r="E605" s="8"/>
      <c r="F605" s="70"/>
      <c r="G605" s="70"/>
      <c r="H605" s="70"/>
      <c r="I605" s="8"/>
      <c r="J605" s="70"/>
      <c r="K605" s="70"/>
      <c r="L605" s="70"/>
      <c r="M605" s="8"/>
      <c r="N605" s="70"/>
      <c r="O605" s="70"/>
      <c r="P605" s="70"/>
      <c r="Q605" s="8"/>
      <c r="R605" s="70"/>
      <c r="S605" s="70"/>
      <c r="T605" s="70"/>
      <c r="U605" s="8"/>
      <c r="V605" s="70"/>
      <c r="W605" s="70"/>
      <c r="X605" s="70"/>
      <c r="Y605" s="200"/>
      <c r="Z605" s="195"/>
      <c r="AA605" s="195"/>
      <c r="AB605" s="195"/>
      <c r="AC605" s="8"/>
      <c r="AD605" s="70"/>
      <c r="AE605" s="70"/>
      <c r="AF605" s="70"/>
      <c r="AG605" s="201"/>
      <c r="AH605" s="202"/>
      <c r="AI605" s="201"/>
      <c r="AJ605" s="201"/>
      <c r="AK605" s="70"/>
      <c r="AL605" s="70"/>
      <c r="AM605" s="70"/>
      <c r="AN605" s="70"/>
      <c r="AO605" s="70"/>
      <c r="AP605" s="70"/>
      <c r="AQ605" s="70"/>
      <c r="AR605" s="70"/>
      <c r="AS605" s="70"/>
      <c r="AT605" s="70"/>
      <c r="AU605" s="70"/>
      <c r="AV605" s="70"/>
      <c r="AW605" s="70"/>
      <c r="AX605" s="70"/>
    </row>
    <row r="606">
      <c r="A606" s="8"/>
      <c r="B606" s="70"/>
      <c r="C606" s="70"/>
      <c r="D606" s="70"/>
      <c r="E606" s="8"/>
      <c r="F606" s="70"/>
      <c r="G606" s="70"/>
      <c r="H606" s="70"/>
      <c r="I606" s="8"/>
      <c r="J606" s="70"/>
      <c r="K606" s="70"/>
      <c r="L606" s="70"/>
      <c r="M606" s="8"/>
      <c r="N606" s="70"/>
      <c r="O606" s="70"/>
      <c r="P606" s="70"/>
      <c r="Q606" s="8"/>
      <c r="R606" s="70"/>
      <c r="S606" s="70"/>
      <c r="T606" s="70"/>
      <c r="U606" s="8"/>
      <c r="V606" s="70"/>
      <c r="W606" s="70"/>
      <c r="X606" s="70"/>
      <c r="Y606" s="200"/>
      <c r="Z606" s="195"/>
      <c r="AA606" s="195"/>
      <c r="AB606" s="195"/>
      <c r="AC606" s="8"/>
      <c r="AD606" s="70"/>
      <c r="AE606" s="70"/>
      <c r="AF606" s="70"/>
      <c r="AG606" s="201"/>
      <c r="AH606" s="202"/>
      <c r="AI606" s="201"/>
      <c r="AJ606" s="201"/>
      <c r="AK606" s="70"/>
      <c r="AL606" s="70"/>
      <c r="AM606" s="70"/>
      <c r="AN606" s="70"/>
      <c r="AO606" s="70"/>
      <c r="AP606" s="70"/>
      <c r="AQ606" s="70"/>
      <c r="AR606" s="70"/>
      <c r="AS606" s="70"/>
      <c r="AT606" s="70"/>
      <c r="AU606" s="70"/>
      <c r="AV606" s="70"/>
      <c r="AW606" s="70"/>
      <c r="AX606" s="70"/>
    </row>
    <row r="607">
      <c r="A607" s="8"/>
      <c r="B607" s="70"/>
      <c r="C607" s="70"/>
      <c r="D607" s="70"/>
      <c r="E607" s="8"/>
      <c r="F607" s="70"/>
      <c r="G607" s="70"/>
      <c r="H607" s="70"/>
      <c r="I607" s="8"/>
      <c r="J607" s="70"/>
      <c r="K607" s="70"/>
      <c r="L607" s="70"/>
      <c r="M607" s="8"/>
      <c r="N607" s="70"/>
      <c r="O607" s="70"/>
      <c r="P607" s="70"/>
      <c r="Q607" s="8"/>
      <c r="R607" s="70"/>
      <c r="S607" s="70"/>
      <c r="T607" s="70"/>
      <c r="U607" s="8"/>
      <c r="V607" s="70"/>
      <c r="W607" s="70"/>
      <c r="X607" s="70"/>
      <c r="Y607" s="200"/>
      <c r="Z607" s="195"/>
      <c r="AA607" s="195"/>
      <c r="AB607" s="195"/>
      <c r="AC607" s="8"/>
      <c r="AD607" s="70"/>
      <c r="AE607" s="70"/>
      <c r="AF607" s="70"/>
      <c r="AG607" s="201"/>
      <c r="AH607" s="202"/>
      <c r="AI607" s="201"/>
      <c r="AJ607" s="201"/>
      <c r="AK607" s="70"/>
      <c r="AL607" s="70"/>
      <c r="AM607" s="70"/>
      <c r="AN607" s="70"/>
      <c r="AO607" s="70"/>
      <c r="AP607" s="70"/>
      <c r="AQ607" s="70"/>
      <c r="AR607" s="70"/>
      <c r="AS607" s="70"/>
      <c r="AT607" s="70"/>
      <c r="AU607" s="70"/>
      <c r="AV607" s="70"/>
      <c r="AW607" s="70"/>
      <c r="AX607" s="70"/>
    </row>
    <row r="608">
      <c r="A608" s="8"/>
      <c r="B608" s="70"/>
      <c r="C608" s="70"/>
      <c r="D608" s="70"/>
      <c r="E608" s="8"/>
      <c r="F608" s="70"/>
      <c r="G608" s="70"/>
      <c r="H608" s="70"/>
      <c r="I608" s="8"/>
      <c r="J608" s="70"/>
      <c r="K608" s="70"/>
      <c r="L608" s="70"/>
      <c r="M608" s="8"/>
      <c r="N608" s="70"/>
      <c r="O608" s="70"/>
      <c r="P608" s="70"/>
      <c r="Q608" s="8"/>
      <c r="R608" s="70"/>
      <c r="S608" s="70"/>
      <c r="T608" s="70"/>
      <c r="U608" s="8"/>
      <c r="V608" s="70"/>
      <c r="W608" s="70"/>
      <c r="X608" s="70"/>
      <c r="Y608" s="200"/>
      <c r="Z608" s="195"/>
      <c r="AA608" s="195"/>
      <c r="AB608" s="195"/>
      <c r="AC608" s="8"/>
      <c r="AD608" s="70"/>
      <c r="AE608" s="70"/>
      <c r="AF608" s="70"/>
      <c r="AG608" s="201"/>
      <c r="AH608" s="202"/>
      <c r="AI608" s="201"/>
      <c r="AJ608" s="201"/>
      <c r="AK608" s="70"/>
      <c r="AL608" s="70"/>
      <c r="AM608" s="70"/>
      <c r="AN608" s="70"/>
      <c r="AO608" s="70"/>
      <c r="AP608" s="70"/>
      <c r="AQ608" s="70"/>
      <c r="AR608" s="70"/>
      <c r="AS608" s="70"/>
      <c r="AT608" s="70"/>
      <c r="AU608" s="70"/>
      <c r="AV608" s="70"/>
      <c r="AW608" s="70"/>
      <c r="AX608" s="70"/>
    </row>
    <row r="609">
      <c r="A609" s="8"/>
      <c r="B609" s="70"/>
      <c r="C609" s="70"/>
      <c r="D609" s="70"/>
      <c r="E609" s="8"/>
      <c r="F609" s="70"/>
      <c r="G609" s="70"/>
      <c r="H609" s="70"/>
      <c r="I609" s="8"/>
      <c r="J609" s="70"/>
      <c r="K609" s="70"/>
      <c r="L609" s="70"/>
      <c r="M609" s="8"/>
      <c r="N609" s="70"/>
      <c r="O609" s="70"/>
      <c r="P609" s="70"/>
      <c r="Q609" s="8"/>
      <c r="R609" s="70"/>
      <c r="S609" s="70"/>
      <c r="T609" s="70"/>
      <c r="U609" s="8"/>
      <c r="V609" s="70"/>
      <c r="W609" s="70"/>
      <c r="X609" s="70"/>
      <c r="Y609" s="200"/>
      <c r="Z609" s="195"/>
      <c r="AA609" s="195"/>
      <c r="AB609" s="195"/>
      <c r="AC609" s="8"/>
      <c r="AD609" s="70"/>
      <c r="AE609" s="70"/>
      <c r="AF609" s="70"/>
      <c r="AG609" s="201"/>
      <c r="AH609" s="202"/>
      <c r="AI609" s="201"/>
      <c r="AJ609" s="201"/>
      <c r="AK609" s="70"/>
      <c r="AL609" s="70"/>
      <c r="AM609" s="70"/>
      <c r="AN609" s="70"/>
      <c r="AO609" s="70"/>
      <c r="AP609" s="70"/>
      <c r="AQ609" s="70"/>
      <c r="AR609" s="70"/>
      <c r="AS609" s="70"/>
      <c r="AT609" s="70"/>
      <c r="AU609" s="70"/>
      <c r="AV609" s="70"/>
      <c r="AW609" s="70"/>
      <c r="AX609" s="70"/>
    </row>
    <row r="610">
      <c r="A610" s="8"/>
      <c r="B610" s="70"/>
      <c r="C610" s="70"/>
      <c r="D610" s="70"/>
      <c r="E610" s="8"/>
      <c r="F610" s="70"/>
      <c r="G610" s="70"/>
      <c r="H610" s="70"/>
      <c r="I610" s="8"/>
      <c r="J610" s="70"/>
      <c r="K610" s="70"/>
      <c r="L610" s="70"/>
      <c r="M610" s="8"/>
      <c r="N610" s="70"/>
      <c r="O610" s="70"/>
      <c r="P610" s="70"/>
      <c r="Q610" s="8"/>
      <c r="R610" s="70"/>
      <c r="S610" s="70"/>
      <c r="T610" s="70"/>
      <c r="U610" s="8"/>
      <c r="V610" s="70"/>
      <c r="W610" s="70"/>
      <c r="X610" s="70"/>
      <c r="Y610" s="200"/>
      <c r="Z610" s="195"/>
      <c r="AA610" s="195"/>
      <c r="AB610" s="195"/>
      <c r="AC610" s="8"/>
      <c r="AD610" s="70"/>
      <c r="AE610" s="70"/>
      <c r="AF610" s="70"/>
      <c r="AG610" s="201"/>
      <c r="AH610" s="202"/>
      <c r="AI610" s="201"/>
      <c r="AJ610" s="201"/>
      <c r="AK610" s="70"/>
      <c r="AL610" s="70"/>
      <c r="AM610" s="70"/>
      <c r="AN610" s="70"/>
      <c r="AO610" s="70"/>
      <c r="AP610" s="70"/>
      <c r="AQ610" s="70"/>
      <c r="AR610" s="70"/>
      <c r="AS610" s="70"/>
      <c r="AT610" s="70"/>
      <c r="AU610" s="70"/>
      <c r="AV610" s="70"/>
      <c r="AW610" s="70"/>
      <c r="AX610" s="70"/>
    </row>
    <row r="611">
      <c r="A611" s="8"/>
      <c r="B611" s="70"/>
      <c r="C611" s="70"/>
      <c r="D611" s="70"/>
      <c r="E611" s="8"/>
      <c r="F611" s="70"/>
      <c r="G611" s="70"/>
      <c r="H611" s="70"/>
      <c r="I611" s="8"/>
      <c r="J611" s="70"/>
      <c r="K611" s="70"/>
      <c r="L611" s="70"/>
      <c r="M611" s="8"/>
      <c r="N611" s="70"/>
      <c r="O611" s="70"/>
      <c r="P611" s="70"/>
      <c r="Q611" s="8"/>
      <c r="R611" s="70"/>
      <c r="S611" s="70"/>
      <c r="T611" s="70"/>
      <c r="U611" s="8"/>
      <c r="V611" s="70"/>
      <c r="W611" s="70"/>
      <c r="X611" s="70"/>
      <c r="Y611" s="200"/>
      <c r="Z611" s="195"/>
      <c r="AA611" s="195"/>
      <c r="AB611" s="195"/>
      <c r="AC611" s="8"/>
      <c r="AD611" s="70"/>
      <c r="AE611" s="70"/>
      <c r="AF611" s="70"/>
      <c r="AG611" s="201"/>
      <c r="AH611" s="202"/>
      <c r="AI611" s="201"/>
      <c r="AJ611" s="201"/>
      <c r="AK611" s="70"/>
      <c r="AL611" s="70"/>
      <c r="AM611" s="70"/>
      <c r="AN611" s="70"/>
      <c r="AO611" s="70"/>
      <c r="AP611" s="70"/>
      <c r="AQ611" s="70"/>
      <c r="AR611" s="70"/>
      <c r="AS611" s="70"/>
      <c r="AT611" s="70"/>
      <c r="AU611" s="70"/>
      <c r="AV611" s="70"/>
      <c r="AW611" s="70"/>
      <c r="AX611" s="70"/>
    </row>
    <row r="612">
      <c r="A612" s="8"/>
      <c r="B612" s="70"/>
      <c r="C612" s="70"/>
      <c r="D612" s="70"/>
      <c r="E612" s="8"/>
      <c r="F612" s="70"/>
      <c r="G612" s="70"/>
      <c r="H612" s="70"/>
      <c r="I612" s="8"/>
      <c r="J612" s="70"/>
      <c r="K612" s="70"/>
      <c r="L612" s="70"/>
      <c r="M612" s="8"/>
      <c r="N612" s="70"/>
      <c r="O612" s="70"/>
      <c r="P612" s="70"/>
      <c r="Q612" s="8"/>
      <c r="R612" s="70"/>
      <c r="S612" s="70"/>
      <c r="T612" s="70"/>
      <c r="U612" s="8"/>
      <c r="V612" s="70"/>
      <c r="W612" s="70"/>
      <c r="X612" s="70"/>
      <c r="Y612" s="200"/>
      <c r="Z612" s="195"/>
      <c r="AA612" s="195"/>
      <c r="AB612" s="195"/>
      <c r="AC612" s="8"/>
      <c r="AD612" s="70"/>
      <c r="AE612" s="70"/>
      <c r="AF612" s="70"/>
      <c r="AG612" s="201"/>
      <c r="AH612" s="202"/>
      <c r="AI612" s="201"/>
      <c r="AJ612" s="201"/>
      <c r="AK612" s="70"/>
      <c r="AL612" s="70"/>
      <c r="AM612" s="70"/>
      <c r="AN612" s="70"/>
      <c r="AO612" s="70"/>
      <c r="AP612" s="70"/>
      <c r="AQ612" s="70"/>
      <c r="AR612" s="70"/>
      <c r="AS612" s="70"/>
      <c r="AT612" s="70"/>
      <c r="AU612" s="70"/>
      <c r="AV612" s="70"/>
      <c r="AW612" s="70"/>
      <c r="AX612" s="70"/>
    </row>
    <row r="613">
      <c r="A613" s="8"/>
      <c r="B613" s="70"/>
      <c r="C613" s="70"/>
      <c r="D613" s="70"/>
      <c r="E613" s="8"/>
      <c r="F613" s="70"/>
      <c r="G613" s="70"/>
      <c r="H613" s="70"/>
      <c r="I613" s="8"/>
      <c r="J613" s="70"/>
      <c r="K613" s="70"/>
      <c r="L613" s="70"/>
      <c r="M613" s="8"/>
      <c r="N613" s="70"/>
      <c r="O613" s="70"/>
      <c r="P613" s="70"/>
      <c r="Q613" s="8"/>
      <c r="R613" s="70"/>
      <c r="S613" s="70"/>
      <c r="T613" s="70"/>
      <c r="U613" s="8"/>
      <c r="V613" s="70"/>
      <c r="W613" s="70"/>
      <c r="X613" s="70"/>
      <c r="Y613" s="200"/>
      <c r="Z613" s="195"/>
      <c r="AA613" s="195"/>
      <c r="AB613" s="195"/>
      <c r="AC613" s="8"/>
      <c r="AD613" s="70"/>
      <c r="AE613" s="70"/>
      <c r="AF613" s="70"/>
      <c r="AG613" s="201"/>
      <c r="AH613" s="202"/>
      <c r="AI613" s="201"/>
      <c r="AJ613" s="201"/>
      <c r="AK613" s="70"/>
      <c r="AL613" s="70"/>
      <c r="AM613" s="70"/>
      <c r="AN613" s="70"/>
      <c r="AO613" s="70"/>
      <c r="AP613" s="70"/>
      <c r="AQ613" s="70"/>
      <c r="AR613" s="70"/>
      <c r="AS613" s="70"/>
      <c r="AT613" s="70"/>
      <c r="AU613" s="70"/>
      <c r="AV613" s="70"/>
      <c r="AW613" s="70"/>
      <c r="AX613" s="70"/>
    </row>
    <row r="614">
      <c r="A614" s="8"/>
      <c r="B614" s="70"/>
      <c r="C614" s="70"/>
      <c r="D614" s="70"/>
      <c r="E614" s="8"/>
      <c r="F614" s="70"/>
      <c r="G614" s="70"/>
      <c r="H614" s="70"/>
      <c r="I614" s="8"/>
      <c r="J614" s="70"/>
      <c r="K614" s="70"/>
      <c r="L614" s="70"/>
      <c r="M614" s="8"/>
      <c r="N614" s="70"/>
      <c r="O614" s="70"/>
      <c r="P614" s="70"/>
      <c r="Q614" s="8"/>
      <c r="R614" s="70"/>
      <c r="S614" s="70"/>
      <c r="T614" s="70"/>
      <c r="U614" s="8"/>
      <c r="V614" s="70"/>
      <c r="W614" s="70"/>
      <c r="X614" s="70"/>
      <c r="Y614" s="200"/>
      <c r="Z614" s="195"/>
      <c r="AA614" s="195"/>
      <c r="AB614" s="195"/>
      <c r="AC614" s="8"/>
      <c r="AD614" s="70"/>
      <c r="AE614" s="70"/>
      <c r="AF614" s="70"/>
      <c r="AG614" s="201"/>
      <c r="AH614" s="202"/>
      <c r="AI614" s="201"/>
      <c r="AJ614" s="201"/>
      <c r="AK614" s="70"/>
      <c r="AL614" s="70"/>
      <c r="AM614" s="70"/>
      <c r="AN614" s="70"/>
      <c r="AO614" s="70"/>
      <c r="AP614" s="70"/>
      <c r="AQ614" s="70"/>
      <c r="AR614" s="70"/>
      <c r="AS614" s="70"/>
      <c r="AT614" s="70"/>
      <c r="AU614" s="70"/>
      <c r="AV614" s="70"/>
      <c r="AW614" s="70"/>
      <c r="AX614" s="70"/>
    </row>
    <row r="615">
      <c r="A615" s="8"/>
      <c r="B615" s="70"/>
      <c r="C615" s="70"/>
      <c r="D615" s="70"/>
      <c r="E615" s="8"/>
      <c r="F615" s="70"/>
      <c r="G615" s="70"/>
      <c r="H615" s="70"/>
      <c r="I615" s="8"/>
      <c r="J615" s="70"/>
      <c r="K615" s="70"/>
      <c r="L615" s="70"/>
      <c r="M615" s="8"/>
      <c r="N615" s="70"/>
      <c r="O615" s="70"/>
      <c r="P615" s="70"/>
      <c r="Q615" s="8"/>
      <c r="R615" s="70"/>
      <c r="S615" s="70"/>
      <c r="T615" s="70"/>
      <c r="U615" s="8"/>
      <c r="V615" s="70"/>
      <c r="W615" s="70"/>
      <c r="X615" s="70"/>
      <c r="Y615" s="200"/>
      <c r="Z615" s="195"/>
      <c r="AA615" s="195"/>
      <c r="AB615" s="195"/>
      <c r="AC615" s="8"/>
      <c r="AD615" s="70"/>
      <c r="AE615" s="70"/>
      <c r="AF615" s="70"/>
      <c r="AG615" s="201"/>
      <c r="AH615" s="202"/>
      <c r="AI615" s="201"/>
      <c r="AJ615" s="201"/>
      <c r="AK615" s="70"/>
      <c r="AL615" s="70"/>
      <c r="AM615" s="70"/>
      <c r="AN615" s="70"/>
      <c r="AO615" s="70"/>
      <c r="AP615" s="70"/>
      <c r="AQ615" s="70"/>
      <c r="AR615" s="70"/>
      <c r="AS615" s="70"/>
      <c r="AT615" s="70"/>
      <c r="AU615" s="70"/>
      <c r="AV615" s="70"/>
      <c r="AW615" s="70"/>
      <c r="AX615" s="70"/>
    </row>
    <row r="616">
      <c r="A616" s="8"/>
      <c r="B616" s="70"/>
      <c r="C616" s="70"/>
      <c r="D616" s="70"/>
      <c r="E616" s="8"/>
      <c r="F616" s="70"/>
      <c r="G616" s="70"/>
      <c r="H616" s="70"/>
      <c r="I616" s="8"/>
      <c r="J616" s="70"/>
      <c r="K616" s="70"/>
      <c r="L616" s="70"/>
      <c r="M616" s="8"/>
      <c r="N616" s="70"/>
      <c r="O616" s="70"/>
      <c r="P616" s="70"/>
      <c r="Q616" s="8"/>
      <c r="R616" s="70"/>
      <c r="S616" s="70"/>
      <c r="T616" s="70"/>
      <c r="U616" s="8"/>
      <c r="V616" s="70"/>
      <c r="W616" s="70"/>
      <c r="X616" s="70"/>
      <c r="Y616" s="200"/>
      <c r="Z616" s="195"/>
      <c r="AA616" s="195"/>
      <c r="AB616" s="195"/>
      <c r="AC616" s="8"/>
      <c r="AD616" s="70"/>
      <c r="AE616" s="70"/>
      <c r="AF616" s="70"/>
      <c r="AG616" s="201"/>
      <c r="AH616" s="202"/>
      <c r="AI616" s="201"/>
      <c r="AJ616" s="201"/>
      <c r="AK616" s="70"/>
      <c r="AL616" s="70"/>
      <c r="AM616" s="70"/>
      <c r="AN616" s="70"/>
      <c r="AO616" s="70"/>
      <c r="AP616" s="70"/>
      <c r="AQ616" s="70"/>
      <c r="AR616" s="70"/>
      <c r="AS616" s="70"/>
      <c r="AT616" s="70"/>
      <c r="AU616" s="70"/>
      <c r="AV616" s="70"/>
      <c r="AW616" s="70"/>
      <c r="AX616" s="70"/>
    </row>
    <row r="617">
      <c r="A617" s="8"/>
      <c r="B617" s="70"/>
      <c r="C617" s="70"/>
      <c r="D617" s="70"/>
      <c r="E617" s="8"/>
      <c r="F617" s="70"/>
      <c r="G617" s="70"/>
      <c r="H617" s="70"/>
      <c r="I617" s="8"/>
      <c r="J617" s="70"/>
      <c r="K617" s="70"/>
      <c r="L617" s="70"/>
      <c r="M617" s="8"/>
      <c r="N617" s="70"/>
      <c r="O617" s="70"/>
      <c r="P617" s="70"/>
      <c r="Q617" s="8"/>
      <c r="R617" s="70"/>
      <c r="S617" s="70"/>
      <c r="T617" s="70"/>
      <c r="U617" s="8"/>
      <c r="V617" s="70"/>
      <c r="W617" s="70"/>
      <c r="X617" s="70"/>
      <c r="Y617" s="200"/>
      <c r="Z617" s="195"/>
      <c r="AA617" s="195"/>
      <c r="AB617" s="195"/>
      <c r="AC617" s="8"/>
      <c r="AD617" s="70"/>
      <c r="AE617" s="70"/>
      <c r="AF617" s="70"/>
      <c r="AG617" s="201"/>
      <c r="AH617" s="202"/>
      <c r="AI617" s="201"/>
      <c r="AJ617" s="201"/>
      <c r="AK617" s="70"/>
      <c r="AL617" s="70"/>
      <c r="AM617" s="70"/>
      <c r="AN617" s="70"/>
      <c r="AO617" s="70"/>
      <c r="AP617" s="70"/>
      <c r="AQ617" s="70"/>
      <c r="AR617" s="70"/>
      <c r="AS617" s="70"/>
      <c r="AT617" s="70"/>
      <c r="AU617" s="70"/>
      <c r="AV617" s="70"/>
      <c r="AW617" s="70"/>
      <c r="AX617" s="70"/>
    </row>
    <row r="618">
      <c r="A618" s="8"/>
      <c r="B618" s="70"/>
      <c r="C618" s="70"/>
      <c r="D618" s="70"/>
      <c r="E618" s="8"/>
      <c r="F618" s="70"/>
      <c r="G618" s="70"/>
      <c r="H618" s="70"/>
      <c r="I618" s="8"/>
      <c r="J618" s="70"/>
      <c r="K618" s="70"/>
      <c r="L618" s="70"/>
      <c r="M618" s="8"/>
      <c r="N618" s="70"/>
      <c r="O618" s="70"/>
      <c r="P618" s="70"/>
      <c r="Q618" s="8"/>
      <c r="R618" s="70"/>
      <c r="S618" s="70"/>
      <c r="T618" s="70"/>
      <c r="U618" s="8"/>
      <c r="V618" s="70"/>
      <c r="W618" s="70"/>
      <c r="X618" s="70"/>
      <c r="Y618" s="200"/>
      <c r="Z618" s="195"/>
      <c r="AA618" s="195"/>
      <c r="AB618" s="195"/>
      <c r="AC618" s="8"/>
      <c r="AD618" s="70"/>
      <c r="AE618" s="70"/>
      <c r="AF618" s="70"/>
      <c r="AG618" s="201"/>
      <c r="AH618" s="202"/>
      <c r="AI618" s="201"/>
      <c r="AJ618" s="201"/>
      <c r="AK618" s="70"/>
      <c r="AL618" s="70"/>
      <c r="AM618" s="70"/>
      <c r="AN618" s="70"/>
      <c r="AO618" s="70"/>
      <c r="AP618" s="70"/>
      <c r="AQ618" s="70"/>
      <c r="AR618" s="70"/>
      <c r="AS618" s="70"/>
      <c r="AT618" s="70"/>
      <c r="AU618" s="70"/>
      <c r="AV618" s="70"/>
      <c r="AW618" s="70"/>
      <c r="AX618" s="70"/>
    </row>
    <row r="619">
      <c r="A619" s="8"/>
      <c r="B619" s="70"/>
      <c r="C619" s="70"/>
      <c r="D619" s="70"/>
      <c r="E619" s="8"/>
      <c r="F619" s="70"/>
      <c r="G619" s="70"/>
      <c r="H619" s="70"/>
      <c r="I619" s="8"/>
      <c r="J619" s="70"/>
      <c r="K619" s="70"/>
      <c r="L619" s="70"/>
      <c r="M619" s="8"/>
      <c r="N619" s="70"/>
      <c r="O619" s="70"/>
      <c r="P619" s="70"/>
      <c r="Q619" s="8"/>
      <c r="R619" s="70"/>
      <c r="S619" s="70"/>
      <c r="T619" s="70"/>
      <c r="U619" s="8"/>
      <c r="V619" s="70"/>
      <c r="W619" s="70"/>
      <c r="X619" s="70"/>
      <c r="Y619" s="200"/>
      <c r="Z619" s="195"/>
      <c r="AA619" s="195"/>
      <c r="AB619" s="195"/>
      <c r="AC619" s="8"/>
      <c r="AD619" s="70"/>
      <c r="AE619" s="70"/>
      <c r="AF619" s="70"/>
      <c r="AG619" s="201"/>
      <c r="AH619" s="202"/>
      <c r="AI619" s="201"/>
      <c r="AJ619" s="201"/>
      <c r="AK619" s="70"/>
      <c r="AL619" s="70"/>
      <c r="AM619" s="70"/>
      <c r="AN619" s="70"/>
      <c r="AO619" s="70"/>
      <c r="AP619" s="70"/>
      <c r="AQ619" s="70"/>
      <c r="AR619" s="70"/>
      <c r="AS619" s="70"/>
      <c r="AT619" s="70"/>
      <c r="AU619" s="70"/>
      <c r="AV619" s="70"/>
      <c r="AW619" s="70"/>
      <c r="AX619" s="70"/>
    </row>
    <row r="620">
      <c r="A620" s="8"/>
      <c r="B620" s="70"/>
      <c r="C620" s="70"/>
      <c r="D620" s="70"/>
      <c r="E620" s="8"/>
      <c r="F620" s="70"/>
      <c r="G620" s="70"/>
      <c r="H620" s="70"/>
      <c r="I620" s="8"/>
      <c r="J620" s="70"/>
      <c r="K620" s="70"/>
      <c r="L620" s="70"/>
      <c r="M620" s="8"/>
      <c r="N620" s="70"/>
      <c r="O620" s="70"/>
      <c r="P620" s="70"/>
      <c r="Q620" s="8"/>
      <c r="R620" s="70"/>
      <c r="S620" s="70"/>
      <c r="T620" s="70"/>
      <c r="U620" s="8"/>
      <c r="V620" s="70"/>
      <c r="W620" s="70"/>
      <c r="X620" s="70"/>
      <c r="Y620" s="200"/>
      <c r="Z620" s="195"/>
      <c r="AA620" s="195"/>
      <c r="AB620" s="195"/>
      <c r="AC620" s="8"/>
      <c r="AD620" s="70"/>
      <c r="AE620" s="70"/>
      <c r="AF620" s="70"/>
      <c r="AG620" s="201"/>
      <c r="AH620" s="202"/>
      <c r="AI620" s="201"/>
      <c r="AJ620" s="201"/>
      <c r="AK620" s="70"/>
      <c r="AL620" s="70"/>
      <c r="AM620" s="70"/>
      <c r="AN620" s="70"/>
      <c r="AO620" s="70"/>
      <c r="AP620" s="70"/>
      <c r="AQ620" s="70"/>
      <c r="AR620" s="70"/>
      <c r="AS620" s="70"/>
      <c r="AT620" s="70"/>
      <c r="AU620" s="70"/>
      <c r="AV620" s="70"/>
      <c r="AW620" s="70"/>
      <c r="AX620" s="70"/>
    </row>
    <row r="621">
      <c r="A621" s="8"/>
      <c r="B621" s="70"/>
      <c r="C621" s="70"/>
      <c r="D621" s="70"/>
      <c r="E621" s="8"/>
      <c r="F621" s="70"/>
      <c r="G621" s="70"/>
      <c r="H621" s="70"/>
      <c r="I621" s="8"/>
      <c r="J621" s="70"/>
      <c r="K621" s="70"/>
      <c r="L621" s="70"/>
      <c r="M621" s="8"/>
      <c r="N621" s="70"/>
      <c r="O621" s="70"/>
      <c r="P621" s="70"/>
      <c r="Q621" s="8"/>
      <c r="R621" s="70"/>
      <c r="S621" s="70"/>
      <c r="T621" s="70"/>
      <c r="U621" s="8"/>
      <c r="V621" s="70"/>
      <c r="W621" s="70"/>
      <c r="X621" s="70"/>
      <c r="Y621" s="200"/>
      <c r="Z621" s="195"/>
      <c r="AA621" s="195"/>
      <c r="AB621" s="195"/>
      <c r="AC621" s="8"/>
      <c r="AD621" s="70"/>
      <c r="AE621" s="70"/>
      <c r="AF621" s="70"/>
      <c r="AG621" s="201"/>
      <c r="AH621" s="202"/>
      <c r="AI621" s="201"/>
      <c r="AJ621" s="201"/>
      <c r="AK621" s="70"/>
      <c r="AL621" s="70"/>
      <c r="AM621" s="70"/>
      <c r="AN621" s="70"/>
      <c r="AO621" s="70"/>
      <c r="AP621" s="70"/>
      <c r="AQ621" s="70"/>
      <c r="AR621" s="70"/>
      <c r="AS621" s="70"/>
      <c r="AT621" s="70"/>
      <c r="AU621" s="70"/>
      <c r="AV621" s="70"/>
      <c r="AW621" s="70"/>
      <c r="AX621" s="70"/>
    </row>
    <row r="622">
      <c r="A622" s="8"/>
      <c r="B622" s="70"/>
      <c r="C622" s="70"/>
      <c r="D622" s="70"/>
      <c r="E622" s="8"/>
      <c r="F622" s="70"/>
      <c r="G622" s="70"/>
      <c r="H622" s="70"/>
      <c r="I622" s="8"/>
      <c r="J622" s="70"/>
      <c r="K622" s="70"/>
      <c r="L622" s="70"/>
      <c r="M622" s="8"/>
      <c r="N622" s="70"/>
      <c r="O622" s="70"/>
      <c r="P622" s="70"/>
      <c r="Q622" s="8"/>
      <c r="R622" s="70"/>
      <c r="S622" s="70"/>
      <c r="T622" s="70"/>
      <c r="U622" s="8"/>
      <c r="V622" s="70"/>
      <c r="W622" s="70"/>
      <c r="X622" s="70"/>
      <c r="Y622" s="200"/>
      <c r="Z622" s="195"/>
      <c r="AA622" s="195"/>
      <c r="AB622" s="195"/>
      <c r="AC622" s="8"/>
      <c r="AD622" s="70"/>
      <c r="AE622" s="70"/>
      <c r="AF622" s="70"/>
      <c r="AG622" s="201"/>
      <c r="AH622" s="202"/>
      <c r="AI622" s="201"/>
      <c r="AJ622" s="201"/>
      <c r="AK622" s="70"/>
      <c r="AL622" s="70"/>
      <c r="AM622" s="70"/>
      <c r="AN622" s="70"/>
      <c r="AO622" s="70"/>
      <c r="AP622" s="70"/>
      <c r="AQ622" s="70"/>
      <c r="AR622" s="70"/>
      <c r="AS622" s="70"/>
      <c r="AT622" s="70"/>
      <c r="AU622" s="70"/>
      <c r="AV622" s="70"/>
      <c r="AW622" s="70"/>
      <c r="AX622" s="70"/>
    </row>
    <row r="623">
      <c r="A623" s="8"/>
      <c r="B623" s="70"/>
      <c r="C623" s="70"/>
      <c r="D623" s="70"/>
      <c r="E623" s="8"/>
      <c r="F623" s="70"/>
      <c r="G623" s="70"/>
      <c r="H623" s="70"/>
      <c r="I623" s="8"/>
      <c r="J623" s="70"/>
      <c r="K623" s="70"/>
      <c r="L623" s="70"/>
      <c r="M623" s="8"/>
      <c r="N623" s="70"/>
      <c r="O623" s="70"/>
      <c r="P623" s="70"/>
      <c r="Q623" s="8"/>
      <c r="R623" s="70"/>
      <c r="S623" s="70"/>
      <c r="T623" s="70"/>
      <c r="U623" s="8"/>
      <c r="V623" s="70"/>
      <c r="W623" s="70"/>
      <c r="X623" s="70"/>
      <c r="Y623" s="200"/>
      <c r="Z623" s="195"/>
      <c r="AA623" s="195"/>
      <c r="AB623" s="195"/>
      <c r="AC623" s="8"/>
      <c r="AD623" s="70"/>
      <c r="AE623" s="70"/>
      <c r="AF623" s="70"/>
      <c r="AG623" s="201"/>
      <c r="AH623" s="202"/>
      <c r="AI623" s="201"/>
      <c r="AJ623" s="201"/>
      <c r="AK623" s="70"/>
      <c r="AL623" s="70"/>
      <c r="AM623" s="70"/>
      <c r="AN623" s="70"/>
      <c r="AO623" s="70"/>
      <c r="AP623" s="70"/>
      <c r="AQ623" s="70"/>
      <c r="AR623" s="70"/>
      <c r="AS623" s="70"/>
      <c r="AT623" s="70"/>
      <c r="AU623" s="70"/>
      <c r="AV623" s="70"/>
      <c r="AW623" s="70"/>
      <c r="AX623" s="70"/>
    </row>
    <row r="624">
      <c r="A624" s="8"/>
      <c r="B624" s="70"/>
      <c r="C624" s="70"/>
      <c r="D624" s="70"/>
      <c r="E624" s="8"/>
      <c r="F624" s="70"/>
      <c r="G624" s="70"/>
      <c r="H624" s="70"/>
      <c r="I624" s="8"/>
      <c r="J624" s="70"/>
      <c r="K624" s="70"/>
      <c r="L624" s="70"/>
      <c r="M624" s="8"/>
      <c r="N624" s="70"/>
      <c r="O624" s="70"/>
      <c r="P624" s="70"/>
      <c r="Q624" s="8"/>
      <c r="R624" s="70"/>
      <c r="S624" s="70"/>
      <c r="T624" s="70"/>
      <c r="U624" s="8"/>
      <c r="V624" s="70"/>
      <c r="W624" s="70"/>
      <c r="X624" s="70"/>
      <c r="Y624" s="200"/>
      <c r="Z624" s="195"/>
      <c r="AA624" s="195"/>
      <c r="AB624" s="195"/>
      <c r="AC624" s="8"/>
      <c r="AD624" s="70"/>
      <c r="AE624" s="70"/>
      <c r="AF624" s="70"/>
      <c r="AG624" s="201"/>
      <c r="AH624" s="202"/>
      <c r="AI624" s="201"/>
      <c r="AJ624" s="201"/>
      <c r="AK624" s="70"/>
      <c r="AL624" s="70"/>
      <c r="AM624" s="70"/>
      <c r="AN624" s="70"/>
      <c r="AO624" s="70"/>
      <c r="AP624" s="70"/>
      <c r="AQ624" s="70"/>
      <c r="AR624" s="70"/>
      <c r="AS624" s="70"/>
      <c r="AT624" s="70"/>
      <c r="AU624" s="70"/>
      <c r="AV624" s="70"/>
      <c r="AW624" s="70"/>
      <c r="AX624" s="70"/>
    </row>
    <row r="625">
      <c r="A625" s="8"/>
      <c r="B625" s="70"/>
      <c r="C625" s="70"/>
      <c r="D625" s="70"/>
      <c r="E625" s="8"/>
      <c r="F625" s="70"/>
      <c r="G625" s="70"/>
      <c r="H625" s="70"/>
      <c r="I625" s="8"/>
      <c r="J625" s="70"/>
      <c r="K625" s="70"/>
      <c r="L625" s="70"/>
      <c r="M625" s="8"/>
      <c r="N625" s="70"/>
      <c r="O625" s="70"/>
      <c r="P625" s="70"/>
      <c r="Q625" s="8"/>
      <c r="R625" s="70"/>
      <c r="S625" s="70"/>
      <c r="T625" s="70"/>
      <c r="U625" s="8"/>
      <c r="V625" s="70"/>
      <c r="W625" s="70"/>
      <c r="X625" s="70"/>
      <c r="Y625" s="200"/>
      <c r="Z625" s="195"/>
      <c r="AA625" s="195"/>
      <c r="AB625" s="195"/>
      <c r="AC625" s="8"/>
      <c r="AD625" s="70"/>
      <c r="AE625" s="70"/>
      <c r="AF625" s="70"/>
      <c r="AG625" s="201"/>
      <c r="AH625" s="202"/>
      <c r="AI625" s="201"/>
      <c r="AJ625" s="201"/>
      <c r="AK625" s="70"/>
      <c r="AL625" s="70"/>
      <c r="AM625" s="70"/>
      <c r="AN625" s="70"/>
      <c r="AO625" s="70"/>
      <c r="AP625" s="70"/>
      <c r="AQ625" s="70"/>
      <c r="AR625" s="70"/>
      <c r="AS625" s="70"/>
      <c r="AT625" s="70"/>
      <c r="AU625" s="70"/>
      <c r="AV625" s="70"/>
      <c r="AW625" s="70"/>
      <c r="AX625" s="70"/>
    </row>
    <row r="626">
      <c r="A626" s="8"/>
      <c r="B626" s="70"/>
      <c r="C626" s="70"/>
      <c r="D626" s="70"/>
      <c r="E626" s="8"/>
      <c r="F626" s="70"/>
      <c r="G626" s="70"/>
      <c r="H626" s="70"/>
      <c r="I626" s="8"/>
      <c r="J626" s="70"/>
      <c r="K626" s="70"/>
      <c r="L626" s="70"/>
      <c r="M626" s="8"/>
      <c r="N626" s="70"/>
      <c r="O626" s="70"/>
      <c r="P626" s="70"/>
      <c r="Q626" s="8"/>
      <c r="R626" s="70"/>
      <c r="S626" s="70"/>
      <c r="T626" s="70"/>
      <c r="U626" s="8"/>
      <c r="V626" s="70"/>
      <c r="W626" s="70"/>
      <c r="X626" s="70"/>
      <c r="Y626" s="200"/>
      <c r="Z626" s="195"/>
      <c r="AA626" s="195"/>
      <c r="AB626" s="195"/>
      <c r="AC626" s="8"/>
      <c r="AD626" s="70"/>
      <c r="AE626" s="70"/>
      <c r="AF626" s="70"/>
      <c r="AG626" s="201"/>
      <c r="AH626" s="202"/>
      <c r="AI626" s="201"/>
      <c r="AJ626" s="201"/>
      <c r="AK626" s="70"/>
      <c r="AL626" s="70"/>
      <c r="AM626" s="70"/>
      <c r="AN626" s="70"/>
      <c r="AO626" s="70"/>
      <c r="AP626" s="70"/>
      <c r="AQ626" s="70"/>
      <c r="AR626" s="70"/>
      <c r="AS626" s="70"/>
      <c r="AT626" s="70"/>
      <c r="AU626" s="70"/>
      <c r="AV626" s="70"/>
      <c r="AW626" s="70"/>
      <c r="AX626" s="70"/>
    </row>
    <row r="627">
      <c r="A627" s="8"/>
      <c r="B627" s="70"/>
      <c r="C627" s="70"/>
      <c r="D627" s="70"/>
      <c r="E627" s="8"/>
      <c r="F627" s="70"/>
      <c r="G627" s="70"/>
      <c r="H627" s="70"/>
      <c r="I627" s="8"/>
      <c r="J627" s="70"/>
      <c r="K627" s="70"/>
      <c r="L627" s="70"/>
      <c r="M627" s="8"/>
      <c r="N627" s="70"/>
      <c r="O627" s="70"/>
      <c r="P627" s="70"/>
      <c r="Q627" s="8"/>
      <c r="R627" s="70"/>
      <c r="S627" s="70"/>
      <c r="T627" s="70"/>
      <c r="U627" s="8"/>
      <c r="V627" s="70"/>
      <c r="W627" s="70"/>
      <c r="X627" s="70"/>
      <c r="Y627" s="200"/>
      <c r="Z627" s="195"/>
      <c r="AA627" s="195"/>
      <c r="AB627" s="195"/>
      <c r="AC627" s="8"/>
      <c r="AD627" s="70"/>
      <c r="AE627" s="70"/>
      <c r="AF627" s="70"/>
      <c r="AG627" s="201"/>
      <c r="AH627" s="202"/>
      <c r="AI627" s="201"/>
      <c r="AJ627" s="201"/>
      <c r="AK627" s="70"/>
      <c r="AL627" s="70"/>
      <c r="AM627" s="70"/>
      <c r="AN627" s="70"/>
      <c r="AO627" s="70"/>
      <c r="AP627" s="70"/>
      <c r="AQ627" s="70"/>
      <c r="AR627" s="70"/>
      <c r="AS627" s="70"/>
      <c r="AT627" s="70"/>
      <c r="AU627" s="70"/>
      <c r="AV627" s="70"/>
      <c r="AW627" s="70"/>
      <c r="AX627" s="70"/>
    </row>
    <row r="628">
      <c r="A628" s="8"/>
      <c r="B628" s="70"/>
      <c r="C628" s="70"/>
      <c r="D628" s="70"/>
      <c r="E628" s="8"/>
      <c r="F628" s="70"/>
      <c r="G628" s="70"/>
      <c r="H628" s="70"/>
      <c r="I628" s="8"/>
      <c r="J628" s="70"/>
      <c r="K628" s="70"/>
      <c r="L628" s="70"/>
      <c r="M628" s="8"/>
      <c r="N628" s="70"/>
      <c r="O628" s="70"/>
      <c r="P628" s="70"/>
      <c r="Q628" s="8"/>
      <c r="R628" s="70"/>
      <c r="S628" s="70"/>
      <c r="T628" s="70"/>
      <c r="U628" s="8"/>
      <c r="V628" s="70"/>
      <c r="W628" s="70"/>
      <c r="X628" s="70"/>
      <c r="Y628" s="200"/>
      <c r="Z628" s="195"/>
      <c r="AA628" s="195"/>
      <c r="AB628" s="195"/>
      <c r="AC628" s="8"/>
      <c r="AD628" s="70"/>
      <c r="AE628" s="70"/>
      <c r="AF628" s="70"/>
      <c r="AG628" s="201"/>
      <c r="AH628" s="202"/>
      <c r="AI628" s="201"/>
      <c r="AJ628" s="201"/>
      <c r="AK628" s="70"/>
      <c r="AL628" s="70"/>
      <c r="AM628" s="70"/>
      <c r="AN628" s="70"/>
      <c r="AO628" s="70"/>
      <c r="AP628" s="70"/>
      <c r="AQ628" s="70"/>
      <c r="AR628" s="70"/>
      <c r="AS628" s="70"/>
      <c r="AT628" s="70"/>
      <c r="AU628" s="70"/>
      <c r="AV628" s="70"/>
      <c r="AW628" s="70"/>
      <c r="AX628" s="70"/>
    </row>
    <row r="629">
      <c r="A629" s="8"/>
      <c r="B629" s="70"/>
      <c r="C629" s="70"/>
      <c r="D629" s="70"/>
      <c r="E629" s="8"/>
      <c r="F629" s="70"/>
      <c r="G629" s="70"/>
      <c r="H629" s="70"/>
      <c r="I629" s="8"/>
      <c r="J629" s="70"/>
      <c r="K629" s="70"/>
      <c r="L629" s="70"/>
      <c r="M629" s="8"/>
      <c r="N629" s="70"/>
      <c r="O629" s="70"/>
      <c r="P629" s="70"/>
      <c r="Q629" s="8"/>
      <c r="R629" s="70"/>
      <c r="S629" s="70"/>
      <c r="T629" s="70"/>
      <c r="U629" s="8"/>
      <c r="V629" s="70"/>
      <c r="W629" s="70"/>
      <c r="X629" s="70"/>
      <c r="Y629" s="200"/>
      <c r="Z629" s="195"/>
      <c r="AA629" s="195"/>
      <c r="AB629" s="195"/>
      <c r="AC629" s="8"/>
      <c r="AD629" s="70"/>
      <c r="AE629" s="70"/>
      <c r="AF629" s="70"/>
      <c r="AG629" s="201"/>
      <c r="AH629" s="202"/>
      <c r="AI629" s="201"/>
      <c r="AJ629" s="201"/>
      <c r="AK629" s="70"/>
      <c r="AL629" s="70"/>
      <c r="AM629" s="70"/>
      <c r="AN629" s="70"/>
      <c r="AO629" s="70"/>
      <c r="AP629" s="70"/>
      <c r="AQ629" s="70"/>
      <c r="AR629" s="70"/>
      <c r="AS629" s="70"/>
      <c r="AT629" s="70"/>
      <c r="AU629" s="70"/>
      <c r="AV629" s="70"/>
      <c r="AW629" s="70"/>
      <c r="AX629" s="70"/>
    </row>
    <row r="630">
      <c r="A630" s="8"/>
      <c r="B630" s="70"/>
      <c r="C630" s="70"/>
      <c r="D630" s="70"/>
      <c r="E630" s="8"/>
      <c r="F630" s="70"/>
      <c r="G630" s="70"/>
      <c r="H630" s="70"/>
      <c r="I630" s="8"/>
      <c r="J630" s="70"/>
      <c r="K630" s="70"/>
      <c r="L630" s="70"/>
      <c r="M630" s="8"/>
      <c r="N630" s="70"/>
      <c r="O630" s="70"/>
      <c r="P630" s="70"/>
      <c r="Q630" s="8"/>
      <c r="R630" s="70"/>
      <c r="S630" s="70"/>
      <c r="T630" s="70"/>
      <c r="U630" s="8"/>
      <c r="V630" s="70"/>
      <c r="W630" s="70"/>
      <c r="X630" s="70"/>
      <c r="Y630" s="200"/>
      <c r="Z630" s="195"/>
      <c r="AA630" s="195"/>
      <c r="AB630" s="195"/>
      <c r="AC630" s="8"/>
      <c r="AD630" s="70"/>
      <c r="AE630" s="70"/>
      <c r="AF630" s="70"/>
      <c r="AG630" s="201"/>
      <c r="AH630" s="202"/>
      <c r="AI630" s="201"/>
      <c r="AJ630" s="201"/>
      <c r="AK630" s="70"/>
      <c r="AL630" s="70"/>
      <c r="AM630" s="70"/>
      <c r="AN630" s="70"/>
      <c r="AO630" s="70"/>
      <c r="AP630" s="70"/>
      <c r="AQ630" s="70"/>
      <c r="AR630" s="70"/>
      <c r="AS630" s="70"/>
      <c r="AT630" s="70"/>
      <c r="AU630" s="70"/>
      <c r="AV630" s="70"/>
      <c r="AW630" s="70"/>
      <c r="AX630" s="70"/>
    </row>
    <row r="631">
      <c r="A631" s="8"/>
      <c r="B631" s="70"/>
      <c r="C631" s="70"/>
      <c r="D631" s="70"/>
      <c r="E631" s="8"/>
      <c r="F631" s="70"/>
      <c r="G631" s="70"/>
      <c r="H631" s="70"/>
      <c r="I631" s="8"/>
      <c r="J631" s="70"/>
      <c r="K631" s="70"/>
      <c r="L631" s="70"/>
      <c r="M631" s="8"/>
      <c r="N631" s="70"/>
      <c r="O631" s="70"/>
      <c r="P631" s="70"/>
      <c r="Q631" s="8"/>
      <c r="R631" s="70"/>
      <c r="S631" s="70"/>
      <c r="T631" s="70"/>
      <c r="U631" s="8"/>
      <c r="V631" s="70"/>
      <c r="W631" s="70"/>
      <c r="X631" s="70"/>
      <c r="Y631" s="200"/>
      <c r="Z631" s="195"/>
      <c r="AA631" s="195"/>
      <c r="AB631" s="195"/>
      <c r="AC631" s="8"/>
      <c r="AD631" s="70"/>
      <c r="AE631" s="70"/>
      <c r="AF631" s="70"/>
      <c r="AG631" s="201"/>
      <c r="AH631" s="202"/>
      <c r="AI631" s="201"/>
      <c r="AJ631" s="201"/>
      <c r="AK631" s="70"/>
      <c r="AL631" s="70"/>
      <c r="AM631" s="70"/>
      <c r="AN631" s="70"/>
      <c r="AO631" s="70"/>
      <c r="AP631" s="70"/>
      <c r="AQ631" s="70"/>
      <c r="AR631" s="70"/>
      <c r="AS631" s="70"/>
      <c r="AT631" s="70"/>
      <c r="AU631" s="70"/>
      <c r="AV631" s="70"/>
      <c r="AW631" s="70"/>
      <c r="AX631" s="70"/>
    </row>
    <row r="632">
      <c r="A632" s="8"/>
      <c r="B632" s="70"/>
      <c r="C632" s="70"/>
      <c r="D632" s="70"/>
      <c r="E632" s="8"/>
      <c r="F632" s="70"/>
      <c r="G632" s="70"/>
      <c r="H632" s="70"/>
      <c r="I632" s="8"/>
      <c r="J632" s="70"/>
      <c r="K632" s="70"/>
      <c r="L632" s="70"/>
      <c r="M632" s="8"/>
      <c r="N632" s="70"/>
      <c r="O632" s="70"/>
      <c r="P632" s="70"/>
      <c r="Q632" s="8"/>
      <c r="R632" s="70"/>
      <c r="S632" s="70"/>
      <c r="T632" s="70"/>
      <c r="U632" s="8"/>
      <c r="V632" s="70"/>
      <c r="W632" s="70"/>
      <c r="X632" s="70"/>
      <c r="Y632" s="200"/>
      <c r="Z632" s="195"/>
      <c r="AA632" s="195"/>
      <c r="AB632" s="195"/>
      <c r="AC632" s="8"/>
      <c r="AD632" s="70"/>
      <c r="AE632" s="70"/>
      <c r="AF632" s="70"/>
      <c r="AG632" s="201"/>
      <c r="AH632" s="202"/>
      <c r="AI632" s="201"/>
      <c r="AJ632" s="201"/>
      <c r="AK632" s="70"/>
      <c r="AL632" s="70"/>
      <c r="AM632" s="70"/>
      <c r="AN632" s="70"/>
      <c r="AO632" s="70"/>
      <c r="AP632" s="70"/>
      <c r="AQ632" s="70"/>
      <c r="AR632" s="70"/>
      <c r="AS632" s="70"/>
      <c r="AT632" s="70"/>
      <c r="AU632" s="70"/>
      <c r="AV632" s="70"/>
      <c r="AW632" s="70"/>
      <c r="AX632" s="70"/>
    </row>
    <row r="633">
      <c r="A633" s="8"/>
      <c r="B633" s="70"/>
      <c r="C633" s="70"/>
      <c r="D633" s="70"/>
      <c r="E633" s="8"/>
      <c r="F633" s="70"/>
      <c r="G633" s="70"/>
      <c r="H633" s="70"/>
      <c r="I633" s="8"/>
      <c r="J633" s="70"/>
      <c r="K633" s="70"/>
      <c r="L633" s="70"/>
      <c r="M633" s="8"/>
      <c r="N633" s="70"/>
      <c r="O633" s="70"/>
      <c r="P633" s="70"/>
      <c r="Q633" s="8"/>
      <c r="R633" s="70"/>
      <c r="S633" s="70"/>
      <c r="T633" s="70"/>
      <c r="U633" s="8"/>
      <c r="V633" s="70"/>
      <c r="W633" s="70"/>
      <c r="X633" s="70"/>
      <c r="Y633" s="200"/>
      <c r="Z633" s="195"/>
      <c r="AA633" s="195"/>
      <c r="AB633" s="195"/>
      <c r="AC633" s="8"/>
      <c r="AD633" s="70"/>
      <c r="AE633" s="70"/>
      <c r="AF633" s="70"/>
      <c r="AG633" s="201"/>
      <c r="AH633" s="202"/>
      <c r="AI633" s="201"/>
      <c r="AJ633" s="201"/>
      <c r="AK633" s="70"/>
      <c r="AL633" s="70"/>
      <c r="AM633" s="70"/>
      <c r="AN633" s="70"/>
      <c r="AO633" s="70"/>
      <c r="AP633" s="70"/>
      <c r="AQ633" s="70"/>
      <c r="AR633" s="70"/>
      <c r="AS633" s="70"/>
      <c r="AT633" s="70"/>
      <c r="AU633" s="70"/>
      <c r="AV633" s="70"/>
      <c r="AW633" s="70"/>
      <c r="AX633" s="70"/>
    </row>
    <row r="634">
      <c r="A634" s="8"/>
      <c r="B634" s="70"/>
      <c r="C634" s="70"/>
      <c r="D634" s="70"/>
      <c r="E634" s="8"/>
      <c r="F634" s="70"/>
      <c r="G634" s="70"/>
      <c r="H634" s="70"/>
      <c r="I634" s="8"/>
      <c r="J634" s="70"/>
      <c r="K634" s="70"/>
      <c r="L634" s="70"/>
      <c r="M634" s="8"/>
      <c r="N634" s="70"/>
      <c r="O634" s="70"/>
      <c r="P634" s="70"/>
      <c r="Q634" s="8"/>
      <c r="R634" s="70"/>
      <c r="S634" s="70"/>
      <c r="T634" s="70"/>
      <c r="U634" s="8"/>
      <c r="V634" s="70"/>
      <c r="W634" s="70"/>
      <c r="X634" s="70"/>
      <c r="Y634" s="200"/>
      <c r="Z634" s="195"/>
      <c r="AA634" s="195"/>
      <c r="AB634" s="195"/>
      <c r="AC634" s="8"/>
      <c r="AD634" s="70"/>
      <c r="AE634" s="70"/>
      <c r="AF634" s="70"/>
      <c r="AG634" s="201"/>
      <c r="AH634" s="202"/>
      <c r="AI634" s="201"/>
      <c r="AJ634" s="201"/>
      <c r="AK634" s="70"/>
      <c r="AL634" s="70"/>
      <c r="AM634" s="70"/>
      <c r="AN634" s="70"/>
      <c r="AO634" s="70"/>
      <c r="AP634" s="70"/>
      <c r="AQ634" s="70"/>
      <c r="AR634" s="70"/>
      <c r="AS634" s="70"/>
      <c r="AT634" s="70"/>
      <c r="AU634" s="70"/>
      <c r="AV634" s="70"/>
      <c r="AW634" s="70"/>
      <c r="AX634" s="70"/>
    </row>
    <row r="635">
      <c r="A635" s="8"/>
      <c r="B635" s="70"/>
      <c r="C635" s="70"/>
      <c r="D635" s="70"/>
      <c r="E635" s="8"/>
      <c r="F635" s="70"/>
      <c r="G635" s="70"/>
      <c r="H635" s="70"/>
      <c r="I635" s="8"/>
      <c r="J635" s="70"/>
      <c r="K635" s="70"/>
      <c r="L635" s="70"/>
      <c r="M635" s="8"/>
      <c r="N635" s="70"/>
      <c r="O635" s="70"/>
      <c r="P635" s="70"/>
      <c r="Q635" s="8"/>
      <c r="R635" s="70"/>
      <c r="S635" s="70"/>
      <c r="T635" s="70"/>
      <c r="U635" s="8"/>
      <c r="V635" s="70"/>
      <c r="W635" s="70"/>
      <c r="X635" s="70"/>
      <c r="Y635" s="200"/>
      <c r="Z635" s="195"/>
      <c r="AA635" s="195"/>
      <c r="AB635" s="195"/>
      <c r="AC635" s="8"/>
      <c r="AD635" s="70"/>
      <c r="AE635" s="70"/>
      <c r="AF635" s="70"/>
      <c r="AG635" s="201"/>
      <c r="AH635" s="202"/>
      <c r="AI635" s="201"/>
      <c r="AJ635" s="201"/>
      <c r="AK635" s="70"/>
      <c r="AL635" s="70"/>
      <c r="AM635" s="70"/>
      <c r="AN635" s="70"/>
      <c r="AO635" s="70"/>
      <c r="AP635" s="70"/>
      <c r="AQ635" s="70"/>
      <c r="AR635" s="70"/>
      <c r="AS635" s="70"/>
      <c r="AT635" s="70"/>
      <c r="AU635" s="70"/>
      <c r="AV635" s="70"/>
      <c r="AW635" s="70"/>
      <c r="AX635" s="70"/>
    </row>
    <row r="636">
      <c r="A636" s="8"/>
      <c r="B636" s="70"/>
      <c r="C636" s="70"/>
      <c r="D636" s="70"/>
      <c r="E636" s="8"/>
      <c r="F636" s="70"/>
      <c r="G636" s="70"/>
      <c r="H636" s="70"/>
      <c r="I636" s="8"/>
      <c r="J636" s="70"/>
      <c r="K636" s="70"/>
      <c r="L636" s="70"/>
      <c r="M636" s="8"/>
      <c r="N636" s="70"/>
      <c r="O636" s="70"/>
      <c r="P636" s="70"/>
      <c r="Q636" s="8"/>
      <c r="R636" s="70"/>
      <c r="S636" s="70"/>
      <c r="T636" s="70"/>
      <c r="U636" s="8"/>
      <c r="V636" s="70"/>
      <c r="W636" s="70"/>
      <c r="X636" s="70"/>
      <c r="Y636" s="200"/>
      <c r="Z636" s="195"/>
      <c r="AA636" s="195"/>
      <c r="AB636" s="195"/>
      <c r="AC636" s="8"/>
      <c r="AD636" s="70"/>
      <c r="AE636" s="70"/>
      <c r="AF636" s="70"/>
      <c r="AG636" s="201"/>
      <c r="AH636" s="202"/>
      <c r="AI636" s="201"/>
      <c r="AJ636" s="201"/>
      <c r="AK636" s="70"/>
      <c r="AL636" s="70"/>
      <c r="AM636" s="70"/>
      <c r="AN636" s="70"/>
      <c r="AO636" s="70"/>
      <c r="AP636" s="70"/>
      <c r="AQ636" s="70"/>
      <c r="AR636" s="70"/>
      <c r="AS636" s="70"/>
      <c r="AT636" s="70"/>
      <c r="AU636" s="70"/>
      <c r="AV636" s="70"/>
      <c r="AW636" s="70"/>
      <c r="AX636" s="70"/>
    </row>
    <row r="637">
      <c r="A637" s="8"/>
      <c r="B637" s="70"/>
      <c r="C637" s="70"/>
      <c r="D637" s="70"/>
      <c r="E637" s="8"/>
      <c r="F637" s="70"/>
      <c r="G637" s="70"/>
      <c r="H637" s="70"/>
      <c r="I637" s="8"/>
      <c r="J637" s="70"/>
      <c r="K637" s="70"/>
      <c r="L637" s="70"/>
      <c r="M637" s="8"/>
      <c r="N637" s="70"/>
      <c r="O637" s="70"/>
      <c r="P637" s="70"/>
      <c r="Q637" s="8"/>
      <c r="R637" s="70"/>
      <c r="S637" s="70"/>
      <c r="T637" s="70"/>
      <c r="U637" s="8"/>
      <c r="V637" s="70"/>
      <c r="W637" s="70"/>
      <c r="X637" s="70"/>
      <c r="Y637" s="200"/>
      <c r="Z637" s="195"/>
      <c r="AA637" s="195"/>
      <c r="AB637" s="195"/>
      <c r="AC637" s="8"/>
      <c r="AD637" s="70"/>
      <c r="AE637" s="70"/>
      <c r="AF637" s="70"/>
      <c r="AG637" s="201"/>
      <c r="AH637" s="202"/>
      <c r="AI637" s="201"/>
      <c r="AJ637" s="201"/>
      <c r="AK637" s="70"/>
      <c r="AL637" s="70"/>
      <c r="AM637" s="70"/>
      <c r="AN637" s="70"/>
      <c r="AO637" s="70"/>
      <c r="AP637" s="70"/>
      <c r="AQ637" s="70"/>
      <c r="AR637" s="70"/>
      <c r="AS637" s="70"/>
      <c r="AT637" s="70"/>
      <c r="AU637" s="70"/>
      <c r="AV637" s="70"/>
      <c r="AW637" s="70"/>
      <c r="AX637" s="70"/>
    </row>
    <row r="638">
      <c r="A638" s="8"/>
      <c r="B638" s="70"/>
      <c r="C638" s="70"/>
      <c r="D638" s="70"/>
      <c r="E638" s="8"/>
      <c r="F638" s="70"/>
      <c r="G638" s="70"/>
      <c r="H638" s="70"/>
      <c r="I638" s="8"/>
      <c r="J638" s="70"/>
      <c r="K638" s="70"/>
      <c r="L638" s="70"/>
      <c r="M638" s="8"/>
      <c r="N638" s="70"/>
      <c r="O638" s="70"/>
      <c r="P638" s="70"/>
      <c r="Q638" s="8"/>
      <c r="R638" s="70"/>
      <c r="S638" s="70"/>
      <c r="T638" s="70"/>
      <c r="U638" s="8"/>
      <c r="V638" s="70"/>
      <c r="W638" s="70"/>
      <c r="X638" s="70"/>
      <c r="Y638" s="200"/>
      <c r="Z638" s="195"/>
      <c r="AA638" s="195"/>
      <c r="AB638" s="195"/>
      <c r="AC638" s="8"/>
      <c r="AD638" s="70"/>
      <c r="AE638" s="70"/>
      <c r="AF638" s="70"/>
      <c r="AG638" s="201"/>
      <c r="AH638" s="202"/>
      <c r="AI638" s="201"/>
      <c r="AJ638" s="201"/>
      <c r="AK638" s="70"/>
      <c r="AL638" s="70"/>
      <c r="AM638" s="70"/>
      <c r="AN638" s="70"/>
      <c r="AO638" s="70"/>
      <c r="AP638" s="70"/>
      <c r="AQ638" s="70"/>
      <c r="AR638" s="70"/>
      <c r="AS638" s="70"/>
      <c r="AT638" s="70"/>
      <c r="AU638" s="70"/>
      <c r="AV638" s="70"/>
      <c r="AW638" s="70"/>
      <c r="AX638" s="70"/>
    </row>
    <row r="639">
      <c r="A639" s="8"/>
      <c r="B639" s="70"/>
      <c r="C639" s="70"/>
      <c r="D639" s="70"/>
      <c r="E639" s="8"/>
      <c r="F639" s="70"/>
      <c r="G639" s="70"/>
      <c r="H639" s="70"/>
      <c r="I639" s="8"/>
      <c r="J639" s="70"/>
      <c r="K639" s="70"/>
      <c r="L639" s="70"/>
      <c r="M639" s="8"/>
      <c r="N639" s="70"/>
      <c r="O639" s="70"/>
      <c r="P639" s="70"/>
      <c r="Q639" s="8"/>
      <c r="R639" s="70"/>
      <c r="S639" s="70"/>
      <c r="T639" s="70"/>
      <c r="U639" s="8"/>
      <c r="V639" s="70"/>
      <c r="W639" s="70"/>
      <c r="X639" s="70"/>
      <c r="Y639" s="200"/>
      <c r="Z639" s="195"/>
      <c r="AA639" s="195"/>
      <c r="AB639" s="195"/>
      <c r="AC639" s="8"/>
      <c r="AD639" s="70"/>
      <c r="AE639" s="70"/>
      <c r="AF639" s="70"/>
      <c r="AG639" s="201"/>
      <c r="AH639" s="202"/>
      <c r="AI639" s="201"/>
      <c r="AJ639" s="201"/>
      <c r="AK639" s="70"/>
      <c r="AL639" s="70"/>
      <c r="AM639" s="70"/>
      <c r="AN639" s="70"/>
      <c r="AO639" s="70"/>
      <c r="AP639" s="70"/>
      <c r="AQ639" s="70"/>
      <c r="AR639" s="70"/>
      <c r="AS639" s="70"/>
      <c r="AT639" s="70"/>
      <c r="AU639" s="70"/>
      <c r="AV639" s="70"/>
      <c r="AW639" s="70"/>
      <c r="AX639" s="70"/>
    </row>
    <row r="640">
      <c r="A640" s="8"/>
      <c r="B640" s="70"/>
      <c r="C640" s="70"/>
      <c r="D640" s="70"/>
      <c r="E640" s="8"/>
      <c r="F640" s="70"/>
      <c r="G640" s="70"/>
      <c r="H640" s="70"/>
      <c r="I640" s="8"/>
      <c r="J640" s="70"/>
      <c r="K640" s="70"/>
      <c r="L640" s="70"/>
      <c r="M640" s="8"/>
      <c r="N640" s="70"/>
      <c r="O640" s="70"/>
      <c r="P640" s="70"/>
      <c r="Q640" s="8"/>
      <c r="R640" s="70"/>
      <c r="S640" s="70"/>
      <c r="T640" s="70"/>
      <c r="U640" s="8"/>
      <c r="V640" s="70"/>
      <c r="W640" s="70"/>
      <c r="X640" s="70"/>
      <c r="Y640" s="200"/>
      <c r="Z640" s="195"/>
      <c r="AA640" s="195"/>
      <c r="AB640" s="195"/>
      <c r="AC640" s="8"/>
      <c r="AD640" s="70"/>
      <c r="AE640" s="70"/>
      <c r="AF640" s="70"/>
      <c r="AG640" s="201"/>
      <c r="AH640" s="202"/>
      <c r="AI640" s="201"/>
      <c r="AJ640" s="201"/>
      <c r="AK640" s="70"/>
      <c r="AL640" s="70"/>
      <c r="AM640" s="70"/>
      <c r="AN640" s="70"/>
      <c r="AO640" s="70"/>
      <c r="AP640" s="70"/>
      <c r="AQ640" s="70"/>
      <c r="AR640" s="70"/>
      <c r="AS640" s="70"/>
      <c r="AT640" s="70"/>
      <c r="AU640" s="70"/>
      <c r="AV640" s="70"/>
      <c r="AW640" s="70"/>
      <c r="AX640" s="70"/>
    </row>
    <row r="641">
      <c r="A641" s="8"/>
      <c r="B641" s="70"/>
      <c r="C641" s="70"/>
      <c r="D641" s="70"/>
      <c r="E641" s="8"/>
      <c r="F641" s="70"/>
      <c r="G641" s="70"/>
      <c r="H641" s="70"/>
      <c r="I641" s="8"/>
      <c r="J641" s="70"/>
      <c r="K641" s="70"/>
      <c r="L641" s="70"/>
      <c r="M641" s="8"/>
      <c r="N641" s="70"/>
      <c r="O641" s="70"/>
      <c r="P641" s="70"/>
      <c r="Q641" s="8"/>
      <c r="R641" s="70"/>
      <c r="S641" s="70"/>
      <c r="T641" s="70"/>
      <c r="U641" s="8"/>
      <c r="V641" s="70"/>
      <c r="W641" s="70"/>
      <c r="X641" s="70"/>
      <c r="Y641" s="200"/>
      <c r="Z641" s="195"/>
      <c r="AA641" s="195"/>
      <c r="AB641" s="195"/>
      <c r="AC641" s="8"/>
      <c r="AD641" s="70"/>
      <c r="AE641" s="70"/>
      <c r="AF641" s="70"/>
      <c r="AG641" s="201"/>
      <c r="AH641" s="202"/>
      <c r="AI641" s="201"/>
      <c r="AJ641" s="201"/>
      <c r="AK641" s="70"/>
      <c r="AL641" s="70"/>
      <c r="AM641" s="70"/>
      <c r="AN641" s="70"/>
      <c r="AO641" s="70"/>
      <c r="AP641" s="70"/>
      <c r="AQ641" s="70"/>
      <c r="AR641" s="70"/>
      <c r="AS641" s="70"/>
      <c r="AT641" s="70"/>
      <c r="AU641" s="70"/>
      <c r="AV641" s="70"/>
      <c r="AW641" s="70"/>
      <c r="AX641" s="70"/>
    </row>
    <row r="642">
      <c r="A642" s="8"/>
      <c r="B642" s="70"/>
      <c r="C642" s="70"/>
      <c r="D642" s="70"/>
      <c r="E642" s="8"/>
      <c r="F642" s="70"/>
      <c r="G642" s="70"/>
      <c r="H642" s="70"/>
      <c r="I642" s="8"/>
      <c r="J642" s="70"/>
      <c r="K642" s="70"/>
      <c r="L642" s="70"/>
      <c r="M642" s="8"/>
      <c r="N642" s="70"/>
      <c r="O642" s="70"/>
      <c r="P642" s="70"/>
      <c r="Q642" s="8"/>
      <c r="R642" s="70"/>
      <c r="S642" s="70"/>
      <c r="T642" s="70"/>
      <c r="U642" s="8"/>
      <c r="V642" s="70"/>
      <c r="W642" s="70"/>
      <c r="X642" s="70"/>
      <c r="Y642" s="200"/>
      <c r="Z642" s="195"/>
      <c r="AA642" s="195"/>
      <c r="AB642" s="195"/>
      <c r="AC642" s="8"/>
      <c r="AD642" s="70"/>
      <c r="AE642" s="70"/>
      <c r="AF642" s="70"/>
      <c r="AG642" s="201"/>
      <c r="AH642" s="202"/>
      <c r="AI642" s="201"/>
      <c r="AJ642" s="201"/>
      <c r="AK642" s="70"/>
      <c r="AL642" s="70"/>
      <c r="AM642" s="70"/>
      <c r="AN642" s="70"/>
      <c r="AO642" s="70"/>
      <c r="AP642" s="70"/>
      <c r="AQ642" s="70"/>
      <c r="AR642" s="70"/>
      <c r="AS642" s="70"/>
      <c r="AT642" s="70"/>
      <c r="AU642" s="70"/>
      <c r="AV642" s="70"/>
      <c r="AW642" s="70"/>
      <c r="AX642" s="70"/>
    </row>
    <row r="643">
      <c r="A643" s="8"/>
      <c r="B643" s="70"/>
      <c r="C643" s="70"/>
      <c r="D643" s="70"/>
      <c r="E643" s="8"/>
      <c r="F643" s="70"/>
      <c r="G643" s="70"/>
      <c r="H643" s="70"/>
      <c r="I643" s="8"/>
      <c r="J643" s="70"/>
      <c r="K643" s="70"/>
      <c r="L643" s="70"/>
      <c r="M643" s="8"/>
      <c r="N643" s="70"/>
      <c r="O643" s="70"/>
      <c r="P643" s="70"/>
      <c r="Q643" s="8"/>
      <c r="R643" s="70"/>
      <c r="S643" s="70"/>
      <c r="T643" s="70"/>
      <c r="U643" s="8"/>
      <c r="V643" s="70"/>
      <c r="W643" s="70"/>
      <c r="X643" s="70"/>
      <c r="Y643" s="200"/>
      <c r="Z643" s="195"/>
      <c r="AA643" s="195"/>
      <c r="AB643" s="195"/>
      <c r="AC643" s="8"/>
      <c r="AD643" s="70"/>
      <c r="AE643" s="70"/>
      <c r="AF643" s="70"/>
      <c r="AG643" s="201"/>
      <c r="AH643" s="202"/>
      <c r="AI643" s="201"/>
      <c r="AJ643" s="201"/>
      <c r="AK643" s="70"/>
      <c r="AL643" s="70"/>
      <c r="AM643" s="70"/>
      <c r="AN643" s="70"/>
      <c r="AO643" s="70"/>
      <c r="AP643" s="70"/>
      <c r="AQ643" s="70"/>
      <c r="AR643" s="70"/>
      <c r="AS643" s="70"/>
      <c r="AT643" s="70"/>
      <c r="AU643" s="70"/>
      <c r="AV643" s="70"/>
      <c r="AW643" s="70"/>
      <c r="AX643" s="70"/>
    </row>
    <row r="644">
      <c r="A644" s="8"/>
      <c r="B644" s="70"/>
      <c r="C644" s="70"/>
      <c r="D644" s="70"/>
      <c r="E644" s="8"/>
      <c r="F644" s="70"/>
      <c r="G644" s="70"/>
      <c r="H644" s="70"/>
      <c r="I644" s="8"/>
      <c r="J644" s="70"/>
      <c r="K644" s="70"/>
      <c r="L644" s="70"/>
      <c r="M644" s="8"/>
      <c r="N644" s="70"/>
      <c r="O644" s="70"/>
      <c r="P644" s="70"/>
      <c r="Q644" s="8"/>
      <c r="R644" s="70"/>
      <c r="S644" s="70"/>
      <c r="T644" s="70"/>
      <c r="U644" s="8"/>
      <c r="V644" s="70"/>
      <c r="W644" s="70"/>
      <c r="X644" s="70"/>
      <c r="Y644" s="200"/>
      <c r="Z644" s="195"/>
      <c r="AA644" s="195"/>
      <c r="AB644" s="195"/>
      <c r="AC644" s="8"/>
      <c r="AD644" s="70"/>
      <c r="AE644" s="70"/>
      <c r="AF644" s="70"/>
      <c r="AG644" s="201"/>
      <c r="AH644" s="202"/>
      <c r="AI644" s="201"/>
      <c r="AJ644" s="201"/>
      <c r="AK644" s="70"/>
      <c r="AL644" s="70"/>
      <c r="AM644" s="70"/>
      <c r="AN644" s="70"/>
      <c r="AO644" s="70"/>
      <c r="AP644" s="70"/>
      <c r="AQ644" s="70"/>
      <c r="AR644" s="70"/>
      <c r="AS644" s="70"/>
      <c r="AT644" s="70"/>
      <c r="AU644" s="70"/>
      <c r="AV644" s="70"/>
      <c r="AW644" s="70"/>
      <c r="AX644" s="70"/>
    </row>
    <row r="645">
      <c r="A645" s="8"/>
      <c r="B645" s="70"/>
      <c r="C645" s="70"/>
      <c r="D645" s="70"/>
      <c r="E645" s="8"/>
      <c r="F645" s="70"/>
      <c r="G645" s="70"/>
      <c r="H645" s="70"/>
      <c r="I645" s="8"/>
      <c r="J645" s="70"/>
      <c r="K645" s="70"/>
      <c r="L645" s="70"/>
      <c r="M645" s="8"/>
      <c r="N645" s="70"/>
      <c r="O645" s="70"/>
      <c r="P645" s="70"/>
      <c r="Q645" s="8"/>
      <c r="R645" s="70"/>
      <c r="S645" s="70"/>
      <c r="T645" s="70"/>
      <c r="U645" s="8"/>
      <c r="V645" s="70"/>
      <c r="W645" s="70"/>
      <c r="X645" s="70"/>
      <c r="Y645" s="200"/>
      <c r="Z645" s="195"/>
      <c r="AA645" s="195"/>
      <c r="AB645" s="195"/>
      <c r="AC645" s="8"/>
      <c r="AD645" s="70"/>
      <c r="AE645" s="70"/>
      <c r="AF645" s="70"/>
      <c r="AG645" s="201"/>
      <c r="AH645" s="202"/>
      <c r="AI645" s="201"/>
      <c r="AJ645" s="201"/>
      <c r="AK645" s="70"/>
      <c r="AL645" s="70"/>
      <c r="AM645" s="70"/>
      <c r="AN645" s="70"/>
      <c r="AO645" s="70"/>
      <c r="AP645" s="70"/>
      <c r="AQ645" s="70"/>
      <c r="AR645" s="70"/>
      <c r="AS645" s="70"/>
      <c r="AT645" s="70"/>
      <c r="AU645" s="70"/>
      <c r="AV645" s="70"/>
      <c r="AW645" s="70"/>
      <c r="AX645" s="70"/>
    </row>
    <row r="646">
      <c r="A646" s="8"/>
      <c r="B646" s="70"/>
      <c r="C646" s="70"/>
      <c r="D646" s="70"/>
      <c r="E646" s="8"/>
      <c r="F646" s="70"/>
      <c r="G646" s="70"/>
      <c r="H646" s="70"/>
      <c r="I646" s="8"/>
      <c r="J646" s="70"/>
      <c r="K646" s="70"/>
      <c r="L646" s="70"/>
      <c r="M646" s="8"/>
      <c r="N646" s="70"/>
      <c r="O646" s="70"/>
      <c r="P646" s="70"/>
      <c r="Q646" s="8"/>
      <c r="R646" s="70"/>
      <c r="S646" s="70"/>
      <c r="T646" s="70"/>
      <c r="U646" s="8"/>
      <c r="V646" s="70"/>
      <c r="W646" s="70"/>
      <c r="X646" s="70"/>
      <c r="Y646" s="200"/>
      <c r="Z646" s="195"/>
      <c r="AA646" s="195"/>
      <c r="AB646" s="195"/>
      <c r="AC646" s="8"/>
      <c r="AD646" s="70"/>
      <c r="AE646" s="70"/>
      <c r="AF646" s="70"/>
      <c r="AG646" s="201"/>
      <c r="AH646" s="202"/>
      <c r="AI646" s="201"/>
      <c r="AJ646" s="201"/>
      <c r="AK646" s="70"/>
      <c r="AL646" s="70"/>
      <c r="AM646" s="70"/>
      <c r="AN646" s="70"/>
      <c r="AO646" s="70"/>
      <c r="AP646" s="70"/>
      <c r="AQ646" s="70"/>
      <c r="AR646" s="70"/>
      <c r="AS646" s="70"/>
      <c r="AT646" s="70"/>
      <c r="AU646" s="70"/>
      <c r="AV646" s="70"/>
      <c r="AW646" s="70"/>
      <c r="AX646" s="70"/>
    </row>
    <row r="647">
      <c r="A647" s="8"/>
      <c r="B647" s="70"/>
      <c r="C647" s="70"/>
      <c r="D647" s="70"/>
      <c r="E647" s="8"/>
      <c r="F647" s="70"/>
      <c r="G647" s="70"/>
      <c r="H647" s="70"/>
      <c r="I647" s="8"/>
      <c r="J647" s="70"/>
      <c r="K647" s="70"/>
      <c r="L647" s="70"/>
      <c r="M647" s="8"/>
      <c r="N647" s="70"/>
      <c r="O647" s="70"/>
      <c r="P647" s="70"/>
      <c r="Q647" s="8"/>
      <c r="R647" s="70"/>
      <c r="S647" s="70"/>
      <c r="T647" s="70"/>
      <c r="U647" s="8"/>
      <c r="V647" s="70"/>
      <c r="W647" s="70"/>
      <c r="X647" s="70"/>
      <c r="Y647" s="200"/>
      <c r="Z647" s="195"/>
      <c r="AA647" s="195"/>
      <c r="AB647" s="195"/>
      <c r="AC647" s="8"/>
      <c r="AD647" s="70"/>
      <c r="AE647" s="70"/>
      <c r="AF647" s="70"/>
      <c r="AG647" s="201"/>
      <c r="AH647" s="202"/>
      <c r="AI647" s="201"/>
      <c r="AJ647" s="201"/>
      <c r="AK647" s="70"/>
      <c r="AL647" s="70"/>
      <c r="AM647" s="70"/>
      <c r="AN647" s="70"/>
      <c r="AO647" s="70"/>
      <c r="AP647" s="70"/>
      <c r="AQ647" s="70"/>
      <c r="AR647" s="70"/>
      <c r="AS647" s="70"/>
      <c r="AT647" s="70"/>
      <c r="AU647" s="70"/>
      <c r="AV647" s="70"/>
      <c r="AW647" s="70"/>
      <c r="AX647" s="70"/>
    </row>
    <row r="648">
      <c r="A648" s="8"/>
      <c r="B648" s="70"/>
      <c r="C648" s="70"/>
      <c r="D648" s="70"/>
      <c r="E648" s="8"/>
      <c r="F648" s="70"/>
      <c r="G648" s="70"/>
      <c r="H648" s="70"/>
      <c r="I648" s="8"/>
      <c r="J648" s="70"/>
      <c r="K648" s="70"/>
      <c r="L648" s="70"/>
      <c r="M648" s="8"/>
      <c r="N648" s="70"/>
      <c r="O648" s="70"/>
      <c r="P648" s="70"/>
      <c r="Q648" s="8"/>
      <c r="R648" s="70"/>
      <c r="S648" s="70"/>
      <c r="T648" s="70"/>
      <c r="U648" s="8"/>
      <c r="V648" s="70"/>
      <c r="W648" s="70"/>
      <c r="X648" s="70"/>
      <c r="Y648" s="200"/>
      <c r="Z648" s="195"/>
      <c r="AA648" s="195"/>
      <c r="AB648" s="195"/>
      <c r="AC648" s="8"/>
      <c r="AD648" s="70"/>
      <c r="AE648" s="70"/>
      <c r="AF648" s="70"/>
      <c r="AG648" s="201"/>
      <c r="AH648" s="202"/>
      <c r="AI648" s="201"/>
      <c r="AJ648" s="201"/>
      <c r="AK648" s="70"/>
      <c r="AL648" s="70"/>
      <c r="AM648" s="70"/>
      <c r="AN648" s="70"/>
      <c r="AO648" s="70"/>
      <c r="AP648" s="70"/>
      <c r="AQ648" s="70"/>
      <c r="AR648" s="70"/>
      <c r="AS648" s="70"/>
      <c r="AT648" s="70"/>
      <c r="AU648" s="70"/>
      <c r="AV648" s="70"/>
      <c r="AW648" s="70"/>
      <c r="AX648" s="70"/>
    </row>
    <row r="649">
      <c r="A649" s="8"/>
      <c r="B649" s="70"/>
      <c r="C649" s="70"/>
      <c r="D649" s="70"/>
      <c r="E649" s="8"/>
      <c r="F649" s="70"/>
      <c r="G649" s="70"/>
      <c r="H649" s="70"/>
      <c r="I649" s="8"/>
      <c r="J649" s="70"/>
      <c r="K649" s="70"/>
      <c r="L649" s="70"/>
      <c r="M649" s="8"/>
      <c r="N649" s="70"/>
      <c r="O649" s="70"/>
      <c r="P649" s="70"/>
      <c r="Q649" s="8"/>
      <c r="R649" s="70"/>
      <c r="S649" s="70"/>
      <c r="T649" s="70"/>
      <c r="U649" s="8"/>
      <c r="V649" s="70"/>
      <c r="W649" s="70"/>
      <c r="X649" s="70"/>
      <c r="Y649" s="200"/>
      <c r="Z649" s="195"/>
      <c r="AA649" s="195"/>
      <c r="AB649" s="195"/>
      <c r="AC649" s="8"/>
      <c r="AD649" s="70"/>
      <c r="AE649" s="70"/>
      <c r="AF649" s="70"/>
      <c r="AG649" s="201"/>
      <c r="AH649" s="202"/>
      <c r="AI649" s="201"/>
      <c r="AJ649" s="201"/>
      <c r="AK649" s="70"/>
      <c r="AL649" s="70"/>
      <c r="AM649" s="70"/>
      <c r="AN649" s="70"/>
      <c r="AO649" s="70"/>
      <c r="AP649" s="70"/>
      <c r="AQ649" s="70"/>
      <c r="AR649" s="70"/>
      <c r="AS649" s="70"/>
      <c r="AT649" s="70"/>
      <c r="AU649" s="70"/>
      <c r="AV649" s="70"/>
      <c r="AW649" s="70"/>
      <c r="AX649" s="70"/>
    </row>
    <row r="650">
      <c r="A650" s="8"/>
      <c r="B650" s="70"/>
      <c r="C650" s="70"/>
      <c r="D650" s="70"/>
      <c r="E650" s="8"/>
      <c r="F650" s="70"/>
      <c r="G650" s="70"/>
      <c r="H650" s="70"/>
      <c r="I650" s="8"/>
      <c r="J650" s="70"/>
      <c r="K650" s="70"/>
      <c r="L650" s="70"/>
      <c r="M650" s="8"/>
      <c r="N650" s="70"/>
      <c r="O650" s="70"/>
      <c r="P650" s="70"/>
      <c r="Q650" s="8"/>
      <c r="R650" s="70"/>
      <c r="S650" s="70"/>
      <c r="T650" s="70"/>
      <c r="U650" s="8"/>
      <c r="V650" s="70"/>
      <c r="W650" s="70"/>
      <c r="X650" s="70"/>
      <c r="Y650" s="200"/>
      <c r="Z650" s="195"/>
      <c r="AA650" s="195"/>
      <c r="AB650" s="195"/>
      <c r="AC650" s="8"/>
      <c r="AD650" s="70"/>
      <c r="AE650" s="70"/>
      <c r="AF650" s="70"/>
      <c r="AG650" s="201"/>
      <c r="AH650" s="202"/>
      <c r="AI650" s="201"/>
      <c r="AJ650" s="201"/>
      <c r="AK650" s="70"/>
      <c r="AL650" s="70"/>
      <c r="AM650" s="70"/>
      <c r="AN650" s="70"/>
      <c r="AO650" s="70"/>
      <c r="AP650" s="70"/>
      <c r="AQ650" s="70"/>
      <c r="AR650" s="70"/>
      <c r="AS650" s="70"/>
      <c r="AT650" s="70"/>
      <c r="AU650" s="70"/>
      <c r="AV650" s="70"/>
      <c r="AW650" s="70"/>
      <c r="AX650" s="70"/>
    </row>
    <row r="651">
      <c r="A651" s="8"/>
      <c r="B651" s="70"/>
      <c r="C651" s="70"/>
      <c r="D651" s="70"/>
      <c r="E651" s="8"/>
      <c r="F651" s="70"/>
      <c r="G651" s="70"/>
      <c r="H651" s="70"/>
      <c r="I651" s="8"/>
      <c r="J651" s="70"/>
      <c r="K651" s="70"/>
      <c r="L651" s="70"/>
      <c r="M651" s="8"/>
      <c r="N651" s="70"/>
      <c r="O651" s="70"/>
      <c r="P651" s="70"/>
      <c r="Q651" s="8"/>
      <c r="R651" s="70"/>
      <c r="S651" s="70"/>
      <c r="T651" s="70"/>
      <c r="U651" s="8"/>
      <c r="V651" s="70"/>
      <c r="W651" s="70"/>
      <c r="X651" s="70"/>
      <c r="Y651" s="200"/>
      <c r="Z651" s="195"/>
      <c r="AA651" s="195"/>
      <c r="AB651" s="195"/>
      <c r="AC651" s="8"/>
      <c r="AD651" s="70"/>
      <c r="AE651" s="70"/>
      <c r="AF651" s="70"/>
      <c r="AG651" s="201"/>
      <c r="AH651" s="202"/>
      <c r="AI651" s="201"/>
      <c r="AJ651" s="201"/>
      <c r="AK651" s="70"/>
      <c r="AL651" s="70"/>
      <c r="AM651" s="70"/>
      <c r="AN651" s="70"/>
      <c r="AO651" s="70"/>
      <c r="AP651" s="70"/>
      <c r="AQ651" s="70"/>
      <c r="AR651" s="70"/>
      <c r="AS651" s="70"/>
      <c r="AT651" s="70"/>
      <c r="AU651" s="70"/>
      <c r="AV651" s="70"/>
      <c r="AW651" s="70"/>
      <c r="AX651" s="70"/>
    </row>
    <row r="652">
      <c r="A652" s="8"/>
      <c r="B652" s="70"/>
      <c r="C652" s="70"/>
      <c r="D652" s="70"/>
      <c r="E652" s="8"/>
      <c r="F652" s="70"/>
      <c r="G652" s="70"/>
      <c r="H652" s="70"/>
      <c r="I652" s="8"/>
      <c r="J652" s="70"/>
      <c r="K652" s="70"/>
      <c r="L652" s="70"/>
      <c r="M652" s="8"/>
      <c r="N652" s="70"/>
      <c r="O652" s="70"/>
      <c r="P652" s="70"/>
      <c r="Q652" s="8"/>
      <c r="R652" s="70"/>
      <c r="S652" s="70"/>
      <c r="T652" s="70"/>
      <c r="U652" s="8"/>
      <c r="V652" s="70"/>
      <c r="W652" s="70"/>
      <c r="X652" s="70"/>
      <c r="Y652" s="200"/>
      <c r="Z652" s="195"/>
      <c r="AA652" s="195"/>
      <c r="AB652" s="195"/>
      <c r="AC652" s="8"/>
      <c r="AD652" s="70"/>
      <c r="AE652" s="70"/>
      <c r="AF652" s="70"/>
      <c r="AG652" s="201"/>
      <c r="AH652" s="202"/>
      <c r="AI652" s="201"/>
      <c r="AJ652" s="201"/>
      <c r="AK652" s="70"/>
      <c r="AL652" s="70"/>
      <c r="AM652" s="70"/>
      <c r="AN652" s="70"/>
      <c r="AO652" s="70"/>
      <c r="AP652" s="70"/>
      <c r="AQ652" s="70"/>
      <c r="AR652" s="70"/>
      <c r="AS652" s="70"/>
      <c r="AT652" s="70"/>
      <c r="AU652" s="70"/>
      <c r="AV652" s="70"/>
      <c r="AW652" s="70"/>
      <c r="AX652" s="70"/>
    </row>
    <row r="653">
      <c r="A653" s="8"/>
      <c r="B653" s="70"/>
      <c r="C653" s="70"/>
      <c r="D653" s="70"/>
      <c r="E653" s="8"/>
      <c r="F653" s="70"/>
      <c r="G653" s="70"/>
      <c r="H653" s="70"/>
      <c r="I653" s="8"/>
      <c r="J653" s="70"/>
      <c r="K653" s="70"/>
      <c r="L653" s="70"/>
      <c r="M653" s="8"/>
      <c r="N653" s="70"/>
      <c r="O653" s="70"/>
      <c r="P653" s="70"/>
      <c r="Q653" s="8"/>
      <c r="R653" s="70"/>
      <c r="S653" s="70"/>
      <c r="T653" s="70"/>
      <c r="U653" s="8"/>
      <c r="V653" s="70"/>
      <c r="W653" s="70"/>
      <c r="X653" s="70"/>
      <c r="Y653" s="200"/>
      <c r="Z653" s="195"/>
      <c r="AA653" s="195"/>
      <c r="AB653" s="195"/>
      <c r="AC653" s="8"/>
      <c r="AD653" s="70"/>
      <c r="AE653" s="70"/>
      <c r="AF653" s="70"/>
      <c r="AG653" s="201"/>
      <c r="AH653" s="202"/>
      <c r="AI653" s="201"/>
      <c r="AJ653" s="201"/>
      <c r="AK653" s="70"/>
      <c r="AL653" s="70"/>
      <c r="AM653" s="70"/>
      <c r="AN653" s="70"/>
      <c r="AO653" s="70"/>
      <c r="AP653" s="70"/>
      <c r="AQ653" s="70"/>
      <c r="AR653" s="70"/>
      <c r="AS653" s="70"/>
      <c r="AT653" s="70"/>
      <c r="AU653" s="70"/>
      <c r="AV653" s="70"/>
      <c r="AW653" s="70"/>
      <c r="AX653" s="70"/>
    </row>
    <row r="654">
      <c r="A654" s="8"/>
      <c r="B654" s="70"/>
      <c r="C654" s="70"/>
      <c r="D654" s="70"/>
      <c r="E654" s="8"/>
      <c r="F654" s="70"/>
      <c r="G654" s="70"/>
      <c r="H654" s="70"/>
      <c r="I654" s="8"/>
      <c r="J654" s="70"/>
      <c r="K654" s="70"/>
      <c r="L654" s="70"/>
      <c r="M654" s="8"/>
      <c r="N654" s="70"/>
      <c r="O654" s="70"/>
      <c r="P654" s="70"/>
      <c r="Q654" s="8"/>
      <c r="R654" s="70"/>
      <c r="S654" s="70"/>
      <c r="T654" s="70"/>
      <c r="U654" s="8"/>
      <c r="V654" s="70"/>
      <c r="W654" s="70"/>
      <c r="X654" s="70"/>
      <c r="Y654" s="200"/>
      <c r="Z654" s="195"/>
      <c r="AA654" s="195"/>
      <c r="AB654" s="195"/>
      <c r="AC654" s="8"/>
      <c r="AD654" s="70"/>
      <c r="AE654" s="70"/>
      <c r="AF654" s="70"/>
      <c r="AG654" s="201"/>
      <c r="AH654" s="202"/>
      <c r="AI654" s="201"/>
      <c r="AJ654" s="201"/>
      <c r="AK654" s="70"/>
      <c r="AL654" s="70"/>
      <c r="AM654" s="70"/>
      <c r="AN654" s="70"/>
      <c r="AO654" s="70"/>
      <c r="AP654" s="70"/>
      <c r="AQ654" s="70"/>
      <c r="AR654" s="70"/>
      <c r="AS654" s="70"/>
      <c r="AT654" s="70"/>
      <c r="AU654" s="70"/>
      <c r="AV654" s="70"/>
      <c r="AW654" s="70"/>
      <c r="AX654" s="70"/>
    </row>
    <row r="655">
      <c r="A655" s="8"/>
      <c r="B655" s="70"/>
      <c r="C655" s="70"/>
      <c r="D655" s="70"/>
      <c r="E655" s="8"/>
      <c r="F655" s="70"/>
      <c r="G655" s="70"/>
      <c r="H655" s="70"/>
      <c r="I655" s="8"/>
      <c r="J655" s="70"/>
      <c r="K655" s="70"/>
      <c r="L655" s="70"/>
      <c r="M655" s="8"/>
      <c r="N655" s="70"/>
      <c r="O655" s="70"/>
      <c r="P655" s="70"/>
      <c r="Q655" s="8"/>
      <c r="R655" s="70"/>
      <c r="S655" s="70"/>
      <c r="T655" s="70"/>
      <c r="U655" s="8"/>
      <c r="V655" s="70"/>
      <c r="W655" s="70"/>
      <c r="X655" s="70"/>
      <c r="Y655" s="200"/>
      <c r="Z655" s="195"/>
      <c r="AA655" s="195"/>
      <c r="AB655" s="195"/>
      <c r="AC655" s="8"/>
      <c r="AD655" s="70"/>
      <c r="AE655" s="70"/>
      <c r="AF655" s="70"/>
      <c r="AG655" s="201"/>
      <c r="AH655" s="202"/>
      <c r="AI655" s="201"/>
      <c r="AJ655" s="201"/>
      <c r="AK655" s="70"/>
      <c r="AL655" s="70"/>
      <c r="AM655" s="70"/>
      <c r="AN655" s="70"/>
      <c r="AO655" s="70"/>
      <c r="AP655" s="70"/>
      <c r="AQ655" s="70"/>
      <c r="AR655" s="70"/>
      <c r="AS655" s="70"/>
      <c r="AT655" s="70"/>
      <c r="AU655" s="70"/>
      <c r="AV655" s="70"/>
      <c r="AW655" s="70"/>
      <c r="AX655" s="70"/>
    </row>
    <row r="656">
      <c r="A656" s="8"/>
      <c r="B656" s="70"/>
      <c r="C656" s="70"/>
      <c r="D656" s="70"/>
      <c r="E656" s="8"/>
      <c r="F656" s="70"/>
      <c r="G656" s="70"/>
      <c r="H656" s="70"/>
      <c r="I656" s="8"/>
      <c r="J656" s="70"/>
      <c r="K656" s="70"/>
      <c r="L656" s="70"/>
      <c r="M656" s="8"/>
      <c r="N656" s="70"/>
      <c r="O656" s="70"/>
      <c r="P656" s="70"/>
      <c r="Q656" s="8"/>
      <c r="R656" s="70"/>
      <c r="S656" s="70"/>
      <c r="T656" s="70"/>
      <c r="U656" s="8"/>
      <c r="V656" s="70"/>
      <c r="W656" s="70"/>
      <c r="X656" s="70"/>
      <c r="Y656" s="200"/>
      <c r="Z656" s="195"/>
      <c r="AA656" s="195"/>
      <c r="AB656" s="195"/>
      <c r="AC656" s="8"/>
      <c r="AD656" s="70"/>
      <c r="AE656" s="70"/>
      <c r="AF656" s="70"/>
      <c r="AG656" s="201"/>
      <c r="AH656" s="202"/>
      <c r="AI656" s="201"/>
      <c r="AJ656" s="201"/>
      <c r="AK656" s="70"/>
      <c r="AL656" s="70"/>
      <c r="AM656" s="70"/>
      <c r="AN656" s="70"/>
      <c r="AO656" s="70"/>
      <c r="AP656" s="70"/>
      <c r="AQ656" s="70"/>
      <c r="AR656" s="70"/>
      <c r="AS656" s="70"/>
      <c r="AT656" s="70"/>
      <c r="AU656" s="70"/>
      <c r="AV656" s="70"/>
      <c r="AW656" s="70"/>
      <c r="AX656" s="70"/>
    </row>
    <row r="657">
      <c r="A657" s="8"/>
      <c r="B657" s="70"/>
      <c r="C657" s="70"/>
      <c r="D657" s="70"/>
      <c r="E657" s="8"/>
      <c r="F657" s="70"/>
      <c r="G657" s="70"/>
      <c r="H657" s="70"/>
      <c r="I657" s="8"/>
      <c r="J657" s="70"/>
      <c r="K657" s="70"/>
      <c r="L657" s="70"/>
      <c r="M657" s="8"/>
      <c r="N657" s="70"/>
      <c r="O657" s="70"/>
      <c r="P657" s="70"/>
      <c r="Q657" s="8"/>
      <c r="R657" s="70"/>
      <c r="S657" s="70"/>
      <c r="T657" s="70"/>
      <c r="U657" s="8"/>
      <c r="V657" s="70"/>
      <c r="W657" s="70"/>
      <c r="X657" s="70"/>
      <c r="Y657" s="200"/>
      <c r="Z657" s="195"/>
      <c r="AA657" s="195"/>
      <c r="AB657" s="195"/>
      <c r="AC657" s="8"/>
      <c r="AD657" s="70"/>
      <c r="AE657" s="70"/>
      <c r="AF657" s="70"/>
      <c r="AG657" s="201"/>
      <c r="AH657" s="202"/>
      <c r="AI657" s="201"/>
      <c r="AJ657" s="201"/>
      <c r="AK657" s="70"/>
      <c r="AL657" s="70"/>
      <c r="AM657" s="70"/>
      <c r="AN657" s="70"/>
      <c r="AO657" s="70"/>
      <c r="AP657" s="70"/>
      <c r="AQ657" s="70"/>
      <c r="AR657" s="70"/>
      <c r="AS657" s="70"/>
      <c r="AT657" s="70"/>
      <c r="AU657" s="70"/>
      <c r="AV657" s="70"/>
      <c r="AW657" s="70"/>
      <c r="AX657" s="70"/>
    </row>
    <row r="658">
      <c r="A658" s="8"/>
      <c r="B658" s="70"/>
      <c r="C658" s="70"/>
      <c r="D658" s="70"/>
      <c r="E658" s="8"/>
      <c r="F658" s="70"/>
      <c r="G658" s="70"/>
      <c r="H658" s="70"/>
      <c r="I658" s="8"/>
      <c r="J658" s="70"/>
      <c r="K658" s="70"/>
      <c r="L658" s="70"/>
      <c r="M658" s="8"/>
      <c r="N658" s="70"/>
      <c r="O658" s="70"/>
      <c r="P658" s="70"/>
      <c r="Q658" s="8"/>
      <c r="R658" s="70"/>
      <c r="S658" s="70"/>
      <c r="T658" s="70"/>
      <c r="U658" s="8"/>
      <c r="V658" s="70"/>
      <c r="W658" s="70"/>
      <c r="X658" s="70"/>
      <c r="Y658" s="200"/>
      <c r="Z658" s="195"/>
      <c r="AA658" s="195"/>
      <c r="AB658" s="195"/>
      <c r="AC658" s="8"/>
      <c r="AD658" s="70"/>
      <c r="AE658" s="70"/>
      <c r="AF658" s="70"/>
      <c r="AG658" s="201"/>
      <c r="AH658" s="202"/>
      <c r="AI658" s="201"/>
      <c r="AJ658" s="201"/>
      <c r="AK658" s="70"/>
      <c r="AL658" s="70"/>
      <c r="AM658" s="70"/>
      <c r="AN658" s="70"/>
      <c r="AO658" s="70"/>
      <c r="AP658" s="70"/>
      <c r="AQ658" s="70"/>
      <c r="AR658" s="70"/>
      <c r="AS658" s="70"/>
      <c r="AT658" s="70"/>
      <c r="AU658" s="70"/>
      <c r="AV658" s="70"/>
      <c r="AW658" s="70"/>
      <c r="AX658" s="70"/>
    </row>
    <row r="659">
      <c r="A659" s="8"/>
      <c r="B659" s="70"/>
      <c r="C659" s="70"/>
      <c r="D659" s="70"/>
      <c r="E659" s="8"/>
      <c r="F659" s="70"/>
      <c r="G659" s="70"/>
      <c r="H659" s="70"/>
      <c r="I659" s="8"/>
      <c r="J659" s="70"/>
      <c r="K659" s="70"/>
      <c r="L659" s="70"/>
      <c r="M659" s="8"/>
      <c r="N659" s="70"/>
      <c r="O659" s="70"/>
      <c r="P659" s="70"/>
      <c r="Q659" s="8"/>
      <c r="R659" s="70"/>
      <c r="S659" s="70"/>
      <c r="T659" s="70"/>
      <c r="U659" s="8"/>
      <c r="V659" s="70"/>
      <c r="W659" s="70"/>
      <c r="X659" s="70"/>
      <c r="Y659" s="200"/>
      <c r="Z659" s="195"/>
      <c r="AA659" s="195"/>
      <c r="AB659" s="195"/>
      <c r="AC659" s="8"/>
      <c r="AD659" s="70"/>
      <c r="AE659" s="70"/>
      <c r="AF659" s="70"/>
      <c r="AG659" s="201"/>
      <c r="AH659" s="202"/>
      <c r="AI659" s="201"/>
      <c r="AJ659" s="201"/>
      <c r="AK659" s="70"/>
      <c r="AL659" s="70"/>
      <c r="AM659" s="70"/>
      <c r="AN659" s="70"/>
      <c r="AO659" s="70"/>
      <c r="AP659" s="70"/>
      <c r="AQ659" s="70"/>
      <c r="AR659" s="70"/>
      <c r="AS659" s="70"/>
      <c r="AT659" s="70"/>
      <c r="AU659" s="70"/>
      <c r="AV659" s="70"/>
      <c r="AW659" s="70"/>
      <c r="AX659" s="70"/>
    </row>
    <row r="660">
      <c r="A660" s="8"/>
      <c r="B660" s="70"/>
      <c r="C660" s="70"/>
      <c r="D660" s="70"/>
      <c r="E660" s="8"/>
      <c r="F660" s="70"/>
      <c r="G660" s="70"/>
      <c r="H660" s="70"/>
      <c r="I660" s="8"/>
      <c r="J660" s="70"/>
      <c r="K660" s="70"/>
      <c r="L660" s="70"/>
      <c r="M660" s="8"/>
      <c r="N660" s="70"/>
      <c r="O660" s="70"/>
      <c r="P660" s="70"/>
      <c r="Q660" s="8"/>
      <c r="R660" s="70"/>
      <c r="S660" s="70"/>
      <c r="T660" s="70"/>
      <c r="U660" s="8"/>
      <c r="V660" s="70"/>
      <c r="W660" s="70"/>
      <c r="X660" s="70"/>
      <c r="Y660" s="200"/>
      <c r="Z660" s="195"/>
      <c r="AA660" s="195"/>
      <c r="AB660" s="195"/>
      <c r="AC660" s="8"/>
      <c r="AD660" s="70"/>
      <c r="AE660" s="70"/>
      <c r="AF660" s="70"/>
      <c r="AG660" s="201"/>
      <c r="AH660" s="202"/>
      <c r="AI660" s="201"/>
      <c r="AJ660" s="201"/>
      <c r="AK660" s="70"/>
      <c r="AL660" s="70"/>
      <c r="AM660" s="70"/>
      <c r="AN660" s="70"/>
      <c r="AO660" s="70"/>
      <c r="AP660" s="70"/>
      <c r="AQ660" s="70"/>
      <c r="AR660" s="70"/>
      <c r="AS660" s="70"/>
      <c r="AT660" s="70"/>
      <c r="AU660" s="70"/>
      <c r="AV660" s="70"/>
      <c r="AW660" s="70"/>
      <c r="AX660" s="70"/>
    </row>
    <row r="661">
      <c r="A661" s="8"/>
      <c r="B661" s="70"/>
      <c r="C661" s="70"/>
      <c r="D661" s="70"/>
      <c r="E661" s="8"/>
      <c r="F661" s="70"/>
      <c r="G661" s="70"/>
      <c r="H661" s="70"/>
      <c r="I661" s="8"/>
      <c r="J661" s="70"/>
      <c r="K661" s="70"/>
      <c r="L661" s="70"/>
      <c r="M661" s="8"/>
      <c r="N661" s="70"/>
      <c r="O661" s="70"/>
      <c r="P661" s="70"/>
      <c r="Q661" s="8"/>
      <c r="R661" s="70"/>
      <c r="S661" s="70"/>
      <c r="T661" s="70"/>
      <c r="U661" s="8"/>
      <c r="V661" s="70"/>
      <c r="W661" s="70"/>
      <c r="X661" s="70"/>
      <c r="Y661" s="200"/>
      <c r="Z661" s="195"/>
      <c r="AA661" s="195"/>
      <c r="AB661" s="195"/>
      <c r="AC661" s="8"/>
      <c r="AD661" s="70"/>
      <c r="AE661" s="70"/>
      <c r="AF661" s="70"/>
      <c r="AG661" s="201"/>
      <c r="AH661" s="202"/>
      <c r="AI661" s="201"/>
      <c r="AJ661" s="201"/>
      <c r="AK661" s="70"/>
      <c r="AL661" s="70"/>
      <c r="AM661" s="70"/>
      <c r="AN661" s="70"/>
      <c r="AO661" s="70"/>
      <c r="AP661" s="70"/>
      <c r="AQ661" s="70"/>
      <c r="AR661" s="70"/>
      <c r="AS661" s="70"/>
      <c r="AT661" s="70"/>
      <c r="AU661" s="70"/>
      <c r="AV661" s="70"/>
      <c r="AW661" s="70"/>
      <c r="AX661" s="70"/>
    </row>
    <row r="662">
      <c r="A662" s="8"/>
      <c r="B662" s="70"/>
      <c r="C662" s="70"/>
      <c r="D662" s="70"/>
      <c r="E662" s="8"/>
      <c r="F662" s="70"/>
      <c r="G662" s="70"/>
      <c r="H662" s="70"/>
      <c r="I662" s="8"/>
      <c r="J662" s="70"/>
      <c r="K662" s="70"/>
      <c r="L662" s="70"/>
      <c r="M662" s="8"/>
      <c r="N662" s="70"/>
      <c r="O662" s="70"/>
      <c r="P662" s="70"/>
      <c r="Q662" s="8"/>
      <c r="R662" s="70"/>
      <c r="S662" s="70"/>
      <c r="T662" s="70"/>
      <c r="U662" s="8"/>
      <c r="V662" s="70"/>
      <c r="W662" s="70"/>
      <c r="X662" s="70"/>
      <c r="Y662" s="200"/>
      <c r="Z662" s="195"/>
      <c r="AA662" s="195"/>
      <c r="AB662" s="195"/>
      <c r="AC662" s="8"/>
      <c r="AD662" s="70"/>
      <c r="AE662" s="70"/>
      <c r="AF662" s="70"/>
      <c r="AG662" s="201"/>
      <c r="AH662" s="202"/>
      <c r="AI662" s="201"/>
      <c r="AJ662" s="201"/>
      <c r="AK662" s="70"/>
      <c r="AL662" s="70"/>
      <c r="AM662" s="70"/>
      <c r="AN662" s="70"/>
      <c r="AO662" s="70"/>
      <c r="AP662" s="70"/>
      <c r="AQ662" s="70"/>
      <c r="AR662" s="70"/>
      <c r="AS662" s="70"/>
      <c r="AT662" s="70"/>
      <c r="AU662" s="70"/>
      <c r="AV662" s="70"/>
      <c r="AW662" s="70"/>
      <c r="AX662" s="70"/>
    </row>
    <row r="663">
      <c r="A663" s="8"/>
      <c r="B663" s="70"/>
      <c r="C663" s="70"/>
      <c r="D663" s="70"/>
      <c r="E663" s="8"/>
      <c r="F663" s="70"/>
      <c r="G663" s="70"/>
      <c r="H663" s="70"/>
      <c r="I663" s="8"/>
      <c r="J663" s="70"/>
      <c r="K663" s="70"/>
      <c r="L663" s="70"/>
      <c r="M663" s="8"/>
      <c r="N663" s="70"/>
      <c r="O663" s="70"/>
      <c r="P663" s="70"/>
      <c r="Q663" s="8"/>
      <c r="R663" s="70"/>
      <c r="S663" s="70"/>
      <c r="T663" s="70"/>
      <c r="U663" s="8"/>
      <c r="V663" s="70"/>
      <c r="W663" s="70"/>
      <c r="X663" s="70"/>
      <c r="Y663" s="200"/>
      <c r="Z663" s="195"/>
      <c r="AA663" s="195"/>
      <c r="AB663" s="195"/>
      <c r="AC663" s="8"/>
      <c r="AD663" s="70"/>
      <c r="AE663" s="70"/>
      <c r="AF663" s="70"/>
      <c r="AG663" s="201"/>
      <c r="AH663" s="202"/>
      <c r="AI663" s="201"/>
      <c r="AJ663" s="201"/>
      <c r="AK663" s="70"/>
      <c r="AL663" s="70"/>
      <c r="AM663" s="70"/>
      <c r="AN663" s="70"/>
      <c r="AO663" s="70"/>
      <c r="AP663" s="70"/>
      <c r="AQ663" s="70"/>
      <c r="AR663" s="70"/>
      <c r="AS663" s="70"/>
      <c r="AT663" s="70"/>
      <c r="AU663" s="70"/>
      <c r="AV663" s="70"/>
      <c r="AW663" s="70"/>
      <c r="AX663" s="70"/>
    </row>
    <row r="664">
      <c r="A664" s="8"/>
      <c r="B664" s="70"/>
      <c r="C664" s="70"/>
      <c r="D664" s="70"/>
      <c r="E664" s="8"/>
      <c r="F664" s="70"/>
      <c r="G664" s="70"/>
      <c r="H664" s="70"/>
      <c r="I664" s="8"/>
      <c r="J664" s="70"/>
      <c r="K664" s="70"/>
      <c r="L664" s="70"/>
      <c r="M664" s="8"/>
      <c r="N664" s="70"/>
      <c r="O664" s="70"/>
      <c r="P664" s="70"/>
      <c r="Q664" s="8"/>
      <c r="R664" s="70"/>
      <c r="S664" s="70"/>
      <c r="T664" s="70"/>
      <c r="U664" s="8"/>
      <c r="V664" s="70"/>
      <c r="W664" s="70"/>
      <c r="X664" s="70"/>
      <c r="Y664" s="200"/>
      <c r="Z664" s="195"/>
      <c r="AA664" s="195"/>
      <c r="AB664" s="195"/>
      <c r="AC664" s="8"/>
      <c r="AD664" s="70"/>
      <c r="AE664" s="70"/>
      <c r="AF664" s="70"/>
      <c r="AG664" s="201"/>
      <c r="AH664" s="202"/>
      <c r="AI664" s="201"/>
      <c r="AJ664" s="201"/>
      <c r="AK664" s="70"/>
      <c r="AL664" s="70"/>
      <c r="AM664" s="70"/>
      <c r="AN664" s="70"/>
      <c r="AO664" s="70"/>
      <c r="AP664" s="70"/>
      <c r="AQ664" s="70"/>
      <c r="AR664" s="70"/>
      <c r="AS664" s="70"/>
      <c r="AT664" s="70"/>
      <c r="AU664" s="70"/>
      <c r="AV664" s="70"/>
      <c r="AW664" s="70"/>
      <c r="AX664" s="70"/>
    </row>
    <row r="665">
      <c r="A665" s="8"/>
      <c r="B665" s="70"/>
      <c r="C665" s="70"/>
      <c r="D665" s="70"/>
      <c r="E665" s="8"/>
      <c r="F665" s="70"/>
      <c r="G665" s="70"/>
      <c r="H665" s="70"/>
      <c r="I665" s="8"/>
      <c r="J665" s="70"/>
      <c r="K665" s="70"/>
      <c r="L665" s="70"/>
      <c r="M665" s="8"/>
      <c r="N665" s="70"/>
      <c r="O665" s="70"/>
      <c r="P665" s="70"/>
      <c r="Q665" s="8"/>
      <c r="R665" s="70"/>
      <c r="S665" s="70"/>
      <c r="T665" s="70"/>
      <c r="U665" s="8"/>
      <c r="V665" s="70"/>
      <c r="W665" s="70"/>
      <c r="X665" s="70"/>
      <c r="Y665" s="200"/>
      <c r="Z665" s="195"/>
      <c r="AA665" s="195"/>
      <c r="AB665" s="195"/>
      <c r="AC665" s="8"/>
      <c r="AD665" s="70"/>
      <c r="AE665" s="70"/>
      <c r="AF665" s="70"/>
      <c r="AG665" s="201"/>
      <c r="AH665" s="202"/>
      <c r="AI665" s="201"/>
      <c r="AJ665" s="201"/>
      <c r="AK665" s="70"/>
      <c r="AL665" s="70"/>
      <c r="AM665" s="70"/>
      <c r="AN665" s="70"/>
      <c r="AO665" s="70"/>
      <c r="AP665" s="70"/>
      <c r="AQ665" s="70"/>
      <c r="AR665" s="70"/>
      <c r="AS665" s="70"/>
      <c r="AT665" s="70"/>
      <c r="AU665" s="70"/>
      <c r="AV665" s="70"/>
      <c r="AW665" s="70"/>
      <c r="AX665" s="70"/>
    </row>
    <row r="666">
      <c r="A666" s="8"/>
      <c r="B666" s="70"/>
      <c r="C666" s="70"/>
      <c r="D666" s="70"/>
      <c r="E666" s="8"/>
      <c r="F666" s="70"/>
      <c r="G666" s="70"/>
      <c r="H666" s="70"/>
      <c r="I666" s="8"/>
      <c r="J666" s="70"/>
      <c r="K666" s="70"/>
      <c r="L666" s="70"/>
      <c r="M666" s="8"/>
      <c r="N666" s="70"/>
      <c r="O666" s="70"/>
      <c r="P666" s="70"/>
      <c r="Q666" s="8"/>
      <c r="R666" s="70"/>
      <c r="S666" s="70"/>
      <c r="T666" s="70"/>
      <c r="U666" s="8"/>
      <c r="V666" s="70"/>
      <c r="W666" s="70"/>
      <c r="X666" s="70"/>
      <c r="Y666" s="200"/>
      <c r="Z666" s="195"/>
      <c r="AA666" s="195"/>
      <c r="AB666" s="195"/>
      <c r="AC666" s="8"/>
      <c r="AD666" s="70"/>
      <c r="AE666" s="70"/>
      <c r="AF666" s="70"/>
      <c r="AG666" s="201"/>
      <c r="AH666" s="202"/>
      <c r="AI666" s="201"/>
      <c r="AJ666" s="201"/>
      <c r="AK666" s="70"/>
      <c r="AL666" s="70"/>
      <c r="AM666" s="70"/>
      <c r="AN666" s="70"/>
      <c r="AO666" s="70"/>
      <c r="AP666" s="70"/>
      <c r="AQ666" s="70"/>
      <c r="AR666" s="70"/>
      <c r="AS666" s="70"/>
      <c r="AT666" s="70"/>
      <c r="AU666" s="70"/>
      <c r="AV666" s="70"/>
      <c r="AW666" s="70"/>
      <c r="AX666" s="70"/>
    </row>
    <row r="667">
      <c r="A667" s="8"/>
      <c r="B667" s="70"/>
      <c r="C667" s="70"/>
      <c r="D667" s="70"/>
      <c r="E667" s="8"/>
      <c r="F667" s="70"/>
      <c r="G667" s="70"/>
      <c r="H667" s="70"/>
      <c r="I667" s="8"/>
      <c r="J667" s="70"/>
      <c r="K667" s="70"/>
      <c r="L667" s="70"/>
      <c r="M667" s="8"/>
      <c r="N667" s="70"/>
      <c r="O667" s="70"/>
      <c r="P667" s="70"/>
      <c r="Q667" s="8"/>
      <c r="R667" s="70"/>
      <c r="S667" s="70"/>
      <c r="T667" s="70"/>
      <c r="U667" s="8"/>
      <c r="V667" s="70"/>
      <c r="W667" s="70"/>
      <c r="X667" s="70"/>
      <c r="Y667" s="200"/>
      <c r="Z667" s="195"/>
      <c r="AA667" s="195"/>
      <c r="AB667" s="195"/>
      <c r="AC667" s="8"/>
      <c r="AD667" s="70"/>
      <c r="AE667" s="70"/>
      <c r="AF667" s="70"/>
      <c r="AG667" s="201"/>
      <c r="AH667" s="202"/>
      <c r="AI667" s="201"/>
      <c r="AJ667" s="201"/>
      <c r="AK667" s="70"/>
      <c r="AL667" s="70"/>
      <c r="AM667" s="70"/>
      <c r="AN667" s="70"/>
      <c r="AO667" s="70"/>
      <c r="AP667" s="70"/>
      <c r="AQ667" s="70"/>
      <c r="AR667" s="70"/>
      <c r="AS667" s="70"/>
      <c r="AT667" s="70"/>
      <c r="AU667" s="70"/>
      <c r="AV667" s="70"/>
      <c r="AW667" s="70"/>
      <c r="AX667" s="70"/>
    </row>
    <row r="668">
      <c r="A668" s="8"/>
      <c r="B668" s="70"/>
      <c r="C668" s="70"/>
      <c r="D668" s="70"/>
      <c r="E668" s="8"/>
      <c r="F668" s="70"/>
      <c r="G668" s="70"/>
      <c r="H668" s="70"/>
      <c r="I668" s="8"/>
      <c r="J668" s="70"/>
      <c r="K668" s="70"/>
      <c r="L668" s="70"/>
      <c r="M668" s="8"/>
      <c r="N668" s="70"/>
      <c r="O668" s="70"/>
      <c r="P668" s="70"/>
      <c r="Q668" s="8"/>
      <c r="R668" s="70"/>
      <c r="S668" s="70"/>
      <c r="T668" s="70"/>
      <c r="U668" s="8"/>
      <c r="V668" s="70"/>
      <c r="W668" s="70"/>
      <c r="X668" s="70"/>
      <c r="Y668" s="200"/>
      <c r="Z668" s="195"/>
      <c r="AA668" s="195"/>
      <c r="AB668" s="195"/>
      <c r="AC668" s="8"/>
      <c r="AD668" s="70"/>
      <c r="AE668" s="70"/>
      <c r="AF668" s="70"/>
      <c r="AG668" s="201"/>
      <c r="AH668" s="202"/>
      <c r="AI668" s="201"/>
      <c r="AJ668" s="201"/>
      <c r="AK668" s="70"/>
      <c r="AL668" s="70"/>
      <c r="AM668" s="70"/>
      <c r="AN668" s="70"/>
      <c r="AO668" s="70"/>
      <c r="AP668" s="70"/>
      <c r="AQ668" s="70"/>
      <c r="AR668" s="70"/>
      <c r="AS668" s="70"/>
      <c r="AT668" s="70"/>
      <c r="AU668" s="70"/>
      <c r="AV668" s="70"/>
      <c r="AW668" s="70"/>
      <c r="AX668" s="70"/>
    </row>
    <row r="669">
      <c r="A669" s="8"/>
      <c r="B669" s="70"/>
      <c r="C669" s="70"/>
      <c r="D669" s="70"/>
      <c r="E669" s="8"/>
      <c r="F669" s="70"/>
      <c r="G669" s="70"/>
      <c r="H669" s="70"/>
      <c r="I669" s="8"/>
      <c r="J669" s="70"/>
      <c r="K669" s="70"/>
      <c r="L669" s="70"/>
      <c r="M669" s="8"/>
      <c r="N669" s="70"/>
      <c r="O669" s="70"/>
      <c r="P669" s="70"/>
      <c r="Q669" s="8"/>
      <c r="R669" s="70"/>
      <c r="S669" s="70"/>
      <c r="T669" s="70"/>
      <c r="U669" s="8"/>
      <c r="V669" s="70"/>
      <c r="W669" s="70"/>
      <c r="X669" s="70"/>
      <c r="Y669" s="200"/>
      <c r="Z669" s="195"/>
      <c r="AA669" s="195"/>
      <c r="AB669" s="195"/>
      <c r="AC669" s="8"/>
      <c r="AD669" s="70"/>
      <c r="AE669" s="70"/>
      <c r="AF669" s="70"/>
      <c r="AG669" s="201"/>
      <c r="AH669" s="202"/>
      <c r="AI669" s="201"/>
      <c r="AJ669" s="201"/>
      <c r="AK669" s="70"/>
      <c r="AL669" s="70"/>
      <c r="AM669" s="70"/>
      <c r="AN669" s="70"/>
      <c r="AO669" s="70"/>
      <c r="AP669" s="70"/>
      <c r="AQ669" s="70"/>
      <c r="AR669" s="70"/>
      <c r="AS669" s="70"/>
      <c r="AT669" s="70"/>
      <c r="AU669" s="70"/>
      <c r="AV669" s="70"/>
      <c r="AW669" s="70"/>
      <c r="AX669" s="70"/>
    </row>
    <row r="670">
      <c r="A670" s="8"/>
      <c r="B670" s="70"/>
      <c r="C670" s="70"/>
      <c r="D670" s="70"/>
      <c r="E670" s="8"/>
      <c r="F670" s="70"/>
      <c r="G670" s="70"/>
      <c r="H670" s="70"/>
      <c r="I670" s="8"/>
      <c r="J670" s="70"/>
      <c r="K670" s="70"/>
      <c r="L670" s="70"/>
      <c r="M670" s="8"/>
      <c r="N670" s="70"/>
      <c r="O670" s="70"/>
      <c r="P670" s="70"/>
      <c r="Q670" s="8"/>
      <c r="R670" s="70"/>
      <c r="S670" s="70"/>
      <c r="T670" s="70"/>
      <c r="U670" s="8"/>
      <c r="V670" s="70"/>
      <c r="W670" s="70"/>
      <c r="X670" s="70"/>
      <c r="Y670" s="200"/>
      <c r="Z670" s="195"/>
      <c r="AA670" s="195"/>
      <c r="AB670" s="195"/>
      <c r="AC670" s="8"/>
      <c r="AD670" s="70"/>
      <c r="AE670" s="70"/>
      <c r="AF670" s="70"/>
      <c r="AG670" s="201"/>
      <c r="AH670" s="202"/>
      <c r="AI670" s="201"/>
      <c r="AJ670" s="201"/>
      <c r="AK670" s="70"/>
      <c r="AL670" s="70"/>
      <c r="AM670" s="70"/>
      <c r="AN670" s="70"/>
      <c r="AO670" s="70"/>
      <c r="AP670" s="70"/>
      <c r="AQ670" s="70"/>
      <c r="AR670" s="70"/>
      <c r="AS670" s="70"/>
      <c r="AT670" s="70"/>
      <c r="AU670" s="70"/>
      <c r="AV670" s="70"/>
      <c r="AW670" s="70"/>
      <c r="AX670" s="70"/>
    </row>
    <row r="671">
      <c r="A671" s="8"/>
      <c r="B671" s="70"/>
      <c r="C671" s="70"/>
      <c r="D671" s="70"/>
      <c r="E671" s="8"/>
      <c r="F671" s="70"/>
      <c r="G671" s="70"/>
      <c r="H671" s="70"/>
      <c r="I671" s="8"/>
      <c r="J671" s="70"/>
      <c r="K671" s="70"/>
      <c r="L671" s="70"/>
      <c r="M671" s="8"/>
      <c r="N671" s="70"/>
      <c r="O671" s="70"/>
      <c r="P671" s="70"/>
      <c r="Q671" s="8"/>
      <c r="R671" s="70"/>
      <c r="S671" s="70"/>
      <c r="T671" s="70"/>
      <c r="U671" s="8"/>
      <c r="V671" s="70"/>
      <c r="W671" s="70"/>
      <c r="X671" s="70"/>
      <c r="Y671" s="200"/>
      <c r="Z671" s="195"/>
      <c r="AA671" s="195"/>
      <c r="AB671" s="195"/>
      <c r="AC671" s="8"/>
      <c r="AD671" s="70"/>
      <c r="AE671" s="70"/>
      <c r="AF671" s="70"/>
      <c r="AG671" s="201"/>
      <c r="AH671" s="202"/>
      <c r="AI671" s="201"/>
      <c r="AJ671" s="201"/>
      <c r="AK671" s="70"/>
      <c r="AL671" s="70"/>
      <c r="AM671" s="70"/>
      <c r="AN671" s="70"/>
      <c r="AO671" s="70"/>
      <c r="AP671" s="70"/>
      <c r="AQ671" s="70"/>
      <c r="AR671" s="70"/>
      <c r="AS671" s="70"/>
      <c r="AT671" s="70"/>
      <c r="AU671" s="70"/>
      <c r="AV671" s="70"/>
      <c r="AW671" s="70"/>
      <c r="AX671" s="70"/>
    </row>
    <row r="672">
      <c r="A672" s="8"/>
      <c r="B672" s="70"/>
      <c r="C672" s="70"/>
      <c r="D672" s="70"/>
      <c r="E672" s="8"/>
      <c r="F672" s="70"/>
      <c r="G672" s="70"/>
      <c r="H672" s="70"/>
      <c r="I672" s="8"/>
      <c r="J672" s="70"/>
      <c r="K672" s="70"/>
      <c r="L672" s="70"/>
      <c r="M672" s="8"/>
      <c r="N672" s="70"/>
      <c r="O672" s="70"/>
      <c r="P672" s="70"/>
      <c r="Q672" s="8"/>
      <c r="R672" s="70"/>
      <c r="S672" s="70"/>
      <c r="T672" s="70"/>
      <c r="U672" s="8"/>
      <c r="V672" s="70"/>
      <c r="W672" s="70"/>
      <c r="X672" s="70"/>
      <c r="Y672" s="200"/>
      <c r="Z672" s="195"/>
      <c r="AA672" s="195"/>
      <c r="AB672" s="195"/>
      <c r="AC672" s="8"/>
      <c r="AD672" s="70"/>
      <c r="AE672" s="70"/>
      <c r="AF672" s="70"/>
      <c r="AG672" s="201"/>
      <c r="AH672" s="202"/>
      <c r="AI672" s="201"/>
      <c r="AJ672" s="201"/>
      <c r="AK672" s="70"/>
      <c r="AL672" s="70"/>
      <c r="AM672" s="70"/>
      <c r="AN672" s="70"/>
      <c r="AO672" s="70"/>
      <c r="AP672" s="70"/>
      <c r="AQ672" s="70"/>
      <c r="AR672" s="70"/>
      <c r="AS672" s="70"/>
      <c r="AT672" s="70"/>
      <c r="AU672" s="70"/>
      <c r="AV672" s="70"/>
      <c r="AW672" s="70"/>
      <c r="AX672" s="70"/>
    </row>
    <row r="673">
      <c r="A673" s="8"/>
      <c r="B673" s="70"/>
      <c r="C673" s="70"/>
      <c r="D673" s="70"/>
      <c r="E673" s="8"/>
      <c r="F673" s="70"/>
      <c r="G673" s="70"/>
      <c r="H673" s="70"/>
      <c r="I673" s="8"/>
      <c r="J673" s="70"/>
      <c r="K673" s="70"/>
      <c r="L673" s="70"/>
      <c r="M673" s="8"/>
      <c r="N673" s="70"/>
      <c r="O673" s="70"/>
      <c r="P673" s="70"/>
      <c r="Q673" s="8"/>
      <c r="R673" s="70"/>
      <c r="S673" s="70"/>
      <c r="T673" s="70"/>
      <c r="U673" s="8"/>
      <c r="V673" s="70"/>
      <c r="W673" s="70"/>
      <c r="X673" s="70"/>
      <c r="Y673" s="200"/>
      <c r="Z673" s="195"/>
      <c r="AA673" s="195"/>
      <c r="AB673" s="195"/>
      <c r="AC673" s="8"/>
      <c r="AD673" s="70"/>
      <c r="AE673" s="70"/>
      <c r="AF673" s="70"/>
      <c r="AG673" s="201"/>
      <c r="AH673" s="202"/>
      <c r="AI673" s="201"/>
      <c r="AJ673" s="201"/>
      <c r="AK673" s="70"/>
      <c r="AL673" s="70"/>
      <c r="AM673" s="70"/>
      <c r="AN673" s="70"/>
      <c r="AO673" s="70"/>
      <c r="AP673" s="70"/>
      <c r="AQ673" s="70"/>
      <c r="AR673" s="70"/>
      <c r="AS673" s="70"/>
      <c r="AT673" s="70"/>
      <c r="AU673" s="70"/>
      <c r="AV673" s="70"/>
      <c r="AW673" s="70"/>
      <c r="AX673" s="70"/>
    </row>
    <row r="674">
      <c r="A674" s="8"/>
      <c r="B674" s="70"/>
      <c r="C674" s="70"/>
      <c r="D674" s="70"/>
      <c r="E674" s="8"/>
      <c r="F674" s="70"/>
      <c r="G674" s="70"/>
      <c r="H674" s="70"/>
      <c r="I674" s="8"/>
      <c r="J674" s="70"/>
      <c r="K674" s="70"/>
      <c r="L674" s="70"/>
      <c r="M674" s="8"/>
      <c r="N674" s="70"/>
      <c r="O674" s="70"/>
      <c r="P674" s="70"/>
      <c r="Q674" s="8"/>
      <c r="R674" s="70"/>
      <c r="S674" s="70"/>
      <c r="T674" s="70"/>
      <c r="U674" s="8"/>
      <c r="V674" s="70"/>
      <c r="W674" s="70"/>
      <c r="X674" s="70"/>
      <c r="Y674" s="200"/>
      <c r="Z674" s="195"/>
      <c r="AA674" s="195"/>
      <c r="AB674" s="195"/>
      <c r="AC674" s="8"/>
      <c r="AD674" s="70"/>
      <c r="AE674" s="70"/>
      <c r="AF674" s="70"/>
      <c r="AG674" s="201"/>
      <c r="AH674" s="202"/>
      <c r="AI674" s="201"/>
      <c r="AJ674" s="201"/>
      <c r="AK674" s="70"/>
      <c r="AL674" s="70"/>
      <c r="AM674" s="70"/>
      <c r="AN674" s="70"/>
      <c r="AO674" s="70"/>
      <c r="AP674" s="70"/>
      <c r="AQ674" s="70"/>
      <c r="AR674" s="70"/>
      <c r="AS674" s="70"/>
      <c r="AT674" s="70"/>
      <c r="AU674" s="70"/>
      <c r="AV674" s="70"/>
      <c r="AW674" s="70"/>
      <c r="AX674" s="70"/>
    </row>
    <row r="675">
      <c r="A675" s="8"/>
      <c r="B675" s="70"/>
      <c r="C675" s="70"/>
      <c r="D675" s="70"/>
      <c r="E675" s="8"/>
      <c r="F675" s="70"/>
      <c r="G675" s="70"/>
      <c r="H675" s="70"/>
      <c r="I675" s="8"/>
      <c r="J675" s="70"/>
      <c r="K675" s="70"/>
      <c r="L675" s="70"/>
      <c r="M675" s="8"/>
      <c r="N675" s="70"/>
      <c r="O675" s="70"/>
      <c r="P675" s="70"/>
      <c r="Q675" s="8"/>
      <c r="R675" s="70"/>
      <c r="S675" s="70"/>
      <c r="T675" s="70"/>
      <c r="U675" s="8"/>
      <c r="V675" s="70"/>
      <c r="W675" s="70"/>
      <c r="X675" s="70"/>
      <c r="Y675" s="200"/>
      <c r="Z675" s="195"/>
      <c r="AA675" s="195"/>
      <c r="AB675" s="195"/>
      <c r="AC675" s="8"/>
      <c r="AD675" s="70"/>
      <c r="AE675" s="70"/>
      <c r="AF675" s="70"/>
      <c r="AG675" s="201"/>
      <c r="AH675" s="202"/>
      <c r="AI675" s="201"/>
      <c r="AJ675" s="201"/>
      <c r="AK675" s="70"/>
      <c r="AL675" s="70"/>
      <c r="AM675" s="70"/>
      <c r="AN675" s="70"/>
      <c r="AO675" s="70"/>
      <c r="AP675" s="70"/>
      <c r="AQ675" s="70"/>
      <c r="AR675" s="70"/>
      <c r="AS675" s="70"/>
      <c r="AT675" s="70"/>
      <c r="AU675" s="70"/>
      <c r="AV675" s="70"/>
      <c r="AW675" s="70"/>
      <c r="AX675" s="70"/>
    </row>
    <row r="676">
      <c r="A676" s="8"/>
      <c r="B676" s="70"/>
      <c r="C676" s="70"/>
      <c r="D676" s="70"/>
      <c r="E676" s="8"/>
      <c r="F676" s="70"/>
      <c r="G676" s="70"/>
      <c r="H676" s="70"/>
      <c r="I676" s="8"/>
      <c r="J676" s="70"/>
      <c r="K676" s="70"/>
      <c r="L676" s="70"/>
      <c r="M676" s="8"/>
      <c r="N676" s="70"/>
      <c r="O676" s="70"/>
      <c r="P676" s="70"/>
      <c r="Q676" s="8"/>
      <c r="R676" s="70"/>
      <c r="S676" s="70"/>
      <c r="T676" s="70"/>
      <c r="U676" s="8"/>
      <c r="V676" s="70"/>
      <c r="W676" s="70"/>
      <c r="X676" s="70"/>
      <c r="Y676" s="200"/>
      <c r="Z676" s="195"/>
      <c r="AA676" s="195"/>
      <c r="AB676" s="195"/>
      <c r="AC676" s="8"/>
      <c r="AD676" s="70"/>
      <c r="AE676" s="70"/>
      <c r="AF676" s="70"/>
      <c r="AG676" s="201"/>
      <c r="AH676" s="202"/>
      <c r="AI676" s="201"/>
      <c r="AJ676" s="201"/>
      <c r="AK676" s="70"/>
      <c r="AL676" s="70"/>
      <c r="AM676" s="70"/>
      <c r="AN676" s="70"/>
      <c r="AO676" s="70"/>
      <c r="AP676" s="70"/>
      <c r="AQ676" s="70"/>
      <c r="AR676" s="70"/>
      <c r="AS676" s="70"/>
      <c r="AT676" s="70"/>
      <c r="AU676" s="70"/>
      <c r="AV676" s="70"/>
      <c r="AW676" s="70"/>
      <c r="AX676" s="70"/>
    </row>
    <row r="677">
      <c r="A677" s="8"/>
      <c r="B677" s="70"/>
      <c r="C677" s="70"/>
      <c r="D677" s="70"/>
      <c r="E677" s="8"/>
      <c r="F677" s="70"/>
      <c r="G677" s="70"/>
      <c r="H677" s="70"/>
      <c r="I677" s="8"/>
      <c r="J677" s="70"/>
      <c r="K677" s="70"/>
      <c r="L677" s="70"/>
      <c r="M677" s="8"/>
      <c r="N677" s="70"/>
      <c r="O677" s="70"/>
      <c r="P677" s="70"/>
      <c r="Q677" s="8"/>
      <c r="R677" s="70"/>
      <c r="S677" s="70"/>
      <c r="T677" s="70"/>
      <c r="U677" s="8"/>
      <c r="V677" s="70"/>
      <c r="W677" s="70"/>
      <c r="X677" s="70"/>
      <c r="Y677" s="200"/>
      <c r="Z677" s="195"/>
      <c r="AA677" s="195"/>
      <c r="AB677" s="195"/>
      <c r="AC677" s="8"/>
      <c r="AD677" s="70"/>
      <c r="AE677" s="70"/>
      <c r="AF677" s="70"/>
      <c r="AG677" s="201"/>
      <c r="AH677" s="202"/>
      <c r="AI677" s="201"/>
      <c r="AJ677" s="201"/>
      <c r="AK677" s="70"/>
      <c r="AL677" s="70"/>
      <c r="AM677" s="70"/>
      <c r="AN677" s="70"/>
      <c r="AO677" s="70"/>
      <c r="AP677" s="70"/>
      <c r="AQ677" s="70"/>
      <c r="AR677" s="70"/>
      <c r="AS677" s="70"/>
      <c r="AT677" s="70"/>
      <c r="AU677" s="70"/>
      <c r="AV677" s="70"/>
      <c r="AW677" s="70"/>
      <c r="AX677" s="70"/>
    </row>
    <row r="678">
      <c r="A678" s="8"/>
      <c r="B678" s="70"/>
      <c r="C678" s="70"/>
      <c r="D678" s="70"/>
      <c r="E678" s="8"/>
      <c r="F678" s="70"/>
      <c r="G678" s="70"/>
      <c r="H678" s="70"/>
      <c r="I678" s="8"/>
      <c r="J678" s="70"/>
      <c r="K678" s="70"/>
      <c r="L678" s="70"/>
      <c r="M678" s="8"/>
      <c r="N678" s="70"/>
      <c r="O678" s="70"/>
      <c r="P678" s="70"/>
      <c r="Q678" s="8"/>
      <c r="R678" s="70"/>
      <c r="S678" s="70"/>
      <c r="T678" s="70"/>
      <c r="U678" s="8"/>
      <c r="V678" s="70"/>
      <c r="W678" s="70"/>
      <c r="X678" s="70"/>
      <c r="Y678" s="200"/>
      <c r="Z678" s="195"/>
      <c r="AA678" s="195"/>
      <c r="AB678" s="195"/>
      <c r="AC678" s="8"/>
      <c r="AD678" s="70"/>
      <c r="AE678" s="70"/>
      <c r="AF678" s="70"/>
      <c r="AG678" s="201"/>
      <c r="AH678" s="202"/>
      <c r="AI678" s="201"/>
      <c r="AJ678" s="201"/>
      <c r="AK678" s="70"/>
      <c r="AL678" s="70"/>
      <c r="AM678" s="70"/>
      <c r="AN678" s="70"/>
      <c r="AO678" s="70"/>
      <c r="AP678" s="70"/>
      <c r="AQ678" s="70"/>
      <c r="AR678" s="70"/>
      <c r="AS678" s="70"/>
      <c r="AT678" s="70"/>
      <c r="AU678" s="70"/>
      <c r="AV678" s="70"/>
      <c r="AW678" s="70"/>
      <c r="AX678" s="70"/>
    </row>
    <row r="679">
      <c r="A679" s="8"/>
      <c r="B679" s="70"/>
      <c r="C679" s="70"/>
      <c r="D679" s="70"/>
      <c r="E679" s="8"/>
      <c r="F679" s="70"/>
      <c r="G679" s="70"/>
      <c r="H679" s="70"/>
      <c r="I679" s="8"/>
      <c r="J679" s="70"/>
      <c r="K679" s="70"/>
      <c r="L679" s="70"/>
      <c r="M679" s="8"/>
      <c r="N679" s="70"/>
      <c r="O679" s="70"/>
      <c r="P679" s="70"/>
      <c r="Q679" s="8"/>
      <c r="R679" s="70"/>
      <c r="S679" s="70"/>
      <c r="T679" s="70"/>
      <c r="U679" s="8"/>
      <c r="V679" s="70"/>
      <c r="W679" s="70"/>
      <c r="X679" s="70"/>
      <c r="Y679" s="200"/>
      <c r="Z679" s="195"/>
      <c r="AA679" s="195"/>
      <c r="AB679" s="195"/>
      <c r="AC679" s="8"/>
      <c r="AD679" s="70"/>
      <c r="AE679" s="70"/>
      <c r="AF679" s="70"/>
      <c r="AG679" s="201"/>
      <c r="AH679" s="202"/>
      <c r="AI679" s="201"/>
      <c r="AJ679" s="201"/>
      <c r="AK679" s="70"/>
      <c r="AL679" s="70"/>
      <c r="AM679" s="70"/>
      <c r="AN679" s="70"/>
      <c r="AO679" s="70"/>
      <c r="AP679" s="70"/>
      <c r="AQ679" s="70"/>
      <c r="AR679" s="70"/>
      <c r="AS679" s="70"/>
      <c r="AT679" s="70"/>
      <c r="AU679" s="70"/>
      <c r="AV679" s="70"/>
      <c r="AW679" s="70"/>
      <c r="AX679" s="70"/>
    </row>
    <row r="680">
      <c r="A680" s="8"/>
      <c r="B680" s="70"/>
      <c r="C680" s="70"/>
      <c r="D680" s="70"/>
      <c r="E680" s="8"/>
      <c r="F680" s="70"/>
      <c r="G680" s="70"/>
      <c r="H680" s="70"/>
      <c r="I680" s="8"/>
      <c r="J680" s="70"/>
      <c r="K680" s="70"/>
      <c r="L680" s="70"/>
      <c r="M680" s="8"/>
      <c r="N680" s="70"/>
      <c r="O680" s="70"/>
      <c r="P680" s="70"/>
      <c r="Q680" s="8"/>
      <c r="R680" s="70"/>
      <c r="S680" s="70"/>
      <c r="T680" s="70"/>
      <c r="U680" s="8"/>
      <c r="V680" s="70"/>
      <c r="W680" s="70"/>
      <c r="X680" s="70"/>
      <c r="Y680" s="200"/>
      <c r="Z680" s="195"/>
      <c r="AA680" s="195"/>
      <c r="AB680" s="195"/>
      <c r="AC680" s="8"/>
      <c r="AD680" s="70"/>
      <c r="AE680" s="70"/>
      <c r="AF680" s="70"/>
      <c r="AG680" s="201"/>
      <c r="AH680" s="202"/>
      <c r="AI680" s="201"/>
      <c r="AJ680" s="201"/>
      <c r="AK680" s="70"/>
      <c r="AL680" s="70"/>
      <c r="AM680" s="70"/>
      <c r="AN680" s="70"/>
      <c r="AO680" s="70"/>
      <c r="AP680" s="70"/>
      <c r="AQ680" s="70"/>
      <c r="AR680" s="70"/>
      <c r="AS680" s="70"/>
      <c r="AT680" s="70"/>
      <c r="AU680" s="70"/>
      <c r="AV680" s="70"/>
      <c r="AW680" s="70"/>
      <c r="AX680" s="70"/>
    </row>
    <row r="681">
      <c r="A681" s="8"/>
      <c r="B681" s="70"/>
      <c r="C681" s="70"/>
      <c r="D681" s="70"/>
      <c r="E681" s="8"/>
      <c r="F681" s="70"/>
      <c r="G681" s="70"/>
      <c r="H681" s="70"/>
      <c r="I681" s="8"/>
      <c r="J681" s="70"/>
      <c r="K681" s="70"/>
      <c r="L681" s="70"/>
      <c r="M681" s="8"/>
      <c r="N681" s="70"/>
      <c r="O681" s="70"/>
      <c r="P681" s="70"/>
      <c r="Q681" s="8"/>
      <c r="R681" s="70"/>
      <c r="S681" s="70"/>
      <c r="T681" s="70"/>
      <c r="U681" s="8"/>
      <c r="V681" s="70"/>
      <c r="W681" s="70"/>
      <c r="X681" s="70"/>
      <c r="Y681" s="200"/>
      <c r="Z681" s="195"/>
      <c r="AA681" s="195"/>
      <c r="AB681" s="195"/>
      <c r="AC681" s="8"/>
      <c r="AD681" s="70"/>
      <c r="AE681" s="70"/>
      <c r="AF681" s="70"/>
      <c r="AG681" s="201"/>
      <c r="AH681" s="202"/>
      <c r="AI681" s="201"/>
      <c r="AJ681" s="201"/>
      <c r="AK681" s="70"/>
      <c r="AL681" s="70"/>
      <c r="AM681" s="70"/>
      <c r="AN681" s="70"/>
      <c r="AO681" s="70"/>
      <c r="AP681" s="70"/>
      <c r="AQ681" s="70"/>
      <c r="AR681" s="70"/>
      <c r="AS681" s="70"/>
      <c r="AT681" s="70"/>
      <c r="AU681" s="70"/>
      <c r="AV681" s="70"/>
      <c r="AW681" s="70"/>
      <c r="AX681" s="70"/>
    </row>
    <row r="682">
      <c r="A682" s="8"/>
      <c r="B682" s="70"/>
      <c r="C682" s="70"/>
      <c r="D682" s="70"/>
      <c r="E682" s="8"/>
      <c r="F682" s="70"/>
      <c r="G682" s="70"/>
      <c r="H682" s="70"/>
      <c r="I682" s="8"/>
      <c r="J682" s="70"/>
      <c r="K682" s="70"/>
      <c r="L682" s="70"/>
      <c r="M682" s="8"/>
      <c r="N682" s="70"/>
      <c r="O682" s="70"/>
      <c r="P682" s="70"/>
      <c r="Q682" s="8"/>
      <c r="R682" s="70"/>
      <c r="S682" s="70"/>
      <c r="T682" s="70"/>
      <c r="U682" s="8"/>
      <c r="V682" s="70"/>
      <c r="W682" s="70"/>
      <c r="X682" s="70"/>
      <c r="Y682" s="200"/>
      <c r="Z682" s="195"/>
      <c r="AA682" s="195"/>
      <c r="AB682" s="195"/>
      <c r="AC682" s="8"/>
      <c r="AD682" s="70"/>
      <c r="AE682" s="70"/>
      <c r="AF682" s="70"/>
      <c r="AG682" s="201"/>
      <c r="AH682" s="202"/>
      <c r="AI682" s="201"/>
      <c r="AJ682" s="201"/>
      <c r="AK682" s="70"/>
      <c r="AL682" s="70"/>
      <c r="AM682" s="70"/>
      <c r="AN682" s="70"/>
      <c r="AO682" s="70"/>
      <c r="AP682" s="70"/>
      <c r="AQ682" s="70"/>
      <c r="AR682" s="70"/>
      <c r="AS682" s="70"/>
      <c r="AT682" s="70"/>
      <c r="AU682" s="70"/>
      <c r="AV682" s="70"/>
      <c r="AW682" s="70"/>
      <c r="AX682" s="70"/>
    </row>
    <row r="683">
      <c r="A683" s="8"/>
      <c r="B683" s="70"/>
      <c r="C683" s="70"/>
      <c r="D683" s="70"/>
      <c r="E683" s="8"/>
      <c r="F683" s="70"/>
      <c r="G683" s="70"/>
      <c r="H683" s="70"/>
      <c r="I683" s="8"/>
      <c r="J683" s="70"/>
      <c r="K683" s="70"/>
      <c r="L683" s="70"/>
      <c r="M683" s="8"/>
      <c r="N683" s="70"/>
      <c r="O683" s="70"/>
      <c r="P683" s="70"/>
      <c r="Q683" s="8"/>
      <c r="R683" s="70"/>
      <c r="S683" s="70"/>
      <c r="T683" s="70"/>
      <c r="U683" s="8"/>
      <c r="V683" s="70"/>
      <c r="W683" s="70"/>
      <c r="X683" s="70"/>
      <c r="Y683" s="200"/>
      <c r="Z683" s="195"/>
      <c r="AA683" s="195"/>
      <c r="AB683" s="195"/>
      <c r="AC683" s="8"/>
      <c r="AD683" s="70"/>
      <c r="AE683" s="70"/>
      <c r="AF683" s="70"/>
      <c r="AG683" s="201"/>
      <c r="AH683" s="202"/>
      <c r="AI683" s="201"/>
      <c r="AJ683" s="201"/>
      <c r="AK683" s="70"/>
      <c r="AL683" s="70"/>
      <c r="AM683" s="70"/>
      <c r="AN683" s="70"/>
      <c r="AO683" s="70"/>
      <c r="AP683" s="70"/>
      <c r="AQ683" s="70"/>
      <c r="AR683" s="70"/>
      <c r="AS683" s="70"/>
      <c r="AT683" s="70"/>
      <c r="AU683" s="70"/>
      <c r="AV683" s="70"/>
      <c r="AW683" s="70"/>
      <c r="AX683" s="70"/>
    </row>
    <row r="684">
      <c r="A684" s="8"/>
      <c r="B684" s="70"/>
      <c r="C684" s="70"/>
      <c r="D684" s="70"/>
      <c r="E684" s="8"/>
      <c r="F684" s="70"/>
      <c r="G684" s="70"/>
      <c r="H684" s="70"/>
      <c r="I684" s="8"/>
      <c r="J684" s="70"/>
      <c r="K684" s="70"/>
      <c r="L684" s="70"/>
      <c r="M684" s="8"/>
      <c r="N684" s="70"/>
      <c r="O684" s="70"/>
      <c r="P684" s="70"/>
      <c r="Q684" s="8"/>
      <c r="R684" s="70"/>
      <c r="S684" s="70"/>
      <c r="T684" s="70"/>
      <c r="U684" s="8"/>
      <c r="V684" s="70"/>
      <c r="W684" s="70"/>
      <c r="X684" s="70"/>
      <c r="Y684" s="200"/>
      <c r="Z684" s="195"/>
      <c r="AA684" s="195"/>
      <c r="AB684" s="195"/>
      <c r="AC684" s="8"/>
      <c r="AD684" s="70"/>
      <c r="AE684" s="70"/>
      <c r="AF684" s="70"/>
      <c r="AG684" s="201"/>
      <c r="AH684" s="202"/>
      <c r="AI684" s="201"/>
      <c r="AJ684" s="201"/>
      <c r="AK684" s="70"/>
      <c r="AL684" s="70"/>
      <c r="AM684" s="70"/>
      <c r="AN684" s="70"/>
      <c r="AO684" s="70"/>
      <c r="AP684" s="70"/>
      <c r="AQ684" s="70"/>
      <c r="AR684" s="70"/>
      <c r="AS684" s="70"/>
      <c r="AT684" s="70"/>
      <c r="AU684" s="70"/>
      <c r="AV684" s="70"/>
      <c r="AW684" s="70"/>
      <c r="AX684" s="70"/>
    </row>
    <row r="685">
      <c r="A685" s="8"/>
      <c r="B685" s="70"/>
      <c r="C685" s="70"/>
      <c r="D685" s="70"/>
      <c r="E685" s="8"/>
      <c r="F685" s="70"/>
      <c r="G685" s="70"/>
      <c r="H685" s="70"/>
      <c r="I685" s="8"/>
      <c r="J685" s="70"/>
      <c r="K685" s="70"/>
      <c r="L685" s="70"/>
      <c r="M685" s="8"/>
      <c r="N685" s="70"/>
      <c r="O685" s="70"/>
      <c r="P685" s="70"/>
      <c r="Q685" s="8"/>
      <c r="R685" s="70"/>
      <c r="S685" s="70"/>
      <c r="T685" s="70"/>
      <c r="U685" s="8"/>
      <c r="V685" s="70"/>
      <c r="W685" s="70"/>
      <c r="X685" s="70"/>
      <c r="Y685" s="200"/>
      <c r="Z685" s="195"/>
      <c r="AA685" s="195"/>
      <c r="AB685" s="195"/>
      <c r="AC685" s="8"/>
      <c r="AD685" s="70"/>
      <c r="AE685" s="70"/>
      <c r="AF685" s="70"/>
      <c r="AG685" s="201"/>
      <c r="AH685" s="202"/>
      <c r="AI685" s="201"/>
      <c r="AJ685" s="201"/>
      <c r="AK685" s="70"/>
      <c r="AL685" s="70"/>
      <c r="AM685" s="70"/>
      <c r="AN685" s="70"/>
      <c r="AO685" s="70"/>
      <c r="AP685" s="70"/>
      <c r="AQ685" s="70"/>
      <c r="AR685" s="70"/>
      <c r="AS685" s="70"/>
      <c r="AT685" s="70"/>
      <c r="AU685" s="70"/>
      <c r="AV685" s="70"/>
      <c r="AW685" s="70"/>
      <c r="AX685" s="70"/>
    </row>
    <row r="686">
      <c r="A686" s="8"/>
      <c r="B686" s="70"/>
      <c r="C686" s="70"/>
      <c r="D686" s="70"/>
      <c r="E686" s="8"/>
      <c r="F686" s="70"/>
      <c r="G686" s="70"/>
      <c r="H686" s="70"/>
      <c r="I686" s="8"/>
      <c r="J686" s="70"/>
      <c r="K686" s="70"/>
      <c r="L686" s="70"/>
      <c r="M686" s="8"/>
      <c r="N686" s="70"/>
      <c r="O686" s="70"/>
      <c r="P686" s="70"/>
      <c r="Q686" s="8"/>
      <c r="R686" s="70"/>
      <c r="S686" s="70"/>
      <c r="T686" s="70"/>
      <c r="U686" s="8"/>
      <c r="V686" s="70"/>
      <c r="W686" s="70"/>
      <c r="X686" s="70"/>
      <c r="Y686" s="200"/>
      <c r="Z686" s="195"/>
      <c r="AA686" s="195"/>
      <c r="AB686" s="195"/>
      <c r="AC686" s="8"/>
      <c r="AD686" s="70"/>
      <c r="AE686" s="70"/>
      <c r="AF686" s="70"/>
      <c r="AG686" s="201"/>
      <c r="AH686" s="202"/>
      <c r="AI686" s="201"/>
      <c r="AJ686" s="201"/>
      <c r="AK686" s="70"/>
      <c r="AL686" s="70"/>
      <c r="AM686" s="70"/>
      <c r="AN686" s="70"/>
      <c r="AO686" s="70"/>
      <c r="AP686" s="70"/>
      <c r="AQ686" s="70"/>
      <c r="AR686" s="70"/>
      <c r="AS686" s="70"/>
      <c r="AT686" s="70"/>
      <c r="AU686" s="70"/>
      <c r="AV686" s="70"/>
      <c r="AW686" s="70"/>
      <c r="AX686" s="70"/>
    </row>
    <row r="687">
      <c r="A687" s="8"/>
      <c r="B687" s="70"/>
      <c r="C687" s="70"/>
      <c r="D687" s="70"/>
      <c r="E687" s="8"/>
      <c r="F687" s="70"/>
      <c r="G687" s="70"/>
      <c r="H687" s="70"/>
      <c r="I687" s="8"/>
      <c r="J687" s="70"/>
      <c r="K687" s="70"/>
      <c r="L687" s="70"/>
      <c r="M687" s="8"/>
      <c r="N687" s="70"/>
      <c r="O687" s="70"/>
      <c r="P687" s="70"/>
      <c r="Q687" s="8"/>
      <c r="R687" s="70"/>
      <c r="S687" s="70"/>
      <c r="T687" s="70"/>
      <c r="U687" s="8"/>
      <c r="V687" s="70"/>
      <c r="W687" s="70"/>
      <c r="X687" s="70"/>
      <c r="Y687" s="200"/>
      <c r="Z687" s="195"/>
      <c r="AA687" s="195"/>
      <c r="AB687" s="195"/>
      <c r="AC687" s="8"/>
      <c r="AD687" s="70"/>
      <c r="AE687" s="70"/>
      <c r="AF687" s="70"/>
      <c r="AG687" s="201"/>
      <c r="AH687" s="202"/>
      <c r="AI687" s="201"/>
      <c r="AJ687" s="201"/>
      <c r="AK687" s="70"/>
      <c r="AL687" s="70"/>
      <c r="AM687" s="70"/>
      <c r="AN687" s="70"/>
      <c r="AO687" s="70"/>
      <c r="AP687" s="70"/>
      <c r="AQ687" s="70"/>
      <c r="AR687" s="70"/>
      <c r="AS687" s="70"/>
      <c r="AT687" s="70"/>
      <c r="AU687" s="70"/>
      <c r="AV687" s="70"/>
      <c r="AW687" s="70"/>
      <c r="AX687" s="70"/>
    </row>
    <row r="688">
      <c r="A688" s="8"/>
      <c r="B688" s="70"/>
      <c r="C688" s="70"/>
      <c r="D688" s="70"/>
      <c r="E688" s="8"/>
      <c r="F688" s="70"/>
      <c r="G688" s="70"/>
      <c r="H688" s="70"/>
      <c r="I688" s="8"/>
      <c r="J688" s="70"/>
      <c r="K688" s="70"/>
      <c r="L688" s="70"/>
      <c r="M688" s="8"/>
      <c r="N688" s="70"/>
      <c r="O688" s="70"/>
      <c r="P688" s="70"/>
      <c r="Q688" s="8"/>
      <c r="R688" s="70"/>
      <c r="S688" s="70"/>
      <c r="T688" s="70"/>
      <c r="U688" s="8"/>
      <c r="V688" s="70"/>
      <c r="W688" s="70"/>
      <c r="X688" s="70"/>
      <c r="Y688" s="200"/>
      <c r="Z688" s="195"/>
      <c r="AA688" s="195"/>
      <c r="AB688" s="195"/>
      <c r="AC688" s="8"/>
      <c r="AD688" s="70"/>
      <c r="AE688" s="70"/>
      <c r="AF688" s="70"/>
      <c r="AG688" s="201"/>
      <c r="AH688" s="202"/>
      <c r="AI688" s="201"/>
      <c r="AJ688" s="201"/>
      <c r="AK688" s="70"/>
      <c r="AL688" s="70"/>
      <c r="AM688" s="70"/>
      <c r="AN688" s="70"/>
      <c r="AO688" s="70"/>
      <c r="AP688" s="70"/>
      <c r="AQ688" s="70"/>
      <c r="AR688" s="70"/>
      <c r="AS688" s="70"/>
      <c r="AT688" s="70"/>
      <c r="AU688" s="70"/>
      <c r="AV688" s="70"/>
      <c r="AW688" s="70"/>
      <c r="AX688" s="70"/>
    </row>
    <row r="689">
      <c r="A689" s="8"/>
      <c r="B689" s="70"/>
      <c r="C689" s="70"/>
      <c r="D689" s="70"/>
      <c r="E689" s="8"/>
      <c r="F689" s="70"/>
      <c r="G689" s="70"/>
      <c r="H689" s="70"/>
      <c r="I689" s="8"/>
      <c r="J689" s="70"/>
      <c r="K689" s="70"/>
      <c r="L689" s="70"/>
      <c r="M689" s="8"/>
      <c r="N689" s="70"/>
      <c r="O689" s="70"/>
      <c r="P689" s="70"/>
      <c r="Q689" s="8"/>
      <c r="R689" s="70"/>
      <c r="S689" s="70"/>
      <c r="T689" s="70"/>
      <c r="U689" s="8"/>
      <c r="V689" s="70"/>
      <c r="W689" s="70"/>
      <c r="X689" s="70"/>
      <c r="Y689" s="200"/>
      <c r="Z689" s="195"/>
      <c r="AA689" s="195"/>
      <c r="AB689" s="195"/>
      <c r="AC689" s="8"/>
      <c r="AD689" s="70"/>
      <c r="AE689" s="70"/>
      <c r="AF689" s="70"/>
      <c r="AG689" s="201"/>
      <c r="AH689" s="202"/>
      <c r="AI689" s="201"/>
      <c r="AJ689" s="201"/>
      <c r="AK689" s="70"/>
      <c r="AL689" s="70"/>
      <c r="AM689" s="70"/>
      <c r="AN689" s="70"/>
      <c r="AO689" s="70"/>
      <c r="AP689" s="70"/>
      <c r="AQ689" s="70"/>
      <c r="AR689" s="70"/>
      <c r="AS689" s="70"/>
      <c r="AT689" s="70"/>
      <c r="AU689" s="70"/>
      <c r="AV689" s="70"/>
      <c r="AW689" s="70"/>
      <c r="AX689" s="70"/>
    </row>
    <row r="690">
      <c r="A690" s="8"/>
      <c r="B690" s="70"/>
      <c r="C690" s="70"/>
      <c r="D690" s="70"/>
      <c r="E690" s="8"/>
      <c r="F690" s="70"/>
      <c r="G690" s="70"/>
      <c r="H690" s="70"/>
      <c r="I690" s="8"/>
      <c r="J690" s="70"/>
      <c r="K690" s="70"/>
      <c r="L690" s="70"/>
      <c r="M690" s="8"/>
      <c r="N690" s="70"/>
      <c r="O690" s="70"/>
      <c r="P690" s="70"/>
      <c r="Q690" s="8"/>
      <c r="R690" s="70"/>
      <c r="S690" s="70"/>
      <c r="T690" s="70"/>
      <c r="U690" s="8"/>
      <c r="V690" s="70"/>
      <c r="W690" s="70"/>
      <c r="X690" s="70"/>
      <c r="Y690" s="200"/>
      <c r="Z690" s="195"/>
      <c r="AA690" s="195"/>
      <c r="AB690" s="195"/>
      <c r="AC690" s="8"/>
      <c r="AD690" s="70"/>
      <c r="AE690" s="70"/>
      <c r="AF690" s="70"/>
      <c r="AG690" s="201"/>
      <c r="AH690" s="202"/>
      <c r="AI690" s="201"/>
      <c r="AJ690" s="201"/>
      <c r="AK690" s="70"/>
      <c r="AL690" s="70"/>
      <c r="AM690" s="70"/>
      <c r="AN690" s="70"/>
      <c r="AO690" s="70"/>
      <c r="AP690" s="70"/>
      <c r="AQ690" s="70"/>
      <c r="AR690" s="70"/>
      <c r="AS690" s="70"/>
      <c r="AT690" s="70"/>
      <c r="AU690" s="70"/>
      <c r="AV690" s="70"/>
      <c r="AW690" s="70"/>
      <c r="AX690" s="70"/>
    </row>
    <row r="691">
      <c r="A691" s="8"/>
      <c r="B691" s="70"/>
      <c r="C691" s="70"/>
      <c r="D691" s="70"/>
      <c r="E691" s="8"/>
      <c r="F691" s="70"/>
      <c r="G691" s="70"/>
      <c r="H691" s="70"/>
      <c r="I691" s="8"/>
      <c r="J691" s="70"/>
      <c r="K691" s="70"/>
      <c r="L691" s="70"/>
      <c r="M691" s="8"/>
      <c r="N691" s="70"/>
      <c r="O691" s="70"/>
      <c r="P691" s="70"/>
      <c r="Q691" s="8"/>
      <c r="R691" s="70"/>
      <c r="S691" s="70"/>
      <c r="T691" s="70"/>
      <c r="U691" s="8"/>
      <c r="V691" s="70"/>
      <c r="W691" s="70"/>
      <c r="X691" s="70"/>
      <c r="Y691" s="200"/>
      <c r="Z691" s="195"/>
      <c r="AA691" s="195"/>
      <c r="AB691" s="195"/>
      <c r="AC691" s="8"/>
      <c r="AD691" s="70"/>
      <c r="AE691" s="70"/>
      <c r="AF691" s="70"/>
      <c r="AG691" s="201"/>
      <c r="AH691" s="202"/>
      <c r="AI691" s="201"/>
      <c r="AJ691" s="201"/>
      <c r="AK691" s="70"/>
      <c r="AL691" s="70"/>
      <c r="AM691" s="70"/>
      <c r="AN691" s="70"/>
      <c r="AO691" s="70"/>
      <c r="AP691" s="70"/>
      <c r="AQ691" s="70"/>
      <c r="AR691" s="70"/>
      <c r="AS691" s="70"/>
      <c r="AT691" s="70"/>
      <c r="AU691" s="70"/>
      <c r="AV691" s="70"/>
      <c r="AW691" s="70"/>
      <c r="AX691" s="70"/>
    </row>
    <row r="692">
      <c r="A692" s="8"/>
      <c r="B692" s="70"/>
      <c r="C692" s="70"/>
      <c r="D692" s="70"/>
      <c r="E692" s="8"/>
      <c r="F692" s="70"/>
      <c r="G692" s="70"/>
      <c r="H692" s="70"/>
      <c r="I692" s="8"/>
      <c r="J692" s="70"/>
      <c r="K692" s="70"/>
      <c r="L692" s="70"/>
      <c r="M692" s="8"/>
      <c r="N692" s="70"/>
      <c r="O692" s="70"/>
      <c r="P692" s="70"/>
      <c r="Q692" s="8"/>
      <c r="R692" s="70"/>
      <c r="S692" s="70"/>
      <c r="T692" s="70"/>
      <c r="U692" s="8"/>
      <c r="V692" s="70"/>
      <c r="W692" s="70"/>
      <c r="X692" s="70"/>
      <c r="Y692" s="200"/>
      <c r="Z692" s="195"/>
      <c r="AA692" s="195"/>
      <c r="AB692" s="195"/>
      <c r="AC692" s="8"/>
      <c r="AD692" s="70"/>
      <c r="AE692" s="70"/>
      <c r="AF692" s="70"/>
      <c r="AG692" s="201"/>
      <c r="AH692" s="202"/>
      <c r="AI692" s="201"/>
      <c r="AJ692" s="201"/>
      <c r="AK692" s="70"/>
      <c r="AL692" s="70"/>
      <c r="AM692" s="70"/>
      <c r="AN692" s="70"/>
      <c r="AO692" s="70"/>
      <c r="AP692" s="70"/>
      <c r="AQ692" s="70"/>
      <c r="AR692" s="70"/>
      <c r="AS692" s="70"/>
      <c r="AT692" s="70"/>
      <c r="AU692" s="70"/>
      <c r="AV692" s="70"/>
      <c r="AW692" s="70"/>
      <c r="AX692" s="70"/>
    </row>
    <row r="693">
      <c r="A693" s="8"/>
      <c r="B693" s="70"/>
      <c r="C693" s="70"/>
      <c r="D693" s="70"/>
      <c r="E693" s="8"/>
      <c r="F693" s="70"/>
      <c r="G693" s="70"/>
      <c r="H693" s="70"/>
      <c r="I693" s="8"/>
      <c r="J693" s="70"/>
      <c r="K693" s="70"/>
      <c r="L693" s="70"/>
      <c r="M693" s="8"/>
      <c r="N693" s="70"/>
      <c r="O693" s="70"/>
      <c r="P693" s="70"/>
      <c r="Q693" s="8"/>
      <c r="R693" s="70"/>
      <c r="S693" s="70"/>
      <c r="T693" s="70"/>
      <c r="U693" s="8"/>
      <c r="V693" s="70"/>
      <c r="W693" s="70"/>
      <c r="X693" s="70"/>
      <c r="Y693" s="200"/>
      <c r="Z693" s="195"/>
      <c r="AA693" s="195"/>
      <c r="AB693" s="195"/>
      <c r="AC693" s="8"/>
      <c r="AD693" s="70"/>
      <c r="AE693" s="70"/>
      <c r="AF693" s="70"/>
      <c r="AG693" s="201"/>
      <c r="AH693" s="202"/>
      <c r="AI693" s="201"/>
      <c r="AJ693" s="201"/>
      <c r="AK693" s="70"/>
      <c r="AL693" s="70"/>
      <c r="AM693" s="70"/>
      <c r="AN693" s="70"/>
      <c r="AO693" s="70"/>
      <c r="AP693" s="70"/>
      <c r="AQ693" s="70"/>
      <c r="AR693" s="70"/>
      <c r="AS693" s="70"/>
      <c r="AT693" s="70"/>
      <c r="AU693" s="70"/>
      <c r="AV693" s="70"/>
      <c r="AW693" s="70"/>
      <c r="AX693" s="70"/>
    </row>
    <row r="694">
      <c r="A694" s="8"/>
      <c r="B694" s="70"/>
      <c r="C694" s="70"/>
      <c r="D694" s="70"/>
      <c r="E694" s="8"/>
      <c r="F694" s="70"/>
      <c r="G694" s="70"/>
      <c r="H694" s="70"/>
      <c r="I694" s="8"/>
      <c r="J694" s="70"/>
      <c r="K694" s="70"/>
      <c r="L694" s="70"/>
      <c r="M694" s="8"/>
      <c r="N694" s="70"/>
      <c r="O694" s="70"/>
      <c r="P694" s="70"/>
      <c r="Q694" s="8"/>
      <c r="R694" s="70"/>
      <c r="S694" s="70"/>
      <c r="T694" s="70"/>
      <c r="U694" s="8"/>
      <c r="V694" s="70"/>
      <c r="W694" s="70"/>
      <c r="X694" s="70"/>
      <c r="Y694" s="200"/>
      <c r="Z694" s="195"/>
      <c r="AA694" s="195"/>
      <c r="AB694" s="195"/>
      <c r="AC694" s="8"/>
      <c r="AD694" s="70"/>
      <c r="AE694" s="70"/>
      <c r="AF694" s="70"/>
      <c r="AG694" s="201"/>
      <c r="AH694" s="202"/>
      <c r="AI694" s="201"/>
      <c r="AJ694" s="201"/>
      <c r="AK694" s="70"/>
      <c r="AL694" s="70"/>
      <c r="AM694" s="70"/>
      <c r="AN694" s="70"/>
      <c r="AO694" s="70"/>
      <c r="AP694" s="70"/>
      <c r="AQ694" s="70"/>
      <c r="AR694" s="70"/>
      <c r="AS694" s="70"/>
      <c r="AT694" s="70"/>
      <c r="AU694" s="70"/>
      <c r="AV694" s="70"/>
      <c r="AW694" s="70"/>
      <c r="AX694" s="70"/>
    </row>
    <row r="695">
      <c r="A695" s="8"/>
      <c r="B695" s="70"/>
      <c r="C695" s="70"/>
      <c r="D695" s="70"/>
      <c r="E695" s="8"/>
      <c r="F695" s="70"/>
      <c r="G695" s="70"/>
      <c r="H695" s="70"/>
      <c r="I695" s="8"/>
      <c r="J695" s="70"/>
      <c r="K695" s="70"/>
      <c r="L695" s="70"/>
      <c r="M695" s="8"/>
      <c r="N695" s="70"/>
      <c r="O695" s="70"/>
      <c r="P695" s="70"/>
      <c r="Q695" s="8"/>
      <c r="R695" s="70"/>
      <c r="S695" s="70"/>
      <c r="T695" s="70"/>
      <c r="U695" s="8"/>
      <c r="V695" s="70"/>
      <c r="W695" s="70"/>
      <c r="X695" s="70"/>
      <c r="Y695" s="200"/>
      <c r="Z695" s="195"/>
      <c r="AA695" s="195"/>
      <c r="AB695" s="195"/>
      <c r="AC695" s="8"/>
      <c r="AD695" s="70"/>
      <c r="AE695" s="70"/>
      <c r="AF695" s="70"/>
      <c r="AG695" s="201"/>
      <c r="AH695" s="202"/>
      <c r="AI695" s="201"/>
      <c r="AJ695" s="201"/>
      <c r="AK695" s="70"/>
      <c r="AL695" s="70"/>
      <c r="AM695" s="70"/>
      <c r="AN695" s="70"/>
      <c r="AO695" s="70"/>
      <c r="AP695" s="70"/>
      <c r="AQ695" s="70"/>
      <c r="AR695" s="70"/>
      <c r="AS695" s="70"/>
      <c r="AT695" s="70"/>
      <c r="AU695" s="70"/>
      <c r="AV695" s="70"/>
      <c r="AW695" s="70"/>
      <c r="AX695" s="70"/>
    </row>
    <row r="696">
      <c r="A696" s="8"/>
      <c r="B696" s="70"/>
      <c r="C696" s="70"/>
      <c r="D696" s="70"/>
      <c r="E696" s="8"/>
      <c r="F696" s="70"/>
      <c r="G696" s="70"/>
      <c r="H696" s="70"/>
      <c r="I696" s="8"/>
      <c r="J696" s="70"/>
      <c r="K696" s="70"/>
      <c r="L696" s="70"/>
      <c r="M696" s="8"/>
      <c r="N696" s="70"/>
      <c r="O696" s="70"/>
      <c r="P696" s="70"/>
      <c r="Q696" s="8"/>
      <c r="R696" s="70"/>
      <c r="S696" s="70"/>
      <c r="T696" s="70"/>
      <c r="U696" s="8"/>
      <c r="V696" s="70"/>
      <c r="W696" s="70"/>
      <c r="X696" s="70"/>
      <c r="Y696" s="200"/>
      <c r="Z696" s="195"/>
      <c r="AA696" s="195"/>
      <c r="AB696" s="195"/>
      <c r="AC696" s="8"/>
      <c r="AD696" s="70"/>
      <c r="AE696" s="70"/>
      <c r="AF696" s="70"/>
      <c r="AG696" s="201"/>
      <c r="AH696" s="202"/>
      <c r="AI696" s="201"/>
      <c r="AJ696" s="201"/>
      <c r="AK696" s="70"/>
      <c r="AL696" s="70"/>
      <c r="AM696" s="70"/>
      <c r="AN696" s="70"/>
      <c r="AO696" s="70"/>
      <c r="AP696" s="70"/>
      <c r="AQ696" s="70"/>
      <c r="AR696" s="70"/>
      <c r="AS696" s="70"/>
      <c r="AT696" s="70"/>
      <c r="AU696" s="70"/>
      <c r="AV696" s="70"/>
      <c r="AW696" s="70"/>
      <c r="AX696" s="70"/>
    </row>
    <row r="697">
      <c r="A697" s="8"/>
      <c r="B697" s="70"/>
      <c r="C697" s="70"/>
      <c r="D697" s="70"/>
      <c r="E697" s="8"/>
      <c r="F697" s="70"/>
      <c r="G697" s="70"/>
      <c r="H697" s="70"/>
      <c r="I697" s="8"/>
      <c r="J697" s="70"/>
      <c r="K697" s="70"/>
      <c r="L697" s="70"/>
      <c r="M697" s="8"/>
      <c r="N697" s="70"/>
      <c r="O697" s="70"/>
      <c r="P697" s="70"/>
      <c r="Q697" s="8"/>
      <c r="R697" s="70"/>
      <c r="S697" s="70"/>
      <c r="T697" s="70"/>
      <c r="U697" s="8"/>
      <c r="V697" s="70"/>
      <c r="W697" s="70"/>
      <c r="X697" s="70"/>
      <c r="Y697" s="200"/>
      <c r="Z697" s="195"/>
      <c r="AA697" s="195"/>
      <c r="AB697" s="195"/>
      <c r="AC697" s="8"/>
      <c r="AD697" s="70"/>
      <c r="AE697" s="70"/>
      <c r="AF697" s="70"/>
      <c r="AG697" s="201"/>
      <c r="AH697" s="202"/>
      <c r="AI697" s="201"/>
      <c r="AJ697" s="201"/>
      <c r="AK697" s="70"/>
      <c r="AL697" s="70"/>
      <c r="AM697" s="70"/>
      <c r="AN697" s="70"/>
      <c r="AO697" s="70"/>
      <c r="AP697" s="70"/>
      <c r="AQ697" s="70"/>
      <c r="AR697" s="70"/>
      <c r="AS697" s="70"/>
      <c r="AT697" s="70"/>
      <c r="AU697" s="70"/>
      <c r="AV697" s="70"/>
      <c r="AW697" s="70"/>
      <c r="AX697" s="70"/>
    </row>
    <row r="698">
      <c r="A698" s="8"/>
      <c r="B698" s="70"/>
      <c r="C698" s="70"/>
      <c r="D698" s="70"/>
      <c r="E698" s="8"/>
      <c r="F698" s="70"/>
      <c r="G698" s="70"/>
      <c r="H698" s="70"/>
      <c r="I698" s="8"/>
      <c r="J698" s="70"/>
      <c r="K698" s="70"/>
      <c r="L698" s="70"/>
      <c r="M698" s="8"/>
      <c r="N698" s="70"/>
      <c r="O698" s="70"/>
      <c r="P698" s="70"/>
      <c r="Q698" s="8"/>
      <c r="R698" s="70"/>
      <c r="S698" s="70"/>
      <c r="T698" s="70"/>
      <c r="U698" s="8"/>
      <c r="V698" s="70"/>
      <c r="W698" s="70"/>
      <c r="X698" s="70"/>
      <c r="Y698" s="200"/>
      <c r="Z698" s="195"/>
      <c r="AA698" s="195"/>
      <c r="AB698" s="195"/>
      <c r="AC698" s="8"/>
      <c r="AD698" s="70"/>
      <c r="AE698" s="70"/>
      <c r="AF698" s="70"/>
      <c r="AG698" s="201"/>
      <c r="AH698" s="202"/>
      <c r="AI698" s="201"/>
      <c r="AJ698" s="201"/>
      <c r="AK698" s="70"/>
      <c r="AL698" s="70"/>
      <c r="AM698" s="70"/>
      <c r="AN698" s="70"/>
      <c r="AO698" s="70"/>
      <c r="AP698" s="70"/>
      <c r="AQ698" s="70"/>
      <c r="AR698" s="70"/>
      <c r="AS698" s="70"/>
      <c r="AT698" s="70"/>
      <c r="AU698" s="70"/>
      <c r="AV698" s="70"/>
      <c r="AW698" s="70"/>
      <c r="AX698" s="70"/>
    </row>
    <row r="699">
      <c r="A699" s="8"/>
      <c r="B699" s="70"/>
      <c r="C699" s="70"/>
      <c r="D699" s="70"/>
      <c r="E699" s="8"/>
      <c r="F699" s="70"/>
      <c r="G699" s="70"/>
      <c r="H699" s="70"/>
      <c r="I699" s="8"/>
      <c r="J699" s="70"/>
      <c r="K699" s="70"/>
      <c r="L699" s="70"/>
      <c r="M699" s="8"/>
      <c r="N699" s="70"/>
      <c r="O699" s="70"/>
      <c r="P699" s="70"/>
      <c r="Q699" s="8"/>
      <c r="R699" s="70"/>
      <c r="S699" s="70"/>
      <c r="T699" s="70"/>
      <c r="U699" s="8"/>
      <c r="V699" s="70"/>
      <c r="W699" s="70"/>
      <c r="X699" s="70"/>
      <c r="Y699" s="200"/>
      <c r="Z699" s="195"/>
      <c r="AA699" s="195"/>
      <c r="AB699" s="195"/>
      <c r="AC699" s="8"/>
      <c r="AD699" s="70"/>
      <c r="AE699" s="70"/>
      <c r="AF699" s="70"/>
      <c r="AG699" s="201"/>
      <c r="AH699" s="202"/>
      <c r="AI699" s="201"/>
      <c r="AJ699" s="201"/>
      <c r="AK699" s="70"/>
      <c r="AL699" s="70"/>
      <c r="AM699" s="70"/>
      <c r="AN699" s="70"/>
      <c r="AO699" s="70"/>
      <c r="AP699" s="70"/>
      <c r="AQ699" s="70"/>
      <c r="AR699" s="70"/>
      <c r="AS699" s="70"/>
      <c r="AT699" s="70"/>
      <c r="AU699" s="70"/>
      <c r="AV699" s="70"/>
      <c r="AW699" s="70"/>
      <c r="AX699" s="70"/>
    </row>
    <row r="700">
      <c r="A700" s="8"/>
      <c r="B700" s="70"/>
      <c r="C700" s="70"/>
      <c r="D700" s="70"/>
      <c r="E700" s="8"/>
      <c r="F700" s="70"/>
      <c r="G700" s="70"/>
      <c r="H700" s="70"/>
      <c r="I700" s="8"/>
      <c r="J700" s="70"/>
      <c r="K700" s="70"/>
      <c r="L700" s="70"/>
      <c r="M700" s="8"/>
      <c r="N700" s="70"/>
      <c r="O700" s="70"/>
      <c r="P700" s="70"/>
      <c r="Q700" s="8"/>
      <c r="R700" s="70"/>
      <c r="S700" s="70"/>
      <c r="T700" s="70"/>
      <c r="U700" s="8"/>
      <c r="V700" s="70"/>
      <c r="W700" s="70"/>
      <c r="X700" s="70"/>
      <c r="Y700" s="200"/>
      <c r="Z700" s="195"/>
      <c r="AA700" s="195"/>
      <c r="AB700" s="195"/>
      <c r="AC700" s="8"/>
      <c r="AD700" s="70"/>
      <c r="AE700" s="70"/>
      <c r="AF700" s="70"/>
      <c r="AG700" s="201"/>
      <c r="AH700" s="202"/>
      <c r="AI700" s="201"/>
      <c r="AJ700" s="201"/>
      <c r="AK700" s="70"/>
      <c r="AL700" s="70"/>
      <c r="AM700" s="70"/>
      <c r="AN700" s="70"/>
      <c r="AO700" s="70"/>
      <c r="AP700" s="70"/>
      <c r="AQ700" s="70"/>
      <c r="AR700" s="70"/>
      <c r="AS700" s="70"/>
      <c r="AT700" s="70"/>
      <c r="AU700" s="70"/>
      <c r="AV700" s="70"/>
      <c r="AW700" s="70"/>
      <c r="AX700" s="70"/>
    </row>
    <row r="701">
      <c r="A701" s="8"/>
      <c r="B701" s="70"/>
      <c r="C701" s="70"/>
      <c r="D701" s="70"/>
      <c r="E701" s="8"/>
      <c r="F701" s="70"/>
      <c r="G701" s="70"/>
      <c r="H701" s="70"/>
      <c r="I701" s="8"/>
      <c r="J701" s="70"/>
      <c r="K701" s="70"/>
      <c r="L701" s="70"/>
      <c r="M701" s="8"/>
      <c r="N701" s="70"/>
      <c r="O701" s="70"/>
      <c r="P701" s="70"/>
      <c r="Q701" s="8"/>
      <c r="R701" s="70"/>
      <c r="S701" s="70"/>
      <c r="T701" s="70"/>
      <c r="U701" s="8"/>
      <c r="V701" s="70"/>
      <c r="W701" s="70"/>
      <c r="X701" s="70"/>
      <c r="Y701" s="200"/>
      <c r="Z701" s="195"/>
      <c r="AA701" s="195"/>
      <c r="AB701" s="195"/>
      <c r="AC701" s="8"/>
      <c r="AD701" s="70"/>
      <c r="AE701" s="70"/>
      <c r="AF701" s="70"/>
      <c r="AG701" s="201"/>
      <c r="AH701" s="202"/>
      <c r="AI701" s="201"/>
      <c r="AJ701" s="201"/>
      <c r="AK701" s="70"/>
      <c r="AL701" s="70"/>
      <c r="AM701" s="70"/>
      <c r="AN701" s="70"/>
      <c r="AO701" s="70"/>
      <c r="AP701" s="70"/>
      <c r="AQ701" s="70"/>
      <c r="AR701" s="70"/>
      <c r="AS701" s="70"/>
      <c r="AT701" s="70"/>
      <c r="AU701" s="70"/>
      <c r="AV701" s="70"/>
      <c r="AW701" s="70"/>
      <c r="AX701" s="70"/>
    </row>
    <row r="702">
      <c r="A702" s="8"/>
      <c r="B702" s="70"/>
      <c r="C702" s="70"/>
      <c r="D702" s="70"/>
      <c r="E702" s="8"/>
      <c r="F702" s="70"/>
      <c r="G702" s="70"/>
      <c r="H702" s="70"/>
      <c r="I702" s="8"/>
      <c r="J702" s="70"/>
      <c r="K702" s="70"/>
      <c r="L702" s="70"/>
      <c r="M702" s="8"/>
      <c r="N702" s="70"/>
      <c r="O702" s="70"/>
      <c r="P702" s="70"/>
      <c r="Q702" s="8"/>
      <c r="R702" s="70"/>
      <c r="S702" s="70"/>
      <c r="T702" s="70"/>
      <c r="U702" s="8"/>
      <c r="V702" s="70"/>
      <c r="W702" s="70"/>
      <c r="X702" s="70"/>
      <c r="Y702" s="200"/>
      <c r="Z702" s="195"/>
      <c r="AA702" s="195"/>
      <c r="AB702" s="195"/>
      <c r="AC702" s="8"/>
      <c r="AD702" s="70"/>
      <c r="AE702" s="70"/>
      <c r="AF702" s="70"/>
      <c r="AG702" s="201"/>
      <c r="AH702" s="202"/>
      <c r="AI702" s="201"/>
      <c r="AJ702" s="201"/>
      <c r="AK702" s="70"/>
      <c r="AL702" s="70"/>
      <c r="AM702" s="70"/>
      <c r="AN702" s="70"/>
      <c r="AO702" s="70"/>
      <c r="AP702" s="70"/>
      <c r="AQ702" s="70"/>
      <c r="AR702" s="70"/>
      <c r="AS702" s="70"/>
      <c r="AT702" s="70"/>
      <c r="AU702" s="70"/>
      <c r="AV702" s="70"/>
      <c r="AW702" s="70"/>
      <c r="AX702" s="70"/>
    </row>
    <row r="703">
      <c r="A703" s="8"/>
      <c r="B703" s="70"/>
      <c r="C703" s="70"/>
      <c r="D703" s="70"/>
      <c r="E703" s="8"/>
      <c r="F703" s="70"/>
      <c r="G703" s="70"/>
      <c r="H703" s="70"/>
      <c r="I703" s="8"/>
      <c r="J703" s="70"/>
      <c r="K703" s="70"/>
      <c r="L703" s="70"/>
      <c r="M703" s="8"/>
      <c r="N703" s="70"/>
      <c r="O703" s="70"/>
      <c r="P703" s="70"/>
      <c r="Q703" s="8"/>
      <c r="R703" s="70"/>
      <c r="S703" s="70"/>
      <c r="T703" s="70"/>
      <c r="U703" s="8"/>
      <c r="V703" s="70"/>
      <c r="W703" s="70"/>
      <c r="X703" s="70"/>
      <c r="Y703" s="200"/>
      <c r="Z703" s="195"/>
      <c r="AA703" s="195"/>
      <c r="AB703" s="195"/>
      <c r="AC703" s="8"/>
      <c r="AD703" s="70"/>
      <c r="AE703" s="70"/>
      <c r="AF703" s="70"/>
      <c r="AG703" s="201"/>
      <c r="AH703" s="202"/>
      <c r="AI703" s="201"/>
      <c r="AJ703" s="201"/>
      <c r="AK703" s="70"/>
      <c r="AL703" s="70"/>
      <c r="AM703" s="70"/>
      <c r="AN703" s="70"/>
      <c r="AO703" s="70"/>
      <c r="AP703" s="70"/>
      <c r="AQ703" s="70"/>
      <c r="AR703" s="70"/>
      <c r="AS703" s="70"/>
      <c r="AT703" s="70"/>
      <c r="AU703" s="70"/>
      <c r="AV703" s="70"/>
      <c r="AW703" s="70"/>
      <c r="AX703" s="70"/>
    </row>
    <row r="704">
      <c r="A704" s="8"/>
      <c r="B704" s="70"/>
      <c r="C704" s="70"/>
      <c r="D704" s="70"/>
      <c r="E704" s="8"/>
      <c r="F704" s="70"/>
      <c r="G704" s="70"/>
      <c r="H704" s="70"/>
      <c r="I704" s="8"/>
      <c r="J704" s="70"/>
      <c r="K704" s="70"/>
      <c r="L704" s="70"/>
      <c r="M704" s="8"/>
      <c r="N704" s="70"/>
      <c r="O704" s="70"/>
      <c r="P704" s="70"/>
      <c r="Q704" s="8"/>
      <c r="R704" s="70"/>
      <c r="S704" s="70"/>
      <c r="T704" s="70"/>
      <c r="U704" s="8"/>
      <c r="V704" s="70"/>
      <c r="W704" s="70"/>
      <c r="X704" s="70"/>
      <c r="Y704" s="200"/>
      <c r="Z704" s="195"/>
      <c r="AA704" s="195"/>
      <c r="AB704" s="195"/>
      <c r="AC704" s="8"/>
      <c r="AD704" s="70"/>
      <c r="AE704" s="70"/>
      <c r="AF704" s="70"/>
      <c r="AG704" s="201"/>
      <c r="AH704" s="202"/>
      <c r="AI704" s="201"/>
      <c r="AJ704" s="201"/>
      <c r="AK704" s="70"/>
      <c r="AL704" s="70"/>
      <c r="AM704" s="70"/>
      <c r="AN704" s="70"/>
      <c r="AO704" s="70"/>
      <c r="AP704" s="70"/>
      <c r="AQ704" s="70"/>
      <c r="AR704" s="70"/>
      <c r="AS704" s="70"/>
      <c r="AT704" s="70"/>
      <c r="AU704" s="70"/>
      <c r="AV704" s="70"/>
      <c r="AW704" s="70"/>
      <c r="AX704" s="70"/>
    </row>
    <row r="705">
      <c r="A705" s="8"/>
      <c r="B705" s="70"/>
      <c r="C705" s="70"/>
      <c r="D705" s="70"/>
      <c r="E705" s="8"/>
      <c r="F705" s="70"/>
      <c r="G705" s="70"/>
      <c r="H705" s="70"/>
      <c r="I705" s="8"/>
      <c r="J705" s="70"/>
      <c r="K705" s="70"/>
      <c r="L705" s="70"/>
      <c r="M705" s="8"/>
      <c r="N705" s="70"/>
      <c r="O705" s="70"/>
      <c r="P705" s="70"/>
      <c r="Q705" s="8"/>
      <c r="R705" s="70"/>
      <c r="S705" s="70"/>
      <c r="T705" s="70"/>
      <c r="U705" s="8"/>
      <c r="V705" s="70"/>
      <c r="W705" s="70"/>
      <c r="X705" s="70"/>
      <c r="Y705" s="200"/>
      <c r="Z705" s="195"/>
      <c r="AA705" s="195"/>
      <c r="AB705" s="195"/>
      <c r="AC705" s="8"/>
      <c r="AD705" s="70"/>
      <c r="AE705" s="70"/>
      <c r="AF705" s="70"/>
      <c r="AG705" s="201"/>
      <c r="AH705" s="202"/>
      <c r="AI705" s="201"/>
      <c r="AJ705" s="201"/>
      <c r="AK705" s="70"/>
      <c r="AL705" s="70"/>
      <c r="AM705" s="70"/>
      <c r="AN705" s="70"/>
      <c r="AO705" s="70"/>
      <c r="AP705" s="70"/>
      <c r="AQ705" s="70"/>
      <c r="AR705" s="70"/>
      <c r="AS705" s="70"/>
      <c r="AT705" s="70"/>
      <c r="AU705" s="70"/>
      <c r="AV705" s="70"/>
      <c r="AW705" s="70"/>
      <c r="AX705" s="70"/>
    </row>
    <row r="706">
      <c r="A706" s="8"/>
      <c r="B706" s="70"/>
      <c r="C706" s="70"/>
      <c r="D706" s="70"/>
      <c r="E706" s="8"/>
      <c r="F706" s="70"/>
      <c r="G706" s="70"/>
      <c r="H706" s="70"/>
      <c r="I706" s="8"/>
      <c r="J706" s="70"/>
      <c r="K706" s="70"/>
      <c r="L706" s="70"/>
      <c r="M706" s="8"/>
      <c r="N706" s="70"/>
      <c r="O706" s="70"/>
      <c r="P706" s="70"/>
      <c r="Q706" s="8"/>
      <c r="R706" s="70"/>
      <c r="S706" s="70"/>
      <c r="T706" s="70"/>
      <c r="U706" s="8"/>
      <c r="V706" s="70"/>
      <c r="W706" s="70"/>
      <c r="X706" s="70"/>
      <c r="Y706" s="200"/>
      <c r="Z706" s="195"/>
      <c r="AA706" s="195"/>
      <c r="AB706" s="195"/>
      <c r="AC706" s="8"/>
      <c r="AD706" s="70"/>
      <c r="AE706" s="70"/>
      <c r="AF706" s="70"/>
      <c r="AG706" s="201"/>
      <c r="AH706" s="202"/>
      <c r="AI706" s="201"/>
      <c r="AJ706" s="201"/>
      <c r="AK706" s="70"/>
      <c r="AL706" s="70"/>
      <c r="AM706" s="70"/>
      <c r="AN706" s="70"/>
      <c r="AO706" s="70"/>
      <c r="AP706" s="70"/>
      <c r="AQ706" s="70"/>
      <c r="AR706" s="70"/>
      <c r="AS706" s="70"/>
      <c r="AT706" s="70"/>
      <c r="AU706" s="70"/>
      <c r="AV706" s="70"/>
      <c r="AW706" s="70"/>
      <c r="AX706" s="70"/>
    </row>
    <row r="707">
      <c r="A707" s="8"/>
      <c r="B707" s="70"/>
      <c r="C707" s="70"/>
      <c r="D707" s="70"/>
      <c r="E707" s="8"/>
      <c r="F707" s="70"/>
      <c r="G707" s="70"/>
      <c r="H707" s="70"/>
      <c r="I707" s="8"/>
      <c r="J707" s="70"/>
      <c r="K707" s="70"/>
      <c r="L707" s="70"/>
      <c r="M707" s="8"/>
      <c r="N707" s="70"/>
      <c r="O707" s="70"/>
      <c r="P707" s="70"/>
      <c r="Q707" s="8"/>
      <c r="R707" s="70"/>
      <c r="S707" s="70"/>
      <c r="T707" s="70"/>
      <c r="U707" s="8"/>
      <c r="V707" s="70"/>
      <c r="W707" s="70"/>
      <c r="X707" s="70"/>
      <c r="Y707" s="200"/>
      <c r="Z707" s="195"/>
      <c r="AA707" s="195"/>
      <c r="AB707" s="195"/>
      <c r="AC707" s="8"/>
      <c r="AD707" s="70"/>
      <c r="AE707" s="70"/>
      <c r="AF707" s="70"/>
      <c r="AG707" s="201"/>
      <c r="AH707" s="202"/>
      <c r="AI707" s="201"/>
      <c r="AJ707" s="201"/>
      <c r="AK707" s="70"/>
      <c r="AL707" s="70"/>
      <c r="AM707" s="70"/>
      <c r="AN707" s="70"/>
      <c r="AO707" s="70"/>
      <c r="AP707" s="70"/>
      <c r="AQ707" s="70"/>
      <c r="AR707" s="70"/>
      <c r="AS707" s="70"/>
      <c r="AT707" s="70"/>
      <c r="AU707" s="70"/>
      <c r="AV707" s="70"/>
      <c r="AW707" s="70"/>
      <c r="AX707" s="70"/>
    </row>
    <row r="708">
      <c r="A708" s="8"/>
      <c r="B708" s="70"/>
      <c r="C708" s="70"/>
      <c r="D708" s="70"/>
      <c r="E708" s="8"/>
      <c r="F708" s="70"/>
      <c r="G708" s="70"/>
      <c r="H708" s="70"/>
      <c r="I708" s="8"/>
      <c r="J708" s="70"/>
      <c r="K708" s="70"/>
      <c r="L708" s="70"/>
      <c r="M708" s="8"/>
      <c r="N708" s="70"/>
      <c r="O708" s="70"/>
      <c r="P708" s="70"/>
      <c r="Q708" s="8"/>
      <c r="R708" s="70"/>
      <c r="S708" s="70"/>
      <c r="T708" s="70"/>
      <c r="U708" s="8"/>
      <c r="V708" s="70"/>
      <c r="W708" s="70"/>
      <c r="X708" s="70"/>
      <c r="Y708" s="200"/>
      <c r="Z708" s="195"/>
      <c r="AA708" s="195"/>
      <c r="AB708" s="195"/>
      <c r="AC708" s="8"/>
      <c r="AD708" s="70"/>
      <c r="AE708" s="70"/>
      <c r="AF708" s="70"/>
      <c r="AG708" s="201"/>
      <c r="AH708" s="202"/>
      <c r="AI708" s="201"/>
      <c r="AJ708" s="201"/>
      <c r="AK708" s="70"/>
      <c r="AL708" s="70"/>
      <c r="AM708" s="70"/>
      <c r="AN708" s="70"/>
      <c r="AO708" s="70"/>
      <c r="AP708" s="70"/>
      <c r="AQ708" s="70"/>
      <c r="AR708" s="70"/>
      <c r="AS708" s="70"/>
      <c r="AT708" s="70"/>
      <c r="AU708" s="70"/>
      <c r="AV708" s="70"/>
      <c r="AW708" s="70"/>
      <c r="AX708" s="70"/>
    </row>
    <row r="709">
      <c r="A709" s="8"/>
      <c r="B709" s="70"/>
      <c r="C709" s="70"/>
      <c r="D709" s="70"/>
      <c r="E709" s="8"/>
      <c r="F709" s="70"/>
      <c r="G709" s="70"/>
      <c r="H709" s="70"/>
      <c r="I709" s="8"/>
      <c r="J709" s="70"/>
      <c r="K709" s="70"/>
      <c r="L709" s="70"/>
      <c r="M709" s="8"/>
      <c r="N709" s="70"/>
      <c r="O709" s="70"/>
      <c r="P709" s="70"/>
      <c r="Q709" s="8"/>
      <c r="R709" s="70"/>
      <c r="S709" s="70"/>
      <c r="T709" s="70"/>
      <c r="U709" s="8"/>
      <c r="V709" s="70"/>
      <c r="W709" s="70"/>
      <c r="X709" s="70"/>
      <c r="Y709" s="200"/>
      <c r="Z709" s="195"/>
      <c r="AA709" s="195"/>
      <c r="AB709" s="195"/>
      <c r="AC709" s="8"/>
      <c r="AD709" s="70"/>
      <c r="AE709" s="70"/>
      <c r="AF709" s="70"/>
      <c r="AG709" s="201"/>
      <c r="AH709" s="202"/>
      <c r="AI709" s="201"/>
      <c r="AJ709" s="201"/>
      <c r="AK709" s="70"/>
      <c r="AL709" s="70"/>
      <c r="AM709" s="70"/>
      <c r="AN709" s="70"/>
      <c r="AO709" s="70"/>
      <c r="AP709" s="70"/>
      <c r="AQ709" s="70"/>
      <c r="AR709" s="70"/>
      <c r="AS709" s="70"/>
      <c r="AT709" s="70"/>
      <c r="AU709" s="70"/>
      <c r="AV709" s="70"/>
      <c r="AW709" s="70"/>
      <c r="AX709" s="70"/>
    </row>
    <row r="710">
      <c r="A710" s="8"/>
      <c r="B710" s="70"/>
      <c r="C710" s="70"/>
      <c r="D710" s="70"/>
      <c r="E710" s="8"/>
      <c r="F710" s="70"/>
      <c r="G710" s="70"/>
      <c r="H710" s="70"/>
      <c r="I710" s="8"/>
      <c r="J710" s="70"/>
      <c r="K710" s="70"/>
      <c r="L710" s="70"/>
      <c r="M710" s="8"/>
      <c r="N710" s="70"/>
      <c r="O710" s="70"/>
      <c r="P710" s="70"/>
      <c r="Q710" s="8"/>
      <c r="R710" s="70"/>
      <c r="S710" s="70"/>
      <c r="T710" s="70"/>
      <c r="U710" s="8"/>
      <c r="V710" s="70"/>
      <c r="W710" s="70"/>
      <c r="X710" s="70"/>
      <c r="Y710" s="200"/>
      <c r="Z710" s="195"/>
      <c r="AA710" s="195"/>
      <c r="AB710" s="195"/>
      <c r="AC710" s="8"/>
      <c r="AD710" s="70"/>
      <c r="AE710" s="70"/>
      <c r="AF710" s="70"/>
      <c r="AG710" s="201"/>
      <c r="AH710" s="202"/>
      <c r="AI710" s="201"/>
      <c r="AJ710" s="201"/>
      <c r="AK710" s="70"/>
      <c r="AL710" s="70"/>
      <c r="AM710" s="70"/>
      <c r="AN710" s="70"/>
      <c r="AO710" s="70"/>
      <c r="AP710" s="70"/>
      <c r="AQ710" s="70"/>
      <c r="AR710" s="70"/>
      <c r="AS710" s="70"/>
      <c r="AT710" s="70"/>
      <c r="AU710" s="70"/>
      <c r="AV710" s="70"/>
      <c r="AW710" s="70"/>
      <c r="AX710" s="70"/>
    </row>
    <row r="711">
      <c r="A711" s="8"/>
      <c r="B711" s="70"/>
      <c r="C711" s="70"/>
      <c r="D711" s="70"/>
      <c r="E711" s="8"/>
      <c r="F711" s="70"/>
      <c r="G711" s="70"/>
      <c r="H711" s="70"/>
      <c r="I711" s="8"/>
      <c r="J711" s="70"/>
      <c r="K711" s="70"/>
      <c r="L711" s="70"/>
      <c r="M711" s="8"/>
      <c r="N711" s="70"/>
      <c r="O711" s="70"/>
      <c r="P711" s="70"/>
      <c r="Q711" s="8"/>
      <c r="R711" s="70"/>
      <c r="S711" s="70"/>
      <c r="T711" s="70"/>
      <c r="U711" s="8"/>
      <c r="V711" s="70"/>
      <c r="W711" s="70"/>
      <c r="X711" s="70"/>
      <c r="Y711" s="200"/>
      <c r="Z711" s="195"/>
      <c r="AA711" s="195"/>
      <c r="AB711" s="195"/>
      <c r="AC711" s="8"/>
      <c r="AD711" s="70"/>
      <c r="AE711" s="70"/>
      <c r="AF711" s="70"/>
      <c r="AG711" s="201"/>
      <c r="AH711" s="202"/>
      <c r="AI711" s="201"/>
      <c r="AJ711" s="201"/>
      <c r="AK711" s="70"/>
      <c r="AL711" s="70"/>
      <c r="AM711" s="70"/>
      <c r="AN711" s="70"/>
      <c r="AO711" s="70"/>
      <c r="AP711" s="70"/>
      <c r="AQ711" s="70"/>
      <c r="AR711" s="70"/>
      <c r="AS711" s="70"/>
      <c r="AT711" s="70"/>
      <c r="AU711" s="70"/>
      <c r="AV711" s="70"/>
      <c r="AW711" s="70"/>
      <c r="AX711" s="70"/>
    </row>
    <row r="712">
      <c r="A712" s="8"/>
      <c r="B712" s="70"/>
      <c r="C712" s="70"/>
      <c r="D712" s="70"/>
      <c r="E712" s="8"/>
      <c r="F712" s="70"/>
      <c r="G712" s="70"/>
      <c r="H712" s="70"/>
      <c r="I712" s="8"/>
      <c r="J712" s="70"/>
      <c r="K712" s="70"/>
      <c r="L712" s="70"/>
      <c r="M712" s="8"/>
      <c r="N712" s="70"/>
      <c r="O712" s="70"/>
      <c r="P712" s="70"/>
      <c r="Q712" s="8"/>
      <c r="R712" s="70"/>
      <c r="S712" s="70"/>
      <c r="T712" s="70"/>
      <c r="U712" s="8"/>
      <c r="V712" s="70"/>
      <c r="W712" s="70"/>
      <c r="X712" s="70"/>
      <c r="Y712" s="200"/>
      <c r="Z712" s="195"/>
      <c r="AA712" s="195"/>
      <c r="AB712" s="195"/>
      <c r="AC712" s="8"/>
      <c r="AD712" s="70"/>
      <c r="AE712" s="70"/>
      <c r="AF712" s="70"/>
      <c r="AG712" s="201"/>
      <c r="AH712" s="202"/>
      <c r="AI712" s="201"/>
      <c r="AJ712" s="201"/>
      <c r="AK712" s="70"/>
      <c r="AL712" s="70"/>
      <c r="AM712" s="70"/>
      <c r="AN712" s="70"/>
      <c r="AO712" s="70"/>
      <c r="AP712" s="70"/>
      <c r="AQ712" s="70"/>
      <c r="AR712" s="70"/>
      <c r="AS712" s="70"/>
      <c r="AT712" s="70"/>
      <c r="AU712" s="70"/>
      <c r="AV712" s="70"/>
      <c r="AW712" s="70"/>
      <c r="AX712" s="70"/>
    </row>
    <row r="713">
      <c r="A713" s="8"/>
      <c r="B713" s="70"/>
      <c r="C713" s="70"/>
      <c r="D713" s="70"/>
      <c r="E713" s="8"/>
      <c r="F713" s="70"/>
      <c r="G713" s="70"/>
      <c r="H713" s="70"/>
      <c r="I713" s="8"/>
      <c r="J713" s="70"/>
      <c r="K713" s="70"/>
      <c r="L713" s="70"/>
      <c r="M713" s="8"/>
      <c r="N713" s="70"/>
      <c r="O713" s="70"/>
      <c r="P713" s="70"/>
      <c r="Q713" s="8"/>
      <c r="R713" s="70"/>
      <c r="S713" s="70"/>
      <c r="T713" s="70"/>
      <c r="U713" s="8"/>
      <c r="V713" s="70"/>
      <c r="W713" s="70"/>
      <c r="X713" s="70"/>
      <c r="Y713" s="200"/>
      <c r="Z713" s="195"/>
      <c r="AA713" s="195"/>
      <c r="AB713" s="195"/>
      <c r="AC713" s="8"/>
      <c r="AD713" s="70"/>
      <c r="AE713" s="70"/>
      <c r="AF713" s="70"/>
      <c r="AG713" s="201"/>
      <c r="AH713" s="202"/>
      <c r="AI713" s="201"/>
      <c r="AJ713" s="201"/>
      <c r="AK713" s="70"/>
      <c r="AL713" s="70"/>
      <c r="AM713" s="70"/>
      <c r="AN713" s="70"/>
      <c r="AO713" s="70"/>
      <c r="AP713" s="70"/>
      <c r="AQ713" s="70"/>
      <c r="AR713" s="70"/>
      <c r="AS713" s="70"/>
      <c r="AT713" s="70"/>
      <c r="AU713" s="70"/>
      <c r="AV713" s="70"/>
      <c r="AW713" s="70"/>
      <c r="AX713" s="70"/>
    </row>
    <row r="714">
      <c r="A714" s="8"/>
      <c r="B714" s="70"/>
      <c r="C714" s="70"/>
      <c r="D714" s="70"/>
      <c r="E714" s="8"/>
      <c r="F714" s="70"/>
      <c r="G714" s="70"/>
      <c r="H714" s="70"/>
      <c r="I714" s="8"/>
      <c r="J714" s="70"/>
      <c r="K714" s="70"/>
      <c r="L714" s="70"/>
      <c r="M714" s="8"/>
      <c r="N714" s="70"/>
      <c r="O714" s="70"/>
      <c r="P714" s="70"/>
      <c r="Q714" s="8"/>
      <c r="R714" s="70"/>
      <c r="S714" s="70"/>
      <c r="T714" s="70"/>
      <c r="U714" s="8"/>
      <c r="V714" s="70"/>
      <c r="W714" s="70"/>
      <c r="X714" s="70"/>
      <c r="Y714" s="200"/>
      <c r="Z714" s="195"/>
      <c r="AA714" s="195"/>
      <c r="AB714" s="195"/>
      <c r="AC714" s="8"/>
      <c r="AD714" s="70"/>
      <c r="AE714" s="70"/>
      <c r="AF714" s="70"/>
      <c r="AG714" s="201"/>
      <c r="AH714" s="202"/>
      <c r="AI714" s="201"/>
      <c r="AJ714" s="201"/>
      <c r="AK714" s="70"/>
      <c r="AL714" s="70"/>
      <c r="AM714" s="70"/>
      <c r="AN714" s="70"/>
      <c r="AO714" s="70"/>
      <c r="AP714" s="70"/>
      <c r="AQ714" s="70"/>
      <c r="AR714" s="70"/>
      <c r="AS714" s="70"/>
      <c r="AT714" s="70"/>
      <c r="AU714" s="70"/>
      <c r="AV714" s="70"/>
      <c r="AW714" s="70"/>
      <c r="AX714" s="70"/>
    </row>
    <row r="715">
      <c r="A715" s="8"/>
      <c r="B715" s="70"/>
      <c r="C715" s="70"/>
      <c r="D715" s="70"/>
      <c r="E715" s="8"/>
      <c r="F715" s="70"/>
      <c r="G715" s="70"/>
      <c r="H715" s="70"/>
      <c r="I715" s="8"/>
      <c r="J715" s="70"/>
      <c r="K715" s="70"/>
      <c r="L715" s="70"/>
      <c r="M715" s="8"/>
      <c r="N715" s="70"/>
      <c r="O715" s="70"/>
      <c r="P715" s="70"/>
      <c r="Q715" s="8"/>
      <c r="R715" s="70"/>
      <c r="S715" s="70"/>
      <c r="T715" s="70"/>
      <c r="U715" s="8"/>
      <c r="V715" s="70"/>
      <c r="W715" s="70"/>
      <c r="X715" s="70"/>
      <c r="Y715" s="200"/>
      <c r="Z715" s="195"/>
      <c r="AA715" s="195"/>
      <c r="AB715" s="195"/>
      <c r="AC715" s="8"/>
      <c r="AD715" s="70"/>
      <c r="AE715" s="70"/>
      <c r="AF715" s="70"/>
      <c r="AG715" s="201"/>
      <c r="AH715" s="202"/>
      <c r="AI715" s="201"/>
      <c r="AJ715" s="201"/>
      <c r="AK715" s="70"/>
      <c r="AL715" s="70"/>
      <c r="AM715" s="70"/>
      <c r="AN715" s="70"/>
      <c r="AO715" s="70"/>
      <c r="AP715" s="70"/>
      <c r="AQ715" s="70"/>
      <c r="AR715" s="70"/>
      <c r="AS715" s="70"/>
      <c r="AT715" s="70"/>
      <c r="AU715" s="70"/>
      <c r="AV715" s="70"/>
      <c r="AW715" s="70"/>
      <c r="AX715" s="70"/>
    </row>
    <row r="716">
      <c r="A716" s="8"/>
      <c r="B716" s="70"/>
      <c r="C716" s="70"/>
      <c r="D716" s="70"/>
      <c r="E716" s="8"/>
      <c r="F716" s="70"/>
      <c r="G716" s="70"/>
      <c r="H716" s="70"/>
      <c r="I716" s="8"/>
      <c r="J716" s="70"/>
      <c r="K716" s="70"/>
      <c r="L716" s="70"/>
      <c r="M716" s="8"/>
      <c r="N716" s="70"/>
      <c r="O716" s="70"/>
      <c r="P716" s="70"/>
      <c r="Q716" s="8"/>
      <c r="R716" s="70"/>
      <c r="S716" s="70"/>
      <c r="T716" s="70"/>
      <c r="U716" s="8"/>
      <c r="V716" s="70"/>
      <c r="W716" s="70"/>
      <c r="X716" s="70"/>
      <c r="Y716" s="200"/>
      <c r="Z716" s="195"/>
      <c r="AA716" s="195"/>
      <c r="AB716" s="195"/>
      <c r="AC716" s="8"/>
      <c r="AD716" s="70"/>
      <c r="AE716" s="70"/>
      <c r="AF716" s="70"/>
      <c r="AG716" s="201"/>
      <c r="AH716" s="202"/>
      <c r="AI716" s="201"/>
      <c r="AJ716" s="201"/>
      <c r="AK716" s="70"/>
      <c r="AL716" s="70"/>
      <c r="AM716" s="70"/>
      <c r="AN716" s="70"/>
      <c r="AO716" s="70"/>
      <c r="AP716" s="70"/>
      <c r="AQ716" s="70"/>
      <c r="AR716" s="70"/>
      <c r="AS716" s="70"/>
      <c r="AT716" s="70"/>
      <c r="AU716" s="70"/>
      <c r="AV716" s="70"/>
      <c r="AW716" s="70"/>
      <c r="AX716" s="70"/>
    </row>
    <row r="717">
      <c r="A717" s="8"/>
      <c r="B717" s="70"/>
      <c r="C717" s="70"/>
      <c r="D717" s="70"/>
      <c r="E717" s="8"/>
      <c r="F717" s="70"/>
      <c r="G717" s="70"/>
      <c r="H717" s="70"/>
      <c r="I717" s="8"/>
      <c r="J717" s="70"/>
      <c r="K717" s="70"/>
      <c r="L717" s="70"/>
      <c r="M717" s="8"/>
      <c r="N717" s="70"/>
      <c r="O717" s="70"/>
      <c r="P717" s="70"/>
      <c r="Q717" s="8"/>
      <c r="R717" s="70"/>
      <c r="S717" s="70"/>
      <c r="T717" s="70"/>
      <c r="U717" s="8"/>
      <c r="V717" s="70"/>
      <c r="W717" s="70"/>
      <c r="X717" s="70"/>
      <c r="Y717" s="200"/>
      <c r="Z717" s="195"/>
      <c r="AA717" s="195"/>
      <c r="AB717" s="195"/>
      <c r="AC717" s="8"/>
      <c r="AD717" s="70"/>
      <c r="AE717" s="70"/>
      <c r="AF717" s="70"/>
      <c r="AG717" s="201"/>
      <c r="AH717" s="202"/>
      <c r="AI717" s="201"/>
      <c r="AJ717" s="201"/>
      <c r="AK717" s="70"/>
      <c r="AL717" s="70"/>
      <c r="AM717" s="70"/>
      <c r="AN717" s="70"/>
      <c r="AO717" s="70"/>
      <c r="AP717" s="70"/>
      <c r="AQ717" s="70"/>
      <c r="AR717" s="70"/>
      <c r="AS717" s="70"/>
      <c r="AT717" s="70"/>
      <c r="AU717" s="70"/>
      <c r="AV717" s="70"/>
      <c r="AW717" s="70"/>
      <c r="AX717" s="70"/>
    </row>
    <row r="718">
      <c r="A718" s="8"/>
      <c r="B718" s="70"/>
      <c r="C718" s="70"/>
      <c r="D718" s="70"/>
      <c r="E718" s="8"/>
      <c r="F718" s="70"/>
      <c r="G718" s="70"/>
      <c r="H718" s="70"/>
      <c r="I718" s="8"/>
      <c r="J718" s="70"/>
      <c r="K718" s="70"/>
      <c r="L718" s="70"/>
      <c r="M718" s="8"/>
      <c r="N718" s="70"/>
      <c r="O718" s="70"/>
      <c r="P718" s="70"/>
      <c r="Q718" s="8"/>
      <c r="R718" s="70"/>
      <c r="S718" s="70"/>
      <c r="T718" s="70"/>
      <c r="U718" s="8"/>
      <c r="V718" s="70"/>
      <c r="W718" s="70"/>
      <c r="X718" s="70"/>
      <c r="Y718" s="200"/>
      <c r="Z718" s="195"/>
      <c r="AA718" s="195"/>
      <c r="AB718" s="195"/>
      <c r="AC718" s="8"/>
      <c r="AD718" s="70"/>
      <c r="AE718" s="70"/>
      <c r="AF718" s="70"/>
      <c r="AG718" s="201"/>
      <c r="AH718" s="202"/>
      <c r="AI718" s="201"/>
      <c r="AJ718" s="201"/>
      <c r="AK718" s="70"/>
      <c r="AL718" s="70"/>
      <c r="AM718" s="70"/>
      <c r="AN718" s="70"/>
      <c r="AO718" s="70"/>
      <c r="AP718" s="70"/>
      <c r="AQ718" s="70"/>
      <c r="AR718" s="70"/>
      <c r="AS718" s="70"/>
      <c r="AT718" s="70"/>
      <c r="AU718" s="70"/>
      <c r="AV718" s="70"/>
      <c r="AW718" s="70"/>
      <c r="AX718" s="70"/>
    </row>
    <row r="719">
      <c r="A719" s="8"/>
      <c r="B719" s="70"/>
      <c r="C719" s="70"/>
      <c r="D719" s="70"/>
      <c r="E719" s="8"/>
      <c r="F719" s="70"/>
      <c r="G719" s="70"/>
      <c r="H719" s="70"/>
      <c r="I719" s="8"/>
      <c r="J719" s="70"/>
      <c r="K719" s="70"/>
      <c r="L719" s="70"/>
      <c r="M719" s="8"/>
      <c r="N719" s="70"/>
      <c r="O719" s="70"/>
      <c r="P719" s="70"/>
      <c r="Q719" s="8"/>
      <c r="R719" s="70"/>
      <c r="S719" s="70"/>
      <c r="T719" s="70"/>
      <c r="U719" s="8"/>
      <c r="V719" s="70"/>
      <c r="W719" s="70"/>
      <c r="X719" s="70"/>
      <c r="Y719" s="200"/>
      <c r="Z719" s="195"/>
      <c r="AA719" s="195"/>
      <c r="AB719" s="195"/>
      <c r="AC719" s="8"/>
      <c r="AD719" s="70"/>
      <c r="AE719" s="70"/>
      <c r="AF719" s="70"/>
      <c r="AG719" s="201"/>
      <c r="AH719" s="202"/>
      <c r="AI719" s="201"/>
      <c r="AJ719" s="201"/>
      <c r="AK719" s="70"/>
      <c r="AL719" s="70"/>
      <c r="AM719" s="70"/>
      <c r="AN719" s="70"/>
      <c r="AO719" s="70"/>
      <c r="AP719" s="70"/>
      <c r="AQ719" s="70"/>
      <c r="AR719" s="70"/>
      <c r="AS719" s="70"/>
      <c r="AT719" s="70"/>
      <c r="AU719" s="70"/>
      <c r="AV719" s="70"/>
      <c r="AW719" s="70"/>
      <c r="AX719" s="70"/>
    </row>
    <row r="720">
      <c r="A720" s="8"/>
      <c r="B720" s="70"/>
      <c r="C720" s="70"/>
      <c r="D720" s="70"/>
      <c r="E720" s="8"/>
      <c r="F720" s="70"/>
      <c r="G720" s="70"/>
      <c r="H720" s="70"/>
      <c r="I720" s="8"/>
      <c r="J720" s="70"/>
      <c r="K720" s="70"/>
      <c r="L720" s="70"/>
      <c r="M720" s="8"/>
      <c r="N720" s="70"/>
      <c r="O720" s="70"/>
      <c r="P720" s="70"/>
      <c r="Q720" s="8"/>
      <c r="R720" s="70"/>
      <c r="S720" s="70"/>
      <c r="T720" s="70"/>
      <c r="U720" s="8"/>
      <c r="V720" s="70"/>
      <c r="W720" s="70"/>
      <c r="X720" s="70"/>
      <c r="Y720" s="200"/>
      <c r="Z720" s="195"/>
      <c r="AA720" s="195"/>
      <c r="AB720" s="195"/>
      <c r="AC720" s="8"/>
      <c r="AD720" s="70"/>
      <c r="AE720" s="70"/>
      <c r="AF720" s="70"/>
      <c r="AG720" s="201"/>
      <c r="AH720" s="202"/>
      <c r="AI720" s="201"/>
      <c r="AJ720" s="201"/>
      <c r="AK720" s="70"/>
      <c r="AL720" s="70"/>
      <c r="AM720" s="70"/>
      <c r="AN720" s="70"/>
      <c r="AO720" s="70"/>
      <c r="AP720" s="70"/>
      <c r="AQ720" s="70"/>
      <c r="AR720" s="70"/>
      <c r="AS720" s="70"/>
      <c r="AT720" s="70"/>
      <c r="AU720" s="70"/>
      <c r="AV720" s="70"/>
      <c r="AW720" s="70"/>
      <c r="AX720" s="70"/>
    </row>
    <row r="721">
      <c r="A721" s="8"/>
      <c r="B721" s="70"/>
      <c r="C721" s="70"/>
      <c r="D721" s="70"/>
      <c r="E721" s="8"/>
      <c r="F721" s="70"/>
      <c r="G721" s="70"/>
      <c r="H721" s="70"/>
      <c r="I721" s="8"/>
      <c r="J721" s="70"/>
      <c r="K721" s="70"/>
      <c r="L721" s="70"/>
      <c r="M721" s="8"/>
      <c r="N721" s="70"/>
      <c r="O721" s="70"/>
      <c r="P721" s="70"/>
      <c r="Q721" s="8"/>
      <c r="R721" s="70"/>
      <c r="S721" s="70"/>
      <c r="T721" s="70"/>
      <c r="U721" s="8"/>
      <c r="V721" s="70"/>
      <c r="W721" s="70"/>
      <c r="X721" s="70"/>
      <c r="Y721" s="200"/>
      <c r="Z721" s="195"/>
      <c r="AA721" s="195"/>
      <c r="AB721" s="195"/>
      <c r="AC721" s="8"/>
      <c r="AD721" s="70"/>
      <c r="AE721" s="70"/>
      <c r="AF721" s="70"/>
      <c r="AG721" s="201"/>
      <c r="AH721" s="202"/>
      <c r="AI721" s="201"/>
      <c r="AJ721" s="201"/>
      <c r="AK721" s="70"/>
      <c r="AL721" s="70"/>
      <c r="AM721" s="70"/>
      <c r="AN721" s="70"/>
      <c r="AO721" s="70"/>
      <c r="AP721" s="70"/>
      <c r="AQ721" s="70"/>
      <c r="AR721" s="70"/>
      <c r="AS721" s="70"/>
      <c r="AT721" s="70"/>
      <c r="AU721" s="70"/>
      <c r="AV721" s="70"/>
      <c r="AW721" s="70"/>
      <c r="AX721" s="70"/>
    </row>
    <row r="722">
      <c r="A722" s="8"/>
      <c r="B722" s="70"/>
      <c r="C722" s="70"/>
      <c r="D722" s="70"/>
      <c r="E722" s="8"/>
      <c r="F722" s="70"/>
      <c r="G722" s="70"/>
      <c r="H722" s="70"/>
      <c r="I722" s="8"/>
      <c r="J722" s="70"/>
      <c r="K722" s="70"/>
      <c r="L722" s="70"/>
      <c r="M722" s="8"/>
      <c r="N722" s="70"/>
      <c r="O722" s="70"/>
      <c r="P722" s="70"/>
      <c r="Q722" s="8"/>
      <c r="R722" s="70"/>
      <c r="S722" s="70"/>
      <c r="T722" s="70"/>
      <c r="U722" s="8"/>
      <c r="V722" s="70"/>
      <c r="W722" s="70"/>
      <c r="X722" s="70"/>
      <c r="Y722" s="200"/>
      <c r="Z722" s="195"/>
      <c r="AA722" s="195"/>
      <c r="AB722" s="195"/>
      <c r="AC722" s="8"/>
      <c r="AD722" s="70"/>
      <c r="AE722" s="70"/>
      <c r="AF722" s="70"/>
      <c r="AG722" s="201"/>
      <c r="AH722" s="202"/>
      <c r="AI722" s="201"/>
      <c r="AJ722" s="201"/>
      <c r="AK722" s="70"/>
      <c r="AL722" s="70"/>
      <c r="AM722" s="70"/>
      <c r="AN722" s="70"/>
      <c r="AO722" s="70"/>
      <c r="AP722" s="70"/>
      <c r="AQ722" s="70"/>
      <c r="AR722" s="70"/>
      <c r="AS722" s="70"/>
      <c r="AT722" s="70"/>
      <c r="AU722" s="70"/>
      <c r="AV722" s="70"/>
      <c r="AW722" s="70"/>
      <c r="AX722" s="70"/>
    </row>
    <row r="723">
      <c r="A723" s="8"/>
      <c r="B723" s="70"/>
      <c r="C723" s="70"/>
      <c r="D723" s="70"/>
      <c r="E723" s="8"/>
      <c r="F723" s="70"/>
      <c r="G723" s="70"/>
      <c r="H723" s="70"/>
      <c r="I723" s="8"/>
      <c r="J723" s="70"/>
      <c r="K723" s="70"/>
      <c r="L723" s="70"/>
      <c r="M723" s="8"/>
      <c r="N723" s="70"/>
      <c r="O723" s="70"/>
      <c r="P723" s="70"/>
      <c r="Q723" s="8"/>
      <c r="R723" s="70"/>
      <c r="S723" s="70"/>
      <c r="T723" s="70"/>
      <c r="U723" s="8"/>
      <c r="V723" s="70"/>
      <c r="W723" s="70"/>
      <c r="X723" s="70"/>
      <c r="Y723" s="200"/>
      <c r="Z723" s="195"/>
      <c r="AA723" s="195"/>
      <c r="AB723" s="195"/>
      <c r="AC723" s="8"/>
      <c r="AD723" s="70"/>
      <c r="AE723" s="70"/>
      <c r="AF723" s="70"/>
      <c r="AG723" s="201"/>
      <c r="AH723" s="202"/>
      <c r="AI723" s="201"/>
      <c r="AJ723" s="201"/>
      <c r="AK723" s="70"/>
      <c r="AL723" s="70"/>
      <c r="AM723" s="70"/>
      <c r="AN723" s="70"/>
      <c r="AO723" s="70"/>
      <c r="AP723" s="70"/>
      <c r="AQ723" s="70"/>
      <c r="AR723" s="70"/>
      <c r="AS723" s="70"/>
      <c r="AT723" s="70"/>
      <c r="AU723" s="70"/>
      <c r="AV723" s="70"/>
      <c r="AW723" s="70"/>
      <c r="AX723" s="70"/>
    </row>
    <row r="724">
      <c r="A724" s="8"/>
      <c r="B724" s="70"/>
      <c r="C724" s="70"/>
      <c r="D724" s="70"/>
      <c r="E724" s="8"/>
      <c r="F724" s="70"/>
      <c r="G724" s="70"/>
      <c r="H724" s="70"/>
      <c r="I724" s="8"/>
      <c r="J724" s="70"/>
      <c r="K724" s="70"/>
      <c r="L724" s="70"/>
      <c r="M724" s="8"/>
      <c r="N724" s="70"/>
      <c r="O724" s="70"/>
      <c r="P724" s="70"/>
      <c r="Q724" s="8"/>
      <c r="R724" s="70"/>
      <c r="S724" s="70"/>
      <c r="T724" s="70"/>
      <c r="U724" s="8"/>
      <c r="V724" s="70"/>
      <c r="W724" s="70"/>
      <c r="X724" s="70"/>
      <c r="Y724" s="200"/>
      <c r="Z724" s="195"/>
      <c r="AA724" s="195"/>
      <c r="AB724" s="195"/>
      <c r="AC724" s="8"/>
      <c r="AD724" s="70"/>
      <c r="AE724" s="70"/>
      <c r="AF724" s="70"/>
      <c r="AG724" s="201"/>
      <c r="AH724" s="202"/>
      <c r="AI724" s="201"/>
      <c r="AJ724" s="201"/>
      <c r="AK724" s="70"/>
      <c r="AL724" s="70"/>
      <c r="AM724" s="70"/>
      <c r="AN724" s="70"/>
      <c r="AO724" s="70"/>
      <c r="AP724" s="70"/>
      <c r="AQ724" s="70"/>
      <c r="AR724" s="70"/>
      <c r="AS724" s="70"/>
      <c r="AT724" s="70"/>
      <c r="AU724" s="70"/>
      <c r="AV724" s="70"/>
      <c r="AW724" s="70"/>
      <c r="AX724" s="70"/>
    </row>
    <row r="725">
      <c r="A725" s="8"/>
      <c r="B725" s="70"/>
      <c r="C725" s="70"/>
      <c r="D725" s="70"/>
      <c r="E725" s="8"/>
      <c r="F725" s="70"/>
      <c r="G725" s="70"/>
      <c r="H725" s="70"/>
      <c r="I725" s="8"/>
      <c r="J725" s="70"/>
      <c r="K725" s="70"/>
      <c r="L725" s="70"/>
      <c r="M725" s="8"/>
      <c r="N725" s="70"/>
      <c r="O725" s="70"/>
      <c r="P725" s="70"/>
      <c r="Q725" s="8"/>
      <c r="R725" s="70"/>
      <c r="S725" s="70"/>
      <c r="T725" s="70"/>
      <c r="U725" s="8"/>
      <c r="V725" s="70"/>
      <c r="W725" s="70"/>
      <c r="X725" s="70"/>
      <c r="Y725" s="200"/>
      <c r="Z725" s="195"/>
      <c r="AA725" s="195"/>
      <c r="AB725" s="195"/>
      <c r="AC725" s="8"/>
      <c r="AD725" s="70"/>
      <c r="AE725" s="70"/>
      <c r="AF725" s="70"/>
      <c r="AG725" s="201"/>
      <c r="AH725" s="202"/>
      <c r="AI725" s="201"/>
      <c r="AJ725" s="201"/>
      <c r="AK725" s="70"/>
      <c r="AL725" s="70"/>
      <c r="AM725" s="70"/>
      <c r="AN725" s="70"/>
      <c r="AO725" s="70"/>
      <c r="AP725" s="70"/>
      <c r="AQ725" s="70"/>
      <c r="AR725" s="70"/>
      <c r="AS725" s="70"/>
      <c r="AT725" s="70"/>
      <c r="AU725" s="70"/>
      <c r="AV725" s="70"/>
      <c r="AW725" s="70"/>
      <c r="AX725" s="70"/>
    </row>
    <row r="726">
      <c r="A726" s="8"/>
      <c r="B726" s="70"/>
      <c r="C726" s="70"/>
      <c r="D726" s="70"/>
      <c r="E726" s="8"/>
      <c r="F726" s="70"/>
      <c r="G726" s="70"/>
      <c r="H726" s="70"/>
      <c r="I726" s="8"/>
      <c r="J726" s="70"/>
      <c r="K726" s="70"/>
      <c r="L726" s="70"/>
      <c r="M726" s="8"/>
      <c r="N726" s="70"/>
      <c r="O726" s="70"/>
      <c r="P726" s="70"/>
      <c r="Q726" s="8"/>
      <c r="R726" s="70"/>
      <c r="S726" s="70"/>
      <c r="T726" s="70"/>
      <c r="U726" s="8"/>
      <c r="V726" s="70"/>
      <c r="W726" s="70"/>
      <c r="X726" s="70"/>
      <c r="Y726" s="200"/>
      <c r="Z726" s="195"/>
      <c r="AA726" s="195"/>
      <c r="AB726" s="195"/>
      <c r="AC726" s="8"/>
      <c r="AD726" s="70"/>
      <c r="AE726" s="70"/>
      <c r="AF726" s="70"/>
      <c r="AG726" s="201"/>
      <c r="AH726" s="202"/>
      <c r="AI726" s="201"/>
      <c r="AJ726" s="201"/>
      <c r="AK726" s="70"/>
      <c r="AL726" s="70"/>
      <c r="AM726" s="70"/>
      <c r="AN726" s="70"/>
      <c r="AO726" s="70"/>
      <c r="AP726" s="70"/>
      <c r="AQ726" s="70"/>
      <c r="AR726" s="70"/>
      <c r="AS726" s="70"/>
      <c r="AT726" s="70"/>
      <c r="AU726" s="70"/>
      <c r="AV726" s="70"/>
      <c r="AW726" s="70"/>
      <c r="AX726" s="70"/>
    </row>
    <row r="727">
      <c r="A727" s="8"/>
      <c r="B727" s="70"/>
      <c r="C727" s="70"/>
      <c r="D727" s="70"/>
      <c r="E727" s="8"/>
      <c r="F727" s="70"/>
      <c r="G727" s="70"/>
      <c r="H727" s="70"/>
      <c r="I727" s="8"/>
      <c r="J727" s="70"/>
      <c r="K727" s="70"/>
      <c r="L727" s="70"/>
      <c r="M727" s="8"/>
      <c r="N727" s="70"/>
      <c r="O727" s="70"/>
      <c r="P727" s="70"/>
      <c r="Q727" s="8"/>
      <c r="R727" s="70"/>
      <c r="S727" s="70"/>
      <c r="T727" s="70"/>
      <c r="U727" s="8"/>
      <c r="V727" s="70"/>
      <c r="W727" s="70"/>
      <c r="X727" s="70"/>
      <c r="Y727" s="200"/>
      <c r="Z727" s="195"/>
      <c r="AA727" s="195"/>
      <c r="AB727" s="195"/>
      <c r="AC727" s="8"/>
      <c r="AD727" s="70"/>
      <c r="AE727" s="70"/>
      <c r="AF727" s="70"/>
      <c r="AG727" s="201"/>
      <c r="AH727" s="202"/>
      <c r="AI727" s="201"/>
      <c r="AJ727" s="201"/>
      <c r="AK727" s="70"/>
      <c r="AL727" s="70"/>
      <c r="AM727" s="70"/>
      <c r="AN727" s="70"/>
      <c r="AO727" s="70"/>
      <c r="AP727" s="70"/>
      <c r="AQ727" s="70"/>
      <c r="AR727" s="70"/>
      <c r="AS727" s="70"/>
      <c r="AT727" s="70"/>
      <c r="AU727" s="70"/>
      <c r="AV727" s="70"/>
      <c r="AW727" s="70"/>
      <c r="AX727" s="70"/>
    </row>
    <row r="728">
      <c r="A728" s="8"/>
      <c r="B728" s="70"/>
      <c r="C728" s="70"/>
      <c r="D728" s="70"/>
      <c r="E728" s="8"/>
      <c r="F728" s="70"/>
      <c r="G728" s="70"/>
      <c r="H728" s="70"/>
      <c r="I728" s="8"/>
      <c r="J728" s="70"/>
      <c r="K728" s="70"/>
      <c r="L728" s="70"/>
      <c r="M728" s="8"/>
      <c r="N728" s="70"/>
      <c r="O728" s="70"/>
      <c r="P728" s="70"/>
      <c r="Q728" s="8"/>
      <c r="R728" s="70"/>
      <c r="S728" s="70"/>
      <c r="T728" s="70"/>
      <c r="U728" s="8"/>
      <c r="V728" s="70"/>
      <c r="W728" s="70"/>
      <c r="X728" s="70"/>
      <c r="Y728" s="200"/>
      <c r="Z728" s="195"/>
      <c r="AA728" s="195"/>
      <c r="AB728" s="195"/>
      <c r="AC728" s="8"/>
      <c r="AD728" s="70"/>
      <c r="AE728" s="70"/>
      <c r="AF728" s="70"/>
      <c r="AG728" s="201"/>
      <c r="AH728" s="202"/>
      <c r="AI728" s="201"/>
      <c r="AJ728" s="201"/>
      <c r="AK728" s="70"/>
      <c r="AL728" s="70"/>
      <c r="AM728" s="70"/>
      <c r="AN728" s="70"/>
      <c r="AO728" s="70"/>
      <c r="AP728" s="70"/>
      <c r="AQ728" s="70"/>
      <c r="AR728" s="70"/>
      <c r="AS728" s="70"/>
      <c r="AT728" s="70"/>
      <c r="AU728" s="70"/>
      <c r="AV728" s="70"/>
      <c r="AW728" s="70"/>
      <c r="AX728" s="70"/>
    </row>
    <row r="729">
      <c r="A729" s="8"/>
      <c r="B729" s="70"/>
      <c r="C729" s="70"/>
      <c r="D729" s="70"/>
      <c r="E729" s="8"/>
      <c r="F729" s="70"/>
      <c r="G729" s="70"/>
      <c r="H729" s="70"/>
      <c r="I729" s="8"/>
      <c r="J729" s="70"/>
      <c r="K729" s="70"/>
      <c r="L729" s="70"/>
      <c r="M729" s="8"/>
      <c r="N729" s="70"/>
      <c r="O729" s="70"/>
      <c r="P729" s="70"/>
      <c r="Q729" s="8"/>
      <c r="R729" s="70"/>
      <c r="S729" s="70"/>
      <c r="T729" s="70"/>
      <c r="U729" s="8"/>
      <c r="V729" s="70"/>
      <c r="W729" s="70"/>
      <c r="X729" s="70"/>
      <c r="Y729" s="200"/>
      <c r="Z729" s="195"/>
      <c r="AA729" s="195"/>
      <c r="AB729" s="195"/>
      <c r="AC729" s="8"/>
      <c r="AD729" s="70"/>
      <c r="AE729" s="70"/>
      <c r="AF729" s="70"/>
      <c r="AG729" s="201"/>
      <c r="AH729" s="202"/>
      <c r="AI729" s="201"/>
      <c r="AJ729" s="201"/>
      <c r="AK729" s="70"/>
      <c r="AL729" s="70"/>
      <c r="AM729" s="70"/>
      <c r="AN729" s="70"/>
      <c r="AO729" s="70"/>
      <c r="AP729" s="70"/>
      <c r="AQ729" s="70"/>
      <c r="AR729" s="70"/>
      <c r="AS729" s="70"/>
      <c r="AT729" s="70"/>
      <c r="AU729" s="70"/>
      <c r="AV729" s="70"/>
      <c r="AW729" s="70"/>
      <c r="AX729" s="70"/>
    </row>
    <row r="730">
      <c r="A730" s="8"/>
      <c r="B730" s="70"/>
      <c r="C730" s="70"/>
      <c r="D730" s="70"/>
      <c r="E730" s="8"/>
      <c r="F730" s="70"/>
      <c r="G730" s="70"/>
      <c r="H730" s="70"/>
      <c r="I730" s="8"/>
      <c r="J730" s="70"/>
      <c r="K730" s="70"/>
      <c r="L730" s="70"/>
      <c r="M730" s="8"/>
      <c r="N730" s="70"/>
      <c r="O730" s="70"/>
      <c r="P730" s="70"/>
      <c r="Q730" s="8"/>
      <c r="R730" s="70"/>
      <c r="S730" s="70"/>
      <c r="T730" s="70"/>
      <c r="U730" s="8"/>
      <c r="V730" s="70"/>
      <c r="W730" s="70"/>
      <c r="X730" s="70"/>
      <c r="Y730" s="200"/>
      <c r="Z730" s="195"/>
      <c r="AA730" s="195"/>
      <c r="AB730" s="195"/>
      <c r="AC730" s="8"/>
      <c r="AD730" s="70"/>
      <c r="AE730" s="70"/>
      <c r="AF730" s="70"/>
      <c r="AG730" s="201"/>
      <c r="AH730" s="202"/>
      <c r="AI730" s="201"/>
      <c r="AJ730" s="201"/>
      <c r="AK730" s="70"/>
      <c r="AL730" s="70"/>
      <c r="AM730" s="70"/>
      <c r="AN730" s="70"/>
      <c r="AO730" s="70"/>
      <c r="AP730" s="70"/>
      <c r="AQ730" s="70"/>
      <c r="AR730" s="70"/>
      <c r="AS730" s="70"/>
      <c r="AT730" s="70"/>
      <c r="AU730" s="70"/>
      <c r="AV730" s="70"/>
      <c r="AW730" s="70"/>
      <c r="AX730" s="70"/>
    </row>
    <row r="731">
      <c r="A731" s="8"/>
      <c r="B731" s="70"/>
      <c r="C731" s="70"/>
      <c r="D731" s="70"/>
      <c r="E731" s="8"/>
      <c r="F731" s="70"/>
      <c r="G731" s="70"/>
      <c r="H731" s="70"/>
      <c r="I731" s="8"/>
      <c r="J731" s="70"/>
      <c r="K731" s="70"/>
      <c r="L731" s="70"/>
      <c r="M731" s="8"/>
      <c r="N731" s="70"/>
      <c r="O731" s="70"/>
      <c r="P731" s="70"/>
      <c r="Q731" s="8"/>
      <c r="R731" s="70"/>
      <c r="S731" s="70"/>
      <c r="T731" s="70"/>
      <c r="U731" s="8"/>
      <c r="V731" s="70"/>
      <c r="W731" s="70"/>
      <c r="X731" s="70"/>
      <c r="Y731" s="200"/>
      <c r="Z731" s="195"/>
      <c r="AA731" s="195"/>
      <c r="AB731" s="195"/>
      <c r="AC731" s="8"/>
      <c r="AD731" s="70"/>
      <c r="AE731" s="70"/>
      <c r="AF731" s="70"/>
      <c r="AG731" s="201"/>
      <c r="AH731" s="202"/>
      <c r="AI731" s="201"/>
      <c r="AJ731" s="201"/>
      <c r="AK731" s="70"/>
      <c r="AL731" s="70"/>
      <c r="AM731" s="70"/>
      <c r="AN731" s="70"/>
      <c r="AO731" s="70"/>
      <c r="AP731" s="70"/>
      <c r="AQ731" s="70"/>
      <c r="AR731" s="70"/>
      <c r="AS731" s="70"/>
      <c r="AT731" s="70"/>
      <c r="AU731" s="70"/>
      <c r="AV731" s="70"/>
      <c r="AW731" s="70"/>
      <c r="AX731" s="70"/>
    </row>
    <row r="732">
      <c r="A732" s="8"/>
      <c r="B732" s="70"/>
      <c r="C732" s="70"/>
      <c r="D732" s="70"/>
      <c r="E732" s="8"/>
      <c r="F732" s="70"/>
      <c r="G732" s="70"/>
      <c r="H732" s="70"/>
      <c r="I732" s="8"/>
      <c r="J732" s="70"/>
      <c r="K732" s="70"/>
      <c r="L732" s="70"/>
      <c r="M732" s="8"/>
      <c r="N732" s="70"/>
      <c r="O732" s="70"/>
      <c r="P732" s="70"/>
      <c r="Q732" s="8"/>
      <c r="R732" s="70"/>
      <c r="S732" s="70"/>
      <c r="T732" s="70"/>
      <c r="U732" s="8"/>
      <c r="V732" s="70"/>
      <c r="W732" s="70"/>
      <c r="X732" s="70"/>
      <c r="Y732" s="200"/>
      <c r="Z732" s="195"/>
      <c r="AA732" s="195"/>
      <c r="AB732" s="195"/>
      <c r="AC732" s="8"/>
      <c r="AD732" s="70"/>
      <c r="AE732" s="70"/>
      <c r="AF732" s="70"/>
      <c r="AG732" s="201"/>
      <c r="AH732" s="202"/>
      <c r="AI732" s="201"/>
      <c r="AJ732" s="201"/>
      <c r="AK732" s="70"/>
      <c r="AL732" s="70"/>
      <c r="AM732" s="70"/>
      <c r="AN732" s="70"/>
      <c r="AO732" s="70"/>
      <c r="AP732" s="70"/>
      <c r="AQ732" s="70"/>
      <c r="AR732" s="70"/>
      <c r="AS732" s="70"/>
      <c r="AT732" s="70"/>
      <c r="AU732" s="70"/>
      <c r="AV732" s="70"/>
      <c r="AW732" s="70"/>
      <c r="AX732" s="70"/>
    </row>
    <row r="733">
      <c r="A733" s="8"/>
      <c r="B733" s="70"/>
      <c r="C733" s="70"/>
      <c r="D733" s="70"/>
      <c r="E733" s="8"/>
      <c r="F733" s="70"/>
      <c r="G733" s="70"/>
      <c r="H733" s="70"/>
      <c r="I733" s="8"/>
      <c r="J733" s="70"/>
      <c r="K733" s="70"/>
      <c r="L733" s="70"/>
      <c r="M733" s="8"/>
      <c r="N733" s="70"/>
      <c r="O733" s="70"/>
      <c r="P733" s="70"/>
      <c r="Q733" s="8"/>
      <c r="R733" s="70"/>
      <c r="S733" s="70"/>
      <c r="T733" s="70"/>
      <c r="U733" s="8"/>
      <c r="V733" s="70"/>
      <c r="W733" s="70"/>
      <c r="X733" s="70"/>
      <c r="Y733" s="200"/>
      <c r="Z733" s="195"/>
      <c r="AA733" s="195"/>
      <c r="AB733" s="195"/>
      <c r="AC733" s="8"/>
      <c r="AD733" s="70"/>
      <c r="AE733" s="70"/>
      <c r="AF733" s="70"/>
      <c r="AG733" s="201"/>
      <c r="AH733" s="202"/>
      <c r="AI733" s="201"/>
      <c r="AJ733" s="201"/>
      <c r="AK733" s="70"/>
      <c r="AL733" s="70"/>
      <c r="AM733" s="70"/>
      <c r="AN733" s="70"/>
      <c r="AO733" s="70"/>
      <c r="AP733" s="70"/>
      <c r="AQ733" s="70"/>
      <c r="AR733" s="70"/>
      <c r="AS733" s="70"/>
      <c r="AT733" s="70"/>
      <c r="AU733" s="70"/>
      <c r="AV733" s="70"/>
      <c r="AW733" s="70"/>
      <c r="AX733" s="70"/>
    </row>
    <row r="734">
      <c r="A734" s="8"/>
      <c r="B734" s="70"/>
      <c r="C734" s="70"/>
      <c r="D734" s="70"/>
      <c r="E734" s="8"/>
      <c r="F734" s="70"/>
      <c r="G734" s="70"/>
      <c r="H734" s="70"/>
      <c r="I734" s="8"/>
      <c r="J734" s="70"/>
      <c r="K734" s="70"/>
      <c r="L734" s="70"/>
      <c r="M734" s="8"/>
      <c r="N734" s="70"/>
      <c r="O734" s="70"/>
      <c r="P734" s="70"/>
      <c r="Q734" s="8"/>
      <c r="R734" s="70"/>
      <c r="S734" s="70"/>
      <c r="T734" s="70"/>
      <c r="U734" s="8"/>
      <c r="V734" s="70"/>
      <c r="W734" s="70"/>
      <c r="X734" s="70"/>
      <c r="Y734" s="200"/>
      <c r="Z734" s="195"/>
      <c r="AA734" s="195"/>
      <c r="AB734" s="195"/>
      <c r="AC734" s="8"/>
      <c r="AD734" s="70"/>
      <c r="AE734" s="70"/>
      <c r="AF734" s="70"/>
      <c r="AG734" s="201"/>
      <c r="AH734" s="202"/>
      <c r="AI734" s="201"/>
      <c r="AJ734" s="201"/>
      <c r="AK734" s="70"/>
      <c r="AL734" s="70"/>
      <c r="AM734" s="70"/>
      <c r="AN734" s="70"/>
      <c r="AO734" s="70"/>
      <c r="AP734" s="70"/>
      <c r="AQ734" s="70"/>
      <c r="AR734" s="70"/>
      <c r="AS734" s="70"/>
      <c r="AT734" s="70"/>
      <c r="AU734" s="70"/>
      <c r="AV734" s="70"/>
      <c r="AW734" s="70"/>
      <c r="AX734" s="70"/>
    </row>
    <row r="735">
      <c r="A735" s="8"/>
      <c r="B735" s="70"/>
      <c r="C735" s="70"/>
      <c r="D735" s="70"/>
      <c r="E735" s="8"/>
      <c r="F735" s="70"/>
      <c r="G735" s="70"/>
      <c r="H735" s="70"/>
      <c r="I735" s="8"/>
      <c r="J735" s="70"/>
      <c r="K735" s="70"/>
      <c r="L735" s="70"/>
      <c r="M735" s="8"/>
      <c r="N735" s="70"/>
      <c r="O735" s="70"/>
      <c r="P735" s="70"/>
      <c r="Q735" s="8"/>
      <c r="R735" s="70"/>
      <c r="S735" s="70"/>
      <c r="T735" s="70"/>
      <c r="U735" s="8"/>
      <c r="V735" s="70"/>
      <c r="W735" s="70"/>
      <c r="X735" s="70"/>
      <c r="Y735" s="200"/>
      <c r="Z735" s="195"/>
      <c r="AA735" s="195"/>
      <c r="AB735" s="195"/>
      <c r="AC735" s="8"/>
      <c r="AD735" s="70"/>
      <c r="AE735" s="70"/>
      <c r="AF735" s="70"/>
      <c r="AG735" s="201"/>
      <c r="AH735" s="202"/>
      <c r="AI735" s="201"/>
      <c r="AJ735" s="201"/>
      <c r="AK735" s="70"/>
      <c r="AL735" s="70"/>
      <c r="AM735" s="70"/>
      <c r="AN735" s="70"/>
      <c r="AO735" s="70"/>
      <c r="AP735" s="70"/>
      <c r="AQ735" s="70"/>
      <c r="AR735" s="70"/>
      <c r="AS735" s="70"/>
      <c r="AT735" s="70"/>
      <c r="AU735" s="70"/>
      <c r="AV735" s="70"/>
      <c r="AW735" s="70"/>
      <c r="AX735" s="70"/>
    </row>
    <row r="736">
      <c r="A736" s="8"/>
      <c r="B736" s="70"/>
      <c r="C736" s="70"/>
      <c r="D736" s="70"/>
      <c r="E736" s="8"/>
      <c r="F736" s="70"/>
      <c r="G736" s="70"/>
      <c r="H736" s="70"/>
      <c r="I736" s="8"/>
      <c r="J736" s="70"/>
      <c r="K736" s="70"/>
      <c r="L736" s="70"/>
      <c r="M736" s="8"/>
      <c r="N736" s="70"/>
      <c r="O736" s="70"/>
      <c r="P736" s="70"/>
      <c r="Q736" s="8"/>
      <c r="R736" s="70"/>
      <c r="S736" s="70"/>
      <c r="T736" s="70"/>
      <c r="U736" s="8"/>
      <c r="V736" s="70"/>
      <c r="W736" s="70"/>
      <c r="X736" s="70"/>
      <c r="Y736" s="200"/>
      <c r="Z736" s="195"/>
      <c r="AA736" s="195"/>
      <c r="AB736" s="195"/>
      <c r="AC736" s="8"/>
      <c r="AD736" s="70"/>
      <c r="AE736" s="70"/>
      <c r="AF736" s="70"/>
      <c r="AG736" s="201"/>
      <c r="AH736" s="202"/>
      <c r="AI736" s="201"/>
      <c r="AJ736" s="201"/>
      <c r="AK736" s="70"/>
      <c r="AL736" s="70"/>
      <c r="AM736" s="70"/>
      <c r="AN736" s="70"/>
      <c r="AO736" s="70"/>
      <c r="AP736" s="70"/>
      <c r="AQ736" s="70"/>
      <c r="AR736" s="70"/>
      <c r="AS736" s="70"/>
      <c r="AT736" s="70"/>
      <c r="AU736" s="70"/>
      <c r="AV736" s="70"/>
      <c r="AW736" s="70"/>
      <c r="AX736" s="70"/>
    </row>
    <row r="737">
      <c r="A737" s="8"/>
      <c r="B737" s="70"/>
      <c r="C737" s="70"/>
      <c r="D737" s="70"/>
      <c r="E737" s="8"/>
      <c r="F737" s="70"/>
      <c r="G737" s="70"/>
      <c r="H737" s="70"/>
      <c r="I737" s="8"/>
      <c r="J737" s="70"/>
      <c r="K737" s="70"/>
      <c r="L737" s="70"/>
      <c r="M737" s="8"/>
      <c r="N737" s="70"/>
      <c r="O737" s="70"/>
      <c r="P737" s="70"/>
      <c r="Q737" s="8"/>
      <c r="R737" s="70"/>
      <c r="S737" s="70"/>
      <c r="T737" s="70"/>
      <c r="U737" s="8"/>
      <c r="V737" s="70"/>
      <c r="W737" s="70"/>
      <c r="X737" s="70"/>
      <c r="Y737" s="200"/>
      <c r="Z737" s="195"/>
      <c r="AA737" s="195"/>
      <c r="AB737" s="195"/>
      <c r="AC737" s="8"/>
      <c r="AD737" s="70"/>
      <c r="AE737" s="70"/>
      <c r="AF737" s="70"/>
      <c r="AG737" s="201"/>
      <c r="AH737" s="202"/>
      <c r="AI737" s="201"/>
      <c r="AJ737" s="201"/>
      <c r="AK737" s="70"/>
      <c r="AL737" s="70"/>
      <c r="AM737" s="70"/>
      <c r="AN737" s="70"/>
      <c r="AO737" s="70"/>
      <c r="AP737" s="70"/>
      <c r="AQ737" s="70"/>
      <c r="AR737" s="70"/>
      <c r="AS737" s="70"/>
      <c r="AT737" s="70"/>
      <c r="AU737" s="70"/>
      <c r="AV737" s="70"/>
      <c r="AW737" s="70"/>
      <c r="AX737" s="70"/>
    </row>
    <row r="738">
      <c r="A738" s="8"/>
      <c r="B738" s="70"/>
      <c r="C738" s="70"/>
      <c r="D738" s="70"/>
      <c r="E738" s="8"/>
      <c r="F738" s="70"/>
      <c r="G738" s="70"/>
      <c r="H738" s="70"/>
      <c r="I738" s="8"/>
      <c r="J738" s="70"/>
      <c r="K738" s="70"/>
      <c r="L738" s="70"/>
      <c r="M738" s="8"/>
      <c r="N738" s="70"/>
      <c r="O738" s="70"/>
      <c r="P738" s="70"/>
      <c r="Q738" s="8"/>
      <c r="R738" s="70"/>
      <c r="S738" s="70"/>
      <c r="T738" s="70"/>
      <c r="U738" s="8"/>
      <c r="V738" s="70"/>
      <c r="W738" s="70"/>
      <c r="X738" s="70"/>
      <c r="Y738" s="200"/>
      <c r="Z738" s="195"/>
      <c r="AA738" s="195"/>
      <c r="AB738" s="195"/>
      <c r="AC738" s="8"/>
      <c r="AD738" s="70"/>
      <c r="AE738" s="70"/>
      <c r="AF738" s="70"/>
      <c r="AG738" s="201"/>
      <c r="AH738" s="202"/>
      <c r="AI738" s="201"/>
      <c r="AJ738" s="201"/>
      <c r="AK738" s="70"/>
      <c r="AL738" s="70"/>
      <c r="AM738" s="70"/>
      <c r="AN738" s="70"/>
      <c r="AO738" s="70"/>
      <c r="AP738" s="70"/>
      <c r="AQ738" s="70"/>
      <c r="AR738" s="70"/>
      <c r="AS738" s="70"/>
      <c r="AT738" s="70"/>
      <c r="AU738" s="70"/>
      <c r="AV738" s="70"/>
      <c r="AW738" s="70"/>
      <c r="AX738" s="70"/>
    </row>
    <row r="739">
      <c r="A739" s="8"/>
      <c r="B739" s="70"/>
      <c r="C739" s="70"/>
      <c r="D739" s="70"/>
      <c r="E739" s="8"/>
      <c r="F739" s="70"/>
      <c r="G739" s="70"/>
      <c r="H739" s="70"/>
      <c r="I739" s="8"/>
      <c r="J739" s="70"/>
      <c r="K739" s="70"/>
      <c r="L739" s="70"/>
      <c r="M739" s="8"/>
      <c r="N739" s="70"/>
      <c r="O739" s="70"/>
      <c r="P739" s="70"/>
      <c r="Q739" s="8"/>
      <c r="R739" s="70"/>
      <c r="S739" s="70"/>
      <c r="T739" s="70"/>
      <c r="U739" s="8"/>
      <c r="V739" s="70"/>
      <c r="W739" s="70"/>
      <c r="X739" s="70"/>
      <c r="Y739" s="200"/>
      <c r="Z739" s="195"/>
      <c r="AA739" s="195"/>
      <c r="AB739" s="195"/>
      <c r="AC739" s="8"/>
      <c r="AD739" s="70"/>
      <c r="AE739" s="70"/>
      <c r="AF739" s="70"/>
      <c r="AG739" s="201"/>
      <c r="AH739" s="202"/>
      <c r="AI739" s="201"/>
      <c r="AJ739" s="201"/>
      <c r="AK739" s="70"/>
      <c r="AL739" s="70"/>
      <c r="AM739" s="70"/>
      <c r="AN739" s="70"/>
      <c r="AO739" s="70"/>
      <c r="AP739" s="70"/>
      <c r="AQ739" s="70"/>
      <c r="AR739" s="70"/>
      <c r="AS739" s="70"/>
      <c r="AT739" s="70"/>
      <c r="AU739" s="70"/>
      <c r="AV739" s="70"/>
      <c r="AW739" s="70"/>
      <c r="AX739" s="70"/>
    </row>
    <row r="740">
      <c r="A740" s="8"/>
      <c r="B740" s="70"/>
      <c r="C740" s="70"/>
      <c r="D740" s="70"/>
      <c r="E740" s="8"/>
      <c r="F740" s="70"/>
      <c r="G740" s="70"/>
      <c r="H740" s="70"/>
      <c r="I740" s="8"/>
      <c r="J740" s="70"/>
      <c r="K740" s="70"/>
      <c r="L740" s="70"/>
      <c r="M740" s="8"/>
      <c r="N740" s="70"/>
      <c r="O740" s="70"/>
      <c r="P740" s="70"/>
      <c r="Q740" s="8"/>
      <c r="R740" s="70"/>
      <c r="S740" s="70"/>
      <c r="T740" s="70"/>
      <c r="U740" s="8"/>
      <c r="V740" s="70"/>
      <c r="W740" s="70"/>
      <c r="X740" s="70"/>
      <c r="Y740" s="200"/>
      <c r="Z740" s="195"/>
      <c r="AA740" s="195"/>
      <c r="AB740" s="195"/>
      <c r="AC740" s="8"/>
      <c r="AD740" s="70"/>
      <c r="AE740" s="70"/>
      <c r="AF740" s="70"/>
      <c r="AG740" s="201"/>
      <c r="AH740" s="202"/>
      <c r="AI740" s="201"/>
      <c r="AJ740" s="201"/>
      <c r="AK740" s="70"/>
      <c r="AL740" s="70"/>
      <c r="AM740" s="70"/>
      <c r="AN740" s="70"/>
      <c r="AO740" s="70"/>
      <c r="AP740" s="70"/>
      <c r="AQ740" s="70"/>
      <c r="AR740" s="70"/>
      <c r="AS740" s="70"/>
      <c r="AT740" s="70"/>
      <c r="AU740" s="70"/>
      <c r="AV740" s="70"/>
      <c r="AW740" s="70"/>
      <c r="AX740" s="70"/>
    </row>
    <row r="741">
      <c r="A741" s="8"/>
      <c r="B741" s="70"/>
      <c r="C741" s="70"/>
      <c r="D741" s="70"/>
      <c r="E741" s="8"/>
      <c r="F741" s="70"/>
      <c r="G741" s="70"/>
      <c r="H741" s="70"/>
      <c r="I741" s="8"/>
      <c r="J741" s="70"/>
      <c r="K741" s="70"/>
      <c r="L741" s="70"/>
      <c r="M741" s="8"/>
      <c r="N741" s="70"/>
      <c r="O741" s="70"/>
      <c r="P741" s="70"/>
      <c r="Q741" s="8"/>
      <c r="R741" s="70"/>
      <c r="S741" s="70"/>
      <c r="T741" s="70"/>
      <c r="U741" s="8"/>
      <c r="V741" s="70"/>
      <c r="W741" s="70"/>
      <c r="X741" s="70"/>
      <c r="Y741" s="200"/>
      <c r="Z741" s="195"/>
      <c r="AA741" s="195"/>
      <c r="AB741" s="195"/>
      <c r="AC741" s="8"/>
      <c r="AD741" s="70"/>
      <c r="AE741" s="70"/>
      <c r="AF741" s="70"/>
      <c r="AG741" s="201"/>
      <c r="AH741" s="202"/>
      <c r="AI741" s="201"/>
      <c r="AJ741" s="201"/>
      <c r="AK741" s="70"/>
      <c r="AL741" s="70"/>
      <c r="AM741" s="70"/>
      <c r="AN741" s="70"/>
      <c r="AO741" s="70"/>
      <c r="AP741" s="70"/>
      <c r="AQ741" s="70"/>
      <c r="AR741" s="70"/>
      <c r="AS741" s="70"/>
      <c r="AT741" s="70"/>
      <c r="AU741" s="70"/>
      <c r="AV741" s="70"/>
      <c r="AW741" s="70"/>
      <c r="AX741" s="70"/>
    </row>
    <row r="742">
      <c r="A742" s="8"/>
      <c r="B742" s="70"/>
      <c r="C742" s="70"/>
      <c r="D742" s="70"/>
      <c r="E742" s="8"/>
      <c r="F742" s="70"/>
      <c r="G742" s="70"/>
      <c r="H742" s="70"/>
      <c r="I742" s="8"/>
      <c r="J742" s="70"/>
      <c r="K742" s="70"/>
      <c r="L742" s="70"/>
      <c r="M742" s="8"/>
      <c r="N742" s="70"/>
      <c r="O742" s="70"/>
      <c r="P742" s="70"/>
      <c r="Q742" s="8"/>
      <c r="R742" s="70"/>
      <c r="S742" s="70"/>
      <c r="T742" s="70"/>
      <c r="U742" s="8"/>
      <c r="V742" s="70"/>
      <c r="W742" s="70"/>
      <c r="X742" s="70"/>
      <c r="Y742" s="200"/>
      <c r="Z742" s="195"/>
      <c r="AA742" s="195"/>
      <c r="AB742" s="195"/>
      <c r="AC742" s="8"/>
      <c r="AD742" s="70"/>
      <c r="AE742" s="70"/>
      <c r="AF742" s="70"/>
      <c r="AG742" s="201"/>
      <c r="AH742" s="202"/>
      <c r="AI742" s="201"/>
      <c r="AJ742" s="201"/>
      <c r="AK742" s="70"/>
      <c r="AL742" s="70"/>
      <c r="AM742" s="70"/>
      <c r="AN742" s="70"/>
      <c r="AO742" s="70"/>
      <c r="AP742" s="70"/>
      <c r="AQ742" s="70"/>
      <c r="AR742" s="70"/>
      <c r="AS742" s="70"/>
      <c r="AT742" s="70"/>
      <c r="AU742" s="70"/>
      <c r="AV742" s="70"/>
      <c r="AW742" s="70"/>
      <c r="AX742" s="70"/>
    </row>
    <row r="743">
      <c r="A743" s="8"/>
      <c r="B743" s="70"/>
      <c r="C743" s="70"/>
      <c r="D743" s="70"/>
      <c r="E743" s="8"/>
      <c r="F743" s="70"/>
      <c r="G743" s="70"/>
      <c r="H743" s="70"/>
      <c r="I743" s="8"/>
      <c r="J743" s="70"/>
      <c r="K743" s="70"/>
      <c r="L743" s="70"/>
      <c r="M743" s="8"/>
      <c r="N743" s="70"/>
      <c r="O743" s="70"/>
      <c r="P743" s="70"/>
      <c r="Q743" s="8"/>
      <c r="R743" s="70"/>
      <c r="S743" s="70"/>
      <c r="T743" s="70"/>
      <c r="U743" s="8"/>
      <c r="V743" s="70"/>
      <c r="W743" s="70"/>
      <c r="X743" s="70"/>
      <c r="Y743" s="200"/>
      <c r="Z743" s="195"/>
      <c r="AA743" s="195"/>
      <c r="AB743" s="195"/>
      <c r="AC743" s="8"/>
      <c r="AD743" s="70"/>
      <c r="AE743" s="70"/>
      <c r="AF743" s="70"/>
      <c r="AG743" s="201"/>
      <c r="AH743" s="202"/>
      <c r="AI743" s="201"/>
      <c r="AJ743" s="201"/>
      <c r="AK743" s="70"/>
      <c r="AL743" s="70"/>
      <c r="AM743" s="70"/>
      <c r="AN743" s="70"/>
      <c r="AO743" s="70"/>
      <c r="AP743" s="70"/>
      <c r="AQ743" s="70"/>
      <c r="AR743" s="70"/>
      <c r="AS743" s="70"/>
      <c r="AT743" s="70"/>
      <c r="AU743" s="70"/>
      <c r="AV743" s="70"/>
      <c r="AW743" s="70"/>
      <c r="AX743" s="70"/>
    </row>
    <row r="744">
      <c r="A744" s="8"/>
      <c r="B744" s="70"/>
      <c r="C744" s="70"/>
      <c r="D744" s="70"/>
      <c r="E744" s="8"/>
      <c r="F744" s="70"/>
      <c r="G744" s="70"/>
      <c r="H744" s="70"/>
      <c r="I744" s="8"/>
      <c r="J744" s="70"/>
      <c r="K744" s="70"/>
      <c r="L744" s="70"/>
      <c r="M744" s="8"/>
      <c r="N744" s="70"/>
      <c r="O744" s="70"/>
      <c r="P744" s="70"/>
      <c r="Q744" s="8"/>
      <c r="R744" s="70"/>
      <c r="S744" s="70"/>
      <c r="T744" s="70"/>
      <c r="U744" s="8"/>
      <c r="V744" s="70"/>
      <c r="W744" s="70"/>
      <c r="X744" s="70"/>
      <c r="Y744" s="200"/>
      <c r="Z744" s="195"/>
      <c r="AA744" s="195"/>
      <c r="AB744" s="195"/>
      <c r="AC744" s="8"/>
      <c r="AD744" s="70"/>
      <c r="AE744" s="70"/>
      <c r="AF744" s="70"/>
      <c r="AG744" s="201"/>
      <c r="AH744" s="202"/>
      <c r="AI744" s="201"/>
      <c r="AJ744" s="201"/>
      <c r="AK744" s="70"/>
      <c r="AL744" s="70"/>
      <c r="AM744" s="70"/>
      <c r="AN744" s="70"/>
      <c r="AO744" s="70"/>
      <c r="AP744" s="70"/>
      <c r="AQ744" s="70"/>
      <c r="AR744" s="70"/>
      <c r="AS744" s="70"/>
      <c r="AT744" s="70"/>
      <c r="AU744" s="70"/>
      <c r="AV744" s="70"/>
      <c r="AW744" s="70"/>
      <c r="AX744" s="70"/>
    </row>
    <row r="745">
      <c r="A745" s="8"/>
      <c r="B745" s="70"/>
      <c r="C745" s="70"/>
      <c r="D745" s="70"/>
      <c r="E745" s="8"/>
      <c r="F745" s="70"/>
      <c r="G745" s="70"/>
      <c r="H745" s="70"/>
      <c r="I745" s="8"/>
      <c r="J745" s="70"/>
      <c r="K745" s="70"/>
      <c r="L745" s="70"/>
      <c r="M745" s="8"/>
      <c r="N745" s="70"/>
      <c r="O745" s="70"/>
      <c r="P745" s="70"/>
      <c r="Q745" s="8"/>
      <c r="R745" s="70"/>
      <c r="S745" s="70"/>
      <c r="T745" s="70"/>
      <c r="U745" s="8"/>
      <c r="V745" s="70"/>
      <c r="W745" s="70"/>
      <c r="X745" s="70"/>
      <c r="Y745" s="200"/>
      <c r="Z745" s="195"/>
      <c r="AA745" s="195"/>
      <c r="AB745" s="195"/>
      <c r="AC745" s="8"/>
      <c r="AD745" s="70"/>
      <c r="AE745" s="70"/>
      <c r="AF745" s="70"/>
      <c r="AG745" s="201"/>
      <c r="AH745" s="202"/>
      <c r="AI745" s="201"/>
      <c r="AJ745" s="201"/>
      <c r="AK745" s="70"/>
      <c r="AL745" s="70"/>
      <c r="AM745" s="70"/>
      <c r="AN745" s="70"/>
      <c r="AO745" s="70"/>
      <c r="AP745" s="70"/>
      <c r="AQ745" s="70"/>
      <c r="AR745" s="70"/>
      <c r="AS745" s="70"/>
      <c r="AT745" s="70"/>
      <c r="AU745" s="70"/>
      <c r="AV745" s="70"/>
      <c r="AW745" s="70"/>
      <c r="AX745" s="70"/>
    </row>
    <row r="746">
      <c r="A746" s="8"/>
      <c r="B746" s="70"/>
      <c r="C746" s="70"/>
      <c r="D746" s="70"/>
      <c r="E746" s="8"/>
      <c r="F746" s="70"/>
      <c r="G746" s="70"/>
      <c r="H746" s="70"/>
      <c r="I746" s="8"/>
      <c r="J746" s="70"/>
      <c r="K746" s="70"/>
      <c r="L746" s="70"/>
      <c r="M746" s="8"/>
      <c r="N746" s="70"/>
      <c r="O746" s="70"/>
      <c r="P746" s="70"/>
      <c r="Q746" s="8"/>
      <c r="R746" s="70"/>
      <c r="S746" s="70"/>
      <c r="T746" s="70"/>
      <c r="U746" s="8"/>
      <c r="V746" s="70"/>
      <c r="W746" s="70"/>
      <c r="X746" s="70"/>
      <c r="Y746" s="200"/>
      <c r="Z746" s="195"/>
      <c r="AA746" s="195"/>
      <c r="AB746" s="195"/>
      <c r="AC746" s="8"/>
      <c r="AD746" s="70"/>
      <c r="AE746" s="70"/>
      <c r="AF746" s="70"/>
      <c r="AG746" s="201"/>
      <c r="AH746" s="202"/>
      <c r="AI746" s="201"/>
      <c r="AJ746" s="201"/>
      <c r="AK746" s="70"/>
      <c r="AL746" s="70"/>
      <c r="AM746" s="70"/>
      <c r="AN746" s="70"/>
      <c r="AO746" s="70"/>
      <c r="AP746" s="70"/>
      <c r="AQ746" s="70"/>
      <c r="AR746" s="70"/>
      <c r="AS746" s="70"/>
      <c r="AT746" s="70"/>
      <c r="AU746" s="70"/>
      <c r="AV746" s="70"/>
      <c r="AW746" s="70"/>
      <c r="AX746" s="70"/>
    </row>
    <row r="747">
      <c r="A747" s="8"/>
      <c r="B747" s="70"/>
      <c r="C747" s="70"/>
      <c r="D747" s="70"/>
      <c r="E747" s="8"/>
      <c r="F747" s="70"/>
      <c r="G747" s="70"/>
      <c r="H747" s="70"/>
      <c r="I747" s="8"/>
      <c r="J747" s="70"/>
      <c r="K747" s="70"/>
      <c r="L747" s="70"/>
      <c r="M747" s="8"/>
      <c r="N747" s="70"/>
      <c r="O747" s="70"/>
      <c r="P747" s="70"/>
      <c r="Q747" s="8"/>
      <c r="R747" s="70"/>
      <c r="S747" s="70"/>
      <c r="T747" s="70"/>
      <c r="U747" s="8"/>
      <c r="V747" s="70"/>
      <c r="W747" s="70"/>
      <c r="X747" s="70"/>
      <c r="Y747" s="200"/>
      <c r="Z747" s="195"/>
      <c r="AA747" s="195"/>
      <c r="AB747" s="195"/>
      <c r="AC747" s="8"/>
      <c r="AD747" s="70"/>
      <c r="AE747" s="70"/>
      <c r="AF747" s="70"/>
      <c r="AG747" s="201"/>
      <c r="AH747" s="202"/>
      <c r="AI747" s="201"/>
      <c r="AJ747" s="201"/>
      <c r="AK747" s="70"/>
      <c r="AL747" s="70"/>
      <c r="AM747" s="70"/>
      <c r="AN747" s="70"/>
      <c r="AO747" s="70"/>
      <c r="AP747" s="70"/>
      <c r="AQ747" s="70"/>
      <c r="AR747" s="70"/>
      <c r="AS747" s="70"/>
      <c r="AT747" s="70"/>
      <c r="AU747" s="70"/>
      <c r="AV747" s="70"/>
      <c r="AW747" s="70"/>
      <c r="AX747" s="70"/>
    </row>
    <row r="748">
      <c r="A748" s="8"/>
      <c r="B748" s="70"/>
      <c r="C748" s="70"/>
      <c r="D748" s="70"/>
      <c r="E748" s="8"/>
      <c r="F748" s="70"/>
      <c r="G748" s="70"/>
      <c r="H748" s="70"/>
      <c r="I748" s="8"/>
      <c r="J748" s="70"/>
      <c r="K748" s="70"/>
      <c r="L748" s="70"/>
      <c r="M748" s="8"/>
      <c r="N748" s="70"/>
      <c r="O748" s="70"/>
      <c r="P748" s="70"/>
      <c r="Q748" s="8"/>
      <c r="R748" s="70"/>
      <c r="S748" s="70"/>
      <c r="T748" s="70"/>
      <c r="U748" s="8"/>
      <c r="V748" s="70"/>
      <c r="W748" s="70"/>
      <c r="X748" s="70"/>
      <c r="Y748" s="200"/>
      <c r="Z748" s="195"/>
      <c r="AA748" s="195"/>
      <c r="AB748" s="195"/>
      <c r="AC748" s="8"/>
      <c r="AD748" s="70"/>
      <c r="AE748" s="70"/>
      <c r="AF748" s="70"/>
      <c r="AG748" s="201"/>
      <c r="AH748" s="202"/>
      <c r="AI748" s="201"/>
      <c r="AJ748" s="201"/>
      <c r="AK748" s="70"/>
      <c r="AL748" s="70"/>
      <c r="AM748" s="70"/>
      <c r="AN748" s="70"/>
      <c r="AO748" s="70"/>
      <c r="AP748" s="70"/>
      <c r="AQ748" s="70"/>
      <c r="AR748" s="70"/>
      <c r="AS748" s="70"/>
      <c r="AT748" s="70"/>
      <c r="AU748" s="70"/>
      <c r="AV748" s="70"/>
      <c r="AW748" s="70"/>
      <c r="AX748" s="70"/>
    </row>
    <row r="749">
      <c r="A749" s="8"/>
      <c r="B749" s="70"/>
      <c r="C749" s="70"/>
      <c r="D749" s="70"/>
      <c r="E749" s="8"/>
      <c r="F749" s="70"/>
      <c r="G749" s="70"/>
      <c r="H749" s="70"/>
      <c r="I749" s="8"/>
      <c r="J749" s="70"/>
      <c r="K749" s="70"/>
      <c r="L749" s="70"/>
      <c r="M749" s="8"/>
      <c r="N749" s="70"/>
      <c r="O749" s="70"/>
      <c r="P749" s="70"/>
      <c r="Q749" s="8"/>
      <c r="R749" s="70"/>
      <c r="S749" s="70"/>
      <c r="T749" s="70"/>
      <c r="U749" s="8"/>
      <c r="V749" s="70"/>
      <c r="W749" s="70"/>
      <c r="X749" s="70"/>
      <c r="Y749" s="200"/>
      <c r="Z749" s="195"/>
      <c r="AA749" s="195"/>
      <c r="AB749" s="195"/>
      <c r="AC749" s="8"/>
      <c r="AD749" s="70"/>
      <c r="AE749" s="70"/>
      <c r="AF749" s="70"/>
      <c r="AG749" s="201"/>
      <c r="AH749" s="202"/>
      <c r="AI749" s="201"/>
      <c r="AJ749" s="201"/>
      <c r="AK749" s="70"/>
      <c r="AL749" s="70"/>
      <c r="AM749" s="70"/>
      <c r="AN749" s="70"/>
      <c r="AO749" s="70"/>
      <c r="AP749" s="70"/>
      <c r="AQ749" s="70"/>
      <c r="AR749" s="70"/>
      <c r="AS749" s="70"/>
      <c r="AT749" s="70"/>
      <c r="AU749" s="70"/>
      <c r="AV749" s="70"/>
      <c r="AW749" s="70"/>
      <c r="AX749" s="70"/>
    </row>
    <row r="750">
      <c r="A750" s="8"/>
      <c r="B750" s="70"/>
      <c r="C750" s="70"/>
      <c r="D750" s="70"/>
      <c r="E750" s="8"/>
      <c r="F750" s="70"/>
      <c r="G750" s="70"/>
      <c r="H750" s="70"/>
      <c r="I750" s="8"/>
      <c r="J750" s="70"/>
      <c r="K750" s="70"/>
      <c r="L750" s="70"/>
      <c r="M750" s="8"/>
      <c r="N750" s="70"/>
      <c r="O750" s="70"/>
      <c r="P750" s="70"/>
      <c r="Q750" s="8"/>
      <c r="R750" s="70"/>
      <c r="S750" s="70"/>
      <c r="T750" s="70"/>
      <c r="U750" s="8"/>
      <c r="V750" s="70"/>
      <c r="W750" s="70"/>
      <c r="X750" s="70"/>
      <c r="Y750" s="200"/>
      <c r="Z750" s="195"/>
      <c r="AA750" s="195"/>
      <c r="AB750" s="195"/>
      <c r="AC750" s="8"/>
      <c r="AD750" s="70"/>
      <c r="AE750" s="70"/>
      <c r="AF750" s="70"/>
      <c r="AG750" s="201"/>
      <c r="AH750" s="202"/>
      <c r="AI750" s="201"/>
      <c r="AJ750" s="201"/>
      <c r="AK750" s="70"/>
      <c r="AL750" s="70"/>
      <c r="AM750" s="70"/>
      <c r="AN750" s="70"/>
      <c r="AO750" s="70"/>
      <c r="AP750" s="70"/>
      <c r="AQ750" s="70"/>
      <c r="AR750" s="70"/>
      <c r="AS750" s="70"/>
      <c r="AT750" s="70"/>
      <c r="AU750" s="70"/>
      <c r="AV750" s="70"/>
      <c r="AW750" s="70"/>
      <c r="AX750" s="70"/>
    </row>
    <row r="751">
      <c r="A751" s="8"/>
      <c r="B751" s="70"/>
      <c r="C751" s="70"/>
      <c r="D751" s="70"/>
      <c r="E751" s="8"/>
      <c r="F751" s="70"/>
      <c r="G751" s="70"/>
      <c r="H751" s="70"/>
      <c r="I751" s="8"/>
      <c r="J751" s="70"/>
      <c r="K751" s="70"/>
      <c r="L751" s="70"/>
      <c r="M751" s="8"/>
      <c r="N751" s="70"/>
      <c r="O751" s="70"/>
      <c r="P751" s="70"/>
      <c r="Q751" s="8"/>
      <c r="R751" s="70"/>
      <c r="S751" s="70"/>
      <c r="T751" s="70"/>
      <c r="U751" s="8"/>
      <c r="V751" s="70"/>
      <c r="W751" s="70"/>
      <c r="X751" s="70"/>
      <c r="Y751" s="200"/>
      <c r="Z751" s="195"/>
      <c r="AA751" s="195"/>
      <c r="AB751" s="195"/>
      <c r="AC751" s="8"/>
      <c r="AD751" s="70"/>
      <c r="AE751" s="70"/>
      <c r="AF751" s="70"/>
      <c r="AG751" s="201"/>
      <c r="AH751" s="202"/>
      <c r="AI751" s="201"/>
      <c r="AJ751" s="201"/>
      <c r="AK751" s="70"/>
      <c r="AL751" s="70"/>
      <c r="AM751" s="70"/>
      <c r="AN751" s="70"/>
      <c r="AO751" s="70"/>
      <c r="AP751" s="70"/>
      <c r="AQ751" s="70"/>
      <c r="AR751" s="70"/>
      <c r="AS751" s="70"/>
      <c r="AT751" s="70"/>
      <c r="AU751" s="70"/>
      <c r="AV751" s="70"/>
      <c r="AW751" s="70"/>
      <c r="AX751" s="70"/>
    </row>
    <row r="752">
      <c r="A752" s="8"/>
      <c r="B752" s="70"/>
      <c r="C752" s="70"/>
      <c r="D752" s="70"/>
      <c r="E752" s="8"/>
      <c r="F752" s="70"/>
      <c r="G752" s="70"/>
      <c r="H752" s="70"/>
      <c r="I752" s="8"/>
      <c r="J752" s="70"/>
      <c r="K752" s="70"/>
      <c r="L752" s="70"/>
      <c r="M752" s="8"/>
      <c r="N752" s="70"/>
      <c r="O752" s="70"/>
      <c r="P752" s="70"/>
      <c r="Q752" s="8"/>
      <c r="R752" s="70"/>
      <c r="S752" s="70"/>
      <c r="T752" s="70"/>
      <c r="U752" s="8"/>
      <c r="V752" s="70"/>
      <c r="W752" s="70"/>
      <c r="X752" s="70"/>
      <c r="Y752" s="200"/>
      <c r="Z752" s="195"/>
      <c r="AA752" s="195"/>
      <c r="AB752" s="195"/>
      <c r="AC752" s="8"/>
      <c r="AD752" s="70"/>
      <c r="AE752" s="70"/>
      <c r="AF752" s="70"/>
      <c r="AG752" s="201"/>
      <c r="AH752" s="202"/>
      <c r="AI752" s="201"/>
      <c r="AJ752" s="201"/>
      <c r="AK752" s="70"/>
      <c r="AL752" s="70"/>
      <c r="AM752" s="70"/>
      <c r="AN752" s="70"/>
      <c r="AO752" s="70"/>
      <c r="AP752" s="70"/>
      <c r="AQ752" s="70"/>
      <c r="AR752" s="70"/>
      <c r="AS752" s="70"/>
      <c r="AT752" s="70"/>
      <c r="AU752" s="70"/>
      <c r="AV752" s="70"/>
      <c r="AW752" s="70"/>
      <c r="AX752" s="70"/>
    </row>
    <row r="753">
      <c r="A753" s="8"/>
      <c r="B753" s="70"/>
      <c r="C753" s="70"/>
      <c r="D753" s="70"/>
      <c r="E753" s="8"/>
      <c r="F753" s="70"/>
      <c r="G753" s="70"/>
      <c r="H753" s="70"/>
      <c r="I753" s="8"/>
      <c r="J753" s="70"/>
      <c r="K753" s="70"/>
      <c r="L753" s="70"/>
      <c r="M753" s="8"/>
      <c r="N753" s="70"/>
      <c r="O753" s="70"/>
      <c r="P753" s="70"/>
      <c r="Q753" s="8"/>
      <c r="R753" s="70"/>
      <c r="S753" s="70"/>
      <c r="T753" s="70"/>
      <c r="U753" s="8"/>
      <c r="V753" s="70"/>
      <c r="W753" s="70"/>
      <c r="X753" s="70"/>
      <c r="Y753" s="200"/>
      <c r="Z753" s="195"/>
      <c r="AA753" s="195"/>
      <c r="AB753" s="195"/>
      <c r="AC753" s="8"/>
      <c r="AD753" s="70"/>
      <c r="AE753" s="70"/>
      <c r="AF753" s="70"/>
      <c r="AG753" s="201"/>
      <c r="AH753" s="202"/>
      <c r="AI753" s="201"/>
      <c r="AJ753" s="201"/>
      <c r="AK753" s="70"/>
      <c r="AL753" s="70"/>
      <c r="AM753" s="70"/>
      <c r="AN753" s="70"/>
      <c r="AO753" s="70"/>
      <c r="AP753" s="70"/>
      <c r="AQ753" s="70"/>
      <c r="AR753" s="70"/>
      <c r="AS753" s="70"/>
      <c r="AT753" s="70"/>
      <c r="AU753" s="70"/>
      <c r="AV753" s="70"/>
      <c r="AW753" s="70"/>
      <c r="AX753" s="70"/>
    </row>
    <row r="754">
      <c r="A754" s="8"/>
      <c r="B754" s="70"/>
      <c r="C754" s="70"/>
      <c r="D754" s="70"/>
      <c r="E754" s="8"/>
      <c r="F754" s="70"/>
      <c r="G754" s="70"/>
      <c r="H754" s="70"/>
      <c r="I754" s="8"/>
      <c r="J754" s="70"/>
      <c r="K754" s="70"/>
      <c r="L754" s="70"/>
      <c r="M754" s="8"/>
      <c r="N754" s="70"/>
      <c r="O754" s="70"/>
      <c r="P754" s="70"/>
      <c r="Q754" s="8"/>
      <c r="R754" s="70"/>
      <c r="S754" s="70"/>
      <c r="T754" s="70"/>
      <c r="U754" s="8"/>
      <c r="V754" s="70"/>
      <c r="W754" s="70"/>
      <c r="X754" s="70"/>
      <c r="Y754" s="200"/>
      <c r="Z754" s="195"/>
      <c r="AA754" s="195"/>
      <c r="AB754" s="195"/>
      <c r="AC754" s="8"/>
      <c r="AD754" s="70"/>
      <c r="AE754" s="70"/>
      <c r="AF754" s="70"/>
      <c r="AG754" s="201"/>
      <c r="AH754" s="202"/>
      <c r="AI754" s="201"/>
      <c r="AJ754" s="201"/>
      <c r="AK754" s="70"/>
      <c r="AL754" s="70"/>
      <c r="AM754" s="70"/>
      <c r="AN754" s="70"/>
      <c r="AO754" s="70"/>
      <c r="AP754" s="70"/>
      <c r="AQ754" s="70"/>
      <c r="AR754" s="70"/>
      <c r="AS754" s="70"/>
      <c r="AT754" s="70"/>
      <c r="AU754" s="70"/>
      <c r="AV754" s="70"/>
      <c r="AW754" s="70"/>
      <c r="AX754" s="70"/>
    </row>
    <row r="755">
      <c r="A755" s="8"/>
      <c r="B755" s="70"/>
      <c r="C755" s="70"/>
      <c r="D755" s="70"/>
      <c r="E755" s="8"/>
      <c r="F755" s="70"/>
      <c r="G755" s="70"/>
      <c r="H755" s="70"/>
      <c r="I755" s="8"/>
      <c r="J755" s="70"/>
      <c r="K755" s="70"/>
      <c r="L755" s="70"/>
      <c r="M755" s="8"/>
      <c r="N755" s="70"/>
      <c r="O755" s="70"/>
      <c r="P755" s="70"/>
      <c r="Q755" s="8"/>
      <c r="R755" s="70"/>
      <c r="S755" s="70"/>
      <c r="T755" s="70"/>
      <c r="U755" s="8"/>
      <c r="V755" s="70"/>
      <c r="W755" s="70"/>
      <c r="X755" s="70"/>
      <c r="Y755" s="200"/>
      <c r="Z755" s="195"/>
      <c r="AA755" s="195"/>
      <c r="AB755" s="195"/>
      <c r="AC755" s="8"/>
      <c r="AD755" s="70"/>
      <c r="AE755" s="70"/>
      <c r="AF755" s="70"/>
      <c r="AG755" s="201"/>
      <c r="AH755" s="202"/>
      <c r="AI755" s="201"/>
      <c r="AJ755" s="201"/>
      <c r="AK755" s="70"/>
      <c r="AL755" s="70"/>
      <c r="AM755" s="70"/>
      <c r="AN755" s="70"/>
      <c r="AO755" s="70"/>
      <c r="AP755" s="70"/>
      <c r="AQ755" s="70"/>
      <c r="AR755" s="70"/>
      <c r="AS755" s="70"/>
      <c r="AT755" s="70"/>
      <c r="AU755" s="70"/>
      <c r="AV755" s="70"/>
      <c r="AW755" s="70"/>
      <c r="AX755" s="70"/>
    </row>
    <row r="756">
      <c r="A756" s="8"/>
      <c r="B756" s="70"/>
      <c r="C756" s="70"/>
      <c r="D756" s="70"/>
      <c r="E756" s="8"/>
      <c r="F756" s="70"/>
      <c r="G756" s="70"/>
      <c r="H756" s="70"/>
      <c r="I756" s="8"/>
      <c r="J756" s="70"/>
      <c r="K756" s="70"/>
      <c r="L756" s="70"/>
      <c r="M756" s="8"/>
      <c r="N756" s="70"/>
      <c r="O756" s="70"/>
      <c r="P756" s="70"/>
      <c r="Q756" s="8"/>
      <c r="R756" s="70"/>
      <c r="S756" s="70"/>
      <c r="T756" s="70"/>
      <c r="U756" s="8"/>
      <c r="V756" s="70"/>
      <c r="W756" s="70"/>
      <c r="X756" s="70"/>
      <c r="Y756" s="200"/>
      <c r="Z756" s="195"/>
      <c r="AA756" s="195"/>
      <c r="AB756" s="195"/>
      <c r="AC756" s="8"/>
      <c r="AD756" s="70"/>
      <c r="AE756" s="70"/>
      <c r="AF756" s="70"/>
      <c r="AG756" s="201"/>
      <c r="AH756" s="202"/>
      <c r="AI756" s="201"/>
      <c r="AJ756" s="201"/>
      <c r="AK756" s="70"/>
      <c r="AL756" s="70"/>
      <c r="AM756" s="70"/>
      <c r="AN756" s="70"/>
      <c r="AO756" s="70"/>
      <c r="AP756" s="70"/>
      <c r="AQ756" s="70"/>
      <c r="AR756" s="70"/>
      <c r="AS756" s="70"/>
      <c r="AT756" s="70"/>
      <c r="AU756" s="70"/>
      <c r="AV756" s="70"/>
      <c r="AW756" s="70"/>
      <c r="AX756" s="70"/>
    </row>
    <row r="757">
      <c r="A757" s="8"/>
      <c r="B757" s="70"/>
      <c r="C757" s="70"/>
      <c r="D757" s="70"/>
      <c r="E757" s="8"/>
      <c r="F757" s="70"/>
      <c r="G757" s="70"/>
      <c r="H757" s="70"/>
      <c r="I757" s="8"/>
      <c r="J757" s="70"/>
      <c r="K757" s="70"/>
      <c r="L757" s="70"/>
      <c r="M757" s="8"/>
      <c r="N757" s="70"/>
      <c r="O757" s="70"/>
      <c r="P757" s="70"/>
      <c r="Q757" s="8"/>
      <c r="R757" s="70"/>
      <c r="S757" s="70"/>
      <c r="T757" s="70"/>
      <c r="U757" s="8"/>
      <c r="V757" s="70"/>
      <c r="W757" s="70"/>
      <c r="X757" s="70"/>
      <c r="Y757" s="200"/>
      <c r="Z757" s="195"/>
      <c r="AA757" s="195"/>
      <c r="AB757" s="195"/>
      <c r="AC757" s="8"/>
      <c r="AD757" s="70"/>
      <c r="AE757" s="70"/>
      <c r="AF757" s="70"/>
      <c r="AG757" s="201"/>
      <c r="AH757" s="202"/>
      <c r="AI757" s="201"/>
      <c r="AJ757" s="201"/>
      <c r="AK757" s="70"/>
      <c r="AL757" s="70"/>
      <c r="AM757" s="70"/>
      <c r="AN757" s="70"/>
      <c r="AO757" s="70"/>
      <c r="AP757" s="70"/>
      <c r="AQ757" s="70"/>
      <c r="AR757" s="70"/>
      <c r="AS757" s="70"/>
      <c r="AT757" s="70"/>
      <c r="AU757" s="70"/>
      <c r="AV757" s="70"/>
      <c r="AW757" s="70"/>
      <c r="AX757" s="70"/>
    </row>
    <row r="758">
      <c r="A758" s="8"/>
      <c r="B758" s="70"/>
      <c r="C758" s="70"/>
      <c r="D758" s="70"/>
      <c r="E758" s="8"/>
      <c r="F758" s="70"/>
      <c r="G758" s="70"/>
      <c r="H758" s="70"/>
      <c r="I758" s="8"/>
      <c r="J758" s="70"/>
      <c r="K758" s="70"/>
      <c r="L758" s="70"/>
      <c r="M758" s="8"/>
      <c r="N758" s="70"/>
      <c r="O758" s="70"/>
      <c r="P758" s="70"/>
      <c r="Q758" s="8"/>
      <c r="R758" s="70"/>
      <c r="S758" s="70"/>
      <c r="T758" s="70"/>
      <c r="U758" s="8"/>
      <c r="V758" s="70"/>
      <c r="W758" s="70"/>
      <c r="X758" s="70"/>
      <c r="Y758" s="200"/>
      <c r="Z758" s="195"/>
      <c r="AA758" s="195"/>
      <c r="AB758" s="195"/>
      <c r="AC758" s="8"/>
      <c r="AD758" s="70"/>
      <c r="AE758" s="70"/>
      <c r="AF758" s="70"/>
      <c r="AG758" s="201"/>
      <c r="AH758" s="202"/>
      <c r="AI758" s="201"/>
      <c r="AJ758" s="201"/>
      <c r="AK758" s="70"/>
      <c r="AL758" s="70"/>
      <c r="AM758" s="70"/>
      <c r="AN758" s="70"/>
      <c r="AO758" s="70"/>
      <c r="AP758" s="70"/>
      <c r="AQ758" s="70"/>
      <c r="AR758" s="70"/>
      <c r="AS758" s="70"/>
      <c r="AT758" s="70"/>
      <c r="AU758" s="70"/>
      <c r="AV758" s="70"/>
      <c r="AW758" s="70"/>
      <c r="AX758" s="70"/>
    </row>
    <row r="759">
      <c r="A759" s="8"/>
      <c r="B759" s="70"/>
      <c r="C759" s="70"/>
      <c r="D759" s="70"/>
      <c r="E759" s="8"/>
      <c r="F759" s="70"/>
      <c r="G759" s="70"/>
      <c r="H759" s="70"/>
      <c r="I759" s="8"/>
      <c r="J759" s="70"/>
      <c r="K759" s="70"/>
      <c r="L759" s="70"/>
      <c r="M759" s="8"/>
      <c r="N759" s="70"/>
      <c r="O759" s="70"/>
      <c r="P759" s="70"/>
      <c r="Q759" s="8"/>
      <c r="R759" s="70"/>
      <c r="S759" s="70"/>
      <c r="T759" s="70"/>
      <c r="U759" s="8"/>
      <c r="V759" s="70"/>
      <c r="W759" s="70"/>
      <c r="X759" s="70"/>
      <c r="Y759" s="200"/>
      <c r="Z759" s="195"/>
      <c r="AA759" s="195"/>
      <c r="AB759" s="195"/>
      <c r="AC759" s="8"/>
      <c r="AD759" s="70"/>
      <c r="AE759" s="70"/>
      <c r="AF759" s="70"/>
      <c r="AG759" s="201"/>
      <c r="AH759" s="202"/>
      <c r="AI759" s="201"/>
      <c r="AJ759" s="201"/>
      <c r="AK759" s="70"/>
      <c r="AL759" s="70"/>
      <c r="AM759" s="70"/>
      <c r="AN759" s="70"/>
      <c r="AO759" s="70"/>
      <c r="AP759" s="70"/>
      <c r="AQ759" s="70"/>
      <c r="AR759" s="70"/>
      <c r="AS759" s="70"/>
      <c r="AT759" s="70"/>
      <c r="AU759" s="70"/>
      <c r="AV759" s="70"/>
      <c r="AW759" s="70"/>
      <c r="AX759" s="70"/>
    </row>
    <row r="760">
      <c r="A760" s="8"/>
      <c r="B760" s="70"/>
      <c r="C760" s="70"/>
      <c r="D760" s="70"/>
      <c r="E760" s="8"/>
      <c r="F760" s="70"/>
      <c r="G760" s="70"/>
      <c r="H760" s="70"/>
      <c r="I760" s="8"/>
      <c r="J760" s="70"/>
      <c r="K760" s="70"/>
      <c r="L760" s="70"/>
      <c r="M760" s="8"/>
      <c r="N760" s="70"/>
      <c r="O760" s="70"/>
      <c r="P760" s="70"/>
      <c r="Q760" s="8"/>
      <c r="R760" s="70"/>
      <c r="S760" s="70"/>
      <c r="T760" s="70"/>
      <c r="U760" s="8"/>
      <c r="V760" s="70"/>
      <c r="W760" s="70"/>
      <c r="X760" s="70"/>
      <c r="Y760" s="200"/>
      <c r="Z760" s="195"/>
      <c r="AA760" s="195"/>
      <c r="AB760" s="195"/>
      <c r="AC760" s="8"/>
      <c r="AD760" s="70"/>
      <c r="AE760" s="70"/>
      <c r="AF760" s="70"/>
      <c r="AG760" s="201"/>
      <c r="AH760" s="202"/>
      <c r="AI760" s="201"/>
      <c r="AJ760" s="201"/>
      <c r="AK760" s="70"/>
      <c r="AL760" s="70"/>
      <c r="AM760" s="70"/>
      <c r="AN760" s="70"/>
      <c r="AO760" s="70"/>
      <c r="AP760" s="70"/>
      <c r="AQ760" s="70"/>
      <c r="AR760" s="70"/>
      <c r="AS760" s="70"/>
      <c r="AT760" s="70"/>
      <c r="AU760" s="70"/>
      <c r="AV760" s="70"/>
      <c r="AW760" s="70"/>
      <c r="AX760" s="70"/>
    </row>
    <row r="761">
      <c r="A761" s="8"/>
      <c r="B761" s="70"/>
      <c r="C761" s="70"/>
      <c r="D761" s="70"/>
      <c r="E761" s="8"/>
      <c r="F761" s="70"/>
      <c r="G761" s="70"/>
      <c r="H761" s="70"/>
      <c r="I761" s="8"/>
      <c r="J761" s="70"/>
      <c r="K761" s="70"/>
      <c r="L761" s="70"/>
      <c r="M761" s="8"/>
      <c r="N761" s="70"/>
      <c r="O761" s="70"/>
      <c r="P761" s="70"/>
      <c r="Q761" s="8"/>
      <c r="R761" s="70"/>
      <c r="S761" s="70"/>
      <c r="T761" s="70"/>
      <c r="U761" s="8"/>
      <c r="V761" s="70"/>
      <c r="W761" s="70"/>
      <c r="X761" s="70"/>
      <c r="Y761" s="200"/>
      <c r="Z761" s="195"/>
      <c r="AA761" s="195"/>
      <c r="AB761" s="195"/>
      <c r="AC761" s="8"/>
      <c r="AD761" s="70"/>
      <c r="AE761" s="70"/>
      <c r="AF761" s="70"/>
      <c r="AG761" s="201"/>
      <c r="AH761" s="202"/>
      <c r="AI761" s="201"/>
      <c r="AJ761" s="201"/>
      <c r="AK761" s="70"/>
      <c r="AL761" s="70"/>
      <c r="AM761" s="70"/>
      <c r="AN761" s="70"/>
      <c r="AO761" s="70"/>
      <c r="AP761" s="70"/>
      <c r="AQ761" s="70"/>
      <c r="AR761" s="70"/>
      <c r="AS761" s="70"/>
      <c r="AT761" s="70"/>
      <c r="AU761" s="70"/>
      <c r="AV761" s="70"/>
      <c r="AW761" s="70"/>
      <c r="AX761" s="70"/>
    </row>
    <row r="762">
      <c r="A762" s="8"/>
      <c r="B762" s="70"/>
      <c r="C762" s="70"/>
      <c r="D762" s="70"/>
      <c r="E762" s="8"/>
      <c r="F762" s="70"/>
      <c r="G762" s="70"/>
      <c r="H762" s="70"/>
      <c r="I762" s="8"/>
      <c r="J762" s="70"/>
      <c r="K762" s="70"/>
      <c r="L762" s="70"/>
      <c r="M762" s="8"/>
      <c r="N762" s="70"/>
      <c r="O762" s="70"/>
      <c r="P762" s="70"/>
      <c r="Q762" s="8"/>
      <c r="R762" s="70"/>
      <c r="S762" s="70"/>
      <c r="T762" s="70"/>
      <c r="U762" s="8"/>
      <c r="V762" s="70"/>
      <c r="W762" s="70"/>
      <c r="X762" s="70"/>
      <c r="Y762" s="200"/>
      <c r="Z762" s="195"/>
      <c r="AA762" s="195"/>
      <c r="AB762" s="195"/>
      <c r="AC762" s="8"/>
      <c r="AD762" s="70"/>
      <c r="AE762" s="70"/>
      <c r="AF762" s="70"/>
      <c r="AG762" s="201"/>
      <c r="AH762" s="202"/>
      <c r="AI762" s="201"/>
      <c r="AJ762" s="201"/>
      <c r="AK762" s="70"/>
      <c r="AL762" s="70"/>
      <c r="AM762" s="70"/>
      <c r="AN762" s="70"/>
      <c r="AO762" s="70"/>
      <c r="AP762" s="70"/>
      <c r="AQ762" s="70"/>
      <c r="AR762" s="70"/>
      <c r="AS762" s="70"/>
      <c r="AT762" s="70"/>
      <c r="AU762" s="70"/>
      <c r="AV762" s="70"/>
      <c r="AW762" s="70"/>
      <c r="AX762" s="70"/>
    </row>
    <row r="763">
      <c r="A763" s="8"/>
      <c r="B763" s="70"/>
      <c r="C763" s="70"/>
      <c r="D763" s="70"/>
      <c r="E763" s="8"/>
      <c r="F763" s="70"/>
      <c r="G763" s="70"/>
      <c r="H763" s="70"/>
      <c r="I763" s="8"/>
      <c r="J763" s="70"/>
      <c r="K763" s="70"/>
      <c r="L763" s="70"/>
      <c r="M763" s="8"/>
      <c r="N763" s="70"/>
      <c r="O763" s="70"/>
      <c r="P763" s="70"/>
      <c r="Q763" s="8"/>
      <c r="R763" s="70"/>
      <c r="S763" s="70"/>
      <c r="T763" s="70"/>
      <c r="U763" s="8"/>
      <c r="V763" s="70"/>
      <c r="W763" s="70"/>
      <c r="X763" s="70"/>
      <c r="Y763" s="200"/>
      <c r="Z763" s="195"/>
      <c r="AA763" s="195"/>
      <c r="AB763" s="195"/>
      <c r="AC763" s="8"/>
      <c r="AD763" s="70"/>
      <c r="AE763" s="70"/>
      <c r="AF763" s="70"/>
      <c r="AG763" s="201"/>
      <c r="AH763" s="202"/>
      <c r="AI763" s="201"/>
      <c r="AJ763" s="201"/>
      <c r="AK763" s="70"/>
      <c r="AL763" s="70"/>
      <c r="AM763" s="70"/>
      <c r="AN763" s="70"/>
      <c r="AO763" s="70"/>
      <c r="AP763" s="70"/>
      <c r="AQ763" s="70"/>
      <c r="AR763" s="70"/>
      <c r="AS763" s="70"/>
      <c r="AT763" s="70"/>
      <c r="AU763" s="70"/>
      <c r="AV763" s="70"/>
      <c r="AW763" s="70"/>
      <c r="AX763" s="70"/>
    </row>
    <row r="764">
      <c r="A764" s="8"/>
      <c r="B764" s="70"/>
      <c r="C764" s="70"/>
      <c r="D764" s="70"/>
      <c r="E764" s="8"/>
      <c r="F764" s="70"/>
      <c r="G764" s="70"/>
      <c r="H764" s="70"/>
      <c r="I764" s="8"/>
      <c r="J764" s="70"/>
      <c r="K764" s="70"/>
      <c r="L764" s="70"/>
      <c r="M764" s="8"/>
      <c r="N764" s="70"/>
      <c r="O764" s="70"/>
      <c r="P764" s="70"/>
      <c r="Q764" s="8"/>
      <c r="R764" s="70"/>
      <c r="S764" s="70"/>
      <c r="T764" s="70"/>
      <c r="U764" s="8"/>
      <c r="V764" s="70"/>
      <c r="W764" s="70"/>
      <c r="X764" s="70"/>
      <c r="Y764" s="200"/>
      <c r="Z764" s="195"/>
      <c r="AA764" s="195"/>
      <c r="AB764" s="195"/>
      <c r="AC764" s="8"/>
      <c r="AD764" s="70"/>
      <c r="AE764" s="70"/>
      <c r="AF764" s="70"/>
      <c r="AG764" s="201"/>
      <c r="AH764" s="202"/>
      <c r="AI764" s="201"/>
      <c r="AJ764" s="201"/>
      <c r="AK764" s="70"/>
      <c r="AL764" s="70"/>
      <c r="AM764" s="70"/>
      <c r="AN764" s="70"/>
      <c r="AO764" s="70"/>
      <c r="AP764" s="70"/>
      <c r="AQ764" s="70"/>
      <c r="AR764" s="70"/>
      <c r="AS764" s="70"/>
      <c r="AT764" s="70"/>
      <c r="AU764" s="70"/>
      <c r="AV764" s="70"/>
      <c r="AW764" s="70"/>
      <c r="AX764" s="70"/>
    </row>
    <row r="765">
      <c r="A765" s="8"/>
      <c r="B765" s="70"/>
      <c r="C765" s="70"/>
      <c r="D765" s="70"/>
      <c r="E765" s="8"/>
      <c r="F765" s="70"/>
      <c r="G765" s="70"/>
      <c r="H765" s="70"/>
      <c r="I765" s="8"/>
      <c r="J765" s="70"/>
      <c r="K765" s="70"/>
      <c r="L765" s="70"/>
      <c r="M765" s="8"/>
      <c r="N765" s="70"/>
      <c r="O765" s="70"/>
      <c r="P765" s="70"/>
      <c r="Q765" s="8"/>
      <c r="R765" s="70"/>
      <c r="S765" s="70"/>
      <c r="T765" s="70"/>
      <c r="U765" s="8"/>
      <c r="V765" s="70"/>
      <c r="W765" s="70"/>
      <c r="X765" s="70"/>
      <c r="Y765" s="200"/>
      <c r="Z765" s="195"/>
      <c r="AA765" s="195"/>
      <c r="AB765" s="195"/>
      <c r="AC765" s="8"/>
      <c r="AD765" s="70"/>
      <c r="AE765" s="70"/>
      <c r="AF765" s="70"/>
      <c r="AG765" s="201"/>
      <c r="AH765" s="202"/>
      <c r="AI765" s="201"/>
      <c r="AJ765" s="201"/>
      <c r="AK765" s="70"/>
      <c r="AL765" s="70"/>
      <c r="AM765" s="70"/>
      <c r="AN765" s="70"/>
      <c r="AO765" s="70"/>
      <c r="AP765" s="70"/>
      <c r="AQ765" s="70"/>
      <c r="AR765" s="70"/>
      <c r="AS765" s="70"/>
      <c r="AT765" s="70"/>
      <c r="AU765" s="70"/>
      <c r="AV765" s="70"/>
      <c r="AW765" s="70"/>
      <c r="AX765" s="70"/>
    </row>
    <row r="766">
      <c r="A766" s="8"/>
      <c r="B766" s="70"/>
      <c r="C766" s="70"/>
      <c r="D766" s="70"/>
      <c r="E766" s="8"/>
      <c r="F766" s="70"/>
      <c r="G766" s="70"/>
      <c r="H766" s="70"/>
      <c r="I766" s="8"/>
      <c r="J766" s="70"/>
      <c r="K766" s="70"/>
      <c r="L766" s="70"/>
      <c r="M766" s="8"/>
      <c r="N766" s="70"/>
      <c r="O766" s="70"/>
      <c r="P766" s="70"/>
      <c r="Q766" s="8"/>
      <c r="R766" s="70"/>
      <c r="S766" s="70"/>
      <c r="T766" s="70"/>
      <c r="U766" s="8"/>
      <c r="V766" s="70"/>
      <c r="W766" s="70"/>
      <c r="X766" s="70"/>
      <c r="Y766" s="200"/>
      <c r="Z766" s="195"/>
      <c r="AA766" s="195"/>
      <c r="AB766" s="195"/>
      <c r="AC766" s="8"/>
      <c r="AD766" s="70"/>
      <c r="AE766" s="70"/>
      <c r="AF766" s="70"/>
      <c r="AG766" s="201"/>
      <c r="AH766" s="202"/>
      <c r="AI766" s="201"/>
      <c r="AJ766" s="201"/>
      <c r="AK766" s="70"/>
      <c r="AL766" s="70"/>
      <c r="AM766" s="70"/>
      <c r="AN766" s="70"/>
      <c r="AO766" s="70"/>
      <c r="AP766" s="70"/>
      <c r="AQ766" s="70"/>
      <c r="AR766" s="70"/>
      <c r="AS766" s="70"/>
      <c r="AT766" s="70"/>
      <c r="AU766" s="70"/>
      <c r="AV766" s="70"/>
      <c r="AW766" s="70"/>
      <c r="AX766" s="70"/>
    </row>
    <row r="767">
      <c r="A767" s="8"/>
      <c r="B767" s="70"/>
      <c r="C767" s="70"/>
      <c r="D767" s="70"/>
      <c r="E767" s="8"/>
      <c r="F767" s="70"/>
      <c r="G767" s="70"/>
      <c r="H767" s="70"/>
      <c r="I767" s="8"/>
      <c r="J767" s="70"/>
      <c r="K767" s="70"/>
      <c r="L767" s="70"/>
      <c r="M767" s="8"/>
      <c r="N767" s="70"/>
      <c r="O767" s="70"/>
      <c r="P767" s="70"/>
      <c r="Q767" s="8"/>
      <c r="R767" s="70"/>
      <c r="S767" s="70"/>
      <c r="T767" s="70"/>
      <c r="U767" s="8"/>
      <c r="V767" s="70"/>
      <c r="W767" s="70"/>
      <c r="X767" s="70"/>
      <c r="Y767" s="200"/>
      <c r="Z767" s="195"/>
      <c r="AA767" s="195"/>
      <c r="AB767" s="195"/>
      <c r="AC767" s="8"/>
      <c r="AD767" s="70"/>
      <c r="AE767" s="70"/>
      <c r="AF767" s="70"/>
      <c r="AG767" s="201"/>
      <c r="AH767" s="202"/>
      <c r="AI767" s="201"/>
      <c r="AJ767" s="201"/>
      <c r="AK767" s="70"/>
      <c r="AL767" s="70"/>
      <c r="AM767" s="70"/>
      <c r="AN767" s="70"/>
      <c r="AO767" s="70"/>
      <c r="AP767" s="70"/>
      <c r="AQ767" s="70"/>
      <c r="AR767" s="70"/>
      <c r="AS767" s="70"/>
      <c r="AT767" s="70"/>
      <c r="AU767" s="70"/>
      <c r="AV767" s="70"/>
      <c r="AW767" s="70"/>
      <c r="AX767" s="70"/>
    </row>
    <row r="768">
      <c r="A768" s="8"/>
      <c r="B768" s="70"/>
      <c r="C768" s="70"/>
      <c r="D768" s="70"/>
      <c r="E768" s="8"/>
      <c r="F768" s="70"/>
      <c r="G768" s="70"/>
      <c r="H768" s="70"/>
      <c r="I768" s="8"/>
      <c r="J768" s="70"/>
      <c r="K768" s="70"/>
      <c r="L768" s="70"/>
      <c r="M768" s="8"/>
      <c r="N768" s="70"/>
      <c r="O768" s="70"/>
      <c r="P768" s="70"/>
      <c r="Q768" s="8"/>
      <c r="R768" s="70"/>
      <c r="S768" s="70"/>
      <c r="T768" s="70"/>
      <c r="U768" s="8"/>
      <c r="V768" s="70"/>
      <c r="W768" s="70"/>
      <c r="X768" s="70"/>
      <c r="Y768" s="200"/>
      <c r="Z768" s="195"/>
      <c r="AA768" s="195"/>
      <c r="AB768" s="195"/>
      <c r="AC768" s="8"/>
      <c r="AD768" s="70"/>
      <c r="AE768" s="70"/>
      <c r="AF768" s="70"/>
      <c r="AG768" s="201"/>
      <c r="AH768" s="202"/>
      <c r="AI768" s="201"/>
      <c r="AJ768" s="201"/>
      <c r="AK768" s="70"/>
      <c r="AL768" s="70"/>
      <c r="AM768" s="70"/>
      <c r="AN768" s="70"/>
      <c r="AO768" s="70"/>
      <c r="AP768" s="70"/>
      <c r="AQ768" s="70"/>
      <c r="AR768" s="70"/>
      <c r="AS768" s="70"/>
      <c r="AT768" s="70"/>
      <c r="AU768" s="70"/>
      <c r="AV768" s="70"/>
      <c r="AW768" s="70"/>
      <c r="AX768" s="70"/>
    </row>
    <row r="769">
      <c r="A769" s="8"/>
      <c r="B769" s="70"/>
      <c r="C769" s="70"/>
      <c r="D769" s="70"/>
      <c r="E769" s="8"/>
      <c r="F769" s="70"/>
      <c r="G769" s="70"/>
      <c r="H769" s="70"/>
      <c r="I769" s="8"/>
      <c r="J769" s="70"/>
      <c r="K769" s="70"/>
      <c r="L769" s="70"/>
      <c r="M769" s="8"/>
      <c r="N769" s="70"/>
      <c r="O769" s="70"/>
      <c r="P769" s="70"/>
      <c r="Q769" s="8"/>
      <c r="R769" s="70"/>
      <c r="S769" s="70"/>
      <c r="T769" s="70"/>
      <c r="U769" s="8"/>
      <c r="V769" s="70"/>
      <c r="W769" s="70"/>
      <c r="X769" s="70"/>
      <c r="Y769" s="200"/>
      <c r="Z769" s="195"/>
      <c r="AA769" s="195"/>
      <c r="AB769" s="195"/>
      <c r="AC769" s="8"/>
      <c r="AD769" s="70"/>
      <c r="AE769" s="70"/>
      <c r="AF769" s="70"/>
      <c r="AG769" s="201"/>
      <c r="AH769" s="202"/>
      <c r="AI769" s="201"/>
      <c r="AJ769" s="201"/>
      <c r="AK769" s="70"/>
      <c r="AL769" s="70"/>
      <c r="AM769" s="70"/>
      <c r="AN769" s="70"/>
      <c r="AO769" s="70"/>
      <c r="AP769" s="70"/>
      <c r="AQ769" s="70"/>
      <c r="AR769" s="70"/>
      <c r="AS769" s="70"/>
      <c r="AT769" s="70"/>
      <c r="AU769" s="70"/>
      <c r="AV769" s="70"/>
      <c r="AW769" s="70"/>
      <c r="AX769" s="70"/>
    </row>
    <row r="770">
      <c r="A770" s="8"/>
      <c r="B770" s="70"/>
      <c r="C770" s="70"/>
      <c r="D770" s="70"/>
      <c r="E770" s="8"/>
      <c r="F770" s="70"/>
      <c r="G770" s="70"/>
      <c r="H770" s="70"/>
      <c r="I770" s="8"/>
      <c r="J770" s="70"/>
      <c r="K770" s="70"/>
      <c r="L770" s="70"/>
      <c r="M770" s="8"/>
      <c r="N770" s="70"/>
      <c r="O770" s="70"/>
      <c r="P770" s="70"/>
      <c r="Q770" s="8"/>
      <c r="R770" s="70"/>
      <c r="S770" s="70"/>
      <c r="T770" s="70"/>
      <c r="U770" s="8"/>
      <c r="V770" s="70"/>
      <c r="W770" s="70"/>
      <c r="X770" s="70"/>
      <c r="Y770" s="200"/>
      <c r="Z770" s="195"/>
      <c r="AA770" s="195"/>
      <c r="AB770" s="195"/>
      <c r="AC770" s="8"/>
      <c r="AD770" s="70"/>
      <c r="AE770" s="70"/>
      <c r="AF770" s="70"/>
      <c r="AG770" s="201"/>
      <c r="AH770" s="202"/>
      <c r="AI770" s="201"/>
      <c r="AJ770" s="201"/>
      <c r="AK770" s="70"/>
      <c r="AL770" s="70"/>
      <c r="AM770" s="70"/>
      <c r="AN770" s="70"/>
      <c r="AO770" s="70"/>
      <c r="AP770" s="70"/>
      <c r="AQ770" s="70"/>
      <c r="AR770" s="70"/>
      <c r="AS770" s="70"/>
      <c r="AT770" s="70"/>
      <c r="AU770" s="70"/>
      <c r="AV770" s="70"/>
      <c r="AW770" s="70"/>
      <c r="AX770" s="70"/>
    </row>
    <row r="771">
      <c r="A771" s="8"/>
      <c r="B771" s="70"/>
      <c r="C771" s="70"/>
      <c r="D771" s="70"/>
      <c r="E771" s="8"/>
      <c r="F771" s="70"/>
      <c r="G771" s="70"/>
      <c r="H771" s="70"/>
      <c r="I771" s="8"/>
      <c r="J771" s="70"/>
      <c r="K771" s="70"/>
      <c r="L771" s="70"/>
      <c r="M771" s="8"/>
      <c r="N771" s="70"/>
      <c r="O771" s="70"/>
      <c r="P771" s="70"/>
      <c r="Q771" s="8"/>
      <c r="R771" s="70"/>
      <c r="S771" s="70"/>
      <c r="T771" s="70"/>
      <c r="U771" s="8"/>
      <c r="V771" s="70"/>
      <c r="W771" s="70"/>
      <c r="X771" s="70"/>
      <c r="Y771" s="200"/>
      <c r="Z771" s="195"/>
      <c r="AA771" s="195"/>
      <c r="AB771" s="195"/>
      <c r="AC771" s="8"/>
      <c r="AD771" s="70"/>
      <c r="AE771" s="70"/>
      <c r="AF771" s="70"/>
      <c r="AG771" s="201"/>
      <c r="AH771" s="202"/>
      <c r="AI771" s="201"/>
      <c r="AJ771" s="201"/>
      <c r="AK771" s="70"/>
      <c r="AL771" s="70"/>
      <c r="AM771" s="70"/>
      <c r="AN771" s="70"/>
      <c r="AO771" s="70"/>
      <c r="AP771" s="70"/>
      <c r="AQ771" s="70"/>
      <c r="AR771" s="70"/>
      <c r="AS771" s="70"/>
      <c r="AT771" s="70"/>
      <c r="AU771" s="70"/>
      <c r="AV771" s="70"/>
      <c r="AW771" s="70"/>
      <c r="AX771" s="70"/>
    </row>
    <row r="772">
      <c r="A772" s="8"/>
      <c r="B772" s="70"/>
      <c r="C772" s="70"/>
      <c r="D772" s="70"/>
      <c r="E772" s="8"/>
      <c r="F772" s="70"/>
      <c r="G772" s="70"/>
      <c r="H772" s="70"/>
      <c r="I772" s="8"/>
      <c r="J772" s="70"/>
      <c r="K772" s="70"/>
      <c r="L772" s="70"/>
      <c r="M772" s="8"/>
      <c r="N772" s="70"/>
      <c r="O772" s="70"/>
      <c r="P772" s="70"/>
      <c r="Q772" s="8"/>
      <c r="R772" s="70"/>
      <c r="S772" s="70"/>
      <c r="T772" s="70"/>
      <c r="U772" s="8"/>
      <c r="V772" s="70"/>
      <c r="W772" s="70"/>
      <c r="X772" s="70"/>
      <c r="Y772" s="200"/>
      <c r="Z772" s="195"/>
      <c r="AA772" s="195"/>
      <c r="AB772" s="195"/>
      <c r="AC772" s="8"/>
      <c r="AD772" s="70"/>
      <c r="AE772" s="70"/>
      <c r="AF772" s="70"/>
      <c r="AG772" s="201"/>
      <c r="AH772" s="202"/>
      <c r="AI772" s="201"/>
      <c r="AJ772" s="201"/>
      <c r="AK772" s="70"/>
      <c r="AL772" s="70"/>
      <c r="AM772" s="70"/>
      <c r="AN772" s="70"/>
      <c r="AO772" s="70"/>
      <c r="AP772" s="70"/>
      <c r="AQ772" s="70"/>
      <c r="AR772" s="70"/>
      <c r="AS772" s="70"/>
      <c r="AT772" s="70"/>
      <c r="AU772" s="70"/>
      <c r="AV772" s="70"/>
      <c r="AW772" s="70"/>
      <c r="AX772" s="70"/>
    </row>
    <row r="773">
      <c r="A773" s="8"/>
      <c r="B773" s="70"/>
      <c r="C773" s="70"/>
      <c r="D773" s="70"/>
      <c r="E773" s="8"/>
      <c r="F773" s="70"/>
      <c r="G773" s="70"/>
      <c r="H773" s="70"/>
      <c r="I773" s="8"/>
      <c r="J773" s="70"/>
      <c r="K773" s="70"/>
      <c r="L773" s="70"/>
      <c r="M773" s="8"/>
      <c r="N773" s="70"/>
      <c r="O773" s="70"/>
      <c r="P773" s="70"/>
      <c r="Q773" s="8"/>
      <c r="R773" s="70"/>
      <c r="S773" s="70"/>
      <c r="T773" s="70"/>
      <c r="U773" s="8"/>
      <c r="V773" s="70"/>
      <c r="W773" s="70"/>
      <c r="X773" s="70"/>
      <c r="Y773" s="200"/>
      <c r="Z773" s="195"/>
      <c r="AA773" s="195"/>
      <c r="AB773" s="195"/>
      <c r="AC773" s="8"/>
      <c r="AD773" s="70"/>
      <c r="AE773" s="70"/>
      <c r="AF773" s="70"/>
      <c r="AG773" s="201"/>
      <c r="AH773" s="202"/>
      <c r="AI773" s="201"/>
      <c r="AJ773" s="201"/>
      <c r="AK773" s="70"/>
      <c r="AL773" s="70"/>
      <c r="AM773" s="70"/>
      <c r="AN773" s="70"/>
      <c r="AO773" s="70"/>
      <c r="AP773" s="70"/>
      <c r="AQ773" s="70"/>
      <c r="AR773" s="70"/>
      <c r="AS773" s="70"/>
      <c r="AT773" s="70"/>
      <c r="AU773" s="70"/>
      <c r="AV773" s="70"/>
      <c r="AW773" s="70"/>
      <c r="AX773" s="70"/>
    </row>
    <row r="774">
      <c r="A774" s="8"/>
      <c r="B774" s="70"/>
      <c r="C774" s="70"/>
      <c r="D774" s="70"/>
      <c r="E774" s="8"/>
      <c r="F774" s="70"/>
      <c r="G774" s="70"/>
      <c r="H774" s="70"/>
      <c r="I774" s="8"/>
      <c r="J774" s="70"/>
      <c r="K774" s="70"/>
      <c r="L774" s="70"/>
      <c r="M774" s="8"/>
      <c r="N774" s="70"/>
      <c r="O774" s="70"/>
      <c r="P774" s="70"/>
      <c r="Q774" s="8"/>
      <c r="R774" s="70"/>
      <c r="S774" s="70"/>
      <c r="T774" s="70"/>
      <c r="U774" s="8"/>
      <c r="V774" s="70"/>
      <c r="W774" s="70"/>
      <c r="X774" s="70"/>
      <c r="Y774" s="200"/>
      <c r="Z774" s="195"/>
      <c r="AA774" s="195"/>
      <c r="AB774" s="195"/>
      <c r="AC774" s="8"/>
      <c r="AD774" s="70"/>
      <c r="AE774" s="70"/>
      <c r="AF774" s="70"/>
      <c r="AG774" s="201"/>
      <c r="AH774" s="202"/>
      <c r="AI774" s="201"/>
      <c r="AJ774" s="201"/>
      <c r="AK774" s="70"/>
      <c r="AL774" s="70"/>
      <c r="AM774" s="70"/>
      <c r="AN774" s="70"/>
      <c r="AO774" s="70"/>
      <c r="AP774" s="70"/>
      <c r="AQ774" s="70"/>
      <c r="AR774" s="70"/>
      <c r="AS774" s="70"/>
      <c r="AT774" s="70"/>
      <c r="AU774" s="70"/>
      <c r="AV774" s="70"/>
      <c r="AW774" s="70"/>
      <c r="AX774" s="70"/>
    </row>
    <row r="775">
      <c r="A775" s="8"/>
      <c r="B775" s="70"/>
      <c r="C775" s="70"/>
      <c r="D775" s="70"/>
      <c r="E775" s="8"/>
      <c r="F775" s="70"/>
      <c r="G775" s="70"/>
      <c r="H775" s="70"/>
      <c r="I775" s="8"/>
      <c r="J775" s="70"/>
      <c r="K775" s="70"/>
      <c r="L775" s="70"/>
      <c r="M775" s="8"/>
      <c r="N775" s="70"/>
      <c r="O775" s="70"/>
      <c r="P775" s="70"/>
      <c r="Q775" s="8"/>
      <c r="R775" s="70"/>
      <c r="S775" s="70"/>
      <c r="T775" s="70"/>
      <c r="U775" s="8"/>
      <c r="V775" s="70"/>
      <c r="W775" s="70"/>
      <c r="X775" s="70"/>
      <c r="Y775" s="200"/>
      <c r="Z775" s="195"/>
      <c r="AA775" s="195"/>
      <c r="AB775" s="195"/>
      <c r="AC775" s="8"/>
      <c r="AD775" s="70"/>
      <c r="AE775" s="70"/>
      <c r="AF775" s="70"/>
      <c r="AG775" s="201"/>
      <c r="AH775" s="202"/>
      <c r="AI775" s="201"/>
      <c r="AJ775" s="201"/>
      <c r="AK775" s="70"/>
      <c r="AL775" s="70"/>
      <c r="AM775" s="70"/>
      <c r="AN775" s="70"/>
      <c r="AO775" s="70"/>
      <c r="AP775" s="70"/>
      <c r="AQ775" s="70"/>
      <c r="AR775" s="70"/>
      <c r="AS775" s="70"/>
      <c r="AT775" s="70"/>
      <c r="AU775" s="70"/>
      <c r="AV775" s="70"/>
      <c r="AW775" s="70"/>
      <c r="AX775" s="70"/>
    </row>
    <row r="776">
      <c r="A776" s="8"/>
      <c r="B776" s="70"/>
      <c r="C776" s="70"/>
      <c r="D776" s="70"/>
      <c r="E776" s="8"/>
      <c r="F776" s="70"/>
      <c r="G776" s="70"/>
      <c r="H776" s="70"/>
      <c r="I776" s="8"/>
      <c r="J776" s="70"/>
      <c r="K776" s="70"/>
      <c r="L776" s="70"/>
      <c r="M776" s="8"/>
      <c r="N776" s="70"/>
      <c r="O776" s="70"/>
      <c r="P776" s="70"/>
      <c r="Q776" s="8"/>
      <c r="R776" s="70"/>
      <c r="S776" s="70"/>
      <c r="T776" s="70"/>
      <c r="U776" s="8"/>
      <c r="V776" s="70"/>
      <c r="W776" s="70"/>
      <c r="X776" s="70"/>
      <c r="Y776" s="200"/>
      <c r="Z776" s="195"/>
      <c r="AA776" s="195"/>
      <c r="AB776" s="195"/>
      <c r="AC776" s="8"/>
      <c r="AD776" s="70"/>
      <c r="AE776" s="70"/>
      <c r="AF776" s="70"/>
      <c r="AG776" s="201"/>
      <c r="AH776" s="202"/>
      <c r="AI776" s="201"/>
      <c r="AJ776" s="201"/>
      <c r="AK776" s="70"/>
      <c r="AL776" s="70"/>
      <c r="AM776" s="70"/>
      <c r="AN776" s="70"/>
      <c r="AO776" s="70"/>
      <c r="AP776" s="70"/>
      <c r="AQ776" s="70"/>
      <c r="AR776" s="70"/>
      <c r="AS776" s="70"/>
      <c r="AT776" s="70"/>
      <c r="AU776" s="70"/>
      <c r="AV776" s="70"/>
      <c r="AW776" s="70"/>
      <c r="AX776" s="70"/>
    </row>
    <row r="777">
      <c r="A777" s="8"/>
      <c r="B777" s="70"/>
      <c r="C777" s="70"/>
      <c r="D777" s="70"/>
      <c r="E777" s="8"/>
      <c r="F777" s="70"/>
      <c r="G777" s="70"/>
      <c r="H777" s="70"/>
      <c r="I777" s="8"/>
      <c r="J777" s="70"/>
      <c r="K777" s="70"/>
      <c r="L777" s="70"/>
      <c r="M777" s="8"/>
      <c r="N777" s="70"/>
      <c r="O777" s="70"/>
      <c r="P777" s="70"/>
      <c r="Q777" s="8"/>
      <c r="R777" s="70"/>
      <c r="S777" s="70"/>
      <c r="T777" s="70"/>
      <c r="U777" s="8"/>
      <c r="V777" s="70"/>
      <c r="W777" s="70"/>
      <c r="X777" s="70"/>
      <c r="Y777" s="200"/>
      <c r="Z777" s="195"/>
      <c r="AA777" s="195"/>
      <c r="AB777" s="195"/>
      <c r="AC777" s="8"/>
      <c r="AD777" s="70"/>
      <c r="AE777" s="70"/>
      <c r="AF777" s="70"/>
      <c r="AG777" s="201"/>
      <c r="AH777" s="202"/>
      <c r="AI777" s="201"/>
      <c r="AJ777" s="201"/>
      <c r="AK777" s="70"/>
      <c r="AL777" s="70"/>
      <c r="AM777" s="70"/>
      <c r="AN777" s="70"/>
      <c r="AO777" s="70"/>
      <c r="AP777" s="70"/>
      <c r="AQ777" s="70"/>
      <c r="AR777" s="70"/>
      <c r="AS777" s="70"/>
      <c r="AT777" s="70"/>
      <c r="AU777" s="70"/>
      <c r="AV777" s="70"/>
      <c r="AW777" s="70"/>
      <c r="AX777" s="70"/>
    </row>
    <row r="778">
      <c r="A778" s="8"/>
      <c r="B778" s="70"/>
      <c r="C778" s="70"/>
      <c r="D778" s="70"/>
      <c r="E778" s="8"/>
      <c r="F778" s="70"/>
      <c r="G778" s="70"/>
      <c r="H778" s="70"/>
      <c r="I778" s="8"/>
      <c r="J778" s="70"/>
      <c r="K778" s="70"/>
      <c r="L778" s="70"/>
      <c r="M778" s="8"/>
      <c r="N778" s="70"/>
      <c r="O778" s="70"/>
      <c r="P778" s="70"/>
      <c r="Q778" s="8"/>
      <c r="R778" s="70"/>
      <c r="S778" s="70"/>
      <c r="T778" s="70"/>
      <c r="U778" s="8"/>
      <c r="V778" s="70"/>
      <c r="W778" s="70"/>
      <c r="X778" s="70"/>
      <c r="Y778" s="200"/>
      <c r="Z778" s="195"/>
      <c r="AA778" s="195"/>
      <c r="AB778" s="195"/>
      <c r="AC778" s="8"/>
      <c r="AD778" s="70"/>
      <c r="AE778" s="70"/>
      <c r="AF778" s="70"/>
      <c r="AG778" s="201"/>
      <c r="AH778" s="202"/>
      <c r="AI778" s="201"/>
      <c r="AJ778" s="201"/>
      <c r="AK778" s="70"/>
      <c r="AL778" s="70"/>
      <c r="AM778" s="70"/>
      <c r="AN778" s="70"/>
      <c r="AO778" s="70"/>
      <c r="AP778" s="70"/>
      <c r="AQ778" s="70"/>
      <c r="AR778" s="70"/>
      <c r="AS778" s="70"/>
      <c r="AT778" s="70"/>
      <c r="AU778" s="70"/>
      <c r="AV778" s="70"/>
      <c r="AW778" s="70"/>
      <c r="AX778" s="70"/>
    </row>
    <row r="779">
      <c r="A779" s="8"/>
      <c r="B779" s="70"/>
      <c r="C779" s="70"/>
      <c r="D779" s="70"/>
      <c r="E779" s="8"/>
      <c r="F779" s="70"/>
      <c r="G779" s="70"/>
      <c r="H779" s="70"/>
      <c r="I779" s="8"/>
      <c r="J779" s="70"/>
      <c r="K779" s="70"/>
      <c r="L779" s="70"/>
      <c r="M779" s="8"/>
      <c r="N779" s="70"/>
      <c r="O779" s="70"/>
      <c r="P779" s="70"/>
      <c r="Q779" s="8"/>
      <c r="R779" s="70"/>
      <c r="S779" s="70"/>
      <c r="T779" s="70"/>
      <c r="U779" s="8"/>
      <c r="V779" s="70"/>
      <c r="W779" s="70"/>
      <c r="X779" s="70"/>
      <c r="Y779" s="200"/>
      <c r="Z779" s="195"/>
      <c r="AA779" s="195"/>
      <c r="AB779" s="195"/>
      <c r="AC779" s="8"/>
      <c r="AD779" s="70"/>
      <c r="AE779" s="70"/>
      <c r="AF779" s="70"/>
      <c r="AG779" s="201"/>
      <c r="AH779" s="202"/>
      <c r="AI779" s="201"/>
      <c r="AJ779" s="201"/>
      <c r="AK779" s="70"/>
      <c r="AL779" s="70"/>
      <c r="AM779" s="70"/>
      <c r="AN779" s="70"/>
      <c r="AO779" s="70"/>
      <c r="AP779" s="70"/>
      <c r="AQ779" s="70"/>
      <c r="AR779" s="70"/>
      <c r="AS779" s="70"/>
      <c r="AT779" s="70"/>
      <c r="AU779" s="70"/>
      <c r="AV779" s="70"/>
      <c r="AW779" s="70"/>
      <c r="AX779" s="70"/>
    </row>
    <row r="780">
      <c r="A780" s="8"/>
      <c r="B780" s="70"/>
      <c r="C780" s="70"/>
      <c r="D780" s="70"/>
      <c r="E780" s="8"/>
      <c r="F780" s="70"/>
      <c r="G780" s="70"/>
      <c r="H780" s="70"/>
      <c r="I780" s="8"/>
      <c r="J780" s="70"/>
      <c r="K780" s="70"/>
      <c r="L780" s="70"/>
      <c r="M780" s="8"/>
      <c r="N780" s="70"/>
      <c r="O780" s="70"/>
      <c r="P780" s="70"/>
      <c r="Q780" s="8"/>
      <c r="R780" s="70"/>
      <c r="S780" s="70"/>
      <c r="T780" s="70"/>
      <c r="U780" s="8"/>
      <c r="V780" s="70"/>
      <c r="W780" s="70"/>
      <c r="X780" s="70"/>
      <c r="Y780" s="200"/>
      <c r="Z780" s="195"/>
      <c r="AA780" s="195"/>
      <c r="AB780" s="195"/>
      <c r="AC780" s="8"/>
      <c r="AD780" s="70"/>
      <c r="AE780" s="70"/>
      <c r="AF780" s="70"/>
      <c r="AG780" s="201"/>
      <c r="AH780" s="202"/>
      <c r="AI780" s="201"/>
      <c r="AJ780" s="201"/>
      <c r="AK780" s="70"/>
      <c r="AL780" s="70"/>
      <c r="AM780" s="70"/>
      <c r="AN780" s="70"/>
      <c r="AO780" s="70"/>
      <c r="AP780" s="70"/>
      <c r="AQ780" s="70"/>
      <c r="AR780" s="70"/>
      <c r="AS780" s="70"/>
      <c r="AT780" s="70"/>
      <c r="AU780" s="70"/>
      <c r="AV780" s="70"/>
      <c r="AW780" s="70"/>
      <c r="AX780" s="70"/>
    </row>
    <row r="781">
      <c r="A781" s="8"/>
      <c r="B781" s="70"/>
      <c r="C781" s="70"/>
      <c r="D781" s="70"/>
      <c r="E781" s="8"/>
      <c r="F781" s="70"/>
      <c r="G781" s="70"/>
      <c r="H781" s="70"/>
      <c r="I781" s="8"/>
      <c r="J781" s="70"/>
      <c r="K781" s="70"/>
      <c r="L781" s="70"/>
      <c r="M781" s="8"/>
      <c r="N781" s="70"/>
      <c r="O781" s="70"/>
      <c r="P781" s="70"/>
      <c r="Q781" s="8"/>
      <c r="R781" s="70"/>
      <c r="S781" s="70"/>
      <c r="T781" s="70"/>
      <c r="U781" s="8"/>
      <c r="V781" s="70"/>
      <c r="W781" s="70"/>
      <c r="X781" s="70"/>
      <c r="Y781" s="200"/>
      <c r="Z781" s="195"/>
      <c r="AA781" s="195"/>
      <c r="AB781" s="195"/>
      <c r="AC781" s="8"/>
      <c r="AD781" s="70"/>
      <c r="AE781" s="70"/>
      <c r="AF781" s="70"/>
      <c r="AG781" s="201"/>
      <c r="AH781" s="202"/>
      <c r="AI781" s="201"/>
      <c r="AJ781" s="201"/>
      <c r="AK781" s="70"/>
      <c r="AL781" s="70"/>
      <c r="AM781" s="70"/>
      <c r="AN781" s="70"/>
      <c r="AO781" s="70"/>
      <c r="AP781" s="70"/>
      <c r="AQ781" s="70"/>
      <c r="AR781" s="70"/>
      <c r="AS781" s="70"/>
      <c r="AT781" s="70"/>
      <c r="AU781" s="70"/>
      <c r="AV781" s="70"/>
      <c r="AW781" s="70"/>
      <c r="AX781" s="70"/>
    </row>
    <row r="782">
      <c r="A782" s="8"/>
      <c r="B782" s="70"/>
      <c r="C782" s="70"/>
      <c r="D782" s="70"/>
      <c r="E782" s="8"/>
      <c r="F782" s="70"/>
      <c r="G782" s="70"/>
      <c r="H782" s="70"/>
      <c r="I782" s="8"/>
      <c r="J782" s="70"/>
      <c r="K782" s="70"/>
      <c r="L782" s="70"/>
      <c r="M782" s="8"/>
      <c r="N782" s="70"/>
      <c r="O782" s="70"/>
      <c r="P782" s="70"/>
      <c r="Q782" s="8"/>
      <c r="R782" s="70"/>
      <c r="S782" s="70"/>
      <c r="T782" s="70"/>
      <c r="U782" s="8"/>
      <c r="V782" s="70"/>
      <c r="W782" s="70"/>
      <c r="X782" s="70"/>
      <c r="Y782" s="200"/>
      <c r="Z782" s="195"/>
      <c r="AA782" s="195"/>
      <c r="AB782" s="195"/>
      <c r="AC782" s="8"/>
      <c r="AD782" s="70"/>
      <c r="AE782" s="70"/>
      <c r="AF782" s="70"/>
      <c r="AG782" s="201"/>
      <c r="AH782" s="202"/>
      <c r="AI782" s="201"/>
      <c r="AJ782" s="201"/>
      <c r="AK782" s="70"/>
      <c r="AL782" s="70"/>
      <c r="AM782" s="70"/>
      <c r="AN782" s="70"/>
      <c r="AO782" s="70"/>
      <c r="AP782" s="70"/>
      <c r="AQ782" s="70"/>
      <c r="AR782" s="70"/>
      <c r="AS782" s="70"/>
      <c r="AT782" s="70"/>
      <c r="AU782" s="70"/>
      <c r="AV782" s="70"/>
      <c r="AW782" s="70"/>
      <c r="AX782" s="70"/>
    </row>
    <row r="783">
      <c r="A783" s="8"/>
      <c r="B783" s="70"/>
      <c r="C783" s="70"/>
      <c r="D783" s="70"/>
      <c r="E783" s="8"/>
      <c r="F783" s="70"/>
      <c r="G783" s="70"/>
      <c r="H783" s="70"/>
      <c r="I783" s="8"/>
      <c r="J783" s="70"/>
      <c r="K783" s="70"/>
      <c r="L783" s="70"/>
      <c r="M783" s="8"/>
      <c r="N783" s="70"/>
      <c r="O783" s="70"/>
      <c r="P783" s="70"/>
      <c r="Q783" s="8"/>
      <c r="R783" s="70"/>
      <c r="S783" s="70"/>
      <c r="T783" s="70"/>
      <c r="U783" s="8"/>
      <c r="V783" s="70"/>
      <c r="W783" s="70"/>
      <c r="X783" s="70"/>
      <c r="Y783" s="200"/>
      <c r="Z783" s="195"/>
      <c r="AA783" s="195"/>
      <c r="AB783" s="195"/>
      <c r="AC783" s="8"/>
      <c r="AD783" s="70"/>
      <c r="AE783" s="70"/>
      <c r="AF783" s="70"/>
      <c r="AG783" s="201"/>
      <c r="AH783" s="202"/>
      <c r="AI783" s="201"/>
      <c r="AJ783" s="201"/>
      <c r="AK783" s="70"/>
      <c r="AL783" s="70"/>
      <c r="AM783" s="70"/>
      <c r="AN783" s="70"/>
      <c r="AO783" s="70"/>
      <c r="AP783" s="70"/>
      <c r="AQ783" s="70"/>
      <c r="AR783" s="70"/>
      <c r="AS783" s="70"/>
      <c r="AT783" s="70"/>
      <c r="AU783" s="70"/>
      <c r="AV783" s="70"/>
      <c r="AW783" s="70"/>
      <c r="AX783" s="70"/>
    </row>
    <row r="784">
      <c r="A784" s="8"/>
      <c r="B784" s="70"/>
      <c r="C784" s="70"/>
      <c r="D784" s="70"/>
      <c r="E784" s="8"/>
      <c r="F784" s="70"/>
      <c r="G784" s="70"/>
      <c r="H784" s="70"/>
      <c r="I784" s="8"/>
      <c r="J784" s="70"/>
      <c r="K784" s="70"/>
      <c r="L784" s="70"/>
      <c r="M784" s="8"/>
      <c r="N784" s="70"/>
      <c r="O784" s="70"/>
      <c r="P784" s="70"/>
      <c r="Q784" s="8"/>
      <c r="R784" s="70"/>
      <c r="S784" s="70"/>
      <c r="T784" s="70"/>
      <c r="U784" s="8"/>
      <c r="V784" s="70"/>
      <c r="W784" s="70"/>
      <c r="X784" s="70"/>
      <c r="Y784" s="200"/>
      <c r="Z784" s="195"/>
      <c r="AA784" s="195"/>
      <c r="AB784" s="195"/>
      <c r="AC784" s="8"/>
      <c r="AD784" s="70"/>
      <c r="AE784" s="70"/>
      <c r="AF784" s="70"/>
      <c r="AG784" s="201"/>
      <c r="AH784" s="202"/>
      <c r="AI784" s="201"/>
      <c r="AJ784" s="201"/>
      <c r="AK784" s="70"/>
      <c r="AL784" s="70"/>
      <c r="AM784" s="70"/>
      <c r="AN784" s="70"/>
      <c r="AO784" s="70"/>
      <c r="AP784" s="70"/>
      <c r="AQ784" s="70"/>
      <c r="AR784" s="70"/>
      <c r="AS784" s="70"/>
      <c r="AT784" s="70"/>
      <c r="AU784" s="70"/>
      <c r="AV784" s="70"/>
      <c r="AW784" s="70"/>
      <c r="AX784" s="70"/>
    </row>
    <row r="785">
      <c r="A785" s="8"/>
      <c r="B785" s="70"/>
      <c r="C785" s="70"/>
      <c r="D785" s="70"/>
      <c r="E785" s="8"/>
      <c r="F785" s="70"/>
      <c r="G785" s="70"/>
      <c r="H785" s="70"/>
      <c r="I785" s="8"/>
      <c r="J785" s="70"/>
      <c r="K785" s="70"/>
      <c r="L785" s="70"/>
      <c r="M785" s="8"/>
      <c r="N785" s="70"/>
      <c r="O785" s="70"/>
      <c r="P785" s="70"/>
      <c r="Q785" s="8"/>
      <c r="R785" s="70"/>
      <c r="S785" s="70"/>
      <c r="T785" s="70"/>
      <c r="U785" s="8"/>
      <c r="V785" s="70"/>
      <c r="W785" s="70"/>
      <c r="X785" s="70"/>
      <c r="Y785" s="200"/>
      <c r="Z785" s="195"/>
      <c r="AA785" s="195"/>
      <c r="AB785" s="195"/>
      <c r="AC785" s="8"/>
      <c r="AD785" s="70"/>
      <c r="AE785" s="70"/>
      <c r="AF785" s="70"/>
      <c r="AG785" s="201"/>
      <c r="AH785" s="202"/>
      <c r="AI785" s="201"/>
      <c r="AJ785" s="201"/>
      <c r="AK785" s="70"/>
      <c r="AL785" s="70"/>
      <c r="AM785" s="70"/>
      <c r="AN785" s="70"/>
      <c r="AO785" s="70"/>
      <c r="AP785" s="70"/>
      <c r="AQ785" s="70"/>
      <c r="AR785" s="70"/>
      <c r="AS785" s="70"/>
      <c r="AT785" s="70"/>
      <c r="AU785" s="70"/>
      <c r="AV785" s="70"/>
      <c r="AW785" s="70"/>
      <c r="AX785" s="70"/>
    </row>
    <row r="786">
      <c r="A786" s="8"/>
      <c r="B786" s="70"/>
      <c r="C786" s="70"/>
      <c r="D786" s="70"/>
      <c r="E786" s="8"/>
      <c r="F786" s="70"/>
      <c r="G786" s="70"/>
      <c r="H786" s="70"/>
      <c r="I786" s="8"/>
      <c r="J786" s="70"/>
      <c r="K786" s="70"/>
      <c r="L786" s="70"/>
      <c r="M786" s="8"/>
      <c r="N786" s="70"/>
      <c r="O786" s="70"/>
      <c r="P786" s="70"/>
      <c r="Q786" s="8"/>
      <c r="R786" s="70"/>
      <c r="S786" s="70"/>
      <c r="T786" s="70"/>
      <c r="U786" s="8"/>
      <c r="V786" s="70"/>
      <c r="W786" s="70"/>
      <c r="X786" s="70"/>
      <c r="Y786" s="200"/>
      <c r="Z786" s="195"/>
      <c r="AA786" s="195"/>
      <c r="AB786" s="195"/>
      <c r="AC786" s="8"/>
      <c r="AD786" s="70"/>
      <c r="AE786" s="70"/>
      <c r="AF786" s="70"/>
      <c r="AG786" s="201"/>
      <c r="AH786" s="202"/>
      <c r="AI786" s="201"/>
      <c r="AJ786" s="201"/>
      <c r="AK786" s="70"/>
      <c r="AL786" s="70"/>
      <c r="AM786" s="70"/>
      <c r="AN786" s="70"/>
      <c r="AO786" s="70"/>
      <c r="AP786" s="70"/>
      <c r="AQ786" s="70"/>
      <c r="AR786" s="70"/>
      <c r="AS786" s="70"/>
      <c r="AT786" s="70"/>
      <c r="AU786" s="70"/>
      <c r="AV786" s="70"/>
      <c r="AW786" s="70"/>
      <c r="AX786" s="70"/>
    </row>
    <row r="787">
      <c r="A787" s="8"/>
      <c r="B787" s="70"/>
      <c r="C787" s="70"/>
      <c r="D787" s="70"/>
      <c r="E787" s="8"/>
      <c r="F787" s="70"/>
      <c r="G787" s="70"/>
      <c r="H787" s="70"/>
      <c r="I787" s="8"/>
      <c r="J787" s="70"/>
      <c r="K787" s="70"/>
      <c r="L787" s="70"/>
      <c r="M787" s="8"/>
      <c r="N787" s="70"/>
      <c r="O787" s="70"/>
      <c r="P787" s="70"/>
      <c r="Q787" s="8"/>
      <c r="R787" s="70"/>
      <c r="S787" s="70"/>
      <c r="T787" s="70"/>
      <c r="U787" s="8"/>
      <c r="V787" s="70"/>
      <c r="W787" s="70"/>
      <c r="X787" s="70"/>
      <c r="Y787" s="200"/>
      <c r="Z787" s="195"/>
      <c r="AA787" s="195"/>
      <c r="AB787" s="195"/>
      <c r="AC787" s="8"/>
      <c r="AD787" s="70"/>
      <c r="AE787" s="70"/>
      <c r="AF787" s="70"/>
      <c r="AG787" s="201"/>
      <c r="AH787" s="202"/>
      <c r="AI787" s="201"/>
      <c r="AJ787" s="201"/>
      <c r="AK787" s="70"/>
      <c r="AL787" s="70"/>
      <c r="AM787" s="70"/>
      <c r="AN787" s="70"/>
      <c r="AO787" s="70"/>
      <c r="AP787" s="70"/>
      <c r="AQ787" s="70"/>
      <c r="AR787" s="70"/>
      <c r="AS787" s="70"/>
      <c r="AT787" s="70"/>
      <c r="AU787" s="70"/>
      <c r="AV787" s="70"/>
      <c r="AW787" s="70"/>
      <c r="AX787" s="70"/>
    </row>
    <row r="788">
      <c r="A788" s="8"/>
      <c r="B788" s="70"/>
      <c r="C788" s="70"/>
      <c r="D788" s="70"/>
      <c r="E788" s="8"/>
      <c r="F788" s="70"/>
      <c r="G788" s="70"/>
      <c r="H788" s="70"/>
      <c r="I788" s="8"/>
      <c r="J788" s="70"/>
      <c r="K788" s="70"/>
      <c r="L788" s="70"/>
      <c r="M788" s="8"/>
      <c r="N788" s="70"/>
      <c r="O788" s="70"/>
      <c r="P788" s="70"/>
      <c r="Q788" s="8"/>
      <c r="R788" s="70"/>
      <c r="S788" s="70"/>
      <c r="T788" s="70"/>
      <c r="U788" s="8"/>
      <c r="V788" s="70"/>
      <c r="W788" s="70"/>
      <c r="X788" s="70"/>
      <c r="Y788" s="200"/>
      <c r="Z788" s="195"/>
      <c r="AA788" s="195"/>
      <c r="AB788" s="195"/>
      <c r="AC788" s="8"/>
      <c r="AD788" s="70"/>
      <c r="AE788" s="70"/>
      <c r="AF788" s="70"/>
      <c r="AG788" s="201"/>
      <c r="AH788" s="202"/>
      <c r="AI788" s="201"/>
      <c r="AJ788" s="201"/>
      <c r="AK788" s="70"/>
      <c r="AL788" s="70"/>
      <c r="AM788" s="70"/>
      <c r="AN788" s="70"/>
      <c r="AO788" s="70"/>
      <c r="AP788" s="70"/>
      <c r="AQ788" s="70"/>
      <c r="AR788" s="70"/>
      <c r="AS788" s="70"/>
      <c r="AT788" s="70"/>
      <c r="AU788" s="70"/>
      <c r="AV788" s="70"/>
      <c r="AW788" s="70"/>
      <c r="AX788" s="70"/>
    </row>
    <row r="789">
      <c r="A789" s="8"/>
      <c r="B789" s="70"/>
      <c r="C789" s="70"/>
      <c r="D789" s="70"/>
      <c r="E789" s="8"/>
      <c r="F789" s="70"/>
      <c r="G789" s="70"/>
      <c r="H789" s="70"/>
      <c r="I789" s="8"/>
      <c r="J789" s="70"/>
      <c r="K789" s="70"/>
      <c r="L789" s="70"/>
      <c r="M789" s="8"/>
      <c r="N789" s="70"/>
      <c r="O789" s="70"/>
      <c r="P789" s="70"/>
      <c r="Q789" s="8"/>
      <c r="R789" s="70"/>
      <c r="S789" s="70"/>
      <c r="T789" s="70"/>
      <c r="U789" s="8"/>
      <c r="V789" s="70"/>
      <c r="W789" s="70"/>
      <c r="X789" s="70"/>
      <c r="Y789" s="200"/>
      <c r="Z789" s="195"/>
      <c r="AA789" s="195"/>
      <c r="AB789" s="195"/>
      <c r="AC789" s="8"/>
      <c r="AD789" s="70"/>
      <c r="AE789" s="70"/>
      <c r="AF789" s="70"/>
      <c r="AG789" s="201"/>
      <c r="AH789" s="202"/>
      <c r="AI789" s="201"/>
      <c r="AJ789" s="201"/>
      <c r="AK789" s="70"/>
      <c r="AL789" s="70"/>
      <c r="AM789" s="70"/>
      <c r="AN789" s="70"/>
      <c r="AO789" s="70"/>
      <c r="AP789" s="70"/>
      <c r="AQ789" s="70"/>
      <c r="AR789" s="70"/>
      <c r="AS789" s="70"/>
      <c r="AT789" s="70"/>
      <c r="AU789" s="70"/>
      <c r="AV789" s="70"/>
      <c r="AW789" s="70"/>
      <c r="AX789" s="70"/>
    </row>
    <row r="790">
      <c r="A790" s="8"/>
      <c r="B790" s="70"/>
      <c r="C790" s="70"/>
      <c r="D790" s="70"/>
      <c r="E790" s="8"/>
      <c r="F790" s="70"/>
      <c r="G790" s="70"/>
      <c r="H790" s="70"/>
      <c r="I790" s="8"/>
      <c r="J790" s="70"/>
      <c r="K790" s="70"/>
      <c r="L790" s="70"/>
      <c r="M790" s="8"/>
      <c r="N790" s="70"/>
      <c r="O790" s="70"/>
      <c r="P790" s="70"/>
      <c r="Q790" s="8"/>
      <c r="R790" s="70"/>
      <c r="S790" s="70"/>
      <c r="T790" s="70"/>
      <c r="U790" s="8"/>
      <c r="V790" s="70"/>
      <c r="W790" s="70"/>
      <c r="X790" s="70"/>
      <c r="Y790" s="200"/>
      <c r="Z790" s="195"/>
      <c r="AA790" s="195"/>
      <c r="AB790" s="195"/>
      <c r="AC790" s="8"/>
      <c r="AD790" s="70"/>
      <c r="AE790" s="70"/>
      <c r="AF790" s="70"/>
      <c r="AG790" s="201"/>
      <c r="AH790" s="202"/>
      <c r="AI790" s="201"/>
      <c r="AJ790" s="201"/>
      <c r="AK790" s="70"/>
      <c r="AL790" s="70"/>
      <c r="AM790" s="70"/>
      <c r="AN790" s="70"/>
      <c r="AO790" s="70"/>
      <c r="AP790" s="70"/>
      <c r="AQ790" s="70"/>
      <c r="AR790" s="70"/>
      <c r="AS790" s="70"/>
      <c r="AT790" s="70"/>
      <c r="AU790" s="70"/>
      <c r="AV790" s="70"/>
      <c r="AW790" s="70"/>
      <c r="AX790" s="70"/>
    </row>
    <row r="791">
      <c r="A791" s="8"/>
      <c r="B791" s="70"/>
      <c r="C791" s="70"/>
      <c r="D791" s="70"/>
      <c r="E791" s="8"/>
      <c r="F791" s="70"/>
      <c r="G791" s="70"/>
      <c r="H791" s="70"/>
      <c r="I791" s="8"/>
      <c r="J791" s="70"/>
      <c r="K791" s="70"/>
      <c r="L791" s="70"/>
      <c r="M791" s="8"/>
      <c r="N791" s="70"/>
      <c r="O791" s="70"/>
      <c r="P791" s="70"/>
      <c r="Q791" s="8"/>
      <c r="R791" s="70"/>
      <c r="S791" s="70"/>
      <c r="T791" s="70"/>
      <c r="U791" s="8"/>
      <c r="V791" s="70"/>
      <c r="W791" s="70"/>
      <c r="X791" s="70"/>
      <c r="Y791" s="200"/>
      <c r="Z791" s="195"/>
      <c r="AA791" s="195"/>
      <c r="AB791" s="195"/>
      <c r="AC791" s="8"/>
      <c r="AD791" s="70"/>
      <c r="AE791" s="70"/>
      <c r="AF791" s="70"/>
      <c r="AG791" s="201"/>
      <c r="AH791" s="202"/>
      <c r="AI791" s="201"/>
      <c r="AJ791" s="201"/>
      <c r="AK791" s="70"/>
      <c r="AL791" s="70"/>
      <c r="AM791" s="70"/>
      <c r="AN791" s="70"/>
      <c r="AO791" s="70"/>
      <c r="AP791" s="70"/>
      <c r="AQ791" s="70"/>
      <c r="AR791" s="70"/>
      <c r="AS791" s="70"/>
      <c r="AT791" s="70"/>
      <c r="AU791" s="70"/>
      <c r="AV791" s="70"/>
      <c r="AW791" s="70"/>
      <c r="AX791" s="70"/>
    </row>
    <row r="792">
      <c r="A792" s="8"/>
      <c r="B792" s="70"/>
      <c r="C792" s="70"/>
      <c r="D792" s="70"/>
      <c r="E792" s="8"/>
      <c r="F792" s="70"/>
      <c r="G792" s="70"/>
      <c r="H792" s="70"/>
      <c r="I792" s="8"/>
      <c r="J792" s="70"/>
      <c r="K792" s="70"/>
      <c r="L792" s="70"/>
      <c r="M792" s="8"/>
      <c r="N792" s="70"/>
      <c r="O792" s="70"/>
      <c r="P792" s="70"/>
      <c r="Q792" s="8"/>
      <c r="R792" s="70"/>
      <c r="S792" s="70"/>
      <c r="T792" s="70"/>
      <c r="U792" s="8"/>
      <c r="V792" s="70"/>
      <c r="W792" s="70"/>
      <c r="X792" s="70"/>
      <c r="Y792" s="200"/>
      <c r="Z792" s="195"/>
      <c r="AA792" s="195"/>
      <c r="AB792" s="195"/>
      <c r="AC792" s="8"/>
      <c r="AD792" s="70"/>
      <c r="AE792" s="70"/>
      <c r="AF792" s="70"/>
      <c r="AG792" s="201"/>
      <c r="AH792" s="202"/>
      <c r="AI792" s="201"/>
      <c r="AJ792" s="201"/>
      <c r="AK792" s="70"/>
      <c r="AL792" s="70"/>
      <c r="AM792" s="70"/>
      <c r="AN792" s="70"/>
      <c r="AO792" s="70"/>
      <c r="AP792" s="70"/>
      <c r="AQ792" s="70"/>
      <c r="AR792" s="70"/>
      <c r="AS792" s="70"/>
      <c r="AT792" s="70"/>
      <c r="AU792" s="70"/>
      <c r="AV792" s="70"/>
      <c r="AW792" s="70"/>
      <c r="AX792" s="70"/>
    </row>
    <row r="793">
      <c r="A793" s="8"/>
      <c r="B793" s="70"/>
      <c r="C793" s="70"/>
      <c r="D793" s="70"/>
      <c r="E793" s="8"/>
      <c r="F793" s="70"/>
      <c r="G793" s="70"/>
      <c r="H793" s="70"/>
      <c r="I793" s="8"/>
      <c r="J793" s="70"/>
      <c r="K793" s="70"/>
      <c r="L793" s="70"/>
      <c r="M793" s="8"/>
      <c r="N793" s="70"/>
      <c r="O793" s="70"/>
      <c r="P793" s="70"/>
      <c r="Q793" s="8"/>
      <c r="R793" s="70"/>
      <c r="S793" s="70"/>
      <c r="T793" s="70"/>
      <c r="U793" s="8"/>
      <c r="V793" s="70"/>
      <c r="W793" s="70"/>
      <c r="X793" s="70"/>
      <c r="Y793" s="200"/>
      <c r="Z793" s="195"/>
      <c r="AA793" s="195"/>
      <c r="AB793" s="195"/>
      <c r="AC793" s="8"/>
      <c r="AD793" s="70"/>
      <c r="AE793" s="70"/>
      <c r="AF793" s="70"/>
      <c r="AG793" s="201"/>
      <c r="AH793" s="202"/>
      <c r="AI793" s="201"/>
      <c r="AJ793" s="201"/>
      <c r="AK793" s="70"/>
      <c r="AL793" s="70"/>
      <c r="AM793" s="70"/>
      <c r="AN793" s="70"/>
      <c r="AO793" s="70"/>
      <c r="AP793" s="70"/>
      <c r="AQ793" s="70"/>
      <c r="AR793" s="70"/>
      <c r="AS793" s="70"/>
      <c r="AT793" s="70"/>
      <c r="AU793" s="70"/>
      <c r="AV793" s="70"/>
      <c r="AW793" s="70"/>
      <c r="AX793" s="70"/>
    </row>
    <row r="794">
      <c r="A794" s="8"/>
      <c r="B794" s="70"/>
      <c r="C794" s="70"/>
      <c r="D794" s="70"/>
      <c r="E794" s="8"/>
      <c r="F794" s="70"/>
      <c r="G794" s="70"/>
      <c r="H794" s="70"/>
      <c r="I794" s="8"/>
      <c r="J794" s="70"/>
      <c r="K794" s="70"/>
      <c r="L794" s="70"/>
      <c r="M794" s="8"/>
      <c r="N794" s="70"/>
      <c r="O794" s="70"/>
      <c r="P794" s="70"/>
      <c r="Q794" s="8"/>
      <c r="R794" s="70"/>
      <c r="S794" s="70"/>
      <c r="T794" s="70"/>
      <c r="U794" s="8"/>
      <c r="V794" s="70"/>
      <c r="W794" s="70"/>
      <c r="X794" s="70"/>
      <c r="Y794" s="200"/>
      <c r="Z794" s="195"/>
      <c r="AA794" s="195"/>
      <c r="AB794" s="195"/>
      <c r="AC794" s="8"/>
      <c r="AD794" s="70"/>
      <c r="AE794" s="70"/>
      <c r="AF794" s="70"/>
      <c r="AG794" s="201"/>
      <c r="AH794" s="202"/>
      <c r="AI794" s="201"/>
      <c r="AJ794" s="201"/>
      <c r="AK794" s="70"/>
      <c r="AL794" s="70"/>
      <c r="AM794" s="70"/>
      <c r="AN794" s="70"/>
      <c r="AO794" s="70"/>
      <c r="AP794" s="70"/>
      <c r="AQ794" s="70"/>
      <c r="AR794" s="70"/>
      <c r="AS794" s="70"/>
      <c r="AT794" s="70"/>
      <c r="AU794" s="70"/>
      <c r="AV794" s="70"/>
      <c r="AW794" s="70"/>
      <c r="AX794" s="70"/>
    </row>
    <row r="795">
      <c r="A795" s="8"/>
      <c r="B795" s="70"/>
      <c r="C795" s="70"/>
      <c r="D795" s="70"/>
      <c r="E795" s="8"/>
      <c r="F795" s="70"/>
      <c r="G795" s="70"/>
      <c r="H795" s="70"/>
      <c r="I795" s="8"/>
      <c r="J795" s="70"/>
      <c r="K795" s="70"/>
      <c r="L795" s="70"/>
      <c r="M795" s="8"/>
      <c r="N795" s="70"/>
      <c r="O795" s="70"/>
      <c r="P795" s="70"/>
      <c r="Q795" s="8"/>
      <c r="R795" s="70"/>
      <c r="S795" s="70"/>
      <c r="T795" s="70"/>
      <c r="U795" s="8"/>
      <c r="V795" s="70"/>
      <c r="W795" s="70"/>
      <c r="X795" s="70"/>
      <c r="Y795" s="200"/>
      <c r="Z795" s="195"/>
      <c r="AA795" s="195"/>
      <c r="AB795" s="195"/>
      <c r="AC795" s="8"/>
      <c r="AD795" s="70"/>
      <c r="AE795" s="70"/>
      <c r="AF795" s="70"/>
      <c r="AG795" s="201"/>
      <c r="AH795" s="202"/>
      <c r="AI795" s="201"/>
      <c r="AJ795" s="201"/>
      <c r="AK795" s="70"/>
      <c r="AL795" s="70"/>
      <c r="AM795" s="70"/>
      <c r="AN795" s="70"/>
      <c r="AO795" s="70"/>
      <c r="AP795" s="70"/>
      <c r="AQ795" s="70"/>
      <c r="AR795" s="70"/>
      <c r="AS795" s="70"/>
      <c r="AT795" s="70"/>
      <c r="AU795" s="70"/>
      <c r="AV795" s="70"/>
      <c r="AW795" s="70"/>
      <c r="AX795" s="70"/>
    </row>
    <row r="796">
      <c r="A796" s="8"/>
      <c r="B796" s="70"/>
      <c r="C796" s="70"/>
      <c r="D796" s="70"/>
      <c r="E796" s="8"/>
      <c r="F796" s="70"/>
      <c r="G796" s="70"/>
      <c r="H796" s="70"/>
      <c r="I796" s="8"/>
      <c r="J796" s="70"/>
      <c r="K796" s="70"/>
      <c r="L796" s="70"/>
      <c r="M796" s="8"/>
      <c r="N796" s="70"/>
      <c r="O796" s="70"/>
      <c r="P796" s="70"/>
      <c r="Q796" s="8"/>
      <c r="R796" s="70"/>
      <c r="S796" s="70"/>
      <c r="T796" s="70"/>
      <c r="U796" s="8"/>
      <c r="V796" s="70"/>
      <c r="W796" s="70"/>
      <c r="X796" s="70"/>
      <c r="Y796" s="200"/>
      <c r="Z796" s="195"/>
      <c r="AA796" s="195"/>
      <c r="AB796" s="195"/>
      <c r="AC796" s="8"/>
      <c r="AD796" s="70"/>
      <c r="AE796" s="70"/>
      <c r="AF796" s="70"/>
      <c r="AG796" s="201"/>
      <c r="AH796" s="202"/>
      <c r="AI796" s="201"/>
      <c r="AJ796" s="201"/>
      <c r="AK796" s="70"/>
      <c r="AL796" s="70"/>
      <c r="AM796" s="70"/>
      <c r="AN796" s="70"/>
      <c r="AO796" s="70"/>
      <c r="AP796" s="70"/>
      <c r="AQ796" s="70"/>
      <c r="AR796" s="70"/>
      <c r="AS796" s="70"/>
      <c r="AT796" s="70"/>
      <c r="AU796" s="70"/>
      <c r="AV796" s="70"/>
      <c r="AW796" s="70"/>
      <c r="AX796" s="70"/>
    </row>
    <row r="797">
      <c r="A797" s="8"/>
      <c r="B797" s="70"/>
      <c r="C797" s="70"/>
      <c r="D797" s="70"/>
      <c r="E797" s="8"/>
      <c r="F797" s="70"/>
      <c r="G797" s="70"/>
      <c r="H797" s="70"/>
      <c r="I797" s="8"/>
      <c r="J797" s="70"/>
      <c r="K797" s="70"/>
      <c r="L797" s="70"/>
      <c r="M797" s="8"/>
      <c r="N797" s="70"/>
      <c r="O797" s="70"/>
      <c r="P797" s="70"/>
      <c r="Q797" s="8"/>
      <c r="R797" s="70"/>
      <c r="S797" s="70"/>
      <c r="T797" s="70"/>
      <c r="U797" s="8"/>
      <c r="V797" s="70"/>
      <c r="W797" s="70"/>
      <c r="X797" s="70"/>
      <c r="Y797" s="200"/>
      <c r="Z797" s="195"/>
      <c r="AA797" s="195"/>
      <c r="AB797" s="195"/>
      <c r="AC797" s="8"/>
      <c r="AD797" s="70"/>
      <c r="AE797" s="70"/>
      <c r="AF797" s="70"/>
      <c r="AG797" s="201"/>
      <c r="AH797" s="202"/>
      <c r="AI797" s="201"/>
      <c r="AJ797" s="201"/>
      <c r="AK797" s="70"/>
      <c r="AL797" s="70"/>
      <c r="AM797" s="70"/>
      <c r="AN797" s="70"/>
      <c r="AO797" s="70"/>
      <c r="AP797" s="70"/>
      <c r="AQ797" s="70"/>
      <c r="AR797" s="70"/>
      <c r="AS797" s="70"/>
      <c r="AT797" s="70"/>
      <c r="AU797" s="70"/>
      <c r="AV797" s="70"/>
      <c r="AW797" s="70"/>
      <c r="AX797" s="70"/>
    </row>
    <row r="798">
      <c r="A798" s="8"/>
      <c r="B798" s="70"/>
      <c r="C798" s="70"/>
      <c r="D798" s="70"/>
      <c r="E798" s="8"/>
      <c r="F798" s="70"/>
      <c r="G798" s="70"/>
      <c r="H798" s="70"/>
      <c r="I798" s="8"/>
      <c r="J798" s="70"/>
      <c r="K798" s="70"/>
      <c r="L798" s="70"/>
      <c r="M798" s="8"/>
      <c r="N798" s="70"/>
      <c r="O798" s="70"/>
      <c r="P798" s="70"/>
      <c r="Q798" s="8"/>
      <c r="R798" s="70"/>
      <c r="S798" s="70"/>
      <c r="T798" s="70"/>
      <c r="U798" s="8"/>
      <c r="V798" s="70"/>
      <c r="W798" s="70"/>
      <c r="X798" s="70"/>
      <c r="Y798" s="200"/>
      <c r="Z798" s="195"/>
      <c r="AA798" s="195"/>
      <c r="AB798" s="195"/>
      <c r="AC798" s="8"/>
      <c r="AD798" s="70"/>
      <c r="AE798" s="70"/>
      <c r="AF798" s="70"/>
      <c r="AG798" s="201"/>
      <c r="AH798" s="202"/>
      <c r="AI798" s="201"/>
      <c r="AJ798" s="201"/>
      <c r="AK798" s="70"/>
      <c r="AL798" s="70"/>
      <c r="AM798" s="70"/>
      <c r="AN798" s="70"/>
      <c r="AO798" s="70"/>
      <c r="AP798" s="70"/>
      <c r="AQ798" s="70"/>
      <c r="AR798" s="70"/>
      <c r="AS798" s="70"/>
      <c r="AT798" s="70"/>
      <c r="AU798" s="70"/>
      <c r="AV798" s="70"/>
      <c r="AW798" s="70"/>
      <c r="AX798" s="70"/>
    </row>
    <row r="799">
      <c r="A799" s="8"/>
      <c r="B799" s="70"/>
      <c r="C799" s="70"/>
      <c r="D799" s="70"/>
      <c r="E799" s="8"/>
      <c r="F799" s="70"/>
      <c r="G799" s="70"/>
      <c r="H799" s="70"/>
      <c r="I799" s="8"/>
      <c r="J799" s="70"/>
      <c r="K799" s="70"/>
      <c r="L799" s="70"/>
      <c r="M799" s="8"/>
      <c r="N799" s="70"/>
      <c r="O799" s="70"/>
      <c r="P799" s="70"/>
      <c r="Q799" s="8"/>
      <c r="R799" s="70"/>
      <c r="S799" s="70"/>
      <c r="T799" s="70"/>
      <c r="U799" s="8"/>
      <c r="V799" s="70"/>
      <c r="W799" s="70"/>
      <c r="X799" s="70"/>
      <c r="Y799" s="200"/>
      <c r="Z799" s="195"/>
      <c r="AA799" s="195"/>
      <c r="AB799" s="195"/>
      <c r="AC799" s="8"/>
      <c r="AD799" s="70"/>
      <c r="AE799" s="70"/>
      <c r="AF799" s="70"/>
      <c r="AG799" s="201"/>
      <c r="AH799" s="202"/>
      <c r="AI799" s="201"/>
      <c r="AJ799" s="201"/>
      <c r="AK799" s="70"/>
      <c r="AL799" s="70"/>
      <c r="AM799" s="70"/>
      <c r="AN799" s="70"/>
      <c r="AO799" s="70"/>
      <c r="AP799" s="70"/>
      <c r="AQ799" s="70"/>
      <c r="AR799" s="70"/>
      <c r="AS799" s="70"/>
      <c r="AT799" s="70"/>
      <c r="AU799" s="70"/>
      <c r="AV799" s="70"/>
      <c r="AW799" s="70"/>
      <c r="AX799" s="70"/>
    </row>
    <row r="800">
      <c r="A800" s="8"/>
      <c r="B800" s="70"/>
      <c r="C800" s="70"/>
      <c r="D800" s="70"/>
      <c r="E800" s="8"/>
      <c r="F800" s="70"/>
      <c r="G800" s="70"/>
      <c r="H800" s="70"/>
      <c r="I800" s="8"/>
      <c r="J800" s="70"/>
      <c r="K800" s="70"/>
      <c r="L800" s="70"/>
      <c r="M800" s="8"/>
      <c r="N800" s="70"/>
      <c r="O800" s="70"/>
      <c r="P800" s="70"/>
      <c r="Q800" s="8"/>
      <c r="R800" s="70"/>
      <c r="S800" s="70"/>
      <c r="T800" s="70"/>
      <c r="U800" s="8"/>
      <c r="V800" s="70"/>
      <c r="W800" s="70"/>
      <c r="X800" s="70"/>
      <c r="Y800" s="200"/>
      <c r="Z800" s="195"/>
      <c r="AA800" s="195"/>
      <c r="AB800" s="195"/>
      <c r="AC800" s="8"/>
      <c r="AD800" s="70"/>
      <c r="AE800" s="70"/>
      <c r="AF800" s="70"/>
      <c r="AG800" s="201"/>
      <c r="AH800" s="202"/>
      <c r="AI800" s="201"/>
      <c r="AJ800" s="201"/>
      <c r="AK800" s="70"/>
      <c r="AL800" s="70"/>
      <c r="AM800" s="70"/>
      <c r="AN800" s="70"/>
      <c r="AO800" s="70"/>
      <c r="AP800" s="70"/>
      <c r="AQ800" s="70"/>
      <c r="AR800" s="70"/>
      <c r="AS800" s="70"/>
      <c r="AT800" s="70"/>
      <c r="AU800" s="70"/>
      <c r="AV800" s="70"/>
      <c r="AW800" s="70"/>
      <c r="AX800" s="70"/>
    </row>
    <row r="801">
      <c r="A801" s="8"/>
      <c r="B801" s="70"/>
      <c r="C801" s="70"/>
      <c r="D801" s="70"/>
      <c r="E801" s="8"/>
      <c r="F801" s="70"/>
      <c r="G801" s="70"/>
      <c r="H801" s="70"/>
      <c r="I801" s="8"/>
      <c r="J801" s="70"/>
      <c r="K801" s="70"/>
      <c r="L801" s="70"/>
      <c r="M801" s="8"/>
      <c r="N801" s="70"/>
      <c r="O801" s="70"/>
      <c r="P801" s="70"/>
      <c r="Q801" s="8"/>
      <c r="R801" s="70"/>
      <c r="S801" s="70"/>
      <c r="T801" s="70"/>
      <c r="U801" s="8"/>
      <c r="V801" s="70"/>
      <c r="W801" s="70"/>
      <c r="X801" s="70"/>
      <c r="Y801" s="200"/>
      <c r="Z801" s="195"/>
      <c r="AA801" s="195"/>
      <c r="AB801" s="195"/>
      <c r="AC801" s="8"/>
      <c r="AD801" s="70"/>
      <c r="AE801" s="70"/>
      <c r="AF801" s="70"/>
      <c r="AG801" s="201"/>
      <c r="AH801" s="202"/>
      <c r="AI801" s="201"/>
      <c r="AJ801" s="201"/>
      <c r="AK801" s="70"/>
      <c r="AL801" s="70"/>
      <c r="AM801" s="70"/>
      <c r="AN801" s="70"/>
      <c r="AO801" s="70"/>
      <c r="AP801" s="70"/>
      <c r="AQ801" s="70"/>
      <c r="AR801" s="70"/>
      <c r="AS801" s="70"/>
      <c r="AT801" s="70"/>
      <c r="AU801" s="70"/>
      <c r="AV801" s="70"/>
      <c r="AW801" s="70"/>
      <c r="AX801" s="70"/>
    </row>
    <row r="802">
      <c r="A802" s="8"/>
      <c r="B802" s="70"/>
      <c r="C802" s="70"/>
      <c r="D802" s="70"/>
      <c r="E802" s="8"/>
      <c r="F802" s="70"/>
      <c r="G802" s="70"/>
      <c r="H802" s="70"/>
      <c r="I802" s="8"/>
      <c r="J802" s="70"/>
      <c r="K802" s="70"/>
      <c r="L802" s="70"/>
      <c r="M802" s="8"/>
      <c r="N802" s="70"/>
      <c r="O802" s="70"/>
      <c r="P802" s="70"/>
      <c r="Q802" s="8"/>
      <c r="R802" s="70"/>
      <c r="S802" s="70"/>
      <c r="T802" s="70"/>
      <c r="U802" s="8"/>
      <c r="V802" s="70"/>
      <c r="W802" s="70"/>
      <c r="X802" s="70"/>
      <c r="Y802" s="200"/>
      <c r="Z802" s="195"/>
      <c r="AA802" s="195"/>
      <c r="AB802" s="195"/>
      <c r="AC802" s="8"/>
      <c r="AD802" s="70"/>
      <c r="AE802" s="70"/>
      <c r="AF802" s="70"/>
      <c r="AG802" s="201"/>
      <c r="AH802" s="202"/>
      <c r="AI802" s="201"/>
      <c r="AJ802" s="201"/>
      <c r="AK802" s="70"/>
      <c r="AL802" s="70"/>
      <c r="AM802" s="70"/>
      <c r="AN802" s="70"/>
      <c r="AO802" s="70"/>
      <c r="AP802" s="70"/>
      <c r="AQ802" s="70"/>
      <c r="AR802" s="70"/>
      <c r="AS802" s="70"/>
      <c r="AT802" s="70"/>
      <c r="AU802" s="70"/>
      <c r="AV802" s="70"/>
      <c r="AW802" s="70"/>
      <c r="AX802" s="70"/>
    </row>
    <row r="803">
      <c r="A803" s="8"/>
      <c r="B803" s="70"/>
      <c r="C803" s="70"/>
      <c r="D803" s="70"/>
      <c r="E803" s="8"/>
      <c r="F803" s="70"/>
      <c r="G803" s="70"/>
      <c r="H803" s="70"/>
      <c r="I803" s="8"/>
      <c r="J803" s="70"/>
      <c r="K803" s="70"/>
      <c r="L803" s="70"/>
      <c r="M803" s="8"/>
      <c r="N803" s="70"/>
      <c r="O803" s="70"/>
      <c r="P803" s="70"/>
      <c r="Q803" s="8"/>
      <c r="R803" s="70"/>
      <c r="S803" s="70"/>
      <c r="T803" s="70"/>
      <c r="U803" s="8"/>
      <c r="V803" s="70"/>
      <c r="W803" s="70"/>
      <c r="X803" s="70"/>
      <c r="Y803" s="200"/>
      <c r="Z803" s="195"/>
      <c r="AA803" s="195"/>
      <c r="AB803" s="195"/>
      <c r="AC803" s="8"/>
      <c r="AD803" s="70"/>
      <c r="AE803" s="70"/>
      <c r="AF803" s="70"/>
      <c r="AG803" s="201"/>
      <c r="AH803" s="202"/>
      <c r="AI803" s="201"/>
      <c r="AJ803" s="201"/>
      <c r="AK803" s="70"/>
      <c r="AL803" s="70"/>
      <c r="AM803" s="70"/>
      <c r="AN803" s="70"/>
      <c r="AO803" s="70"/>
      <c r="AP803" s="70"/>
      <c r="AQ803" s="70"/>
      <c r="AR803" s="70"/>
      <c r="AS803" s="70"/>
      <c r="AT803" s="70"/>
      <c r="AU803" s="70"/>
      <c r="AV803" s="70"/>
      <c r="AW803" s="70"/>
      <c r="AX803" s="70"/>
    </row>
    <row r="804">
      <c r="A804" s="8"/>
      <c r="B804" s="70"/>
      <c r="C804" s="70"/>
      <c r="D804" s="70"/>
      <c r="E804" s="8"/>
      <c r="F804" s="70"/>
      <c r="G804" s="70"/>
      <c r="H804" s="70"/>
      <c r="I804" s="8"/>
      <c r="J804" s="70"/>
      <c r="K804" s="70"/>
      <c r="L804" s="70"/>
      <c r="M804" s="8"/>
      <c r="N804" s="70"/>
      <c r="O804" s="70"/>
      <c r="P804" s="70"/>
      <c r="Q804" s="8"/>
      <c r="R804" s="70"/>
      <c r="S804" s="70"/>
      <c r="T804" s="70"/>
      <c r="U804" s="8"/>
      <c r="V804" s="70"/>
      <c r="W804" s="70"/>
      <c r="X804" s="70"/>
      <c r="Y804" s="200"/>
      <c r="Z804" s="195"/>
      <c r="AA804" s="195"/>
      <c r="AB804" s="195"/>
      <c r="AC804" s="8"/>
      <c r="AD804" s="70"/>
      <c r="AE804" s="70"/>
      <c r="AF804" s="70"/>
      <c r="AG804" s="201"/>
      <c r="AH804" s="202"/>
      <c r="AI804" s="201"/>
      <c r="AJ804" s="201"/>
      <c r="AK804" s="70"/>
      <c r="AL804" s="70"/>
      <c r="AM804" s="70"/>
      <c r="AN804" s="70"/>
      <c r="AO804" s="70"/>
      <c r="AP804" s="70"/>
      <c r="AQ804" s="70"/>
      <c r="AR804" s="70"/>
      <c r="AS804" s="70"/>
      <c r="AT804" s="70"/>
      <c r="AU804" s="70"/>
      <c r="AV804" s="70"/>
      <c r="AW804" s="70"/>
      <c r="AX804" s="70"/>
    </row>
    <row r="805">
      <c r="A805" s="8"/>
      <c r="B805" s="70"/>
      <c r="C805" s="70"/>
      <c r="D805" s="70"/>
      <c r="E805" s="8"/>
      <c r="F805" s="70"/>
      <c r="G805" s="70"/>
      <c r="H805" s="70"/>
      <c r="I805" s="8"/>
      <c r="J805" s="70"/>
      <c r="K805" s="70"/>
      <c r="L805" s="70"/>
      <c r="M805" s="8"/>
      <c r="N805" s="70"/>
      <c r="O805" s="70"/>
      <c r="P805" s="70"/>
      <c r="Q805" s="8"/>
      <c r="R805" s="70"/>
      <c r="S805" s="70"/>
      <c r="T805" s="70"/>
      <c r="U805" s="8"/>
      <c r="V805" s="70"/>
      <c r="W805" s="70"/>
      <c r="X805" s="70"/>
      <c r="Y805" s="200"/>
      <c r="Z805" s="195"/>
      <c r="AA805" s="195"/>
      <c r="AB805" s="195"/>
      <c r="AC805" s="8"/>
      <c r="AD805" s="70"/>
      <c r="AE805" s="70"/>
      <c r="AF805" s="70"/>
      <c r="AG805" s="201"/>
      <c r="AH805" s="202"/>
      <c r="AI805" s="201"/>
      <c r="AJ805" s="201"/>
      <c r="AK805" s="70"/>
      <c r="AL805" s="70"/>
      <c r="AM805" s="70"/>
      <c r="AN805" s="70"/>
      <c r="AO805" s="70"/>
      <c r="AP805" s="70"/>
      <c r="AQ805" s="70"/>
      <c r="AR805" s="70"/>
      <c r="AS805" s="70"/>
      <c r="AT805" s="70"/>
      <c r="AU805" s="70"/>
      <c r="AV805" s="70"/>
      <c r="AW805" s="70"/>
      <c r="AX805" s="70"/>
    </row>
    <row r="806">
      <c r="A806" s="8"/>
      <c r="B806" s="70"/>
      <c r="C806" s="70"/>
      <c r="D806" s="70"/>
      <c r="E806" s="8"/>
      <c r="F806" s="70"/>
      <c r="G806" s="70"/>
      <c r="H806" s="70"/>
      <c r="I806" s="8"/>
      <c r="J806" s="70"/>
      <c r="K806" s="70"/>
      <c r="L806" s="70"/>
      <c r="M806" s="8"/>
      <c r="N806" s="70"/>
      <c r="O806" s="70"/>
      <c r="P806" s="70"/>
      <c r="Q806" s="8"/>
      <c r="R806" s="70"/>
      <c r="S806" s="70"/>
      <c r="T806" s="70"/>
      <c r="U806" s="8"/>
      <c r="V806" s="70"/>
      <c r="W806" s="70"/>
      <c r="X806" s="70"/>
      <c r="Y806" s="200"/>
      <c r="Z806" s="195"/>
      <c r="AA806" s="195"/>
      <c r="AB806" s="195"/>
      <c r="AC806" s="8"/>
      <c r="AD806" s="70"/>
      <c r="AE806" s="70"/>
      <c r="AF806" s="70"/>
      <c r="AG806" s="201"/>
      <c r="AH806" s="202"/>
      <c r="AI806" s="201"/>
      <c r="AJ806" s="201"/>
      <c r="AK806" s="70"/>
      <c r="AL806" s="70"/>
      <c r="AM806" s="70"/>
      <c r="AN806" s="70"/>
      <c r="AO806" s="70"/>
      <c r="AP806" s="70"/>
      <c r="AQ806" s="70"/>
      <c r="AR806" s="70"/>
      <c r="AS806" s="70"/>
      <c r="AT806" s="70"/>
      <c r="AU806" s="70"/>
      <c r="AV806" s="70"/>
      <c r="AW806" s="70"/>
      <c r="AX806" s="70"/>
    </row>
    <row r="807">
      <c r="A807" s="8"/>
      <c r="B807" s="70"/>
      <c r="C807" s="70"/>
      <c r="D807" s="70"/>
      <c r="E807" s="8"/>
      <c r="F807" s="70"/>
      <c r="G807" s="70"/>
      <c r="H807" s="70"/>
      <c r="I807" s="8"/>
      <c r="J807" s="70"/>
      <c r="K807" s="70"/>
      <c r="L807" s="70"/>
      <c r="M807" s="8"/>
      <c r="N807" s="70"/>
      <c r="O807" s="70"/>
      <c r="P807" s="70"/>
      <c r="Q807" s="8"/>
      <c r="R807" s="70"/>
      <c r="S807" s="70"/>
      <c r="T807" s="70"/>
      <c r="U807" s="8"/>
      <c r="V807" s="70"/>
      <c r="W807" s="70"/>
      <c r="X807" s="70"/>
      <c r="Y807" s="200"/>
      <c r="Z807" s="195"/>
      <c r="AA807" s="195"/>
      <c r="AB807" s="195"/>
      <c r="AC807" s="8"/>
      <c r="AD807" s="70"/>
      <c r="AE807" s="70"/>
      <c r="AF807" s="70"/>
      <c r="AG807" s="201"/>
      <c r="AH807" s="202"/>
      <c r="AI807" s="201"/>
      <c r="AJ807" s="201"/>
      <c r="AK807" s="70"/>
      <c r="AL807" s="70"/>
      <c r="AM807" s="70"/>
      <c r="AN807" s="70"/>
      <c r="AO807" s="70"/>
      <c r="AP807" s="70"/>
      <c r="AQ807" s="70"/>
      <c r="AR807" s="70"/>
      <c r="AS807" s="70"/>
      <c r="AT807" s="70"/>
      <c r="AU807" s="70"/>
      <c r="AV807" s="70"/>
      <c r="AW807" s="70"/>
      <c r="AX807" s="70"/>
    </row>
    <row r="808">
      <c r="A808" s="8"/>
      <c r="B808" s="70"/>
      <c r="C808" s="70"/>
      <c r="D808" s="70"/>
      <c r="E808" s="8"/>
      <c r="F808" s="70"/>
      <c r="G808" s="70"/>
      <c r="H808" s="70"/>
      <c r="I808" s="8"/>
      <c r="J808" s="70"/>
      <c r="K808" s="70"/>
      <c r="L808" s="70"/>
      <c r="M808" s="8"/>
      <c r="N808" s="70"/>
      <c r="O808" s="70"/>
      <c r="P808" s="70"/>
      <c r="Q808" s="8"/>
      <c r="R808" s="70"/>
      <c r="S808" s="70"/>
      <c r="T808" s="70"/>
      <c r="U808" s="8"/>
      <c r="V808" s="70"/>
      <c r="W808" s="70"/>
      <c r="X808" s="70"/>
      <c r="Y808" s="200"/>
      <c r="Z808" s="195"/>
      <c r="AA808" s="195"/>
      <c r="AB808" s="195"/>
      <c r="AC808" s="8"/>
      <c r="AD808" s="70"/>
      <c r="AE808" s="70"/>
      <c r="AF808" s="70"/>
      <c r="AG808" s="201"/>
      <c r="AH808" s="202"/>
      <c r="AI808" s="201"/>
      <c r="AJ808" s="201"/>
      <c r="AK808" s="70"/>
      <c r="AL808" s="70"/>
      <c r="AM808" s="70"/>
      <c r="AN808" s="70"/>
      <c r="AO808" s="70"/>
      <c r="AP808" s="70"/>
      <c r="AQ808" s="70"/>
      <c r="AR808" s="70"/>
      <c r="AS808" s="70"/>
      <c r="AT808" s="70"/>
      <c r="AU808" s="70"/>
      <c r="AV808" s="70"/>
      <c r="AW808" s="70"/>
      <c r="AX808" s="70"/>
    </row>
    <row r="809">
      <c r="A809" s="8"/>
      <c r="B809" s="70"/>
      <c r="C809" s="70"/>
      <c r="D809" s="70"/>
      <c r="E809" s="8"/>
      <c r="F809" s="70"/>
      <c r="G809" s="70"/>
      <c r="H809" s="70"/>
      <c r="I809" s="8"/>
      <c r="J809" s="70"/>
      <c r="K809" s="70"/>
      <c r="L809" s="70"/>
      <c r="M809" s="8"/>
      <c r="N809" s="70"/>
      <c r="O809" s="70"/>
      <c r="P809" s="70"/>
      <c r="Q809" s="8"/>
      <c r="R809" s="70"/>
      <c r="S809" s="70"/>
      <c r="T809" s="70"/>
      <c r="U809" s="8"/>
      <c r="V809" s="70"/>
      <c r="W809" s="70"/>
      <c r="X809" s="70"/>
      <c r="Y809" s="200"/>
      <c r="Z809" s="195"/>
      <c r="AA809" s="195"/>
      <c r="AB809" s="195"/>
      <c r="AC809" s="8"/>
      <c r="AD809" s="70"/>
      <c r="AE809" s="70"/>
      <c r="AF809" s="70"/>
      <c r="AG809" s="201"/>
      <c r="AH809" s="202"/>
      <c r="AI809" s="201"/>
      <c r="AJ809" s="201"/>
      <c r="AK809" s="70"/>
      <c r="AL809" s="70"/>
      <c r="AM809" s="70"/>
      <c r="AN809" s="70"/>
      <c r="AO809" s="70"/>
      <c r="AP809" s="70"/>
      <c r="AQ809" s="70"/>
      <c r="AR809" s="70"/>
      <c r="AS809" s="70"/>
      <c r="AT809" s="70"/>
      <c r="AU809" s="70"/>
      <c r="AV809" s="70"/>
      <c r="AW809" s="70"/>
      <c r="AX809" s="70"/>
    </row>
    <row r="810">
      <c r="A810" s="8"/>
      <c r="B810" s="70"/>
      <c r="C810" s="70"/>
      <c r="D810" s="70"/>
      <c r="E810" s="8"/>
      <c r="F810" s="70"/>
      <c r="G810" s="70"/>
      <c r="H810" s="70"/>
      <c r="I810" s="8"/>
      <c r="J810" s="70"/>
      <c r="K810" s="70"/>
      <c r="L810" s="70"/>
      <c r="M810" s="8"/>
      <c r="N810" s="70"/>
      <c r="O810" s="70"/>
      <c r="P810" s="70"/>
      <c r="Q810" s="8"/>
      <c r="R810" s="70"/>
      <c r="S810" s="70"/>
      <c r="T810" s="70"/>
      <c r="U810" s="8"/>
      <c r="V810" s="70"/>
      <c r="W810" s="70"/>
      <c r="X810" s="70"/>
      <c r="Y810" s="200"/>
      <c r="Z810" s="195"/>
      <c r="AA810" s="195"/>
      <c r="AB810" s="195"/>
      <c r="AC810" s="8"/>
      <c r="AD810" s="70"/>
      <c r="AE810" s="70"/>
      <c r="AF810" s="70"/>
      <c r="AG810" s="201"/>
      <c r="AH810" s="202"/>
      <c r="AI810" s="201"/>
      <c r="AJ810" s="201"/>
      <c r="AK810" s="70"/>
      <c r="AL810" s="70"/>
      <c r="AM810" s="70"/>
      <c r="AN810" s="70"/>
      <c r="AO810" s="70"/>
      <c r="AP810" s="70"/>
      <c r="AQ810" s="70"/>
      <c r="AR810" s="70"/>
      <c r="AS810" s="70"/>
      <c r="AT810" s="70"/>
      <c r="AU810" s="70"/>
      <c r="AV810" s="70"/>
      <c r="AW810" s="70"/>
      <c r="AX810" s="70"/>
    </row>
    <row r="811">
      <c r="A811" s="8"/>
      <c r="B811" s="70"/>
      <c r="C811" s="70"/>
      <c r="D811" s="70"/>
      <c r="E811" s="8"/>
      <c r="F811" s="70"/>
      <c r="G811" s="70"/>
      <c r="H811" s="70"/>
      <c r="I811" s="8"/>
      <c r="J811" s="70"/>
      <c r="K811" s="70"/>
      <c r="L811" s="70"/>
      <c r="M811" s="8"/>
      <c r="N811" s="70"/>
      <c r="O811" s="70"/>
      <c r="P811" s="70"/>
      <c r="Q811" s="8"/>
      <c r="R811" s="70"/>
      <c r="S811" s="70"/>
      <c r="T811" s="70"/>
      <c r="U811" s="8"/>
      <c r="V811" s="70"/>
      <c r="W811" s="70"/>
      <c r="X811" s="70"/>
      <c r="Y811" s="200"/>
      <c r="Z811" s="195"/>
      <c r="AA811" s="195"/>
      <c r="AB811" s="195"/>
      <c r="AC811" s="8"/>
      <c r="AD811" s="70"/>
      <c r="AE811" s="70"/>
      <c r="AF811" s="70"/>
      <c r="AG811" s="201"/>
      <c r="AH811" s="202"/>
      <c r="AI811" s="201"/>
      <c r="AJ811" s="201"/>
      <c r="AK811" s="70"/>
      <c r="AL811" s="70"/>
      <c r="AM811" s="70"/>
      <c r="AN811" s="70"/>
      <c r="AO811" s="70"/>
      <c r="AP811" s="70"/>
      <c r="AQ811" s="70"/>
      <c r="AR811" s="70"/>
      <c r="AS811" s="70"/>
      <c r="AT811" s="70"/>
      <c r="AU811" s="70"/>
      <c r="AV811" s="70"/>
      <c r="AW811" s="70"/>
      <c r="AX811" s="70"/>
    </row>
    <row r="812">
      <c r="A812" s="8"/>
      <c r="B812" s="70"/>
      <c r="C812" s="70"/>
      <c r="D812" s="70"/>
      <c r="E812" s="8"/>
      <c r="F812" s="70"/>
      <c r="G812" s="70"/>
      <c r="H812" s="70"/>
      <c r="I812" s="8"/>
      <c r="J812" s="70"/>
      <c r="K812" s="70"/>
      <c r="L812" s="70"/>
      <c r="M812" s="8"/>
      <c r="N812" s="70"/>
      <c r="O812" s="70"/>
      <c r="P812" s="70"/>
      <c r="Q812" s="8"/>
      <c r="R812" s="70"/>
      <c r="S812" s="70"/>
      <c r="T812" s="70"/>
      <c r="U812" s="8"/>
      <c r="V812" s="70"/>
      <c r="W812" s="70"/>
      <c r="X812" s="70"/>
      <c r="Y812" s="200"/>
      <c r="Z812" s="195"/>
      <c r="AA812" s="195"/>
      <c r="AB812" s="195"/>
      <c r="AC812" s="8"/>
      <c r="AD812" s="70"/>
      <c r="AE812" s="70"/>
      <c r="AF812" s="70"/>
      <c r="AG812" s="201"/>
      <c r="AH812" s="202"/>
      <c r="AI812" s="201"/>
      <c r="AJ812" s="201"/>
      <c r="AK812" s="70"/>
      <c r="AL812" s="70"/>
      <c r="AM812" s="70"/>
      <c r="AN812" s="70"/>
      <c r="AO812" s="70"/>
      <c r="AP812" s="70"/>
      <c r="AQ812" s="70"/>
      <c r="AR812" s="70"/>
      <c r="AS812" s="70"/>
      <c r="AT812" s="70"/>
      <c r="AU812" s="70"/>
      <c r="AV812" s="70"/>
      <c r="AW812" s="70"/>
      <c r="AX812" s="70"/>
    </row>
    <row r="813">
      <c r="A813" s="8"/>
      <c r="B813" s="70"/>
      <c r="C813" s="70"/>
      <c r="D813" s="70"/>
      <c r="E813" s="8"/>
      <c r="F813" s="70"/>
      <c r="G813" s="70"/>
      <c r="H813" s="70"/>
      <c r="I813" s="8"/>
      <c r="J813" s="70"/>
      <c r="K813" s="70"/>
      <c r="L813" s="70"/>
      <c r="M813" s="8"/>
      <c r="N813" s="70"/>
      <c r="O813" s="70"/>
      <c r="P813" s="70"/>
      <c r="Q813" s="8"/>
      <c r="R813" s="70"/>
      <c r="S813" s="70"/>
      <c r="T813" s="70"/>
      <c r="U813" s="8"/>
      <c r="V813" s="70"/>
      <c r="W813" s="70"/>
      <c r="X813" s="70"/>
      <c r="Y813" s="200"/>
      <c r="Z813" s="195"/>
      <c r="AA813" s="195"/>
      <c r="AB813" s="195"/>
      <c r="AC813" s="8"/>
      <c r="AD813" s="70"/>
      <c r="AE813" s="70"/>
      <c r="AF813" s="70"/>
      <c r="AG813" s="201"/>
      <c r="AH813" s="202"/>
      <c r="AI813" s="201"/>
      <c r="AJ813" s="201"/>
      <c r="AK813" s="70"/>
      <c r="AL813" s="70"/>
      <c r="AM813" s="70"/>
      <c r="AN813" s="70"/>
      <c r="AO813" s="70"/>
      <c r="AP813" s="70"/>
      <c r="AQ813" s="70"/>
      <c r="AR813" s="70"/>
      <c r="AS813" s="70"/>
      <c r="AT813" s="70"/>
      <c r="AU813" s="70"/>
      <c r="AV813" s="70"/>
      <c r="AW813" s="70"/>
      <c r="AX813" s="70"/>
    </row>
    <row r="814">
      <c r="A814" s="8"/>
      <c r="B814" s="70"/>
      <c r="C814" s="70"/>
      <c r="D814" s="70"/>
      <c r="E814" s="8"/>
      <c r="F814" s="70"/>
      <c r="G814" s="70"/>
      <c r="H814" s="70"/>
      <c r="I814" s="8"/>
      <c r="J814" s="70"/>
      <c r="K814" s="70"/>
      <c r="L814" s="70"/>
      <c r="M814" s="8"/>
      <c r="N814" s="70"/>
      <c r="O814" s="70"/>
      <c r="P814" s="70"/>
      <c r="Q814" s="8"/>
      <c r="R814" s="70"/>
      <c r="S814" s="70"/>
      <c r="T814" s="70"/>
      <c r="U814" s="8"/>
      <c r="V814" s="70"/>
      <c r="W814" s="70"/>
      <c r="X814" s="70"/>
      <c r="Y814" s="200"/>
      <c r="Z814" s="195"/>
      <c r="AA814" s="195"/>
      <c r="AB814" s="195"/>
      <c r="AC814" s="8"/>
      <c r="AD814" s="70"/>
      <c r="AE814" s="70"/>
      <c r="AF814" s="70"/>
      <c r="AG814" s="201"/>
      <c r="AH814" s="202"/>
      <c r="AI814" s="201"/>
      <c r="AJ814" s="201"/>
      <c r="AK814" s="70"/>
      <c r="AL814" s="70"/>
      <c r="AM814" s="70"/>
      <c r="AN814" s="70"/>
      <c r="AO814" s="70"/>
      <c r="AP814" s="70"/>
      <c r="AQ814" s="70"/>
      <c r="AR814" s="70"/>
      <c r="AS814" s="70"/>
      <c r="AT814" s="70"/>
      <c r="AU814" s="70"/>
      <c r="AV814" s="70"/>
      <c r="AW814" s="70"/>
      <c r="AX814" s="70"/>
    </row>
    <row r="815">
      <c r="A815" s="8"/>
      <c r="B815" s="70"/>
      <c r="C815" s="70"/>
      <c r="D815" s="70"/>
      <c r="E815" s="8"/>
      <c r="F815" s="70"/>
      <c r="G815" s="70"/>
      <c r="H815" s="70"/>
      <c r="I815" s="8"/>
      <c r="J815" s="70"/>
      <c r="K815" s="70"/>
      <c r="L815" s="70"/>
      <c r="M815" s="8"/>
      <c r="N815" s="70"/>
      <c r="O815" s="70"/>
      <c r="P815" s="70"/>
      <c r="Q815" s="8"/>
      <c r="R815" s="70"/>
      <c r="S815" s="70"/>
      <c r="T815" s="70"/>
      <c r="U815" s="8"/>
      <c r="V815" s="70"/>
      <c r="W815" s="70"/>
      <c r="X815" s="70"/>
      <c r="Y815" s="200"/>
      <c r="Z815" s="195"/>
      <c r="AA815" s="195"/>
      <c r="AB815" s="195"/>
      <c r="AC815" s="8"/>
      <c r="AD815" s="70"/>
      <c r="AE815" s="70"/>
      <c r="AF815" s="70"/>
      <c r="AG815" s="201"/>
      <c r="AH815" s="202"/>
      <c r="AI815" s="201"/>
      <c r="AJ815" s="201"/>
      <c r="AK815" s="70"/>
      <c r="AL815" s="70"/>
      <c r="AM815" s="70"/>
      <c r="AN815" s="70"/>
      <c r="AO815" s="70"/>
      <c r="AP815" s="70"/>
      <c r="AQ815" s="70"/>
      <c r="AR815" s="70"/>
      <c r="AS815" s="70"/>
      <c r="AT815" s="70"/>
      <c r="AU815" s="70"/>
      <c r="AV815" s="70"/>
      <c r="AW815" s="70"/>
      <c r="AX815" s="70"/>
    </row>
    <row r="816">
      <c r="A816" s="8"/>
      <c r="B816" s="70"/>
      <c r="C816" s="70"/>
      <c r="D816" s="70"/>
      <c r="E816" s="8"/>
      <c r="F816" s="70"/>
      <c r="G816" s="70"/>
      <c r="H816" s="70"/>
      <c r="I816" s="8"/>
      <c r="J816" s="70"/>
      <c r="K816" s="70"/>
      <c r="L816" s="70"/>
      <c r="M816" s="8"/>
      <c r="N816" s="70"/>
      <c r="O816" s="70"/>
      <c r="P816" s="70"/>
      <c r="Q816" s="8"/>
      <c r="R816" s="70"/>
      <c r="S816" s="70"/>
      <c r="T816" s="70"/>
      <c r="U816" s="8"/>
      <c r="V816" s="70"/>
      <c r="W816" s="70"/>
      <c r="X816" s="70"/>
      <c r="Y816" s="200"/>
      <c r="Z816" s="195"/>
      <c r="AA816" s="195"/>
      <c r="AB816" s="195"/>
      <c r="AC816" s="8"/>
      <c r="AD816" s="70"/>
      <c r="AE816" s="70"/>
      <c r="AF816" s="70"/>
      <c r="AG816" s="201"/>
      <c r="AH816" s="202"/>
      <c r="AI816" s="201"/>
      <c r="AJ816" s="201"/>
      <c r="AK816" s="70"/>
      <c r="AL816" s="70"/>
      <c r="AM816" s="70"/>
      <c r="AN816" s="70"/>
      <c r="AO816" s="70"/>
      <c r="AP816" s="70"/>
      <c r="AQ816" s="70"/>
      <c r="AR816" s="70"/>
      <c r="AS816" s="70"/>
      <c r="AT816" s="70"/>
      <c r="AU816" s="70"/>
      <c r="AV816" s="70"/>
      <c r="AW816" s="70"/>
      <c r="AX816" s="70"/>
    </row>
    <row r="817">
      <c r="A817" s="8"/>
      <c r="B817" s="70"/>
      <c r="C817" s="70"/>
      <c r="D817" s="70"/>
      <c r="E817" s="8"/>
      <c r="F817" s="70"/>
      <c r="G817" s="70"/>
      <c r="H817" s="70"/>
      <c r="I817" s="8"/>
      <c r="J817" s="70"/>
      <c r="K817" s="70"/>
      <c r="L817" s="70"/>
      <c r="M817" s="8"/>
      <c r="N817" s="70"/>
      <c r="O817" s="70"/>
      <c r="P817" s="70"/>
      <c r="Q817" s="8"/>
      <c r="R817" s="70"/>
      <c r="S817" s="70"/>
      <c r="T817" s="70"/>
      <c r="U817" s="8"/>
      <c r="V817" s="70"/>
      <c r="W817" s="70"/>
      <c r="X817" s="70"/>
      <c r="Y817" s="200"/>
      <c r="Z817" s="195"/>
      <c r="AA817" s="195"/>
      <c r="AB817" s="195"/>
      <c r="AC817" s="8"/>
      <c r="AD817" s="70"/>
      <c r="AE817" s="70"/>
      <c r="AF817" s="70"/>
      <c r="AG817" s="201"/>
      <c r="AH817" s="202"/>
      <c r="AI817" s="201"/>
      <c r="AJ817" s="201"/>
      <c r="AK817" s="70"/>
      <c r="AL817" s="70"/>
      <c r="AM817" s="70"/>
      <c r="AN817" s="70"/>
      <c r="AO817" s="70"/>
      <c r="AP817" s="70"/>
      <c r="AQ817" s="70"/>
      <c r="AR817" s="70"/>
      <c r="AS817" s="70"/>
      <c r="AT817" s="70"/>
      <c r="AU817" s="70"/>
      <c r="AV817" s="70"/>
      <c r="AW817" s="70"/>
      <c r="AX817" s="70"/>
    </row>
    <row r="818">
      <c r="A818" s="8"/>
      <c r="B818" s="70"/>
      <c r="C818" s="70"/>
      <c r="D818" s="70"/>
      <c r="E818" s="8"/>
      <c r="F818" s="70"/>
      <c r="G818" s="70"/>
      <c r="H818" s="70"/>
      <c r="I818" s="8"/>
      <c r="J818" s="70"/>
      <c r="K818" s="70"/>
      <c r="L818" s="70"/>
      <c r="M818" s="8"/>
      <c r="N818" s="70"/>
      <c r="O818" s="70"/>
      <c r="P818" s="70"/>
      <c r="Q818" s="8"/>
      <c r="R818" s="70"/>
      <c r="S818" s="70"/>
      <c r="T818" s="70"/>
      <c r="U818" s="8"/>
      <c r="V818" s="70"/>
      <c r="W818" s="70"/>
      <c r="X818" s="70"/>
      <c r="Y818" s="200"/>
      <c r="Z818" s="195"/>
      <c r="AA818" s="195"/>
      <c r="AB818" s="195"/>
      <c r="AC818" s="8"/>
      <c r="AD818" s="70"/>
      <c r="AE818" s="70"/>
      <c r="AF818" s="70"/>
      <c r="AG818" s="201"/>
      <c r="AH818" s="202"/>
      <c r="AI818" s="201"/>
      <c r="AJ818" s="201"/>
      <c r="AK818" s="70"/>
      <c r="AL818" s="70"/>
      <c r="AM818" s="70"/>
      <c r="AN818" s="70"/>
      <c r="AO818" s="70"/>
      <c r="AP818" s="70"/>
      <c r="AQ818" s="70"/>
      <c r="AR818" s="70"/>
      <c r="AS818" s="70"/>
      <c r="AT818" s="70"/>
      <c r="AU818" s="70"/>
      <c r="AV818" s="70"/>
      <c r="AW818" s="70"/>
      <c r="AX818" s="70"/>
    </row>
    <row r="819">
      <c r="A819" s="8"/>
      <c r="B819" s="70"/>
      <c r="C819" s="70"/>
      <c r="D819" s="70"/>
      <c r="E819" s="8"/>
      <c r="F819" s="70"/>
      <c r="G819" s="70"/>
      <c r="H819" s="70"/>
      <c r="I819" s="8"/>
      <c r="J819" s="70"/>
      <c r="K819" s="70"/>
      <c r="L819" s="70"/>
      <c r="M819" s="8"/>
      <c r="N819" s="70"/>
      <c r="O819" s="70"/>
      <c r="P819" s="70"/>
      <c r="Q819" s="8"/>
      <c r="R819" s="70"/>
      <c r="S819" s="70"/>
      <c r="T819" s="70"/>
      <c r="U819" s="8"/>
      <c r="V819" s="70"/>
      <c r="W819" s="70"/>
      <c r="X819" s="70"/>
      <c r="Y819" s="200"/>
      <c r="Z819" s="195"/>
      <c r="AA819" s="195"/>
      <c r="AB819" s="195"/>
      <c r="AC819" s="8"/>
      <c r="AD819" s="70"/>
      <c r="AE819" s="70"/>
      <c r="AF819" s="70"/>
      <c r="AG819" s="201"/>
      <c r="AH819" s="202"/>
      <c r="AI819" s="201"/>
      <c r="AJ819" s="201"/>
      <c r="AK819" s="70"/>
      <c r="AL819" s="70"/>
      <c r="AM819" s="70"/>
      <c r="AN819" s="70"/>
      <c r="AO819" s="70"/>
      <c r="AP819" s="70"/>
      <c r="AQ819" s="70"/>
      <c r="AR819" s="70"/>
      <c r="AS819" s="70"/>
      <c r="AT819" s="70"/>
      <c r="AU819" s="70"/>
      <c r="AV819" s="70"/>
      <c r="AW819" s="70"/>
      <c r="AX819" s="70"/>
    </row>
    <row r="820">
      <c r="A820" s="8"/>
      <c r="B820" s="70"/>
      <c r="C820" s="70"/>
      <c r="D820" s="70"/>
      <c r="E820" s="8"/>
      <c r="F820" s="70"/>
      <c r="G820" s="70"/>
      <c r="H820" s="70"/>
      <c r="I820" s="8"/>
      <c r="J820" s="70"/>
      <c r="K820" s="70"/>
      <c r="L820" s="70"/>
      <c r="M820" s="8"/>
      <c r="N820" s="70"/>
      <c r="O820" s="70"/>
      <c r="P820" s="70"/>
      <c r="Q820" s="8"/>
      <c r="R820" s="70"/>
      <c r="S820" s="70"/>
      <c r="T820" s="70"/>
      <c r="U820" s="8"/>
      <c r="V820" s="70"/>
      <c r="W820" s="70"/>
      <c r="X820" s="70"/>
      <c r="Y820" s="200"/>
      <c r="Z820" s="195"/>
      <c r="AA820" s="195"/>
      <c r="AB820" s="195"/>
      <c r="AC820" s="8"/>
      <c r="AD820" s="70"/>
      <c r="AE820" s="70"/>
      <c r="AF820" s="70"/>
      <c r="AG820" s="201"/>
      <c r="AH820" s="202"/>
      <c r="AI820" s="201"/>
      <c r="AJ820" s="201"/>
      <c r="AK820" s="70"/>
      <c r="AL820" s="70"/>
      <c r="AM820" s="70"/>
      <c r="AN820" s="70"/>
      <c r="AO820" s="70"/>
      <c r="AP820" s="70"/>
      <c r="AQ820" s="70"/>
      <c r="AR820" s="70"/>
      <c r="AS820" s="70"/>
      <c r="AT820" s="70"/>
      <c r="AU820" s="70"/>
      <c r="AV820" s="70"/>
      <c r="AW820" s="70"/>
      <c r="AX820" s="70"/>
    </row>
    <row r="821">
      <c r="A821" s="8"/>
      <c r="B821" s="70"/>
      <c r="C821" s="70"/>
      <c r="D821" s="70"/>
      <c r="E821" s="8"/>
      <c r="F821" s="70"/>
      <c r="G821" s="70"/>
      <c r="H821" s="70"/>
      <c r="I821" s="8"/>
      <c r="J821" s="70"/>
      <c r="K821" s="70"/>
      <c r="L821" s="70"/>
      <c r="M821" s="8"/>
      <c r="N821" s="70"/>
      <c r="O821" s="70"/>
      <c r="P821" s="70"/>
      <c r="Q821" s="8"/>
      <c r="R821" s="70"/>
      <c r="S821" s="70"/>
      <c r="T821" s="70"/>
      <c r="U821" s="8"/>
      <c r="V821" s="70"/>
      <c r="W821" s="70"/>
      <c r="X821" s="70"/>
      <c r="Y821" s="200"/>
      <c r="Z821" s="195"/>
      <c r="AA821" s="195"/>
      <c r="AB821" s="195"/>
      <c r="AC821" s="8"/>
      <c r="AD821" s="70"/>
      <c r="AE821" s="70"/>
      <c r="AF821" s="70"/>
      <c r="AG821" s="201"/>
      <c r="AH821" s="202"/>
      <c r="AI821" s="201"/>
      <c r="AJ821" s="201"/>
      <c r="AK821" s="70"/>
      <c r="AL821" s="70"/>
      <c r="AM821" s="70"/>
      <c r="AN821" s="70"/>
      <c r="AO821" s="70"/>
      <c r="AP821" s="70"/>
      <c r="AQ821" s="70"/>
      <c r="AR821" s="70"/>
      <c r="AS821" s="70"/>
      <c r="AT821" s="70"/>
      <c r="AU821" s="70"/>
      <c r="AV821" s="70"/>
      <c r="AW821" s="70"/>
      <c r="AX821" s="70"/>
    </row>
    <row r="822">
      <c r="A822" s="8"/>
      <c r="B822" s="70"/>
      <c r="C822" s="70"/>
      <c r="D822" s="70"/>
      <c r="E822" s="8"/>
      <c r="F822" s="70"/>
      <c r="G822" s="70"/>
      <c r="H822" s="70"/>
      <c r="I822" s="8"/>
      <c r="J822" s="70"/>
      <c r="K822" s="70"/>
      <c r="L822" s="70"/>
      <c r="M822" s="8"/>
      <c r="N822" s="70"/>
      <c r="O822" s="70"/>
      <c r="P822" s="70"/>
      <c r="Q822" s="8"/>
      <c r="R822" s="70"/>
      <c r="S822" s="70"/>
      <c r="T822" s="70"/>
      <c r="U822" s="8"/>
      <c r="V822" s="70"/>
      <c r="W822" s="70"/>
      <c r="X822" s="70"/>
      <c r="Y822" s="200"/>
      <c r="Z822" s="195"/>
      <c r="AA822" s="195"/>
      <c r="AB822" s="195"/>
      <c r="AC822" s="8"/>
      <c r="AD822" s="70"/>
      <c r="AE822" s="70"/>
      <c r="AF822" s="70"/>
      <c r="AG822" s="201"/>
      <c r="AH822" s="202"/>
      <c r="AI822" s="201"/>
      <c r="AJ822" s="201"/>
      <c r="AK822" s="70"/>
      <c r="AL822" s="70"/>
      <c r="AM822" s="70"/>
      <c r="AN822" s="70"/>
      <c r="AO822" s="70"/>
      <c r="AP822" s="70"/>
      <c r="AQ822" s="70"/>
      <c r="AR822" s="70"/>
      <c r="AS822" s="70"/>
      <c r="AT822" s="70"/>
      <c r="AU822" s="70"/>
      <c r="AV822" s="70"/>
      <c r="AW822" s="70"/>
      <c r="AX822" s="70"/>
    </row>
    <row r="823">
      <c r="A823" s="8"/>
      <c r="B823" s="70"/>
      <c r="C823" s="70"/>
      <c r="D823" s="70"/>
      <c r="E823" s="8"/>
      <c r="F823" s="70"/>
      <c r="G823" s="70"/>
      <c r="H823" s="70"/>
      <c r="I823" s="8"/>
      <c r="J823" s="70"/>
      <c r="K823" s="70"/>
      <c r="L823" s="70"/>
      <c r="M823" s="8"/>
      <c r="N823" s="70"/>
      <c r="O823" s="70"/>
      <c r="P823" s="70"/>
      <c r="Q823" s="8"/>
      <c r="R823" s="70"/>
      <c r="S823" s="70"/>
      <c r="T823" s="70"/>
      <c r="U823" s="8"/>
      <c r="V823" s="70"/>
      <c r="W823" s="70"/>
      <c r="X823" s="70"/>
      <c r="Y823" s="200"/>
      <c r="Z823" s="195"/>
      <c r="AA823" s="195"/>
      <c r="AB823" s="195"/>
      <c r="AC823" s="8"/>
      <c r="AD823" s="70"/>
      <c r="AE823" s="70"/>
      <c r="AF823" s="70"/>
      <c r="AG823" s="201"/>
      <c r="AH823" s="202"/>
      <c r="AI823" s="201"/>
      <c r="AJ823" s="201"/>
      <c r="AK823" s="70"/>
      <c r="AL823" s="70"/>
      <c r="AM823" s="70"/>
      <c r="AN823" s="70"/>
      <c r="AO823" s="70"/>
      <c r="AP823" s="70"/>
      <c r="AQ823" s="70"/>
      <c r="AR823" s="70"/>
      <c r="AS823" s="70"/>
      <c r="AT823" s="70"/>
      <c r="AU823" s="70"/>
      <c r="AV823" s="70"/>
      <c r="AW823" s="70"/>
      <c r="AX823" s="70"/>
    </row>
    <row r="824">
      <c r="A824" s="8"/>
      <c r="B824" s="70"/>
      <c r="C824" s="70"/>
      <c r="D824" s="70"/>
      <c r="E824" s="8"/>
      <c r="F824" s="70"/>
      <c r="G824" s="70"/>
      <c r="H824" s="70"/>
      <c r="I824" s="8"/>
      <c r="J824" s="70"/>
      <c r="K824" s="70"/>
      <c r="L824" s="70"/>
      <c r="M824" s="8"/>
      <c r="N824" s="70"/>
      <c r="O824" s="70"/>
      <c r="P824" s="70"/>
      <c r="Q824" s="8"/>
      <c r="R824" s="70"/>
      <c r="S824" s="70"/>
      <c r="T824" s="70"/>
      <c r="U824" s="8"/>
      <c r="V824" s="70"/>
      <c r="W824" s="70"/>
      <c r="X824" s="70"/>
      <c r="Y824" s="200"/>
      <c r="Z824" s="195"/>
      <c r="AA824" s="195"/>
      <c r="AB824" s="195"/>
      <c r="AC824" s="8"/>
      <c r="AD824" s="70"/>
      <c r="AE824" s="70"/>
      <c r="AF824" s="70"/>
      <c r="AG824" s="201"/>
      <c r="AH824" s="202"/>
      <c r="AI824" s="201"/>
      <c r="AJ824" s="201"/>
      <c r="AK824" s="70"/>
      <c r="AL824" s="70"/>
      <c r="AM824" s="70"/>
      <c r="AN824" s="70"/>
      <c r="AO824" s="70"/>
      <c r="AP824" s="70"/>
      <c r="AQ824" s="70"/>
      <c r="AR824" s="70"/>
      <c r="AS824" s="70"/>
      <c r="AT824" s="70"/>
      <c r="AU824" s="70"/>
      <c r="AV824" s="70"/>
      <c r="AW824" s="70"/>
      <c r="AX824" s="70"/>
    </row>
    <row r="825">
      <c r="A825" s="8"/>
      <c r="B825" s="70"/>
      <c r="C825" s="70"/>
      <c r="D825" s="70"/>
      <c r="E825" s="8"/>
      <c r="F825" s="70"/>
      <c r="G825" s="70"/>
      <c r="H825" s="70"/>
      <c r="I825" s="8"/>
      <c r="J825" s="70"/>
      <c r="K825" s="70"/>
      <c r="L825" s="70"/>
      <c r="M825" s="8"/>
      <c r="N825" s="70"/>
      <c r="O825" s="70"/>
      <c r="P825" s="70"/>
      <c r="Q825" s="8"/>
      <c r="R825" s="70"/>
      <c r="S825" s="70"/>
      <c r="T825" s="70"/>
      <c r="U825" s="8"/>
      <c r="V825" s="70"/>
      <c r="W825" s="70"/>
      <c r="X825" s="70"/>
      <c r="Y825" s="200"/>
      <c r="Z825" s="195"/>
      <c r="AA825" s="195"/>
      <c r="AB825" s="195"/>
      <c r="AC825" s="8"/>
      <c r="AD825" s="70"/>
      <c r="AE825" s="70"/>
      <c r="AF825" s="70"/>
      <c r="AG825" s="201"/>
      <c r="AH825" s="202"/>
      <c r="AI825" s="201"/>
      <c r="AJ825" s="201"/>
      <c r="AK825" s="70"/>
      <c r="AL825" s="70"/>
      <c r="AM825" s="70"/>
      <c r="AN825" s="70"/>
      <c r="AO825" s="70"/>
      <c r="AP825" s="70"/>
      <c r="AQ825" s="70"/>
      <c r="AR825" s="70"/>
      <c r="AS825" s="70"/>
      <c r="AT825" s="70"/>
      <c r="AU825" s="70"/>
      <c r="AV825" s="70"/>
      <c r="AW825" s="70"/>
      <c r="AX825" s="70"/>
    </row>
    <row r="826">
      <c r="A826" s="8"/>
      <c r="B826" s="70"/>
      <c r="C826" s="70"/>
      <c r="D826" s="70"/>
      <c r="E826" s="8"/>
      <c r="F826" s="70"/>
      <c r="G826" s="70"/>
      <c r="H826" s="70"/>
      <c r="I826" s="8"/>
      <c r="J826" s="70"/>
      <c r="K826" s="70"/>
      <c r="L826" s="70"/>
      <c r="M826" s="8"/>
      <c r="N826" s="70"/>
      <c r="O826" s="70"/>
      <c r="P826" s="70"/>
      <c r="Q826" s="8"/>
      <c r="R826" s="70"/>
      <c r="S826" s="70"/>
      <c r="T826" s="70"/>
      <c r="U826" s="8"/>
      <c r="V826" s="70"/>
      <c r="W826" s="70"/>
      <c r="X826" s="70"/>
      <c r="Y826" s="200"/>
      <c r="Z826" s="195"/>
      <c r="AA826" s="195"/>
      <c r="AB826" s="195"/>
      <c r="AC826" s="8"/>
      <c r="AD826" s="70"/>
      <c r="AE826" s="70"/>
      <c r="AF826" s="70"/>
      <c r="AG826" s="201"/>
      <c r="AH826" s="202"/>
      <c r="AI826" s="201"/>
      <c r="AJ826" s="201"/>
      <c r="AK826" s="70"/>
      <c r="AL826" s="70"/>
      <c r="AM826" s="70"/>
      <c r="AN826" s="70"/>
      <c r="AO826" s="70"/>
      <c r="AP826" s="70"/>
      <c r="AQ826" s="70"/>
      <c r="AR826" s="70"/>
      <c r="AS826" s="70"/>
      <c r="AT826" s="70"/>
      <c r="AU826" s="70"/>
      <c r="AV826" s="70"/>
      <c r="AW826" s="70"/>
      <c r="AX826" s="70"/>
    </row>
    <row r="827">
      <c r="A827" s="8"/>
      <c r="B827" s="70"/>
      <c r="C827" s="70"/>
      <c r="D827" s="70"/>
      <c r="E827" s="8"/>
      <c r="F827" s="70"/>
      <c r="G827" s="70"/>
      <c r="H827" s="70"/>
      <c r="I827" s="8"/>
      <c r="J827" s="70"/>
      <c r="K827" s="70"/>
      <c r="L827" s="70"/>
      <c r="M827" s="8"/>
      <c r="N827" s="70"/>
      <c r="O827" s="70"/>
      <c r="P827" s="70"/>
      <c r="Q827" s="8"/>
      <c r="R827" s="70"/>
      <c r="S827" s="70"/>
      <c r="T827" s="70"/>
      <c r="U827" s="8"/>
      <c r="V827" s="70"/>
      <c r="W827" s="70"/>
      <c r="X827" s="70"/>
      <c r="Y827" s="200"/>
      <c r="Z827" s="195"/>
      <c r="AA827" s="195"/>
      <c r="AB827" s="195"/>
      <c r="AC827" s="8"/>
      <c r="AD827" s="70"/>
      <c r="AE827" s="70"/>
      <c r="AF827" s="70"/>
      <c r="AG827" s="201"/>
      <c r="AH827" s="202"/>
      <c r="AI827" s="201"/>
      <c r="AJ827" s="201"/>
      <c r="AK827" s="70"/>
      <c r="AL827" s="70"/>
      <c r="AM827" s="70"/>
      <c r="AN827" s="70"/>
      <c r="AO827" s="70"/>
      <c r="AP827" s="70"/>
      <c r="AQ827" s="70"/>
      <c r="AR827" s="70"/>
      <c r="AS827" s="70"/>
      <c r="AT827" s="70"/>
      <c r="AU827" s="70"/>
      <c r="AV827" s="70"/>
      <c r="AW827" s="70"/>
      <c r="AX827" s="70"/>
    </row>
    <row r="828">
      <c r="A828" s="8"/>
      <c r="B828" s="70"/>
      <c r="C828" s="70"/>
      <c r="D828" s="70"/>
      <c r="E828" s="8"/>
      <c r="F828" s="70"/>
      <c r="G828" s="70"/>
      <c r="H828" s="70"/>
      <c r="I828" s="8"/>
      <c r="J828" s="70"/>
      <c r="K828" s="70"/>
      <c r="L828" s="70"/>
      <c r="M828" s="8"/>
      <c r="N828" s="70"/>
      <c r="O828" s="70"/>
      <c r="P828" s="70"/>
      <c r="Q828" s="8"/>
      <c r="R828" s="70"/>
      <c r="S828" s="70"/>
      <c r="T828" s="70"/>
      <c r="U828" s="8"/>
      <c r="V828" s="70"/>
      <c r="W828" s="70"/>
      <c r="X828" s="70"/>
      <c r="Y828" s="200"/>
      <c r="Z828" s="195"/>
      <c r="AA828" s="195"/>
      <c r="AB828" s="195"/>
      <c r="AC828" s="8"/>
      <c r="AD828" s="70"/>
      <c r="AE828" s="70"/>
      <c r="AF828" s="70"/>
      <c r="AG828" s="201"/>
      <c r="AH828" s="202"/>
      <c r="AI828" s="201"/>
      <c r="AJ828" s="201"/>
      <c r="AK828" s="70"/>
      <c r="AL828" s="70"/>
      <c r="AM828" s="70"/>
      <c r="AN828" s="70"/>
      <c r="AO828" s="70"/>
      <c r="AP828" s="70"/>
      <c r="AQ828" s="70"/>
      <c r="AR828" s="70"/>
      <c r="AS828" s="70"/>
      <c r="AT828" s="70"/>
      <c r="AU828" s="70"/>
      <c r="AV828" s="70"/>
      <c r="AW828" s="70"/>
      <c r="AX828" s="70"/>
    </row>
    <row r="829">
      <c r="A829" s="8"/>
      <c r="B829" s="70"/>
      <c r="C829" s="70"/>
      <c r="D829" s="70"/>
      <c r="E829" s="8"/>
      <c r="F829" s="70"/>
      <c r="G829" s="70"/>
      <c r="H829" s="70"/>
      <c r="I829" s="8"/>
      <c r="J829" s="70"/>
      <c r="K829" s="70"/>
      <c r="L829" s="70"/>
      <c r="M829" s="8"/>
      <c r="N829" s="70"/>
      <c r="O829" s="70"/>
      <c r="P829" s="70"/>
      <c r="Q829" s="8"/>
      <c r="R829" s="70"/>
      <c r="S829" s="70"/>
      <c r="T829" s="70"/>
      <c r="U829" s="8"/>
      <c r="V829" s="70"/>
      <c r="W829" s="70"/>
      <c r="X829" s="70"/>
      <c r="Y829" s="200"/>
      <c r="Z829" s="195"/>
      <c r="AA829" s="195"/>
      <c r="AB829" s="195"/>
      <c r="AC829" s="8"/>
      <c r="AD829" s="70"/>
      <c r="AE829" s="70"/>
      <c r="AF829" s="70"/>
      <c r="AG829" s="201"/>
      <c r="AH829" s="202"/>
      <c r="AI829" s="201"/>
      <c r="AJ829" s="201"/>
      <c r="AK829" s="70"/>
      <c r="AL829" s="70"/>
      <c r="AM829" s="70"/>
      <c r="AN829" s="70"/>
      <c r="AO829" s="70"/>
      <c r="AP829" s="70"/>
      <c r="AQ829" s="70"/>
      <c r="AR829" s="70"/>
      <c r="AS829" s="70"/>
      <c r="AT829" s="70"/>
      <c r="AU829" s="70"/>
      <c r="AV829" s="70"/>
      <c r="AW829" s="70"/>
      <c r="AX829" s="70"/>
    </row>
    <row r="830">
      <c r="A830" s="8"/>
      <c r="B830" s="70"/>
      <c r="C830" s="70"/>
      <c r="D830" s="70"/>
      <c r="E830" s="8"/>
      <c r="F830" s="70"/>
      <c r="G830" s="70"/>
      <c r="H830" s="70"/>
      <c r="I830" s="8"/>
      <c r="J830" s="70"/>
      <c r="K830" s="70"/>
      <c r="L830" s="70"/>
      <c r="M830" s="8"/>
      <c r="N830" s="70"/>
      <c r="O830" s="70"/>
      <c r="P830" s="70"/>
      <c r="Q830" s="8"/>
      <c r="R830" s="70"/>
      <c r="S830" s="70"/>
      <c r="T830" s="70"/>
      <c r="U830" s="8"/>
      <c r="V830" s="70"/>
      <c r="W830" s="70"/>
      <c r="X830" s="70"/>
      <c r="Y830" s="200"/>
      <c r="Z830" s="195"/>
      <c r="AA830" s="195"/>
      <c r="AB830" s="195"/>
      <c r="AC830" s="8"/>
      <c r="AD830" s="70"/>
      <c r="AE830" s="70"/>
      <c r="AF830" s="70"/>
      <c r="AG830" s="201"/>
      <c r="AH830" s="202"/>
      <c r="AI830" s="201"/>
      <c r="AJ830" s="201"/>
      <c r="AK830" s="70"/>
      <c r="AL830" s="70"/>
      <c r="AM830" s="70"/>
      <c r="AN830" s="70"/>
      <c r="AO830" s="70"/>
      <c r="AP830" s="70"/>
      <c r="AQ830" s="70"/>
      <c r="AR830" s="70"/>
      <c r="AS830" s="70"/>
      <c r="AT830" s="70"/>
      <c r="AU830" s="70"/>
      <c r="AV830" s="70"/>
      <c r="AW830" s="70"/>
      <c r="AX830" s="70"/>
    </row>
    <row r="831">
      <c r="A831" s="8"/>
      <c r="B831" s="70"/>
      <c r="C831" s="70"/>
      <c r="D831" s="70"/>
      <c r="E831" s="8"/>
      <c r="F831" s="70"/>
      <c r="G831" s="70"/>
      <c r="H831" s="70"/>
      <c r="I831" s="8"/>
      <c r="J831" s="70"/>
      <c r="K831" s="70"/>
      <c r="L831" s="70"/>
      <c r="M831" s="8"/>
      <c r="N831" s="70"/>
      <c r="O831" s="70"/>
      <c r="P831" s="70"/>
      <c r="Q831" s="8"/>
      <c r="R831" s="70"/>
      <c r="S831" s="70"/>
      <c r="T831" s="70"/>
      <c r="U831" s="8"/>
      <c r="V831" s="70"/>
      <c r="W831" s="70"/>
      <c r="X831" s="70"/>
      <c r="Y831" s="200"/>
      <c r="Z831" s="195"/>
      <c r="AA831" s="195"/>
      <c r="AB831" s="195"/>
      <c r="AC831" s="8"/>
      <c r="AD831" s="70"/>
      <c r="AE831" s="70"/>
      <c r="AF831" s="70"/>
      <c r="AG831" s="201"/>
      <c r="AH831" s="202"/>
      <c r="AI831" s="201"/>
      <c r="AJ831" s="201"/>
      <c r="AK831" s="70"/>
      <c r="AL831" s="70"/>
      <c r="AM831" s="70"/>
      <c r="AN831" s="70"/>
      <c r="AO831" s="70"/>
      <c r="AP831" s="70"/>
      <c r="AQ831" s="70"/>
      <c r="AR831" s="70"/>
      <c r="AS831" s="70"/>
      <c r="AT831" s="70"/>
      <c r="AU831" s="70"/>
      <c r="AV831" s="70"/>
      <c r="AW831" s="70"/>
      <c r="AX831" s="70"/>
    </row>
    <row r="832">
      <c r="A832" s="8"/>
      <c r="B832" s="70"/>
      <c r="C832" s="70"/>
      <c r="D832" s="70"/>
      <c r="E832" s="8"/>
      <c r="F832" s="70"/>
      <c r="G832" s="70"/>
      <c r="H832" s="70"/>
      <c r="I832" s="8"/>
      <c r="J832" s="70"/>
      <c r="K832" s="70"/>
      <c r="L832" s="70"/>
      <c r="M832" s="8"/>
      <c r="N832" s="70"/>
      <c r="O832" s="70"/>
      <c r="P832" s="70"/>
      <c r="Q832" s="8"/>
      <c r="R832" s="70"/>
      <c r="S832" s="70"/>
      <c r="T832" s="70"/>
      <c r="U832" s="8"/>
      <c r="V832" s="70"/>
      <c r="W832" s="70"/>
      <c r="X832" s="70"/>
      <c r="Y832" s="200"/>
      <c r="Z832" s="195"/>
      <c r="AA832" s="195"/>
      <c r="AB832" s="195"/>
      <c r="AC832" s="8"/>
      <c r="AD832" s="70"/>
      <c r="AE832" s="70"/>
      <c r="AF832" s="70"/>
      <c r="AG832" s="201"/>
      <c r="AH832" s="202"/>
      <c r="AI832" s="201"/>
      <c r="AJ832" s="201"/>
      <c r="AK832" s="70"/>
      <c r="AL832" s="70"/>
      <c r="AM832" s="70"/>
      <c r="AN832" s="70"/>
      <c r="AO832" s="70"/>
      <c r="AP832" s="70"/>
      <c r="AQ832" s="70"/>
      <c r="AR832" s="70"/>
      <c r="AS832" s="70"/>
      <c r="AT832" s="70"/>
      <c r="AU832" s="70"/>
      <c r="AV832" s="70"/>
      <c r="AW832" s="70"/>
      <c r="AX832" s="70"/>
    </row>
    <row r="833">
      <c r="A833" s="8"/>
      <c r="B833" s="70"/>
      <c r="C833" s="70"/>
      <c r="D833" s="70"/>
      <c r="E833" s="8"/>
      <c r="F833" s="70"/>
      <c r="G833" s="70"/>
      <c r="H833" s="70"/>
      <c r="I833" s="8"/>
      <c r="J833" s="70"/>
      <c r="K833" s="70"/>
      <c r="L833" s="70"/>
      <c r="M833" s="8"/>
      <c r="N833" s="70"/>
      <c r="O833" s="70"/>
      <c r="P833" s="70"/>
      <c r="Q833" s="8"/>
      <c r="R833" s="70"/>
      <c r="S833" s="70"/>
      <c r="T833" s="70"/>
      <c r="U833" s="8"/>
      <c r="V833" s="70"/>
      <c r="W833" s="70"/>
      <c r="X833" s="70"/>
      <c r="Y833" s="200"/>
      <c r="Z833" s="195"/>
      <c r="AA833" s="195"/>
      <c r="AB833" s="195"/>
      <c r="AC833" s="8"/>
      <c r="AD833" s="70"/>
      <c r="AE833" s="70"/>
      <c r="AF833" s="70"/>
      <c r="AG833" s="201"/>
      <c r="AH833" s="202"/>
      <c r="AI833" s="201"/>
      <c r="AJ833" s="201"/>
      <c r="AK833" s="70"/>
      <c r="AL833" s="70"/>
      <c r="AM833" s="70"/>
      <c r="AN833" s="70"/>
      <c r="AO833" s="70"/>
      <c r="AP833" s="70"/>
      <c r="AQ833" s="70"/>
      <c r="AR833" s="70"/>
      <c r="AS833" s="70"/>
      <c r="AT833" s="70"/>
      <c r="AU833" s="70"/>
      <c r="AV833" s="70"/>
      <c r="AW833" s="70"/>
      <c r="AX833" s="70"/>
    </row>
    <row r="834">
      <c r="A834" s="8"/>
      <c r="B834" s="70"/>
      <c r="C834" s="70"/>
      <c r="D834" s="70"/>
      <c r="E834" s="8"/>
      <c r="F834" s="70"/>
      <c r="G834" s="70"/>
      <c r="H834" s="70"/>
      <c r="I834" s="8"/>
      <c r="J834" s="70"/>
      <c r="K834" s="70"/>
      <c r="L834" s="70"/>
      <c r="M834" s="8"/>
      <c r="N834" s="70"/>
      <c r="O834" s="70"/>
      <c r="P834" s="70"/>
      <c r="Q834" s="8"/>
      <c r="R834" s="70"/>
      <c r="S834" s="70"/>
      <c r="T834" s="70"/>
      <c r="U834" s="8"/>
      <c r="V834" s="70"/>
      <c r="W834" s="70"/>
      <c r="X834" s="70"/>
      <c r="Y834" s="200"/>
      <c r="Z834" s="195"/>
      <c r="AA834" s="195"/>
      <c r="AB834" s="195"/>
      <c r="AC834" s="8"/>
      <c r="AD834" s="70"/>
      <c r="AE834" s="70"/>
      <c r="AF834" s="70"/>
      <c r="AG834" s="201"/>
      <c r="AH834" s="202"/>
      <c r="AI834" s="201"/>
      <c r="AJ834" s="201"/>
      <c r="AK834" s="70"/>
      <c r="AL834" s="70"/>
      <c r="AM834" s="70"/>
      <c r="AN834" s="70"/>
      <c r="AO834" s="70"/>
      <c r="AP834" s="70"/>
      <c r="AQ834" s="70"/>
      <c r="AR834" s="70"/>
      <c r="AS834" s="70"/>
      <c r="AT834" s="70"/>
      <c r="AU834" s="70"/>
      <c r="AV834" s="70"/>
      <c r="AW834" s="70"/>
      <c r="AX834" s="70"/>
    </row>
    <row r="835">
      <c r="A835" s="8"/>
      <c r="B835" s="70"/>
      <c r="C835" s="70"/>
      <c r="D835" s="70"/>
      <c r="E835" s="8"/>
      <c r="F835" s="70"/>
      <c r="G835" s="70"/>
      <c r="H835" s="70"/>
      <c r="I835" s="8"/>
      <c r="J835" s="70"/>
      <c r="K835" s="70"/>
      <c r="L835" s="70"/>
      <c r="M835" s="8"/>
      <c r="N835" s="70"/>
      <c r="O835" s="70"/>
      <c r="P835" s="70"/>
      <c r="Q835" s="8"/>
      <c r="R835" s="70"/>
      <c r="S835" s="70"/>
      <c r="T835" s="70"/>
      <c r="U835" s="8"/>
      <c r="V835" s="70"/>
      <c r="W835" s="70"/>
      <c r="X835" s="70"/>
      <c r="Y835" s="200"/>
      <c r="Z835" s="195"/>
      <c r="AA835" s="195"/>
      <c r="AB835" s="195"/>
      <c r="AC835" s="8"/>
      <c r="AD835" s="70"/>
      <c r="AE835" s="70"/>
      <c r="AF835" s="70"/>
      <c r="AG835" s="201"/>
      <c r="AH835" s="202"/>
      <c r="AI835" s="201"/>
      <c r="AJ835" s="201"/>
      <c r="AK835" s="70"/>
      <c r="AL835" s="70"/>
      <c r="AM835" s="70"/>
      <c r="AN835" s="70"/>
      <c r="AO835" s="70"/>
      <c r="AP835" s="70"/>
      <c r="AQ835" s="70"/>
      <c r="AR835" s="70"/>
      <c r="AS835" s="70"/>
      <c r="AT835" s="70"/>
      <c r="AU835" s="70"/>
      <c r="AV835" s="70"/>
      <c r="AW835" s="70"/>
      <c r="AX835" s="70"/>
    </row>
    <row r="836">
      <c r="A836" s="8"/>
      <c r="B836" s="70"/>
      <c r="C836" s="70"/>
      <c r="D836" s="70"/>
      <c r="E836" s="8"/>
      <c r="F836" s="70"/>
      <c r="G836" s="70"/>
      <c r="H836" s="70"/>
      <c r="I836" s="8"/>
      <c r="J836" s="70"/>
      <c r="K836" s="70"/>
      <c r="L836" s="70"/>
      <c r="M836" s="8"/>
      <c r="N836" s="70"/>
      <c r="O836" s="70"/>
      <c r="P836" s="70"/>
      <c r="Q836" s="8"/>
      <c r="R836" s="70"/>
      <c r="S836" s="70"/>
      <c r="T836" s="70"/>
      <c r="U836" s="8"/>
      <c r="V836" s="70"/>
      <c r="W836" s="70"/>
      <c r="X836" s="70"/>
      <c r="Y836" s="200"/>
      <c r="Z836" s="195"/>
      <c r="AA836" s="195"/>
      <c r="AB836" s="195"/>
      <c r="AC836" s="8"/>
      <c r="AD836" s="70"/>
      <c r="AE836" s="70"/>
      <c r="AF836" s="70"/>
      <c r="AG836" s="201"/>
      <c r="AH836" s="202"/>
      <c r="AI836" s="201"/>
      <c r="AJ836" s="201"/>
      <c r="AK836" s="70"/>
      <c r="AL836" s="70"/>
      <c r="AM836" s="70"/>
      <c r="AN836" s="70"/>
      <c r="AO836" s="70"/>
      <c r="AP836" s="70"/>
      <c r="AQ836" s="70"/>
      <c r="AR836" s="70"/>
      <c r="AS836" s="70"/>
      <c r="AT836" s="70"/>
      <c r="AU836" s="70"/>
      <c r="AV836" s="70"/>
      <c r="AW836" s="70"/>
      <c r="AX836" s="70"/>
    </row>
    <row r="837">
      <c r="A837" s="8"/>
      <c r="B837" s="70"/>
      <c r="C837" s="70"/>
      <c r="D837" s="70"/>
      <c r="E837" s="8"/>
      <c r="F837" s="70"/>
      <c r="G837" s="70"/>
      <c r="H837" s="70"/>
      <c r="I837" s="8"/>
      <c r="J837" s="70"/>
      <c r="K837" s="70"/>
      <c r="L837" s="70"/>
      <c r="M837" s="8"/>
      <c r="N837" s="70"/>
      <c r="O837" s="70"/>
      <c r="P837" s="70"/>
      <c r="Q837" s="8"/>
      <c r="R837" s="70"/>
      <c r="S837" s="70"/>
      <c r="T837" s="70"/>
      <c r="U837" s="8"/>
      <c r="V837" s="70"/>
      <c r="W837" s="70"/>
      <c r="X837" s="70"/>
      <c r="Y837" s="200"/>
      <c r="Z837" s="195"/>
      <c r="AA837" s="195"/>
      <c r="AB837" s="195"/>
      <c r="AC837" s="8"/>
      <c r="AD837" s="70"/>
      <c r="AE837" s="70"/>
      <c r="AF837" s="70"/>
      <c r="AG837" s="201"/>
      <c r="AH837" s="202"/>
      <c r="AI837" s="201"/>
      <c r="AJ837" s="201"/>
      <c r="AK837" s="70"/>
      <c r="AL837" s="70"/>
      <c r="AM837" s="70"/>
      <c r="AN837" s="70"/>
      <c r="AO837" s="70"/>
      <c r="AP837" s="70"/>
      <c r="AQ837" s="70"/>
      <c r="AR837" s="70"/>
      <c r="AS837" s="70"/>
      <c r="AT837" s="70"/>
      <c r="AU837" s="70"/>
      <c r="AV837" s="70"/>
      <c r="AW837" s="70"/>
      <c r="AX837" s="70"/>
    </row>
    <row r="838">
      <c r="A838" s="8"/>
      <c r="B838" s="70"/>
      <c r="C838" s="70"/>
      <c r="D838" s="70"/>
      <c r="E838" s="8"/>
      <c r="F838" s="70"/>
      <c r="G838" s="70"/>
      <c r="H838" s="70"/>
      <c r="I838" s="8"/>
      <c r="J838" s="70"/>
      <c r="K838" s="70"/>
      <c r="L838" s="70"/>
      <c r="M838" s="8"/>
      <c r="N838" s="70"/>
      <c r="O838" s="70"/>
      <c r="P838" s="70"/>
      <c r="Q838" s="8"/>
      <c r="R838" s="70"/>
      <c r="S838" s="70"/>
      <c r="T838" s="70"/>
      <c r="U838" s="8"/>
      <c r="V838" s="70"/>
      <c r="W838" s="70"/>
      <c r="X838" s="70"/>
      <c r="Y838" s="200"/>
      <c r="Z838" s="195"/>
      <c r="AA838" s="195"/>
      <c r="AB838" s="195"/>
      <c r="AC838" s="8"/>
      <c r="AD838" s="70"/>
      <c r="AE838" s="70"/>
      <c r="AF838" s="70"/>
      <c r="AG838" s="201"/>
      <c r="AH838" s="202"/>
      <c r="AI838" s="201"/>
      <c r="AJ838" s="201"/>
      <c r="AK838" s="70"/>
      <c r="AL838" s="70"/>
      <c r="AM838" s="70"/>
      <c r="AN838" s="70"/>
      <c r="AO838" s="70"/>
      <c r="AP838" s="70"/>
      <c r="AQ838" s="70"/>
      <c r="AR838" s="70"/>
      <c r="AS838" s="70"/>
      <c r="AT838" s="70"/>
      <c r="AU838" s="70"/>
      <c r="AV838" s="70"/>
      <c r="AW838" s="70"/>
      <c r="AX838" s="70"/>
    </row>
    <row r="839">
      <c r="A839" s="8"/>
      <c r="B839" s="70"/>
      <c r="C839" s="70"/>
      <c r="D839" s="70"/>
      <c r="E839" s="8"/>
      <c r="F839" s="70"/>
      <c r="G839" s="70"/>
      <c r="H839" s="70"/>
      <c r="I839" s="8"/>
      <c r="J839" s="70"/>
      <c r="K839" s="70"/>
      <c r="L839" s="70"/>
      <c r="M839" s="8"/>
      <c r="N839" s="70"/>
      <c r="O839" s="70"/>
      <c r="P839" s="70"/>
      <c r="Q839" s="8"/>
      <c r="R839" s="70"/>
      <c r="S839" s="70"/>
      <c r="T839" s="70"/>
      <c r="U839" s="8"/>
      <c r="V839" s="70"/>
      <c r="W839" s="70"/>
      <c r="X839" s="70"/>
      <c r="Y839" s="200"/>
      <c r="Z839" s="195"/>
      <c r="AA839" s="195"/>
      <c r="AB839" s="195"/>
      <c r="AC839" s="8"/>
      <c r="AD839" s="70"/>
      <c r="AE839" s="70"/>
      <c r="AF839" s="70"/>
      <c r="AG839" s="201"/>
      <c r="AH839" s="202"/>
      <c r="AI839" s="201"/>
      <c r="AJ839" s="201"/>
      <c r="AK839" s="70"/>
      <c r="AL839" s="70"/>
      <c r="AM839" s="70"/>
      <c r="AN839" s="70"/>
      <c r="AO839" s="70"/>
      <c r="AP839" s="70"/>
      <c r="AQ839" s="70"/>
      <c r="AR839" s="70"/>
      <c r="AS839" s="70"/>
      <c r="AT839" s="70"/>
      <c r="AU839" s="70"/>
      <c r="AV839" s="70"/>
      <c r="AW839" s="70"/>
      <c r="AX839" s="70"/>
    </row>
    <row r="840">
      <c r="A840" s="8"/>
      <c r="B840" s="70"/>
      <c r="C840" s="70"/>
      <c r="D840" s="70"/>
      <c r="E840" s="8"/>
      <c r="F840" s="70"/>
      <c r="G840" s="70"/>
      <c r="H840" s="70"/>
      <c r="I840" s="8"/>
      <c r="J840" s="70"/>
      <c r="K840" s="70"/>
      <c r="L840" s="70"/>
      <c r="M840" s="8"/>
      <c r="N840" s="70"/>
      <c r="O840" s="70"/>
      <c r="P840" s="70"/>
      <c r="Q840" s="8"/>
      <c r="R840" s="70"/>
      <c r="S840" s="70"/>
      <c r="T840" s="70"/>
      <c r="U840" s="8"/>
      <c r="V840" s="70"/>
      <c r="W840" s="70"/>
      <c r="X840" s="70"/>
      <c r="Y840" s="200"/>
      <c r="Z840" s="195"/>
      <c r="AA840" s="195"/>
      <c r="AB840" s="195"/>
      <c r="AC840" s="8"/>
      <c r="AD840" s="70"/>
      <c r="AE840" s="70"/>
      <c r="AF840" s="70"/>
      <c r="AG840" s="201"/>
      <c r="AH840" s="202"/>
      <c r="AI840" s="201"/>
      <c r="AJ840" s="201"/>
      <c r="AK840" s="70"/>
      <c r="AL840" s="70"/>
      <c r="AM840" s="70"/>
      <c r="AN840" s="70"/>
      <c r="AO840" s="70"/>
      <c r="AP840" s="70"/>
      <c r="AQ840" s="70"/>
      <c r="AR840" s="70"/>
      <c r="AS840" s="70"/>
      <c r="AT840" s="70"/>
      <c r="AU840" s="70"/>
      <c r="AV840" s="70"/>
      <c r="AW840" s="70"/>
      <c r="AX840" s="70"/>
    </row>
    <row r="841">
      <c r="A841" s="8"/>
      <c r="B841" s="70"/>
      <c r="C841" s="70"/>
      <c r="D841" s="70"/>
      <c r="E841" s="8"/>
      <c r="F841" s="70"/>
      <c r="G841" s="70"/>
      <c r="H841" s="70"/>
      <c r="I841" s="8"/>
      <c r="J841" s="70"/>
      <c r="K841" s="70"/>
      <c r="L841" s="70"/>
      <c r="M841" s="8"/>
      <c r="N841" s="70"/>
      <c r="O841" s="70"/>
      <c r="P841" s="70"/>
      <c r="Q841" s="8"/>
      <c r="R841" s="70"/>
      <c r="S841" s="70"/>
      <c r="T841" s="70"/>
      <c r="U841" s="8"/>
      <c r="V841" s="70"/>
      <c r="W841" s="70"/>
      <c r="X841" s="70"/>
      <c r="Y841" s="200"/>
      <c r="Z841" s="195"/>
      <c r="AA841" s="195"/>
      <c r="AB841" s="195"/>
      <c r="AC841" s="8"/>
      <c r="AD841" s="70"/>
      <c r="AE841" s="70"/>
      <c r="AF841" s="70"/>
      <c r="AG841" s="201"/>
      <c r="AH841" s="202"/>
      <c r="AI841" s="201"/>
      <c r="AJ841" s="201"/>
      <c r="AK841" s="70"/>
      <c r="AL841" s="70"/>
      <c r="AM841" s="70"/>
      <c r="AN841" s="70"/>
      <c r="AO841" s="70"/>
      <c r="AP841" s="70"/>
      <c r="AQ841" s="70"/>
      <c r="AR841" s="70"/>
      <c r="AS841" s="70"/>
      <c r="AT841" s="70"/>
      <c r="AU841" s="70"/>
      <c r="AV841" s="70"/>
      <c r="AW841" s="70"/>
      <c r="AX841" s="70"/>
    </row>
    <row r="842">
      <c r="A842" s="8"/>
      <c r="B842" s="70"/>
      <c r="C842" s="70"/>
      <c r="D842" s="70"/>
      <c r="E842" s="8"/>
      <c r="F842" s="70"/>
      <c r="G842" s="70"/>
      <c r="H842" s="70"/>
      <c r="I842" s="8"/>
      <c r="J842" s="70"/>
      <c r="K842" s="70"/>
      <c r="L842" s="70"/>
      <c r="M842" s="8"/>
      <c r="N842" s="70"/>
      <c r="O842" s="70"/>
      <c r="P842" s="70"/>
      <c r="Q842" s="8"/>
      <c r="R842" s="70"/>
      <c r="S842" s="70"/>
      <c r="T842" s="70"/>
      <c r="U842" s="8"/>
      <c r="V842" s="70"/>
      <c r="W842" s="70"/>
      <c r="X842" s="70"/>
      <c r="Y842" s="200"/>
      <c r="Z842" s="195"/>
      <c r="AA842" s="195"/>
      <c r="AB842" s="195"/>
      <c r="AC842" s="8"/>
      <c r="AD842" s="70"/>
      <c r="AE842" s="70"/>
      <c r="AF842" s="70"/>
      <c r="AG842" s="201"/>
      <c r="AH842" s="202"/>
      <c r="AI842" s="201"/>
      <c r="AJ842" s="201"/>
      <c r="AK842" s="70"/>
      <c r="AL842" s="70"/>
      <c r="AM842" s="70"/>
      <c r="AN842" s="70"/>
      <c r="AO842" s="70"/>
      <c r="AP842" s="70"/>
      <c r="AQ842" s="70"/>
      <c r="AR842" s="70"/>
      <c r="AS842" s="70"/>
      <c r="AT842" s="70"/>
      <c r="AU842" s="70"/>
      <c r="AV842" s="70"/>
      <c r="AW842" s="70"/>
      <c r="AX842" s="70"/>
    </row>
    <row r="843">
      <c r="A843" s="8"/>
      <c r="B843" s="70"/>
      <c r="C843" s="70"/>
      <c r="D843" s="70"/>
      <c r="E843" s="8"/>
      <c r="F843" s="70"/>
      <c r="G843" s="70"/>
      <c r="H843" s="70"/>
      <c r="I843" s="8"/>
      <c r="J843" s="70"/>
      <c r="K843" s="70"/>
      <c r="L843" s="70"/>
      <c r="M843" s="8"/>
      <c r="N843" s="70"/>
      <c r="O843" s="70"/>
      <c r="P843" s="70"/>
      <c r="Q843" s="8"/>
      <c r="R843" s="70"/>
      <c r="S843" s="70"/>
      <c r="T843" s="70"/>
      <c r="U843" s="8"/>
      <c r="V843" s="70"/>
      <c r="W843" s="70"/>
      <c r="X843" s="70"/>
      <c r="Y843" s="200"/>
      <c r="Z843" s="195"/>
      <c r="AA843" s="195"/>
      <c r="AB843" s="195"/>
      <c r="AC843" s="8"/>
      <c r="AD843" s="70"/>
      <c r="AE843" s="70"/>
      <c r="AF843" s="70"/>
      <c r="AG843" s="201"/>
      <c r="AH843" s="202"/>
      <c r="AI843" s="201"/>
      <c r="AJ843" s="201"/>
      <c r="AK843" s="70"/>
      <c r="AL843" s="70"/>
      <c r="AM843" s="70"/>
      <c r="AN843" s="70"/>
      <c r="AO843" s="70"/>
      <c r="AP843" s="70"/>
      <c r="AQ843" s="70"/>
      <c r="AR843" s="70"/>
      <c r="AS843" s="70"/>
      <c r="AT843" s="70"/>
      <c r="AU843" s="70"/>
      <c r="AV843" s="70"/>
      <c r="AW843" s="70"/>
      <c r="AX843" s="70"/>
    </row>
    <row r="844">
      <c r="A844" s="8"/>
      <c r="B844" s="70"/>
      <c r="C844" s="70"/>
      <c r="D844" s="70"/>
      <c r="E844" s="8"/>
      <c r="F844" s="70"/>
      <c r="G844" s="70"/>
      <c r="H844" s="70"/>
      <c r="I844" s="8"/>
      <c r="J844" s="70"/>
      <c r="K844" s="70"/>
      <c r="L844" s="70"/>
      <c r="M844" s="8"/>
      <c r="N844" s="70"/>
      <c r="O844" s="70"/>
      <c r="P844" s="70"/>
      <c r="Q844" s="8"/>
      <c r="R844" s="70"/>
      <c r="S844" s="70"/>
      <c r="T844" s="70"/>
      <c r="U844" s="8"/>
      <c r="V844" s="70"/>
      <c r="W844" s="70"/>
      <c r="X844" s="70"/>
      <c r="Y844" s="200"/>
      <c r="Z844" s="195"/>
      <c r="AA844" s="195"/>
      <c r="AB844" s="195"/>
      <c r="AC844" s="8"/>
      <c r="AD844" s="70"/>
      <c r="AE844" s="70"/>
      <c r="AF844" s="70"/>
      <c r="AG844" s="201"/>
      <c r="AH844" s="202"/>
      <c r="AI844" s="201"/>
      <c r="AJ844" s="201"/>
      <c r="AK844" s="70"/>
      <c r="AL844" s="70"/>
      <c r="AM844" s="70"/>
      <c r="AN844" s="70"/>
      <c r="AO844" s="70"/>
      <c r="AP844" s="70"/>
      <c r="AQ844" s="70"/>
      <c r="AR844" s="70"/>
      <c r="AS844" s="70"/>
      <c r="AT844" s="70"/>
      <c r="AU844" s="70"/>
      <c r="AV844" s="70"/>
      <c r="AW844" s="70"/>
      <c r="AX844" s="70"/>
    </row>
    <row r="845">
      <c r="A845" s="8"/>
      <c r="B845" s="70"/>
      <c r="C845" s="70"/>
      <c r="D845" s="70"/>
      <c r="E845" s="8"/>
      <c r="F845" s="70"/>
      <c r="G845" s="70"/>
      <c r="H845" s="70"/>
      <c r="I845" s="8"/>
      <c r="J845" s="70"/>
      <c r="K845" s="70"/>
      <c r="L845" s="70"/>
      <c r="M845" s="8"/>
      <c r="N845" s="70"/>
      <c r="O845" s="70"/>
      <c r="P845" s="70"/>
      <c r="Q845" s="8"/>
      <c r="R845" s="70"/>
      <c r="S845" s="70"/>
      <c r="T845" s="70"/>
      <c r="U845" s="8"/>
      <c r="V845" s="70"/>
      <c r="W845" s="70"/>
      <c r="X845" s="70"/>
      <c r="Y845" s="200"/>
      <c r="Z845" s="195"/>
      <c r="AA845" s="195"/>
      <c r="AB845" s="195"/>
      <c r="AC845" s="8"/>
      <c r="AD845" s="70"/>
      <c r="AE845" s="70"/>
      <c r="AF845" s="70"/>
      <c r="AG845" s="201"/>
      <c r="AH845" s="202"/>
      <c r="AI845" s="201"/>
      <c r="AJ845" s="201"/>
      <c r="AK845" s="70"/>
      <c r="AL845" s="70"/>
      <c r="AM845" s="70"/>
      <c r="AN845" s="70"/>
      <c r="AO845" s="70"/>
      <c r="AP845" s="70"/>
      <c r="AQ845" s="70"/>
      <c r="AR845" s="70"/>
      <c r="AS845" s="70"/>
      <c r="AT845" s="70"/>
      <c r="AU845" s="70"/>
      <c r="AV845" s="70"/>
      <c r="AW845" s="70"/>
      <c r="AX845" s="70"/>
    </row>
    <row r="846">
      <c r="A846" s="8"/>
      <c r="B846" s="70"/>
      <c r="C846" s="70"/>
      <c r="D846" s="70"/>
      <c r="E846" s="8"/>
      <c r="F846" s="70"/>
      <c r="G846" s="70"/>
      <c r="H846" s="70"/>
      <c r="I846" s="8"/>
      <c r="J846" s="70"/>
      <c r="K846" s="70"/>
      <c r="L846" s="70"/>
      <c r="M846" s="8"/>
      <c r="N846" s="70"/>
      <c r="O846" s="70"/>
      <c r="P846" s="70"/>
      <c r="Q846" s="8"/>
      <c r="R846" s="70"/>
      <c r="S846" s="70"/>
      <c r="T846" s="70"/>
      <c r="U846" s="8"/>
      <c r="V846" s="70"/>
      <c r="W846" s="70"/>
      <c r="X846" s="70"/>
      <c r="Y846" s="200"/>
      <c r="Z846" s="195"/>
      <c r="AA846" s="195"/>
      <c r="AB846" s="195"/>
      <c r="AC846" s="8"/>
      <c r="AD846" s="70"/>
      <c r="AE846" s="70"/>
      <c r="AF846" s="70"/>
      <c r="AG846" s="201"/>
      <c r="AH846" s="202"/>
      <c r="AI846" s="201"/>
      <c r="AJ846" s="201"/>
      <c r="AK846" s="70"/>
      <c r="AL846" s="70"/>
      <c r="AM846" s="70"/>
      <c r="AN846" s="70"/>
      <c r="AO846" s="70"/>
      <c r="AP846" s="70"/>
      <c r="AQ846" s="70"/>
      <c r="AR846" s="70"/>
      <c r="AS846" s="70"/>
      <c r="AT846" s="70"/>
      <c r="AU846" s="70"/>
      <c r="AV846" s="70"/>
      <c r="AW846" s="70"/>
      <c r="AX846" s="70"/>
    </row>
    <row r="847">
      <c r="A847" s="8"/>
      <c r="B847" s="70"/>
      <c r="C847" s="70"/>
      <c r="D847" s="70"/>
      <c r="E847" s="8"/>
      <c r="F847" s="70"/>
      <c r="G847" s="70"/>
      <c r="H847" s="70"/>
      <c r="I847" s="8"/>
      <c r="J847" s="70"/>
      <c r="K847" s="70"/>
      <c r="L847" s="70"/>
      <c r="M847" s="8"/>
      <c r="N847" s="70"/>
      <c r="O847" s="70"/>
      <c r="P847" s="70"/>
      <c r="Q847" s="8"/>
      <c r="R847" s="70"/>
      <c r="S847" s="70"/>
      <c r="T847" s="70"/>
      <c r="U847" s="8"/>
      <c r="V847" s="70"/>
      <c r="W847" s="70"/>
      <c r="X847" s="70"/>
      <c r="Y847" s="200"/>
      <c r="Z847" s="195"/>
      <c r="AA847" s="195"/>
      <c r="AB847" s="195"/>
      <c r="AC847" s="8"/>
      <c r="AD847" s="70"/>
      <c r="AE847" s="70"/>
      <c r="AF847" s="70"/>
      <c r="AG847" s="201"/>
      <c r="AH847" s="202"/>
      <c r="AI847" s="201"/>
      <c r="AJ847" s="201"/>
      <c r="AK847" s="70"/>
      <c r="AL847" s="70"/>
      <c r="AM847" s="70"/>
      <c r="AN847" s="70"/>
      <c r="AO847" s="70"/>
      <c r="AP847" s="70"/>
      <c r="AQ847" s="70"/>
      <c r="AR847" s="70"/>
      <c r="AS847" s="70"/>
      <c r="AT847" s="70"/>
      <c r="AU847" s="70"/>
      <c r="AV847" s="70"/>
      <c r="AW847" s="70"/>
      <c r="AX847" s="70"/>
    </row>
    <row r="848">
      <c r="A848" s="8"/>
      <c r="B848" s="70"/>
      <c r="C848" s="70"/>
      <c r="D848" s="70"/>
      <c r="E848" s="8"/>
      <c r="F848" s="70"/>
      <c r="G848" s="70"/>
      <c r="H848" s="70"/>
      <c r="I848" s="8"/>
      <c r="J848" s="70"/>
      <c r="K848" s="70"/>
      <c r="L848" s="70"/>
      <c r="M848" s="8"/>
      <c r="N848" s="70"/>
      <c r="O848" s="70"/>
      <c r="P848" s="70"/>
      <c r="Q848" s="8"/>
      <c r="R848" s="70"/>
      <c r="S848" s="70"/>
      <c r="T848" s="70"/>
      <c r="U848" s="8"/>
      <c r="V848" s="70"/>
      <c r="W848" s="70"/>
      <c r="X848" s="70"/>
      <c r="Y848" s="200"/>
      <c r="Z848" s="195"/>
      <c r="AA848" s="195"/>
      <c r="AB848" s="195"/>
      <c r="AC848" s="8"/>
      <c r="AD848" s="70"/>
      <c r="AE848" s="70"/>
      <c r="AF848" s="70"/>
      <c r="AG848" s="201"/>
      <c r="AH848" s="202"/>
      <c r="AI848" s="201"/>
      <c r="AJ848" s="201"/>
      <c r="AK848" s="70"/>
      <c r="AL848" s="70"/>
      <c r="AM848" s="70"/>
      <c r="AN848" s="70"/>
      <c r="AO848" s="70"/>
      <c r="AP848" s="70"/>
      <c r="AQ848" s="70"/>
      <c r="AR848" s="70"/>
      <c r="AS848" s="70"/>
      <c r="AT848" s="70"/>
      <c r="AU848" s="70"/>
      <c r="AV848" s="70"/>
      <c r="AW848" s="70"/>
      <c r="AX848" s="70"/>
    </row>
    <row r="849">
      <c r="A849" s="8"/>
      <c r="B849" s="70"/>
      <c r="C849" s="70"/>
      <c r="D849" s="70"/>
      <c r="E849" s="8"/>
      <c r="F849" s="70"/>
      <c r="G849" s="70"/>
      <c r="H849" s="70"/>
      <c r="I849" s="8"/>
      <c r="J849" s="70"/>
      <c r="K849" s="70"/>
      <c r="L849" s="70"/>
      <c r="M849" s="8"/>
      <c r="N849" s="70"/>
      <c r="O849" s="70"/>
      <c r="P849" s="70"/>
      <c r="Q849" s="8"/>
      <c r="R849" s="70"/>
      <c r="S849" s="70"/>
      <c r="T849" s="70"/>
      <c r="U849" s="8"/>
      <c r="V849" s="70"/>
      <c r="W849" s="70"/>
      <c r="X849" s="70"/>
      <c r="Y849" s="200"/>
      <c r="Z849" s="195"/>
      <c r="AA849" s="195"/>
      <c r="AB849" s="195"/>
      <c r="AC849" s="8"/>
      <c r="AD849" s="70"/>
      <c r="AE849" s="70"/>
      <c r="AF849" s="70"/>
      <c r="AG849" s="201"/>
      <c r="AH849" s="202"/>
      <c r="AI849" s="201"/>
      <c r="AJ849" s="201"/>
      <c r="AK849" s="70"/>
      <c r="AL849" s="70"/>
      <c r="AM849" s="70"/>
      <c r="AN849" s="70"/>
      <c r="AO849" s="70"/>
      <c r="AP849" s="70"/>
      <c r="AQ849" s="70"/>
      <c r="AR849" s="70"/>
      <c r="AS849" s="70"/>
      <c r="AT849" s="70"/>
      <c r="AU849" s="70"/>
      <c r="AV849" s="70"/>
      <c r="AW849" s="70"/>
      <c r="AX849" s="70"/>
    </row>
    <row r="850">
      <c r="A850" s="8"/>
      <c r="B850" s="70"/>
      <c r="C850" s="70"/>
      <c r="D850" s="70"/>
      <c r="E850" s="8"/>
      <c r="F850" s="70"/>
      <c r="G850" s="70"/>
      <c r="H850" s="70"/>
      <c r="I850" s="8"/>
      <c r="J850" s="70"/>
      <c r="K850" s="70"/>
      <c r="L850" s="70"/>
      <c r="M850" s="8"/>
      <c r="N850" s="70"/>
      <c r="O850" s="70"/>
      <c r="P850" s="70"/>
      <c r="Q850" s="8"/>
      <c r="R850" s="70"/>
      <c r="S850" s="70"/>
      <c r="T850" s="70"/>
      <c r="U850" s="8"/>
      <c r="V850" s="70"/>
      <c r="W850" s="70"/>
      <c r="X850" s="70"/>
      <c r="Y850" s="200"/>
      <c r="Z850" s="195"/>
      <c r="AA850" s="195"/>
      <c r="AB850" s="195"/>
      <c r="AC850" s="8"/>
      <c r="AD850" s="70"/>
      <c r="AE850" s="70"/>
      <c r="AF850" s="70"/>
      <c r="AG850" s="201"/>
      <c r="AH850" s="202"/>
      <c r="AI850" s="201"/>
      <c r="AJ850" s="201"/>
      <c r="AK850" s="70"/>
      <c r="AL850" s="70"/>
      <c r="AM850" s="70"/>
      <c r="AN850" s="70"/>
      <c r="AO850" s="70"/>
      <c r="AP850" s="70"/>
      <c r="AQ850" s="70"/>
      <c r="AR850" s="70"/>
      <c r="AS850" s="70"/>
      <c r="AT850" s="70"/>
      <c r="AU850" s="70"/>
      <c r="AV850" s="70"/>
      <c r="AW850" s="70"/>
      <c r="AX850" s="70"/>
    </row>
    <row r="851">
      <c r="A851" s="8"/>
      <c r="B851" s="70"/>
      <c r="C851" s="70"/>
      <c r="D851" s="70"/>
      <c r="E851" s="8"/>
      <c r="F851" s="70"/>
      <c r="G851" s="70"/>
      <c r="H851" s="70"/>
      <c r="I851" s="8"/>
      <c r="J851" s="70"/>
      <c r="K851" s="70"/>
      <c r="L851" s="70"/>
      <c r="M851" s="8"/>
      <c r="N851" s="70"/>
      <c r="O851" s="70"/>
      <c r="P851" s="70"/>
      <c r="Q851" s="8"/>
      <c r="R851" s="70"/>
      <c r="S851" s="70"/>
      <c r="T851" s="70"/>
      <c r="U851" s="8"/>
      <c r="V851" s="70"/>
      <c r="W851" s="70"/>
      <c r="X851" s="70"/>
      <c r="Y851" s="200"/>
      <c r="Z851" s="195"/>
      <c r="AA851" s="195"/>
      <c r="AB851" s="195"/>
      <c r="AC851" s="8"/>
      <c r="AD851" s="70"/>
      <c r="AE851" s="70"/>
      <c r="AF851" s="70"/>
      <c r="AG851" s="201"/>
      <c r="AH851" s="202"/>
      <c r="AI851" s="201"/>
      <c r="AJ851" s="201"/>
      <c r="AK851" s="70"/>
      <c r="AL851" s="70"/>
      <c r="AM851" s="70"/>
      <c r="AN851" s="70"/>
      <c r="AO851" s="70"/>
      <c r="AP851" s="70"/>
      <c r="AQ851" s="70"/>
      <c r="AR851" s="70"/>
      <c r="AS851" s="70"/>
      <c r="AT851" s="70"/>
      <c r="AU851" s="70"/>
      <c r="AV851" s="70"/>
      <c r="AW851" s="70"/>
      <c r="AX851" s="70"/>
    </row>
    <row r="852">
      <c r="A852" s="8"/>
      <c r="B852" s="70"/>
      <c r="C852" s="70"/>
      <c r="D852" s="70"/>
      <c r="E852" s="8"/>
      <c r="F852" s="70"/>
      <c r="G852" s="70"/>
      <c r="H852" s="70"/>
      <c r="I852" s="8"/>
      <c r="J852" s="70"/>
      <c r="K852" s="70"/>
      <c r="L852" s="70"/>
      <c r="M852" s="8"/>
      <c r="N852" s="70"/>
      <c r="O852" s="70"/>
      <c r="P852" s="70"/>
      <c r="Q852" s="8"/>
      <c r="R852" s="70"/>
      <c r="S852" s="70"/>
      <c r="T852" s="70"/>
      <c r="U852" s="8"/>
      <c r="V852" s="70"/>
      <c r="W852" s="70"/>
      <c r="X852" s="70"/>
      <c r="Y852" s="200"/>
      <c r="Z852" s="195"/>
      <c r="AA852" s="195"/>
      <c r="AB852" s="195"/>
      <c r="AC852" s="8"/>
      <c r="AD852" s="70"/>
      <c r="AE852" s="70"/>
      <c r="AF852" s="70"/>
      <c r="AG852" s="201"/>
      <c r="AH852" s="202"/>
      <c r="AI852" s="201"/>
      <c r="AJ852" s="201"/>
      <c r="AK852" s="70"/>
      <c r="AL852" s="70"/>
      <c r="AM852" s="70"/>
      <c r="AN852" s="70"/>
      <c r="AO852" s="70"/>
      <c r="AP852" s="70"/>
      <c r="AQ852" s="70"/>
      <c r="AR852" s="70"/>
      <c r="AS852" s="70"/>
      <c r="AT852" s="70"/>
      <c r="AU852" s="70"/>
      <c r="AV852" s="70"/>
      <c r="AW852" s="70"/>
      <c r="AX852" s="70"/>
    </row>
    <row r="853">
      <c r="A853" s="8"/>
      <c r="B853" s="70"/>
      <c r="C853" s="70"/>
      <c r="D853" s="70"/>
      <c r="E853" s="8"/>
      <c r="F853" s="70"/>
      <c r="G853" s="70"/>
      <c r="H853" s="70"/>
      <c r="I853" s="8"/>
      <c r="J853" s="70"/>
      <c r="K853" s="70"/>
      <c r="L853" s="70"/>
      <c r="M853" s="8"/>
      <c r="N853" s="70"/>
      <c r="O853" s="70"/>
      <c r="P853" s="70"/>
      <c r="Q853" s="8"/>
      <c r="R853" s="70"/>
      <c r="S853" s="70"/>
      <c r="T853" s="70"/>
      <c r="U853" s="8"/>
      <c r="V853" s="70"/>
      <c r="W853" s="70"/>
      <c r="X853" s="70"/>
      <c r="Y853" s="200"/>
      <c r="Z853" s="195"/>
      <c r="AA853" s="195"/>
      <c r="AB853" s="195"/>
      <c r="AC853" s="8"/>
      <c r="AD853" s="70"/>
      <c r="AE853" s="70"/>
      <c r="AF853" s="70"/>
      <c r="AG853" s="201"/>
      <c r="AH853" s="202"/>
      <c r="AI853" s="201"/>
      <c r="AJ853" s="201"/>
      <c r="AK853" s="70"/>
      <c r="AL853" s="70"/>
      <c r="AM853" s="70"/>
      <c r="AN853" s="70"/>
      <c r="AO853" s="70"/>
      <c r="AP853" s="70"/>
      <c r="AQ853" s="70"/>
      <c r="AR853" s="70"/>
      <c r="AS853" s="70"/>
      <c r="AT853" s="70"/>
      <c r="AU853" s="70"/>
      <c r="AV853" s="70"/>
      <c r="AW853" s="70"/>
      <c r="AX853" s="70"/>
    </row>
    <row r="854">
      <c r="A854" s="8"/>
      <c r="B854" s="70"/>
      <c r="C854" s="70"/>
      <c r="D854" s="70"/>
      <c r="E854" s="8"/>
      <c r="F854" s="70"/>
      <c r="G854" s="70"/>
      <c r="H854" s="70"/>
      <c r="I854" s="8"/>
      <c r="J854" s="70"/>
      <c r="K854" s="70"/>
      <c r="L854" s="70"/>
      <c r="M854" s="8"/>
      <c r="N854" s="70"/>
      <c r="O854" s="70"/>
      <c r="P854" s="70"/>
      <c r="Q854" s="8"/>
      <c r="R854" s="70"/>
      <c r="S854" s="70"/>
      <c r="T854" s="70"/>
      <c r="U854" s="8"/>
      <c r="V854" s="70"/>
      <c r="W854" s="70"/>
      <c r="X854" s="70"/>
      <c r="Y854" s="200"/>
      <c r="Z854" s="195"/>
      <c r="AA854" s="195"/>
      <c r="AB854" s="195"/>
      <c r="AC854" s="8"/>
      <c r="AD854" s="70"/>
      <c r="AE854" s="70"/>
      <c r="AF854" s="70"/>
      <c r="AG854" s="201"/>
      <c r="AH854" s="202"/>
      <c r="AI854" s="201"/>
      <c r="AJ854" s="201"/>
      <c r="AK854" s="70"/>
      <c r="AL854" s="70"/>
      <c r="AM854" s="70"/>
      <c r="AN854" s="70"/>
      <c r="AO854" s="70"/>
      <c r="AP854" s="70"/>
      <c r="AQ854" s="70"/>
      <c r="AR854" s="70"/>
      <c r="AS854" s="70"/>
      <c r="AT854" s="70"/>
      <c r="AU854" s="70"/>
      <c r="AV854" s="70"/>
      <c r="AW854" s="70"/>
      <c r="AX854" s="70"/>
    </row>
    <row r="855">
      <c r="A855" s="8"/>
      <c r="B855" s="70"/>
      <c r="C855" s="70"/>
      <c r="D855" s="70"/>
      <c r="E855" s="8"/>
      <c r="F855" s="70"/>
      <c r="G855" s="70"/>
      <c r="H855" s="70"/>
      <c r="I855" s="8"/>
      <c r="J855" s="70"/>
      <c r="K855" s="70"/>
      <c r="L855" s="70"/>
      <c r="M855" s="8"/>
      <c r="N855" s="70"/>
      <c r="O855" s="70"/>
      <c r="P855" s="70"/>
      <c r="Q855" s="8"/>
      <c r="R855" s="70"/>
      <c r="S855" s="70"/>
      <c r="T855" s="70"/>
      <c r="U855" s="8"/>
      <c r="V855" s="70"/>
      <c r="W855" s="70"/>
      <c r="X855" s="70"/>
      <c r="Y855" s="200"/>
      <c r="Z855" s="195"/>
      <c r="AA855" s="195"/>
      <c r="AB855" s="195"/>
      <c r="AC855" s="8"/>
      <c r="AD855" s="70"/>
      <c r="AE855" s="70"/>
      <c r="AF855" s="70"/>
      <c r="AG855" s="201"/>
      <c r="AH855" s="202"/>
      <c r="AI855" s="201"/>
      <c r="AJ855" s="201"/>
      <c r="AK855" s="70"/>
      <c r="AL855" s="70"/>
      <c r="AM855" s="70"/>
      <c r="AN855" s="70"/>
      <c r="AO855" s="70"/>
      <c r="AP855" s="70"/>
      <c r="AQ855" s="70"/>
      <c r="AR855" s="70"/>
      <c r="AS855" s="70"/>
      <c r="AT855" s="70"/>
      <c r="AU855" s="70"/>
      <c r="AV855" s="70"/>
      <c r="AW855" s="70"/>
      <c r="AX855" s="70"/>
    </row>
    <row r="856">
      <c r="A856" s="8"/>
      <c r="B856" s="70"/>
      <c r="C856" s="70"/>
      <c r="D856" s="70"/>
      <c r="E856" s="8"/>
      <c r="F856" s="70"/>
      <c r="G856" s="70"/>
      <c r="H856" s="70"/>
      <c r="I856" s="8"/>
      <c r="J856" s="70"/>
      <c r="K856" s="70"/>
      <c r="L856" s="70"/>
      <c r="M856" s="8"/>
      <c r="N856" s="70"/>
      <c r="O856" s="70"/>
      <c r="P856" s="70"/>
      <c r="Q856" s="8"/>
      <c r="R856" s="70"/>
      <c r="S856" s="70"/>
      <c r="T856" s="70"/>
      <c r="U856" s="8"/>
      <c r="V856" s="70"/>
      <c r="W856" s="70"/>
      <c r="X856" s="70"/>
      <c r="Y856" s="200"/>
      <c r="Z856" s="195"/>
      <c r="AA856" s="195"/>
      <c r="AB856" s="195"/>
      <c r="AC856" s="8"/>
      <c r="AD856" s="70"/>
      <c r="AE856" s="70"/>
      <c r="AF856" s="70"/>
      <c r="AG856" s="201"/>
      <c r="AH856" s="202"/>
      <c r="AI856" s="201"/>
      <c r="AJ856" s="201"/>
      <c r="AK856" s="70"/>
      <c r="AL856" s="70"/>
      <c r="AM856" s="70"/>
      <c r="AN856" s="70"/>
      <c r="AO856" s="70"/>
      <c r="AP856" s="70"/>
      <c r="AQ856" s="70"/>
      <c r="AR856" s="70"/>
      <c r="AS856" s="70"/>
      <c r="AT856" s="70"/>
      <c r="AU856" s="70"/>
      <c r="AV856" s="70"/>
      <c r="AW856" s="70"/>
      <c r="AX856" s="70"/>
    </row>
    <row r="857">
      <c r="A857" s="8"/>
      <c r="B857" s="70"/>
      <c r="C857" s="70"/>
      <c r="D857" s="70"/>
      <c r="E857" s="8"/>
      <c r="F857" s="70"/>
      <c r="G857" s="70"/>
      <c r="H857" s="70"/>
      <c r="I857" s="8"/>
      <c r="J857" s="70"/>
      <c r="K857" s="70"/>
      <c r="L857" s="70"/>
      <c r="M857" s="8"/>
      <c r="N857" s="70"/>
      <c r="O857" s="70"/>
      <c r="P857" s="70"/>
      <c r="Q857" s="8"/>
      <c r="R857" s="70"/>
      <c r="S857" s="70"/>
      <c r="T857" s="70"/>
      <c r="U857" s="8"/>
      <c r="V857" s="70"/>
      <c r="W857" s="70"/>
      <c r="X857" s="70"/>
      <c r="Y857" s="200"/>
      <c r="Z857" s="195"/>
      <c r="AA857" s="195"/>
      <c r="AB857" s="195"/>
      <c r="AC857" s="8"/>
      <c r="AD857" s="70"/>
      <c r="AE857" s="70"/>
      <c r="AF857" s="70"/>
      <c r="AG857" s="201"/>
      <c r="AH857" s="202"/>
      <c r="AI857" s="201"/>
      <c r="AJ857" s="201"/>
      <c r="AK857" s="70"/>
      <c r="AL857" s="70"/>
      <c r="AM857" s="70"/>
      <c r="AN857" s="70"/>
      <c r="AO857" s="70"/>
      <c r="AP857" s="70"/>
      <c r="AQ857" s="70"/>
      <c r="AR857" s="70"/>
      <c r="AS857" s="70"/>
      <c r="AT857" s="70"/>
      <c r="AU857" s="70"/>
      <c r="AV857" s="70"/>
      <c r="AW857" s="70"/>
      <c r="AX857" s="70"/>
    </row>
    <row r="858">
      <c r="A858" s="8"/>
      <c r="B858" s="70"/>
      <c r="C858" s="70"/>
      <c r="D858" s="70"/>
      <c r="E858" s="8"/>
      <c r="F858" s="70"/>
      <c r="G858" s="70"/>
      <c r="H858" s="70"/>
      <c r="I858" s="8"/>
      <c r="J858" s="70"/>
      <c r="K858" s="70"/>
      <c r="L858" s="70"/>
      <c r="M858" s="8"/>
      <c r="N858" s="70"/>
      <c r="O858" s="70"/>
      <c r="P858" s="70"/>
      <c r="Q858" s="8"/>
      <c r="R858" s="70"/>
      <c r="S858" s="70"/>
      <c r="T858" s="70"/>
      <c r="U858" s="8"/>
      <c r="V858" s="70"/>
      <c r="W858" s="70"/>
      <c r="X858" s="70"/>
      <c r="Y858" s="200"/>
      <c r="Z858" s="195"/>
      <c r="AA858" s="195"/>
      <c r="AB858" s="195"/>
      <c r="AC858" s="8"/>
      <c r="AD858" s="70"/>
      <c r="AE858" s="70"/>
      <c r="AF858" s="70"/>
      <c r="AG858" s="201"/>
      <c r="AH858" s="202"/>
      <c r="AI858" s="201"/>
      <c r="AJ858" s="201"/>
      <c r="AK858" s="70"/>
      <c r="AL858" s="70"/>
      <c r="AM858" s="70"/>
      <c r="AN858" s="70"/>
      <c r="AO858" s="70"/>
      <c r="AP858" s="70"/>
      <c r="AQ858" s="70"/>
      <c r="AR858" s="70"/>
      <c r="AS858" s="70"/>
      <c r="AT858" s="70"/>
      <c r="AU858" s="70"/>
      <c r="AV858" s="70"/>
      <c r="AW858" s="70"/>
      <c r="AX858" s="70"/>
    </row>
    <row r="859">
      <c r="A859" s="8"/>
      <c r="B859" s="70"/>
      <c r="C859" s="70"/>
      <c r="D859" s="70"/>
      <c r="E859" s="8"/>
      <c r="F859" s="70"/>
      <c r="G859" s="70"/>
      <c r="H859" s="70"/>
      <c r="I859" s="8"/>
      <c r="J859" s="70"/>
      <c r="K859" s="70"/>
      <c r="L859" s="70"/>
      <c r="M859" s="8"/>
      <c r="N859" s="70"/>
      <c r="O859" s="70"/>
      <c r="P859" s="70"/>
      <c r="Q859" s="8"/>
      <c r="R859" s="70"/>
      <c r="S859" s="70"/>
      <c r="T859" s="70"/>
      <c r="U859" s="8"/>
      <c r="V859" s="70"/>
      <c r="W859" s="70"/>
      <c r="X859" s="70"/>
      <c r="Y859" s="200"/>
      <c r="Z859" s="195"/>
      <c r="AA859" s="195"/>
      <c r="AB859" s="195"/>
      <c r="AC859" s="8"/>
      <c r="AD859" s="70"/>
      <c r="AE859" s="70"/>
      <c r="AF859" s="70"/>
      <c r="AG859" s="201"/>
      <c r="AH859" s="202"/>
      <c r="AI859" s="201"/>
      <c r="AJ859" s="201"/>
      <c r="AK859" s="70"/>
      <c r="AL859" s="70"/>
      <c r="AM859" s="70"/>
      <c r="AN859" s="70"/>
      <c r="AO859" s="70"/>
      <c r="AP859" s="70"/>
      <c r="AQ859" s="70"/>
      <c r="AR859" s="70"/>
      <c r="AS859" s="70"/>
      <c r="AT859" s="70"/>
      <c r="AU859" s="70"/>
      <c r="AV859" s="70"/>
      <c r="AW859" s="70"/>
      <c r="AX859" s="70"/>
    </row>
    <row r="860">
      <c r="A860" s="8"/>
      <c r="B860" s="70"/>
      <c r="C860" s="70"/>
      <c r="D860" s="70"/>
      <c r="E860" s="8"/>
      <c r="F860" s="70"/>
      <c r="G860" s="70"/>
      <c r="H860" s="70"/>
      <c r="I860" s="8"/>
      <c r="J860" s="70"/>
      <c r="K860" s="70"/>
      <c r="L860" s="70"/>
      <c r="M860" s="8"/>
      <c r="N860" s="70"/>
      <c r="O860" s="70"/>
      <c r="P860" s="70"/>
      <c r="Q860" s="8"/>
      <c r="R860" s="70"/>
      <c r="S860" s="70"/>
      <c r="T860" s="70"/>
      <c r="U860" s="8"/>
      <c r="V860" s="70"/>
      <c r="W860" s="70"/>
      <c r="X860" s="70"/>
      <c r="Y860" s="200"/>
      <c r="Z860" s="195"/>
      <c r="AA860" s="195"/>
      <c r="AB860" s="195"/>
      <c r="AC860" s="8"/>
      <c r="AD860" s="70"/>
      <c r="AE860" s="70"/>
      <c r="AF860" s="70"/>
      <c r="AG860" s="201"/>
      <c r="AH860" s="202"/>
      <c r="AI860" s="201"/>
      <c r="AJ860" s="201"/>
      <c r="AK860" s="70"/>
      <c r="AL860" s="70"/>
      <c r="AM860" s="70"/>
      <c r="AN860" s="70"/>
      <c r="AO860" s="70"/>
      <c r="AP860" s="70"/>
      <c r="AQ860" s="70"/>
      <c r="AR860" s="70"/>
      <c r="AS860" s="70"/>
      <c r="AT860" s="70"/>
      <c r="AU860" s="70"/>
      <c r="AV860" s="70"/>
      <c r="AW860" s="70"/>
      <c r="AX860" s="70"/>
    </row>
    <row r="861">
      <c r="A861" s="8"/>
      <c r="B861" s="70"/>
      <c r="C861" s="70"/>
      <c r="D861" s="70"/>
      <c r="E861" s="8"/>
      <c r="F861" s="70"/>
      <c r="G861" s="70"/>
      <c r="H861" s="70"/>
      <c r="I861" s="8"/>
      <c r="J861" s="70"/>
      <c r="K861" s="70"/>
      <c r="L861" s="70"/>
      <c r="M861" s="8"/>
      <c r="N861" s="70"/>
      <c r="O861" s="70"/>
      <c r="P861" s="70"/>
      <c r="Q861" s="8"/>
      <c r="R861" s="70"/>
      <c r="S861" s="70"/>
      <c r="T861" s="70"/>
      <c r="U861" s="8"/>
      <c r="V861" s="70"/>
      <c r="W861" s="70"/>
      <c r="X861" s="70"/>
      <c r="Y861" s="200"/>
      <c r="Z861" s="195"/>
      <c r="AA861" s="195"/>
      <c r="AB861" s="195"/>
      <c r="AC861" s="8"/>
      <c r="AD861" s="70"/>
      <c r="AE861" s="70"/>
      <c r="AF861" s="70"/>
      <c r="AG861" s="201"/>
      <c r="AH861" s="202"/>
      <c r="AI861" s="201"/>
      <c r="AJ861" s="201"/>
      <c r="AK861" s="70"/>
      <c r="AL861" s="70"/>
      <c r="AM861" s="70"/>
      <c r="AN861" s="70"/>
      <c r="AO861" s="70"/>
      <c r="AP861" s="70"/>
      <c r="AQ861" s="70"/>
      <c r="AR861" s="70"/>
      <c r="AS861" s="70"/>
      <c r="AT861" s="70"/>
      <c r="AU861" s="70"/>
      <c r="AV861" s="70"/>
      <c r="AW861" s="70"/>
      <c r="AX861" s="70"/>
    </row>
    <row r="862">
      <c r="A862" s="8"/>
      <c r="B862" s="70"/>
      <c r="C862" s="70"/>
      <c r="D862" s="70"/>
      <c r="E862" s="8"/>
      <c r="F862" s="70"/>
      <c r="G862" s="70"/>
      <c r="H862" s="70"/>
      <c r="I862" s="8"/>
      <c r="J862" s="70"/>
      <c r="K862" s="70"/>
      <c r="L862" s="70"/>
      <c r="M862" s="8"/>
      <c r="N862" s="70"/>
      <c r="O862" s="70"/>
      <c r="P862" s="70"/>
      <c r="Q862" s="8"/>
      <c r="R862" s="70"/>
      <c r="S862" s="70"/>
      <c r="T862" s="70"/>
      <c r="U862" s="8"/>
      <c r="V862" s="70"/>
      <c r="W862" s="70"/>
      <c r="X862" s="70"/>
      <c r="Y862" s="200"/>
      <c r="Z862" s="195"/>
      <c r="AA862" s="195"/>
      <c r="AB862" s="195"/>
      <c r="AC862" s="8"/>
      <c r="AD862" s="70"/>
      <c r="AE862" s="70"/>
      <c r="AF862" s="70"/>
      <c r="AG862" s="201"/>
      <c r="AH862" s="202"/>
      <c r="AI862" s="201"/>
      <c r="AJ862" s="201"/>
      <c r="AK862" s="70"/>
      <c r="AL862" s="70"/>
      <c r="AM862" s="70"/>
      <c r="AN862" s="70"/>
      <c r="AO862" s="70"/>
      <c r="AP862" s="70"/>
      <c r="AQ862" s="70"/>
      <c r="AR862" s="70"/>
      <c r="AS862" s="70"/>
      <c r="AT862" s="70"/>
      <c r="AU862" s="70"/>
      <c r="AV862" s="70"/>
      <c r="AW862" s="70"/>
      <c r="AX862" s="70"/>
    </row>
    <row r="863">
      <c r="A863" s="8"/>
      <c r="B863" s="70"/>
      <c r="C863" s="70"/>
      <c r="D863" s="70"/>
      <c r="E863" s="8"/>
      <c r="F863" s="70"/>
      <c r="G863" s="70"/>
      <c r="H863" s="70"/>
      <c r="I863" s="8"/>
      <c r="J863" s="70"/>
      <c r="K863" s="70"/>
      <c r="L863" s="70"/>
      <c r="M863" s="8"/>
      <c r="N863" s="70"/>
      <c r="O863" s="70"/>
      <c r="P863" s="70"/>
      <c r="Q863" s="8"/>
      <c r="R863" s="70"/>
      <c r="S863" s="70"/>
      <c r="T863" s="70"/>
      <c r="U863" s="8"/>
      <c r="V863" s="70"/>
      <c r="W863" s="70"/>
      <c r="X863" s="70"/>
      <c r="Y863" s="200"/>
      <c r="Z863" s="195"/>
      <c r="AA863" s="195"/>
      <c r="AB863" s="195"/>
      <c r="AC863" s="8"/>
      <c r="AD863" s="70"/>
      <c r="AE863" s="70"/>
      <c r="AF863" s="70"/>
      <c r="AG863" s="201"/>
      <c r="AH863" s="202"/>
      <c r="AI863" s="201"/>
      <c r="AJ863" s="201"/>
      <c r="AK863" s="70"/>
      <c r="AL863" s="70"/>
      <c r="AM863" s="70"/>
      <c r="AN863" s="70"/>
      <c r="AO863" s="70"/>
      <c r="AP863" s="70"/>
      <c r="AQ863" s="70"/>
      <c r="AR863" s="70"/>
      <c r="AS863" s="70"/>
      <c r="AT863" s="70"/>
      <c r="AU863" s="70"/>
      <c r="AV863" s="70"/>
      <c r="AW863" s="70"/>
      <c r="AX863" s="70"/>
    </row>
    <row r="864">
      <c r="A864" s="8"/>
      <c r="B864" s="70"/>
      <c r="C864" s="70"/>
      <c r="D864" s="70"/>
      <c r="E864" s="8"/>
      <c r="F864" s="70"/>
      <c r="G864" s="70"/>
      <c r="H864" s="70"/>
      <c r="I864" s="8"/>
      <c r="J864" s="70"/>
      <c r="K864" s="70"/>
      <c r="L864" s="70"/>
      <c r="M864" s="8"/>
      <c r="N864" s="70"/>
      <c r="O864" s="70"/>
      <c r="P864" s="70"/>
      <c r="Q864" s="8"/>
      <c r="R864" s="70"/>
      <c r="S864" s="70"/>
      <c r="T864" s="70"/>
      <c r="U864" s="8"/>
      <c r="V864" s="70"/>
      <c r="W864" s="70"/>
      <c r="X864" s="70"/>
      <c r="Y864" s="200"/>
      <c r="Z864" s="195"/>
      <c r="AA864" s="195"/>
      <c r="AB864" s="195"/>
      <c r="AC864" s="8"/>
      <c r="AD864" s="70"/>
      <c r="AE864" s="70"/>
      <c r="AF864" s="70"/>
      <c r="AG864" s="201"/>
      <c r="AH864" s="202"/>
      <c r="AI864" s="201"/>
      <c r="AJ864" s="201"/>
      <c r="AK864" s="70"/>
      <c r="AL864" s="70"/>
      <c r="AM864" s="70"/>
      <c r="AN864" s="70"/>
      <c r="AO864" s="70"/>
      <c r="AP864" s="70"/>
      <c r="AQ864" s="70"/>
      <c r="AR864" s="70"/>
      <c r="AS864" s="70"/>
      <c r="AT864" s="70"/>
      <c r="AU864" s="70"/>
      <c r="AV864" s="70"/>
      <c r="AW864" s="70"/>
      <c r="AX864" s="70"/>
    </row>
    <row r="865">
      <c r="A865" s="8"/>
      <c r="B865" s="70"/>
      <c r="C865" s="70"/>
      <c r="D865" s="70"/>
      <c r="E865" s="8"/>
      <c r="F865" s="70"/>
      <c r="G865" s="70"/>
      <c r="H865" s="70"/>
      <c r="I865" s="8"/>
      <c r="J865" s="70"/>
      <c r="K865" s="70"/>
      <c r="L865" s="70"/>
      <c r="M865" s="8"/>
      <c r="N865" s="70"/>
      <c r="O865" s="70"/>
      <c r="P865" s="70"/>
      <c r="Q865" s="8"/>
      <c r="R865" s="70"/>
      <c r="S865" s="70"/>
      <c r="T865" s="70"/>
      <c r="U865" s="8"/>
      <c r="V865" s="70"/>
      <c r="W865" s="70"/>
      <c r="X865" s="70"/>
      <c r="Y865" s="200"/>
      <c r="Z865" s="195"/>
      <c r="AA865" s="195"/>
      <c r="AB865" s="195"/>
      <c r="AC865" s="8"/>
      <c r="AD865" s="70"/>
      <c r="AE865" s="70"/>
      <c r="AF865" s="70"/>
      <c r="AG865" s="201"/>
      <c r="AH865" s="202"/>
      <c r="AI865" s="201"/>
      <c r="AJ865" s="201"/>
      <c r="AK865" s="70"/>
      <c r="AL865" s="70"/>
      <c r="AM865" s="70"/>
      <c r="AN865" s="70"/>
      <c r="AO865" s="70"/>
      <c r="AP865" s="70"/>
      <c r="AQ865" s="70"/>
      <c r="AR865" s="70"/>
      <c r="AS865" s="70"/>
      <c r="AT865" s="70"/>
      <c r="AU865" s="70"/>
      <c r="AV865" s="70"/>
      <c r="AW865" s="70"/>
      <c r="AX865" s="70"/>
    </row>
    <row r="866">
      <c r="A866" s="8"/>
      <c r="B866" s="70"/>
      <c r="C866" s="70"/>
      <c r="D866" s="70"/>
      <c r="E866" s="8"/>
      <c r="F866" s="70"/>
      <c r="G866" s="70"/>
      <c r="H866" s="70"/>
      <c r="I866" s="8"/>
      <c r="J866" s="70"/>
      <c r="K866" s="70"/>
      <c r="L866" s="70"/>
      <c r="M866" s="8"/>
      <c r="N866" s="70"/>
      <c r="O866" s="70"/>
      <c r="P866" s="70"/>
      <c r="Q866" s="8"/>
      <c r="R866" s="70"/>
      <c r="S866" s="70"/>
      <c r="T866" s="70"/>
      <c r="U866" s="8"/>
      <c r="V866" s="70"/>
      <c r="W866" s="70"/>
      <c r="X866" s="70"/>
      <c r="Y866" s="200"/>
      <c r="Z866" s="195"/>
      <c r="AA866" s="195"/>
      <c r="AB866" s="195"/>
      <c r="AC866" s="8"/>
      <c r="AD866" s="70"/>
      <c r="AE866" s="70"/>
      <c r="AF866" s="70"/>
      <c r="AG866" s="201"/>
      <c r="AH866" s="202"/>
      <c r="AI866" s="201"/>
      <c r="AJ866" s="201"/>
      <c r="AK866" s="70"/>
      <c r="AL866" s="70"/>
      <c r="AM866" s="70"/>
      <c r="AN866" s="70"/>
      <c r="AO866" s="70"/>
      <c r="AP866" s="70"/>
      <c r="AQ866" s="70"/>
      <c r="AR866" s="70"/>
      <c r="AS866" s="70"/>
      <c r="AT866" s="70"/>
      <c r="AU866" s="70"/>
      <c r="AV866" s="70"/>
      <c r="AW866" s="70"/>
      <c r="AX866" s="70"/>
    </row>
    <row r="867">
      <c r="A867" s="8"/>
      <c r="B867" s="70"/>
      <c r="C867" s="70"/>
      <c r="D867" s="70"/>
      <c r="E867" s="8"/>
      <c r="F867" s="70"/>
      <c r="G867" s="70"/>
      <c r="H867" s="70"/>
      <c r="I867" s="8"/>
      <c r="J867" s="70"/>
      <c r="K867" s="70"/>
      <c r="L867" s="70"/>
      <c r="M867" s="8"/>
      <c r="N867" s="70"/>
      <c r="O867" s="70"/>
      <c r="P867" s="70"/>
      <c r="Q867" s="8"/>
      <c r="R867" s="70"/>
      <c r="S867" s="70"/>
      <c r="T867" s="70"/>
      <c r="U867" s="8"/>
      <c r="V867" s="70"/>
      <c r="W867" s="70"/>
      <c r="X867" s="70"/>
      <c r="Y867" s="200"/>
      <c r="Z867" s="195"/>
      <c r="AA867" s="195"/>
      <c r="AB867" s="195"/>
      <c r="AC867" s="8"/>
      <c r="AD867" s="70"/>
      <c r="AE867" s="70"/>
      <c r="AF867" s="70"/>
      <c r="AG867" s="201"/>
      <c r="AH867" s="202"/>
      <c r="AI867" s="201"/>
      <c r="AJ867" s="201"/>
      <c r="AK867" s="70"/>
      <c r="AL867" s="70"/>
      <c r="AM867" s="70"/>
      <c r="AN867" s="70"/>
      <c r="AO867" s="70"/>
      <c r="AP867" s="70"/>
      <c r="AQ867" s="70"/>
      <c r="AR867" s="70"/>
      <c r="AS867" s="70"/>
      <c r="AT867" s="70"/>
      <c r="AU867" s="70"/>
      <c r="AV867" s="70"/>
      <c r="AW867" s="70"/>
      <c r="AX867" s="70"/>
    </row>
    <row r="868">
      <c r="A868" s="8"/>
      <c r="B868" s="70"/>
      <c r="C868" s="70"/>
      <c r="D868" s="70"/>
      <c r="E868" s="8"/>
      <c r="F868" s="70"/>
      <c r="G868" s="70"/>
      <c r="H868" s="70"/>
      <c r="I868" s="8"/>
      <c r="J868" s="70"/>
      <c r="K868" s="70"/>
      <c r="L868" s="70"/>
      <c r="M868" s="8"/>
      <c r="N868" s="70"/>
      <c r="O868" s="70"/>
      <c r="P868" s="70"/>
      <c r="Q868" s="8"/>
      <c r="R868" s="70"/>
      <c r="S868" s="70"/>
      <c r="T868" s="70"/>
      <c r="U868" s="8"/>
      <c r="V868" s="70"/>
      <c r="W868" s="70"/>
      <c r="X868" s="70"/>
      <c r="Y868" s="200"/>
      <c r="Z868" s="195"/>
      <c r="AA868" s="195"/>
      <c r="AB868" s="195"/>
      <c r="AC868" s="8"/>
      <c r="AD868" s="70"/>
      <c r="AE868" s="70"/>
      <c r="AF868" s="70"/>
      <c r="AG868" s="201"/>
      <c r="AH868" s="202"/>
      <c r="AI868" s="201"/>
      <c r="AJ868" s="201"/>
      <c r="AK868" s="70"/>
      <c r="AL868" s="70"/>
      <c r="AM868" s="70"/>
      <c r="AN868" s="70"/>
      <c r="AO868" s="70"/>
      <c r="AP868" s="70"/>
      <c r="AQ868" s="70"/>
      <c r="AR868" s="70"/>
      <c r="AS868" s="70"/>
      <c r="AT868" s="70"/>
      <c r="AU868" s="70"/>
      <c r="AV868" s="70"/>
      <c r="AW868" s="70"/>
      <c r="AX868" s="70"/>
    </row>
    <row r="869">
      <c r="A869" s="8"/>
      <c r="B869" s="70"/>
      <c r="C869" s="70"/>
      <c r="D869" s="70"/>
      <c r="E869" s="8"/>
      <c r="F869" s="70"/>
      <c r="G869" s="70"/>
      <c r="H869" s="70"/>
      <c r="I869" s="8"/>
      <c r="J869" s="70"/>
      <c r="K869" s="70"/>
      <c r="L869" s="70"/>
      <c r="M869" s="8"/>
      <c r="N869" s="70"/>
      <c r="O869" s="70"/>
      <c r="P869" s="70"/>
      <c r="Q869" s="8"/>
      <c r="R869" s="70"/>
      <c r="S869" s="70"/>
      <c r="T869" s="70"/>
      <c r="U869" s="8"/>
      <c r="V869" s="70"/>
      <c r="W869" s="70"/>
      <c r="X869" s="70"/>
      <c r="Y869" s="200"/>
      <c r="Z869" s="195"/>
      <c r="AA869" s="195"/>
      <c r="AB869" s="195"/>
      <c r="AC869" s="8"/>
      <c r="AD869" s="70"/>
      <c r="AE869" s="70"/>
      <c r="AF869" s="70"/>
      <c r="AG869" s="201"/>
      <c r="AH869" s="202"/>
      <c r="AI869" s="201"/>
      <c r="AJ869" s="201"/>
      <c r="AK869" s="70"/>
      <c r="AL869" s="70"/>
      <c r="AM869" s="70"/>
      <c r="AN869" s="70"/>
      <c r="AO869" s="70"/>
      <c r="AP869" s="70"/>
      <c r="AQ869" s="70"/>
      <c r="AR869" s="70"/>
      <c r="AS869" s="70"/>
      <c r="AT869" s="70"/>
      <c r="AU869" s="70"/>
      <c r="AV869" s="70"/>
      <c r="AW869" s="70"/>
      <c r="AX869" s="70"/>
    </row>
    <row r="870">
      <c r="A870" s="8"/>
      <c r="B870" s="70"/>
      <c r="C870" s="70"/>
      <c r="D870" s="70"/>
      <c r="E870" s="8"/>
      <c r="F870" s="70"/>
      <c r="G870" s="70"/>
      <c r="H870" s="70"/>
      <c r="I870" s="8"/>
      <c r="J870" s="70"/>
      <c r="K870" s="70"/>
      <c r="L870" s="70"/>
      <c r="M870" s="8"/>
      <c r="N870" s="70"/>
      <c r="O870" s="70"/>
      <c r="P870" s="70"/>
      <c r="Q870" s="8"/>
      <c r="R870" s="70"/>
      <c r="S870" s="70"/>
      <c r="T870" s="70"/>
      <c r="U870" s="8"/>
      <c r="V870" s="70"/>
      <c r="W870" s="70"/>
      <c r="X870" s="70"/>
      <c r="Y870" s="200"/>
      <c r="Z870" s="195"/>
      <c r="AA870" s="195"/>
      <c r="AB870" s="195"/>
      <c r="AC870" s="8"/>
      <c r="AD870" s="70"/>
      <c r="AE870" s="70"/>
      <c r="AF870" s="70"/>
      <c r="AG870" s="201"/>
      <c r="AH870" s="202"/>
      <c r="AI870" s="201"/>
      <c r="AJ870" s="201"/>
      <c r="AK870" s="70"/>
      <c r="AL870" s="70"/>
      <c r="AM870" s="70"/>
      <c r="AN870" s="70"/>
      <c r="AO870" s="70"/>
      <c r="AP870" s="70"/>
      <c r="AQ870" s="70"/>
      <c r="AR870" s="70"/>
      <c r="AS870" s="70"/>
      <c r="AT870" s="70"/>
      <c r="AU870" s="70"/>
      <c r="AV870" s="70"/>
      <c r="AW870" s="70"/>
      <c r="AX870" s="70"/>
    </row>
    <row r="871">
      <c r="A871" s="8"/>
      <c r="B871" s="70"/>
      <c r="C871" s="70"/>
      <c r="D871" s="70"/>
      <c r="E871" s="8"/>
      <c r="F871" s="70"/>
      <c r="G871" s="70"/>
      <c r="H871" s="70"/>
      <c r="I871" s="8"/>
      <c r="J871" s="70"/>
      <c r="K871" s="70"/>
      <c r="L871" s="70"/>
      <c r="M871" s="8"/>
      <c r="N871" s="70"/>
      <c r="O871" s="70"/>
      <c r="P871" s="70"/>
      <c r="Q871" s="8"/>
      <c r="R871" s="70"/>
      <c r="S871" s="70"/>
      <c r="T871" s="70"/>
      <c r="U871" s="8"/>
      <c r="V871" s="70"/>
      <c r="W871" s="70"/>
      <c r="X871" s="70"/>
      <c r="Y871" s="200"/>
      <c r="Z871" s="195"/>
      <c r="AA871" s="195"/>
      <c r="AB871" s="195"/>
      <c r="AC871" s="8"/>
      <c r="AD871" s="70"/>
      <c r="AE871" s="70"/>
      <c r="AF871" s="70"/>
      <c r="AG871" s="201"/>
      <c r="AH871" s="202"/>
      <c r="AI871" s="201"/>
      <c r="AJ871" s="201"/>
      <c r="AK871" s="70"/>
      <c r="AL871" s="70"/>
      <c r="AM871" s="70"/>
      <c r="AN871" s="70"/>
      <c r="AO871" s="70"/>
      <c r="AP871" s="70"/>
      <c r="AQ871" s="70"/>
      <c r="AR871" s="70"/>
      <c r="AS871" s="70"/>
      <c r="AT871" s="70"/>
      <c r="AU871" s="70"/>
      <c r="AV871" s="70"/>
      <c r="AW871" s="70"/>
      <c r="AX871" s="70"/>
    </row>
    <row r="872">
      <c r="A872" s="8"/>
      <c r="B872" s="70"/>
      <c r="C872" s="70"/>
      <c r="D872" s="70"/>
      <c r="E872" s="8"/>
      <c r="F872" s="70"/>
      <c r="G872" s="70"/>
      <c r="H872" s="70"/>
      <c r="I872" s="8"/>
      <c r="J872" s="70"/>
      <c r="K872" s="70"/>
      <c r="L872" s="70"/>
      <c r="M872" s="8"/>
      <c r="N872" s="70"/>
      <c r="O872" s="70"/>
      <c r="P872" s="70"/>
      <c r="Q872" s="8"/>
      <c r="R872" s="70"/>
      <c r="S872" s="70"/>
      <c r="T872" s="70"/>
      <c r="U872" s="8"/>
      <c r="V872" s="70"/>
      <c r="W872" s="70"/>
      <c r="X872" s="70"/>
      <c r="Y872" s="200"/>
      <c r="Z872" s="195"/>
      <c r="AA872" s="195"/>
      <c r="AB872" s="195"/>
      <c r="AC872" s="8"/>
      <c r="AD872" s="70"/>
      <c r="AE872" s="70"/>
      <c r="AF872" s="70"/>
      <c r="AG872" s="201"/>
      <c r="AH872" s="202"/>
      <c r="AI872" s="201"/>
      <c r="AJ872" s="201"/>
      <c r="AK872" s="70"/>
      <c r="AL872" s="70"/>
      <c r="AM872" s="70"/>
      <c r="AN872" s="70"/>
      <c r="AO872" s="70"/>
      <c r="AP872" s="70"/>
      <c r="AQ872" s="70"/>
      <c r="AR872" s="70"/>
      <c r="AS872" s="70"/>
      <c r="AT872" s="70"/>
      <c r="AU872" s="70"/>
      <c r="AV872" s="70"/>
      <c r="AW872" s="70"/>
      <c r="AX872" s="70"/>
    </row>
    <row r="873">
      <c r="A873" s="8"/>
      <c r="B873" s="70"/>
      <c r="C873" s="70"/>
      <c r="D873" s="70"/>
      <c r="E873" s="8"/>
      <c r="F873" s="70"/>
      <c r="G873" s="70"/>
      <c r="H873" s="70"/>
      <c r="I873" s="8"/>
      <c r="J873" s="70"/>
      <c r="K873" s="70"/>
      <c r="L873" s="70"/>
      <c r="M873" s="8"/>
      <c r="N873" s="70"/>
      <c r="O873" s="70"/>
      <c r="P873" s="70"/>
      <c r="Q873" s="8"/>
      <c r="R873" s="70"/>
      <c r="S873" s="70"/>
      <c r="T873" s="70"/>
      <c r="U873" s="8"/>
      <c r="V873" s="70"/>
      <c r="W873" s="70"/>
      <c r="X873" s="70"/>
      <c r="Y873" s="200"/>
      <c r="Z873" s="195"/>
      <c r="AA873" s="195"/>
      <c r="AB873" s="195"/>
      <c r="AC873" s="8"/>
      <c r="AD873" s="70"/>
      <c r="AE873" s="70"/>
      <c r="AF873" s="70"/>
      <c r="AG873" s="201"/>
      <c r="AH873" s="202"/>
      <c r="AI873" s="201"/>
      <c r="AJ873" s="201"/>
      <c r="AK873" s="70"/>
      <c r="AL873" s="70"/>
      <c r="AM873" s="70"/>
      <c r="AN873" s="70"/>
      <c r="AO873" s="70"/>
      <c r="AP873" s="70"/>
      <c r="AQ873" s="70"/>
      <c r="AR873" s="70"/>
      <c r="AS873" s="70"/>
      <c r="AT873" s="70"/>
      <c r="AU873" s="70"/>
      <c r="AV873" s="70"/>
      <c r="AW873" s="70"/>
      <c r="AX873" s="70"/>
    </row>
    <row r="874">
      <c r="A874" s="8"/>
      <c r="B874" s="70"/>
      <c r="C874" s="70"/>
      <c r="D874" s="70"/>
      <c r="E874" s="8"/>
      <c r="F874" s="70"/>
      <c r="G874" s="70"/>
      <c r="H874" s="70"/>
      <c r="I874" s="8"/>
      <c r="J874" s="70"/>
      <c r="K874" s="70"/>
      <c r="L874" s="70"/>
      <c r="M874" s="8"/>
      <c r="N874" s="70"/>
      <c r="O874" s="70"/>
      <c r="P874" s="70"/>
      <c r="Q874" s="8"/>
      <c r="R874" s="70"/>
      <c r="S874" s="70"/>
      <c r="T874" s="70"/>
      <c r="U874" s="8"/>
      <c r="V874" s="70"/>
      <c r="W874" s="70"/>
      <c r="X874" s="70"/>
      <c r="Y874" s="200"/>
      <c r="Z874" s="195"/>
      <c r="AA874" s="195"/>
      <c r="AB874" s="195"/>
      <c r="AC874" s="8"/>
      <c r="AD874" s="70"/>
      <c r="AE874" s="70"/>
      <c r="AF874" s="70"/>
      <c r="AG874" s="201"/>
      <c r="AH874" s="202"/>
      <c r="AI874" s="201"/>
      <c r="AJ874" s="201"/>
      <c r="AK874" s="70"/>
      <c r="AL874" s="70"/>
      <c r="AM874" s="70"/>
      <c r="AN874" s="70"/>
      <c r="AO874" s="70"/>
      <c r="AP874" s="70"/>
      <c r="AQ874" s="70"/>
      <c r="AR874" s="70"/>
      <c r="AS874" s="70"/>
      <c r="AT874" s="70"/>
      <c r="AU874" s="70"/>
      <c r="AV874" s="70"/>
      <c r="AW874" s="70"/>
      <c r="AX874" s="70"/>
    </row>
    <row r="875">
      <c r="A875" s="8"/>
      <c r="B875" s="70"/>
      <c r="C875" s="70"/>
      <c r="D875" s="70"/>
      <c r="E875" s="8"/>
      <c r="F875" s="70"/>
      <c r="G875" s="70"/>
      <c r="H875" s="70"/>
      <c r="I875" s="8"/>
      <c r="J875" s="70"/>
      <c r="K875" s="70"/>
      <c r="L875" s="70"/>
      <c r="M875" s="8"/>
      <c r="N875" s="70"/>
      <c r="O875" s="70"/>
      <c r="P875" s="70"/>
      <c r="Q875" s="8"/>
      <c r="R875" s="70"/>
      <c r="S875" s="70"/>
      <c r="T875" s="70"/>
      <c r="U875" s="8"/>
      <c r="V875" s="70"/>
      <c r="W875" s="70"/>
      <c r="X875" s="70"/>
      <c r="Y875" s="200"/>
      <c r="Z875" s="195"/>
      <c r="AA875" s="195"/>
      <c r="AB875" s="195"/>
      <c r="AC875" s="8"/>
      <c r="AD875" s="70"/>
      <c r="AE875" s="70"/>
      <c r="AF875" s="70"/>
      <c r="AG875" s="201"/>
      <c r="AH875" s="202"/>
      <c r="AI875" s="201"/>
      <c r="AJ875" s="201"/>
      <c r="AK875" s="70"/>
      <c r="AL875" s="70"/>
      <c r="AM875" s="70"/>
      <c r="AN875" s="70"/>
      <c r="AO875" s="70"/>
      <c r="AP875" s="70"/>
      <c r="AQ875" s="70"/>
      <c r="AR875" s="70"/>
      <c r="AS875" s="70"/>
      <c r="AT875" s="70"/>
      <c r="AU875" s="70"/>
      <c r="AV875" s="70"/>
      <c r="AW875" s="70"/>
      <c r="AX875" s="70"/>
    </row>
    <row r="876">
      <c r="A876" s="8"/>
      <c r="B876" s="70"/>
      <c r="C876" s="70"/>
      <c r="D876" s="70"/>
      <c r="E876" s="8"/>
      <c r="F876" s="70"/>
      <c r="G876" s="70"/>
      <c r="H876" s="70"/>
      <c r="I876" s="8"/>
      <c r="J876" s="70"/>
      <c r="K876" s="70"/>
      <c r="L876" s="70"/>
      <c r="M876" s="8"/>
      <c r="N876" s="70"/>
      <c r="O876" s="70"/>
      <c r="P876" s="70"/>
      <c r="Q876" s="8"/>
      <c r="R876" s="70"/>
      <c r="S876" s="70"/>
      <c r="T876" s="70"/>
      <c r="U876" s="8"/>
      <c r="V876" s="70"/>
      <c r="W876" s="70"/>
      <c r="X876" s="70"/>
      <c r="Y876" s="200"/>
      <c r="Z876" s="195"/>
      <c r="AA876" s="195"/>
      <c r="AB876" s="195"/>
      <c r="AC876" s="8"/>
      <c r="AD876" s="70"/>
      <c r="AE876" s="70"/>
      <c r="AF876" s="70"/>
      <c r="AG876" s="201"/>
      <c r="AH876" s="202"/>
      <c r="AI876" s="201"/>
      <c r="AJ876" s="201"/>
      <c r="AK876" s="70"/>
      <c r="AL876" s="70"/>
      <c r="AM876" s="70"/>
      <c r="AN876" s="70"/>
      <c r="AO876" s="70"/>
      <c r="AP876" s="70"/>
      <c r="AQ876" s="70"/>
      <c r="AR876" s="70"/>
      <c r="AS876" s="70"/>
      <c r="AT876" s="70"/>
      <c r="AU876" s="70"/>
      <c r="AV876" s="70"/>
      <c r="AW876" s="70"/>
      <c r="AX876" s="70"/>
    </row>
    <row r="877">
      <c r="A877" s="8"/>
      <c r="B877" s="70"/>
      <c r="C877" s="70"/>
      <c r="D877" s="70"/>
      <c r="E877" s="8"/>
      <c r="F877" s="70"/>
      <c r="G877" s="70"/>
      <c r="H877" s="70"/>
      <c r="I877" s="8"/>
      <c r="J877" s="70"/>
      <c r="K877" s="70"/>
      <c r="L877" s="70"/>
      <c r="M877" s="8"/>
      <c r="N877" s="70"/>
      <c r="O877" s="70"/>
      <c r="P877" s="70"/>
      <c r="Q877" s="8"/>
      <c r="R877" s="70"/>
      <c r="S877" s="70"/>
      <c r="T877" s="70"/>
      <c r="U877" s="8"/>
      <c r="V877" s="70"/>
      <c r="W877" s="70"/>
      <c r="X877" s="70"/>
      <c r="Y877" s="200"/>
      <c r="Z877" s="195"/>
      <c r="AA877" s="195"/>
      <c r="AB877" s="195"/>
      <c r="AC877" s="8"/>
      <c r="AD877" s="70"/>
      <c r="AE877" s="70"/>
      <c r="AF877" s="70"/>
      <c r="AG877" s="201"/>
      <c r="AH877" s="202"/>
      <c r="AI877" s="201"/>
      <c r="AJ877" s="201"/>
      <c r="AK877" s="70"/>
      <c r="AL877" s="70"/>
      <c r="AM877" s="70"/>
      <c r="AN877" s="70"/>
      <c r="AO877" s="70"/>
      <c r="AP877" s="70"/>
      <c r="AQ877" s="70"/>
      <c r="AR877" s="70"/>
      <c r="AS877" s="70"/>
      <c r="AT877" s="70"/>
      <c r="AU877" s="70"/>
      <c r="AV877" s="70"/>
      <c r="AW877" s="70"/>
      <c r="AX877" s="70"/>
    </row>
    <row r="878">
      <c r="A878" s="8"/>
      <c r="B878" s="70"/>
      <c r="C878" s="70"/>
      <c r="D878" s="70"/>
      <c r="E878" s="8"/>
      <c r="F878" s="70"/>
      <c r="G878" s="70"/>
      <c r="H878" s="70"/>
      <c r="I878" s="8"/>
      <c r="J878" s="70"/>
      <c r="K878" s="70"/>
      <c r="L878" s="70"/>
      <c r="M878" s="8"/>
      <c r="N878" s="70"/>
      <c r="O878" s="70"/>
      <c r="P878" s="70"/>
      <c r="Q878" s="8"/>
      <c r="R878" s="70"/>
      <c r="S878" s="70"/>
      <c r="T878" s="70"/>
      <c r="U878" s="8"/>
      <c r="V878" s="70"/>
      <c r="W878" s="70"/>
      <c r="X878" s="70"/>
      <c r="Y878" s="200"/>
      <c r="Z878" s="195"/>
      <c r="AA878" s="195"/>
      <c r="AB878" s="195"/>
      <c r="AC878" s="8"/>
      <c r="AD878" s="70"/>
      <c r="AE878" s="70"/>
      <c r="AF878" s="70"/>
      <c r="AG878" s="201"/>
      <c r="AH878" s="202"/>
      <c r="AI878" s="201"/>
      <c r="AJ878" s="201"/>
      <c r="AK878" s="70"/>
      <c r="AL878" s="70"/>
      <c r="AM878" s="70"/>
      <c r="AN878" s="70"/>
      <c r="AO878" s="70"/>
      <c r="AP878" s="70"/>
      <c r="AQ878" s="70"/>
      <c r="AR878" s="70"/>
      <c r="AS878" s="70"/>
      <c r="AT878" s="70"/>
      <c r="AU878" s="70"/>
      <c r="AV878" s="70"/>
      <c r="AW878" s="70"/>
      <c r="AX878" s="70"/>
    </row>
    <row r="879">
      <c r="A879" s="8"/>
      <c r="B879" s="70"/>
      <c r="C879" s="70"/>
      <c r="D879" s="70"/>
      <c r="E879" s="8"/>
      <c r="F879" s="70"/>
      <c r="G879" s="70"/>
      <c r="H879" s="70"/>
      <c r="I879" s="8"/>
      <c r="J879" s="70"/>
      <c r="K879" s="70"/>
      <c r="L879" s="70"/>
      <c r="M879" s="8"/>
      <c r="N879" s="70"/>
      <c r="O879" s="70"/>
      <c r="P879" s="70"/>
      <c r="Q879" s="8"/>
      <c r="R879" s="70"/>
      <c r="S879" s="70"/>
      <c r="T879" s="70"/>
      <c r="U879" s="8"/>
      <c r="V879" s="70"/>
      <c r="W879" s="70"/>
      <c r="X879" s="70"/>
      <c r="Y879" s="200"/>
      <c r="Z879" s="195"/>
      <c r="AA879" s="195"/>
      <c r="AB879" s="195"/>
      <c r="AC879" s="8"/>
      <c r="AD879" s="70"/>
      <c r="AE879" s="70"/>
      <c r="AF879" s="70"/>
      <c r="AG879" s="201"/>
      <c r="AH879" s="202"/>
      <c r="AI879" s="201"/>
      <c r="AJ879" s="201"/>
      <c r="AK879" s="70"/>
      <c r="AL879" s="70"/>
      <c r="AM879" s="70"/>
      <c r="AN879" s="70"/>
      <c r="AO879" s="70"/>
      <c r="AP879" s="70"/>
      <c r="AQ879" s="70"/>
      <c r="AR879" s="70"/>
      <c r="AS879" s="70"/>
      <c r="AT879" s="70"/>
      <c r="AU879" s="70"/>
      <c r="AV879" s="70"/>
      <c r="AW879" s="70"/>
      <c r="AX879" s="70"/>
    </row>
    <row r="880">
      <c r="A880" s="8"/>
      <c r="B880" s="70"/>
      <c r="C880" s="70"/>
      <c r="D880" s="70"/>
      <c r="E880" s="8"/>
      <c r="F880" s="70"/>
      <c r="G880" s="70"/>
      <c r="H880" s="70"/>
      <c r="I880" s="8"/>
      <c r="J880" s="70"/>
      <c r="K880" s="70"/>
      <c r="L880" s="70"/>
      <c r="M880" s="8"/>
      <c r="N880" s="70"/>
      <c r="O880" s="70"/>
      <c r="P880" s="70"/>
      <c r="Q880" s="8"/>
      <c r="R880" s="70"/>
      <c r="S880" s="70"/>
      <c r="T880" s="70"/>
      <c r="U880" s="8"/>
      <c r="V880" s="70"/>
      <c r="W880" s="70"/>
      <c r="X880" s="70"/>
      <c r="Y880" s="200"/>
      <c r="Z880" s="195"/>
      <c r="AA880" s="195"/>
      <c r="AB880" s="195"/>
      <c r="AC880" s="8"/>
      <c r="AD880" s="70"/>
      <c r="AE880" s="70"/>
      <c r="AF880" s="70"/>
      <c r="AG880" s="201"/>
      <c r="AH880" s="202"/>
      <c r="AI880" s="201"/>
      <c r="AJ880" s="201"/>
      <c r="AK880" s="70"/>
      <c r="AL880" s="70"/>
      <c r="AM880" s="70"/>
      <c r="AN880" s="70"/>
      <c r="AO880" s="70"/>
      <c r="AP880" s="70"/>
      <c r="AQ880" s="70"/>
      <c r="AR880" s="70"/>
      <c r="AS880" s="70"/>
      <c r="AT880" s="70"/>
      <c r="AU880" s="70"/>
      <c r="AV880" s="70"/>
      <c r="AW880" s="70"/>
      <c r="AX880" s="70"/>
    </row>
    <row r="881">
      <c r="A881" s="8"/>
      <c r="B881" s="70"/>
      <c r="C881" s="70"/>
      <c r="D881" s="70"/>
      <c r="E881" s="8"/>
      <c r="F881" s="70"/>
      <c r="G881" s="70"/>
      <c r="H881" s="70"/>
      <c r="I881" s="8"/>
      <c r="J881" s="70"/>
      <c r="K881" s="70"/>
      <c r="L881" s="70"/>
      <c r="M881" s="8"/>
      <c r="N881" s="70"/>
      <c r="O881" s="70"/>
      <c r="P881" s="70"/>
      <c r="Q881" s="8"/>
      <c r="R881" s="70"/>
      <c r="S881" s="70"/>
      <c r="T881" s="70"/>
      <c r="U881" s="8"/>
      <c r="V881" s="70"/>
      <c r="W881" s="70"/>
      <c r="X881" s="70"/>
      <c r="Y881" s="200"/>
      <c r="Z881" s="195"/>
      <c r="AA881" s="195"/>
      <c r="AB881" s="195"/>
      <c r="AC881" s="8"/>
      <c r="AD881" s="70"/>
      <c r="AE881" s="70"/>
      <c r="AF881" s="70"/>
      <c r="AG881" s="201"/>
      <c r="AH881" s="202"/>
      <c r="AI881" s="201"/>
      <c r="AJ881" s="201"/>
      <c r="AK881" s="70"/>
      <c r="AL881" s="70"/>
      <c r="AM881" s="70"/>
      <c r="AN881" s="70"/>
      <c r="AO881" s="70"/>
      <c r="AP881" s="70"/>
      <c r="AQ881" s="70"/>
      <c r="AR881" s="70"/>
      <c r="AS881" s="70"/>
      <c r="AT881" s="70"/>
      <c r="AU881" s="70"/>
      <c r="AV881" s="70"/>
      <c r="AW881" s="70"/>
      <c r="AX881" s="70"/>
    </row>
    <row r="882">
      <c r="A882" s="8"/>
      <c r="B882" s="70"/>
      <c r="C882" s="70"/>
      <c r="D882" s="70"/>
      <c r="E882" s="8"/>
      <c r="F882" s="70"/>
      <c r="G882" s="70"/>
      <c r="H882" s="70"/>
      <c r="I882" s="8"/>
      <c r="J882" s="70"/>
      <c r="K882" s="70"/>
      <c r="L882" s="70"/>
      <c r="M882" s="8"/>
      <c r="N882" s="70"/>
      <c r="O882" s="70"/>
      <c r="P882" s="70"/>
      <c r="Q882" s="8"/>
      <c r="R882" s="70"/>
      <c r="S882" s="70"/>
      <c r="T882" s="70"/>
      <c r="U882" s="8"/>
      <c r="V882" s="70"/>
      <c r="W882" s="70"/>
      <c r="X882" s="70"/>
      <c r="Y882" s="200"/>
      <c r="Z882" s="195"/>
      <c r="AA882" s="195"/>
      <c r="AB882" s="195"/>
      <c r="AC882" s="8"/>
      <c r="AD882" s="70"/>
      <c r="AE882" s="70"/>
      <c r="AF882" s="70"/>
      <c r="AG882" s="201"/>
      <c r="AH882" s="202"/>
      <c r="AI882" s="201"/>
      <c r="AJ882" s="201"/>
      <c r="AK882" s="70"/>
      <c r="AL882" s="70"/>
      <c r="AM882" s="70"/>
      <c r="AN882" s="70"/>
      <c r="AO882" s="70"/>
      <c r="AP882" s="70"/>
      <c r="AQ882" s="70"/>
      <c r="AR882" s="70"/>
      <c r="AS882" s="70"/>
      <c r="AT882" s="70"/>
      <c r="AU882" s="70"/>
      <c r="AV882" s="70"/>
      <c r="AW882" s="70"/>
      <c r="AX882" s="70"/>
    </row>
    <row r="883">
      <c r="A883" s="8"/>
      <c r="B883" s="70"/>
      <c r="C883" s="70"/>
      <c r="D883" s="70"/>
      <c r="E883" s="8"/>
      <c r="F883" s="70"/>
      <c r="G883" s="70"/>
      <c r="H883" s="70"/>
      <c r="I883" s="8"/>
      <c r="J883" s="70"/>
      <c r="K883" s="70"/>
      <c r="L883" s="70"/>
      <c r="M883" s="8"/>
      <c r="N883" s="70"/>
      <c r="O883" s="70"/>
      <c r="P883" s="70"/>
      <c r="Q883" s="8"/>
      <c r="R883" s="70"/>
      <c r="S883" s="70"/>
      <c r="T883" s="70"/>
      <c r="U883" s="8"/>
      <c r="V883" s="70"/>
      <c r="W883" s="70"/>
      <c r="X883" s="70"/>
      <c r="Y883" s="200"/>
      <c r="Z883" s="195"/>
      <c r="AA883" s="195"/>
      <c r="AB883" s="195"/>
      <c r="AC883" s="8"/>
      <c r="AD883" s="70"/>
      <c r="AE883" s="70"/>
      <c r="AF883" s="70"/>
      <c r="AG883" s="201"/>
      <c r="AH883" s="202"/>
      <c r="AI883" s="201"/>
      <c r="AJ883" s="201"/>
      <c r="AK883" s="70"/>
      <c r="AL883" s="70"/>
      <c r="AM883" s="70"/>
      <c r="AN883" s="70"/>
      <c r="AO883" s="70"/>
      <c r="AP883" s="70"/>
      <c r="AQ883" s="70"/>
      <c r="AR883" s="70"/>
      <c r="AS883" s="70"/>
      <c r="AT883" s="70"/>
      <c r="AU883" s="70"/>
      <c r="AV883" s="70"/>
      <c r="AW883" s="70"/>
      <c r="AX883" s="70"/>
    </row>
    <row r="884">
      <c r="A884" s="8"/>
      <c r="B884" s="70"/>
      <c r="C884" s="70"/>
      <c r="D884" s="70"/>
      <c r="E884" s="8"/>
      <c r="F884" s="70"/>
      <c r="G884" s="70"/>
      <c r="H884" s="70"/>
      <c r="I884" s="8"/>
      <c r="J884" s="70"/>
      <c r="K884" s="70"/>
      <c r="L884" s="70"/>
      <c r="M884" s="8"/>
      <c r="N884" s="70"/>
      <c r="O884" s="70"/>
      <c r="P884" s="70"/>
      <c r="Q884" s="8"/>
      <c r="R884" s="70"/>
      <c r="S884" s="70"/>
      <c r="T884" s="70"/>
      <c r="U884" s="8"/>
      <c r="V884" s="70"/>
      <c r="W884" s="70"/>
      <c r="X884" s="70"/>
      <c r="Y884" s="200"/>
      <c r="Z884" s="195"/>
      <c r="AA884" s="195"/>
      <c r="AB884" s="195"/>
      <c r="AC884" s="8"/>
      <c r="AD884" s="70"/>
      <c r="AE884" s="70"/>
      <c r="AF884" s="70"/>
      <c r="AG884" s="201"/>
      <c r="AH884" s="202"/>
      <c r="AI884" s="201"/>
      <c r="AJ884" s="201"/>
      <c r="AK884" s="70"/>
      <c r="AL884" s="70"/>
      <c r="AM884" s="70"/>
      <c r="AN884" s="70"/>
      <c r="AO884" s="70"/>
      <c r="AP884" s="70"/>
      <c r="AQ884" s="70"/>
      <c r="AR884" s="70"/>
      <c r="AS884" s="70"/>
      <c r="AT884" s="70"/>
      <c r="AU884" s="70"/>
      <c r="AV884" s="70"/>
      <c r="AW884" s="70"/>
      <c r="AX884" s="70"/>
    </row>
    <row r="885">
      <c r="A885" s="8"/>
      <c r="B885" s="70"/>
      <c r="C885" s="70"/>
      <c r="D885" s="70"/>
      <c r="E885" s="8"/>
      <c r="F885" s="70"/>
      <c r="G885" s="70"/>
      <c r="H885" s="70"/>
      <c r="I885" s="8"/>
      <c r="J885" s="70"/>
      <c r="K885" s="70"/>
      <c r="L885" s="70"/>
      <c r="M885" s="8"/>
      <c r="N885" s="70"/>
      <c r="O885" s="70"/>
      <c r="P885" s="70"/>
      <c r="Q885" s="8"/>
      <c r="R885" s="70"/>
      <c r="S885" s="70"/>
      <c r="T885" s="70"/>
      <c r="U885" s="8"/>
      <c r="V885" s="70"/>
      <c r="W885" s="70"/>
      <c r="X885" s="70"/>
      <c r="Y885" s="200"/>
      <c r="Z885" s="195"/>
      <c r="AA885" s="195"/>
      <c r="AB885" s="195"/>
      <c r="AC885" s="8"/>
      <c r="AD885" s="70"/>
      <c r="AE885" s="70"/>
      <c r="AF885" s="70"/>
      <c r="AG885" s="201"/>
      <c r="AH885" s="202"/>
      <c r="AI885" s="201"/>
      <c r="AJ885" s="201"/>
      <c r="AK885" s="70"/>
      <c r="AL885" s="70"/>
      <c r="AM885" s="70"/>
      <c r="AN885" s="70"/>
      <c r="AO885" s="70"/>
      <c r="AP885" s="70"/>
      <c r="AQ885" s="70"/>
      <c r="AR885" s="70"/>
      <c r="AS885" s="70"/>
      <c r="AT885" s="70"/>
      <c r="AU885" s="70"/>
      <c r="AV885" s="70"/>
      <c r="AW885" s="70"/>
      <c r="AX885" s="70"/>
    </row>
    <row r="886">
      <c r="A886" s="8"/>
      <c r="B886" s="70"/>
      <c r="C886" s="70"/>
      <c r="D886" s="70"/>
      <c r="E886" s="8"/>
      <c r="F886" s="70"/>
      <c r="G886" s="70"/>
      <c r="H886" s="70"/>
      <c r="I886" s="8"/>
      <c r="J886" s="70"/>
      <c r="K886" s="70"/>
      <c r="L886" s="70"/>
      <c r="M886" s="8"/>
      <c r="N886" s="70"/>
      <c r="O886" s="70"/>
      <c r="P886" s="70"/>
      <c r="Q886" s="8"/>
      <c r="R886" s="70"/>
      <c r="S886" s="70"/>
      <c r="T886" s="70"/>
      <c r="U886" s="8"/>
      <c r="V886" s="70"/>
      <c r="W886" s="70"/>
      <c r="X886" s="70"/>
      <c r="Y886" s="200"/>
      <c r="Z886" s="195"/>
      <c r="AA886" s="195"/>
      <c r="AB886" s="195"/>
      <c r="AC886" s="8"/>
      <c r="AD886" s="70"/>
      <c r="AE886" s="70"/>
      <c r="AF886" s="70"/>
      <c r="AG886" s="201"/>
      <c r="AH886" s="202"/>
      <c r="AI886" s="201"/>
      <c r="AJ886" s="201"/>
      <c r="AK886" s="70"/>
      <c r="AL886" s="70"/>
      <c r="AM886" s="70"/>
      <c r="AN886" s="70"/>
      <c r="AO886" s="70"/>
      <c r="AP886" s="70"/>
      <c r="AQ886" s="70"/>
      <c r="AR886" s="70"/>
      <c r="AS886" s="70"/>
      <c r="AT886" s="70"/>
      <c r="AU886" s="70"/>
      <c r="AV886" s="70"/>
      <c r="AW886" s="70"/>
      <c r="AX886" s="70"/>
    </row>
    <row r="887">
      <c r="A887" s="8"/>
      <c r="B887" s="70"/>
      <c r="C887" s="70"/>
      <c r="D887" s="70"/>
      <c r="E887" s="8"/>
      <c r="F887" s="70"/>
      <c r="G887" s="70"/>
      <c r="H887" s="70"/>
      <c r="I887" s="8"/>
      <c r="J887" s="70"/>
      <c r="K887" s="70"/>
      <c r="L887" s="70"/>
      <c r="M887" s="8"/>
      <c r="N887" s="70"/>
      <c r="O887" s="70"/>
      <c r="P887" s="70"/>
      <c r="Q887" s="8"/>
      <c r="R887" s="70"/>
      <c r="S887" s="70"/>
      <c r="T887" s="70"/>
      <c r="U887" s="8"/>
      <c r="V887" s="70"/>
      <c r="W887" s="70"/>
      <c r="X887" s="70"/>
      <c r="Y887" s="200"/>
      <c r="Z887" s="195"/>
      <c r="AA887" s="195"/>
      <c r="AB887" s="195"/>
      <c r="AC887" s="8"/>
      <c r="AD887" s="70"/>
      <c r="AE887" s="70"/>
      <c r="AF887" s="70"/>
      <c r="AG887" s="201"/>
      <c r="AH887" s="202"/>
      <c r="AI887" s="201"/>
      <c r="AJ887" s="201"/>
      <c r="AK887" s="70"/>
      <c r="AL887" s="70"/>
      <c r="AM887" s="70"/>
      <c r="AN887" s="70"/>
      <c r="AO887" s="70"/>
      <c r="AP887" s="70"/>
      <c r="AQ887" s="70"/>
      <c r="AR887" s="70"/>
      <c r="AS887" s="70"/>
      <c r="AT887" s="70"/>
      <c r="AU887" s="70"/>
      <c r="AV887" s="70"/>
      <c r="AW887" s="70"/>
      <c r="AX887" s="70"/>
    </row>
    <row r="888">
      <c r="A888" s="8"/>
      <c r="B888" s="70"/>
      <c r="C888" s="70"/>
      <c r="D888" s="70"/>
      <c r="E888" s="8"/>
      <c r="F888" s="70"/>
      <c r="G888" s="70"/>
      <c r="H888" s="70"/>
      <c r="I888" s="8"/>
      <c r="J888" s="70"/>
      <c r="K888" s="70"/>
      <c r="L888" s="70"/>
      <c r="M888" s="8"/>
      <c r="N888" s="70"/>
      <c r="O888" s="70"/>
      <c r="P888" s="70"/>
      <c r="Q888" s="8"/>
      <c r="R888" s="70"/>
      <c r="S888" s="70"/>
      <c r="T888" s="70"/>
      <c r="U888" s="8"/>
      <c r="V888" s="70"/>
      <c r="W888" s="70"/>
      <c r="X888" s="70"/>
      <c r="Y888" s="200"/>
      <c r="Z888" s="195"/>
      <c r="AA888" s="195"/>
      <c r="AB888" s="195"/>
      <c r="AC888" s="8"/>
      <c r="AD888" s="70"/>
      <c r="AE888" s="70"/>
      <c r="AF888" s="70"/>
      <c r="AG888" s="201"/>
      <c r="AH888" s="202"/>
      <c r="AI888" s="201"/>
      <c r="AJ888" s="201"/>
      <c r="AK888" s="70"/>
      <c r="AL888" s="70"/>
      <c r="AM888" s="70"/>
      <c r="AN888" s="70"/>
      <c r="AO888" s="70"/>
      <c r="AP888" s="70"/>
      <c r="AQ888" s="70"/>
      <c r="AR888" s="70"/>
      <c r="AS888" s="70"/>
      <c r="AT888" s="70"/>
      <c r="AU888" s="70"/>
      <c r="AV888" s="70"/>
      <c r="AW888" s="70"/>
      <c r="AX888" s="70"/>
    </row>
    <row r="889">
      <c r="A889" s="8"/>
      <c r="B889" s="70"/>
      <c r="C889" s="70"/>
      <c r="D889" s="70"/>
      <c r="E889" s="8"/>
      <c r="F889" s="70"/>
      <c r="G889" s="70"/>
      <c r="H889" s="70"/>
      <c r="I889" s="8"/>
      <c r="J889" s="70"/>
      <c r="K889" s="70"/>
      <c r="L889" s="70"/>
      <c r="M889" s="8"/>
      <c r="N889" s="70"/>
      <c r="O889" s="70"/>
      <c r="P889" s="70"/>
      <c r="Q889" s="8"/>
      <c r="R889" s="70"/>
      <c r="S889" s="70"/>
      <c r="T889" s="70"/>
      <c r="U889" s="8"/>
      <c r="V889" s="70"/>
      <c r="W889" s="70"/>
      <c r="X889" s="70"/>
      <c r="Y889" s="200"/>
      <c r="Z889" s="195"/>
      <c r="AA889" s="195"/>
      <c r="AB889" s="195"/>
      <c r="AC889" s="8"/>
      <c r="AD889" s="70"/>
      <c r="AE889" s="70"/>
      <c r="AF889" s="70"/>
      <c r="AG889" s="201"/>
      <c r="AH889" s="202"/>
      <c r="AI889" s="201"/>
      <c r="AJ889" s="201"/>
      <c r="AK889" s="70"/>
      <c r="AL889" s="70"/>
      <c r="AM889" s="70"/>
      <c r="AN889" s="70"/>
      <c r="AO889" s="70"/>
      <c r="AP889" s="70"/>
      <c r="AQ889" s="70"/>
      <c r="AR889" s="70"/>
      <c r="AS889" s="70"/>
      <c r="AT889" s="70"/>
      <c r="AU889" s="70"/>
      <c r="AV889" s="70"/>
      <c r="AW889" s="70"/>
      <c r="AX889" s="70"/>
    </row>
    <row r="890">
      <c r="A890" s="8"/>
      <c r="B890" s="70"/>
      <c r="C890" s="70"/>
      <c r="D890" s="70"/>
      <c r="E890" s="8"/>
      <c r="F890" s="70"/>
      <c r="G890" s="70"/>
      <c r="H890" s="70"/>
      <c r="I890" s="8"/>
      <c r="J890" s="70"/>
      <c r="K890" s="70"/>
      <c r="L890" s="70"/>
      <c r="M890" s="8"/>
      <c r="N890" s="70"/>
      <c r="O890" s="70"/>
      <c r="P890" s="70"/>
      <c r="Q890" s="8"/>
      <c r="R890" s="70"/>
      <c r="S890" s="70"/>
      <c r="T890" s="70"/>
      <c r="U890" s="8"/>
      <c r="V890" s="70"/>
      <c r="W890" s="70"/>
      <c r="X890" s="70"/>
      <c r="Y890" s="200"/>
      <c r="Z890" s="195"/>
      <c r="AA890" s="195"/>
      <c r="AB890" s="195"/>
      <c r="AC890" s="8"/>
      <c r="AD890" s="70"/>
      <c r="AE890" s="70"/>
      <c r="AF890" s="70"/>
      <c r="AG890" s="201"/>
      <c r="AH890" s="202"/>
      <c r="AI890" s="201"/>
      <c r="AJ890" s="201"/>
      <c r="AK890" s="70"/>
      <c r="AL890" s="70"/>
      <c r="AM890" s="70"/>
      <c r="AN890" s="70"/>
      <c r="AO890" s="70"/>
      <c r="AP890" s="70"/>
      <c r="AQ890" s="70"/>
      <c r="AR890" s="70"/>
      <c r="AS890" s="70"/>
      <c r="AT890" s="70"/>
      <c r="AU890" s="70"/>
      <c r="AV890" s="70"/>
      <c r="AW890" s="70"/>
      <c r="AX890" s="70"/>
    </row>
    <row r="891">
      <c r="A891" s="8"/>
      <c r="B891" s="70"/>
      <c r="C891" s="70"/>
      <c r="D891" s="70"/>
      <c r="E891" s="8"/>
      <c r="F891" s="70"/>
      <c r="G891" s="70"/>
      <c r="H891" s="70"/>
      <c r="I891" s="8"/>
      <c r="J891" s="70"/>
      <c r="K891" s="70"/>
      <c r="L891" s="70"/>
      <c r="M891" s="8"/>
      <c r="N891" s="70"/>
      <c r="O891" s="70"/>
      <c r="P891" s="70"/>
      <c r="Q891" s="8"/>
      <c r="R891" s="70"/>
      <c r="S891" s="70"/>
      <c r="T891" s="70"/>
      <c r="U891" s="8"/>
      <c r="V891" s="70"/>
      <c r="W891" s="70"/>
      <c r="X891" s="70"/>
      <c r="Y891" s="200"/>
      <c r="Z891" s="195"/>
      <c r="AA891" s="195"/>
      <c r="AB891" s="195"/>
      <c r="AC891" s="8"/>
      <c r="AD891" s="70"/>
      <c r="AE891" s="70"/>
      <c r="AF891" s="70"/>
      <c r="AG891" s="201"/>
      <c r="AH891" s="202"/>
      <c r="AI891" s="201"/>
      <c r="AJ891" s="201"/>
      <c r="AK891" s="70"/>
      <c r="AL891" s="70"/>
      <c r="AM891" s="70"/>
      <c r="AN891" s="70"/>
      <c r="AO891" s="70"/>
      <c r="AP891" s="70"/>
      <c r="AQ891" s="70"/>
      <c r="AR891" s="70"/>
      <c r="AS891" s="70"/>
      <c r="AT891" s="70"/>
      <c r="AU891" s="70"/>
      <c r="AV891" s="70"/>
      <c r="AW891" s="70"/>
      <c r="AX891" s="70"/>
    </row>
    <row r="892">
      <c r="A892" s="8"/>
      <c r="B892" s="70"/>
      <c r="C892" s="70"/>
      <c r="D892" s="70"/>
      <c r="E892" s="8"/>
      <c r="F892" s="70"/>
      <c r="G892" s="70"/>
      <c r="H892" s="70"/>
      <c r="I892" s="8"/>
      <c r="J892" s="70"/>
      <c r="K892" s="70"/>
      <c r="L892" s="70"/>
      <c r="M892" s="8"/>
      <c r="N892" s="70"/>
      <c r="O892" s="70"/>
      <c r="P892" s="70"/>
      <c r="Q892" s="8"/>
      <c r="R892" s="70"/>
      <c r="S892" s="70"/>
      <c r="T892" s="70"/>
      <c r="U892" s="8"/>
      <c r="V892" s="70"/>
      <c r="W892" s="70"/>
      <c r="X892" s="70"/>
      <c r="Y892" s="200"/>
      <c r="Z892" s="195"/>
      <c r="AA892" s="195"/>
      <c r="AB892" s="195"/>
      <c r="AC892" s="8"/>
      <c r="AD892" s="70"/>
      <c r="AE892" s="70"/>
      <c r="AF892" s="70"/>
      <c r="AG892" s="201"/>
      <c r="AH892" s="202"/>
      <c r="AI892" s="201"/>
      <c r="AJ892" s="201"/>
      <c r="AK892" s="70"/>
      <c r="AL892" s="70"/>
      <c r="AM892" s="70"/>
      <c r="AN892" s="70"/>
      <c r="AO892" s="70"/>
      <c r="AP892" s="70"/>
      <c r="AQ892" s="70"/>
      <c r="AR892" s="70"/>
      <c r="AS892" s="70"/>
      <c r="AT892" s="70"/>
      <c r="AU892" s="70"/>
      <c r="AV892" s="70"/>
      <c r="AW892" s="70"/>
      <c r="AX892" s="70"/>
    </row>
    <row r="893">
      <c r="A893" s="8"/>
      <c r="B893" s="70"/>
      <c r="C893" s="70"/>
      <c r="D893" s="70"/>
      <c r="E893" s="8"/>
      <c r="F893" s="70"/>
      <c r="G893" s="70"/>
      <c r="H893" s="70"/>
      <c r="I893" s="8"/>
      <c r="J893" s="70"/>
      <c r="K893" s="70"/>
      <c r="L893" s="70"/>
      <c r="M893" s="8"/>
      <c r="N893" s="70"/>
      <c r="O893" s="70"/>
      <c r="P893" s="70"/>
      <c r="Q893" s="8"/>
      <c r="R893" s="70"/>
      <c r="S893" s="70"/>
      <c r="T893" s="70"/>
      <c r="U893" s="8"/>
      <c r="V893" s="70"/>
      <c r="W893" s="70"/>
      <c r="X893" s="70"/>
      <c r="Y893" s="200"/>
      <c r="Z893" s="195"/>
      <c r="AA893" s="195"/>
      <c r="AB893" s="195"/>
      <c r="AC893" s="8"/>
      <c r="AD893" s="70"/>
      <c r="AE893" s="70"/>
      <c r="AF893" s="70"/>
      <c r="AG893" s="201"/>
      <c r="AH893" s="202"/>
      <c r="AI893" s="201"/>
      <c r="AJ893" s="201"/>
      <c r="AK893" s="70"/>
      <c r="AL893" s="70"/>
      <c r="AM893" s="70"/>
      <c r="AN893" s="70"/>
      <c r="AO893" s="70"/>
      <c r="AP893" s="70"/>
      <c r="AQ893" s="70"/>
      <c r="AR893" s="70"/>
      <c r="AS893" s="70"/>
      <c r="AT893" s="70"/>
      <c r="AU893" s="70"/>
      <c r="AV893" s="70"/>
      <c r="AW893" s="70"/>
      <c r="AX893" s="70"/>
    </row>
    <row r="894">
      <c r="A894" s="8"/>
      <c r="B894" s="70"/>
      <c r="C894" s="70"/>
      <c r="D894" s="70"/>
      <c r="E894" s="8"/>
      <c r="F894" s="70"/>
      <c r="G894" s="70"/>
      <c r="H894" s="70"/>
      <c r="I894" s="8"/>
      <c r="J894" s="70"/>
      <c r="K894" s="70"/>
      <c r="L894" s="70"/>
      <c r="M894" s="8"/>
      <c r="N894" s="70"/>
      <c r="O894" s="70"/>
      <c r="P894" s="70"/>
      <c r="Q894" s="8"/>
      <c r="R894" s="70"/>
      <c r="S894" s="70"/>
      <c r="T894" s="70"/>
      <c r="U894" s="8"/>
      <c r="V894" s="70"/>
      <c r="W894" s="70"/>
      <c r="X894" s="70"/>
      <c r="Y894" s="200"/>
      <c r="Z894" s="195"/>
      <c r="AA894" s="195"/>
      <c r="AB894" s="195"/>
      <c r="AC894" s="8"/>
      <c r="AD894" s="70"/>
      <c r="AE894" s="70"/>
      <c r="AF894" s="70"/>
      <c r="AG894" s="201"/>
      <c r="AH894" s="202"/>
      <c r="AI894" s="201"/>
      <c r="AJ894" s="201"/>
      <c r="AK894" s="70"/>
      <c r="AL894" s="70"/>
      <c r="AM894" s="70"/>
      <c r="AN894" s="70"/>
      <c r="AO894" s="70"/>
      <c r="AP894" s="70"/>
      <c r="AQ894" s="70"/>
      <c r="AR894" s="70"/>
      <c r="AS894" s="70"/>
      <c r="AT894" s="70"/>
      <c r="AU894" s="70"/>
      <c r="AV894" s="70"/>
      <c r="AW894" s="70"/>
      <c r="AX894" s="70"/>
    </row>
    <row r="895">
      <c r="A895" s="8"/>
      <c r="B895" s="70"/>
      <c r="C895" s="70"/>
      <c r="D895" s="70"/>
      <c r="E895" s="8"/>
      <c r="F895" s="70"/>
      <c r="G895" s="70"/>
      <c r="H895" s="70"/>
      <c r="I895" s="8"/>
      <c r="J895" s="70"/>
      <c r="K895" s="70"/>
      <c r="L895" s="70"/>
      <c r="M895" s="8"/>
      <c r="N895" s="70"/>
      <c r="O895" s="70"/>
      <c r="P895" s="70"/>
      <c r="Q895" s="8"/>
      <c r="R895" s="70"/>
      <c r="S895" s="70"/>
      <c r="T895" s="70"/>
      <c r="U895" s="8"/>
      <c r="V895" s="70"/>
      <c r="W895" s="70"/>
      <c r="X895" s="70"/>
      <c r="Y895" s="200"/>
      <c r="Z895" s="195"/>
      <c r="AA895" s="195"/>
      <c r="AB895" s="195"/>
      <c r="AC895" s="8"/>
      <c r="AD895" s="70"/>
      <c r="AE895" s="70"/>
      <c r="AF895" s="70"/>
      <c r="AG895" s="201"/>
      <c r="AH895" s="202"/>
      <c r="AI895" s="201"/>
      <c r="AJ895" s="201"/>
      <c r="AK895" s="70"/>
      <c r="AL895" s="70"/>
      <c r="AM895" s="70"/>
      <c r="AN895" s="70"/>
      <c r="AO895" s="70"/>
      <c r="AP895" s="70"/>
      <c r="AQ895" s="70"/>
      <c r="AR895" s="70"/>
      <c r="AS895" s="70"/>
      <c r="AT895" s="70"/>
      <c r="AU895" s="70"/>
      <c r="AV895" s="70"/>
      <c r="AW895" s="70"/>
      <c r="AX895" s="70"/>
    </row>
    <row r="896">
      <c r="A896" s="8"/>
      <c r="B896" s="70"/>
      <c r="C896" s="70"/>
      <c r="D896" s="70"/>
      <c r="E896" s="8"/>
      <c r="F896" s="70"/>
      <c r="G896" s="70"/>
      <c r="H896" s="70"/>
      <c r="I896" s="8"/>
      <c r="J896" s="70"/>
      <c r="K896" s="70"/>
      <c r="L896" s="70"/>
      <c r="M896" s="8"/>
      <c r="N896" s="70"/>
      <c r="O896" s="70"/>
      <c r="P896" s="70"/>
      <c r="Q896" s="8"/>
      <c r="R896" s="70"/>
      <c r="S896" s="70"/>
      <c r="T896" s="70"/>
      <c r="U896" s="8"/>
      <c r="V896" s="70"/>
      <c r="W896" s="70"/>
      <c r="X896" s="70"/>
      <c r="Y896" s="200"/>
      <c r="Z896" s="195"/>
      <c r="AA896" s="195"/>
      <c r="AB896" s="195"/>
      <c r="AC896" s="8"/>
      <c r="AD896" s="70"/>
      <c r="AE896" s="70"/>
      <c r="AF896" s="70"/>
      <c r="AG896" s="201"/>
      <c r="AH896" s="202"/>
      <c r="AI896" s="201"/>
      <c r="AJ896" s="201"/>
      <c r="AK896" s="70"/>
      <c r="AL896" s="70"/>
      <c r="AM896" s="70"/>
      <c r="AN896" s="70"/>
      <c r="AO896" s="70"/>
      <c r="AP896" s="70"/>
      <c r="AQ896" s="70"/>
      <c r="AR896" s="70"/>
      <c r="AS896" s="70"/>
      <c r="AT896" s="70"/>
      <c r="AU896" s="70"/>
      <c r="AV896" s="70"/>
      <c r="AW896" s="70"/>
      <c r="AX896" s="70"/>
    </row>
    <row r="897">
      <c r="A897" s="8"/>
      <c r="B897" s="70"/>
      <c r="C897" s="70"/>
      <c r="D897" s="70"/>
      <c r="E897" s="8"/>
      <c r="F897" s="70"/>
      <c r="G897" s="70"/>
      <c r="H897" s="70"/>
      <c r="I897" s="8"/>
      <c r="J897" s="70"/>
      <c r="K897" s="70"/>
      <c r="L897" s="70"/>
      <c r="M897" s="8"/>
      <c r="N897" s="70"/>
      <c r="O897" s="70"/>
      <c r="P897" s="70"/>
      <c r="Q897" s="8"/>
      <c r="R897" s="70"/>
      <c r="S897" s="70"/>
      <c r="T897" s="70"/>
      <c r="U897" s="8"/>
      <c r="V897" s="70"/>
      <c r="W897" s="70"/>
      <c r="X897" s="70"/>
      <c r="Y897" s="200"/>
      <c r="Z897" s="195"/>
      <c r="AA897" s="195"/>
      <c r="AB897" s="195"/>
      <c r="AC897" s="8"/>
      <c r="AD897" s="70"/>
      <c r="AE897" s="70"/>
      <c r="AF897" s="70"/>
      <c r="AG897" s="201"/>
      <c r="AH897" s="202"/>
      <c r="AI897" s="201"/>
      <c r="AJ897" s="201"/>
      <c r="AK897" s="70"/>
      <c r="AL897" s="70"/>
      <c r="AM897" s="70"/>
      <c r="AN897" s="70"/>
      <c r="AO897" s="70"/>
      <c r="AP897" s="70"/>
      <c r="AQ897" s="70"/>
      <c r="AR897" s="70"/>
      <c r="AS897" s="70"/>
      <c r="AT897" s="70"/>
      <c r="AU897" s="70"/>
      <c r="AV897" s="70"/>
      <c r="AW897" s="70"/>
      <c r="AX897" s="70"/>
    </row>
    <row r="898">
      <c r="A898" s="8"/>
      <c r="B898" s="70"/>
      <c r="C898" s="70"/>
      <c r="D898" s="70"/>
      <c r="E898" s="8"/>
      <c r="F898" s="70"/>
      <c r="G898" s="70"/>
      <c r="H898" s="70"/>
      <c r="I898" s="8"/>
      <c r="J898" s="70"/>
      <c r="K898" s="70"/>
      <c r="L898" s="70"/>
      <c r="M898" s="8"/>
      <c r="N898" s="70"/>
      <c r="O898" s="70"/>
      <c r="P898" s="70"/>
      <c r="Q898" s="8"/>
      <c r="R898" s="70"/>
      <c r="S898" s="70"/>
      <c r="T898" s="70"/>
      <c r="U898" s="8"/>
      <c r="V898" s="70"/>
      <c r="W898" s="70"/>
      <c r="X898" s="70"/>
      <c r="Y898" s="200"/>
      <c r="Z898" s="195"/>
      <c r="AA898" s="195"/>
      <c r="AB898" s="195"/>
      <c r="AC898" s="8"/>
      <c r="AD898" s="70"/>
      <c r="AE898" s="70"/>
      <c r="AF898" s="70"/>
      <c r="AG898" s="201"/>
      <c r="AH898" s="202"/>
      <c r="AI898" s="201"/>
      <c r="AJ898" s="201"/>
      <c r="AK898" s="70"/>
      <c r="AL898" s="70"/>
      <c r="AM898" s="70"/>
      <c r="AN898" s="70"/>
      <c r="AO898" s="70"/>
      <c r="AP898" s="70"/>
      <c r="AQ898" s="70"/>
      <c r="AR898" s="70"/>
      <c r="AS898" s="70"/>
      <c r="AT898" s="70"/>
      <c r="AU898" s="70"/>
      <c r="AV898" s="70"/>
      <c r="AW898" s="70"/>
      <c r="AX898" s="70"/>
    </row>
    <row r="899">
      <c r="A899" s="8"/>
      <c r="B899" s="70"/>
      <c r="C899" s="70"/>
      <c r="D899" s="70"/>
      <c r="E899" s="8"/>
      <c r="F899" s="70"/>
      <c r="G899" s="70"/>
      <c r="H899" s="70"/>
      <c r="I899" s="8"/>
      <c r="J899" s="70"/>
      <c r="K899" s="70"/>
      <c r="L899" s="70"/>
      <c r="M899" s="8"/>
      <c r="N899" s="70"/>
      <c r="O899" s="70"/>
      <c r="P899" s="70"/>
      <c r="Q899" s="8"/>
      <c r="R899" s="70"/>
      <c r="S899" s="70"/>
      <c r="T899" s="70"/>
      <c r="U899" s="8"/>
      <c r="V899" s="70"/>
      <c r="W899" s="70"/>
      <c r="X899" s="70"/>
      <c r="Y899" s="200"/>
      <c r="Z899" s="195"/>
      <c r="AA899" s="195"/>
      <c r="AB899" s="195"/>
      <c r="AC899" s="8"/>
      <c r="AD899" s="70"/>
      <c r="AE899" s="70"/>
      <c r="AF899" s="70"/>
      <c r="AG899" s="201"/>
      <c r="AH899" s="202"/>
      <c r="AI899" s="201"/>
      <c r="AJ899" s="201"/>
      <c r="AK899" s="70"/>
      <c r="AL899" s="70"/>
      <c r="AM899" s="70"/>
      <c r="AN899" s="70"/>
      <c r="AO899" s="70"/>
      <c r="AP899" s="70"/>
      <c r="AQ899" s="70"/>
      <c r="AR899" s="70"/>
      <c r="AS899" s="70"/>
      <c r="AT899" s="70"/>
      <c r="AU899" s="70"/>
      <c r="AV899" s="70"/>
      <c r="AW899" s="70"/>
      <c r="AX899" s="70"/>
    </row>
    <row r="900">
      <c r="A900" s="8"/>
      <c r="B900" s="70"/>
      <c r="C900" s="70"/>
      <c r="D900" s="70"/>
      <c r="E900" s="8"/>
      <c r="F900" s="70"/>
      <c r="G900" s="70"/>
      <c r="H900" s="70"/>
      <c r="I900" s="8"/>
      <c r="J900" s="70"/>
      <c r="K900" s="70"/>
      <c r="L900" s="70"/>
      <c r="M900" s="8"/>
      <c r="N900" s="70"/>
      <c r="O900" s="70"/>
      <c r="P900" s="70"/>
      <c r="Q900" s="8"/>
      <c r="R900" s="70"/>
      <c r="S900" s="70"/>
      <c r="T900" s="70"/>
      <c r="U900" s="8"/>
      <c r="V900" s="70"/>
      <c r="W900" s="70"/>
      <c r="X900" s="70"/>
      <c r="Y900" s="200"/>
      <c r="Z900" s="195"/>
      <c r="AA900" s="195"/>
      <c r="AB900" s="195"/>
      <c r="AC900" s="8"/>
      <c r="AD900" s="70"/>
      <c r="AE900" s="70"/>
      <c r="AF900" s="70"/>
      <c r="AG900" s="201"/>
      <c r="AH900" s="202"/>
      <c r="AI900" s="201"/>
      <c r="AJ900" s="201"/>
      <c r="AK900" s="70"/>
      <c r="AL900" s="70"/>
      <c r="AM900" s="70"/>
      <c r="AN900" s="70"/>
      <c r="AO900" s="70"/>
      <c r="AP900" s="70"/>
      <c r="AQ900" s="70"/>
      <c r="AR900" s="70"/>
      <c r="AS900" s="70"/>
      <c r="AT900" s="70"/>
      <c r="AU900" s="70"/>
      <c r="AV900" s="70"/>
      <c r="AW900" s="70"/>
      <c r="AX900" s="70"/>
    </row>
    <row r="901">
      <c r="A901" s="8"/>
      <c r="B901" s="70"/>
      <c r="C901" s="70"/>
      <c r="D901" s="70"/>
      <c r="E901" s="8"/>
      <c r="F901" s="70"/>
      <c r="G901" s="70"/>
      <c r="H901" s="70"/>
      <c r="I901" s="8"/>
      <c r="J901" s="70"/>
      <c r="K901" s="70"/>
      <c r="L901" s="70"/>
      <c r="M901" s="8"/>
      <c r="N901" s="70"/>
      <c r="O901" s="70"/>
      <c r="P901" s="70"/>
      <c r="Q901" s="8"/>
      <c r="R901" s="70"/>
      <c r="S901" s="70"/>
      <c r="T901" s="70"/>
      <c r="U901" s="8"/>
      <c r="V901" s="70"/>
      <c r="W901" s="70"/>
      <c r="X901" s="70"/>
      <c r="Y901" s="200"/>
      <c r="Z901" s="195"/>
      <c r="AA901" s="195"/>
      <c r="AB901" s="195"/>
      <c r="AC901" s="8"/>
      <c r="AD901" s="70"/>
      <c r="AE901" s="70"/>
      <c r="AF901" s="70"/>
      <c r="AG901" s="201"/>
      <c r="AH901" s="202"/>
      <c r="AI901" s="201"/>
      <c r="AJ901" s="201"/>
      <c r="AK901" s="70"/>
      <c r="AL901" s="70"/>
      <c r="AM901" s="70"/>
      <c r="AN901" s="70"/>
      <c r="AO901" s="70"/>
      <c r="AP901" s="70"/>
      <c r="AQ901" s="70"/>
      <c r="AR901" s="70"/>
      <c r="AS901" s="70"/>
      <c r="AT901" s="70"/>
      <c r="AU901" s="70"/>
      <c r="AV901" s="70"/>
      <c r="AW901" s="70"/>
      <c r="AX901" s="70"/>
    </row>
    <row r="902">
      <c r="A902" s="8"/>
      <c r="B902" s="70"/>
      <c r="C902" s="70"/>
      <c r="D902" s="70"/>
      <c r="E902" s="8"/>
      <c r="F902" s="70"/>
      <c r="G902" s="70"/>
      <c r="H902" s="70"/>
      <c r="I902" s="8"/>
      <c r="J902" s="70"/>
      <c r="K902" s="70"/>
      <c r="L902" s="70"/>
      <c r="M902" s="8"/>
      <c r="N902" s="70"/>
      <c r="O902" s="70"/>
      <c r="P902" s="70"/>
      <c r="Q902" s="8"/>
      <c r="R902" s="70"/>
      <c r="S902" s="70"/>
      <c r="T902" s="70"/>
      <c r="U902" s="8"/>
      <c r="V902" s="70"/>
      <c r="W902" s="70"/>
      <c r="X902" s="70"/>
      <c r="Y902" s="200"/>
      <c r="Z902" s="195"/>
      <c r="AA902" s="195"/>
      <c r="AB902" s="195"/>
      <c r="AC902" s="8"/>
      <c r="AD902" s="70"/>
      <c r="AE902" s="70"/>
      <c r="AF902" s="70"/>
      <c r="AG902" s="201"/>
      <c r="AH902" s="202"/>
      <c r="AI902" s="201"/>
      <c r="AJ902" s="201"/>
      <c r="AK902" s="70"/>
      <c r="AL902" s="70"/>
      <c r="AM902" s="70"/>
      <c r="AN902" s="70"/>
      <c r="AO902" s="70"/>
      <c r="AP902" s="70"/>
      <c r="AQ902" s="70"/>
      <c r="AR902" s="70"/>
      <c r="AS902" s="70"/>
      <c r="AT902" s="70"/>
      <c r="AU902" s="70"/>
      <c r="AV902" s="70"/>
      <c r="AW902" s="70"/>
      <c r="AX902" s="70"/>
    </row>
    <row r="903">
      <c r="A903" s="8"/>
      <c r="B903" s="70"/>
      <c r="C903" s="70"/>
      <c r="D903" s="70"/>
      <c r="E903" s="8"/>
      <c r="F903" s="70"/>
      <c r="G903" s="70"/>
      <c r="H903" s="70"/>
      <c r="I903" s="8"/>
      <c r="J903" s="70"/>
      <c r="K903" s="70"/>
      <c r="L903" s="70"/>
      <c r="M903" s="8"/>
      <c r="N903" s="70"/>
      <c r="O903" s="70"/>
      <c r="P903" s="70"/>
      <c r="Q903" s="8"/>
      <c r="R903" s="70"/>
      <c r="S903" s="70"/>
      <c r="T903" s="70"/>
      <c r="U903" s="8"/>
      <c r="V903" s="70"/>
      <c r="W903" s="70"/>
      <c r="X903" s="70"/>
      <c r="Y903" s="200"/>
      <c r="Z903" s="195"/>
      <c r="AA903" s="195"/>
      <c r="AB903" s="195"/>
      <c r="AC903" s="8"/>
      <c r="AD903" s="70"/>
      <c r="AE903" s="70"/>
      <c r="AF903" s="70"/>
      <c r="AG903" s="201"/>
      <c r="AH903" s="202"/>
      <c r="AI903" s="201"/>
      <c r="AJ903" s="201"/>
      <c r="AK903" s="70"/>
      <c r="AL903" s="70"/>
      <c r="AM903" s="70"/>
      <c r="AN903" s="70"/>
      <c r="AO903" s="70"/>
      <c r="AP903" s="70"/>
      <c r="AQ903" s="70"/>
      <c r="AR903" s="70"/>
      <c r="AS903" s="70"/>
      <c r="AT903" s="70"/>
      <c r="AU903" s="70"/>
      <c r="AV903" s="70"/>
      <c r="AW903" s="70"/>
      <c r="AX903" s="70"/>
    </row>
    <row r="904">
      <c r="A904" s="8"/>
      <c r="B904" s="70"/>
      <c r="C904" s="70"/>
      <c r="D904" s="70"/>
      <c r="E904" s="8"/>
      <c r="F904" s="70"/>
      <c r="G904" s="70"/>
      <c r="H904" s="70"/>
      <c r="I904" s="8"/>
      <c r="J904" s="70"/>
      <c r="K904" s="70"/>
      <c r="L904" s="70"/>
      <c r="M904" s="8"/>
      <c r="N904" s="70"/>
      <c r="O904" s="70"/>
      <c r="P904" s="70"/>
      <c r="Q904" s="8"/>
      <c r="R904" s="70"/>
      <c r="S904" s="70"/>
      <c r="T904" s="70"/>
      <c r="U904" s="8"/>
      <c r="V904" s="70"/>
      <c r="W904" s="70"/>
      <c r="X904" s="70"/>
      <c r="Y904" s="200"/>
      <c r="Z904" s="195"/>
      <c r="AA904" s="195"/>
      <c r="AB904" s="195"/>
      <c r="AC904" s="8"/>
      <c r="AD904" s="70"/>
      <c r="AE904" s="70"/>
      <c r="AF904" s="70"/>
      <c r="AG904" s="201"/>
      <c r="AH904" s="202"/>
      <c r="AI904" s="201"/>
      <c r="AJ904" s="201"/>
      <c r="AK904" s="70"/>
      <c r="AL904" s="70"/>
      <c r="AM904" s="70"/>
      <c r="AN904" s="70"/>
      <c r="AO904" s="70"/>
      <c r="AP904" s="70"/>
      <c r="AQ904" s="70"/>
      <c r="AR904" s="70"/>
      <c r="AS904" s="70"/>
      <c r="AT904" s="70"/>
      <c r="AU904" s="70"/>
      <c r="AV904" s="70"/>
      <c r="AW904" s="70"/>
      <c r="AX904" s="70"/>
    </row>
    <row r="905">
      <c r="A905" s="8"/>
      <c r="B905" s="70"/>
      <c r="C905" s="70"/>
      <c r="D905" s="70"/>
      <c r="E905" s="8"/>
      <c r="F905" s="70"/>
      <c r="G905" s="70"/>
      <c r="H905" s="70"/>
      <c r="I905" s="8"/>
      <c r="J905" s="70"/>
      <c r="K905" s="70"/>
      <c r="L905" s="70"/>
      <c r="M905" s="8"/>
      <c r="N905" s="70"/>
      <c r="O905" s="70"/>
      <c r="P905" s="70"/>
      <c r="Q905" s="8"/>
      <c r="R905" s="70"/>
      <c r="S905" s="70"/>
      <c r="T905" s="70"/>
      <c r="U905" s="8"/>
      <c r="V905" s="70"/>
      <c r="W905" s="70"/>
      <c r="X905" s="70"/>
      <c r="Y905" s="200"/>
      <c r="Z905" s="195"/>
      <c r="AA905" s="195"/>
      <c r="AB905" s="195"/>
      <c r="AC905" s="8"/>
      <c r="AD905" s="70"/>
      <c r="AE905" s="70"/>
      <c r="AF905" s="70"/>
      <c r="AG905" s="201"/>
      <c r="AH905" s="202"/>
      <c r="AI905" s="201"/>
      <c r="AJ905" s="201"/>
      <c r="AK905" s="70"/>
      <c r="AL905" s="70"/>
      <c r="AM905" s="70"/>
      <c r="AN905" s="70"/>
      <c r="AO905" s="70"/>
      <c r="AP905" s="70"/>
      <c r="AQ905" s="70"/>
      <c r="AR905" s="70"/>
      <c r="AS905" s="70"/>
      <c r="AT905" s="70"/>
      <c r="AU905" s="70"/>
      <c r="AV905" s="70"/>
      <c r="AW905" s="70"/>
      <c r="AX905" s="70"/>
    </row>
    <row r="906">
      <c r="A906" s="8"/>
      <c r="B906" s="70"/>
      <c r="C906" s="70"/>
      <c r="D906" s="70"/>
      <c r="E906" s="8"/>
      <c r="F906" s="70"/>
      <c r="G906" s="70"/>
      <c r="H906" s="70"/>
      <c r="I906" s="8"/>
      <c r="J906" s="70"/>
      <c r="K906" s="70"/>
      <c r="L906" s="70"/>
      <c r="M906" s="8"/>
      <c r="N906" s="70"/>
      <c r="O906" s="70"/>
      <c r="P906" s="70"/>
      <c r="Q906" s="8"/>
      <c r="R906" s="70"/>
      <c r="S906" s="70"/>
      <c r="T906" s="70"/>
      <c r="U906" s="8"/>
      <c r="V906" s="70"/>
      <c r="W906" s="70"/>
      <c r="X906" s="70"/>
      <c r="Y906" s="200"/>
      <c r="Z906" s="195"/>
      <c r="AA906" s="195"/>
      <c r="AB906" s="195"/>
      <c r="AC906" s="8"/>
      <c r="AD906" s="70"/>
      <c r="AE906" s="70"/>
      <c r="AF906" s="70"/>
      <c r="AG906" s="201"/>
      <c r="AH906" s="202"/>
      <c r="AI906" s="201"/>
      <c r="AJ906" s="201"/>
      <c r="AK906" s="70"/>
      <c r="AL906" s="70"/>
      <c r="AM906" s="70"/>
      <c r="AN906" s="70"/>
      <c r="AO906" s="70"/>
      <c r="AP906" s="70"/>
      <c r="AQ906" s="70"/>
      <c r="AR906" s="70"/>
      <c r="AS906" s="70"/>
      <c r="AT906" s="70"/>
      <c r="AU906" s="70"/>
      <c r="AV906" s="70"/>
      <c r="AW906" s="70"/>
      <c r="AX906" s="70"/>
    </row>
    <row r="907">
      <c r="A907" s="8"/>
      <c r="B907" s="70"/>
      <c r="C907" s="70"/>
      <c r="D907" s="70"/>
      <c r="E907" s="8"/>
      <c r="F907" s="70"/>
      <c r="G907" s="70"/>
      <c r="H907" s="70"/>
      <c r="I907" s="8"/>
      <c r="J907" s="70"/>
      <c r="K907" s="70"/>
      <c r="L907" s="70"/>
      <c r="M907" s="8"/>
      <c r="N907" s="70"/>
      <c r="O907" s="70"/>
      <c r="P907" s="70"/>
      <c r="Q907" s="8"/>
      <c r="R907" s="70"/>
      <c r="S907" s="70"/>
      <c r="T907" s="70"/>
      <c r="U907" s="8"/>
      <c r="V907" s="70"/>
      <c r="W907" s="70"/>
      <c r="X907" s="70"/>
      <c r="Y907" s="200"/>
      <c r="Z907" s="195"/>
      <c r="AA907" s="195"/>
      <c r="AB907" s="195"/>
      <c r="AC907" s="8"/>
      <c r="AD907" s="70"/>
      <c r="AE907" s="70"/>
      <c r="AF907" s="70"/>
      <c r="AG907" s="201"/>
      <c r="AH907" s="202"/>
      <c r="AI907" s="201"/>
      <c r="AJ907" s="201"/>
      <c r="AK907" s="70"/>
      <c r="AL907" s="70"/>
      <c r="AM907" s="70"/>
      <c r="AN907" s="70"/>
      <c r="AO907" s="70"/>
      <c r="AP907" s="70"/>
      <c r="AQ907" s="70"/>
      <c r="AR907" s="70"/>
      <c r="AS907" s="70"/>
      <c r="AT907" s="70"/>
      <c r="AU907" s="70"/>
      <c r="AV907" s="70"/>
      <c r="AW907" s="70"/>
      <c r="AX907" s="70"/>
    </row>
    <row r="908">
      <c r="A908" s="8"/>
      <c r="B908" s="70"/>
      <c r="C908" s="70"/>
      <c r="D908" s="70"/>
      <c r="E908" s="8"/>
      <c r="F908" s="70"/>
      <c r="G908" s="70"/>
      <c r="H908" s="70"/>
      <c r="I908" s="8"/>
      <c r="J908" s="70"/>
      <c r="K908" s="70"/>
      <c r="L908" s="70"/>
      <c r="M908" s="8"/>
      <c r="N908" s="70"/>
      <c r="O908" s="70"/>
      <c r="P908" s="70"/>
      <c r="Q908" s="8"/>
      <c r="R908" s="70"/>
      <c r="S908" s="70"/>
      <c r="T908" s="70"/>
      <c r="U908" s="8"/>
      <c r="V908" s="70"/>
      <c r="W908" s="70"/>
      <c r="X908" s="70"/>
      <c r="Y908" s="200"/>
      <c r="Z908" s="195"/>
      <c r="AA908" s="195"/>
      <c r="AB908" s="195"/>
      <c r="AC908" s="8"/>
      <c r="AD908" s="70"/>
      <c r="AE908" s="70"/>
      <c r="AF908" s="70"/>
      <c r="AG908" s="201"/>
      <c r="AH908" s="202"/>
      <c r="AI908" s="201"/>
      <c r="AJ908" s="201"/>
      <c r="AK908" s="70"/>
      <c r="AL908" s="70"/>
      <c r="AM908" s="70"/>
      <c r="AN908" s="70"/>
      <c r="AO908" s="70"/>
      <c r="AP908" s="70"/>
      <c r="AQ908" s="70"/>
      <c r="AR908" s="70"/>
      <c r="AS908" s="70"/>
      <c r="AT908" s="70"/>
      <c r="AU908" s="70"/>
      <c r="AV908" s="70"/>
      <c r="AW908" s="70"/>
      <c r="AX908" s="70"/>
    </row>
    <row r="909">
      <c r="A909" s="8"/>
      <c r="B909" s="70"/>
      <c r="C909" s="70"/>
      <c r="D909" s="70"/>
      <c r="E909" s="8"/>
      <c r="F909" s="70"/>
      <c r="G909" s="70"/>
      <c r="H909" s="70"/>
      <c r="I909" s="8"/>
      <c r="J909" s="70"/>
      <c r="K909" s="70"/>
      <c r="L909" s="70"/>
      <c r="M909" s="8"/>
      <c r="N909" s="70"/>
      <c r="O909" s="70"/>
      <c r="P909" s="70"/>
      <c r="Q909" s="8"/>
      <c r="R909" s="70"/>
      <c r="S909" s="70"/>
      <c r="T909" s="70"/>
      <c r="U909" s="8"/>
      <c r="V909" s="70"/>
      <c r="W909" s="70"/>
      <c r="X909" s="70"/>
      <c r="Y909" s="200"/>
      <c r="Z909" s="195"/>
      <c r="AA909" s="195"/>
      <c r="AB909" s="195"/>
      <c r="AC909" s="8"/>
      <c r="AD909" s="70"/>
      <c r="AE909" s="70"/>
      <c r="AF909" s="70"/>
      <c r="AG909" s="201"/>
      <c r="AH909" s="202"/>
      <c r="AI909" s="201"/>
      <c r="AJ909" s="201"/>
      <c r="AK909" s="70"/>
      <c r="AL909" s="70"/>
      <c r="AM909" s="70"/>
      <c r="AN909" s="70"/>
      <c r="AO909" s="70"/>
      <c r="AP909" s="70"/>
      <c r="AQ909" s="70"/>
      <c r="AR909" s="70"/>
      <c r="AS909" s="70"/>
      <c r="AT909" s="70"/>
      <c r="AU909" s="70"/>
      <c r="AV909" s="70"/>
      <c r="AW909" s="70"/>
      <c r="AX909" s="70"/>
    </row>
    <row r="910">
      <c r="A910" s="8"/>
      <c r="B910" s="70"/>
      <c r="C910" s="70"/>
      <c r="D910" s="70"/>
      <c r="E910" s="8"/>
      <c r="F910" s="70"/>
      <c r="G910" s="70"/>
      <c r="H910" s="70"/>
      <c r="I910" s="8"/>
      <c r="J910" s="70"/>
      <c r="K910" s="70"/>
      <c r="L910" s="70"/>
      <c r="M910" s="8"/>
      <c r="N910" s="70"/>
      <c r="O910" s="70"/>
      <c r="P910" s="70"/>
      <c r="Q910" s="8"/>
      <c r="R910" s="70"/>
      <c r="S910" s="70"/>
      <c r="T910" s="70"/>
      <c r="U910" s="8"/>
      <c r="V910" s="70"/>
      <c r="W910" s="70"/>
      <c r="X910" s="70"/>
      <c r="Y910" s="200"/>
      <c r="Z910" s="195"/>
      <c r="AA910" s="195"/>
      <c r="AB910" s="195"/>
      <c r="AC910" s="8"/>
      <c r="AD910" s="70"/>
      <c r="AE910" s="70"/>
      <c r="AF910" s="70"/>
      <c r="AG910" s="201"/>
      <c r="AH910" s="202"/>
      <c r="AI910" s="201"/>
      <c r="AJ910" s="201"/>
      <c r="AK910" s="70"/>
      <c r="AL910" s="70"/>
      <c r="AM910" s="70"/>
      <c r="AN910" s="70"/>
      <c r="AO910" s="70"/>
      <c r="AP910" s="70"/>
      <c r="AQ910" s="70"/>
      <c r="AR910" s="70"/>
      <c r="AS910" s="70"/>
      <c r="AT910" s="70"/>
      <c r="AU910" s="70"/>
      <c r="AV910" s="70"/>
      <c r="AW910" s="70"/>
      <c r="AX910" s="70"/>
    </row>
    <row r="911">
      <c r="A911" s="8"/>
      <c r="B911" s="70"/>
      <c r="C911" s="70"/>
      <c r="D911" s="70"/>
      <c r="E911" s="8"/>
      <c r="F911" s="70"/>
      <c r="G911" s="70"/>
      <c r="H911" s="70"/>
      <c r="I911" s="8"/>
      <c r="J911" s="70"/>
      <c r="K911" s="70"/>
      <c r="L911" s="70"/>
      <c r="M911" s="8"/>
      <c r="N911" s="70"/>
      <c r="O911" s="70"/>
      <c r="P911" s="70"/>
      <c r="Q911" s="8"/>
      <c r="R911" s="70"/>
      <c r="S911" s="70"/>
      <c r="T911" s="70"/>
      <c r="U911" s="8"/>
      <c r="V911" s="70"/>
      <c r="W911" s="70"/>
      <c r="X911" s="70"/>
      <c r="Y911" s="200"/>
      <c r="Z911" s="195"/>
      <c r="AA911" s="195"/>
      <c r="AB911" s="195"/>
      <c r="AC911" s="8"/>
      <c r="AD911" s="70"/>
      <c r="AE911" s="70"/>
      <c r="AF911" s="70"/>
      <c r="AG911" s="201"/>
      <c r="AH911" s="202"/>
      <c r="AI911" s="201"/>
      <c r="AJ911" s="201"/>
      <c r="AK911" s="70"/>
      <c r="AL911" s="70"/>
      <c r="AM911" s="70"/>
      <c r="AN911" s="70"/>
      <c r="AO911" s="70"/>
      <c r="AP911" s="70"/>
      <c r="AQ911" s="70"/>
      <c r="AR911" s="70"/>
      <c r="AS911" s="70"/>
      <c r="AT911" s="70"/>
      <c r="AU911" s="70"/>
      <c r="AV911" s="70"/>
      <c r="AW911" s="70"/>
      <c r="AX911" s="70"/>
    </row>
    <row r="912">
      <c r="A912" s="8"/>
      <c r="B912" s="70"/>
      <c r="C912" s="70"/>
      <c r="D912" s="70"/>
      <c r="E912" s="8"/>
      <c r="F912" s="70"/>
      <c r="G912" s="70"/>
      <c r="H912" s="70"/>
      <c r="I912" s="8"/>
      <c r="J912" s="70"/>
      <c r="K912" s="70"/>
      <c r="L912" s="70"/>
      <c r="M912" s="8"/>
      <c r="N912" s="70"/>
      <c r="O912" s="70"/>
      <c r="P912" s="70"/>
      <c r="Q912" s="8"/>
      <c r="R912" s="70"/>
      <c r="S912" s="70"/>
      <c r="T912" s="70"/>
      <c r="U912" s="8"/>
      <c r="V912" s="70"/>
      <c r="W912" s="70"/>
      <c r="X912" s="70"/>
      <c r="Y912" s="200"/>
      <c r="Z912" s="195"/>
      <c r="AA912" s="195"/>
      <c r="AB912" s="195"/>
      <c r="AC912" s="8"/>
      <c r="AD912" s="70"/>
      <c r="AE912" s="70"/>
      <c r="AF912" s="70"/>
      <c r="AG912" s="201"/>
      <c r="AH912" s="202"/>
      <c r="AI912" s="201"/>
      <c r="AJ912" s="201"/>
      <c r="AK912" s="70"/>
      <c r="AL912" s="70"/>
      <c r="AM912" s="70"/>
      <c r="AN912" s="70"/>
      <c r="AO912" s="70"/>
      <c r="AP912" s="70"/>
      <c r="AQ912" s="70"/>
      <c r="AR912" s="70"/>
      <c r="AS912" s="70"/>
      <c r="AT912" s="70"/>
      <c r="AU912" s="70"/>
      <c r="AV912" s="70"/>
      <c r="AW912" s="70"/>
      <c r="AX912" s="70"/>
    </row>
    <row r="913">
      <c r="A913" s="8"/>
      <c r="B913" s="70"/>
      <c r="C913" s="70"/>
      <c r="D913" s="70"/>
      <c r="E913" s="8"/>
      <c r="F913" s="70"/>
      <c r="G913" s="70"/>
      <c r="H913" s="70"/>
      <c r="I913" s="8"/>
      <c r="J913" s="70"/>
      <c r="K913" s="70"/>
      <c r="L913" s="70"/>
      <c r="M913" s="8"/>
      <c r="N913" s="70"/>
      <c r="O913" s="70"/>
      <c r="P913" s="70"/>
      <c r="Q913" s="8"/>
      <c r="R913" s="70"/>
      <c r="S913" s="70"/>
      <c r="T913" s="70"/>
      <c r="U913" s="8"/>
      <c r="V913" s="70"/>
      <c r="W913" s="70"/>
      <c r="X913" s="70"/>
      <c r="Y913" s="200"/>
      <c r="Z913" s="195"/>
      <c r="AA913" s="195"/>
      <c r="AB913" s="195"/>
      <c r="AC913" s="8"/>
      <c r="AD913" s="70"/>
      <c r="AE913" s="70"/>
      <c r="AF913" s="70"/>
      <c r="AG913" s="201"/>
      <c r="AH913" s="202"/>
      <c r="AI913" s="201"/>
      <c r="AJ913" s="201"/>
      <c r="AK913" s="70"/>
      <c r="AL913" s="70"/>
      <c r="AM913" s="70"/>
      <c r="AN913" s="70"/>
      <c r="AO913" s="70"/>
      <c r="AP913" s="70"/>
      <c r="AQ913" s="70"/>
      <c r="AR913" s="70"/>
      <c r="AS913" s="70"/>
      <c r="AT913" s="70"/>
      <c r="AU913" s="70"/>
      <c r="AV913" s="70"/>
      <c r="AW913" s="70"/>
      <c r="AX913" s="70"/>
    </row>
    <row r="914">
      <c r="A914" s="8"/>
      <c r="B914" s="70"/>
      <c r="C914" s="70"/>
      <c r="D914" s="70"/>
      <c r="E914" s="8"/>
      <c r="F914" s="70"/>
      <c r="G914" s="70"/>
      <c r="H914" s="70"/>
      <c r="I914" s="8"/>
      <c r="J914" s="70"/>
      <c r="K914" s="70"/>
      <c r="L914" s="70"/>
      <c r="M914" s="8"/>
      <c r="N914" s="70"/>
      <c r="O914" s="70"/>
      <c r="P914" s="70"/>
      <c r="Q914" s="8"/>
      <c r="R914" s="70"/>
      <c r="S914" s="70"/>
      <c r="T914" s="70"/>
      <c r="U914" s="8"/>
      <c r="V914" s="70"/>
      <c r="W914" s="70"/>
      <c r="X914" s="70"/>
      <c r="Y914" s="200"/>
      <c r="Z914" s="195"/>
      <c r="AA914" s="195"/>
      <c r="AB914" s="195"/>
      <c r="AC914" s="8"/>
      <c r="AD914" s="70"/>
      <c r="AE914" s="70"/>
      <c r="AF914" s="70"/>
      <c r="AG914" s="201"/>
      <c r="AH914" s="202"/>
      <c r="AI914" s="201"/>
      <c r="AJ914" s="201"/>
      <c r="AK914" s="70"/>
      <c r="AL914" s="70"/>
      <c r="AM914" s="70"/>
      <c r="AN914" s="70"/>
      <c r="AO914" s="70"/>
      <c r="AP914" s="70"/>
      <c r="AQ914" s="70"/>
      <c r="AR914" s="70"/>
      <c r="AS914" s="70"/>
      <c r="AT914" s="70"/>
      <c r="AU914" s="70"/>
      <c r="AV914" s="70"/>
      <c r="AW914" s="70"/>
      <c r="AX914" s="70"/>
    </row>
    <row r="915">
      <c r="A915" s="8"/>
      <c r="B915" s="70"/>
      <c r="C915" s="70"/>
      <c r="D915" s="70"/>
      <c r="E915" s="8"/>
      <c r="F915" s="70"/>
      <c r="G915" s="70"/>
      <c r="H915" s="70"/>
      <c r="I915" s="8"/>
      <c r="J915" s="70"/>
      <c r="K915" s="70"/>
      <c r="L915" s="70"/>
      <c r="M915" s="8"/>
      <c r="N915" s="70"/>
      <c r="O915" s="70"/>
      <c r="P915" s="70"/>
      <c r="Q915" s="8"/>
      <c r="R915" s="70"/>
      <c r="S915" s="70"/>
      <c r="T915" s="70"/>
      <c r="U915" s="8"/>
      <c r="V915" s="70"/>
      <c r="W915" s="70"/>
      <c r="X915" s="70"/>
      <c r="Y915" s="200"/>
      <c r="Z915" s="195"/>
      <c r="AA915" s="195"/>
      <c r="AB915" s="195"/>
      <c r="AC915" s="8"/>
      <c r="AD915" s="70"/>
      <c r="AE915" s="70"/>
      <c r="AF915" s="70"/>
      <c r="AG915" s="201"/>
      <c r="AH915" s="202"/>
      <c r="AI915" s="201"/>
      <c r="AJ915" s="201"/>
      <c r="AK915" s="70"/>
      <c r="AL915" s="70"/>
      <c r="AM915" s="70"/>
      <c r="AN915" s="70"/>
      <c r="AO915" s="70"/>
      <c r="AP915" s="70"/>
      <c r="AQ915" s="70"/>
      <c r="AR915" s="70"/>
      <c r="AS915" s="70"/>
      <c r="AT915" s="70"/>
      <c r="AU915" s="70"/>
      <c r="AV915" s="70"/>
      <c r="AW915" s="70"/>
      <c r="AX915" s="70"/>
    </row>
    <row r="916">
      <c r="A916" s="8"/>
      <c r="B916" s="70"/>
      <c r="C916" s="70"/>
      <c r="D916" s="70"/>
      <c r="E916" s="8"/>
      <c r="F916" s="70"/>
      <c r="G916" s="70"/>
      <c r="H916" s="70"/>
      <c r="I916" s="8"/>
      <c r="J916" s="70"/>
      <c r="K916" s="70"/>
      <c r="L916" s="70"/>
      <c r="M916" s="8"/>
      <c r="N916" s="70"/>
      <c r="O916" s="70"/>
      <c r="P916" s="70"/>
      <c r="Q916" s="8"/>
      <c r="R916" s="70"/>
      <c r="S916" s="70"/>
      <c r="T916" s="70"/>
      <c r="U916" s="8"/>
      <c r="V916" s="70"/>
      <c r="W916" s="70"/>
      <c r="X916" s="70"/>
      <c r="Y916" s="200"/>
      <c r="Z916" s="195"/>
      <c r="AA916" s="195"/>
      <c r="AB916" s="195"/>
      <c r="AC916" s="8"/>
      <c r="AD916" s="70"/>
      <c r="AE916" s="70"/>
      <c r="AF916" s="70"/>
      <c r="AG916" s="201"/>
      <c r="AH916" s="202"/>
      <c r="AI916" s="201"/>
      <c r="AJ916" s="201"/>
      <c r="AK916" s="70"/>
      <c r="AL916" s="70"/>
      <c r="AM916" s="70"/>
      <c r="AN916" s="70"/>
      <c r="AO916" s="70"/>
      <c r="AP916" s="70"/>
      <c r="AQ916" s="70"/>
      <c r="AR916" s="70"/>
      <c r="AS916" s="70"/>
      <c r="AT916" s="70"/>
      <c r="AU916" s="70"/>
      <c r="AV916" s="70"/>
      <c r="AW916" s="70"/>
      <c r="AX916" s="70"/>
    </row>
    <row r="917">
      <c r="A917" s="8"/>
      <c r="B917" s="70"/>
      <c r="C917" s="70"/>
      <c r="D917" s="70"/>
      <c r="E917" s="8"/>
      <c r="F917" s="70"/>
      <c r="G917" s="70"/>
      <c r="H917" s="70"/>
      <c r="I917" s="8"/>
      <c r="J917" s="70"/>
      <c r="K917" s="70"/>
      <c r="L917" s="70"/>
      <c r="M917" s="8"/>
      <c r="N917" s="70"/>
      <c r="O917" s="70"/>
      <c r="P917" s="70"/>
      <c r="Q917" s="8"/>
      <c r="R917" s="70"/>
      <c r="S917" s="70"/>
      <c r="T917" s="70"/>
      <c r="U917" s="8"/>
      <c r="V917" s="70"/>
      <c r="W917" s="70"/>
      <c r="X917" s="70"/>
      <c r="Y917" s="200"/>
      <c r="Z917" s="195"/>
      <c r="AA917" s="195"/>
      <c r="AB917" s="195"/>
      <c r="AC917" s="8"/>
      <c r="AD917" s="70"/>
      <c r="AE917" s="70"/>
      <c r="AF917" s="70"/>
      <c r="AG917" s="201"/>
      <c r="AH917" s="202"/>
      <c r="AI917" s="201"/>
      <c r="AJ917" s="201"/>
      <c r="AK917" s="70"/>
      <c r="AL917" s="70"/>
      <c r="AM917" s="70"/>
      <c r="AN917" s="70"/>
      <c r="AO917" s="70"/>
      <c r="AP917" s="70"/>
      <c r="AQ917" s="70"/>
      <c r="AR917" s="70"/>
      <c r="AS917" s="70"/>
      <c r="AT917" s="70"/>
      <c r="AU917" s="70"/>
      <c r="AV917" s="70"/>
      <c r="AW917" s="70"/>
      <c r="AX917" s="70"/>
    </row>
    <row r="918">
      <c r="A918" s="8"/>
      <c r="B918" s="70"/>
      <c r="C918" s="70"/>
      <c r="D918" s="70"/>
      <c r="E918" s="8"/>
      <c r="F918" s="70"/>
      <c r="G918" s="70"/>
      <c r="H918" s="70"/>
      <c r="I918" s="8"/>
      <c r="J918" s="70"/>
      <c r="K918" s="70"/>
      <c r="L918" s="70"/>
      <c r="M918" s="8"/>
      <c r="N918" s="70"/>
      <c r="O918" s="70"/>
      <c r="P918" s="70"/>
      <c r="Q918" s="8"/>
      <c r="R918" s="70"/>
      <c r="S918" s="70"/>
      <c r="T918" s="70"/>
      <c r="U918" s="8"/>
      <c r="V918" s="70"/>
      <c r="W918" s="70"/>
      <c r="X918" s="70"/>
      <c r="Y918" s="200"/>
      <c r="Z918" s="195"/>
      <c r="AA918" s="195"/>
      <c r="AB918" s="195"/>
      <c r="AC918" s="8"/>
      <c r="AD918" s="70"/>
      <c r="AE918" s="70"/>
      <c r="AF918" s="70"/>
      <c r="AG918" s="201"/>
      <c r="AH918" s="202"/>
      <c r="AI918" s="201"/>
      <c r="AJ918" s="201"/>
      <c r="AK918" s="70"/>
      <c r="AL918" s="70"/>
      <c r="AM918" s="70"/>
      <c r="AN918" s="70"/>
      <c r="AO918" s="70"/>
      <c r="AP918" s="70"/>
      <c r="AQ918" s="70"/>
      <c r="AR918" s="70"/>
      <c r="AS918" s="70"/>
      <c r="AT918" s="70"/>
      <c r="AU918" s="70"/>
      <c r="AV918" s="70"/>
      <c r="AW918" s="70"/>
      <c r="AX918" s="70"/>
    </row>
    <row r="919">
      <c r="A919" s="8"/>
      <c r="B919" s="70"/>
      <c r="C919" s="70"/>
      <c r="D919" s="70"/>
      <c r="E919" s="8"/>
      <c r="F919" s="70"/>
      <c r="G919" s="70"/>
      <c r="H919" s="70"/>
      <c r="I919" s="8"/>
      <c r="J919" s="70"/>
      <c r="K919" s="70"/>
      <c r="L919" s="70"/>
      <c r="M919" s="8"/>
      <c r="N919" s="70"/>
      <c r="O919" s="70"/>
      <c r="P919" s="70"/>
      <c r="Q919" s="8"/>
      <c r="R919" s="70"/>
      <c r="S919" s="70"/>
      <c r="T919" s="70"/>
      <c r="U919" s="8"/>
      <c r="V919" s="70"/>
      <c r="W919" s="70"/>
      <c r="X919" s="70"/>
      <c r="Y919" s="200"/>
      <c r="Z919" s="195"/>
      <c r="AA919" s="195"/>
      <c r="AB919" s="195"/>
      <c r="AC919" s="8"/>
      <c r="AD919" s="70"/>
      <c r="AE919" s="70"/>
      <c r="AF919" s="70"/>
      <c r="AG919" s="201"/>
      <c r="AH919" s="202"/>
      <c r="AI919" s="201"/>
      <c r="AJ919" s="201"/>
      <c r="AK919" s="70"/>
      <c r="AL919" s="70"/>
      <c r="AM919" s="70"/>
      <c r="AN919" s="70"/>
      <c r="AO919" s="70"/>
      <c r="AP919" s="70"/>
      <c r="AQ919" s="70"/>
      <c r="AR919" s="70"/>
      <c r="AS919" s="70"/>
      <c r="AT919" s="70"/>
      <c r="AU919" s="70"/>
      <c r="AV919" s="70"/>
      <c r="AW919" s="70"/>
      <c r="AX919" s="70"/>
    </row>
    <row r="920">
      <c r="A920" s="8"/>
      <c r="B920" s="70"/>
      <c r="C920" s="70"/>
      <c r="D920" s="70"/>
      <c r="E920" s="8"/>
      <c r="F920" s="70"/>
      <c r="G920" s="70"/>
      <c r="H920" s="70"/>
      <c r="I920" s="8"/>
      <c r="J920" s="70"/>
      <c r="K920" s="70"/>
      <c r="L920" s="70"/>
      <c r="M920" s="8"/>
      <c r="N920" s="70"/>
      <c r="O920" s="70"/>
      <c r="P920" s="70"/>
      <c r="Q920" s="8"/>
      <c r="R920" s="70"/>
      <c r="S920" s="70"/>
      <c r="T920" s="70"/>
      <c r="U920" s="8"/>
      <c r="V920" s="70"/>
      <c r="W920" s="70"/>
      <c r="X920" s="70"/>
      <c r="Y920" s="200"/>
      <c r="Z920" s="195"/>
      <c r="AA920" s="195"/>
      <c r="AB920" s="195"/>
      <c r="AC920" s="8"/>
      <c r="AD920" s="70"/>
      <c r="AE920" s="70"/>
      <c r="AF920" s="70"/>
      <c r="AG920" s="201"/>
      <c r="AH920" s="202"/>
      <c r="AI920" s="201"/>
      <c r="AJ920" s="201"/>
      <c r="AK920" s="70"/>
      <c r="AL920" s="70"/>
      <c r="AM920" s="70"/>
      <c r="AN920" s="70"/>
      <c r="AO920" s="70"/>
      <c r="AP920" s="70"/>
      <c r="AQ920" s="70"/>
      <c r="AR920" s="70"/>
      <c r="AS920" s="70"/>
      <c r="AT920" s="70"/>
      <c r="AU920" s="70"/>
      <c r="AV920" s="70"/>
      <c r="AW920" s="70"/>
      <c r="AX920" s="70"/>
    </row>
    <row r="921">
      <c r="A921" s="8"/>
      <c r="B921" s="70"/>
      <c r="C921" s="70"/>
      <c r="D921" s="70"/>
      <c r="E921" s="8"/>
      <c r="F921" s="70"/>
      <c r="G921" s="70"/>
      <c r="H921" s="70"/>
      <c r="I921" s="8"/>
      <c r="J921" s="70"/>
      <c r="K921" s="70"/>
      <c r="L921" s="70"/>
      <c r="M921" s="8"/>
      <c r="N921" s="70"/>
      <c r="O921" s="70"/>
      <c r="P921" s="70"/>
      <c r="Q921" s="8"/>
      <c r="R921" s="70"/>
      <c r="S921" s="70"/>
      <c r="T921" s="70"/>
      <c r="U921" s="8"/>
      <c r="V921" s="70"/>
      <c r="W921" s="70"/>
      <c r="X921" s="70"/>
      <c r="Y921" s="200"/>
      <c r="Z921" s="195"/>
      <c r="AA921" s="195"/>
      <c r="AB921" s="195"/>
      <c r="AC921" s="8"/>
      <c r="AD921" s="70"/>
      <c r="AE921" s="70"/>
      <c r="AF921" s="70"/>
      <c r="AG921" s="201"/>
      <c r="AH921" s="202"/>
      <c r="AI921" s="201"/>
      <c r="AJ921" s="201"/>
      <c r="AK921" s="70"/>
      <c r="AL921" s="70"/>
      <c r="AM921" s="70"/>
      <c r="AN921" s="70"/>
      <c r="AO921" s="70"/>
      <c r="AP921" s="70"/>
      <c r="AQ921" s="70"/>
      <c r="AR921" s="70"/>
      <c r="AS921" s="70"/>
      <c r="AT921" s="70"/>
      <c r="AU921" s="70"/>
      <c r="AV921" s="70"/>
      <c r="AW921" s="70"/>
      <c r="AX921" s="70"/>
    </row>
    <row r="922">
      <c r="A922" s="8"/>
      <c r="B922" s="70"/>
      <c r="C922" s="70"/>
      <c r="D922" s="70"/>
      <c r="E922" s="8"/>
      <c r="F922" s="70"/>
      <c r="G922" s="70"/>
      <c r="H922" s="70"/>
      <c r="I922" s="8"/>
      <c r="J922" s="70"/>
      <c r="K922" s="70"/>
      <c r="L922" s="70"/>
      <c r="M922" s="8"/>
      <c r="N922" s="70"/>
      <c r="O922" s="70"/>
      <c r="P922" s="70"/>
      <c r="Q922" s="8"/>
      <c r="R922" s="70"/>
      <c r="S922" s="70"/>
      <c r="T922" s="70"/>
      <c r="U922" s="8"/>
      <c r="V922" s="70"/>
      <c r="W922" s="70"/>
      <c r="X922" s="70"/>
      <c r="Y922" s="200"/>
      <c r="Z922" s="195"/>
      <c r="AA922" s="195"/>
      <c r="AB922" s="195"/>
      <c r="AC922" s="8"/>
      <c r="AD922" s="70"/>
      <c r="AE922" s="70"/>
      <c r="AF922" s="70"/>
      <c r="AG922" s="201"/>
      <c r="AH922" s="202"/>
      <c r="AI922" s="201"/>
      <c r="AJ922" s="201"/>
      <c r="AK922" s="70"/>
      <c r="AL922" s="70"/>
      <c r="AM922" s="70"/>
      <c r="AN922" s="70"/>
      <c r="AO922" s="70"/>
      <c r="AP922" s="70"/>
      <c r="AQ922" s="70"/>
      <c r="AR922" s="70"/>
      <c r="AS922" s="70"/>
      <c r="AT922" s="70"/>
      <c r="AU922" s="70"/>
      <c r="AV922" s="70"/>
      <c r="AW922" s="70"/>
      <c r="AX922" s="70"/>
    </row>
    <row r="923">
      <c r="A923" s="8"/>
      <c r="B923" s="70"/>
      <c r="C923" s="70"/>
      <c r="D923" s="70"/>
      <c r="E923" s="8"/>
      <c r="F923" s="70"/>
      <c r="G923" s="70"/>
      <c r="H923" s="70"/>
      <c r="I923" s="8"/>
      <c r="J923" s="70"/>
      <c r="K923" s="70"/>
      <c r="L923" s="70"/>
      <c r="M923" s="8"/>
      <c r="N923" s="70"/>
      <c r="O923" s="70"/>
      <c r="P923" s="70"/>
      <c r="Q923" s="8"/>
      <c r="R923" s="70"/>
      <c r="S923" s="70"/>
      <c r="T923" s="70"/>
      <c r="U923" s="8"/>
      <c r="V923" s="70"/>
      <c r="W923" s="70"/>
      <c r="X923" s="70"/>
      <c r="Y923" s="200"/>
      <c r="Z923" s="195"/>
      <c r="AA923" s="195"/>
      <c r="AB923" s="195"/>
      <c r="AC923" s="8"/>
      <c r="AD923" s="70"/>
      <c r="AE923" s="70"/>
      <c r="AF923" s="70"/>
      <c r="AG923" s="201"/>
      <c r="AH923" s="202"/>
      <c r="AI923" s="201"/>
      <c r="AJ923" s="201"/>
      <c r="AK923" s="70"/>
      <c r="AL923" s="70"/>
      <c r="AM923" s="70"/>
      <c r="AN923" s="70"/>
      <c r="AO923" s="70"/>
      <c r="AP923" s="70"/>
      <c r="AQ923" s="70"/>
      <c r="AR923" s="70"/>
      <c r="AS923" s="70"/>
      <c r="AT923" s="70"/>
      <c r="AU923" s="70"/>
      <c r="AV923" s="70"/>
      <c r="AW923" s="70"/>
      <c r="AX923" s="70"/>
    </row>
    <row r="924">
      <c r="A924" s="8"/>
      <c r="B924" s="70"/>
      <c r="C924" s="70"/>
      <c r="D924" s="70"/>
      <c r="E924" s="8"/>
      <c r="F924" s="70"/>
      <c r="G924" s="70"/>
      <c r="H924" s="70"/>
      <c r="I924" s="8"/>
      <c r="J924" s="70"/>
      <c r="K924" s="70"/>
      <c r="L924" s="70"/>
      <c r="M924" s="8"/>
      <c r="N924" s="70"/>
      <c r="O924" s="70"/>
      <c r="P924" s="70"/>
      <c r="Q924" s="8"/>
      <c r="R924" s="70"/>
      <c r="S924" s="70"/>
      <c r="T924" s="70"/>
      <c r="U924" s="8"/>
      <c r="V924" s="70"/>
      <c r="W924" s="70"/>
      <c r="X924" s="70"/>
      <c r="Y924" s="200"/>
      <c r="Z924" s="195"/>
      <c r="AA924" s="195"/>
      <c r="AB924" s="195"/>
      <c r="AC924" s="8"/>
      <c r="AD924" s="70"/>
      <c r="AE924" s="70"/>
      <c r="AF924" s="70"/>
      <c r="AG924" s="201"/>
      <c r="AH924" s="202"/>
      <c r="AI924" s="201"/>
      <c r="AJ924" s="201"/>
      <c r="AK924" s="70"/>
      <c r="AL924" s="70"/>
      <c r="AM924" s="70"/>
      <c r="AN924" s="70"/>
      <c r="AO924" s="70"/>
      <c r="AP924" s="70"/>
      <c r="AQ924" s="70"/>
      <c r="AR924" s="70"/>
      <c r="AS924" s="70"/>
      <c r="AT924" s="70"/>
      <c r="AU924" s="70"/>
      <c r="AV924" s="70"/>
      <c r="AW924" s="70"/>
      <c r="AX924" s="70"/>
    </row>
    <row r="925">
      <c r="A925" s="8"/>
      <c r="B925" s="70"/>
      <c r="C925" s="70"/>
      <c r="D925" s="70"/>
      <c r="E925" s="8"/>
      <c r="F925" s="70"/>
      <c r="G925" s="70"/>
      <c r="H925" s="70"/>
      <c r="I925" s="8"/>
      <c r="J925" s="70"/>
      <c r="K925" s="70"/>
      <c r="L925" s="70"/>
      <c r="M925" s="8"/>
      <c r="N925" s="70"/>
      <c r="O925" s="70"/>
      <c r="P925" s="70"/>
      <c r="Q925" s="8"/>
      <c r="R925" s="70"/>
      <c r="S925" s="70"/>
      <c r="T925" s="70"/>
      <c r="U925" s="8"/>
      <c r="V925" s="70"/>
      <c r="W925" s="70"/>
      <c r="X925" s="70"/>
      <c r="Y925" s="200"/>
      <c r="Z925" s="195"/>
      <c r="AA925" s="195"/>
      <c r="AB925" s="195"/>
      <c r="AC925" s="8"/>
      <c r="AD925" s="70"/>
      <c r="AE925" s="70"/>
      <c r="AF925" s="70"/>
      <c r="AG925" s="201"/>
      <c r="AH925" s="202"/>
      <c r="AI925" s="201"/>
      <c r="AJ925" s="201"/>
      <c r="AK925" s="70"/>
      <c r="AL925" s="70"/>
      <c r="AM925" s="70"/>
      <c r="AN925" s="70"/>
      <c r="AO925" s="70"/>
      <c r="AP925" s="70"/>
      <c r="AQ925" s="70"/>
      <c r="AR925" s="70"/>
      <c r="AS925" s="70"/>
      <c r="AT925" s="70"/>
      <c r="AU925" s="70"/>
      <c r="AV925" s="70"/>
      <c r="AW925" s="70"/>
      <c r="AX925" s="70"/>
    </row>
    <row r="926">
      <c r="A926" s="8"/>
      <c r="B926" s="70"/>
      <c r="C926" s="70"/>
      <c r="D926" s="70"/>
      <c r="E926" s="8"/>
      <c r="F926" s="70"/>
      <c r="G926" s="70"/>
      <c r="H926" s="70"/>
      <c r="I926" s="8"/>
      <c r="J926" s="70"/>
      <c r="K926" s="70"/>
      <c r="L926" s="70"/>
      <c r="M926" s="8"/>
      <c r="N926" s="70"/>
      <c r="O926" s="70"/>
      <c r="P926" s="70"/>
      <c r="Q926" s="8"/>
      <c r="R926" s="70"/>
      <c r="S926" s="70"/>
      <c r="T926" s="70"/>
      <c r="U926" s="8"/>
      <c r="V926" s="70"/>
      <c r="W926" s="70"/>
      <c r="X926" s="70"/>
      <c r="Y926" s="200"/>
      <c r="Z926" s="195"/>
      <c r="AA926" s="195"/>
      <c r="AB926" s="195"/>
      <c r="AC926" s="8"/>
      <c r="AD926" s="70"/>
      <c r="AE926" s="70"/>
      <c r="AF926" s="70"/>
      <c r="AG926" s="201"/>
      <c r="AH926" s="202"/>
      <c r="AI926" s="201"/>
      <c r="AJ926" s="201"/>
      <c r="AK926" s="70"/>
      <c r="AL926" s="70"/>
      <c r="AM926" s="70"/>
      <c r="AN926" s="70"/>
      <c r="AO926" s="70"/>
      <c r="AP926" s="70"/>
      <c r="AQ926" s="70"/>
      <c r="AR926" s="70"/>
      <c r="AS926" s="70"/>
      <c r="AT926" s="70"/>
      <c r="AU926" s="70"/>
      <c r="AV926" s="70"/>
      <c r="AW926" s="70"/>
      <c r="AX926" s="70"/>
    </row>
    <row r="927">
      <c r="A927" s="8"/>
      <c r="B927" s="70"/>
      <c r="C927" s="70"/>
      <c r="D927" s="70"/>
      <c r="E927" s="8"/>
      <c r="F927" s="70"/>
      <c r="G927" s="70"/>
      <c r="H927" s="70"/>
      <c r="I927" s="8"/>
      <c r="J927" s="70"/>
      <c r="K927" s="70"/>
      <c r="L927" s="70"/>
      <c r="M927" s="8"/>
      <c r="N927" s="70"/>
      <c r="O927" s="70"/>
      <c r="P927" s="70"/>
      <c r="Q927" s="8"/>
      <c r="R927" s="70"/>
      <c r="S927" s="70"/>
      <c r="T927" s="70"/>
      <c r="U927" s="8"/>
      <c r="V927" s="70"/>
      <c r="W927" s="70"/>
      <c r="X927" s="70"/>
      <c r="Y927" s="200"/>
      <c r="Z927" s="195"/>
      <c r="AA927" s="195"/>
      <c r="AB927" s="195"/>
      <c r="AC927" s="8"/>
      <c r="AD927" s="70"/>
      <c r="AE927" s="70"/>
      <c r="AF927" s="70"/>
      <c r="AG927" s="201"/>
      <c r="AH927" s="202"/>
      <c r="AI927" s="201"/>
      <c r="AJ927" s="201"/>
      <c r="AK927" s="70"/>
      <c r="AL927" s="70"/>
      <c r="AM927" s="70"/>
      <c r="AN927" s="70"/>
      <c r="AO927" s="70"/>
      <c r="AP927" s="70"/>
      <c r="AQ927" s="70"/>
      <c r="AR927" s="70"/>
      <c r="AS927" s="70"/>
      <c r="AT927" s="70"/>
      <c r="AU927" s="70"/>
      <c r="AV927" s="70"/>
      <c r="AW927" s="70"/>
      <c r="AX927" s="70"/>
    </row>
    <row r="928">
      <c r="A928" s="8"/>
      <c r="B928" s="70"/>
      <c r="C928" s="70"/>
      <c r="D928" s="70"/>
      <c r="E928" s="8"/>
      <c r="F928" s="70"/>
      <c r="G928" s="70"/>
      <c r="H928" s="70"/>
      <c r="I928" s="8"/>
      <c r="J928" s="70"/>
      <c r="K928" s="70"/>
      <c r="L928" s="70"/>
      <c r="M928" s="8"/>
      <c r="N928" s="70"/>
      <c r="O928" s="70"/>
      <c r="P928" s="70"/>
      <c r="Q928" s="8"/>
      <c r="R928" s="70"/>
      <c r="S928" s="70"/>
      <c r="T928" s="70"/>
      <c r="U928" s="8"/>
      <c r="V928" s="70"/>
      <c r="W928" s="70"/>
      <c r="X928" s="70"/>
      <c r="Y928" s="200"/>
      <c r="Z928" s="195"/>
      <c r="AA928" s="195"/>
      <c r="AB928" s="195"/>
      <c r="AC928" s="8"/>
      <c r="AD928" s="70"/>
      <c r="AE928" s="70"/>
      <c r="AF928" s="70"/>
      <c r="AG928" s="201"/>
      <c r="AH928" s="202"/>
      <c r="AI928" s="201"/>
      <c r="AJ928" s="201"/>
      <c r="AK928" s="70"/>
      <c r="AL928" s="70"/>
      <c r="AM928" s="70"/>
      <c r="AN928" s="70"/>
      <c r="AO928" s="70"/>
      <c r="AP928" s="70"/>
      <c r="AQ928" s="70"/>
      <c r="AR928" s="70"/>
      <c r="AS928" s="70"/>
      <c r="AT928" s="70"/>
      <c r="AU928" s="70"/>
      <c r="AV928" s="70"/>
      <c r="AW928" s="70"/>
      <c r="AX928" s="70"/>
    </row>
    <row r="929">
      <c r="A929" s="8"/>
      <c r="B929" s="70"/>
      <c r="C929" s="70"/>
      <c r="D929" s="70"/>
      <c r="E929" s="8"/>
      <c r="F929" s="70"/>
      <c r="G929" s="70"/>
      <c r="H929" s="70"/>
      <c r="I929" s="8"/>
      <c r="J929" s="70"/>
      <c r="K929" s="70"/>
      <c r="L929" s="70"/>
      <c r="M929" s="8"/>
      <c r="N929" s="70"/>
      <c r="O929" s="70"/>
      <c r="P929" s="70"/>
      <c r="Q929" s="8"/>
      <c r="R929" s="70"/>
      <c r="S929" s="70"/>
      <c r="T929" s="70"/>
      <c r="U929" s="8"/>
      <c r="V929" s="70"/>
      <c r="W929" s="70"/>
      <c r="X929" s="70"/>
      <c r="Y929" s="200"/>
      <c r="Z929" s="195"/>
      <c r="AA929" s="195"/>
      <c r="AB929" s="195"/>
      <c r="AC929" s="8"/>
      <c r="AD929" s="70"/>
      <c r="AE929" s="70"/>
      <c r="AF929" s="70"/>
      <c r="AG929" s="201"/>
      <c r="AH929" s="202"/>
      <c r="AI929" s="201"/>
      <c r="AJ929" s="201"/>
      <c r="AK929" s="70"/>
      <c r="AL929" s="70"/>
      <c r="AM929" s="70"/>
      <c r="AN929" s="70"/>
      <c r="AO929" s="70"/>
      <c r="AP929" s="70"/>
      <c r="AQ929" s="70"/>
      <c r="AR929" s="70"/>
      <c r="AS929" s="70"/>
      <c r="AT929" s="70"/>
      <c r="AU929" s="70"/>
      <c r="AV929" s="70"/>
      <c r="AW929" s="70"/>
      <c r="AX929" s="70"/>
    </row>
    <row r="930">
      <c r="A930" s="8"/>
      <c r="B930" s="70"/>
      <c r="C930" s="70"/>
      <c r="D930" s="70"/>
      <c r="E930" s="8"/>
      <c r="F930" s="70"/>
      <c r="G930" s="70"/>
      <c r="H930" s="70"/>
      <c r="I930" s="8"/>
      <c r="J930" s="70"/>
      <c r="K930" s="70"/>
      <c r="L930" s="70"/>
      <c r="M930" s="8"/>
      <c r="N930" s="70"/>
      <c r="O930" s="70"/>
      <c r="P930" s="70"/>
      <c r="Q930" s="8"/>
      <c r="R930" s="70"/>
      <c r="S930" s="70"/>
      <c r="T930" s="70"/>
      <c r="U930" s="8"/>
      <c r="V930" s="70"/>
      <c r="W930" s="70"/>
      <c r="X930" s="70"/>
      <c r="Y930" s="200"/>
      <c r="Z930" s="195"/>
      <c r="AA930" s="195"/>
      <c r="AB930" s="195"/>
      <c r="AC930" s="8"/>
      <c r="AD930" s="70"/>
      <c r="AE930" s="70"/>
      <c r="AF930" s="70"/>
      <c r="AG930" s="201"/>
      <c r="AH930" s="202"/>
      <c r="AI930" s="201"/>
      <c r="AJ930" s="201"/>
      <c r="AK930" s="70"/>
      <c r="AL930" s="70"/>
      <c r="AM930" s="70"/>
      <c r="AN930" s="70"/>
      <c r="AO930" s="70"/>
      <c r="AP930" s="70"/>
      <c r="AQ930" s="70"/>
      <c r="AR930" s="70"/>
      <c r="AS930" s="70"/>
      <c r="AT930" s="70"/>
      <c r="AU930" s="70"/>
      <c r="AV930" s="70"/>
      <c r="AW930" s="70"/>
      <c r="AX930" s="70"/>
    </row>
    <row r="931">
      <c r="A931" s="8"/>
      <c r="B931" s="70"/>
      <c r="C931" s="70"/>
      <c r="D931" s="70"/>
      <c r="E931" s="8"/>
      <c r="F931" s="70"/>
      <c r="G931" s="70"/>
      <c r="H931" s="70"/>
      <c r="I931" s="8"/>
      <c r="J931" s="70"/>
      <c r="K931" s="70"/>
      <c r="L931" s="70"/>
      <c r="M931" s="8"/>
      <c r="N931" s="70"/>
      <c r="O931" s="70"/>
      <c r="P931" s="70"/>
      <c r="Q931" s="8"/>
      <c r="R931" s="70"/>
      <c r="S931" s="70"/>
      <c r="T931" s="70"/>
      <c r="U931" s="8"/>
      <c r="V931" s="70"/>
      <c r="W931" s="70"/>
      <c r="X931" s="70"/>
      <c r="Y931" s="200"/>
      <c r="Z931" s="195"/>
      <c r="AA931" s="195"/>
      <c r="AB931" s="195"/>
      <c r="AC931" s="8"/>
      <c r="AD931" s="70"/>
      <c r="AE931" s="70"/>
      <c r="AF931" s="70"/>
      <c r="AG931" s="201"/>
      <c r="AH931" s="202"/>
      <c r="AI931" s="201"/>
      <c r="AJ931" s="201"/>
      <c r="AK931" s="70"/>
      <c r="AL931" s="70"/>
      <c r="AM931" s="70"/>
      <c r="AN931" s="70"/>
      <c r="AO931" s="70"/>
      <c r="AP931" s="70"/>
      <c r="AQ931" s="70"/>
      <c r="AR931" s="70"/>
      <c r="AS931" s="70"/>
      <c r="AT931" s="70"/>
      <c r="AU931" s="70"/>
      <c r="AV931" s="70"/>
      <c r="AW931" s="70"/>
      <c r="AX931" s="70"/>
    </row>
    <row r="932">
      <c r="A932" s="8"/>
      <c r="B932" s="70"/>
      <c r="C932" s="70"/>
      <c r="D932" s="70"/>
      <c r="E932" s="8"/>
      <c r="F932" s="70"/>
      <c r="G932" s="70"/>
      <c r="H932" s="70"/>
      <c r="I932" s="8"/>
      <c r="J932" s="70"/>
      <c r="K932" s="70"/>
      <c r="L932" s="70"/>
      <c r="M932" s="8"/>
      <c r="N932" s="70"/>
      <c r="O932" s="70"/>
      <c r="P932" s="70"/>
      <c r="Q932" s="8"/>
      <c r="R932" s="70"/>
      <c r="S932" s="70"/>
      <c r="T932" s="70"/>
      <c r="U932" s="8"/>
      <c r="V932" s="70"/>
      <c r="W932" s="70"/>
      <c r="X932" s="70"/>
      <c r="Y932" s="200"/>
      <c r="Z932" s="195"/>
      <c r="AA932" s="195"/>
      <c r="AB932" s="195"/>
      <c r="AC932" s="8"/>
      <c r="AD932" s="70"/>
      <c r="AE932" s="70"/>
      <c r="AF932" s="70"/>
      <c r="AG932" s="201"/>
      <c r="AH932" s="202"/>
      <c r="AI932" s="201"/>
      <c r="AJ932" s="201"/>
      <c r="AK932" s="70"/>
      <c r="AL932" s="70"/>
      <c r="AM932" s="70"/>
      <c r="AN932" s="70"/>
      <c r="AO932" s="70"/>
      <c r="AP932" s="70"/>
      <c r="AQ932" s="70"/>
      <c r="AR932" s="70"/>
      <c r="AS932" s="70"/>
      <c r="AT932" s="70"/>
      <c r="AU932" s="70"/>
      <c r="AV932" s="70"/>
      <c r="AW932" s="70"/>
      <c r="AX932" s="70"/>
    </row>
    <row r="933">
      <c r="A933" s="8"/>
      <c r="B933" s="70"/>
      <c r="C933" s="70"/>
      <c r="D933" s="70"/>
      <c r="E933" s="8"/>
      <c r="F933" s="70"/>
      <c r="G933" s="70"/>
      <c r="H933" s="70"/>
      <c r="I933" s="8"/>
      <c r="J933" s="70"/>
      <c r="K933" s="70"/>
      <c r="L933" s="70"/>
      <c r="M933" s="8"/>
      <c r="N933" s="70"/>
      <c r="O933" s="70"/>
      <c r="P933" s="70"/>
      <c r="Q933" s="8"/>
      <c r="R933" s="70"/>
      <c r="S933" s="70"/>
      <c r="T933" s="70"/>
      <c r="U933" s="8"/>
      <c r="V933" s="70"/>
      <c r="W933" s="70"/>
      <c r="X933" s="70"/>
      <c r="Y933" s="200"/>
      <c r="Z933" s="195"/>
      <c r="AA933" s="195"/>
      <c r="AB933" s="195"/>
      <c r="AC933" s="8"/>
      <c r="AD933" s="70"/>
      <c r="AE933" s="70"/>
      <c r="AF933" s="70"/>
      <c r="AG933" s="201"/>
      <c r="AH933" s="202"/>
      <c r="AI933" s="201"/>
      <c r="AJ933" s="201"/>
      <c r="AK933" s="70"/>
      <c r="AL933" s="70"/>
      <c r="AM933" s="70"/>
      <c r="AN933" s="70"/>
      <c r="AO933" s="70"/>
      <c r="AP933" s="70"/>
      <c r="AQ933" s="70"/>
      <c r="AR933" s="70"/>
      <c r="AS933" s="70"/>
      <c r="AT933" s="70"/>
      <c r="AU933" s="70"/>
      <c r="AV933" s="70"/>
      <c r="AW933" s="70"/>
      <c r="AX933" s="70"/>
    </row>
    <row r="934">
      <c r="A934" s="8"/>
      <c r="B934" s="70"/>
      <c r="C934" s="70"/>
      <c r="D934" s="70"/>
      <c r="E934" s="8"/>
      <c r="F934" s="70"/>
      <c r="G934" s="70"/>
      <c r="H934" s="70"/>
      <c r="I934" s="8"/>
      <c r="J934" s="70"/>
      <c r="K934" s="70"/>
      <c r="L934" s="70"/>
      <c r="M934" s="8"/>
      <c r="N934" s="70"/>
      <c r="O934" s="70"/>
      <c r="P934" s="70"/>
      <c r="Q934" s="8"/>
      <c r="R934" s="70"/>
      <c r="S934" s="70"/>
      <c r="T934" s="70"/>
      <c r="U934" s="8"/>
      <c r="V934" s="70"/>
      <c r="W934" s="70"/>
      <c r="X934" s="70"/>
      <c r="Y934" s="200"/>
      <c r="Z934" s="195"/>
      <c r="AA934" s="195"/>
      <c r="AB934" s="195"/>
      <c r="AC934" s="8"/>
      <c r="AD934" s="70"/>
      <c r="AE934" s="70"/>
      <c r="AF934" s="70"/>
      <c r="AG934" s="201"/>
      <c r="AH934" s="202"/>
      <c r="AI934" s="201"/>
      <c r="AJ934" s="201"/>
      <c r="AK934" s="70"/>
      <c r="AL934" s="70"/>
      <c r="AM934" s="70"/>
      <c r="AN934" s="70"/>
      <c r="AO934" s="70"/>
      <c r="AP934" s="70"/>
      <c r="AQ934" s="70"/>
      <c r="AR934" s="70"/>
      <c r="AS934" s="70"/>
      <c r="AT934" s="70"/>
      <c r="AU934" s="70"/>
      <c r="AV934" s="70"/>
      <c r="AW934" s="70"/>
      <c r="AX934" s="70"/>
    </row>
    <row r="935">
      <c r="A935" s="8"/>
      <c r="B935" s="70"/>
      <c r="C935" s="70"/>
      <c r="D935" s="70"/>
      <c r="E935" s="8"/>
      <c r="F935" s="70"/>
      <c r="G935" s="70"/>
      <c r="H935" s="70"/>
      <c r="I935" s="8"/>
      <c r="J935" s="70"/>
      <c r="K935" s="70"/>
      <c r="L935" s="70"/>
      <c r="M935" s="8"/>
      <c r="N935" s="70"/>
      <c r="O935" s="70"/>
      <c r="P935" s="70"/>
      <c r="Q935" s="8"/>
      <c r="R935" s="70"/>
      <c r="S935" s="70"/>
      <c r="T935" s="70"/>
      <c r="U935" s="8"/>
      <c r="V935" s="70"/>
      <c r="W935" s="70"/>
      <c r="X935" s="70"/>
      <c r="Y935" s="200"/>
      <c r="Z935" s="195"/>
      <c r="AA935" s="195"/>
      <c r="AB935" s="195"/>
      <c r="AC935" s="8"/>
      <c r="AD935" s="70"/>
      <c r="AE935" s="70"/>
      <c r="AF935" s="70"/>
      <c r="AG935" s="201"/>
      <c r="AH935" s="202"/>
      <c r="AI935" s="201"/>
      <c r="AJ935" s="201"/>
      <c r="AK935" s="70"/>
      <c r="AL935" s="70"/>
      <c r="AM935" s="70"/>
      <c r="AN935" s="70"/>
      <c r="AO935" s="70"/>
      <c r="AP935" s="70"/>
      <c r="AQ935" s="70"/>
      <c r="AR935" s="70"/>
      <c r="AS935" s="70"/>
      <c r="AT935" s="70"/>
      <c r="AU935" s="70"/>
      <c r="AV935" s="70"/>
      <c r="AW935" s="70"/>
      <c r="AX935" s="70"/>
    </row>
    <row r="936">
      <c r="A936" s="8"/>
      <c r="B936" s="70"/>
      <c r="C936" s="70"/>
      <c r="D936" s="70"/>
      <c r="E936" s="8"/>
      <c r="F936" s="70"/>
      <c r="G936" s="70"/>
      <c r="H936" s="70"/>
      <c r="I936" s="8"/>
      <c r="J936" s="70"/>
      <c r="K936" s="70"/>
      <c r="L936" s="70"/>
      <c r="M936" s="8"/>
      <c r="N936" s="70"/>
      <c r="O936" s="70"/>
      <c r="P936" s="70"/>
      <c r="Q936" s="8"/>
      <c r="R936" s="70"/>
      <c r="S936" s="70"/>
      <c r="T936" s="70"/>
      <c r="U936" s="8"/>
      <c r="V936" s="70"/>
      <c r="W936" s="70"/>
      <c r="X936" s="70"/>
      <c r="Y936" s="200"/>
      <c r="Z936" s="195"/>
      <c r="AA936" s="195"/>
      <c r="AB936" s="195"/>
      <c r="AC936" s="8"/>
      <c r="AD936" s="70"/>
      <c r="AE936" s="70"/>
      <c r="AF936" s="70"/>
      <c r="AG936" s="201"/>
      <c r="AH936" s="202"/>
      <c r="AI936" s="201"/>
      <c r="AJ936" s="201"/>
      <c r="AK936" s="70"/>
      <c r="AL936" s="70"/>
      <c r="AM936" s="70"/>
      <c r="AN936" s="70"/>
      <c r="AO936" s="70"/>
      <c r="AP936" s="70"/>
      <c r="AQ936" s="70"/>
      <c r="AR936" s="70"/>
      <c r="AS936" s="70"/>
      <c r="AT936" s="70"/>
      <c r="AU936" s="70"/>
      <c r="AV936" s="70"/>
      <c r="AW936" s="70"/>
      <c r="AX936" s="70"/>
    </row>
    <row r="937">
      <c r="A937" s="8"/>
      <c r="B937" s="70"/>
      <c r="C937" s="70"/>
      <c r="D937" s="70"/>
      <c r="E937" s="8"/>
      <c r="F937" s="70"/>
      <c r="G937" s="70"/>
      <c r="H937" s="70"/>
      <c r="I937" s="8"/>
      <c r="J937" s="70"/>
      <c r="K937" s="70"/>
      <c r="L937" s="70"/>
      <c r="M937" s="8"/>
      <c r="N937" s="70"/>
      <c r="O937" s="70"/>
      <c r="P937" s="70"/>
      <c r="Q937" s="8"/>
      <c r="R937" s="70"/>
      <c r="S937" s="70"/>
      <c r="T937" s="70"/>
      <c r="U937" s="8"/>
      <c r="V937" s="70"/>
      <c r="W937" s="70"/>
      <c r="X937" s="70"/>
      <c r="Y937" s="200"/>
      <c r="Z937" s="195"/>
      <c r="AA937" s="195"/>
      <c r="AB937" s="195"/>
      <c r="AC937" s="8"/>
      <c r="AD937" s="70"/>
      <c r="AE937" s="70"/>
      <c r="AF937" s="70"/>
      <c r="AG937" s="201"/>
      <c r="AH937" s="202"/>
      <c r="AI937" s="201"/>
      <c r="AJ937" s="201"/>
      <c r="AK937" s="70"/>
      <c r="AL937" s="70"/>
      <c r="AM937" s="70"/>
      <c r="AN937" s="70"/>
      <c r="AO937" s="70"/>
      <c r="AP937" s="70"/>
      <c r="AQ937" s="70"/>
      <c r="AR937" s="70"/>
      <c r="AS937" s="70"/>
      <c r="AT937" s="70"/>
      <c r="AU937" s="70"/>
      <c r="AV937" s="70"/>
      <c r="AW937" s="70"/>
      <c r="AX937" s="70"/>
    </row>
    <row r="938">
      <c r="A938" s="8"/>
      <c r="B938" s="70"/>
      <c r="C938" s="70"/>
      <c r="D938" s="70"/>
      <c r="E938" s="8"/>
      <c r="F938" s="70"/>
      <c r="G938" s="70"/>
      <c r="H938" s="70"/>
      <c r="I938" s="8"/>
      <c r="J938" s="70"/>
      <c r="K938" s="70"/>
      <c r="L938" s="70"/>
      <c r="M938" s="8"/>
      <c r="N938" s="70"/>
      <c r="O938" s="70"/>
      <c r="P938" s="70"/>
      <c r="Q938" s="8"/>
      <c r="R938" s="70"/>
      <c r="S938" s="70"/>
      <c r="T938" s="70"/>
      <c r="U938" s="8"/>
      <c r="V938" s="70"/>
      <c r="W938" s="70"/>
      <c r="X938" s="70"/>
      <c r="Y938" s="200"/>
      <c r="Z938" s="195"/>
      <c r="AA938" s="195"/>
      <c r="AB938" s="195"/>
      <c r="AC938" s="8"/>
      <c r="AD938" s="70"/>
      <c r="AE938" s="70"/>
      <c r="AF938" s="70"/>
      <c r="AG938" s="201"/>
      <c r="AH938" s="202"/>
      <c r="AI938" s="201"/>
      <c r="AJ938" s="201"/>
      <c r="AK938" s="70"/>
      <c r="AL938" s="70"/>
      <c r="AM938" s="70"/>
      <c r="AN938" s="70"/>
      <c r="AO938" s="70"/>
      <c r="AP938" s="70"/>
      <c r="AQ938" s="70"/>
      <c r="AR938" s="70"/>
      <c r="AS938" s="70"/>
      <c r="AT938" s="70"/>
      <c r="AU938" s="70"/>
      <c r="AV938" s="70"/>
      <c r="AW938" s="70"/>
      <c r="AX938" s="70"/>
    </row>
    <row r="939">
      <c r="A939" s="8"/>
      <c r="B939" s="70"/>
      <c r="C939" s="70"/>
      <c r="D939" s="70"/>
      <c r="E939" s="8"/>
      <c r="F939" s="70"/>
      <c r="G939" s="70"/>
      <c r="H939" s="70"/>
      <c r="I939" s="8"/>
      <c r="J939" s="70"/>
      <c r="K939" s="70"/>
      <c r="L939" s="70"/>
      <c r="M939" s="8"/>
      <c r="N939" s="70"/>
      <c r="O939" s="70"/>
      <c r="P939" s="70"/>
      <c r="Q939" s="8"/>
      <c r="R939" s="70"/>
      <c r="S939" s="70"/>
      <c r="T939" s="70"/>
      <c r="U939" s="8"/>
      <c r="V939" s="70"/>
      <c r="W939" s="70"/>
      <c r="X939" s="70"/>
      <c r="Y939" s="200"/>
      <c r="Z939" s="195"/>
      <c r="AA939" s="195"/>
      <c r="AB939" s="195"/>
      <c r="AC939" s="8"/>
      <c r="AD939" s="70"/>
      <c r="AE939" s="70"/>
      <c r="AF939" s="70"/>
      <c r="AG939" s="201"/>
      <c r="AH939" s="202"/>
      <c r="AI939" s="201"/>
      <c r="AJ939" s="201"/>
      <c r="AK939" s="70"/>
      <c r="AL939" s="70"/>
      <c r="AM939" s="70"/>
      <c r="AN939" s="70"/>
      <c r="AO939" s="70"/>
      <c r="AP939" s="70"/>
      <c r="AQ939" s="70"/>
      <c r="AR939" s="70"/>
      <c r="AS939" s="70"/>
      <c r="AT939" s="70"/>
      <c r="AU939" s="70"/>
      <c r="AV939" s="70"/>
      <c r="AW939" s="70"/>
      <c r="AX939" s="70"/>
    </row>
    <row r="940">
      <c r="A940" s="8"/>
      <c r="B940" s="70"/>
      <c r="C940" s="70"/>
      <c r="D940" s="70"/>
      <c r="E940" s="8"/>
      <c r="F940" s="70"/>
      <c r="G940" s="70"/>
      <c r="H940" s="70"/>
      <c r="I940" s="8"/>
      <c r="J940" s="70"/>
      <c r="K940" s="70"/>
      <c r="L940" s="70"/>
      <c r="M940" s="8"/>
      <c r="N940" s="70"/>
      <c r="O940" s="70"/>
      <c r="P940" s="70"/>
      <c r="Q940" s="8"/>
      <c r="R940" s="70"/>
      <c r="S940" s="70"/>
      <c r="T940" s="70"/>
      <c r="U940" s="8"/>
      <c r="V940" s="70"/>
      <c r="W940" s="70"/>
      <c r="X940" s="70"/>
      <c r="Y940" s="200"/>
      <c r="Z940" s="195"/>
      <c r="AA940" s="195"/>
      <c r="AB940" s="195"/>
      <c r="AC940" s="8"/>
      <c r="AD940" s="70"/>
      <c r="AE940" s="70"/>
      <c r="AF940" s="70"/>
      <c r="AG940" s="201"/>
      <c r="AH940" s="202"/>
      <c r="AI940" s="201"/>
      <c r="AJ940" s="201"/>
      <c r="AK940" s="70"/>
      <c r="AL940" s="70"/>
      <c r="AM940" s="70"/>
      <c r="AN940" s="70"/>
      <c r="AO940" s="70"/>
      <c r="AP940" s="70"/>
      <c r="AQ940" s="70"/>
      <c r="AR940" s="70"/>
      <c r="AS940" s="70"/>
      <c r="AT940" s="70"/>
      <c r="AU940" s="70"/>
      <c r="AV940" s="70"/>
      <c r="AW940" s="70"/>
      <c r="AX940" s="70"/>
    </row>
    <row r="941">
      <c r="A941" s="8"/>
      <c r="B941" s="70"/>
      <c r="C941" s="70"/>
      <c r="D941" s="70"/>
      <c r="E941" s="8"/>
      <c r="F941" s="70"/>
      <c r="G941" s="70"/>
      <c r="H941" s="70"/>
      <c r="I941" s="8"/>
      <c r="J941" s="70"/>
      <c r="K941" s="70"/>
      <c r="L941" s="70"/>
      <c r="M941" s="8"/>
      <c r="N941" s="70"/>
      <c r="O941" s="70"/>
      <c r="P941" s="70"/>
      <c r="Q941" s="8"/>
      <c r="R941" s="70"/>
      <c r="S941" s="70"/>
      <c r="T941" s="70"/>
      <c r="U941" s="8"/>
      <c r="V941" s="70"/>
      <c r="W941" s="70"/>
      <c r="X941" s="70"/>
      <c r="Y941" s="200"/>
      <c r="Z941" s="195"/>
      <c r="AA941" s="195"/>
      <c r="AB941" s="195"/>
      <c r="AC941" s="8"/>
      <c r="AD941" s="70"/>
      <c r="AE941" s="70"/>
      <c r="AF941" s="70"/>
      <c r="AG941" s="201"/>
      <c r="AH941" s="202"/>
      <c r="AI941" s="201"/>
      <c r="AJ941" s="201"/>
      <c r="AK941" s="70"/>
      <c r="AL941" s="70"/>
      <c r="AM941" s="70"/>
      <c r="AN941" s="70"/>
      <c r="AO941" s="70"/>
      <c r="AP941" s="70"/>
      <c r="AQ941" s="70"/>
      <c r="AR941" s="70"/>
      <c r="AS941" s="70"/>
      <c r="AT941" s="70"/>
      <c r="AU941" s="70"/>
      <c r="AV941" s="70"/>
      <c r="AW941" s="70"/>
      <c r="AX941" s="70"/>
    </row>
    <row r="942">
      <c r="A942" s="8"/>
      <c r="B942" s="70"/>
      <c r="C942" s="70"/>
      <c r="D942" s="70"/>
      <c r="E942" s="8"/>
      <c r="F942" s="70"/>
      <c r="G942" s="70"/>
      <c r="H942" s="70"/>
      <c r="I942" s="8"/>
      <c r="J942" s="70"/>
      <c r="K942" s="70"/>
      <c r="L942" s="70"/>
      <c r="M942" s="8"/>
      <c r="N942" s="70"/>
      <c r="O942" s="70"/>
      <c r="P942" s="70"/>
      <c r="Q942" s="8"/>
      <c r="R942" s="70"/>
      <c r="S942" s="70"/>
      <c r="T942" s="70"/>
      <c r="U942" s="8"/>
      <c r="V942" s="70"/>
      <c r="W942" s="70"/>
      <c r="X942" s="70"/>
      <c r="Y942" s="200"/>
      <c r="Z942" s="195"/>
      <c r="AA942" s="195"/>
      <c r="AB942" s="195"/>
      <c r="AC942" s="8"/>
      <c r="AD942" s="70"/>
      <c r="AE942" s="70"/>
      <c r="AF942" s="70"/>
      <c r="AG942" s="201"/>
      <c r="AH942" s="202"/>
      <c r="AI942" s="201"/>
      <c r="AJ942" s="201"/>
      <c r="AK942" s="70"/>
      <c r="AL942" s="70"/>
      <c r="AM942" s="70"/>
      <c r="AN942" s="70"/>
      <c r="AO942" s="70"/>
      <c r="AP942" s="70"/>
      <c r="AQ942" s="70"/>
      <c r="AR942" s="70"/>
      <c r="AS942" s="70"/>
      <c r="AT942" s="70"/>
      <c r="AU942" s="70"/>
      <c r="AV942" s="70"/>
      <c r="AW942" s="70"/>
      <c r="AX942" s="70"/>
    </row>
    <row r="943">
      <c r="A943" s="8"/>
      <c r="B943" s="70"/>
      <c r="C943" s="70"/>
      <c r="D943" s="70"/>
      <c r="E943" s="8"/>
      <c r="F943" s="70"/>
      <c r="G943" s="70"/>
      <c r="H943" s="70"/>
      <c r="I943" s="8"/>
      <c r="J943" s="70"/>
      <c r="K943" s="70"/>
      <c r="L943" s="70"/>
      <c r="M943" s="8"/>
      <c r="N943" s="70"/>
      <c r="O943" s="70"/>
      <c r="P943" s="70"/>
      <c r="Q943" s="8"/>
      <c r="R943" s="70"/>
      <c r="S943" s="70"/>
      <c r="T943" s="70"/>
      <c r="U943" s="8"/>
      <c r="V943" s="70"/>
      <c r="W943" s="70"/>
      <c r="X943" s="70"/>
      <c r="Y943" s="200"/>
      <c r="Z943" s="195"/>
      <c r="AA943" s="195"/>
      <c r="AB943" s="195"/>
      <c r="AC943" s="8"/>
      <c r="AD943" s="70"/>
      <c r="AE943" s="70"/>
      <c r="AF943" s="70"/>
      <c r="AG943" s="201"/>
      <c r="AH943" s="202"/>
      <c r="AI943" s="201"/>
      <c r="AJ943" s="201"/>
      <c r="AK943" s="70"/>
      <c r="AL943" s="70"/>
      <c r="AM943" s="70"/>
      <c r="AN943" s="70"/>
      <c r="AO943" s="70"/>
      <c r="AP943" s="70"/>
      <c r="AQ943" s="70"/>
      <c r="AR943" s="70"/>
      <c r="AS943" s="70"/>
      <c r="AT943" s="70"/>
      <c r="AU943" s="70"/>
      <c r="AV943" s="70"/>
      <c r="AW943" s="70"/>
      <c r="AX943" s="70"/>
    </row>
    <row r="944">
      <c r="A944" s="8"/>
      <c r="B944" s="70"/>
      <c r="C944" s="70"/>
      <c r="D944" s="70"/>
      <c r="E944" s="8"/>
      <c r="F944" s="70"/>
      <c r="G944" s="70"/>
      <c r="H944" s="70"/>
      <c r="I944" s="8"/>
      <c r="J944" s="70"/>
      <c r="K944" s="70"/>
      <c r="L944" s="70"/>
      <c r="M944" s="8"/>
      <c r="N944" s="70"/>
      <c r="O944" s="70"/>
      <c r="P944" s="70"/>
      <c r="Q944" s="8"/>
      <c r="R944" s="70"/>
      <c r="S944" s="70"/>
      <c r="T944" s="70"/>
      <c r="U944" s="8"/>
      <c r="V944" s="70"/>
      <c r="W944" s="70"/>
      <c r="X944" s="70"/>
      <c r="Y944" s="200"/>
      <c r="Z944" s="195"/>
      <c r="AA944" s="195"/>
      <c r="AB944" s="195"/>
      <c r="AC944" s="8"/>
      <c r="AD944" s="70"/>
      <c r="AE944" s="70"/>
      <c r="AF944" s="70"/>
      <c r="AG944" s="201"/>
      <c r="AH944" s="202"/>
      <c r="AI944" s="201"/>
      <c r="AJ944" s="201"/>
      <c r="AK944" s="70"/>
      <c r="AL944" s="70"/>
      <c r="AM944" s="70"/>
      <c r="AN944" s="70"/>
      <c r="AO944" s="70"/>
      <c r="AP944" s="70"/>
      <c r="AQ944" s="70"/>
      <c r="AR944" s="70"/>
      <c r="AS944" s="70"/>
      <c r="AT944" s="70"/>
      <c r="AU944" s="70"/>
      <c r="AV944" s="70"/>
      <c r="AW944" s="70"/>
      <c r="AX944" s="70"/>
    </row>
    <row r="945">
      <c r="A945" s="8"/>
      <c r="B945" s="70"/>
      <c r="C945" s="70"/>
      <c r="D945" s="70"/>
      <c r="E945" s="8"/>
      <c r="F945" s="70"/>
      <c r="G945" s="70"/>
      <c r="H945" s="70"/>
      <c r="I945" s="8"/>
      <c r="J945" s="70"/>
      <c r="K945" s="70"/>
      <c r="L945" s="70"/>
      <c r="M945" s="8"/>
      <c r="N945" s="70"/>
      <c r="O945" s="70"/>
      <c r="P945" s="70"/>
      <c r="Q945" s="8"/>
      <c r="R945" s="70"/>
      <c r="S945" s="70"/>
      <c r="T945" s="70"/>
      <c r="U945" s="8"/>
      <c r="V945" s="70"/>
      <c r="W945" s="70"/>
      <c r="X945" s="70"/>
      <c r="Y945" s="200"/>
      <c r="Z945" s="195"/>
      <c r="AA945" s="195"/>
      <c r="AB945" s="195"/>
      <c r="AC945" s="8"/>
      <c r="AD945" s="70"/>
      <c r="AE945" s="70"/>
      <c r="AF945" s="70"/>
      <c r="AG945" s="201"/>
      <c r="AH945" s="202"/>
      <c r="AI945" s="201"/>
      <c r="AJ945" s="201"/>
      <c r="AK945" s="70"/>
      <c r="AL945" s="70"/>
      <c r="AM945" s="70"/>
      <c r="AN945" s="70"/>
      <c r="AO945" s="70"/>
      <c r="AP945" s="70"/>
      <c r="AQ945" s="70"/>
      <c r="AR945" s="70"/>
      <c r="AS945" s="70"/>
      <c r="AT945" s="70"/>
      <c r="AU945" s="70"/>
      <c r="AV945" s="70"/>
      <c r="AW945" s="70"/>
      <c r="AX945" s="70"/>
    </row>
    <row r="946">
      <c r="A946" s="8"/>
      <c r="B946" s="70"/>
      <c r="C946" s="70"/>
      <c r="D946" s="70"/>
      <c r="E946" s="8"/>
      <c r="F946" s="70"/>
      <c r="G946" s="70"/>
      <c r="H946" s="70"/>
      <c r="I946" s="8"/>
      <c r="J946" s="70"/>
      <c r="K946" s="70"/>
      <c r="L946" s="70"/>
      <c r="M946" s="8"/>
      <c r="N946" s="70"/>
      <c r="O946" s="70"/>
      <c r="P946" s="70"/>
      <c r="Q946" s="8"/>
      <c r="R946" s="70"/>
      <c r="S946" s="70"/>
      <c r="T946" s="70"/>
      <c r="U946" s="8"/>
      <c r="V946" s="70"/>
      <c r="W946" s="70"/>
      <c r="X946" s="70"/>
      <c r="Y946" s="200"/>
      <c r="Z946" s="195"/>
      <c r="AA946" s="195"/>
      <c r="AB946" s="195"/>
      <c r="AC946" s="8"/>
      <c r="AD946" s="70"/>
      <c r="AE946" s="70"/>
      <c r="AF946" s="70"/>
      <c r="AG946" s="201"/>
      <c r="AH946" s="202"/>
      <c r="AI946" s="201"/>
      <c r="AJ946" s="201"/>
      <c r="AK946" s="70"/>
      <c r="AL946" s="70"/>
      <c r="AM946" s="70"/>
      <c r="AN946" s="70"/>
      <c r="AO946" s="70"/>
      <c r="AP946" s="70"/>
      <c r="AQ946" s="70"/>
      <c r="AR946" s="70"/>
      <c r="AS946" s="70"/>
      <c r="AT946" s="70"/>
      <c r="AU946" s="70"/>
      <c r="AV946" s="70"/>
      <c r="AW946" s="70"/>
      <c r="AX946" s="70"/>
    </row>
    <row r="947">
      <c r="A947" s="8"/>
      <c r="B947" s="70"/>
      <c r="C947" s="70"/>
      <c r="D947" s="70"/>
      <c r="E947" s="8"/>
      <c r="F947" s="70"/>
      <c r="G947" s="70"/>
      <c r="H947" s="70"/>
      <c r="I947" s="8"/>
      <c r="J947" s="70"/>
      <c r="K947" s="70"/>
      <c r="L947" s="70"/>
      <c r="M947" s="8"/>
      <c r="N947" s="70"/>
      <c r="O947" s="70"/>
      <c r="P947" s="70"/>
      <c r="Q947" s="8"/>
      <c r="R947" s="70"/>
      <c r="S947" s="70"/>
      <c r="T947" s="70"/>
      <c r="U947" s="8"/>
      <c r="V947" s="70"/>
      <c r="W947" s="70"/>
      <c r="X947" s="70"/>
      <c r="Y947" s="200"/>
      <c r="Z947" s="195"/>
      <c r="AA947" s="195"/>
      <c r="AB947" s="195"/>
      <c r="AC947" s="8"/>
      <c r="AD947" s="70"/>
      <c r="AE947" s="70"/>
      <c r="AF947" s="70"/>
      <c r="AG947" s="201"/>
      <c r="AH947" s="202"/>
      <c r="AI947" s="201"/>
      <c r="AJ947" s="201"/>
      <c r="AK947" s="70"/>
      <c r="AL947" s="70"/>
      <c r="AM947" s="70"/>
      <c r="AN947" s="70"/>
      <c r="AO947" s="70"/>
      <c r="AP947" s="70"/>
      <c r="AQ947" s="70"/>
      <c r="AR947" s="70"/>
      <c r="AS947" s="70"/>
      <c r="AT947" s="70"/>
      <c r="AU947" s="70"/>
      <c r="AV947" s="70"/>
      <c r="AW947" s="70"/>
      <c r="AX947" s="70"/>
    </row>
    <row r="948">
      <c r="A948" s="8"/>
      <c r="B948" s="70"/>
      <c r="C948" s="70"/>
      <c r="D948" s="70"/>
      <c r="E948" s="8"/>
      <c r="F948" s="70"/>
      <c r="G948" s="70"/>
      <c r="H948" s="70"/>
      <c r="I948" s="8"/>
      <c r="J948" s="70"/>
      <c r="K948" s="70"/>
      <c r="L948" s="70"/>
      <c r="M948" s="8"/>
      <c r="N948" s="70"/>
      <c r="O948" s="70"/>
      <c r="P948" s="70"/>
      <c r="Q948" s="8"/>
      <c r="R948" s="70"/>
      <c r="S948" s="70"/>
      <c r="T948" s="70"/>
      <c r="U948" s="8"/>
      <c r="V948" s="70"/>
      <c r="W948" s="70"/>
      <c r="X948" s="70"/>
      <c r="Y948" s="200"/>
      <c r="Z948" s="195"/>
      <c r="AA948" s="195"/>
      <c r="AB948" s="195"/>
      <c r="AC948" s="8"/>
      <c r="AD948" s="70"/>
      <c r="AE948" s="70"/>
      <c r="AF948" s="70"/>
      <c r="AG948" s="201"/>
      <c r="AH948" s="202"/>
      <c r="AI948" s="201"/>
      <c r="AJ948" s="201"/>
      <c r="AK948" s="70"/>
      <c r="AL948" s="70"/>
      <c r="AM948" s="70"/>
      <c r="AN948" s="70"/>
      <c r="AO948" s="70"/>
      <c r="AP948" s="70"/>
      <c r="AQ948" s="70"/>
      <c r="AR948" s="70"/>
      <c r="AS948" s="70"/>
      <c r="AT948" s="70"/>
      <c r="AU948" s="70"/>
      <c r="AV948" s="70"/>
      <c r="AW948" s="70"/>
      <c r="AX948" s="70"/>
    </row>
    <row r="949">
      <c r="A949" s="8"/>
      <c r="B949" s="70"/>
      <c r="C949" s="70"/>
      <c r="D949" s="70"/>
      <c r="E949" s="8"/>
      <c r="F949" s="70"/>
      <c r="G949" s="70"/>
      <c r="H949" s="70"/>
      <c r="I949" s="8"/>
      <c r="J949" s="70"/>
      <c r="K949" s="70"/>
      <c r="L949" s="70"/>
      <c r="M949" s="8"/>
      <c r="N949" s="70"/>
      <c r="O949" s="70"/>
      <c r="P949" s="70"/>
      <c r="Q949" s="8"/>
      <c r="R949" s="70"/>
      <c r="S949" s="70"/>
      <c r="T949" s="70"/>
      <c r="U949" s="8"/>
      <c r="V949" s="70"/>
      <c r="W949" s="70"/>
      <c r="X949" s="70"/>
      <c r="Y949" s="200"/>
      <c r="Z949" s="195"/>
      <c r="AA949" s="195"/>
      <c r="AB949" s="195"/>
      <c r="AC949" s="8"/>
      <c r="AD949" s="70"/>
      <c r="AE949" s="70"/>
      <c r="AF949" s="70"/>
      <c r="AG949" s="201"/>
      <c r="AH949" s="202"/>
      <c r="AI949" s="201"/>
      <c r="AJ949" s="201"/>
      <c r="AK949" s="70"/>
      <c r="AL949" s="70"/>
      <c r="AM949" s="70"/>
      <c r="AN949" s="70"/>
      <c r="AO949" s="70"/>
      <c r="AP949" s="70"/>
      <c r="AQ949" s="70"/>
      <c r="AR949" s="70"/>
      <c r="AS949" s="70"/>
      <c r="AT949" s="70"/>
      <c r="AU949" s="70"/>
      <c r="AV949" s="70"/>
      <c r="AW949" s="70"/>
      <c r="AX949" s="70"/>
    </row>
    <row r="950">
      <c r="A950" s="8"/>
      <c r="B950" s="70"/>
      <c r="C950" s="70"/>
      <c r="D950" s="70"/>
      <c r="E950" s="8"/>
      <c r="F950" s="70"/>
      <c r="G950" s="70"/>
      <c r="H950" s="70"/>
      <c r="I950" s="8"/>
      <c r="J950" s="70"/>
      <c r="K950" s="70"/>
      <c r="L950" s="70"/>
      <c r="M950" s="8"/>
      <c r="N950" s="70"/>
      <c r="O950" s="70"/>
      <c r="P950" s="70"/>
      <c r="Q950" s="8"/>
      <c r="R950" s="70"/>
      <c r="S950" s="70"/>
      <c r="T950" s="70"/>
      <c r="U950" s="8"/>
      <c r="V950" s="70"/>
      <c r="W950" s="70"/>
      <c r="X950" s="70"/>
      <c r="Y950" s="200"/>
      <c r="Z950" s="195"/>
      <c r="AA950" s="195"/>
      <c r="AB950" s="195"/>
      <c r="AC950" s="8"/>
      <c r="AD950" s="70"/>
      <c r="AE950" s="70"/>
      <c r="AF950" s="70"/>
      <c r="AG950" s="201"/>
      <c r="AH950" s="202"/>
      <c r="AI950" s="201"/>
      <c r="AJ950" s="201"/>
      <c r="AK950" s="70"/>
      <c r="AL950" s="70"/>
      <c r="AM950" s="70"/>
      <c r="AN950" s="70"/>
      <c r="AO950" s="70"/>
      <c r="AP950" s="70"/>
      <c r="AQ950" s="70"/>
      <c r="AR950" s="70"/>
      <c r="AS950" s="70"/>
      <c r="AT950" s="70"/>
      <c r="AU950" s="70"/>
      <c r="AV950" s="70"/>
      <c r="AW950" s="70"/>
      <c r="AX950" s="70"/>
    </row>
    <row r="951">
      <c r="A951" s="8"/>
      <c r="B951" s="70"/>
      <c r="C951" s="70"/>
      <c r="D951" s="70"/>
      <c r="E951" s="8"/>
      <c r="F951" s="70"/>
      <c r="G951" s="70"/>
      <c r="H951" s="70"/>
      <c r="I951" s="8"/>
      <c r="J951" s="70"/>
      <c r="K951" s="70"/>
      <c r="L951" s="70"/>
      <c r="M951" s="8"/>
      <c r="N951" s="70"/>
      <c r="O951" s="70"/>
      <c r="P951" s="70"/>
      <c r="Q951" s="8"/>
      <c r="R951" s="70"/>
      <c r="S951" s="70"/>
      <c r="T951" s="70"/>
      <c r="U951" s="8"/>
      <c r="V951" s="70"/>
      <c r="W951" s="70"/>
      <c r="X951" s="70"/>
      <c r="Y951" s="200"/>
      <c r="Z951" s="195"/>
      <c r="AA951" s="195"/>
      <c r="AB951" s="195"/>
      <c r="AC951" s="8"/>
      <c r="AD951" s="70"/>
      <c r="AE951" s="70"/>
      <c r="AF951" s="70"/>
      <c r="AG951" s="201"/>
      <c r="AH951" s="202"/>
      <c r="AI951" s="201"/>
      <c r="AJ951" s="201"/>
      <c r="AK951" s="70"/>
      <c r="AL951" s="70"/>
      <c r="AM951" s="70"/>
      <c r="AN951" s="70"/>
      <c r="AO951" s="70"/>
      <c r="AP951" s="70"/>
      <c r="AQ951" s="70"/>
      <c r="AR951" s="70"/>
      <c r="AS951" s="70"/>
      <c r="AT951" s="70"/>
      <c r="AU951" s="70"/>
      <c r="AV951" s="70"/>
      <c r="AW951" s="70"/>
      <c r="AX951" s="70"/>
    </row>
    <row r="952">
      <c r="A952" s="8"/>
      <c r="B952" s="70"/>
      <c r="C952" s="70"/>
      <c r="D952" s="70"/>
      <c r="E952" s="8"/>
      <c r="F952" s="70"/>
      <c r="G952" s="70"/>
      <c r="H952" s="70"/>
      <c r="I952" s="8"/>
      <c r="J952" s="70"/>
      <c r="K952" s="70"/>
      <c r="L952" s="70"/>
      <c r="M952" s="8"/>
      <c r="N952" s="70"/>
      <c r="O952" s="70"/>
      <c r="P952" s="70"/>
      <c r="Q952" s="8"/>
      <c r="R952" s="70"/>
      <c r="S952" s="70"/>
      <c r="T952" s="70"/>
      <c r="U952" s="8"/>
      <c r="V952" s="70"/>
      <c r="W952" s="70"/>
      <c r="X952" s="70"/>
      <c r="Y952" s="200"/>
      <c r="Z952" s="195"/>
      <c r="AA952" s="195"/>
      <c r="AB952" s="195"/>
      <c r="AC952" s="8"/>
      <c r="AD952" s="70"/>
      <c r="AE952" s="70"/>
      <c r="AF952" s="70"/>
      <c r="AG952" s="201"/>
      <c r="AH952" s="202"/>
      <c r="AI952" s="201"/>
      <c r="AJ952" s="201"/>
      <c r="AK952" s="70"/>
      <c r="AL952" s="70"/>
      <c r="AM952" s="70"/>
      <c r="AN952" s="70"/>
      <c r="AO952" s="70"/>
      <c r="AP952" s="70"/>
      <c r="AQ952" s="70"/>
      <c r="AR952" s="70"/>
      <c r="AS952" s="70"/>
      <c r="AT952" s="70"/>
      <c r="AU952" s="70"/>
      <c r="AV952" s="70"/>
      <c r="AW952" s="70"/>
      <c r="AX952" s="70"/>
    </row>
    <row r="953">
      <c r="A953" s="8"/>
      <c r="B953" s="70"/>
      <c r="C953" s="70"/>
      <c r="D953" s="70"/>
      <c r="E953" s="8"/>
      <c r="F953" s="70"/>
      <c r="G953" s="70"/>
      <c r="H953" s="70"/>
      <c r="I953" s="8"/>
      <c r="J953" s="70"/>
      <c r="K953" s="70"/>
      <c r="L953" s="70"/>
      <c r="M953" s="8"/>
      <c r="N953" s="70"/>
      <c r="O953" s="70"/>
      <c r="P953" s="70"/>
      <c r="Q953" s="8"/>
      <c r="R953" s="70"/>
      <c r="S953" s="70"/>
      <c r="T953" s="70"/>
      <c r="U953" s="8"/>
      <c r="V953" s="70"/>
      <c r="W953" s="70"/>
      <c r="X953" s="70"/>
      <c r="Y953" s="200"/>
      <c r="Z953" s="195"/>
      <c r="AA953" s="195"/>
      <c r="AB953" s="195"/>
      <c r="AC953" s="8"/>
      <c r="AD953" s="70"/>
      <c r="AE953" s="70"/>
      <c r="AF953" s="70"/>
      <c r="AG953" s="201"/>
      <c r="AH953" s="202"/>
      <c r="AI953" s="201"/>
      <c r="AJ953" s="201"/>
      <c r="AK953" s="70"/>
      <c r="AL953" s="70"/>
      <c r="AM953" s="70"/>
      <c r="AN953" s="70"/>
      <c r="AO953" s="70"/>
      <c r="AP953" s="70"/>
      <c r="AQ953" s="70"/>
      <c r="AR953" s="70"/>
      <c r="AS953" s="70"/>
      <c r="AT953" s="70"/>
      <c r="AU953" s="70"/>
      <c r="AV953" s="70"/>
      <c r="AW953" s="70"/>
      <c r="AX953" s="70"/>
    </row>
    <row r="954">
      <c r="A954" s="8"/>
      <c r="B954" s="70"/>
      <c r="C954" s="70"/>
      <c r="D954" s="70"/>
      <c r="E954" s="8"/>
      <c r="F954" s="70"/>
      <c r="G954" s="70"/>
      <c r="H954" s="70"/>
      <c r="I954" s="8"/>
      <c r="J954" s="70"/>
      <c r="K954" s="70"/>
      <c r="L954" s="70"/>
      <c r="M954" s="8"/>
      <c r="N954" s="70"/>
      <c r="O954" s="70"/>
      <c r="P954" s="70"/>
      <c r="Q954" s="8"/>
      <c r="R954" s="70"/>
      <c r="S954" s="70"/>
      <c r="T954" s="70"/>
      <c r="U954" s="8"/>
      <c r="V954" s="70"/>
      <c r="W954" s="70"/>
      <c r="X954" s="70"/>
      <c r="Y954" s="200"/>
      <c r="Z954" s="195"/>
      <c r="AA954" s="195"/>
      <c r="AB954" s="195"/>
      <c r="AC954" s="8"/>
      <c r="AD954" s="70"/>
      <c r="AE954" s="70"/>
      <c r="AF954" s="70"/>
      <c r="AG954" s="201"/>
      <c r="AH954" s="202"/>
      <c r="AI954" s="201"/>
      <c r="AJ954" s="201"/>
      <c r="AK954" s="70"/>
      <c r="AL954" s="70"/>
      <c r="AM954" s="70"/>
      <c r="AN954" s="70"/>
      <c r="AO954" s="70"/>
      <c r="AP954" s="70"/>
      <c r="AQ954" s="70"/>
      <c r="AR954" s="70"/>
      <c r="AS954" s="70"/>
      <c r="AT954" s="70"/>
      <c r="AU954" s="70"/>
      <c r="AV954" s="70"/>
      <c r="AW954" s="70"/>
      <c r="AX954" s="70"/>
    </row>
    <row r="955">
      <c r="A955" s="8"/>
      <c r="B955" s="70"/>
      <c r="C955" s="70"/>
      <c r="D955" s="70"/>
      <c r="E955" s="8"/>
      <c r="F955" s="70"/>
      <c r="G955" s="70"/>
      <c r="H955" s="70"/>
      <c r="I955" s="8"/>
      <c r="J955" s="70"/>
      <c r="K955" s="70"/>
      <c r="L955" s="70"/>
      <c r="M955" s="8"/>
      <c r="N955" s="70"/>
      <c r="O955" s="70"/>
      <c r="P955" s="70"/>
      <c r="Q955" s="8"/>
      <c r="R955" s="70"/>
      <c r="S955" s="70"/>
      <c r="T955" s="70"/>
      <c r="U955" s="8"/>
      <c r="V955" s="70"/>
      <c r="W955" s="70"/>
      <c r="X955" s="70"/>
      <c r="Y955" s="200"/>
      <c r="Z955" s="195"/>
      <c r="AA955" s="195"/>
      <c r="AB955" s="195"/>
      <c r="AC955" s="8"/>
      <c r="AD955" s="70"/>
      <c r="AE955" s="70"/>
      <c r="AF955" s="70"/>
      <c r="AG955" s="201"/>
      <c r="AH955" s="202"/>
      <c r="AI955" s="201"/>
      <c r="AJ955" s="201"/>
      <c r="AK955" s="70"/>
      <c r="AL955" s="70"/>
      <c r="AM955" s="70"/>
      <c r="AN955" s="70"/>
      <c r="AO955" s="70"/>
      <c r="AP955" s="70"/>
      <c r="AQ955" s="70"/>
      <c r="AR955" s="70"/>
      <c r="AS955" s="70"/>
      <c r="AT955" s="70"/>
      <c r="AU955" s="70"/>
      <c r="AV955" s="70"/>
      <c r="AW955" s="70"/>
      <c r="AX955" s="70"/>
    </row>
    <row r="956">
      <c r="A956" s="8"/>
      <c r="B956" s="70"/>
      <c r="C956" s="70"/>
      <c r="D956" s="70"/>
      <c r="E956" s="8"/>
      <c r="F956" s="70"/>
      <c r="G956" s="70"/>
      <c r="H956" s="70"/>
      <c r="I956" s="8"/>
      <c r="J956" s="70"/>
      <c r="K956" s="70"/>
      <c r="L956" s="70"/>
      <c r="M956" s="8"/>
      <c r="N956" s="70"/>
      <c r="O956" s="70"/>
      <c r="P956" s="70"/>
      <c r="Q956" s="8"/>
      <c r="R956" s="70"/>
      <c r="S956" s="70"/>
      <c r="T956" s="70"/>
      <c r="U956" s="8"/>
      <c r="V956" s="70"/>
      <c r="W956" s="70"/>
      <c r="X956" s="70"/>
      <c r="Y956" s="200"/>
      <c r="Z956" s="195"/>
      <c r="AA956" s="195"/>
      <c r="AB956" s="195"/>
      <c r="AC956" s="8"/>
      <c r="AD956" s="70"/>
      <c r="AE956" s="70"/>
      <c r="AF956" s="70"/>
      <c r="AG956" s="201"/>
      <c r="AH956" s="202"/>
      <c r="AI956" s="201"/>
      <c r="AJ956" s="201"/>
      <c r="AK956" s="70"/>
      <c r="AL956" s="70"/>
      <c r="AM956" s="70"/>
      <c r="AN956" s="70"/>
      <c r="AO956" s="70"/>
      <c r="AP956" s="70"/>
      <c r="AQ956" s="70"/>
      <c r="AR956" s="70"/>
      <c r="AS956" s="70"/>
      <c r="AT956" s="70"/>
      <c r="AU956" s="70"/>
      <c r="AV956" s="70"/>
      <c r="AW956" s="70"/>
      <c r="AX956" s="70"/>
    </row>
    <row r="957">
      <c r="A957" s="8"/>
      <c r="B957" s="70"/>
      <c r="C957" s="70"/>
      <c r="D957" s="70"/>
      <c r="E957" s="8"/>
      <c r="F957" s="70"/>
      <c r="G957" s="70"/>
      <c r="H957" s="70"/>
      <c r="I957" s="8"/>
      <c r="J957" s="70"/>
      <c r="K957" s="70"/>
      <c r="L957" s="70"/>
      <c r="M957" s="8"/>
      <c r="N957" s="70"/>
      <c r="O957" s="70"/>
      <c r="P957" s="70"/>
      <c r="Q957" s="8"/>
      <c r="R957" s="70"/>
      <c r="S957" s="70"/>
      <c r="T957" s="70"/>
      <c r="U957" s="8"/>
      <c r="V957" s="70"/>
      <c r="W957" s="70"/>
      <c r="X957" s="70"/>
      <c r="Y957" s="200"/>
      <c r="Z957" s="195"/>
      <c r="AA957" s="195"/>
      <c r="AB957" s="195"/>
      <c r="AC957" s="8"/>
      <c r="AD957" s="70"/>
      <c r="AE957" s="70"/>
      <c r="AF957" s="70"/>
      <c r="AG957" s="201"/>
      <c r="AH957" s="202"/>
      <c r="AI957" s="201"/>
      <c r="AJ957" s="201"/>
      <c r="AK957" s="70"/>
      <c r="AL957" s="70"/>
      <c r="AM957" s="70"/>
      <c r="AN957" s="70"/>
      <c r="AO957" s="70"/>
      <c r="AP957" s="70"/>
      <c r="AQ957" s="70"/>
      <c r="AR957" s="70"/>
      <c r="AS957" s="70"/>
      <c r="AT957" s="70"/>
      <c r="AU957" s="70"/>
      <c r="AV957" s="70"/>
      <c r="AW957" s="70"/>
      <c r="AX957" s="70"/>
    </row>
    <row r="958">
      <c r="A958" s="8"/>
      <c r="B958" s="70"/>
      <c r="C958" s="70"/>
      <c r="D958" s="70"/>
      <c r="E958" s="8"/>
      <c r="F958" s="70"/>
      <c r="G958" s="70"/>
      <c r="H958" s="70"/>
      <c r="I958" s="8"/>
      <c r="J958" s="70"/>
      <c r="K958" s="70"/>
      <c r="L958" s="70"/>
      <c r="M958" s="8"/>
      <c r="N958" s="70"/>
      <c r="O958" s="70"/>
      <c r="P958" s="70"/>
      <c r="Q958" s="8"/>
      <c r="R958" s="70"/>
      <c r="S958" s="70"/>
      <c r="T958" s="70"/>
      <c r="U958" s="8"/>
      <c r="V958" s="70"/>
      <c r="W958" s="70"/>
      <c r="X958" s="70"/>
      <c r="Y958" s="200"/>
      <c r="Z958" s="195"/>
      <c r="AA958" s="195"/>
      <c r="AB958" s="195"/>
      <c r="AC958" s="8"/>
      <c r="AD958" s="70"/>
      <c r="AE958" s="70"/>
      <c r="AF958" s="70"/>
      <c r="AG958" s="201"/>
      <c r="AH958" s="202"/>
      <c r="AI958" s="201"/>
      <c r="AJ958" s="201"/>
      <c r="AK958" s="70"/>
      <c r="AL958" s="70"/>
      <c r="AM958" s="70"/>
      <c r="AN958" s="70"/>
      <c r="AO958" s="70"/>
      <c r="AP958" s="70"/>
      <c r="AQ958" s="70"/>
      <c r="AR958" s="70"/>
      <c r="AS958" s="70"/>
      <c r="AT958" s="70"/>
      <c r="AU958" s="70"/>
      <c r="AV958" s="70"/>
      <c r="AW958" s="70"/>
      <c r="AX958" s="70"/>
    </row>
    <row r="959">
      <c r="A959" s="8"/>
      <c r="B959" s="70"/>
      <c r="C959" s="70"/>
      <c r="D959" s="70"/>
      <c r="E959" s="8"/>
      <c r="F959" s="70"/>
      <c r="G959" s="70"/>
      <c r="H959" s="70"/>
      <c r="I959" s="8"/>
      <c r="J959" s="70"/>
      <c r="K959" s="70"/>
      <c r="L959" s="70"/>
      <c r="M959" s="8"/>
      <c r="N959" s="70"/>
      <c r="O959" s="70"/>
      <c r="P959" s="70"/>
      <c r="Q959" s="8"/>
      <c r="R959" s="70"/>
      <c r="S959" s="70"/>
      <c r="T959" s="70"/>
      <c r="U959" s="8"/>
      <c r="V959" s="70"/>
      <c r="W959" s="70"/>
      <c r="X959" s="70"/>
      <c r="Y959" s="200"/>
      <c r="Z959" s="195"/>
      <c r="AA959" s="195"/>
      <c r="AB959" s="195"/>
      <c r="AC959" s="8"/>
      <c r="AD959" s="70"/>
      <c r="AE959" s="70"/>
      <c r="AF959" s="70"/>
      <c r="AG959" s="201"/>
      <c r="AH959" s="202"/>
      <c r="AI959" s="201"/>
      <c r="AJ959" s="201"/>
      <c r="AK959" s="70"/>
      <c r="AL959" s="70"/>
      <c r="AM959" s="70"/>
      <c r="AN959" s="70"/>
      <c r="AO959" s="70"/>
      <c r="AP959" s="70"/>
      <c r="AQ959" s="70"/>
      <c r="AR959" s="70"/>
      <c r="AS959" s="70"/>
      <c r="AT959" s="70"/>
      <c r="AU959" s="70"/>
      <c r="AV959" s="70"/>
      <c r="AW959" s="70"/>
      <c r="AX959" s="70"/>
    </row>
    <row r="960">
      <c r="A960" s="8"/>
      <c r="B960" s="70"/>
      <c r="C960" s="70"/>
      <c r="D960" s="70"/>
      <c r="E960" s="8"/>
      <c r="F960" s="70"/>
      <c r="G960" s="70"/>
      <c r="H960" s="70"/>
      <c r="I960" s="8"/>
      <c r="J960" s="70"/>
      <c r="K960" s="70"/>
      <c r="L960" s="70"/>
      <c r="M960" s="8"/>
      <c r="N960" s="70"/>
      <c r="O960" s="70"/>
      <c r="P960" s="70"/>
      <c r="Q960" s="8"/>
      <c r="R960" s="70"/>
      <c r="S960" s="70"/>
      <c r="T960" s="70"/>
      <c r="U960" s="8"/>
      <c r="V960" s="70"/>
      <c r="W960" s="70"/>
      <c r="X960" s="70"/>
      <c r="Y960" s="200"/>
      <c r="Z960" s="195"/>
      <c r="AA960" s="195"/>
      <c r="AB960" s="195"/>
      <c r="AC960" s="8"/>
      <c r="AD960" s="70"/>
      <c r="AE960" s="70"/>
      <c r="AF960" s="70"/>
      <c r="AG960" s="201"/>
      <c r="AH960" s="202"/>
      <c r="AI960" s="201"/>
      <c r="AJ960" s="201"/>
      <c r="AK960" s="70"/>
      <c r="AL960" s="70"/>
      <c r="AM960" s="70"/>
      <c r="AN960" s="70"/>
      <c r="AO960" s="70"/>
      <c r="AP960" s="70"/>
      <c r="AQ960" s="70"/>
      <c r="AR960" s="70"/>
      <c r="AS960" s="70"/>
      <c r="AT960" s="70"/>
      <c r="AU960" s="70"/>
      <c r="AV960" s="70"/>
      <c r="AW960" s="70"/>
      <c r="AX960" s="70"/>
    </row>
    <row r="961">
      <c r="A961" s="8"/>
      <c r="B961" s="70"/>
      <c r="C961" s="70"/>
      <c r="D961" s="70"/>
      <c r="E961" s="8"/>
      <c r="F961" s="70"/>
      <c r="G961" s="70"/>
      <c r="H961" s="70"/>
      <c r="I961" s="8"/>
      <c r="J961" s="70"/>
      <c r="K961" s="70"/>
      <c r="L961" s="70"/>
      <c r="M961" s="8"/>
      <c r="N961" s="70"/>
      <c r="O961" s="70"/>
      <c r="P961" s="70"/>
      <c r="Q961" s="8"/>
      <c r="R961" s="70"/>
      <c r="S961" s="70"/>
      <c r="T961" s="70"/>
      <c r="U961" s="8"/>
      <c r="V961" s="70"/>
      <c r="W961" s="70"/>
      <c r="X961" s="70"/>
      <c r="Y961" s="200"/>
      <c r="Z961" s="195"/>
      <c r="AA961" s="195"/>
      <c r="AB961" s="195"/>
      <c r="AC961" s="8"/>
      <c r="AD961" s="70"/>
      <c r="AE961" s="70"/>
      <c r="AF961" s="70"/>
      <c r="AG961" s="201"/>
      <c r="AH961" s="202"/>
      <c r="AI961" s="201"/>
      <c r="AJ961" s="201"/>
      <c r="AK961" s="70"/>
      <c r="AL961" s="70"/>
      <c r="AM961" s="70"/>
      <c r="AN961" s="70"/>
      <c r="AO961" s="70"/>
      <c r="AP961" s="70"/>
      <c r="AQ961" s="70"/>
      <c r="AR961" s="70"/>
      <c r="AS961" s="70"/>
      <c r="AT961" s="70"/>
      <c r="AU961" s="70"/>
      <c r="AV961" s="70"/>
      <c r="AW961" s="70"/>
      <c r="AX961" s="70"/>
    </row>
    <row r="962">
      <c r="A962" s="8"/>
      <c r="B962" s="70"/>
      <c r="C962" s="70"/>
      <c r="D962" s="70"/>
      <c r="E962" s="8"/>
      <c r="F962" s="70"/>
      <c r="G962" s="70"/>
      <c r="H962" s="70"/>
      <c r="I962" s="8"/>
      <c r="J962" s="70"/>
      <c r="K962" s="70"/>
      <c r="L962" s="70"/>
      <c r="M962" s="8"/>
      <c r="N962" s="70"/>
      <c r="O962" s="70"/>
      <c r="P962" s="70"/>
      <c r="Q962" s="8"/>
      <c r="R962" s="70"/>
      <c r="S962" s="70"/>
      <c r="T962" s="70"/>
      <c r="U962" s="8"/>
      <c r="V962" s="70"/>
      <c r="W962" s="70"/>
      <c r="X962" s="70"/>
      <c r="Y962" s="200"/>
      <c r="Z962" s="195"/>
      <c r="AA962" s="195"/>
      <c r="AB962" s="195"/>
      <c r="AC962" s="8"/>
      <c r="AD962" s="70"/>
      <c r="AE962" s="70"/>
      <c r="AF962" s="70"/>
      <c r="AG962" s="201"/>
      <c r="AH962" s="202"/>
      <c r="AI962" s="201"/>
      <c r="AJ962" s="201"/>
      <c r="AK962" s="70"/>
      <c r="AL962" s="70"/>
      <c r="AM962" s="70"/>
      <c r="AN962" s="70"/>
      <c r="AO962" s="70"/>
      <c r="AP962" s="70"/>
      <c r="AQ962" s="70"/>
      <c r="AR962" s="70"/>
      <c r="AS962" s="70"/>
      <c r="AT962" s="70"/>
      <c r="AU962" s="70"/>
      <c r="AV962" s="70"/>
      <c r="AW962" s="70"/>
      <c r="AX962" s="70"/>
    </row>
    <row r="963">
      <c r="A963" s="8"/>
      <c r="B963" s="70"/>
      <c r="C963" s="70"/>
      <c r="D963" s="70"/>
      <c r="E963" s="8"/>
      <c r="F963" s="70"/>
      <c r="G963" s="70"/>
      <c r="H963" s="70"/>
      <c r="I963" s="8"/>
      <c r="J963" s="70"/>
      <c r="K963" s="70"/>
      <c r="L963" s="70"/>
      <c r="M963" s="8"/>
      <c r="N963" s="70"/>
      <c r="O963" s="70"/>
      <c r="P963" s="70"/>
      <c r="Q963" s="8"/>
      <c r="R963" s="70"/>
      <c r="S963" s="70"/>
      <c r="T963" s="70"/>
      <c r="U963" s="8"/>
      <c r="V963" s="70"/>
      <c r="W963" s="70"/>
      <c r="X963" s="70"/>
      <c r="Y963" s="200"/>
      <c r="Z963" s="195"/>
      <c r="AA963" s="195"/>
      <c r="AB963" s="195"/>
      <c r="AC963" s="8"/>
      <c r="AD963" s="70"/>
      <c r="AE963" s="70"/>
      <c r="AF963" s="70"/>
      <c r="AG963" s="201"/>
      <c r="AH963" s="202"/>
      <c r="AI963" s="201"/>
      <c r="AJ963" s="201"/>
      <c r="AK963" s="70"/>
      <c r="AL963" s="70"/>
      <c r="AM963" s="70"/>
      <c r="AN963" s="70"/>
      <c r="AO963" s="70"/>
      <c r="AP963" s="70"/>
      <c r="AQ963" s="70"/>
      <c r="AR963" s="70"/>
      <c r="AS963" s="70"/>
      <c r="AT963" s="70"/>
      <c r="AU963" s="70"/>
      <c r="AV963" s="70"/>
      <c r="AW963" s="70"/>
      <c r="AX963" s="70"/>
    </row>
    <row r="964">
      <c r="A964" s="8"/>
      <c r="B964" s="70"/>
      <c r="C964" s="70"/>
      <c r="D964" s="70"/>
      <c r="E964" s="8"/>
      <c r="F964" s="70"/>
      <c r="G964" s="70"/>
      <c r="H964" s="70"/>
      <c r="I964" s="8"/>
      <c r="J964" s="70"/>
      <c r="K964" s="70"/>
      <c r="L964" s="70"/>
      <c r="M964" s="8"/>
      <c r="N964" s="70"/>
      <c r="O964" s="70"/>
      <c r="P964" s="70"/>
      <c r="Q964" s="8"/>
      <c r="R964" s="70"/>
      <c r="S964" s="70"/>
      <c r="T964" s="70"/>
      <c r="U964" s="8"/>
      <c r="V964" s="70"/>
      <c r="W964" s="70"/>
      <c r="X964" s="70"/>
      <c r="Y964" s="200"/>
      <c r="Z964" s="195"/>
      <c r="AA964" s="195"/>
      <c r="AB964" s="195"/>
      <c r="AC964" s="8"/>
      <c r="AD964" s="70"/>
      <c r="AE964" s="70"/>
      <c r="AF964" s="70"/>
      <c r="AG964" s="201"/>
      <c r="AH964" s="202"/>
      <c r="AI964" s="201"/>
      <c r="AJ964" s="201"/>
      <c r="AK964" s="70"/>
      <c r="AL964" s="70"/>
      <c r="AM964" s="70"/>
      <c r="AN964" s="70"/>
      <c r="AO964" s="70"/>
      <c r="AP964" s="70"/>
      <c r="AQ964" s="70"/>
      <c r="AR964" s="70"/>
      <c r="AS964" s="70"/>
      <c r="AT964" s="70"/>
      <c r="AU964" s="70"/>
      <c r="AV964" s="70"/>
      <c r="AW964" s="70"/>
      <c r="AX964" s="70"/>
    </row>
    <row r="965">
      <c r="A965" s="8"/>
      <c r="B965" s="70"/>
      <c r="C965" s="70"/>
      <c r="D965" s="70"/>
      <c r="E965" s="8"/>
      <c r="F965" s="70"/>
      <c r="G965" s="70"/>
      <c r="H965" s="70"/>
      <c r="I965" s="8"/>
      <c r="J965" s="70"/>
      <c r="K965" s="70"/>
      <c r="L965" s="70"/>
      <c r="M965" s="8"/>
      <c r="N965" s="70"/>
      <c r="O965" s="70"/>
      <c r="P965" s="70"/>
      <c r="Q965" s="8"/>
      <c r="R965" s="70"/>
      <c r="S965" s="70"/>
      <c r="T965" s="70"/>
      <c r="U965" s="8"/>
      <c r="V965" s="70"/>
      <c r="W965" s="70"/>
      <c r="X965" s="70"/>
      <c r="Y965" s="200"/>
      <c r="Z965" s="195"/>
      <c r="AA965" s="195"/>
      <c r="AB965" s="195"/>
      <c r="AC965" s="8"/>
      <c r="AD965" s="70"/>
      <c r="AE965" s="70"/>
      <c r="AF965" s="70"/>
      <c r="AG965" s="201"/>
      <c r="AH965" s="202"/>
      <c r="AI965" s="201"/>
      <c r="AJ965" s="201"/>
      <c r="AK965" s="70"/>
      <c r="AL965" s="70"/>
      <c r="AM965" s="70"/>
      <c r="AN965" s="70"/>
      <c r="AO965" s="70"/>
      <c r="AP965" s="70"/>
      <c r="AQ965" s="70"/>
      <c r="AR965" s="70"/>
      <c r="AS965" s="70"/>
      <c r="AT965" s="70"/>
      <c r="AU965" s="70"/>
      <c r="AV965" s="70"/>
      <c r="AW965" s="70"/>
      <c r="AX965" s="70"/>
    </row>
    <row r="966">
      <c r="A966" s="8"/>
      <c r="B966" s="70"/>
      <c r="C966" s="70"/>
      <c r="D966" s="70"/>
      <c r="E966" s="8"/>
      <c r="F966" s="70"/>
      <c r="G966" s="70"/>
      <c r="H966" s="70"/>
      <c r="I966" s="8"/>
      <c r="J966" s="70"/>
      <c r="K966" s="70"/>
      <c r="L966" s="70"/>
      <c r="M966" s="8"/>
      <c r="N966" s="70"/>
      <c r="O966" s="70"/>
      <c r="P966" s="70"/>
      <c r="Q966" s="8"/>
      <c r="R966" s="70"/>
      <c r="S966" s="70"/>
      <c r="T966" s="70"/>
      <c r="U966" s="8"/>
      <c r="V966" s="70"/>
      <c r="W966" s="70"/>
      <c r="X966" s="70"/>
      <c r="Y966" s="200"/>
      <c r="Z966" s="195"/>
      <c r="AA966" s="195"/>
      <c r="AB966" s="195"/>
      <c r="AC966" s="8"/>
      <c r="AD966" s="70"/>
      <c r="AE966" s="70"/>
      <c r="AF966" s="70"/>
      <c r="AG966" s="201"/>
      <c r="AH966" s="202"/>
      <c r="AI966" s="201"/>
      <c r="AJ966" s="201"/>
      <c r="AK966" s="70"/>
      <c r="AL966" s="70"/>
      <c r="AM966" s="70"/>
      <c r="AN966" s="70"/>
      <c r="AO966" s="70"/>
      <c r="AP966" s="70"/>
      <c r="AQ966" s="70"/>
      <c r="AR966" s="70"/>
      <c r="AS966" s="70"/>
      <c r="AT966" s="70"/>
      <c r="AU966" s="70"/>
      <c r="AV966" s="70"/>
      <c r="AW966" s="70"/>
      <c r="AX966" s="70"/>
    </row>
    <row r="967">
      <c r="A967" s="8"/>
      <c r="B967" s="70"/>
      <c r="C967" s="70"/>
      <c r="D967" s="70"/>
      <c r="E967" s="8"/>
      <c r="F967" s="70"/>
      <c r="G967" s="70"/>
      <c r="H967" s="70"/>
      <c r="I967" s="8"/>
      <c r="J967" s="70"/>
      <c r="K967" s="70"/>
      <c r="L967" s="70"/>
      <c r="M967" s="8"/>
      <c r="N967" s="70"/>
      <c r="O967" s="70"/>
      <c r="P967" s="70"/>
      <c r="Q967" s="8"/>
      <c r="R967" s="70"/>
      <c r="S967" s="70"/>
      <c r="T967" s="70"/>
      <c r="U967" s="8"/>
      <c r="V967" s="70"/>
      <c r="W967" s="70"/>
      <c r="X967" s="70"/>
      <c r="Y967" s="200"/>
      <c r="Z967" s="195"/>
      <c r="AA967" s="195"/>
      <c r="AB967" s="195"/>
      <c r="AC967" s="8"/>
      <c r="AD967" s="70"/>
      <c r="AE967" s="70"/>
      <c r="AF967" s="70"/>
      <c r="AG967" s="201"/>
      <c r="AH967" s="202"/>
      <c r="AI967" s="201"/>
      <c r="AJ967" s="201"/>
      <c r="AK967" s="70"/>
      <c r="AL967" s="70"/>
      <c r="AM967" s="70"/>
      <c r="AN967" s="70"/>
      <c r="AO967" s="70"/>
      <c r="AP967" s="70"/>
      <c r="AQ967" s="70"/>
      <c r="AR967" s="70"/>
      <c r="AS967" s="70"/>
      <c r="AT967" s="70"/>
      <c r="AU967" s="70"/>
      <c r="AV967" s="70"/>
      <c r="AW967" s="70"/>
      <c r="AX967" s="70"/>
    </row>
    <row r="968">
      <c r="A968" s="8"/>
      <c r="B968" s="70"/>
      <c r="C968" s="70"/>
      <c r="D968" s="70"/>
      <c r="E968" s="8"/>
      <c r="F968" s="70"/>
      <c r="G968" s="70"/>
      <c r="H968" s="70"/>
      <c r="I968" s="8"/>
      <c r="J968" s="70"/>
      <c r="K968" s="70"/>
      <c r="L968" s="70"/>
      <c r="M968" s="8"/>
      <c r="N968" s="70"/>
      <c r="O968" s="70"/>
      <c r="P968" s="70"/>
      <c r="Q968" s="8"/>
      <c r="R968" s="70"/>
      <c r="S968" s="70"/>
      <c r="T968" s="70"/>
      <c r="U968" s="8"/>
      <c r="V968" s="70"/>
      <c r="W968" s="70"/>
      <c r="X968" s="70"/>
      <c r="Y968" s="200"/>
      <c r="Z968" s="195"/>
      <c r="AA968" s="195"/>
      <c r="AB968" s="195"/>
      <c r="AC968" s="8"/>
      <c r="AD968" s="70"/>
      <c r="AE968" s="70"/>
      <c r="AF968" s="70"/>
      <c r="AG968" s="201"/>
      <c r="AH968" s="202"/>
      <c r="AI968" s="201"/>
      <c r="AJ968" s="201"/>
      <c r="AK968" s="70"/>
      <c r="AL968" s="70"/>
      <c r="AM968" s="70"/>
      <c r="AN968" s="70"/>
      <c r="AO968" s="70"/>
      <c r="AP968" s="70"/>
      <c r="AQ968" s="70"/>
      <c r="AR968" s="70"/>
      <c r="AS968" s="70"/>
      <c r="AT968" s="70"/>
      <c r="AU968" s="70"/>
      <c r="AV968" s="70"/>
      <c r="AW968" s="70"/>
      <c r="AX968" s="70"/>
    </row>
    <row r="969">
      <c r="A969" s="8"/>
      <c r="B969" s="70"/>
      <c r="C969" s="70"/>
      <c r="D969" s="70"/>
      <c r="E969" s="8"/>
      <c r="F969" s="70"/>
      <c r="G969" s="70"/>
      <c r="H969" s="70"/>
      <c r="I969" s="8"/>
      <c r="J969" s="70"/>
      <c r="K969" s="70"/>
      <c r="L969" s="70"/>
      <c r="M969" s="8"/>
      <c r="N969" s="70"/>
      <c r="O969" s="70"/>
      <c r="P969" s="70"/>
      <c r="Q969" s="8"/>
      <c r="R969" s="70"/>
      <c r="S969" s="70"/>
      <c r="T969" s="70"/>
      <c r="U969" s="8"/>
      <c r="V969" s="70"/>
      <c r="W969" s="70"/>
      <c r="X969" s="70"/>
      <c r="Y969" s="200"/>
      <c r="Z969" s="195"/>
      <c r="AA969" s="195"/>
      <c r="AB969" s="195"/>
      <c r="AC969" s="8"/>
      <c r="AD969" s="70"/>
      <c r="AE969" s="70"/>
      <c r="AF969" s="70"/>
      <c r="AG969" s="228"/>
      <c r="AH969" s="229"/>
      <c r="AI969" s="230"/>
      <c r="AJ969" s="199"/>
      <c r="AK969" s="231"/>
      <c r="AL969" s="232"/>
      <c r="AM969" s="233"/>
      <c r="AN969" s="82"/>
      <c r="AO969" s="234"/>
      <c r="AP969" s="132"/>
      <c r="AQ969" s="121"/>
      <c r="AR969" s="82"/>
      <c r="AS969" s="234"/>
      <c r="AT969" s="132"/>
      <c r="AU969" s="121"/>
      <c r="AV969" s="82"/>
      <c r="AW969" s="70"/>
      <c r="AX969" s="70"/>
    </row>
    <row r="970">
      <c r="A970" s="8"/>
      <c r="B970" s="70"/>
      <c r="C970" s="70"/>
      <c r="D970" s="70"/>
      <c r="E970" s="8"/>
      <c r="F970" s="70"/>
      <c r="G970" s="70"/>
      <c r="H970" s="70"/>
      <c r="I970" s="8"/>
      <c r="J970" s="70"/>
      <c r="K970" s="70"/>
      <c r="L970" s="70"/>
      <c r="M970" s="8"/>
      <c r="N970" s="70"/>
      <c r="O970" s="70"/>
      <c r="P970" s="70"/>
      <c r="Q970" s="8"/>
      <c r="R970" s="70"/>
      <c r="S970" s="70"/>
      <c r="T970" s="70"/>
      <c r="U970" s="8"/>
      <c r="V970" s="70"/>
      <c r="W970" s="70"/>
      <c r="X970" s="70"/>
      <c r="Y970" s="200"/>
      <c r="Z970" s="195"/>
      <c r="AA970" s="195"/>
      <c r="AB970" s="195"/>
      <c r="AC970" s="8"/>
      <c r="AD970" s="70"/>
      <c r="AE970" s="70"/>
      <c r="AF970" s="70"/>
      <c r="AG970" s="228"/>
      <c r="AH970" s="229"/>
      <c r="AI970" s="230"/>
      <c r="AJ970" s="199"/>
      <c r="AK970" s="231"/>
      <c r="AL970" s="232"/>
      <c r="AM970" s="233"/>
      <c r="AN970" s="82"/>
      <c r="AO970" s="234"/>
      <c r="AP970" s="132"/>
      <c r="AQ970" s="121"/>
      <c r="AR970" s="82"/>
      <c r="AS970" s="234"/>
      <c r="AT970" s="132"/>
      <c r="AU970" s="121"/>
      <c r="AV970" s="82"/>
      <c r="AW970" s="70"/>
      <c r="AX970" s="70"/>
    </row>
    <row r="971">
      <c r="A971" s="8"/>
      <c r="B971" s="70"/>
      <c r="C971" s="70"/>
      <c r="D971" s="70"/>
      <c r="E971" s="8"/>
      <c r="F971" s="70"/>
      <c r="G971" s="70"/>
      <c r="H971" s="70"/>
      <c r="I971" s="8"/>
      <c r="J971" s="70"/>
      <c r="K971" s="70"/>
      <c r="L971" s="70"/>
      <c r="M971" s="8"/>
      <c r="N971" s="70"/>
      <c r="O971" s="70"/>
      <c r="P971" s="70"/>
      <c r="Q971" s="8"/>
      <c r="R971" s="70"/>
      <c r="S971" s="70"/>
      <c r="T971" s="70"/>
      <c r="U971" s="8"/>
      <c r="V971" s="70"/>
      <c r="W971" s="70"/>
      <c r="X971" s="70"/>
      <c r="Y971" s="200"/>
      <c r="Z971" s="195"/>
      <c r="AA971" s="195"/>
      <c r="AB971" s="195"/>
      <c r="AC971" s="8"/>
      <c r="AD971" s="70"/>
      <c r="AE971" s="70"/>
      <c r="AF971" s="70"/>
      <c r="AG971" s="228"/>
      <c r="AH971" s="229"/>
      <c r="AI971" s="230"/>
      <c r="AJ971" s="199"/>
      <c r="AK971" s="231"/>
      <c r="AL971" s="232"/>
      <c r="AM971" s="233"/>
      <c r="AN971" s="82"/>
      <c r="AO971" s="234"/>
      <c r="AP971" s="132"/>
      <c r="AQ971" s="121"/>
      <c r="AR971" s="82"/>
      <c r="AS971" s="234"/>
      <c r="AT971" s="132"/>
      <c r="AU971" s="121"/>
      <c r="AV971" s="82"/>
      <c r="AW971" s="70"/>
      <c r="AX971" s="70"/>
    </row>
    <row r="972">
      <c r="A972" s="8"/>
      <c r="B972" s="70"/>
      <c r="C972" s="70"/>
      <c r="D972" s="70"/>
      <c r="E972" s="8"/>
      <c r="F972" s="70"/>
      <c r="G972" s="70"/>
      <c r="H972" s="70"/>
      <c r="I972" s="8"/>
      <c r="J972" s="70"/>
      <c r="K972" s="70"/>
      <c r="L972" s="70"/>
      <c r="M972" s="8"/>
      <c r="N972" s="70"/>
      <c r="O972" s="70"/>
      <c r="P972" s="70"/>
      <c r="Q972" s="8"/>
      <c r="R972" s="70"/>
      <c r="S972" s="70"/>
      <c r="T972" s="70"/>
      <c r="U972" s="8"/>
      <c r="V972" s="70"/>
      <c r="W972" s="70"/>
      <c r="X972" s="70"/>
      <c r="Y972" s="200"/>
      <c r="Z972" s="195"/>
      <c r="AA972" s="195"/>
      <c r="AB972" s="195"/>
      <c r="AC972" s="8"/>
      <c r="AD972" s="70"/>
      <c r="AE972" s="70"/>
      <c r="AF972" s="70"/>
      <c r="AG972" s="228"/>
      <c r="AH972" s="229"/>
      <c r="AI972" s="230"/>
      <c r="AJ972" s="199"/>
      <c r="AK972" s="231"/>
      <c r="AL972" s="232"/>
      <c r="AM972" s="233"/>
      <c r="AN972" s="82"/>
      <c r="AO972" s="234"/>
      <c r="AP972" s="132"/>
      <c r="AQ972" s="121"/>
      <c r="AR972" s="82"/>
      <c r="AS972" s="234"/>
      <c r="AT972" s="132"/>
      <c r="AU972" s="121"/>
      <c r="AV972" s="82"/>
      <c r="AW972" s="70"/>
      <c r="AX972" s="70"/>
    </row>
    <row r="973">
      <c r="A973" s="8"/>
      <c r="B973" s="70"/>
      <c r="C973" s="70"/>
      <c r="D973" s="70"/>
      <c r="E973" s="8"/>
      <c r="F973" s="70"/>
      <c r="G973" s="70"/>
      <c r="H973" s="70"/>
      <c r="I973" s="8"/>
      <c r="J973" s="70"/>
      <c r="K973" s="70"/>
      <c r="L973" s="70"/>
      <c r="M973" s="8"/>
      <c r="N973" s="70"/>
      <c r="O973" s="70"/>
      <c r="P973" s="70"/>
      <c r="Q973" s="8"/>
      <c r="R973" s="70"/>
      <c r="S973" s="70"/>
      <c r="T973" s="70"/>
      <c r="U973" s="8"/>
      <c r="V973" s="70"/>
      <c r="W973" s="70"/>
      <c r="X973" s="70"/>
      <c r="Y973" s="200"/>
      <c r="Z973" s="195"/>
      <c r="AA973" s="195"/>
      <c r="AB973" s="195"/>
      <c r="AC973" s="8"/>
      <c r="AD973" s="70"/>
      <c r="AE973" s="70"/>
      <c r="AF973" s="70"/>
      <c r="AG973" s="228"/>
      <c r="AH973" s="229"/>
      <c r="AI973" s="230"/>
      <c r="AJ973" s="199"/>
      <c r="AK973" s="231"/>
      <c r="AL973" s="232"/>
      <c r="AM973" s="233"/>
      <c r="AN973" s="82"/>
      <c r="AO973" s="234"/>
      <c r="AP973" s="132"/>
      <c r="AQ973" s="121"/>
      <c r="AR973" s="82"/>
      <c r="AS973" s="234"/>
      <c r="AT973" s="132"/>
      <c r="AU973" s="121"/>
      <c r="AV973" s="82"/>
      <c r="AW973" s="70"/>
      <c r="AX973" s="70"/>
    </row>
    <row r="974">
      <c r="A974" s="8"/>
      <c r="B974" s="70"/>
      <c r="C974" s="70"/>
      <c r="D974" s="70"/>
      <c r="E974" s="8"/>
      <c r="F974" s="70"/>
      <c r="G974" s="70"/>
      <c r="H974" s="70"/>
      <c r="I974" s="8"/>
      <c r="J974" s="70"/>
      <c r="K974" s="70"/>
      <c r="L974" s="70"/>
      <c r="M974" s="8"/>
      <c r="N974" s="70"/>
      <c r="O974" s="70"/>
      <c r="P974" s="70"/>
      <c r="Q974" s="8"/>
      <c r="R974" s="70"/>
      <c r="S974" s="70"/>
      <c r="T974" s="70"/>
      <c r="U974" s="8"/>
      <c r="V974" s="70"/>
      <c r="W974" s="70"/>
      <c r="X974" s="70"/>
      <c r="Y974" s="200"/>
      <c r="Z974" s="195"/>
      <c r="AA974" s="195"/>
      <c r="AB974" s="195"/>
      <c r="AC974" s="8"/>
      <c r="AD974" s="70"/>
      <c r="AE974" s="70"/>
      <c r="AF974" s="70"/>
      <c r="AG974" s="228"/>
      <c r="AH974" s="229"/>
      <c r="AI974" s="230"/>
      <c r="AJ974" s="199"/>
      <c r="AK974" s="231"/>
      <c r="AL974" s="232"/>
      <c r="AM974" s="233"/>
      <c r="AN974" s="82"/>
      <c r="AO974" s="234"/>
      <c r="AP974" s="132"/>
      <c r="AQ974" s="121"/>
      <c r="AR974" s="82"/>
      <c r="AS974" s="234"/>
      <c r="AT974" s="132"/>
      <c r="AU974" s="121"/>
      <c r="AV974" s="82"/>
      <c r="AW974" s="70"/>
      <c r="AX974" s="70"/>
    </row>
    <row r="975">
      <c r="A975" s="8"/>
      <c r="B975" s="70"/>
      <c r="C975" s="70"/>
      <c r="D975" s="70"/>
      <c r="E975" s="8"/>
      <c r="F975" s="70"/>
      <c r="G975" s="70"/>
      <c r="H975" s="70"/>
      <c r="I975" s="8"/>
      <c r="J975" s="70"/>
      <c r="K975" s="70"/>
      <c r="L975" s="70"/>
      <c r="M975" s="8"/>
      <c r="N975" s="70"/>
      <c r="O975" s="70"/>
      <c r="P975" s="70"/>
      <c r="Q975" s="8"/>
      <c r="R975" s="70"/>
      <c r="S975" s="70"/>
      <c r="T975" s="70"/>
      <c r="U975" s="8"/>
      <c r="V975" s="70"/>
      <c r="W975" s="70"/>
      <c r="X975" s="70"/>
      <c r="Y975" s="200"/>
      <c r="Z975" s="195"/>
      <c r="AA975" s="195"/>
      <c r="AB975" s="195"/>
      <c r="AC975" s="8"/>
      <c r="AD975" s="70"/>
      <c r="AE975" s="70"/>
      <c r="AF975" s="70"/>
      <c r="AG975" s="228"/>
      <c r="AH975" s="229"/>
      <c r="AI975" s="230"/>
      <c r="AJ975" s="199"/>
      <c r="AK975" s="231"/>
      <c r="AL975" s="232"/>
      <c r="AM975" s="233"/>
      <c r="AN975" s="82"/>
      <c r="AO975" s="234"/>
      <c r="AP975" s="132"/>
      <c r="AQ975" s="121"/>
      <c r="AR975" s="82"/>
      <c r="AS975" s="234"/>
      <c r="AT975" s="132"/>
      <c r="AU975" s="121"/>
      <c r="AV975" s="82"/>
      <c r="AW975" s="70"/>
      <c r="AX975" s="70"/>
    </row>
    <row r="976">
      <c r="A976" s="8"/>
      <c r="B976" s="70"/>
      <c r="C976" s="70"/>
      <c r="D976" s="70"/>
      <c r="E976" s="8"/>
      <c r="F976" s="70"/>
      <c r="G976" s="70"/>
      <c r="H976" s="70"/>
      <c r="I976" s="8"/>
      <c r="J976" s="70"/>
      <c r="K976" s="70"/>
      <c r="L976" s="70"/>
      <c r="M976" s="8"/>
      <c r="N976" s="70"/>
      <c r="O976" s="70"/>
      <c r="P976" s="70"/>
      <c r="Q976" s="8"/>
      <c r="R976" s="70"/>
      <c r="S976" s="70"/>
      <c r="T976" s="70"/>
      <c r="U976" s="8"/>
      <c r="V976" s="70"/>
      <c r="W976" s="70"/>
      <c r="X976" s="70"/>
      <c r="Y976" s="200"/>
      <c r="Z976" s="195"/>
      <c r="AA976" s="195"/>
      <c r="AB976" s="195"/>
      <c r="AC976" s="8"/>
      <c r="AD976" s="70"/>
      <c r="AE976" s="70"/>
      <c r="AF976" s="70"/>
      <c r="AG976" s="228"/>
      <c r="AH976" s="229"/>
      <c r="AI976" s="230"/>
      <c r="AJ976" s="199"/>
      <c r="AK976" s="231"/>
      <c r="AL976" s="232"/>
      <c r="AM976" s="233"/>
      <c r="AN976" s="82"/>
      <c r="AO976" s="234"/>
      <c r="AP976" s="132"/>
      <c r="AQ976" s="121"/>
      <c r="AR976" s="82"/>
      <c r="AS976" s="234"/>
      <c r="AT976" s="132"/>
      <c r="AU976" s="121"/>
      <c r="AV976" s="82"/>
      <c r="AW976" s="70"/>
      <c r="AX976" s="70"/>
    </row>
    <row r="977">
      <c r="A977" s="8"/>
      <c r="B977" s="70"/>
      <c r="C977" s="70"/>
      <c r="D977" s="70"/>
      <c r="E977" s="8"/>
      <c r="F977" s="70"/>
      <c r="G977" s="70"/>
      <c r="H977" s="70"/>
      <c r="I977" s="8"/>
      <c r="J977" s="70"/>
      <c r="K977" s="70"/>
      <c r="L977" s="70"/>
      <c r="M977" s="8"/>
      <c r="N977" s="70"/>
      <c r="O977" s="70"/>
      <c r="P977" s="70"/>
      <c r="Q977" s="8"/>
      <c r="R977" s="70"/>
      <c r="S977" s="70"/>
      <c r="T977" s="70"/>
      <c r="U977" s="8"/>
      <c r="V977" s="70"/>
      <c r="W977" s="70"/>
      <c r="X977" s="70"/>
      <c r="Y977" s="200"/>
      <c r="Z977" s="195"/>
      <c r="AA977" s="195"/>
      <c r="AB977" s="195"/>
      <c r="AC977" s="8"/>
      <c r="AD977" s="70"/>
      <c r="AE977" s="70"/>
      <c r="AF977" s="70"/>
      <c r="AG977" s="228"/>
      <c r="AH977" s="229"/>
      <c r="AI977" s="230"/>
      <c r="AJ977" s="199"/>
      <c r="AK977" s="231"/>
      <c r="AL977" s="232"/>
      <c r="AM977" s="233"/>
      <c r="AN977" s="82"/>
      <c r="AO977" s="234"/>
      <c r="AP977" s="132"/>
      <c r="AQ977" s="121"/>
      <c r="AR977" s="82"/>
      <c r="AS977" s="234"/>
      <c r="AT977" s="132"/>
      <c r="AU977" s="121"/>
      <c r="AV977" s="82"/>
      <c r="AW977" s="70"/>
      <c r="AX977" s="70"/>
    </row>
    <row r="978">
      <c r="A978" s="8"/>
      <c r="B978" s="70"/>
      <c r="C978" s="70"/>
      <c r="D978" s="70"/>
      <c r="E978" s="8"/>
      <c r="F978" s="70"/>
      <c r="G978" s="70"/>
      <c r="H978" s="70"/>
      <c r="I978" s="8"/>
      <c r="J978" s="70"/>
      <c r="K978" s="70"/>
      <c r="L978" s="70"/>
      <c r="M978" s="8"/>
      <c r="N978" s="70"/>
      <c r="O978" s="70"/>
      <c r="P978" s="70"/>
      <c r="Q978" s="8"/>
      <c r="R978" s="70"/>
      <c r="S978" s="70"/>
      <c r="T978" s="70"/>
      <c r="U978" s="8"/>
      <c r="V978" s="70"/>
      <c r="W978" s="70"/>
      <c r="X978" s="70"/>
      <c r="Y978" s="200"/>
      <c r="Z978" s="195"/>
      <c r="AA978" s="195"/>
      <c r="AB978" s="195"/>
      <c r="AC978" s="8"/>
      <c r="AD978" s="70"/>
      <c r="AE978" s="70"/>
      <c r="AF978" s="70"/>
      <c r="AG978" s="228"/>
      <c r="AH978" s="229"/>
      <c r="AI978" s="230"/>
      <c r="AJ978" s="199"/>
      <c r="AK978" s="231"/>
      <c r="AL978" s="232"/>
      <c r="AM978" s="233"/>
      <c r="AN978" s="82"/>
      <c r="AO978" s="234"/>
      <c r="AP978" s="132"/>
      <c r="AQ978" s="121"/>
      <c r="AR978" s="82"/>
      <c r="AS978" s="234"/>
      <c r="AT978" s="132"/>
      <c r="AU978" s="121"/>
      <c r="AV978" s="82"/>
      <c r="AW978" s="70"/>
      <c r="AX978" s="70"/>
    </row>
    <row r="979">
      <c r="A979" s="8"/>
      <c r="B979" s="70"/>
      <c r="C979" s="70"/>
      <c r="D979" s="70"/>
      <c r="E979" s="8"/>
      <c r="F979" s="70"/>
      <c r="G979" s="70"/>
      <c r="H979" s="70"/>
      <c r="I979" s="8"/>
      <c r="J979" s="70"/>
      <c r="K979" s="70"/>
      <c r="L979" s="70"/>
      <c r="M979" s="8"/>
      <c r="N979" s="70"/>
      <c r="O979" s="70"/>
      <c r="P979" s="70"/>
      <c r="Q979" s="8"/>
      <c r="R979" s="70"/>
      <c r="S979" s="70"/>
      <c r="T979" s="70"/>
      <c r="U979" s="8"/>
      <c r="V979" s="70"/>
      <c r="W979" s="70"/>
      <c r="X979" s="70"/>
      <c r="Y979" s="200"/>
      <c r="Z979" s="195"/>
      <c r="AA979" s="195"/>
      <c r="AB979" s="195"/>
      <c r="AC979" s="8"/>
      <c r="AD979" s="70"/>
      <c r="AE979" s="70"/>
      <c r="AF979" s="70"/>
      <c r="AG979" s="228"/>
      <c r="AH979" s="229"/>
      <c r="AI979" s="230"/>
      <c r="AJ979" s="199"/>
      <c r="AK979" s="231"/>
      <c r="AL979" s="232"/>
      <c r="AM979" s="233"/>
      <c r="AN979" s="82"/>
      <c r="AO979" s="234"/>
      <c r="AP979" s="132"/>
      <c r="AQ979" s="121"/>
      <c r="AR979" s="82"/>
      <c r="AS979" s="234"/>
      <c r="AT979" s="132"/>
      <c r="AU979" s="121"/>
      <c r="AV979" s="82"/>
      <c r="AW979" s="70"/>
      <c r="AX979" s="70"/>
    </row>
    <row r="980">
      <c r="A980" s="8"/>
      <c r="B980" s="70"/>
      <c r="C980" s="70"/>
      <c r="D980" s="70"/>
      <c r="E980" s="8"/>
      <c r="F980" s="70"/>
      <c r="G980" s="70"/>
      <c r="H980" s="70"/>
      <c r="I980" s="8"/>
      <c r="J980" s="70"/>
      <c r="K980" s="70"/>
      <c r="L980" s="70"/>
      <c r="M980" s="8"/>
      <c r="N980" s="70"/>
      <c r="O980" s="70"/>
      <c r="P980" s="70"/>
      <c r="Q980" s="8"/>
      <c r="R980" s="70"/>
      <c r="S980" s="70"/>
      <c r="T980" s="70"/>
      <c r="U980" s="8"/>
      <c r="V980" s="70"/>
      <c r="W980" s="70"/>
      <c r="X980" s="70"/>
      <c r="Y980" s="200"/>
      <c r="Z980" s="195"/>
      <c r="AA980" s="195"/>
      <c r="AB980" s="195"/>
      <c r="AC980" s="8"/>
      <c r="AD980" s="70"/>
      <c r="AE980" s="70"/>
      <c r="AF980" s="70"/>
      <c r="AG980" s="228"/>
      <c r="AH980" s="229"/>
      <c r="AI980" s="230"/>
      <c r="AJ980" s="199"/>
      <c r="AK980" s="231"/>
      <c r="AL980" s="232"/>
      <c r="AM980" s="233"/>
      <c r="AN980" s="82"/>
      <c r="AO980" s="234"/>
      <c r="AP980" s="132"/>
      <c r="AQ980" s="121"/>
      <c r="AR980" s="82"/>
      <c r="AS980" s="234"/>
      <c r="AT980" s="132"/>
      <c r="AU980" s="121"/>
      <c r="AV980" s="82"/>
      <c r="AW980" s="70"/>
      <c r="AX980" s="70"/>
    </row>
    <row r="981">
      <c r="A981" s="8"/>
      <c r="B981" s="70"/>
      <c r="C981" s="70"/>
      <c r="D981" s="70"/>
      <c r="E981" s="8"/>
      <c r="F981" s="70"/>
      <c r="G981" s="70"/>
      <c r="H981" s="70"/>
      <c r="I981" s="8"/>
      <c r="J981" s="70"/>
      <c r="K981" s="70"/>
      <c r="L981" s="70"/>
      <c r="M981" s="8"/>
      <c r="N981" s="70"/>
      <c r="O981" s="70"/>
      <c r="P981" s="70"/>
      <c r="Q981" s="8"/>
      <c r="R981" s="70"/>
      <c r="S981" s="70"/>
      <c r="T981" s="70"/>
      <c r="U981" s="8"/>
      <c r="V981" s="70"/>
      <c r="W981" s="70"/>
      <c r="X981" s="70"/>
      <c r="Y981" s="200"/>
      <c r="Z981" s="195"/>
      <c r="AA981" s="195"/>
      <c r="AB981" s="195"/>
      <c r="AC981" s="8"/>
      <c r="AD981" s="70"/>
      <c r="AE981" s="70"/>
      <c r="AF981" s="70"/>
      <c r="AG981" s="228"/>
      <c r="AH981" s="229"/>
      <c r="AI981" s="230"/>
      <c r="AJ981" s="199"/>
      <c r="AK981" s="231"/>
      <c r="AL981" s="232"/>
      <c r="AM981" s="233"/>
      <c r="AN981" s="82"/>
      <c r="AO981" s="234"/>
      <c r="AP981" s="132"/>
      <c r="AQ981" s="121"/>
      <c r="AR981" s="82"/>
      <c r="AS981" s="234"/>
      <c r="AT981" s="132"/>
      <c r="AU981" s="121"/>
      <c r="AV981" s="82"/>
      <c r="AW981" s="70"/>
      <c r="AX981" s="70"/>
    </row>
    <row r="982">
      <c r="A982" s="8"/>
      <c r="B982" s="70"/>
      <c r="C982" s="70"/>
      <c r="D982" s="70"/>
      <c r="E982" s="8"/>
      <c r="F982" s="70"/>
      <c r="G982" s="70"/>
      <c r="H982" s="70"/>
      <c r="I982" s="8"/>
      <c r="J982" s="70"/>
      <c r="K982" s="70"/>
      <c r="L982" s="70"/>
      <c r="M982" s="8"/>
      <c r="N982" s="70"/>
      <c r="O982" s="70"/>
      <c r="P982" s="70"/>
      <c r="Q982" s="8"/>
      <c r="R982" s="70"/>
      <c r="S982" s="70"/>
      <c r="T982" s="70"/>
      <c r="U982" s="8"/>
      <c r="V982" s="70"/>
      <c r="W982" s="70"/>
      <c r="X982" s="70"/>
      <c r="Y982" s="200"/>
      <c r="Z982" s="195"/>
      <c r="AA982" s="195"/>
      <c r="AB982" s="195"/>
      <c r="AC982" s="8"/>
      <c r="AD982" s="70"/>
      <c r="AE982" s="70"/>
      <c r="AF982" s="70"/>
      <c r="AG982" s="228"/>
      <c r="AH982" s="229"/>
      <c r="AI982" s="230"/>
      <c r="AJ982" s="199"/>
      <c r="AK982" s="231"/>
      <c r="AL982" s="232"/>
      <c r="AM982" s="233"/>
      <c r="AN982" s="82"/>
      <c r="AO982" s="234"/>
      <c r="AP982" s="132"/>
      <c r="AQ982" s="121"/>
      <c r="AR982" s="82"/>
      <c r="AS982" s="234"/>
      <c r="AT982" s="132"/>
      <c r="AU982" s="121"/>
      <c r="AV982" s="82"/>
      <c r="AW982" s="70"/>
      <c r="AX982" s="70"/>
    </row>
    <row r="983">
      <c r="A983" s="8"/>
      <c r="B983" s="70"/>
      <c r="C983" s="70"/>
      <c r="D983" s="70"/>
      <c r="E983" s="8"/>
      <c r="F983" s="70"/>
      <c r="G983" s="70"/>
      <c r="H983" s="70"/>
      <c r="I983" s="8"/>
      <c r="J983" s="70"/>
      <c r="K983" s="70"/>
      <c r="L983" s="70"/>
      <c r="M983" s="8"/>
      <c r="N983" s="70"/>
      <c r="O983" s="70"/>
      <c r="P983" s="70"/>
      <c r="Q983" s="8"/>
      <c r="R983" s="70"/>
      <c r="S983" s="70"/>
      <c r="T983" s="70"/>
      <c r="U983" s="8"/>
      <c r="V983" s="70"/>
      <c r="W983" s="70"/>
      <c r="X983" s="70"/>
      <c r="Y983" s="200"/>
      <c r="Z983" s="195"/>
      <c r="AA983" s="195"/>
      <c r="AB983" s="195"/>
      <c r="AC983" s="8"/>
      <c r="AD983" s="70"/>
      <c r="AE983" s="70"/>
      <c r="AF983" s="70"/>
      <c r="AG983" s="228"/>
      <c r="AH983" s="229"/>
      <c r="AI983" s="230"/>
      <c r="AJ983" s="199"/>
      <c r="AK983" s="231"/>
      <c r="AL983" s="232"/>
      <c r="AM983" s="233"/>
      <c r="AN983" s="82"/>
      <c r="AO983" s="234"/>
      <c r="AP983" s="132"/>
      <c r="AQ983" s="121"/>
      <c r="AR983" s="82"/>
      <c r="AS983" s="234"/>
      <c r="AT983" s="132"/>
      <c r="AU983" s="121"/>
      <c r="AV983" s="82"/>
      <c r="AW983" s="70"/>
      <c r="AX983" s="70"/>
    </row>
    <row r="984">
      <c r="A984" s="8"/>
      <c r="B984" s="70"/>
      <c r="C984" s="70"/>
      <c r="D984" s="70"/>
      <c r="E984" s="8"/>
      <c r="F984" s="70"/>
      <c r="G984" s="70"/>
      <c r="H984" s="70"/>
      <c r="I984" s="8"/>
      <c r="J984" s="70"/>
      <c r="K984" s="70"/>
      <c r="L984" s="70"/>
      <c r="M984" s="8"/>
      <c r="N984" s="70"/>
      <c r="O984" s="70"/>
      <c r="P984" s="70"/>
      <c r="Q984" s="8"/>
      <c r="R984" s="70"/>
      <c r="S984" s="70"/>
      <c r="T984" s="70"/>
      <c r="U984" s="8"/>
      <c r="V984" s="70"/>
      <c r="W984" s="70"/>
      <c r="X984" s="70"/>
      <c r="Y984" s="200"/>
      <c r="Z984" s="195"/>
      <c r="AA984" s="195"/>
      <c r="AB984" s="195"/>
      <c r="AC984" s="8"/>
      <c r="AD984" s="70"/>
      <c r="AE984" s="70"/>
      <c r="AF984" s="70"/>
      <c r="AG984" s="228"/>
      <c r="AH984" s="229"/>
      <c r="AI984" s="230"/>
      <c r="AJ984" s="199"/>
      <c r="AK984" s="231"/>
      <c r="AL984" s="232"/>
      <c r="AM984" s="233"/>
      <c r="AN984" s="82"/>
      <c r="AO984" s="234"/>
      <c r="AP984" s="132"/>
      <c r="AQ984" s="121"/>
      <c r="AR984" s="82"/>
      <c r="AS984" s="234"/>
      <c r="AT984" s="132"/>
      <c r="AU984" s="121"/>
      <c r="AV984" s="82"/>
      <c r="AW984" s="70"/>
      <c r="AX984" s="70"/>
    </row>
    <row r="985">
      <c r="A985" s="8"/>
      <c r="B985" s="70"/>
      <c r="C985" s="70"/>
      <c r="D985" s="70"/>
      <c r="E985" s="8"/>
      <c r="F985" s="70"/>
      <c r="G985" s="70"/>
      <c r="H985" s="70"/>
      <c r="I985" s="8"/>
      <c r="J985" s="70"/>
      <c r="K985" s="70"/>
      <c r="L985" s="70"/>
      <c r="M985" s="8"/>
      <c r="N985" s="70"/>
      <c r="O985" s="70"/>
      <c r="P985" s="70"/>
      <c r="Q985" s="8"/>
      <c r="R985" s="70"/>
      <c r="S985" s="70"/>
      <c r="T985" s="70"/>
      <c r="U985" s="8"/>
      <c r="V985" s="70"/>
      <c r="W985" s="70"/>
      <c r="X985" s="70"/>
      <c r="Y985" s="200"/>
      <c r="Z985" s="195"/>
      <c r="AA985" s="195"/>
      <c r="AB985" s="195"/>
      <c r="AC985" s="8"/>
      <c r="AD985" s="70"/>
      <c r="AE985" s="70"/>
      <c r="AF985" s="70"/>
      <c r="AG985" s="228"/>
      <c r="AH985" s="229"/>
      <c r="AI985" s="230"/>
      <c r="AJ985" s="199"/>
      <c r="AK985" s="231"/>
      <c r="AL985" s="232"/>
      <c r="AM985" s="233"/>
      <c r="AN985" s="82"/>
      <c r="AO985" s="234"/>
      <c r="AP985" s="132"/>
      <c r="AQ985" s="121"/>
      <c r="AR985" s="82"/>
      <c r="AS985" s="234"/>
      <c r="AT985" s="132"/>
      <c r="AU985" s="121"/>
      <c r="AV985" s="82"/>
      <c r="AW985" s="70"/>
      <c r="AX985" s="70"/>
    </row>
    <row r="986">
      <c r="A986" s="8"/>
      <c r="B986" s="70"/>
      <c r="C986" s="70"/>
      <c r="D986" s="70"/>
      <c r="E986" s="8"/>
      <c r="F986" s="70"/>
      <c r="G986" s="70"/>
      <c r="H986" s="70"/>
      <c r="I986" s="8"/>
      <c r="J986" s="70"/>
      <c r="K986" s="70"/>
      <c r="L986" s="70"/>
      <c r="M986" s="8"/>
      <c r="N986" s="70"/>
      <c r="O986" s="70"/>
      <c r="P986" s="70"/>
      <c r="Q986" s="8"/>
      <c r="R986" s="70"/>
      <c r="S986" s="70"/>
      <c r="T986" s="70"/>
      <c r="U986" s="8"/>
      <c r="V986" s="70"/>
      <c r="W986" s="70"/>
      <c r="X986" s="70"/>
      <c r="Y986" s="200"/>
      <c r="Z986" s="195"/>
      <c r="AA986" s="195"/>
      <c r="AB986" s="195"/>
      <c r="AC986" s="8"/>
      <c r="AD986" s="70"/>
      <c r="AE986" s="70"/>
      <c r="AF986" s="70"/>
      <c r="AG986" s="228"/>
      <c r="AH986" s="229"/>
      <c r="AI986" s="230"/>
      <c r="AJ986" s="199"/>
      <c r="AK986" s="231"/>
      <c r="AL986" s="232"/>
      <c r="AM986" s="233"/>
      <c r="AN986" s="82"/>
      <c r="AO986" s="234"/>
      <c r="AP986" s="132"/>
      <c r="AQ986" s="121"/>
      <c r="AR986" s="82"/>
      <c r="AS986" s="234"/>
      <c r="AT986" s="132"/>
      <c r="AU986" s="121"/>
      <c r="AV986" s="82"/>
      <c r="AW986" s="70"/>
      <c r="AX986" s="70"/>
    </row>
    <row r="987">
      <c r="A987" s="8"/>
      <c r="B987" s="70"/>
      <c r="C987" s="70"/>
      <c r="D987" s="70"/>
      <c r="E987" s="8"/>
      <c r="F987" s="70"/>
      <c r="G987" s="70"/>
      <c r="H987" s="70"/>
      <c r="I987" s="8"/>
      <c r="J987" s="70"/>
      <c r="K987" s="70"/>
      <c r="L987" s="70"/>
      <c r="M987" s="8"/>
      <c r="N987" s="70"/>
      <c r="O987" s="70"/>
      <c r="P987" s="70"/>
      <c r="Q987" s="8"/>
      <c r="R987" s="70"/>
      <c r="S987" s="70"/>
      <c r="T987" s="70"/>
      <c r="U987" s="8"/>
      <c r="V987" s="70"/>
      <c r="W987" s="70"/>
      <c r="X987" s="70"/>
      <c r="Y987" s="200"/>
      <c r="Z987" s="195"/>
      <c r="AA987" s="195"/>
      <c r="AB987" s="195"/>
      <c r="AC987" s="8"/>
      <c r="AD987" s="70"/>
      <c r="AE987" s="70"/>
      <c r="AF987" s="70"/>
      <c r="AG987" s="228"/>
      <c r="AH987" s="229"/>
      <c r="AI987" s="230"/>
      <c r="AJ987" s="199"/>
      <c r="AK987" s="231"/>
      <c r="AL987" s="232"/>
      <c r="AM987" s="233"/>
      <c r="AN987" s="82"/>
      <c r="AO987" s="234"/>
      <c r="AP987" s="132"/>
      <c r="AQ987" s="121"/>
      <c r="AR987" s="82"/>
      <c r="AS987" s="234"/>
      <c r="AT987" s="132"/>
      <c r="AU987" s="121"/>
      <c r="AV987" s="82"/>
      <c r="AW987" s="70"/>
      <c r="AX987" s="70"/>
    </row>
    <row r="988">
      <c r="A988" s="8"/>
      <c r="B988" s="70"/>
      <c r="C988" s="70"/>
      <c r="D988" s="70"/>
      <c r="E988" s="8"/>
      <c r="F988" s="70"/>
      <c r="G988" s="70"/>
      <c r="H988" s="70"/>
      <c r="I988" s="8"/>
      <c r="J988" s="70"/>
      <c r="K988" s="70"/>
      <c r="L988" s="70"/>
      <c r="M988" s="8"/>
      <c r="N988" s="70"/>
      <c r="O988" s="70"/>
      <c r="P988" s="70"/>
      <c r="Q988" s="8"/>
      <c r="R988" s="70"/>
      <c r="S988" s="70"/>
      <c r="T988" s="70"/>
      <c r="U988" s="8"/>
      <c r="V988" s="70"/>
      <c r="W988" s="70"/>
      <c r="X988" s="70"/>
      <c r="Y988" s="200"/>
      <c r="Z988" s="195"/>
      <c r="AA988" s="195"/>
      <c r="AB988" s="195"/>
      <c r="AC988" s="8"/>
      <c r="AD988" s="70"/>
      <c r="AE988" s="70"/>
      <c r="AF988" s="70"/>
      <c r="AG988" s="228"/>
      <c r="AH988" s="229"/>
      <c r="AI988" s="230"/>
      <c r="AJ988" s="199"/>
      <c r="AK988" s="231"/>
      <c r="AL988" s="232"/>
      <c r="AM988" s="233"/>
      <c r="AN988" s="82"/>
      <c r="AO988" s="234"/>
      <c r="AP988" s="132"/>
      <c r="AQ988" s="121"/>
      <c r="AR988" s="82"/>
      <c r="AS988" s="234"/>
      <c r="AT988" s="132"/>
      <c r="AU988" s="121"/>
      <c r="AV988" s="82"/>
      <c r="AW988" s="70"/>
      <c r="AX988" s="70"/>
    </row>
    <row r="989">
      <c r="A989" s="8"/>
      <c r="B989" s="70"/>
      <c r="C989" s="70"/>
      <c r="D989" s="70"/>
      <c r="E989" s="8"/>
      <c r="F989" s="70"/>
      <c r="G989" s="70"/>
      <c r="H989" s="70"/>
      <c r="I989" s="8"/>
      <c r="J989" s="70"/>
      <c r="K989" s="70"/>
      <c r="L989" s="70"/>
      <c r="M989" s="8"/>
      <c r="N989" s="70"/>
      <c r="O989" s="70"/>
      <c r="P989" s="70"/>
      <c r="Q989" s="8"/>
      <c r="R989" s="70"/>
      <c r="S989" s="70"/>
      <c r="T989" s="70"/>
      <c r="U989" s="8"/>
      <c r="V989" s="70"/>
      <c r="W989" s="70"/>
      <c r="X989" s="70"/>
      <c r="Y989" s="200"/>
      <c r="Z989" s="195"/>
      <c r="AA989" s="195"/>
      <c r="AB989" s="195"/>
      <c r="AC989" s="8"/>
      <c r="AD989" s="70"/>
      <c r="AE989" s="70"/>
      <c r="AF989" s="70"/>
      <c r="AG989" s="228"/>
      <c r="AH989" s="229"/>
      <c r="AI989" s="230"/>
      <c r="AJ989" s="199"/>
      <c r="AK989" s="231"/>
      <c r="AL989" s="232"/>
      <c r="AM989" s="233"/>
      <c r="AN989" s="82"/>
      <c r="AO989" s="234"/>
      <c r="AP989" s="132"/>
      <c r="AQ989" s="121"/>
      <c r="AR989" s="82"/>
      <c r="AS989" s="234"/>
      <c r="AT989" s="132"/>
      <c r="AU989" s="121"/>
      <c r="AV989" s="82"/>
      <c r="AW989" s="70"/>
      <c r="AX989" s="70"/>
    </row>
    <row r="990">
      <c r="A990" s="8"/>
      <c r="B990" s="70"/>
      <c r="C990" s="70"/>
      <c r="D990" s="70"/>
      <c r="E990" s="8"/>
      <c r="F990" s="70"/>
      <c r="G990" s="70"/>
      <c r="H990" s="70"/>
      <c r="I990" s="8"/>
      <c r="J990" s="70"/>
      <c r="K990" s="70"/>
      <c r="L990" s="70"/>
      <c r="M990" s="8"/>
      <c r="N990" s="70"/>
      <c r="O990" s="70"/>
      <c r="P990" s="70"/>
      <c r="Q990" s="8"/>
      <c r="R990" s="70"/>
      <c r="S990" s="70"/>
      <c r="T990" s="70"/>
      <c r="U990" s="8"/>
      <c r="V990" s="70"/>
      <c r="W990" s="70"/>
      <c r="X990" s="70"/>
      <c r="Y990" s="200"/>
      <c r="Z990" s="195"/>
      <c r="AA990" s="195"/>
      <c r="AB990" s="195"/>
      <c r="AC990" s="8"/>
      <c r="AD990" s="70"/>
      <c r="AE990" s="70"/>
      <c r="AF990" s="70"/>
      <c r="AG990" s="228"/>
      <c r="AH990" s="229"/>
      <c r="AI990" s="230"/>
      <c r="AJ990" s="199"/>
      <c r="AK990" s="231"/>
      <c r="AL990" s="232"/>
      <c r="AM990" s="233"/>
      <c r="AN990" s="82"/>
      <c r="AO990" s="234"/>
      <c r="AP990" s="132"/>
      <c r="AQ990" s="121"/>
      <c r="AR990" s="82"/>
      <c r="AS990" s="234"/>
      <c r="AT990" s="132"/>
      <c r="AU990" s="121"/>
      <c r="AV990" s="82"/>
      <c r="AW990" s="70"/>
      <c r="AX990" s="70"/>
    </row>
    <row r="991">
      <c r="A991" s="8"/>
      <c r="B991" s="70"/>
      <c r="C991" s="70"/>
      <c r="D991" s="70"/>
      <c r="E991" s="8"/>
      <c r="F991" s="70"/>
      <c r="G991" s="70"/>
      <c r="H991" s="70"/>
      <c r="I991" s="8"/>
      <c r="J991" s="70"/>
      <c r="K991" s="70"/>
      <c r="L991" s="70"/>
      <c r="M991" s="8"/>
      <c r="N991" s="70"/>
      <c r="O991" s="70"/>
      <c r="P991" s="70"/>
      <c r="Q991" s="8"/>
      <c r="R991" s="70"/>
      <c r="S991" s="70"/>
      <c r="T991" s="70"/>
      <c r="U991" s="8"/>
      <c r="V991" s="70"/>
      <c r="W991" s="70"/>
      <c r="X991" s="70"/>
      <c r="Y991" s="200"/>
      <c r="Z991" s="195"/>
      <c r="AA991" s="195"/>
      <c r="AB991" s="195"/>
      <c r="AC991" s="8"/>
      <c r="AD991" s="70"/>
      <c r="AE991" s="70"/>
      <c r="AF991" s="70"/>
      <c r="AG991" s="228"/>
      <c r="AH991" s="229"/>
      <c r="AI991" s="230"/>
      <c r="AJ991" s="199"/>
      <c r="AK991" s="231"/>
      <c r="AL991" s="232"/>
      <c r="AM991" s="233"/>
      <c r="AN991" s="82"/>
      <c r="AO991" s="234"/>
      <c r="AP991" s="132"/>
      <c r="AQ991" s="121"/>
      <c r="AR991" s="82"/>
      <c r="AS991" s="234"/>
      <c r="AT991" s="132"/>
      <c r="AU991" s="121"/>
      <c r="AV991" s="82"/>
      <c r="AW991" s="70"/>
      <c r="AX991" s="70"/>
    </row>
    <row r="992">
      <c r="A992" s="8"/>
      <c r="B992" s="70"/>
      <c r="C992" s="70"/>
      <c r="D992" s="70"/>
      <c r="E992" s="8"/>
      <c r="F992" s="70"/>
      <c r="G992" s="70"/>
      <c r="H992" s="70"/>
      <c r="I992" s="8"/>
      <c r="J992" s="70"/>
      <c r="K992" s="70"/>
      <c r="L992" s="70"/>
      <c r="M992" s="8"/>
      <c r="N992" s="70"/>
      <c r="O992" s="70"/>
      <c r="P992" s="70"/>
      <c r="Q992" s="8"/>
      <c r="R992" s="70"/>
      <c r="S992" s="70"/>
      <c r="T992" s="70"/>
      <c r="U992" s="8"/>
      <c r="V992" s="70"/>
      <c r="W992" s="70"/>
      <c r="X992" s="70"/>
      <c r="Y992" s="200"/>
      <c r="Z992" s="195"/>
      <c r="AA992" s="195"/>
      <c r="AB992" s="195"/>
      <c r="AC992" s="8"/>
      <c r="AD992" s="70"/>
      <c r="AE992" s="70"/>
      <c r="AF992" s="70"/>
      <c r="AG992" s="228"/>
      <c r="AH992" s="229"/>
      <c r="AI992" s="230"/>
      <c r="AJ992" s="199"/>
      <c r="AK992" s="231"/>
      <c r="AL992" s="232"/>
      <c r="AM992" s="233"/>
      <c r="AN992" s="82"/>
      <c r="AO992" s="234"/>
      <c r="AP992" s="132"/>
      <c r="AQ992" s="121"/>
      <c r="AR992" s="82"/>
      <c r="AS992" s="234"/>
      <c r="AT992" s="132"/>
      <c r="AU992" s="121"/>
      <c r="AV992" s="82"/>
      <c r="AW992" s="70"/>
      <c r="AX992" s="70"/>
    </row>
    <row r="993">
      <c r="A993" s="8"/>
      <c r="B993" s="70"/>
      <c r="C993" s="70"/>
      <c r="D993" s="70"/>
      <c r="E993" s="8"/>
      <c r="F993" s="70"/>
      <c r="G993" s="70"/>
      <c r="H993" s="70"/>
      <c r="I993" s="8"/>
      <c r="J993" s="70"/>
      <c r="K993" s="70"/>
      <c r="L993" s="70"/>
      <c r="M993" s="8"/>
      <c r="N993" s="70"/>
      <c r="O993" s="70"/>
      <c r="P993" s="70"/>
      <c r="Q993" s="8"/>
      <c r="R993" s="70"/>
      <c r="S993" s="70"/>
      <c r="T993" s="70"/>
      <c r="U993" s="8"/>
      <c r="V993" s="70"/>
      <c r="W993" s="70"/>
      <c r="X993" s="70"/>
      <c r="Y993" s="200"/>
      <c r="Z993" s="195"/>
      <c r="AA993" s="195"/>
      <c r="AB993" s="195"/>
      <c r="AC993" s="8"/>
      <c r="AD993" s="70"/>
      <c r="AE993" s="70"/>
      <c r="AF993" s="70"/>
      <c r="AG993" s="228"/>
      <c r="AH993" s="229"/>
      <c r="AI993" s="230"/>
      <c r="AJ993" s="199"/>
      <c r="AK993" s="231"/>
      <c r="AL993" s="232"/>
      <c r="AM993" s="233"/>
      <c r="AN993" s="82"/>
      <c r="AO993" s="234"/>
      <c r="AP993" s="132"/>
      <c r="AQ993" s="121"/>
      <c r="AR993" s="82"/>
      <c r="AS993" s="234"/>
      <c r="AT993" s="132"/>
      <c r="AU993" s="121"/>
      <c r="AV993" s="82"/>
      <c r="AW993" s="70"/>
      <c r="AX993" s="70"/>
    </row>
    <row r="994">
      <c r="A994" s="8"/>
      <c r="B994" s="70"/>
      <c r="C994" s="70"/>
      <c r="D994" s="70"/>
      <c r="E994" s="8"/>
      <c r="F994" s="70"/>
      <c r="G994" s="70"/>
      <c r="H994" s="70"/>
      <c r="I994" s="8"/>
      <c r="J994" s="70"/>
      <c r="K994" s="70"/>
      <c r="L994" s="70"/>
      <c r="M994" s="8"/>
      <c r="N994" s="70"/>
      <c r="O994" s="70"/>
      <c r="P994" s="70"/>
      <c r="Q994" s="8"/>
      <c r="R994" s="70"/>
      <c r="S994" s="70"/>
      <c r="T994" s="70"/>
      <c r="U994" s="8"/>
      <c r="V994" s="70"/>
      <c r="W994" s="70"/>
      <c r="X994" s="70"/>
      <c r="Y994" s="200"/>
      <c r="Z994" s="195"/>
      <c r="AA994" s="195"/>
      <c r="AB994" s="195"/>
      <c r="AC994" s="8"/>
      <c r="AD994" s="70"/>
      <c r="AE994" s="70"/>
      <c r="AF994" s="70"/>
      <c r="AG994" s="228"/>
      <c r="AH994" s="229"/>
      <c r="AI994" s="230"/>
      <c r="AJ994" s="199"/>
      <c r="AK994" s="231"/>
      <c r="AL994" s="232"/>
      <c r="AM994" s="233"/>
      <c r="AN994" s="82"/>
      <c r="AO994" s="234"/>
      <c r="AP994" s="132"/>
      <c r="AQ994" s="121"/>
      <c r="AR994" s="82"/>
      <c r="AS994" s="234"/>
      <c r="AT994" s="132"/>
      <c r="AU994" s="121"/>
      <c r="AV994" s="82"/>
      <c r="AW994" s="70"/>
      <c r="AX994" s="70"/>
    </row>
    <row r="995">
      <c r="A995" s="8"/>
      <c r="B995" s="70"/>
      <c r="C995" s="70"/>
      <c r="D995" s="70"/>
      <c r="E995" s="8"/>
      <c r="F995" s="70"/>
      <c r="G995" s="70"/>
      <c r="H995" s="70"/>
      <c r="I995" s="8"/>
      <c r="J995" s="70"/>
      <c r="K995" s="70"/>
      <c r="L995" s="70"/>
      <c r="M995" s="8"/>
      <c r="N995" s="70"/>
      <c r="O995" s="70"/>
      <c r="P995" s="70"/>
      <c r="Q995" s="8"/>
      <c r="R995" s="70"/>
      <c r="S995" s="70"/>
      <c r="T995" s="70"/>
      <c r="U995" s="8"/>
      <c r="V995" s="70"/>
      <c r="W995" s="70"/>
      <c r="X995" s="70"/>
      <c r="Y995" s="200"/>
      <c r="Z995" s="195"/>
      <c r="AA995" s="195"/>
      <c r="AB995" s="195"/>
      <c r="AC995" s="8"/>
      <c r="AD995" s="70"/>
      <c r="AE995" s="70"/>
      <c r="AF995" s="70"/>
      <c r="AG995" s="228"/>
      <c r="AH995" s="229"/>
      <c r="AI995" s="230"/>
      <c r="AJ995" s="199"/>
      <c r="AK995" s="231"/>
      <c r="AL995" s="232"/>
      <c r="AM995" s="233"/>
      <c r="AN995" s="82"/>
      <c r="AO995" s="234"/>
      <c r="AP995" s="132"/>
      <c r="AQ995" s="121"/>
      <c r="AR995" s="82"/>
      <c r="AS995" s="234"/>
      <c r="AT995" s="132"/>
      <c r="AU995" s="121"/>
      <c r="AV995" s="82"/>
      <c r="AW995" s="70"/>
      <c r="AX995" s="70"/>
    </row>
    <row r="996">
      <c r="A996" s="8"/>
      <c r="B996" s="70"/>
      <c r="C996" s="70"/>
      <c r="D996" s="70"/>
      <c r="E996" s="8"/>
      <c r="F996" s="70"/>
      <c r="G996" s="70"/>
      <c r="H996" s="70"/>
      <c r="I996" s="8"/>
      <c r="J996" s="70"/>
      <c r="K996" s="70"/>
      <c r="L996" s="70"/>
      <c r="M996" s="8"/>
      <c r="N996" s="70"/>
      <c r="O996" s="70"/>
      <c r="P996" s="70"/>
      <c r="Q996" s="8"/>
      <c r="R996" s="70"/>
      <c r="S996" s="70"/>
      <c r="T996" s="70"/>
      <c r="U996" s="8"/>
      <c r="V996" s="70"/>
      <c r="W996" s="70"/>
      <c r="X996" s="70"/>
      <c r="Y996" s="200"/>
      <c r="Z996" s="195"/>
      <c r="AA996" s="195"/>
      <c r="AB996" s="195"/>
      <c r="AC996" s="8"/>
      <c r="AD996" s="70"/>
      <c r="AE996" s="70"/>
      <c r="AF996" s="70"/>
      <c r="AG996" s="228"/>
      <c r="AH996" s="229"/>
      <c r="AI996" s="230"/>
      <c r="AJ996" s="199"/>
      <c r="AK996" s="231"/>
      <c r="AL996" s="232"/>
      <c r="AM996" s="233"/>
      <c r="AN996" s="82"/>
      <c r="AO996" s="234"/>
      <c r="AP996" s="132"/>
      <c r="AQ996" s="121"/>
      <c r="AR996" s="82"/>
      <c r="AS996" s="234"/>
      <c r="AT996" s="132"/>
      <c r="AU996" s="121"/>
      <c r="AV996" s="82"/>
      <c r="AW996" s="70"/>
      <c r="AX996" s="70"/>
    </row>
    <row r="997">
      <c r="A997" s="8"/>
      <c r="B997" s="70"/>
      <c r="C997" s="70"/>
      <c r="D997" s="70"/>
      <c r="E997" s="8"/>
      <c r="F997" s="70"/>
      <c r="G997" s="70"/>
      <c r="H997" s="70"/>
      <c r="I997" s="8"/>
      <c r="J997" s="70"/>
      <c r="K997" s="70"/>
      <c r="L997" s="70"/>
      <c r="M997" s="8"/>
      <c r="N997" s="70"/>
      <c r="O997" s="70"/>
      <c r="P997" s="70"/>
      <c r="Q997" s="8"/>
      <c r="R997" s="70"/>
      <c r="S997" s="70"/>
      <c r="T997" s="70"/>
      <c r="U997" s="8"/>
      <c r="V997" s="70"/>
      <c r="W997" s="70"/>
      <c r="X997" s="70"/>
      <c r="Y997" s="200"/>
      <c r="Z997" s="195"/>
      <c r="AA997" s="195"/>
      <c r="AB997" s="195"/>
      <c r="AC997" s="8"/>
      <c r="AD997" s="70"/>
      <c r="AE997" s="70"/>
      <c r="AF997" s="70"/>
      <c r="AG997" s="228"/>
      <c r="AH997" s="229"/>
      <c r="AI997" s="230"/>
      <c r="AJ997" s="199"/>
      <c r="AK997" s="231"/>
      <c r="AL997" s="232"/>
      <c r="AM997" s="233"/>
      <c r="AN997" s="82"/>
      <c r="AO997" s="234"/>
      <c r="AP997" s="132"/>
      <c r="AQ997" s="121"/>
      <c r="AR997" s="82"/>
      <c r="AS997" s="234"/>
      <c r="AT997" s="132"/>
      <c r="AU997" s="121"/>
      <c r="AV997" s="82"/>
      <c r="AW997" s="70"/>
      <c r="AX997" s="70"/>
    </row>
    <row r="998">
      <c r="A998" s="8"/>
      <c r="B998" s="70"/>
      <c r="C998" s="70"/>
      <c r="D998" s="70"/>
      <c r="E998" s="8"/>
      <c r="F998" s="70"/>
      <c r="G998" s="70"/>
      <c r="H998" s="70"/>
      <c r="I998" s="8"/>
      <c r="J998" s="70"/>
      <c r="K998" s="70"/>
      <c r="L998" s="70"/>
      <c r="M998" s="8"/>
      <c r="N998" s="70"/>
      <c r="O998" s="70"/>
      <c r="P998" s="70"/>
      <c r="Q998" s="8"/>
      <c r="R998" s="70"/>
      <c r="S998" s="70"/>
      <c r="T998" s="70"/>
      <c r="U998" s="8"/>
      <c r="V998" s="70"/>
      <c r="W998" s="70"/>
      <c r="X998" s="70"/>
      <c r="Y998" s="200"/>
      <c r="Z998" s="195"/>
      <c r="AA998" s="195"/>
      <c r="AB998" s="195"/>
      <c r="AC998" s="8"/>
      <c r="AD998" s="70"/>
      <c r="AE998" s="70"/>
      <c r="AF998" s="70"/>
      <c r="AG998" s="228"/>
      <c r="AH998" s="229"/>
      <c r="AI998" s="230"/>
      <c r="AJ998" s="199"/>
      <c r="AK998" s="231"/>
      <c r="AL998" s="232"/>
      <c r="AM998" s="233"/>
      <c r="AN998" s="82"/>
      <c r="AO998" s="234"/>
      <c r="AP998" s="132"/>
      <c r="AQ998" s="121"/>
      <c r="AR998" s="82"/>
      <c r="AS998" s="234"/>
      <c r="AT998" s="132"/>
      <c r="AU998" s="121"/>
      <c r="AV998" s="82"/>
      <c r="AW998" s="70"/>
      <c r="AX998" s="70"/>
    </row>
    <row r="999">
      <c r="A999" s="8"/>
      <c r="B999" s="70"/>
      <c r="C999" s="70"/>
      <c r="D999" s="70"/>
      <c r="E999" s="8"/>
      <c r="F999" s="70"/>
      <c r="G999" s="70"/>
      <c r="H999" s="70"/>
      <c r="I999" s="8"/>
      <c r="J999" s="70"/>
      <c r="K999" s="70"/>
      <c r="L999" s="70"/>
      <c r="M999" s="8"/>
      <c r="N999" s="70"/>
      <c r="O999" s="70"/>
      <c r="P999" s="70"/>
      <c r="Q999" s="8"/>
      <c r="R999" s="70"/>
      <c r="S999" s="70"/>
      <c r="T999" s="70"/>
      <c r="U999" s="8"/>
      <c r="V999" s="70"/>
      <c r="W999" s="70"/>
      <c r="X999" s="70"/>
      <c r="Y999" s="200"/>
      <c r="Z999" s="195"/>
      <c r="AA999" s="195"/>
      <c r="AB999" s="195"/>
      <c r="AC999" s="8"/>
      <c r="AD999" s="70"/>
      <c r="AE999" s="70"/>
      <c r="AF999" s="70"/>
      <c r="AG999" s="228"/>
      <c r="AH999" s="229"/>
      <c r="AI999" s="230"/>
      <c r="AJ999" s="199"/>
      <c r="AK999" s="231"/>
      <c r="AL999" s="232"/>
      <c r="AM999" s="233"/>
      <c r="AN999" s="82"/>
      <c r="AO999" s="234"/>
      <c r="AP999" s="132"/>
      <c r="AQ999" s="121"/>
      <c r="AR999" s="82"/>
      <c r="AS999" s="234"/>
      <c r="AT999" s="132"/>
      <c r="AU999" s="121"/>
      <c r="AV999" s="82"/>
      <c r="AW999" s="70"/>
      <c r="AX999" s="70"/>
    </row>
    <row r="1000">
      <c r="A1000" s="8"/>
      <c r="B1000" s="70"/>
      <c r="C1000" s="70"/>
      <c r="D1000" s="70"/>
      <c r="E1000" s="8"/>
      <c r="F1000" s="70"/>
      <c r="G1000" s="70"/>
      <c r="H1000" s="70"/>
      <c r="I1000" s="8"/>
      <c r="J1000" s="70"/>
      <c r="K1000" s="70"/>
      <c r="L1000" s="70"/>
      <c r="M1000" s="8"/>
      <c r="N1000" s="70"/>
      <c r="O1000" s="70"/>
      <c r="P1000" s="70"/>
      <c r="Q1000" s="8"/>
      <c r="R1000" s="70"/>
      <c r="S1000" s="70"/>
      <c r="T1000" s="70"/>
      <c r="U1000" s="8"/>
      <c r="V1000" s="70"/>
      <c r="W1000" s="70"/>
      <c r="X1000" s="70"/>
      <c r="Y1000" s="200"/>
      <c r="Z1000" s="195"/>
      <c r="AA1000" s="195"/>
      <c r="AB1000" s="195"/>
      <c r="AC1000" s="8"/>
      <c r="AD1000" s="70"/>
      <c r="AE1000" s="70"/>
      <c r="AF1000" s="70"/>
      <c r="AG1000" s="228"/>
      <c r="AH1000" s="229"/>
      <c r="AI1000" s="230"/>
      <c r="AJ1000" s="199"/>
      <c r="AK1000" s="231"/>
      <c r="AL1000" s="232"/>
      <c r="AM1000" s="233"/>
      <c r="AN1000" s="82"/>
      <c r="AO1000" s="234"/>
      <c r="AP1000" s="132"/>
      <c r="AQ1000" s="121"/>
      <c r="AR1000" s="82"/>
      <c r="AS1000" s="234"/>
      <c r="AT1000" s="132"/>
      <c r="AU1000" s="121"/>
      <c r="AV1000" s="82"/>
      <c r="AW1000" s="70"/>
      <c r="AX1000" s="70"/>
    </row>
    <row r="1001">
      <c r="A1001" s="8"/>
      <c r="B1001" s="70"/>
      <c r="C1001" s="70"/>
      <c r="D1001" s="70"/>
      <c r="E1001" s="8"/>
      <c r="F1001" s="70"/>
      <c r="G1001" s="70"/>
      <c r="H1001" s="70"/>
      <c r="I1001" s="8"/>
      <c r="J1001" s="70"/>
      <c r="K1001" s="70"/>
      <c r="L1001" s="70"/>
      <c r="M1001" s="8"/>
      <c r="N1001" s="70"/>
      <c r="O1001" s="70"/>
      <c r="P1001" s="70"/>
      <c r="Q1001" s="8"/>
      <c r="R1001" s="70"/>
      <c r="S1001" s="70"/>
      <c r="T1001" s="70"/>
      <c r="U1001" s="8"/>
      <c r="V1001" s="70"/>
      <c r="W1001" s="70"/>
      <c r="X1001" s="70"/>
      <c r="Y1001" s="200"/>
      <c r="Z1001" s="195"/>
      <c r="AA1001" s="195"/>
      <c r="AB1001" s="195"/>
      <c r="AC1001" s="8"/>
      <c r="AD1001" s="70"/>
      <c r="AE1001" s="70"/>
      <c r="AF1001" s="70"/>
      <c r="AG1001" s="228"/>
      <c r="AH1001" s="229"/>
      <c r="AI1001" s="230"/>
      <c r="AJ1001" s="199"/>
      <c r="AK1001" s="231"/>
      <c r="AL1001" s="232"/>
      <c r="AM1001" s="233"/>
      <c r="AN1001" s="82"/>
      <c r="AO1001" s="234"/>
      <c r="AP1001" s="132"/>
      <c r="AQ1001" s="121"/>
      <c r="AR1001" s="82"/>
      <c r="AS1001" s="234"/>
      <c r="AT1001" s="132"/>
      <c r="AU1001" s="121"/>
      <c r="AV1001" s="82"/>
      <c r="AW1001" s="70"/>
      <c r="AX1001" s="70"/>
    </row>
    <row r="1002">
      <c r="A1002" s="8"/>
      <c r="B1002" s="70"/>
      <c r="C1002" s="70"/>
      <c r="D1002" s="70"/>
      <c r="E1002" s="8"/>
      <c r="F1002" s="70"/>
      <c r="G1002" s="70"/>
      <c r="H1002" s="70"/>
      <c r="I1002" s="8"/>
      <c r="J1002" s="70"/>
      <c r="K1002" s="70"/>
      <c r="L1002" s="70"/>
      <c r="M1002" s="8"/>
      <c r="N1002" s="70"/>
      <c r="O1002" s="70"/>
      <c r="P1002" s="70"/>
      <c r="Q1002" s="8"/>
      <c r="R1002" s="70"/>
      <c r="S1002" s="70"/>
      <c r="T1002" s="70"/>
      <c r="U1002" s="8"/>
      <c r="V1002" s="70"/>
      <c r="W1002" s="70"/>
      <c r="X1002" s="70"/>
      <c r="Y1002" s="200"/>
      <c r="Z1002" s="195"/>
      <c r="AA1002" s="195"/>
      <c r="AB1002" s="195"/>
      <c r="AC1002" s="8"/>
      <c r="AD1002" s="70"/>
      <c r="AE1002" s="70"/>
      <c r="AF1002" s="70"/>
      <c r="AG1002" s="228"/>
      <c r="AH1002" s="229"/>
      <c r="AI1002" s="230"/>
      <c r="AJ1002" s="199"/>
      <c r="AK1002" s="231"/>
      <c r="AL1002" s="232"/>
      <c r="AM1002" s="233"/>
      <c r="AN1002" s="82"/>
      <c r="AO1002" s="234"/>
      <c r="AP1002" s="132"/>
      <c r="AQ1002" s="121"/>
      <c r="AR1002" s="82"/>
      <c r="AS1002" s="234"/>
      <c r="AT1002" s="132"/>
      <c r="AU1002" s="121"/>
      <c r="AV1002" s="82"/>
      <c r="AW1002" s="70"/>
      <c r="AX1002" s="70"/>
    </row>
    <row r="1003">
      <c r="A1003" s="8"/>
      <c r="B1003" s="70"/>
      <c r="C1003" s="70"/>
      <c r="D1003" s="70"/>
      <c r="E1003" s="8"/>
      <c r="F1003" s="70"/>
      <c r="G1003" s="70"/>
      <c r="H1003" s="70"/>
      <c r="I1003" s="8"/>
      <c r="J1003" s="70"/>
      <c r="K1003" s="70"/>
      <c r="L1003" s="70"/>
      <c r="M1003" s="8"/>
      <c r="N1003" s="70"/>
      <c r="O1003" s="70"/>
      <c r="P1003" s="70"/>
      <c r="Q1003" s="8"/>
      <c r="R1003" s="70"/>
      <c r="S1003" s="70"/>
      <c r="T1003" s="70"/>
      <c r="U1003" s="8"/>
      <c r="V1003" s="70"/>
      <c r="W1003" s="70"/>
      <c r="X1003" s="70"/>
      <c r="Y1003" s="200"/>
      <c r="Z1003" s="195"/>
      <c r="AA1003" s="195"/>
      <c r="AB1003" s="195"/>
      <c r="AC1003" s="8"/>
      <c r="AD1003" s="70"/>
      <c r="AE1003" s="70"/>
      <c r="AF1003" s="70"/>
      <c r="AG1003" s="228"/>
      <c r="AH1003" s="229"/>
      <c r="AI1003" s="230"/>
      <c r="AJ1003" s="199"/>
      <c r="AK1003" s="231"/>
      <c r="AL1003" s="232"/>
      <c r="AM1003" s="233"/>
      <c r="AN1003" s="82"/>
      <c r="AO1003" s="234"/>
      <c r="AP1003" s="132"/>
      <c r="AQ1003" s="121"/>
      <c r="AR1003" s="82"/>
      <c r="AS1003" s="234"/>
      <c r="AT1003" s="132"/>
      <c r="AU1003" s="121"/>
      <c r="AV1003" s="82"/>
      <c r="AW1003" s="70"/>
      <c r="AX1003" s="70"/>
    </row>
    <row r="1004">
      <c r="A1004" s="8"/>
      <c r="B1004" s="70"/>
      <c r="C1004" s="70"/>
      <c r="D1004" s="70"/>
      <c r="E1004" s="8"/>
      <c r="F1004" s="70"/>
      <c r="G1004" s="70"/>
      <c r="H1004" s="70"/>
      <c r="I1004" s="8"/>
      <c r="J1004" s="70"/>
      <c r="K1004" s="70"/>
      <c r="L1004" s="70"/>
      <c r="M1004" s="8"/>
      <c r="N1004" s="70"/>
      <c r="O1004" s="70"/>
      <c r="P1004" s="70"/>
      <c r="Q1004" s="8"/>
      <c r="R1004" s="70"/>
      <c r="S1004" s="70"/>
      <c r="T1004" s="70"/>
      <c r="U1004" s="8"/>
      <c r="V1004" s="70"/>
      <c r="W1004" s="70"/>
      <c r="X1004" s="70"/>
      <c r="Y1004" s="200"/>
      <c r="Z1004" s="195"/>
      <c r="AA1004" s="195"/>
      <c r="AB1004" s="195"/>
      <c r="AC1004" s="8"/>
      <c r="AD1004" s="70"/>
      <c r="AE1004" s="70"/>
      <c r="AF1004" s="70"/>
      <c r="AG1004" s="228"/>
      <c r="AH1004" s="229"/>
      <c r="AI1004" s="230"/>
      <c r="AJ1004" s="199"/>
      <c r="AK1004" s="231"/>
      <c r="AL1004" s="232"/>
      <c r="AM1004" s="233"/>
      <c r="AN1004" s="82"/>
      <c r="AO1004" s="234"/>
      <c r="AP1004" s="132"/>
      <c r="AQ1004" s="121"/>
      <c r="AR1004" s="82"/>
      <c r="AS1004" s="234"/>
      <c r="AT1004" s="132"/>
      <c r="AU1004" s="121"/>
      <c r="AV1004" s="82"/>
      <c r="AW1004" s="70"/>
      <c r="AX1004" s="70"/>
    </row>
    <row r="1005">
      <c r="A1005" s="8"/>
      <c r="B1005" s="70"/>
      <c r="C1005" s="70"/>
      <c r="D1005" s="70"/>
      <c r="E1005" s="8"/>
      <c r="F1005" s="70"/>
      <c r="G1005" s="70"/>
      <c r="H1005" s="70"/>
      <c r="I1005" s="8"/>
      <c r="J1005" s="70"/>
      <c r="K1005" s="70"/>
      <c r="L1005" s="70"/>
      <c r="M1005" s="8"/>
      <c r="N1005" s="70"/>
      <c r="O1005" s="70"/>
      <c r="P1005" s="70"/>
      <c r="Q1005" s="8"/>
      <c r="R1005" s="70"/>
      <c r="S1005" s="70"/>
      <c r="T1005" s="70"/>
      <c r="U1005" s="8"/>
      <c r="V1005" s="70"/>
      <c r="W1005" s="70"/>
      <c r="X1005" s="70"/>
      <c r="Y1005" s="200"/>
      <c r="Z1005" s="195"/>
      <c r="AA1005" s="195"/>
      <c r="AB1005" s="195"/>
      <c r="AC1005" s="8"/>
      <c r="AD1005" s="70"/>
      <c r="AE1005" s="70"/>
      <c r="AF1005" s="70"/>
      <c r="AG1005" s="228"/>
      <c r="AH1005" s="229"/>
      <c r="AI1005" s="230"/>
      <c r="AJ1005" s="199"/>
      <c r="AK1005" s="231"/>
      <c r="AL1005" s="232"/>
      <c r="AM1005" s="233"/>
      <c r="AN1005" s="82"/>
      <c r="AO1005" s="234"/>
      <c r="AP1005" s="132"/>
      <c r="AQ1005" s="121"/>
      <c r="AR1005" s="82"/>
      <c r="AS1005" s="234"/>
      <c r="AT1005" s="132"/>
      <c r="AU1005" s="121"/>
      <c r="AV1005" s="82"/>
      <c r="AW1005" s="70"/>
      <c r="AX1005" s="70"/>
    </row>
    <row r="1006">
      <c r="A1006" s="8"/>
      <c r="B1006" s="70"/>
      <c r="C1006" s="70"/>
      <c r="D1006" s="70"/>
      <c r="E1006" s="8"/>
      <c r="F1006" s="70"/>
      <c r="G1006" s="70"/>
      <c r="H1006" s="70"/>
      <c r="I1006" s="8"/>
      <c r="J1006" s="70"/>
      <c r="K1006" s="70"/>
      <c r="L1006" s="70"/>
      <c r="M1006" s="8"/>
      <c r="N1006" s="70"/>
      <c r="O1006" s="70"/>
      <c r="P1006" s="70"/>
      <c r="Q1006" s="8"/>
      <c r="R1006" s="70"/>
      <c r="S1006" s="70"/>
      <c r="T1006" s="70"/>
      <c r="U1006" s="8"/>
      <c r="V1006" s="70"/>
      <c r="W1006" s="70"/>
      <c r="X1006" s="70"/>
      <c r="Y1006" s="200"/>
      <c r="Z1006" s="195"/>
      <c r="AA1006" s="195"/>
      <c r="AB1006" s="195"/>
      <c r="AC1006" s="8"/>
      <c r="AD1006" s="70"/>
      <c r="AE1006" s="70"/>
      <c r="AF1006" s="70"/>
      <c r="AG1006" s="228"/>
      <c r="AH1006" s="229"/>
      <c r="AI1006" s="230"/>
      <c r="AJ1006" s="199"/>
      <c r="AK1006" s="231"/>
      <c r="AL1006" s="232"/>
      <c r="AM1006" s="233"/>
      <c r="AN1006" s="82"/>
      <c r="AO1006" s="234"/>
      <c r="AP1006" s="132"/>
      <c r="AQ1006" s="121"/>
      <c r="AR1006" s="82"/>
      <c r="AS1006" s="234"/>
      <c r="AT1006" s="132"/>
      <c r="AU1006" s="121"/>
      <c r="AV1006" s="82"/>
      <c r="AW1006" s="70"/>
      <c r="AX1006" s="70"/>
    </row>
    <row r="1007">
      <c r="A1007" s="8"/>
      <c r="B1007" s="70"/>
      <c r="C1007" s="70"/>
      <c r="D1007" s="70"/>
      <c r="E1007" s="8"/>
      <c r="F1007" s="70"/>
      <c r="G1007" s="70"/>
      <c r="H1007" s="70"/>
      <c r="I1007" s="8"/>
      <c r="J1007" s="70"/>
      <c r="K1007" s="70"/>
      <c r="L1007" s="70"/>
      <c r="M1007" s="8"/>
      <c r="N1007" s="70"/>
      <c r="O1007" s="70"/>
      <c r="P1007" s="70"/>
      <c r="Q1007" s="8"/>
      <c r="R1007" s="70"/>
      <c r="S1007" s="70"/>
      <c r="T1007" s="70"/>
      <c r="U1007" s="8"/>
      <c r="V1007" s="70"/>
      <c r="W1007" s="70"/>
      <c r="X1007" s="70"/>
      <c r="Y1007" s="200"/>
      <c r="Z1007" s="195"/>
      <c r="AA1007" s="195"/>
      <c r="AB1007" s="195"/>
      <c r="AC1007" s="8"/>
      <c r="AD1007" s="70"/>
      <c r="AE1007" s="70"/>
      <c r="AF1007" s="70"/>
      <c r="AG1007" s="228"/>
      <c r="AH1007" s="229"/>
      <c r="AI1007" s="230"/>
      <c r="AJ1007" s="199"/>
      <c r="AK1007" s="231"/>
      <c r="AL1007" s="232"/>
      <c r="AM1007" s="233"/>
      <c r="AN1007" s="82"/>
      <c r="AO1007" s="234"/>
      <c r="AP1007" s="132"/>
      <c r="AQ1007" s="121"/>
      <c r="AR1007" s="82"/>
      <c r="AS1007" s="234"/>
      <c r="AT1007" s="132"/>
      <c r="AU1007" s="121"/>
      <c r="AV1007" s="82"/>
      <c r="AW1007" s="70"/>
      <c r="AX1007" s="70"/>
    </row>
    <row r="1008">
      <c r="A1008" s="8"/>
      <c r="B1008" s="70"/>
      <c r="C1008" s="70"/>
      <c r="D1008" s="70"/>
      <c r="E1008" s="8"/>
      <c r="F1008" s="70"/>
      <c r="G1008" s="70"/>
      <c r="H1008" s="70"/>
      <c r="I1008" s="8"/>
      <c r="J1008" s="70"/>
      <c r="K1008" s="70"/>
      <c r="L1008" s="70"/>
      <c r="M1008" s="8"/>
      <c r="N1008" s="70"/>
      <c r="O1008" s="70"/>
      <c r="P1008" s="70"/>
      <c r="Q1008" s="8"/>
      <c r="R1008" s="70"/>
      <c r="S1008" s="70"/>
      <c r="T1008" s="70"/>
      <c r="U1008" s="8"/>
      <c r="V1008" s="70"/>
      <c r="W1008" s="70"/>
      <c r="X1008" s="70"/>
      <c r="Y1008" s="200"/>
      <c r="Z1008" s="195"/>
      <c r="AA1008" s="195"/>
      <c r="AB1008" s="195"/>
      <c r="AC1008" s="8"/>
      <c r="AD1008" s="70"/>
      <c r="AE1008" s="70"/>
      <c r="AF1008" s="70"/>
      <c r="AG1008" s="228"/>
      <c r="AH1008" s="229"/>
      <c r="AI1008" s="230"/>
      <c r="AJ1008" s="199"/>
      <c r="AK1008" s="231"/>
      <c r="AL1008" s="232"/>
      <c r="AM1008" s="233"/>
      <c r="AN1008" s="82"/>
      <c r="AO1008" s="234"/>
      <c r="AP1008" s="132"/>
      <c r="AQ1008" s="121"/>
      <c r="AR1008" s="82"/>
      <c r="AS1008" s="234"/>
      <c r="AT1008" s="132"/>
      <c r="AU1008" s="121"/>
      <c r="AV1008" s="82"/>
      <c r="AW1008" s="70"/>
      <c r="AX1008" s="70"/>
    </row>
    <row r="1009">
      <c r="A1009" s="8"/>
      <c r="B1009" s="70"/>
      <c r="C1009" s="70"/>
      <c r="D1009" s="70"/>
      <c r="E1009" s="8"/>
      <c r="F1009" s="70"/>
      <c r="G1009" s="70"/>
      <c r="H1009" s="70"/>
      <c r="I1009" s="8"/>
      <c r="J1009" s="70"/>
      <c r="K1009" s="70"/>
      <c r="L1009" s="70"/>
      <c r="M1009" s="8"/>
      <c r="N1009" s="70"/>
      <c r="O1009" s="70"/>
      <c r="P1009" s="70"/>
      <c r="Q1009" s="8"/>
      <c r="R1009" s="70"/>
      <c r="S1009" s="70"/>
      <c r="T1009" s="70"/>
      <c r="U1009" s="8"/>
      <c r="V1009" s="70"/>
      <c r="W1009" s="70"/>
      <c r="X1009" s="70"/>
      <c r="Y1009" s="200"/>
      <c r="Z1009" s="195"/>
      <c r="AA1009" s="195"/>
      <c r="AB1009" s="195"/>
      <c r="AC1009" s="8"/>
      <c r="AD1009" s="70"/>
      <c r="AE1009" s="70"/>
      <c r="AF1009" s="70"/>
      <c r="AG1009" s="228"/>
      <c r="AH1009" s="229"/>
      <c r="AI1009" s="230"/>
      <c r="AJ1009" s="199"/>
      <c r="AK1009" s="231"/>
      <c r="AL1009" s="232"/>
      <c r="AM1009" s="233"/>
      <c r="AN1009" s="82"/>
      <c r="AO1009" s="234"/>
      <c r="AP1009" s="132"/>
      <c r="AQ1009" s="121"/>
      <c r="AR1009" s="82"/>
      <c r="AS1009" s="234"/>
      <c r="AT1009" s="132"/>
      <c r="AU1009" s="121"/>
      <c r="AV1009" s="82"/>
      <c r="AW1009" s="70"/>
      <c r="AX1009" s="70"/>
    </row>
    <row r="1010">
      <c r="A1010" s="8"/>
      <c r="B1010" s="70"/>
      <c r="C1010" s="70"/>
      <c r="D1010" s="70"/>
      <c r="E1010" s="8"/>
      <c r="F1010" s="70"/>
      <c r="G1010" s="70"/>
      <c r="H1010" s="70"/>
      <c r="I1010" s="8"/>
      <c r="J1010" s="70"/>
      <c r="K1010" s="70"/>
      <c r="L1010" s="70"/>
      <c r="M1010" s="8"/>
      <c r="N1010" s="70"/>
      <c r="O1010" s="70"/>
      <c r="P1010" s="70"/>
      <c r="Q1010" s="8"/>
      <c r="R1010" s="70"/>
      <c r="S1010" s="70"/>
      <c r="T1010" s="70"/>
      <c r="U1010" s="8"/>
      <c r="V1010" s="70"/>
      <c r="W1010" s="70"/>
      <c r="X1010" s="70"/>
      <c r="Y1010" s="200"/>
      <c r="Z1010" s="195"/>
      <c r="AA1010" s="195"/>
      <c r="AB1010" s="195"/>
      <c r="AC1010" s="8"/>
      <c r="AD1010" s="70"/>
      <c r="AE1010" s="70"/>
      <c r="AF1010" s="70"/>
      <c r="AG1010" s="228"/>
      <c r="AH1010" s="229"/>
      <c r="AI1010" s="230"/>
      <c r="AJ1010" s="199"/>
      <c r="AK1010" s="231"/>
      <c r="AL1010" s="232"/>
      <c r="AM1010" s="233"/>
      <c r="AN1010" s="82"/>
      <c r="AO1010" s="234"/>
      <c r="AP1010" s="132"/>
      <c r="AQ1010" s="121"/>
      <c r="AR1010" s="82"/>
      <c r="AS1010" s="234"/>
      <c r="AT1010" s="132"/>
      <c r="AU1010" s="121"/>
      <c r="AV1010" s="82"/>
      <c r="AW1010" s="70"/>
      <c r="AX1010" s="70"/>
    </row>
    <row r="1011">
      <c r="A1011" s="8"/>
      <c r="B1011" s="70"/>
      <c r="C1011" s="70"/>
      <c r="D1011" s="70"/>
      <c r="E1011" s="8"/>
      <c r="F1011" s="70"/>
      <c r="G1011" s="70"/>
      <c r="H1011" s="70"/>
      <c r="I1011" s="8"/>
      <c r="J1011" s="70"/>
      <c r="K1011" s="70"/>
      <c r="L1011" s="70"/>
      <c r="M1011" s="8"/>
      <c r="N1011" s="70"/>
      <c r="O1011" s="70"/>
      <c r="P1011" s="70"/>
      <c r="Q1011" s="8"/>
      <c r="R1011" s="70"/>
      <c r="S1011" s="70"/>
      <c r="T1011" s="70"/>
      <c r="U1011" s="8"/>
      <c r="V1011" s="70"/>
      <c r="W1011" s="70"/>
      <c r="X1011" s="70"/>
      <c r="Y1011" s="200"/>
      <c r="Z1011" s="195"/>
      <c r="AA1011" s="195"/>
      <c r="AB1011" s="195"/>
      <c r="AC1011" s="8"/>
      <c r="AD1011" s="70"/>
      <c r="AE1011" s="70"/>
      <c r="AF1011" s="70"/>
      <c r="AG1011" s="228"/>
      <c r="AH1011" s="229"/>
      <c r="AI1011" s="230"/>
      <c r="AJ1011" s="199"/>
      <c r="AK1011" s="231"/>
      <c r="AL1011" s="232"/>
      <c r="AM1011" s="233"/>
      <c r="AN1011" s="82"/>
      <c r="AO1011" s="234"/>
      <c r="AP1011" s="132"/>
      <c r="AQ1011" s="121"/>
      <c r="AR1011" s="82"/>
      <c r="AS1011" s="234"/>
      <c r="AT1011" s="132"/>
      <c r="AU1011" s="121"/>
      <c r="AV1011" s="82"/>
      <c r="AW1011" s="70"/>
      <c r="AX1011" s="70"/>
    </row>
    <row r="1012">
      <c r="A1012" s="8"/>
      <c r="B1012" s="70"/>
      <c r="C1012" s="70"/>
      <c r="D1012" s="70"/>
      <c r="E1012" s="8"/>
      <c r="F1012" s="70"/>
      <c r="G1012" s="70"/>
      <c r="H1012" s="70"/>
      <c r="I1012" s="8"/>
      <c r="J1012" s="70"/>
      <c r="K1012" s="70"/>
      <c r="L1012" s="70"/>
      <c r="M1012" s="8"/>
      <c r="N1012" s="70"/>
      <c r="O1012" s="70"/>
      <c r="P1012" s="70"/>
      <c r="Q1012" s="8"/>
      <c r="R1012" s="70"/>
      <c r="S1012" s="70"/>
      <c r="T1012" s="70"/>
      <c r="U1012" s="8"/>
      <c r="V1012" s="70"/>
      <c r="W1012" s="70"/>
      <c r="X1012" s="70"/>
      <c r="Y1012" s="200"/>
      <c r="Z1012" s="195"/>
      <c r="AA1012" s="195"/>
      <c r="AB1012" s="195"/>
      <c r="AC1012" s="8"/>
      <c r="AD1012" s="70"/>
      <c r="AE1012" s="70"/>
      <c r="AF1012" s="70"/>
      <c r="AG1012" s="228"/>
      <c r="AH1012" s="229"/>
      <c r="AI1012" s="230"/>
      <c r="AJ1012" s="199"/>
      <c r="AK1012" s="231"/>
      <c r="AL1012" s="232"/>
      <c r="AM1012" s="233"/>
      <c r="AN1012" s="82"/>
      <c r="AO1012" s="234"/>
      <c r="AP1012" s="132"/>
      <c r="AQ1012" s="121"/>
      <c r="AR1012" s="82"/>
      <c r="AS1012" s="234"/>
      <c r="AT1012" s="132"/>
      <c r="AU1012" s="121"/>
      <c r="AV1012" s="82"/>
      <c r="AW1012" s="70"/>
      <c r="AX1012" s="70"/>
    </row>
    <row r="1013">
      <c r="A1013" s="8"/>
      <c r="B1013" s="70"/>
      <c r="C1013" s="70"/>
      <c r="D1013" s="70"/>
      <c r="E1013" s="8"/>
      <c r="F1013" s="70"/>
      <c r="G1013" s="70"/>
      <c r="H1013" s="70"/>
      <c r="I1013" s="8"/>
      <c r="J1013" s="70"/>
      <c r="K1013" s="70"/>
      <c r="L1013" s="70"/>
      <c r="M1013" s="8"/>
      <c r="N1013" s="70"/>
      <c r="O1013" s="70"/>
      <c r="P1013" s="70"/>
      <c r="Q1013" s="8"/>
      <c r="R1013" s="70"/>
      <c r="S1013" s="70"/>
      <c r="T1013" s="70"/>
      <c r="U1013" s="8"/>
      <c r="V1013" s="70"/>
      <c r="W1013" s="70"/>
      <c r="X1013" s="70"/>
      <c r="Y1013" s="200"/>
      <c r="Z1013" s="195"/>
      <c r="AA1013" s="195"/>
      <c r="AB1013" s="195"/>
      <c r="AC1013" s="8"/>
      <c r="AD1013" s="70"/>
      <c r="AE1013" s="70"/>
      <c r="AF1013" s="70"/>
      <c r="AG1013" s="228"/>
      <c r="AH1013" s="229"/>
      <c r="AI1013" s="230"/>
      <c r="AJ1013" s="199"/>
      <c r="AK1013" s="231"/>
      <c r="AL1013" s="232"/>
      <c r="AM1013" s="233"/>
      <c r="AN1013" s="82"/>
      <c r="AO1013" s="234"/>
      <c r="AP1013" s="132"/>
      <c r="AQ1013" s="121"/>
      <c r="AR1013" s="82"/>
      <c r="AS1013" s="234"/>
      <c r="AT1013" s="132"/>
      <c r="AU1013" s="121"/>
      <c r="AV1013" s="82"/>
      <c r="AW1013" s="70"/>
      <c r="AX1013" s="70"/>
    </row>
    <row r="1014">
      <c r="A1014" s="8"/>
      <c r="B1014" s="70"/>
      <c r="C1014" s="70"/>
      <c r="D1014" s="70"/>
      <c r="E1014" s="8"/>
      <c r="F1014" s="70"/>
      <c r="G1014" s="70"/>
      <c r="H1014" s="70"/>
      <c r="I1014" s="8"/>
      <c r="J1014" s="70"/>
      <c r="K1014" s="70"/>
      <c r="L1014" s="70"/>
      <c r="M1014" s="8"/>
      <c r="N1014" s="70"/>
      <c r="O1014" s="70"/>
      <c r="P1014" s="70"/>
      <c r="Q1014" s="8"/>
      <c r="R1014" s="70"/>
      <c r="S1014" s="70"/>
      <c r="T1014" s="70"/>
      <c r="U1014" s="8"/>
      <c r="V1014" s="70"/>
      <c r="W1014" s="70"/>
      <c r="X1014" s="70"/>
      <c r="Y1014" s="200"/>
      <c r="Z1014" s="195"/>
      <c r="AA1014" s="195"/>
      <c r="AB1014" s="195"/>
      <c r="AC1014" s="8"/>
      <c r="AD1014" s="70"/>
      <c r="AE1014" s="70"/>
      <c r="AF1014" s="70"/>
      <c r="AG1014" s="228"/>
      <c r="AH1014" s="229"/>
      <c r="AI1014" s="230"/>
      <c r="AJ1014" s="199"/>
      <c r="AK1014" s="231"/>
      <c r="AL1014" s="232"/>
      <c r="AM1014" s="233"/>
      <c r="AN1014" s="82"/>
      <c r="AO1014" s="234"/>
      <c r="AP1014" s="132"/>
      <c r="AQ1014" s="121"/>
      <c r="AR1014" s="82"/>
      <c r="AS1014" s="234"/>
      <c r="AT1014" s="132"/>
      <c r="AU1014" s="121"/>
      <c r="AV1014" s="82"/>
      <c r="AW1014" s="70"/>
      <c r="AX1014" s="70"/>
    </row>
    <row r="1015">
      <c r="A1015" s="196"/>
      <c r="B1015" s="132"/>
      <c r="C1015" s="121"/>
      <c r="D1015" s="82"/>
      <c r="E1015" s="196"/>
      <c r="F1015" s="132"/>
      <c r="G1015" s="121"/>
      <c r="H1015" s="82"/>
      <c r="I1015" s="196"/>
      <c r="J1015" s="132"/>
      <c r="K1015" s="121"/>
      <c r="L1015" s="82"/>
      <c r="M1015" s="196"/>
      <c r="N1015" s="132"/>
      <c r="O1015" s="121"/>
      <c r="P1015" s="82"/>
      <c r="Q1015" s="8"/>
      <c r="R1015" s="70"/>
      <c r="S1015" s="70"/>
      <c r="T1015" s="70"/>
      <c r="U1015" s="8"/>
      <c r="V1015" s="70"/>
      <c r="W1015" s="70"/>
      <c r="X1015" s="70"/>
      <c r="Y1015" s="235"/>
      <c r="Z1015" s="195"/>
      <c r="AA1015" s="195"/>
      <c r="AB1015" s="195"/>
      <c r="AC1015" s="196"/>
      <c r="AD1015" s="70"/>
      <c r="AE1015" s="236"/>
      <c r="AF1015" s="236"/>
      <c r="AG1015" s="228"/>
      <c r="AH1015" s="229"/>
      <c r="AI1015" s="230"/>
      <c r="AJ1015" s="199"/>
      <c r="AK1015" s="231"/>
      <c r="AL1015" s="232"/>
      <c r="AM1015" s="233"/>
      <c r="AN1015" s="82"/>
      <c r="AO1015" s="234"/>
      <c r="AP1015" s="132"/>
      <c r="AQ1015" s="121"/>
      <c r="AR1015" s="82"/>
      <c r="AS1015" s="234"/>
      <c r="AT1015" s="132"/>
      <c r="AU1015" s="121"/>
      <c r="AV1015" s="82"/>
      <c r="AW1015" s="82"/>
      <c r="AX1015" s="82"/>
    </row>
    <row r="1016">
      <c r="A1016" s="196"/>
      <c r="B1016" s="132"/>
      <c r="C1016" s="121"/>
      <c r="D1016" s="82"/>
      <c r="E1016" s="196"/>
      <c r="F1016" s="132"/>
      <c r="G1016" s="121"/>
      <c r="H1016" s="82"/>
      <c r="I1016" s="196"/>
      <c r="J1016" s="132"/>
      <c r="K1016" s="121"/>
      <c r="L1016" s="82"/>
      <c r="M1016" s="196"/>
      <c r="N1016" s="132"/>
      <c r="O1016" s="121"/>
      <c r="P1016" s="82"/>
      <c r="Q1016" s="8"/>
      <c r="R1016" s="70"/>
      <c r="S1016" s="70"/>
      <c r="T1016" s="70"/>
      <c r="U1016" s="8"/>
      <c r="V1016" s="70"/>
      <c r="W1016" s="70"/>
      <c r="X1016" s="70"/>
      <c r="Y1016" s="235"/>
      <c r="Z1016" s="195"/>
      <c r="AA1016" s="195"/>
      <c r="AB1016" s="195"/>
      <c r="AC1016" s="196"/>
      <c r="AD1016" s="70"/>
      <c r="AE1016" s="236"/>
      <c r="AF1016" s="236"/>
      <c r="AG1016" s="228"/>
      <c r="AH1016" s="229"/>
      <c r="AI1016" s="230"/>
      <c r="AJ1016" s="199"/>
      <c r="AK1016" s="231"/>
      <c r="AL1016" s="232"/>
      <c r="AM1016" s="233"/>
      <c r="AN1016" s="82"/>
      <c r="AO1016" s="234"/>
      <c r="AP1016" s="132"/>
      <c r="AQ1016" s="121"/>
      <c r="AR1016" s="82"/>
      <c r="AS1016" s="234"/>
      <c r="AT1016" s="132"/>
      <c r="AU1016" s="121"/>
      <c r="AV1016" s="82"/>
      <c r="AW1016" s="82"/>
      <c r="AX1016" s="82"/>
    </row>
    <row r="1017">
      <c r="A1017" s="196"/>
      <c r="B1017" s="132"/>
      <c r="C1017" s="121"/>
      <c r="D1017" s="82"/>
      <c r="E1017" s="196"/>
      <c r="F1017" s="132"/>
      <c r="G1017" s="121"/>
      <c r="H1017" s="82"/>
      <c r="I1017" s="196"/>
      <c r="J1017" s="132"/>
      <c r="K1017" s="121"/>
      <c r="L1017" s="82"/>
      <c r="M1017" s="196"/>
      <c r="N1017" s="132"/>
      <c r="O1017" s="121"/>
      <c r="P1017" s="82"/>
      <c r="Q1017" s="8"/>
      <c r="R1017" s="70"/>
      <c r="S1017" s="70"/>
      <c r="T1017" s="70"/>
      <c r="U1017" s="8"/>
      <c r="V1017" s="70"/>
      <c r="W1017" s="70"/>
      <c r="X1017" s="70"/>
      <c r="Y1017" s="235"/>
      <c r="Z1017" s="195"/>
      <c r="AA1017" s="195"/>
      <c r="AB1017" s="195"/>
      <c r="AC1017" s="196"/>
      <c r="AD1017" s="70"/>
      <c r="AE1017" s="236"/>
      <c r="AF1017" s="236"/>
      <c r="AG1017" s="228"/>
      <c r="AH1017" s="229"/>
      <c r="AI1017" s="230"/>
      <c r="AJ1017" s="199"/>
      <c r="AK1017" s="231"/>
      <c r="AL1017" s="232"/>
      <c r="AM1017" s="233"/>
      <c r="AN1017" s="82"/>
      <c r="AO1017" s="234"/>
      <c r="AP1017" s="132"/>
      <c r="AQ1017" s="121"/>
      <c r="AR1017" s="82"/>
      <c r="AS1017" s="234"/>
      <c r="AT1017" s="132"/>
      <c r="AU1017" s="121"/>
      <c r="AV1017" s="82"/>
      <c r="AW1017" s="82"/>
      <c r="AX1017" s="82"/>
    </row>
    <row r="1018">
      <c r="A1018" s="196"/>
      <c r="B1018" s="132"/>
      <c r="C1018" s="121"/>
      <c r="D1018" s="82"/>
      <c r="E1018" s="196"/>
      <c r="F1018" s="132"/>
      <c r="G1018" s="121"/>
      <c r="H1018" s="82"/>
      <c r="I1018" s="196"/>
      <c r="J1018" s="132"/>
      <c r="K1018" s="121"/>
      <c r="L1018" s="82"/>
      <c r="M1018" s="196"/>
      <c r="N1018" s="132"/>
      <c r="O1018" s="121"/>
      <c r="P1018" s="82"/>
      <c r="Q1018" s="8"/>
      <c r="R1018" s="70"/>
      <c r="S1018" s="70"/>
      <c r="T1018" s="70"/>
      <c r="U1018" s="8"/>
      <c r="V1018" s="70"/>
      <c r="W1018" s="70"/>
      <c r="X1018" s="70"/>
      <c r="Y1018" s="235"/>
      <c r="Z1018" s="195"/>
      <c r="AA1018" s="195"/>
      <c r="AB1018" s="195"/>
      <c r="AC1018" s="196"/>
      <c r="AD1018" s="70"/>
      <c r="AE1018" s="236"/>
      <c r="AF1018" s="236"/>
      <c r="AG1018" s="228"/>
      <c r="AH1018" s="229"/>
      <c r="AI1018" s="230"/>
      <c r="AJ1018" s="199"/>
      <c r="AK1018" s="231"/>
      <c r="AL1018" s="232"/>
      <c r="AM1018" s="233"/>
      <c r="AN1018" s="82"/>
      <c r="AO1018" s="234"/>
      <c r="AP1018" s="132"/>
      <c r="AQ1018" s="121"/>
      <c r="AR1018" s="82"/>
      <c r="AS1018" s="234"/>
      <c r="AT1018" s="132"/>
      <c r="AU1018" s="121"/>
      <c r="AV1018" s="82"/>
      <c r="AW1018" s="82"/>
      <c r="AX1018" s="82"/>
    </row>
    <row r="1019">
      <c r="A1019" s="196"/>
      <c r="B1019" s="132"/>
      <c r="C1019" s="121"/>
      <c r="D1019" s="82"/>
      <c r="E1019" s="196"/>
      <c r="F1019" s="132"/>
      <c r="G1019" s="121"/>
      <c r="H1019" s="82"/>
      <c r="I1019" s="196"/>
      <c r="J1019" s="132"/>
      <c r="K1019" s="121"/>
      <c r="L1019" s="82"/>
      <c r="M1019" s="196"/>
      <c r="N1019" s="132"/>
      <c r="O1019" s="121"/>
      <c r="P1019" s="82"/>
      <c r="Q1019" s="8"/>
      <c r="R1019" s="70"/>
      <c r="S1019" s="70"/>
      <c r="T1019" s="70"/>
      <c r="U1019" s="8"/>
      <c r="V1019" s="70"/>
      <c r="W1019" s="70"/>
      <c r="X1019" s="70"/>
      <c r="Y1019" s="235"/>
      <c r="Z1019" s="195"/>
      <c r="AA1019" s="195"/>
      <c r="AB1019" s="195"/>
      <c r="AC1019" s="196"/>
      <c r="AD1019" s="70"/>
      <c r="AE1019" s="236"/>
      <c r="AF1019" s="236"/>
      <c r="AG1019" s="228"/>
      <c r="AH1019" s="229"/>
      <c r="AI1019" s="230"/>
      <c r="AJ1019" s="199"/>
      <c r="AK1019" s="231"/>
      <c r="AL1019" s="232"/>
      <c r="AM1019" s="233"/>
      <c r="AN1019" s="82"/>
      <c r="AO1019" s="234"/>
      <c r="AP1019" s="132"/>
      <c r="AQ1019" s="121"/>
      <c r="AR1019" s="82"/>
      <c r="AS1019" s="234"/>
      <c r="AT1019" s="132"/>
      <c r="AU1019" s="121"/>
      <c r="AV1019" s="82"/>
      <c r="AW1019" s="82"/>
      <c r="AX1019" s="82"/>
    </row>
    <row r="1020">
      <c r="A1020" s="196"/>
      <c r="B1020" s="132"/>
      <c r="C1020" s="121"/>
      <c r="D1020" s="82"/>
      <c r="E1020" s="196"/>
      <c r="F1020" s="132"/>
      <c r="G1020" s="121"/>
      <c r="H1020" s="82"/>
      <c r="I1020" s="196"/>
      <c r="J1020" s="132"/>
      <c r="K1020" s="121"/>
      <c r="L1020" s="82"/>
      <c r="M1020" s="196"/>
      <c r="N1020" s="132"/>
      <c r="O1020" s="121"/>
      <c r="P1020" s="82"/>
      <c r="Q1020" s="8"/>
      <c r="R1020" s="70"/>
      <c r="S1020" s="70"/>
      <c r="T1020" s="70"/>
      <c r="U1020" s="8"/>
      <c r="V1020" s="70"/>
      <c r="W1020" s="70"/>
      <c r="X1020" s="70"/>
      <c r="Y1020" s="235"/>
      <c r="Z1020" s="195"/>
      <c r="AA1020" s="195"/>
      <c r="AB1020" s="195"/>
      <c r="AC1020" s="196"/>
      <c r="AD1020" s="70"/>
      <c r="AE1020" s="236"/>
      <c r="AF1020" s="236"/>
      <c r="AG1020" s="228"/>
      <c r="AH1020" s="229"/>
      <c r="AI1020" s="230"/>
      <c r="AJ1020" s="199"/>
      <c r="AK1020" s="231"/>
      <c r="AL1020" s="232"/>
      <c r="AM1020" s="233"/>
      <c r="AN1020" s="82"/>
      <c r="AO1020" s="234"/>
      <c r="AP1020" s="132"/>
      <c r="AQ1020" s="121"/>
      <c r="AR1020" s="82"/>
      <c r="AS1020" s="234"/>
      <c r="AT1020" s="132"/>
      <c r="AU1020" s="121"/>
      <c r="AV1020" s="82"/>
      <c r="AW1020" s="82"/>
      <c r="AX1020" s="82"/>
    </row>
    <row r="1021">
      <c r="A1021" s="196"/>
      <c r="B1021" s="132"/>
      <c r="C1021" s="121"/>
      <c r="D1021" s="82"/>
      <c r="E1021" s="196"/>
      <c r="F1021" s="132"/>
      <c r="G1021" s="121"/>
      <c r="H1021" s="82"/>
      <c r="I1021" s="196"/>
      <c r="J1021" s="132"/>
      <c r="K1021" s="121"/>
      <c r="L1021" s="82"/>
      <c r="M1021" s="196"/>
      <c r="N1021" s="132"/>
      <c r="O1021" s="121"/>
      <c r="P1021" s="82"/>
      <c r="Q1021" s="8"/>
      <c r="R1021" s="70"/>
      <c r="S1021" s="70"/>
      <c r="T1021" s="70"/>
      <c r="U1021" s="8"/>
      <c r="V1021" s="70"/>
      <c r="W1021" s="70"/>
      <c r="X1021" s="70"/>
      <c r="Y1021" s="235"/>
      <c r="Z1021" s="195"/>
      <c r="AA1021" s="195"/>
      <c r="AB1021" s="195"/>
      <c r="AC1021" s="196"/>
      <c r="AD1021" s="70"/>
      <c r="AE1021" s="236"/>
      <c r="AF1021" s="236"/>
      <c r="AG1021" s="228"/>
      <c r="AH1021" s="229"/>
      <c r="AI1021" s="230"/>
      <c r="AJ1021" s="199"/>
      <c r="AK1021" s="231"/>
      <c r="AL1021" s="232"/>
      <c r="AM1021" s="233"/>
      <c r="AN1021" s="82"/>
      <c r="AO1021" s="234"/>
      <c r="AP1021" s="132"/>
      <c r="AQ1021" s="121"/>
      <c r="AR1021" s="82"/>
      <c r="AS1021" s="234"/>
      <c r="AT1021" s="132"/>
      <c r="AU1021" s="121"/>
      <c r="AV1021" s="82"/>
      <c r="AW1021" s="82"/>
      <c r="AX1021" s="82"/>
    </row>
    <row r="1022">
      <c r="A1022" s="196"/>
      <c r="B1022" s="132"/>
      <c r="C1022" s="121"/>
      <c r="D1022" s="82"/>
      <c r="E1022" s="196"/>
      <c r="F1022" s="132"/>
      <c r="G1022" s="121"/>
      <c r="H1022" s="82"/>
      <c r="I1022" s="196"/>
      <c r="J1022" s="132"/>
      <c r="K1022" s="121"/>
      <c r="L1022" s="82"/>
      <c r="M1022" s="196"/>
      <c r="N1022" s="132"/>
      <c r="O1022" s="121"/>
      <c r="P1022" s="82"/>
      <c r="Q1022" s="8"/>
      <c r="R1022" s="70"/>
      <c r="S1022" s="70"/>
      <c r="T1022" s="70"/>
      <c r="U1022" s="8"/>
      <c r="V1022" s="70"/>
      <c r="W1022" s="70"/>
      <c r="X1022" s="70"/>
      <c r="Y1022" s="235"/>
      <c r="Z1022" s="195"/>
      <c r="AA1022" s="195"/>
      <c r="AB1022" s="195"/>
      <c r="AC1022" s="196"/>
      <c r="AD1022" s="70"/>
      <c r="AE1022" s="236"/>
      <c r="AF1022" s="236"/>
      <c r="AG1022" s="228"/>
      <c r="AH1022" s="229"/>
      <c r="AI1022" s="230"/>
      <c r="AJ1022" s="199"/>
      <c r="AK1022" s="231"/>
      <c r="AL1022" s="232"/>
      <c r="AM1022" s="233"/>
      <c r="AN1022" s="82"/>
      <c r="AO1022" s="234"/>
      <c r="AP1022" s="132"/>
      <c r="AQ1022" s="121"/>
      <c r="AR1022" s="82"/>
      <c r="AS1022" s="234"/>
      <c r="AT1022" s="132"/>
      <c r="AU1022" s="121"/>
      <c r="AV1022" s="82"/>
      <c r="AW1022" s="82"/>
      <c r="AX1022" s="82"/>
    </row>
    <row r="1023">
      <c r="A1023" s="196"/>
      <c r="B1023" s="132"/>
      <c r="C1023" s="121"/>
      <c r="D1023" s="82"/>
      <c r="E1023" s="196"/>
      <c r="F1023" s="132"/>
      <c r="G1023" s="121"/>
      <c r="H1023" s="82"/>
      <c r="I1023" s="196"/>
      <c r="J1023" s="132"/>
      <c r="K1023" s="121"/>
      <c r="L1023" s="82"/>
      <c r="M1023" s="196"/>
      <c r="N1023" s="132"/>
      <c r="O1023" s="121"/>
      <c r="P1023" s="82"/>
      <c r="Q1023" s="8"/>
      <c r="R1023" s="70"/>
      <c r="S1023" s="70"/>
      <c r="T1023" s="70"/>
      <c r="U1023" s="8"/>
      <c r="V1023" s="70"/>
      <c r="W1023" s="70"/>
      <c r="X1023" s="70"/>
      <c r="Y1023" s="235"/>
      <c r="Z1023" s="195"/>
      <c r="AA1023" s="195"/>
      <c r="AB1023" s="195"/>
      <c r="AC1023" s="196"/>
      <c r="AD1023" s="70"/>
      <c r="AE1023" s="236"/>
      <c r="AF1023" s="236"/>
      <c r="AG1023" s="228"/>
      <c r="AH1023" s="229"/>
      <c r="AI1023" s="230"/>
      <c r="AJ1023" s="199"/>
      <c r="AK1023" s="231"/>
      <c r="AL1023" s="232"/>
      <c r="AM1023" s="233"/>
      <c r="AN1023" s="82"/>
      <c r="AO1023" s="234"/>
      <c r="AP1023" s="132"/>
      <c r="AQ1023" s="121"/>
      <c r="AR1023" s="82"/>
      <c r="AS1023" s="234"/>
      <c r="AT1023" s="132"/>
      <c r="AU1023" s="121"/>
      <c r="AV1023" s="82"/>
      <c r="AW1023" s="82"/>
      <c r="AX1023" s="82"/>
    </row>
    <row r="1024">
      <c r="A1024" s="196"/>
      <c r="B1024" s="132"/>
      <c r="C1024" s="121"/>
      <c r="D1024" s="82"/>
      <c r="E1024" s="196"/>
      <c r="F1024" s="132"/>
      <c r="G1024" s="121"/>
      <c r="H1024" s="82"/>
      <c r="I1024" s="196"/>
      <c r="J1024" s="132"/>
      <c r="K1024" s="121"/>
      <c r="L1024" s="82"/>
      <c r="M1024" s="196"/>
      <c r="N1024" s="132"/>
      <c r="O1024" s="121"/>
      <c r="P1024" s="82"/>
      <c r="Q1024" s="8"/>
      <c r="R1024" s="70"/>
      <c r="S1024" s="70"/>
      <c r="T1024" s="70"/>
      <c r="U1024" s="8"/>
      <c r="V1024" s="70"/>
      <c r="W1024" s="70"/>
      <c r="X1024" s="70"/>
      <c r="Y1024" s="235"/>
      <c r="Z1024" s="195"/>
      <c r="AA1024" s="195"/>
      <c r="AB1024" s="195"/>
      <c r="AC1024" s="196"/>
      <c r="AD1024" s="70"/>
      <c r="AE1024" s="236"/>
      <c r="AF1024" s="236"/>
      <c r="AG1024" s="228"/>
      <c r="AH1024" s="229"/>
      <c r="AI1024" s="230"/>
      <c r="AJ1024" s="199"/>
      <c r="AK1024" s="231"/>
      <c r="AL1024" s="232"/>
      <c r="AM1024" s="233"/>
      <c r="AN1024" s="82"/>
      <c r="AO1024" s="234"/>
      <c r="AP1024" s="132"/>
      <c r="AQ1024" s="121"/>
      <c r="AR1024" s="82"/>
      <c r="AS1024" s="234"/>
      <c r="AT1024" s="132"/>
      <c r="AU1024" s="121"/>
      <c r="AV1024" s="82"/>
      <c r="AW1024" s="82"/>
      <c r="AX1024" s="82"/>
    </row>
    <row r="1025">
      <c r="A1025" s="196"/>
      <c r="B1025" s="132"/>
      <c r="C1025" s="121"/>
      <c r="D1025" s="82"/>
      <c r="E1025" s="196"/>
      <c r="F1025" s="132"/>
      <c r="G1025" s="121"/>
      <c r="H1025" s="82"/>
      <c r="I1025" s="196"/>
      <c r="J1025" s="132"/>
      <c r="K1025" s="121"/>
      <c r="L1025" s="82"/>
      <c r="M1025" s="196"/>
      <c r="N1025" s="132"/>
      <c r="O1025" s="121"/>
      <c r="P1025" s="82"/>
      <c r="Q1025" s="8"/>
      <c r="R1025" s="70"/>
      <c r="S1025" s="70"/>
      <c r="T1025" s="70"/>
      <c r="U1025" s="8"/>
      <c r="V1025" s="70"/>
      <c r="W1025" s="70"/>
      <c r="X1025" s="70"/>
      <c r="Y1025" s="235"/>
      <c r="Z1025" s="195"/>
      <c r="AA1025" s="195"/>
      <c r="AB1025" s="195"/>
      <c r="AC1025" s="196"/>
      <c r="AD1025" s="70"/>
      <c r="AE1025" s="236"/>
      <c r="AF1025" s="236"/>
      <c r="AG1025" s="228"/>
      <c r="AH1025" s="229"/>
      <c r="AI1025" s="230"/>
      <c r="AJ1025" s="199"/>
      <c r="AK1025" s="231"/>
      <c r="AL1025" s="232"/>
      <c r="AM1025" s="233"/>
      <c r="AN1025" s="82"/>
      <c r="AO1025" s="234"/>
      <c r="AP1025" s="132"/>
      <c r="AQ1025" s="121"/>
      <c r="AR1025" s="82"/>
      <c r="AS1025" s="234"/>
      <c r="AT1025" s="132"/>
      <c r="AU1025" s="121"/>
      <c r="AV1025" s="82"/>
      <c r="AW1025" s="82"/>
      <c r="AX1025" s="82"/>
    </row>
    <row r="1026">
      <c r="A1026" s="196"/>
      <c r="B1026" s="132"/>
      <c r="C1026" s="121"/>
      <c r="D1026" s="82"/>
      <c r="E1026" s="196"/>
      <c r="F1026" s="132"/>
      <c r="G1026" s="121"/>
      <c r="H1026" s="82"/>
      <c r="I1026" s="196"/>
      <c r="J1026" s="132"/>
      <c r="K1026" s="121"/>
      <c r="L1026" s="82"/>
      <c r="M1026" s="196"/>
      <c r="N1026" s="132"/>
      <c r="O1026" s="121"/>
      <c r="P1026" s="82"/>
      <c r="Q1026" s="8"/>
      <c r="R1026" s="70"/>
      <c r="S1026" s="70"/>
      <c r="T1026" s="70"/>
      <c r="U1026" s="8"/>
      <c r="V1026" s="70"/>
      <c r="W1026" s="70"/>
      <c r="X1026" s="70"/>
      <c r="Y1026" s="235"/>
      <c r="Z1026" s="195"/>
      <c r="AA1026" s="195"/>
      <c r="AB1026" s="195"/>
      <c r="AC1026" s="196"/>
      <c r="AD1026" s="70"/>
      <c r="AE1026" s="236"/>
      <c r="AF1026" s="236"/>
      <c r="AG1026" s="228"/>
      <c r="AH1026" s="229"/>
      <c r="AI1026" s="230"/>
      <c r="AJ1026" s="199"/>
      <c r="AK1026" s="231"/>
      <c r="AL1026" s="232"/>
      <c r="AM1026" s="233"/>
      <c r="AN1026" s="82"/>
      <c r="AO1026" s="234"/>
      <c r="AP1026" s="132"/>
      <c r="AQ1026" s="121"/>
      <c r="AR1026" s="82"/>
      <c r="AS1026" s="234"/>
      <c r="AT1026" s="132"/>
      <c r="AU1026" s="121"/>
      <c r="AV1026" s="82"/>
      <c r="AW1026" s="82"/>
      <c r="AX1026" s="82"/>
    </row>
    <row r="1027">
      <c r="A1027" s="196"/>
      <c r="B1027" s="132"/>
      <c r="C1027" s="121"/>
      <c r="D1027" s="82"/>
      <c r="E1027" s="196"/>
      <c r="F1027" s="132"/>
      <c r="G1027" s="121"/>
      <c r="H1027" s="82"/>
      <c r="I1027" s="196"/>
      <c r="J1027" s="132"/>
      <c r="K1027" s="121"/>
      <c r="L1027" s="82"/>
      <c r="M1027" s="196"/>
      <c r="N1027" s="132"/>
      <c r="O1027" s="121"/>
      <c r="P1027" s="82"/>
      <c r="Q1027" s="8"/>
      <c r="R1027" s="70"/>
      <c r="S1027" s="70"/>
      <c r="T1027" s="70"/>
      <c r="U1027" s="8"/>
      <c r="V1027" s="70"/>
      <c r="W1027" s="70"/>
      <c r="X1027" s="70"/>
      <c r="Y1027" s="235"/>
      <c r="Z1027" s="195"/>
      <c r="AA1027" s="195"/>
      <c r="AB1027" s="195"/>
      <c r="AC1027" s="196"/>
      <c r="AD1027" s="70"/>
      <c r="AE1027" s="236"/>
      <c r="AF1027" s="236"/>
      <c r="AG1027" s="228"/>
      <c r="AH1027" s="229"/>
      <c r="AI1027" s="230"/>
      <c r="AJ1027" s="199"/>
      <c r="AK1027" s="231"/>
      <c r="AL1027" s="232"/>
      <c r="AM1027" s="233"/>
      <c r="AN1027" s="82"/>
      <c r="AO1027" s="234"/>
      <c r="AP1027" s="132"/>
      <c r="AQ1027" s="121"/>
      <c r="AR1027" s="82"/>
      <c r="AS1027" s="234"/>
      <c r="AT1027" s="132"/>
      <c r="AU1027" s="121"/>
      <c r="AV1027" s="82"/>
      <c r="AW1027" s="82"/>
      <c r="AX1027" s="82"/>
    </row>
    <row r="1028">
      <c r="A1028" s="196"/>
      <c r="B1028" s="132"/>
      <c r="C1028" s="121"/>
      <c r="D1028" s="82"/>
      <c r="E1028" s="196"/>
      <c r="F1028" s="132"/>
      <c r="G1028" s="121"/>
      <c r="H1028" s="82"/>
      <c r="I1028" s="196"/>
      <c r="J1028" s="132"/>
      <c r="K1028" s="121"/>
      <c r="L1028" s="82"/>
      <c r="M1028" s="196"/>
      <c r="N1028" s="132"/>
      <c r="O1028" s="121"/>
      <c r="P1028" s="82"/>
      <c r="Q1028" s="8"/>
      <c r="R1028" s="70"/>
      <c r="S1028" s="70"/>
      <c r="T1028" s="70"/>
      <c r="U1028" s="8"/>
      <c r="V1028" s="70"/>
      <c r="W1028" s="70"/>
      <c r="X1028" s="70"/>
      <c r="Y1028" s="235"/>
      <c r="Z1028" s="195"/>
      <c r="AA1028" s="195"/>
      <c r="AB1028" s="195"/>
      <c r="AC1028" s="196"/>
      <c r="AD1028" s="70"/>
      <c r="AE1028" s="236"/>
      <c r="AF1028" s="236"/>
      <c r="AG1028" s="228"/>
      <c r="AH1028" s="229"/>
      <c r="AI1028" s="230"/>
      <c r="AJ1028" s="199"/>
      <c r="AK1028" s="231"/>
      <c r="AL1028" s="232"/>
      <c r="AM1028" s="233"/>
      <c r="AN1028" s="82"/>
      <c r="AO1028" s="234"/>
      <c r="AP1028" s="132"/>
      <c r="AQ1028" s="121"/>
      <c r="AR1028" s="82"/>
      <c r="AS1028" s="234"/>
      <c r="AT1028" s="132"/>
      <c r="AU1028" s="121"/>
      <c r="AV1028" s="82"/>
      <c r="AW1028" s="82"/>
      <c r="AX1028" s="82"/>
    </row>
    <row r="1029">
      <c r="A1029" s="196"/>
      <c r="B1029" s="132"/>
      <c r="C1029" s="121"/>
      <c r="D1029" s="82"/>
      <c r="E1029" s="196"/>
      <c r="F1029" s="132"/>
      <c r="G1029" s="121"/>
      <c r="H1029" s="82"/>
      <c r="I1029" s="196"/>
      <c r="J1029" s="132"/>
      <c r="K1029" s="121"/>
      <c r="L1029" s="82"/>
      <c r="M1029" s="196"/>
      <c r="N1029" s="132"/>
      <c r="O1029" s="121"/>
      <c r="P1029" s="82"/>
      <c r="Q1029" s="8"/>
      <c r="R1029" s="70"/>
      <c r="S1029" s="70"/>
      <c r="T1029" s="70"/>
      <c r="U1029" s="8"/>
      <c r="V1029" s="70"/>
      <c r="W1029" s="70"/>
      <c r="X1029" s="70"/>
      <c r="Y1029" s="235"/>
      <c r="Z1029" s="195"/>
      <c r="AA1029" s="195"/>
      <c r="AB1029" s="195"/>
      <c r="AC1029" s="196"/>
      <c r="AD1029" s="70"/>
      <c r="AE1029" s="236"/>
      <c r="AF1029" s="236"/>
      <c r="AG1029" s="228"/>
      <c r="AH1029" s="229"/>
      <c r="AI1029" s="230"/>
      <c r="AJ1029" s="199"/>
      <c r="AK1029" s="231"/>
      <c r="AL1029" s="232"/>
      <c r="AM1029" s="233"/>
      <c r="AN1029" s="82"/>
      <c r="AO1029" s="234"/>
      <c r="AP1029" s="132"/>
      <c r="AQ1029" s="121"/>
      <c r="AR1029" s="82"/>
      <c r="AS1029" s="234"/>
      <c r="AT1029" s="132"/>
      <c r="AU1029" s="121"/>
      <c r="AV1029" s="82"/>
      <c r="AW1029" s="82"/>
      <c r="AX1029" s="82"/>
    </row>
    <row r="1030">
      <c r="A1030" s="196"/>
      <c r="B1030" s="132"/>
      <c r="C1030" s="121"/>
      <c r="D1030" s="82"/>
      <c r="E1030" s="196"/>
      <c r="F1030" s="132"/>
      <c r="G1030" s="121"/>
      <c r="H1030" s="82"/>
      <c r="I1030" s="196"/>
      <c r="J1030" s="132"/>
      <c r="K1030" s="121"/>
      <c r="L1030" s="82"/>
      <c r="M1030" s="196"/>
      <c r="N1030" s="132"/>
      <c r="O1030" s="121"/>
      <c r="P1030" s="82"/>
      <c r="Q1030" s="8"/>
      <c r="R1030" s="70"/>
      <c r="S1030" s="70"/>
      <c r="T1030" s="70"/>
      <c r="U1030" s="8"/>
      <c r="V1030" s="70"/>
      <c r="W1030" s="70"/>
      <c r="X1030" s="70"/>
      <c r="Y1030" s="235"/>
      <c r="Z1030" s="195"/>
      <c r="AA1030" s="195"/>
      <c r="AB1030" s="195"/>
      <c r="AC1030" s="196"/>
      <c r="AD1030" s="70"/>
      <c r="AE1030" s="236"/>
      <c r="AF1030" s="236"/>
      <c r="AG1030" s="228"/>
      <c r="AH1030" s="229"/>
      <c r="AI1030" s="230"/>
      <c r="AJ1030" s="199"/>
      <c r="AK1030" s="231"/>
      <c r="AL1030" s="232"/>
      <c r="AM1030" s="233"/>
      <c r="AN1030" s="82"/>
      <c r="AO1030" s="234"/>
      <c r="AP1030" s="132"/>
      <c r="AQ1030" s="121"/>
      <c r="AR1030" s="82"/>
      <c r="AS1030" s="234"/>
      <c r="AT1030" s="132"/>
      <c r="AU1030" s="121"/>
      <c r="AV1030" s="82"/>
      <c r="AW1030" s="82"/>
      <c r="AX1030" s="82"/>
    </row>
    <row r="1031">
      <c r="A1031" s="196"/>
      <c r="B1031" s="132"/>
      <c r="C1031" s="121"/>
      <c r="D1031" s="82"/>
      <c r="E1031" s="196"/>
      <c r="F1031" s="132"/>
      <c r="G1031" s="121"/>
      <c r="H1031" s="82"/>
      <c r="I1031" s="196"/>
      <c r="J1031" s="132"/>
      <c r="K1031" s="121"/>
      <c r="L1031" s="82"/>
      <c r="M1031" s="196"/>
      <c r="N1031" s="132"/>
      <c r="O1031" s="121"/>
      <c r="P1031" s="82"/>
      <c r="Q1031" s="8"/>
      <c r="R1031" s="70"/>
      <c r="S1031" s="70"/>
      <c r="T1031" s="70"/>
      <c r="U1031" s="8"/>
      <c r="V1031" s="70"/>
      <c r="W1031" s="70"/>
      <c r="X1031" s="70"/>
      <c r="Y1031" s="235"/>
      <c r="Z1031" s="195"/>
      <c r="AA1031" s="195"/>
      <c r="AB1031" s="195"/>
      <c r="AC1031" s="196"/>
      <c r="AD1031" s="70"/>
      <c r="AE1031" s="236"/>
      <c r="AF1031" s="236"/>
      <c r="AG1031" s="228"/>
      <c r="AH1031" s="229"/>
      <c r="AI1031" s="230"/>
      <c r="AJ1031" s="199"/>
      <c r="AK1031" s="231"/>
      <c r="AL1031" s="232"/>
      <c r="AM1031" s="233"/>
      <c r="AN1031" s="82"/>
      <c r="AO1031" s="234"/>
      <c r="AP1031" s="132"/>
      <c r="AQ1031" s="121"/>
      <c r="AR1031" s="82"/>
      <c r="AS1031" s="234"/>
      <c r="AT1031" s="132"/>
      <c r="AU1031" s="121"/>
      <c r="AV1031" s="82"/>
      <c r="AW1031" s="82"/>
      <c r="AX1031" s="82"/>
    </row>
    <row r="1032">
      <c r="A1032" s="196"/>
      <c r="B1032" s="132"/>
      <c r="C1032" s="121"/>
      <c r="D1032" s="82"/>
      <c r="E1032" s="196"/>
      <c r="F1032" s="132"/>
      <c r="G1032" s="121"/>
      <c r="H1032" s="82"/>
      <c r="I1032" s="196"/>
      <c r="J1032" s="132"/>
      <c r="K1032" s="121"/>
      <c r="L1032" s="82"/>
      <c r="M1032" s="196"/>
      <c r="N1032" s="132"/>
      <c r="O1032" s="121"/>
      <c r="P1032" s="82"/>
      <c r="Q1032" s="8"/>
      <c r="R1032" s="70"/>
      <c r="S1032" s="70"/>
      <c r="T1032" s="70"/>
      <c r="U1032" s="8"/>
      <c r="V1032" s="70"/>
      <c r="W1032" s="70"/>
      <c r="X1032" s="70"/>
      <c r="Y1032" s="235"/>
      <c r="Z1032" s="195"/>
      <c r="AA1032" s="195"/>
      <c r="AB1032" s="195"/>
      <c r="AC1032" s="196"/>
      <c r="AD1032" s="70"/>
      <c r="AE1032" s="236"/>
      <c r="AF1032" s="236"/>
      <c r="AG1032" s="228"/>
      <c r="AH1032" s="229"/>
      <c r="AI1032" s="230"/>
      <c r="AJ1032" s="199"/>
      <c r="AK1032" s="231"/>
      <c r="AL1032" s="232"/>
      <c r="AM1032" s="233"/>
      <c r="AN1032" s="82"/>
      <c r="AO1032" s="234"/>
      <c r="AP1032" s="132"/>
      <c r="AQ1032" s="121"/>
      <c r="AR1032" s="82"/>
      <c r="AS1032" s="234"/>
      <c r="AT1032" s="132"/>
      <c r="AU1032" s="121"/>
      <c r="AV1032" s="82"/>
      <c r="AW1032" s="82"/>
      <c r="AX1032" s="82"/>
    </row>
    <row r="1033">
      <c r="A1033" s="196"/>
      <c r="B1033" s="132"/>
      <c r="C1033" s="121"/>
      <c r="D1033" s="82"/>
      <c r="E1033" s="196"/>
      <c r="F1033" s="132"/>
      <c r="G1033" s="121"/>
      <c r="H1033" s="82"/>
      <c r="I1033" s="196"/>
      <c r="J1033" s="132"/>
      <c r="K1033" s="121"/>
      <c r="L1033" s="82"/>
      <c r="M1033" s="196"/>
      <c r="N1033" s="132"/>
      <c r="O1033" s="121"/>
      <c r="P1033" s="82"/>
      <c r="Q1033" s="8"/>
      <c r="R1033" s="70"/>
      <c r="S1033" s="70"/>
      <c r="T1033" s="70"/>
      <c r="U1033" s="8"/>
      <c r="V1033" s="70"/>
      <c r="W1033" s="70"/>
      <c r="X1033" s="70"/>
      <c r="Y1033" s="235"/>
      <c r="Z1033" s="195"/>
      <c r="AA1033" s="195"/>
      <c r="AB1033" s="195"/>
      <c r="AC1033" s="196"/>
      <c r="AD1033" s="70"/>
      <c r="AE1033" s="236"/>
      <c r="AF1033" s="236"/>
      <c r="AG1033" s="228"/>
      <c r="AH1033" s="229"/>
      <c r="AI1033" s="230"/>
      <c r="AJ1033" s="199"/>
      <c r="AK1033" s="231"/>
      <c r="AL1033" s="232"/>
      <c r="AM1033" s="233"/>
      <c r="AN1033" s="82"/>
      <c r="AO1033" s="234"/>
      <c r="AP1033" s="132"/>
      <c r="AQ1033" s="121"/>
      <c r="AR1033" s="82"/>
      <c r="AS1033" s="234"/>
      <c r="AT1033" s="132"/>
      <c r="AU1033" s="121"/>
      <c r="AV1033" s="82"/>
      <c r="AW1033" s="82"/>
      <c r="AX1033" s="82"/>
    </row>
    <row r="1034">
      <c r="A1034" s="196"/>
      <c r="B1034" s="132"/>
      <c r="C1034" s="121"/>
      <c r="D1034" s="82"/>
      <c r="E1034" s="196"/>
      <c r="F1034" s="132"/>
      <c r="G1034" s="121"/>
      <c r="H1034" s="82"/>
      <c r="I1034" s="196"/>
      <c r="J1034" s="132"/>
      <c r="K1034" s="121"/>
      <c r="L1034" s="82"/>
      <c r="M1034" s="196"/>
      <c r="N1034" s="132"/>
      <c r="O1034" s="121"/>
      <c r="P1034" s="82"/>
      <c r="Q1034" s="8"/>
      <c r="R1034" s="70"/>
      <c r="S1034" s="70"/>
      <c r="T1034" s="70"/>
      <c r="U1034" s="8"/>
      <c r="V1034" s="70"/>
      <c r="W1034" s="70"/>
      <c r="X1034" s="70"/>
      <c r="Y1034" s="235"/>
      <c r="Z1034" s="195"/>
      <c r="AA1034" s="195"/>
      <c r="AB1034" s="195"/>
      <c r="AC1034" s="196"/>
      <c r="AD1034" s="70"/>
      <c r="AE1034" s="236"/>
      <c r="AF1034" s="236"/>
      <c r="AG1034" s="228"/>
      <c r="AH1034" s="229"/>
      <c r="AI1034" s="230"/>
      <c r="AJ1034" s="199"/>
      <c r="AK1034" s="231"/>
      <c r="AL1034" s="232"/>
      <c r="AM1034" s="233"/>
      <c r="AN1034" s="82"/>
      <c r="AO1034" s="234"/>
      <c r="AP1034" s="132"/>
      <c r="AQ1034" s="121"/>
      <c r="AR1034" s="82"/>
      <c r="AS1034" s="234"/>
      <c r="AT1034" s="132"/>
      <c r="AU1034" s="121"/>
      <c r="AV1034" s="82"/>
      <c r="AW1034" s="82"/>
      <c r="AX1034" s="82"/>
    </row>
    <row r="1035">
      <c r="A1035" s="196"/>
      <c r="B1035" s="132"/>
      <c r="C1035" s="121"/>
      <c r="D1035" s="82"/>
      <c r="E1035" s="196"/>
      <c r="F1035" s="132"/>
      <c r="G1035" s="121"/>
      <c r="H1035" s="82"/>
      <c r="I1035" s="196"/>
      <c r="J1035" s="132"/>
      <c r="K1035" s="121"/>
      <c r="L1035" s="82"/>
      <c r="M1035" s="196"/>
      <c r="N1035" s="132"/>
      <c r="O1035" s="121"/>
      <c r="P1035" s="82"/>
      <c r="Q1035" s="8"/>
      <c r="R1035" s="70"/>
      <c r="S1035" s="70"/>
      <c r="T1035" s="70"/>
      <c r="U1035" s="8"/>
      <c r="V1035" s="70"/>
      <c r="W1035" s="70"/>
      <c r="X1035" s="70"/>
      <c r="Y1035" s="235"/>
      <c r="Z1035" s="195"/>
      <c r="AA1035" s="195"/>
      <c r="AB1035" s="195"/>
      <c r="AC1035" s="196"/>
      <c r="AD1035" s="70"/>
      <c r="AE1035" s="236"/>
      <c r="AF1035" s="236"/>
      <c r="AG1035" s="228"/>
      <c r="AH1035" s="229"/>
      <c r="AI1035" s="230"/>
      <c r="AJ1035" s="199"/>
      <c r="AK1035" s="231"/>
      <c r="AL1035" s="232"/>
      <c r="AM1035" s="233"/>
      <c r="AN1035" s="82"/>
      <c r="AO1035" s="234"/>
      <c r="AP1035" s="132"/>
      <c r="AQ1035" s="121"/>
      <c r="AR1035" s="82"/>
      <c r="AS1035" s="234"/>
      <c r="AT1035" s="132"/>
      <c r="AU1035" s="121"/>
      <c r="AV1035" s="82"/>
      <c r="AW1035" s="82"/>
      <c r="AX1035" s="82"/>
    </row>
    <row r="1036">
      <c r="A1036" s="196"/>
      <c r="B1036" s="132"/>
      <c r="C1036" s="121"/>
      <c r="D1036" s="82"/>
      <c r="E1036" s="196"/>
      <c r="F1036" s="132"/>
      <c r="G1036" s="121"/>
      <c r="H1036" s="82"/>
      <c r="I1036" s="196"/>
      <c r="J1036" s="132"/>
      <c r="K1036" s="121"/>
      <c r="L1036" s="82"/>
      <c r="M1036" s="196"/>
      <c r="N1036" s="132"/>
      <c r="O1036" s="121"/>
      <c r="P1036" s="82"/>
      <c r="Q1036" s="8"/>
      <c r="R1036" s="70"/>
      <c r="S1036" s="70"/>
      <c r="T1036" s="70"/>
      <c r="U1036" s="8"/>
      <c r="V1036" s="70"/>
      <c r="W1036" s="70"/>
      <c r="X1036" s="70"/>
      <c r="Y1036" s="235"/>
      <c r="Z1036" s="195"/>
      <c r="AA1036" s="195"/>
      <c r="AB1036" s="195"/>
      <c r="AC1036" s="196"/>
      <c r="AD1036" s="70"/>
      <c r="AE1036" s="236"/>
      <c r="AF1036" s="236"/>
      <c r="AG1036" s="228"/>
      <c r="AH1036" s="229"/>
      <c r="AI1036" s="230"/>
      <c r="AJ1036" s="199"/>
      <c r="AK1036" s="231"/>
      <c r="AL1036" s="232"/>
      <c r="AM1036" s="233"/>
      <c r="AN1036" s="82"/>
      <c r="AO1036" s="234"/>
      <c r="AP1036" s="132"/>
      <c r="AQ1036" s="121"/>
      <c r="AR1036" s="82"/>
      <c r="AS1036" s="234"/>
      <c r="AT1036" s="132"/>
      <c r="AU1036" s="121"/>
      <c r="AV1036" s="82"/>
      <c r="AW1036" s="82"/>
      <c r="AX1036" s="82"/>
    </row>
    <row r="1037">
      <c r="A1037" s="196"/>
      <c r="B1037" s="132"/>
      <c r="C1037" s="121"/>
      <c r="D1037" s="82"/>
      <c r="E1037" s="196"/>
      <c r="F1037" s="132"/>
      <c r="G1037" s="121"/>
      <c r="H1037" s="82"/>
      <c r="I1037" s="196"/>
      <c r="J1037" s="132"/>
      <c r="K1037" s="121"/>
      <c r="L1037" s="82"/>
      <c r="M1037" s="196"/>
      <c r="N1037" s="132"/>
      <c r="O1037" s="121"/>
      <c r="P1037" s="82"/>
      <c r="Q1037" s="8"/>
      <c r="R1037" s="70"/>
      <c r="S1037" s="70"/>
      <c r="T1037" s="70"/>
      <c r="U1037" s="8"/>
      <c r="V1037" s="70"/>
      <c r="W1037" s="70"/>
      <c r="X1037" s="70"/>
      <c r="Y1037" s="235"/>
      <c r="Z1037" s="195"/>
      <c r="AA1037" s="195"/>
      <c r="AB1037" s="195"/>
      <c r="AC1037" s="196"/>
      <c r="AD1037" s="70"/>
      <c r="AE1037" s="236"/>
      <c r="AF1037" s="236"/>
      <c r="AG1037" s="228"/>
      <c r="AH1037" s="229"/>
      <c r="AI1037" s="230"/>
      <c r="AJ1037" s="199"/>
      <c r="AK1037" s="231"/>
      <c r="AL1037" s="232"/>
      <c r="AM1037" s="233"/>
      <c r="AN1037" s="82"/>
      <c r="AO1037" s="234"/>
      <c r="AP1037" s="132"/>
      <c r="AQ1037" s="121"/>
      <c r="AR1037" s="82"/>
      <c r="AS1037" s="234"/>
      <c r="AT1037" s="132"/>
      <c r="AU1037" s="121"/>
      <c r="AV1037" s="82"/>
      <c r="AW1037" s="82"/>
      <c r="AX1037" s="82"/>
    </row>
    <row r="1038">
      <c r="A1038" s="196"/>
      <c r="B1038" s="132"/>
      <c r="C1038" s="121"/>
      <c r="D1038" s="82"/>
      <c r="E1038" s="196"/>
      <c r="F1038" s="132"/>
      <c r="G1038" s="121"/>
      <c r="H1038" s="82"/>
      <c r="I1038" s="196"/>
      <c r="J1038" s="132"/>
      <c r="K1038" s="121"/>
      <c r="L1038" s="82"/>
      <c r="M1038" s="196"/>
      <c r="N1038" s="132"/>
      <c r="O1038" s="121"/>
      <c r="P1038" s="82"/>
      <c r="Q1038" s="8"/>
      <c r="R1038" s="70"/>
      <c r="S1038" s="70"/>
      <c r="T1038" s="70"/>
      <c r="U1038" s="8"/>
      <c r="V1038" s="70"/>
      <c r="W1038" s="70"/>
      <c r="X1038" s="70"/>
      <c r="Y1038" s="235"/>
      <c r="Z1038" s="195"/>
      <c r="AA1038" s="195"/>
      <c r="AB1038" s="195"/>
      <c r="AC1038" s="196"/>
      <c r="AD1038" s="70"/>
      <c r="AE1038" s="236"/>
      <c r="AF1038" s="236"/>
      <c r="AG1038" s="228"/>
      <c r="AH1038" s="229"/>
      <c r="AI1038" s="230"/>
      <c r="AJ1038" s="199"/>
      <c r="AK1038" s="231"/>
      <c r="AL1038" s="232"/>
      <c r="AM1038" s="233"/>
      <c r="AN1038" s="82"/>
      <c r="AO1038" s="234"/>
      <c r="AP1038" s="132"/>
      <c r="AQ1038" s="121"/>
      <c r="AR1038" s="82"/>
      <c r="AS1038" s="234"/>
      <c r="AT1038" s="132"/>
      <c r="AU1038" s="121"/>
      <c r="AV1038" s="82"/>
      <c r="AW1038" s="82"/>
      <c r="AX1038" s="82"/>
    </row>
    <row r="1039">
      <c r="A1039" s="196"/>
      <c r="B1039" s="132"/>
      <c r="C1039" s="121"/>
      <c r="D1039" s="82"/>
      <c r="E1039" s="196"/>
      <c r="F1039" s="132"/>
      <c r="G1039" s="121"/>
      <c r="H1039" s="82"/>
      <c r="I1039" s="196"/>
      <c r="J1039" s="132"/>
      <c r="K1039" s="121"/>
      <c r="L1039" s="82"/>
      <c r="M1039" s="196"/>
      <c r="N1039" s="132"/>
      <c r="O1039" s="121"/>
      <c r="P1039" s="82"/>
      <c r="Q1039" s="8"/>
      <c r="R1039" s="70"/>
      <c r="S1039" s="70"/>
      <c r="T1039" s="70"/>
      <c r="U1039" s="8"/>
      <c r="V1039" s="70"/>
      <c r="W1039" s="70"/>
      <c r="X1039" s="70"/>
      <c r="Y1039" s="235"/>
      <c r="Z1039" s="195"/>
      <c r="AA1039" s="195"/>
      <c r="AB1039" s="195"/>
      <c r="AC1039" s="196"/>
      <c r="AD1039" s="70"/>
      <c r="AE1039" s="236"/>
      <c r="AF1039" s="236"/>
      <c r="AG1039" s="228"/>
      <c r="AH1039" s="229"/>
      <c r="AI1039" s="230"/>
      <c r="AJ1039" s="199"/>
      <c r="AK1039" s="231"/>
      <c r="AL1039" s="232"/>
      <c r="AM1039" s="233"/>
      <c r="AN1039" s="82"/>
      <c r="AO1039" s="234"/>
      <c r="AP1039" s="132"/>
      <c r="AQ1039" s="121"/>
      <c r="AR1039" s="82"/>
      <c r="AS1039" s="234"/>
      <c r="AT1039" s="132"/>
      <c r="AU1039" s="121"/>
      <c r="AV1039" s="82"/>
      <c r="AW1039" s="82"/>
      <c r="AX1039" s="82"/>
    </row>
    <row r="1040">
      <c r="A1040" s="196"/>
      <c r="B1040" s="132"/>
      <c r="C1040" s="121"/>
      <c r="D1040" s="82"/>
      <c r="E1040" s="196"/>
      <c r="F1040" s="132"/>
      <c r="G1040" s="121"/>
      <c r="H1040" s="82"/>
      <c r="I1040" s="196"/>
      <c r="J1040" s="132"/>
      <c r="K1040" s="121"/>
      <c r="L1040" s="82"/>
      <c r="M1040" s="196"/>
      <c r="N1040" s="132"/>
      <c r="O1040" s="121"/>
      <c r="P1040" s="82"/>
      <c r="Q1040" s="8"/>
      <c r="R1040" s="70"/>
      <c r="S1040" s="70"/>
      <c r="T1040" s="70"/>
      <c r="U1040" s="8"/>
      <c r="V1040" s="70"/>
      <c r="W1040" s="70"/>
      <c r="X1040" s="70"/>
      <c r="Y1040" s="235"/>
      <c r="Z1040" s="195"/>
      <c r="AA1040" s="195"/>
      <c r="AB1040" s="195"/>
      <c r="AC1040" s="196"/>
      <c r="AD1040" s="70"/>
      <c r="AE1040" s="236"/>
      <c r="AF1040" s="236"/>
      <c r="AG1040" s="228"/>
      <c r="AH1040" s="229"/>
      <c r="AI1040" s="230"/>
      <c r="AJ1040" s="199"/>
      <c r="AK1040" s="231"/>
      <c r="AL1040" s="232"/>
      <c r="AM1040" s="233"/>
      <c r="AN1040" s="82"/>
      <c r="AO1040" s="234"/>
      <c r="AP1040" s="132"/>
      <c r="AQ1040" s="121"/>
      <c r="AR1040" s="82"/>
      <c r="AS1040" s="234"/>
      <c r="AT1040" s="132"/>
      <c r="AU1040" s="121"/>
      <c r="AV1040" s="82"/>
      <c r="AW1040" s="82"/>
      <c r="AX1040" s="82"/>
    </row>
    <row r="1041">
      <c r="A1041" s="196"/>
      <c r="B1041" s="132"/>
      <c r="C1041" s="121"/>
      <c r="D1041" s="82"/>
      <c r="E1041" s="196"/>
      <c r="F1041" s="132"/>
      <c r="G1041" s="121"/>
      <c r="H1041" s="82"/>
      <c r="I1041" s="196"/>
      <c r="J1041" s="132"/>
      <c r="K1041" s="121"/>
      <c r="L1041" s="82"/>
      <c r="M1041" s="196"/>
      <c r="N1041" s="132"/>
      <c r="O1041" s="121"/>
      <c r="P1041" s="82"/>
      <c r="Q1041" s="8"/>
      <c r="R1041" s="70"/>
      <c r="S1041" s="70"/>
      <c r="T1041" s="70"/>
      <c r="U1041" s="8"/>
      <c r="V1041" s="70"/>
      <c r="W1041" s="70"/>
      <c r="X1041" s="70"/>
      <c r="Y1041" s="235"/>
      <c r="Z1041" s="195"/>
      <c r="AA1041" s="195"/>
      <c r="AB1041" s="195"/>
      <c r="AC1041" s="196"/>
      <c r="AD1041" s="70"/>
      <c r="AE1041" s="236"/>
      <c r="AF1041" s="236"/>
      <c r="AG1041" s="228"/>
      <c r="AH1041" s="229"/>
      <c r="AI1041" s="230"/>
      <c r="AJ1041" s="199"/>
      <c r="AK1041" s="231"/>
      <c r="AL1041" s="232"/>
      <c r="AM1041" s="233"/>
      <c r="AN1041" s="82"/>
      <c r="AO1041" s="234"/>
      <c r="AP1041" s="132"/>
      <c r="AQ1041" s="121"/>
      <c r="AR1041" s="82"/>
      <c r="AS1041" s="234"/>
      <c r="AT1041" s="132"/>
      <c r="AU1041" s="121"/>
      <c r="AV1041" s="82"/>
      <c r="AW1041" s="82"/>
      <c r="AX1041" s="82"/>
    </row>
  </sheetData>
  <mergeCells count="108">
    <mergeCell ref="AD37:AF37"/>
    <mergeCell ref="AH37:AJ37"/>
    <mergeCell ref="AL37:AN37"/>
    <mergeCell ref="AP37:AR37"/>
    <mergeCell ref="AT37:AV37"/>
    <mergeCell ref="B37:D37"/>
    <mergeCell ref="F37:H37"/>
    <mergeCell ref="J37:L37"/>
    <mergeCell ref="N37:P37"/>
    <mergeCell ref="R37:T37"/>
    <mergeCell ref="V37:X37"/>
    <mergeCell ref="Z37:AB37"/>
    <mergeCell ref="AD52:AF52"/>
    <mergeCell ref="AH52:AJ52"/>
    <mergeCell ref="AL52:AN52"/>
    <mergeCell ref="AP52:AR52"/>
    <mergeCell ref="AT52:AV52"/>
    <mergeCell ref="B52:D52"/>
    <mergeCell ref="F52:H52"/>
    <mergeCell ref="J52:L52"/>
    <mergeCell ref="N52:P52"/>
    <mergeCell ref="R52:T52"/>
    <mergeCell ref="V52:X52"/>
    <mergeCell ref="Z52:AB52"/>
    <mergeCell ref="AD89:AF89"/>
    <mergeCell ref="AH89:AJ89"/>
    <mergeCell ref="AL89:AN89"/>
    <mergeCell ref="AP89:AR89"/>
    <mergeCell ref="AT89:AV89"/>
    <mergeCell ref="B89:D89"/>
    <mergeCell ref="F89:H89"/>
    <mergeCell ref="J89:L89"/>
    <mergeCell ref="N89:P89"/>
    <mergeCell ref="R89:T89"/>
    <mergeCell ref="V89:X89"/>
    <mergeCell ref="Z89:AB89"/>
    <mergeCell ref="AD98:AF98"/>
    <mergeCell ref="AH98:AJ98"/>
    <mergeCell ref="AL98:AN98"/>
    <mergeCell ref="AP98:AR98"/>
    <mergeCell ref="AT98:AV98"/>
    <mergeCell ref="B98:D98"/>
    <mergeCell ref="F98:H98"/>
    <mergeCell ref="J98:L98"/>
    <mergeCell ref="N98:P98"/>
    <mergeCell ref="R98:T98"/>
    <mergeCell ref="V98:X98"/>
    <mergeCell ref="Z98:AB98"/>
    <mergeCell ref="AD108:AF108"/>
    <mergeCell ref="AH108:AJ108"/>
    <mergeCell ref="AL108:AN108"/>
    <mergeCell ref="AP108:AR108"/>
    <mergeCell ref="AT108:AV108"/>
    <mergeCell ref="B108:D108"/>
    <mergeCell ref="F108:H108"/>
    <mergeCell ref="J108:L108"/>
    <mergeCell ref="N108:P108"/>
    <mergeCell ref="R108:T108"/>
    <mergeCell ref="V108:X108"/>
    <mergeCell ref="Z108:AB108"/>
    <mergeCell ref="AD3:AF3"/>
    <mergeCell ref="AH3:AJ3"/>
    <mergeCell ref="AL3:AN3"/>
    <mergeCell ref="AP3:AR3"/>
    <mergeCell ref="AT3:AV3"/>
    <mergeCell ref="B3:D3"/>
    <mergeCell ref="F3:H3"/>
    <mergeCell ref="J3:L3"/>
    <mergeCell ref="N3:P3"/>
    <mergeCell ref="R3:T3"/>
    <mergeCell ref="V3:X3"/>
    <mergeCell ref="Z3:AB3"/>
    <mergeCell ref="N4:N7"/>
    <mergeCell ref="Q4:Q7"/>
    <mergeCell ref="R4:R7"/>
    <mergeCell ref="U4:U7"/>
    <mergeCell ref="V4:V7"/>
    <mergeCell ref="Y4:Y7"/>
    <mergeCell ref="Z4:Z7"/>
    <mergeCell ref="AP4:AP7"/>
    <mergeCell ref="AS4:AS7"/>
    <mergeCell ref="AT4:AT7"/>
    <mergeCell ref="AC4:AC7"/>
    <mergeCell ref="AD4:AD7"/>
    <mergeCell ref="AG4:AG7"/>
    <mergeCell ref="AH4:AH7"/>
    <mergeCell ref="AK4:AK7"/>
    <mergeCell ref="AL4:AL7"/>
    <mergeCell ref="AO4:AO7"/>
    <mergeCell ref="A4:A7"/>
    <mergeCell ref="B4:B7"/>
    <mergeCell ref="E4:E7"/>
    <mergeCell ref="F4:F7"/>
    <mergeCell ref="I4:I7"/>
    <mergeCell ref="J4:J7"/>
    <mergeCell ref="M4:M7"/>
    <mergeCell ref="AD121:AF121"/>
    <mergeCell ref="AH121:AJ121"/>
    <mergeCell ref="AL121:AN121"/>
    <mergeCell ref="AP121:AR121"/>
    <mergeCell ref="AT121:AV121"/>
    <mergeCell ref="B121:D121"/>
    <mergeCell ref="F121:H121"/>
    <mergeCell ref="J121:L121"/>
    <mergeCell ref="N121:P121"/>
    <mergeCell ref="R121:T121"/>
    <mergeCell ref="V121:X121"/>
    <mergeCell ref="Z121:AB121"/>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3" max="3" width="26.38"/>
    <col customWidth="1" min="4" max="4" width="23.75"/>
    <col customWidth="1" min="5" max="5" width="5.38"/>
    <col customWidth="1" min="6" max="8" width="24.88"/>
    <col customWidth="1" min="9" max="9" width="5.38"/>
    <col customWidth="1" min="10" max="10" width="26.63"/>
    <col customWidth="1" min="11" max="11" width="34.38"/>
    <col customWidth="1" min="12" max="12" width="26.63"/>
    <col customWidth="1" min="13" max="13" width="5.38"/>
    <col customWidth="1" min="14" max="16" width="27.63"/>
    <col customWidth="1" min="17" max="17" width="5.38"/>
    <col customWidth="1" min="18" max="18" width="18.63"/>
    <col customWidth="1" min="19" max="20" width="30.5"/>
    <col customWidth="1" min="21" max="21" width="5.38"/>
    <col customWidth="1" min="22" max="22" width="18.63"/>
    <col customWidth="1" min="23" max="24" width="30.5"/>
    <col customWidth="1" min="25" max="25" width="5.38"/>
    <col customWidth="1" min="26" max="26" width="19.0"/>
    <col customWidth="1" min="27" max="27" width="33.63"/>
    <col customWidth="1" min="28" max="28" width="47.25"/>
    <col customWidth="1" min="29" max="29" width="5.38"/>
    <col customWidth="1" min="30" max="30" width="19.0"/>
    <col customWidth="1" min="31" max="31" width="33.63"/>
    <col customWidth="1" min="32" max="32" width="42.75"/>
    <col customWidth="1" min="33" max="33" width="5.38"/>
    <col customWidth="1" min="34" max="34" width="21.13"/>
    <col customWidth="1" min="35" max="35" width="37.38"/>
    <col customWidth="1" min="36" max="36" width="31.63"/>
    <col customWidth="1" min="37" max="37" width="5.38"/>
    <col customWidth="1" min="38" max="40" width="33.63"/>
    <col customWidth="1" min="41" max="41" width="5.38"/>
    <col customWidth="1" min="42" max="43" width="33.63"/>
    <col customWidth="1" min="44" max="44" width="38.63"/>
    <col customWidth="1" min="45" max="45" width="5.38"/>
    <col customWidth="1" min="46" max="47" width="33.63"/>
    <col customWidth="1" min="48" max="48" width="38.63"/>
  </cols>
  <sheetData>
    <row r="1">
      <c r="A1" s="101" t="s">
        <v>594</v>
      </c>
      <c r="B1" s="89" t="s">
        <v>3455</v>
      </c>
      <c r="C1" s="90" t="s">
        <v>596</v>
      </c>
      <c r="D1" s="91" t="s">
        <v>597</v>
      </c>
      <c r="E1" s="101" t="s">
        <v>594</v>
      </c>
      <c r="F1" s="89" t="s">
        <v>3456</v>
      </c>
      <c r="G1" s="90" t="s">
        <v>3457</v>
      </c>
      <c r="H1" s="91" t="s">
        <v>597</v>
      </c>
      <c r="I1" s="101" t="s">
        <v>594</v>
      </c>
      <c r="J1" s="89" t="s">
        <v>3458</v>
      </c>
      <c r="K1" s="90" t="s">
        <v>601</v>
      </c>
      <c r="L1" s="91" t="s">
        <v>602</v>
      </c>
      <c r="M1" s="101" t="s">
        <v>594</v>
      </c>
      <c r="N1" s="89" t="s">
        <v>3455</v>
      </c>
      <c r="O1" s="90" t="s">
        <v>3459</v>
      </c>
      <c r="P1" s="91" t="s">
        <v>3460</v>
      </c>
      <c r="Q1" s="101" t="s">
        <v>594</v>
      </c>
      <c r="R1" s="93" t="s">
        <v>3461</v>
      </c>
      <c r="S1" s="94" t="str">
        <f>IFERROR(__xludf.DUMMYFUNCTION("GOOGLETRANSLATE(C1,""zh-tw"",""es-MX"")"),"ilustrar")</f>
        <v>ilustrar</v>
      </c>
      <c r="T1" s="95" t="str">
        <f>IFERROR(__xludf.DUMMYFUNCTION("GOOGLETRANSLATE(D1,""zh-tw"",""es-MX"")"),"resultado")</f>
        <v>resultado</v>
      </c>
      <c r="U1" s="101" t="s">
        <v>594</v>
      </c>
      <c r="V1" s="93" t="str">
        <f>IFERROR(__xludf.DUMMYFUNCTION("GOOGLETRANSLATE(B1,""zh-tw"",""KO"")"),"RPG 이벤트")</f>
        <v>RPG 이벤트</v>
      </c>
      <c r="W1" s="94" t="str">
        <f>IFERROR(__xludf.DUMMYFUNCTION("GOOGLETRANSLATE(C1,""zh-tw"",""KO"")"),"설명하다")</f>
        <v>설명하다</v>
      </c>
      <c r="X1" s="95" t="str">
        <f>IFERROR(__xludf.DUMMYFUNCTION("GOOGLETRANSLATE(D1,""zh-tw"",""KO"")"),"결과")</f>
        <v>결과</v>
      </c>
      <c r="Y1" s="101" t="s">
        <v>594</v>
      </c>
      <c r="Z1" s="89" t="s">
        <v>3462</v>
      </c>
      <c r="AA1" s="90" t="s">
        <v>3463</v>
      </c>
      <c r="AB1" s="91" t="s">
        <v>3464</v>
      </c>
      <c r="AC1" s="101" t="s">
        <v>594</v>
      </c>
      <c r="AD1" s="89" t="s">
        <v>3465</v>
      </c>
      <c r="AE1" s="237" t="s">
        <v>3466</v>
      </c>
      <c r="AF1" s="91" t="s">
        <v>3467</v>
      </c>
      <c r="AG1" s="101" t="s">
        <v>594</v>
      </c>
      <c r="AH1" s="238" t="s">
        <v>3468</v>
      </c>
      <c r="AI1" s="239" t="s">
        <v>3469</v>
      </c>
      <c r="AJ1" s="240" t="s">
        <v>615</v>
      </c>
      <c r="AK1" s="101" t="s">
        <v>594</v>
      </c>
      <c r="AL1" s="93" t="s">
        <v>3470</v>
      </c>
      <c r="AM1" s="94" t="s">
        <v>617</v>
      </c>
      <c r="AN1" s="95" t="s">
        <v>605</v>
      </c>
      <c r="AO1" s="101" t="s">
        <v>594</v>
      </c>
      <c r="AP1" s="89" t="s">
        <v>3471</v>
      </c>
      <c r="AQ1" s="90" t="s">
        <v>3472</v>
      </c>
      <c r="AR1" s="91" t="s">
        <v>621</v>
      </c>
      <c r="AS1" s="101"/>
      <c r="AT1" s="89"/>
      <c r="AU1" s="90"/>
      <c r="AV1" s="91"/>
    </row>
    <row r="2">
      <c r="A2" s="241" t="s">
        <v>622</v>
      </c>
      <c r="B2" s="241" t="s">
        <v>3473</v>
      </c>
      <c r="E2" s="241" t="s">
        <v>622</v>
      </c>
      <c r="F2" s="242"/>
      <c r="I2" s="241" t="s">
        <v>622</v>
      </c>
      <c r="J2" s="243" t="s">
        <v>3474</v>
      </c>
      <c r="M2" s="241" t="s">
        <v>622</v>
      </c>
      <c r="N2" s="241" t="s">
        <v>3475</v>
      </c>
      <c r="Q2" s="241" t="s">
        <v>622</v>
      </c>
      <c r="R2" s="244"/>
      <c r="U2" s="241" t="s">
        <v>622</v>
      </c>
      <c r="V2" s="244"/>
      <c r="Y2" s="241" t="s">
        <v>622</v>
      </c>
      <c r="Z2" s="245" t="s">
        <v>3476</v>
      </c>
      <c r="AC2" s="241" t="s">
        <v>622</v>
      </c>
      <c r="AD2" s="242"/>
      <c r="AG2" s="241" t="s">
        <v>622</v>
      </c>
      <c r="AH2" s="242"/>
      <c r="AK2" s="241" t="s">
        <v>622</v>
      </c>
      <c r="AL2" s="246" t="s">
        <v>3477</v>
      </c>
      <c r="AO2" s="241" t="s">
        <v>622</v>
      </c>
      <c r="AP2" s="242"/>
      <c r="AS2" s="241"/>
      <c r="AT2" s="242"/>
    </row>
    <row r="3">
      <c r="A3" s="247" t="s">
        <v>3478</v>
      </c>
      <c r="B3" s="120" t="s">
        <v>3479</v>
      </c>
      <c r="C3" s="119" t="s">
        <v>3480</v>
      </c>
      <c r="D3" s="79" t="s">
        <v>3481</v>
      </c>
      <c r="E3" s="247" t="s">
        <v>3478</v>
      </c>
      <c r="F3" s="120" t="s">
        <v>3482</v>
      </c>
      <c r="G3" s="119" t="s">
        <v>3483</v>
      </c>
      <c r="H3" s="79" t="s">
        <v>3484</v>
      </c>
      <c r="I3" s="247" t="s">
        <v>3478</v>
      </c>
      <c r="J3" s="120" t="s">
        <v>3485</v>
      </c>
      <c r="K3" s="119" t="s">
        <v>3486</v>
      </c>
      <c r="L3" s="79" t="s">
        <v>3487</v>
      </c>
      <c r="M3" s="247" t="s">
        <v>3478</v>
      </c>
      <c r="N3" s="120" t="s">
        <v>3479</v>
      </c>
      <c r="O3" s="119" t="s">
        <v>3488</v>
      </c>
      <c r="P3" s="79" t="s">
        <v>3489</v>
      </c>
      <c r="Q3" s="247" t="s">
        <v>3478</v>
      </c>
      <c r="R3" s="132" t="s">
        <v>3490</v>
      </c>
      <c r="S3" s="121" t="str">
        <f>IFERROR(__xludf.DUMMYFUNCTION("GOOGLETRANSLATE(C3,""zh-tw"",""es-MX"")"),"En la calle del aventurero, bajar desde el punto de partida es la forma de volver temprano a casa.")</f>
        <v>En la calle del aventurero, bajar desde el punto de partida es la forma de volver temprano a casa.</v>
      </c>
      <c r="T3" s="82" t="str">
        <f>IFERROR(__xludf.DUMMYFUNCTION("GOOGLETRANSLATE(D3,""zh-tw"",""es-MX"")"),"La primera vez activará un evento especial.
Los eventos posteriores también pueden activar:
* Jugué con mi hermana todo el día.
* Pasé un rato relajante con mi hermana.
* Tomé una siesta con mi hermana.
* Mi hermana me dio un masaje.")</f>
        <v>La primera vez activará un evento especial.
Los eventos posteriores también pueden activar:
* Jugué con mi hermana todo el día.
* Pasé un rato relajante con mi hermana.
* Tomé una siesta con mi hermana.
* Mi hermana me dio un masaje.</v>
      </c>
      <c r="U3" s="247" t="s">
        <v>3478</v>
      </c>
      <c r="V3" s="120" t="s">
        <v>3491</v>
      </c>
      <c r="W3" s="121" t="str">
        <f>IFERROR(__xludf.DUMMYFUNCTION("GOOGLETRANSLATE(C3,""zh-tw"",""KO"")"),"모험가의 거리에서 출발점에서 내려가는 길은 일찍 집으로 돌아가는 길입니다.")</f>
        <v>모험가의 거리에서 출발점에서 내려가는 길은 일찍 집으로 돌아가는 길입니다.</v>
      </c>
      <c r="X3" s="79" t="s">
        <v>3492</v>
      </c>
      <c r="Y3" s="247" t="s">
        <v>3478</v>
      </c>
      <c r="Z3" s="248" t="s">
        <v>3493</v>
      </c>
      <c r="AA3" s="249" t="s">
        <v>3494</v>
      </c>
      <c r="AB3" s="69" t="s">
        <v>3495</v>
      </c>
      <c r="AC3" s="247" t="s">
        <v>3478</v>
      </c>
      <c r="AD3" s="120" t="s">
        <v>3496</v>
      </c>
      <c r="AE3" s="250" t="s">
        <v>3497</v>
      </c>
      <c r="AF3" s="71" t="s">
        <v>3498</v>
      </c>
      <c r="AG3" s="247" t="s">
        <v>3478</v>
      </c>
      <c r="AH3" s="251" t="s">
        <v>3499</v>
      </c>
      <c r="AI3" s="145" t="s">
        <v>3500</v>
      </c>
      <c r="AJ3" s="148" t="s">
        <v>3501</v>
      </c>
      <c r="AK3" s="247" t="s">
        <v>3478</v>
      </c>
      <c r="AL3" s="132" t="s">
        <v>3502</v>
      </c>
      <c r="AM3" s="121" t="s">
        <v>3503</v>
      </c>
      <c r="AN3" s="79" t="s">
        <v>3504</v>
      </c>
      <c r="AO3" s="247" t="s">
        <v>3478</v>
      </c>
      <c r="AP3" s="120" t="s">
        <v>3505</v>
      </c>
      <c r="AQ3" s="119" t="s">
        <v>3506</v>
      </c>
      <c r="AR3" s="79" t="s">
        <v>3507</v>
      </c>
      <c r="AS3" s="247"/>
      <c r="AT3" s="120"/>
      <c r="AU3" s="119"/>
      <c r="AV3" s="79"/>
    </row>
    <row r="4" ht="122.25" customHeight="1">
      <c r="A4" s="247" t="s">
        <v>3508</v>
      </c>
      <c r="B4" s="116" t="s">
        <v>3509</v>
      </c>
      <c r="C4" s="119" t="s">
        <v>3510</v>
      </c>
      <c r="D4" s="118" t="s">
        <v>3511</v>
      </c>
      <c r="E4" s="247" t="s">
        <v>3508</v>
      </c>
      <c r="F4" s="120" t="s">
        <v>3512</v>
      </c>
      <c r="G4" s="119" t="s">
        <v>3513</v>
      </c>
      <c r="H4" s="79" t="s">
        <v>3514</v>
      </c>
      <c r="I4" s="247" t="s">
        <v>3508</v>
      </c>
      <c r="J4" s="120" t="s">
        <v>3515</v>
      </c>
      <c r="K4" s="119" t="s">
        <v>3516</v>
      </c>
      <c r="L4" s="79" t="s">
        <v>3517</v>
      </c>
      <c r="M4" s="247" t="s">
        <v>3508</v>
      </c>
      <c r="N4" s="120" t="s">
        <v>3509</v>
      </c>
      <c r="O4" s="119" t="s">
        <v>3518</v>
      </c>
      <c r="P4" s="79" t="s">
        <v>3519</v>
      </c>
      <c r="Q4" s="247" t="s">
        <v>3508</v>
      </c>
      <c r="R4" s="132" t="s">
        <v>3520</v>
      </c>
      <c r="S4" s="121" t="str">
        <f>IFERROR(__xludf.DUMMYFUNCTION("GOOGLETRANSLATE(C4,""zh-tw"",""es-MX"")"),"Sendero del Aventurero: Punto de Reunión
Desecha tu equipo en los contenedores de basura; al romperlos, obtendrás objetos.
Esto solo aplica el día en que desechas el equipo; no cuenta el día siguiente.")</f>
        <v>Sendero del Aventurero: Punto de Reunión
Desecha tu equipo en los contenedores de basura; al romperlos, obtendrás objetos.
Esto solo aplica el día en que desechas el equipo; no cuenta el día siguiente.</v>
      </c>
      <c r="T4" s="82" t="str">
        <f>IFERROR(__xludf.DUMMYFUNCTION("GOOGLETRANSLATE(D4,""zh-tw"",""es-MX"")"),"Objeto obtenido: Gel mágico
Se usa para ampliar los espacios de la mochila.")</f>
        <v>Objeto obtenido: Gel mágico
Se usa para ampliar los espacios de la mochila.</v>
      </c>
      <c r="U4" s="247" t="s">
        <v>3508</v>
      </c>
      <c r="V4" s="132" t="str">
        <f>IFERROR(__xludf.DUMMYFUNCTION("GOOGLETRANSLATE(B4,""zh-tw"",""KO"")"),"쓰레기통")</f>
        <v>쓰레기통</v>
      </c>
      <c r="W4" s="121" t="str">
        <f>IFERROR(__xludf.DUMMYFUNCTION("GOOGLETRANSLATE(C4,""zh-tw"",""KO"")"),"모험가의 길: 집결지
장비를 쓰레기통에 버리세요. 쓰레기통을 부수면 아이템을 얻을 수 있습니다.
단, 이 보상은 장비를 버린 당일에만 적용되며, 다음 날에는 적용되지 않습니다.")</f>
        <v>모험가의 길: 집결지
장비를 쓰레기통에 버리세요. 쓰레기통을 부수면 아이템을 얻을 수 있습니다.
단, 이 보상은 장비를 버린 당일에만 적용되며, 다음 날에는 적용되지 않습니다.</v>
      </c>
      <c r="X4" s="82" t="str">
        <f>IFERROR(__xludf.DUMMYFUNCTION("GOOGLETRANSLATE(D4,""zh-tw"",""KO"")"),"획득 아이템: 마법 젤
배낭 슬롯을 확장하는 데 사용됩니다.")</f>
        <v>획득 아이템: 마법 젤
배낭 슬롯을 확장하는 데 사용됩니다.</v>
      </c>
      <c r="Y4" s="247" t="s">
        <v>3508</v>
      </c>
      <c r="Z4" s="248" t="s">
        <v>3521</v>
      </c>
      <c r="AA4" s="249" t="s">
        <v>3522</v>
      </c>
      <c r="AB4" s="69" t="s">
        <v>3523</v>
      </c>
      <c r="AC4" s="247" t="s">
        <v>3508</v>
      </c>
      <c r="AD4" s="120" t="s">
        <v>3524</v>
      </c>
      <c r="AE4" s="250" t="s">
        <v>3525</v>
      </c>
      <c r="AF4" s="71" t="s">
        <v>3526</v>
      </c>
      <c r="AG4" s="247" t="s">
        <v>3508</v>
      </c>
      <c r="AH4" s="251" t="s">
        <v>3527</v>
      </c>
      <c r="AI4" s="145" t="s">
        <v>3528</v>
      </c>
      <c r="AJ4" s="148" t="s">
        <v>3529</v>
      </c>
      <c r="AK4" s="247" t="s">
        <v>3508</v>
      </c>
      <c r="AL4" s="132" t="s">
        <v>3530</v>
      </c>
      <c r="AM4" s="121" t="s">
        <v>3531</v>
      </c>
      <c r="AN4" s="82" t="s">
        <v>3532</v>
      </c>
      <c r="AO4" s="247" t="s">
        <v>3508</v>
      </c>
      <c r="AP4" s="120" t="s">
        <v>3533</v>
      </c>
      <c r="AQ4" s="119" t="s">
        <v>3534</v>
      </c>
      <c r="AR4" s="79" t="s">
        <v>3535</v>
      </c>
      <c r="AS4" s="247"/>
      <c r="AT4" s="120"/>
      <c r="AU4" s="119"/>
      <c r="AV4" s="79"/>
    </row>
    <row r="5">
      <c r="A5" s="247" t="s">
        <v>3536</v>
      </c>
      <c r="B5" s="116" t="s">
        <v>3537</v>
      </c>
      <c r="C5" s="117" t="s">
        <v>3538</v>
      </c>
      <c r="D5" s="118" t="s">
        <v>3539</v>
      </c>
      <c r="E5" s="247" t="s">
        <v>3536</v>
      </c>
      <c r="F5" s="116" t="s">
        <v>3540</v>
      </c>
      <c r="G5" s="117" t="s">
        <v>3541</v>
      </c>
      <c r="H5" s="118" t="s">
        <v>3542</v>
      </c>
      <c r="I5" s="247" t="s">
        <v>3536</v>
      </c>
      <c r="J5" s="116" t="s">
        <v>3543</v>
      </c>
      <c r="K5" s="117" t="s">
        <v>3544</v>
      </c>
      <c r="L5" s="118" t="s">
        <v>3545</v>
      </c>
      <c r="M5" s="247" t="s">
        <v>3536</v>
      </c>
      <c r="N5" s="120" t="s">
        <v>3537</v>
      </c>
      <c r="O5" s="119" t="s">
        <v>3546</v>
      </c>
      <c r="P5" s="79" t="s">
        <v>3547</v>
      </c>
      <c r="Q5" s="247" t="s">
        <v>3536</v>
      </c>
      <c r="R5" s="132" t="s">
        <v>3548</v>
      </c>
      <c r="S5" s="121" t="str">
        <f>IFERROR(__xludf.DUMMYFUNCTION("GOOGLETRANSLATE(C5,""zh-tw"",""es-MX"")"),"Se utiliza principalmente para probar los valores de daño de los jugadores; también es posible eliminarlos mediante otros métodos.
(Consulta los CONSEJOS para obtener más detalles)")</f>
        <v>Se utiliza principalmente para probar los valores de daño de los jugadores; también es posible eliminarlos mediante otros métodos.
(Consulta los CONSEJOS para obtener más detalles)</v>
      </c>
      <c r="T5" s="82" t="str">
        <f>IFERROR(__xludf.DUMMYFUNCTION("GOOGLETRANSLATE(D5,""zh-tw"",""es-MX"")"),"Objeto obtenido: Corazón de espantapájaros")</f>
        <v>Objeto obtenido: Corazón de espantapájaros</v>
      </c>
      <c r="U5" s="247" t="s">
        <v>3536</v>
      </c>
      <c r="V5" s="132" t="str">
        <f>IFERROR(__xludf.DUMMYFUNCTION("GOOGLETRANSLATE(B5,""zh-tw"",""KO"")"),"허수아비")</f>
        <v>허수아비</v>
      </c>
      <c r="W5" s="121" t="str">
        <f>IFERROR(__xludf.DUMMYFUNCTION("GOOGLETRANSLATE(C5,""zh-tw"",""KO"")"),"주로 플레이어의 공격력 수치를 테스트하는 데 사용되지만, 다른 방법으로도 처치할 수 있습니다.
(자세한 내용은 팁을 참조하세요)")</f>
        <v>주로 플레이어의 공격력 수치를 테스트하는 데 사용되지만, 다른 방법으로도 처치할 수 있습니다.
(자세한 내용은 팁을 참조하세요)</v>
      </c>
      <c r="X5" s="82" t="str">
        <f>IFERROR(__xludf.DUMMYFUNCTION("GOOGLETRANSLATE(D5,""zh-tw"",""KO"")"),"획득 아이템: 허수아비의 심장")</f>
        <v>획득 아이템: 허수아비의 심장</v>
      </c>
      <c r="Y5" s="247" t="s">
        <v>3536</v>
      </c>
      <c r="Z5" s="248" t="s">
        <v>3549</v>
      </c>
      <c r="AA5" s="249" t="s">
        <v>3550</v>
      </c>
      <c r="AB5" s="69" t="s">
        <v>3551</v>
      </c>
      <c r="AC5" s="247" t="s">
        <v>3536</v>
      </c>
      <c r="AD5" s="116" t="s">
        <v>3552</v>
      </c>
      <c r="AE5" s="117" t="s">
        <v>3553</v>
      </c>
      <c r="AF5" s="118" t="s">
        <v>3554</v>
      </c>
      <c r="AG5" s="247" t="s">
        <v>3536</v>
      </c>
      <c r="AH5" s="251" t="s">
        <v>3555</v>
      </c>
      <c r="AI5" s="145" t="s">
        <v>3556</v>
      </c>
      <c r="AJ5" s="148" t="s">
        <v>3557</v>
      </c>
      <c r="AK5" s="247" t="s">
        <v>3536</v>
      </c>
      <c r="AL5" s="132" t="s">
        <v>3558</v>
      </c>
      <c r="AM5" s="121" t="s">
        <v>3559</v>
      </c>
      <c r="AN5" s="82" t="s">
        <v>3560</v>
      </c>
      <c r="AO5" s="247" t="s">
        <v>3536</v>
      </c>
      <c r="AP5" s="120" t="s">
        <v>3561</v>
      </c>
      <c r="AQ5" s="121" t="s">
        <v>3562</v>
      </c>
      <c r="AR5" s="82" t="s">
        <v>3563</v>
      </c>
      <c r="AS5" s="247"/>
      <c r="AT5" s="120"/>
      <c r="AU5" s="121"/>
      <c r="AV5" s="82"/>
    </row>
    <row r="6">
      <c r="A6" s="247" t="s">
        <v>3564</v>
      </c>
      <c r="B6" s="120" t="s">
        <v>3565</v>
      </c>
      <c r="C6" s="119" t="s">
        <v>3566</v>
      </c>
      <c r="D6" s="79" t="s">
        <v>3567</v>
      </c>
      <c r="E6" s="247" t="s">
        <v>3564</v>
      </c>
      <c r="F6" s="120" t="s">
        <v>3565</v>
      </c>
      <c r="G6" s="119" t="s">
        <v>3568</v>
      </c>
      <c r="H6" s="79" t="s">
        <v>3569</v>
      </c>
      <c r="I6" s="247" t="s">
        <v>3564</v>
      </c>
      <c r="J6" s="120" t="s">
        <v>3570</v>
      </c>
      <c r="K6" s="119" t="s">
        <v>3571</v>
      </c>
      <c r="L6" s="79" t="s">
        <v>3572</v>
      </c>
      <c r="M6" s="247" t="s">
        <v>3564</v>
      </c>
      <c r="N6" s="120" t="s">
        <v>3573</v>
      </c>
      <c r="O6" s="119" t="s">
        <v>3574</v>
      </c>
      <c r="P6" s="79" t="s">
        <v>3575</v>
      </c>
      <c r="Q6" s="247" t="s">
        <v>3564</v>
      </c>
      <c r="R6" s="132" t="s">
        <v>3576</v>
      </c>
      <c r="S6" s="121" t="str">
        <f>IFERROR(__xludf.DUMMYFUNCTION("GOOGLETRANSLATE(C6,""zh-tw"",""es-MX"")"),"Equípate o ten en tu poder una ""Espada de Madera Dura"" y habla con el PNJ Espadachín Orejas de Gato en el Sendero del Aventurero: Lugar de Reunión. Luego, derrótalo.
(Puedes cambiar de arma durante el proceso).")</f>
        <v>Equípate o ten en tu poder una "Espada de Madera Dura" y habla con el PNJ Espadachín Orejas de Gato en el Sendero del Aventurero: Lugar de Reunión. Luego, derrótalo.
(Puedes cambiar de arma durante el proceso).</v>
      </c>
      <c r="T6" s="82" t="str">
        <f>IFERROR(__xludf.DUMMYFUNCTION("GOOGLETRANSLATE(D6,""zh-tw"",""es-MX"")"),"Habilidad aprendida: Paso relámpago con katana")</f>
        <v>Habilidad aprendida: Paso relámpago con katana</v>
      </c>
      <c r="U6" s="247" t="s">
        <v>3564</v>
      </c>
      <c r="V6" s="132" t="str">
        <f>IFERROR(__xludf.DUMMYFUNCTION("GOOGLETRANSLATE(B6,""zh-tw"",""KO"")"),"플래시 스텝 소드")</f>
        <v>플래시 스텝 소드</v>
      </c>
      <c r="W6" s="121" t="str">
        <f>IFERROR(__xludf.DUMMYFUNCTION("GOOGLETRANSLATE(C6,""zh-tw"",""KO"")"),"""단단한 나무 검""을 장착하거나 소지한 후, 모험가의 길: 집결지에 있는 고양이 귀 검사 NPC에게 말을 걸고 그를 물리치세요.
(진행 중에 무기를 변경할 수 있습니다.)")</f>
        <v>"단단한 나무 검"을 장착하거나 소지한 후, 모험가의 길: 집결지에 있는 고양이 귀 검사 NPC에게 말을 걸고 그를 물리치세요.
(진행 중에 무기를 변경할 수 있습니다.)</v>
      </c>
      <c r="X6" s="82" t="str">
        <f>IFERROR(__xludf.DUMMYFUNCTION("GOOGLETRANSLATE(D6,""zh-tw"",""KO"")"),"습득 기술: 플래시 스텝 카타나")</f>
        <v>습득 기술: 플래시 스텝 카타나</v>
      </c>
      <c r="Y6" s="247" t="s">
        <v>3564</v>
      </c>
      <c r="Z6" s="248" t="s">
        <v>3577</v>
      </c>
      <c r="AA6" s="249" t="s">
        <v>3578</v>
      </c>
      <c r="AB6" s="69" t="s">
        <v>3579</v>
      </c>
      <c r="AC6" s="247" t="s">
        <v>3564</v>
      </c>
      <c r="AD6" s="120" t="s">
        <v>3580</v>
      </c>
      <c r="AE6" s="250" t="s">
        <v>3581</v>
      </c>
      <c r="AF6" s="71" t="s">
        <v>3582</v>
      </c>
      <c r="AG6" s="247" t="s">
        <v>3564</v>
      </c>
      <c r="AH6" s="251" t="s">
        <v>3570</v>
      </c>
      <c r="AI6" s="145" t="s">
        <v>3583</v>
      </c>
      <c r="AJ6" s="148" t="s">
        <v>3584</v>
      </c>
      <c r="AK6" s="247" t="s">
        <v>3564</v>
      </c>
      <c r="AL6" s="132" t="s">
        <v>3570</v>
      </c>
      <c r="AM6" s="121" t="s">
        <v>3585</v>
      </c>
      <c r="AN6" s="82" t="s">
        <v>3586</v>
      </c>
      <c r="AO6" s="247" t="s">
        <v>3564</v>
      </c>
      <c r="AP6" s="120" t="s">
        <v>3570</v>
      </c>
      <c r="AQ6" s="119" t="s">
        <v>3587</v>
      </c>
      <c r="AR6" s="79" t="s">
        <v>3588</v>
      </c>
      <c r="AS6" s="247"/>
      <c r="AT6" s="120"/>
      <c r="AU6" s="119"/>
      <c r="AV6" s="79"/>
    </row>
    <row r="7">
      <c r="A7" s="247" t="s">
        <v>3589</v>
      </c>
      <c r="B7" s="120" t="s">
        <v>3590</v>
      </c>
      <c r="C7" s="119" t="s">
        <v>3591</v>
      </c>
      <c r="D7" s="79" t="s">
        <v>3592</v>
      </c>
      <c r="E7" s="247" t="s">
        <v>3589</v>
      </c>
      <c r="F7" s="120" t="s">
        <v>3593</v>
      </c>
      <c r="G7" s="119" t="s">
        <v>3594</v>
      </c>
      <c r="H7" s="79" t="s">
        <v>3595</v>
      </c>
      <c r="I7" s="247" t="s">
        <v>3589</v>
      </c>
      <c r="J7" s="120" t="s">
        <v>3596</v>
      </c>
      <c r="K7" s="119" t="s">
        <v>3597</v>
      </c>
      <c r="L7" s="79" t="s">
        <v>3598</v>
      </c>
      <c r="M7" s="247" t="s">
        <v>3589</v>
      </c>
      <c r="N7" s="120" t="s">
        <v>3599</v>
      </c>
      <c r="O7" s="119" t="s">
        <v>3600</v>
      </c>
      <c r="P7" s="79" t="s">
        <v>3601</v>
      </c>
      <c r="Q7" s="247" t="s">
        <v>3589</v>
      </c>
      <c r="R7" s="132" t="s">
        <v>3602</v>
      </c>
      <c r="S7" s="121" t="str">
        <f>IFERROR(__xludf.DUMMYFUNCTION("GOOGLETRANSLATE(C7,""zh-tw"",""es-MX"")"),"Sendero del Aventurero: Punto de Reunión, frente a la fogata. La ""Niña Fantasma con Vestido"" solo aparecerá en días soleados (no calurosos) antes del mediodía. Hablar con ella y volver a hablarle al día siguiente te recompensará con un objeto.")</f>
        <v>Sendero del Aventurero: Punto de Reunión, frente a la fogata. La "Niña Fantasma con Vestido" solo aparecerá en días soleados (no calurosos) antes del mediodía. Hablar con ella y volver a hablarle al día siguiente te recompensará con un objeto.</v>
      </c>
      <c r="T7" s="82" t="str">
        <f>IFERROR(__xludf.DUMMYFUNCTION("GOOGLETRANSLATE(D7,""zh-tw"",""es-MX"")"),"Objeto obtenido: Perspectivas del aventurero
*La historia continuará próximamente.")</f>
        <v>Objeto obtenido: Perspectivas del aventurero
*La historia continuará próximamente.</v>
      </c>
      <c r="U7" s="247" t="s">
        <v>3589</v>
      </c>
      <c r="V7" s="132" t="str">
        <f>IFERROR(__xludf.DUMMYFUNCTION("GOOGLETRANSLATE(B7,""zh-tw"",""KO"")"),"공략집은 어디서 찾을 수 있나요?")</f>
        <v>공략집은 어디서 찾을 수 있나요?</v>
      </c>
      <c r="W7" s="121" t="str">
        <f>IFERROR(__xludf.DUMMYFUNCTION("GOOGLETRANSLATE(C7,""zh-tw"",""KO"")"),"모험가의 길: 집결지, 모닥불 앞. ""드레스를 입은 유령 소녀""는 맑은 날(덥지 않은 날) 정오 전에만 나타납니다. 그녀에게 말을 걸고 다음 날 다시 말을 걸면 아이템을 보상으로 받을 수 있습니다.")</f>
        <v>모험가의 길: 집결지, 모닥불 앞. "드레스를 입은 유령 소녀"는 맑은 날(덥지 않은 날) 정오 전에만 나타납니다. 그녀에게 말을 걸고 다음 날 다시 말을 걸면 아이템을 보상으로 받을 수 있습니다.</v>
      </c>
      <c r="X7" s="82" t="str">
        <f>IFERROR(__xludf.DUMMYFUNCTION("GOOGLETRANSLATE(D7,""zh-tw"",""KO"")"),"획득 아이템: 모험가의 통찰력
*스토리는 추후 업데이트될 예정입니다.")</f>
        <v>획득 아이템: 모험가의 통찰력
*스토리는 추후 업데이트될 예정입니다.</v>
      </c>
      <c r="Y7" s="247" t="s">
        <v>3589</v>
      </c>
      <c r="Z7" s="248" t="s">
        <v>3603</v>
      </c>
      <c r="AA7" s="249" t="s">
        <v>3604</v>
      </c>
      <c r="AB7" s="69" t="s">
        <v>3605</v>
      </c>
      <c r="AC7" s="247" t="s">
        <v>3589</v>
      </c>
      <c r="AD7" s="120" t="s">
        <v>3606</v>
      </c>
      <c r="AE7" s="250" t="s">
        <v>3607</v>
      </c>
      <c r="AF7" s="71" t="s">
        <v>3608</v>
      </c>
      <c r="AG7" s="247" t="s">
        <v>3589</v>
      </c>
      <c r="AH7" s="252" t="s">
        <v>3609</v>
      </c>
      <c r="AI7" s="149" t="s">
        <v>3610</v>
      </c>
      <c r="AJ7" s="146" t="s">
        <v>3611</v>
      </c>
      <c r="AK7" s="247" t="s">
        <v>3589</v>
      </c>
      <c r="AL7" s="132" t="s">
        <v>3612</v>
      </c>
      <c r="AM7" s="121" t="s">
        <v>3613</v>
      </c>
      <c r="AN7" s="82" t="s">
        <v>3614</v>
      </c>
      <c r="AO7" s="247" t="s">
        <v>3589</v>
      </c>
      <c r="AP7" s="120" t="s">
        <v>3615</v>
      </c>
      <c r="AQ7" s="119" t="s">
        <v>3616</v>
      </c>
      <c r="AR7" s="79" t="s">
        <v>3617</v>
      </c>
      <c r="AS7" s="247"/>
      <c r="AT7" s="120"/>
      <c r="AU7" s="119"/>
      <c r="AV7" s="79"/>
    </row>
    <row r="8">
      <c r="A8" s="247" t="s">
        <v>3618</v>
      </c>
      <c r="B8" s="120" t="s">
        <v>3619</v>
      </c>
      <c r="C8" s="119" t="s">
        <v>3620</v>
      </c>
      <c r="D8" s="79" t="s">
        <v>1273</v>
      </c>
      <c r="E8" s="247" t="s">
        <v>3618</v>
      </c>
      <c r="F8" s="120" t="s">
        <v>3621</v>
      </c>
      <c r="G8" s="119" t="s">
        <v>3622</v>
      </c>
      <c r="H8" s="79" t="s">
        <v>1273</v>
      </c>
      <c r="I8" s="247" t="s">
        <v>3618</v>
      </c>
      <c r="J8" s="120" t="s">
        <v>3623</v>
      </c>
      <c r="K8" s="119" t="s">
        <v>3624</v>
      </c>
      <c r="L8" s="79" t="s">
        <v>1273</v>
      </c>
      <c r="M8" s="247" t="s">
        <v>3618</v>
      </c>
      <c r="N8" s="120" t="s">
        <v>3625</v>
      </c>
      <c r="O8" s="119" t="s">
        <v>3626</v>
      </c>
      <c r="P8" s="79" t="s">
        <v>1273</v>
      </c>
      <c r="Q8" s="247" t="s">
        <v>3618</v>
      </c>
      <c r="R8" s="132" t="s">
        <v>3627</v>
      </c>
      <c r="S8" s="121" t="str">
        <f>IFERROR(__xludf.DUMMYFUNCTION("GOOGLETRANSLATE(C8,""zh-tw"",""es-MX"")"),"Sendero del Aventurero: Lugar de Reunión Si destruyes una máquina expendedora de bebidas, reaparecerá durante el tiempo lluvioso y aumentará su precio.")</f>
        <v>Sendero del Aventurero: Lugar de Reunión Si destruyes una máquina expendedora de bebidas, reaparecerá durante el tiempo lluvioso y aumentará su precio.</v>
      </c>
      <c r="T8" s="79" t="s">
        <v>1273</v>
      </c>
      <c r="U8" s="247" t="s">
        <v>3618</v>
      </c>
      <c r="V8" s="132" t="str">
        <f>IFERROR(__xludf.DUMMYFUNCTION("GOOGLETRANSLATE(B8,""zh-tw"",""KO"")"),"음료 자판기의 새로운 탄생")</f>
        <v>음료 자판기의 새로운 탄생</v>
      </c>
      <c r="W8" s="121" t="str">
        <f>IFERROR(__xludf.DUMMYFUNCTION("GOOGLETRANSLATE(C8,""zh-tw"",""KO"")"),"모험가의 길: 모임 장소 음료 자판기를 파괴하면 비가 오는 날씨에 다시 나타나고 가격이 오릅니다.")</f>
        <v>모험가의 길: 모임 장소 음료 자판기를 파괴하면 비가 오는 날씨에 다시 나타나고 가격이 오릅니다.</v>
      </c>
      <c r="X8" s="79" t="s">
        <v>1273</v>
      </c>
      <c r="Y8" s="247" t="s">
        <v>3618</v>
      </c>
      <c r="Z8" s="248" t="s">
        <v>3628</v>
      </c>
      <c r="AA8" s="249" t="s">
        <v>3629</v>
      </c>
      <c r="AB8" s="69" t="s">
        <v>1273</v>
      </c>
      <c r="AC8" s="247" t="s">
        <v>3618</v>
      </c>
      <c r="AD8" s="120" t="s">
        <v>3630</v>
      </c>
      <c r="AE8" s="250" t="s">
        <v>3631</v>
      </c>
      <c r="AF8" s="71" t="s">
        <v>3632</v>
      </c>
      <c r="AG8" s="247" t="s">
        <v>3618</v>
      </c>
      <c r="AH8" s="251" t="s">
        <v>3633</v>
      </c>
      <c r="AI8" s="145" t="s">
        <v>3634</v>
      </c>
      <c r="AJ8" s="148" t="s">
        <v>1273</v>
      </c>
      <c r="AK8" s="247" t="s">
        <v>3618</v>
      </c>
      <c r="AL8" s="132" t="s">
        <v>3635</v>
      </c>
      <c r="AM8" s="121" t="s">
        <v>3636</v>
      </c>
      <c r="AN8" s="82" t="s">
        <v>1273</v>
      </c>
      <c r="AO8" s="247" t="s">
        <v>3618</v>
      </c>
      <c r="AP8" s="120" t="s">
        <v>3637</v>
      </c>
      <c r="AQ8" s="119" t="s">
        <v>3638</v>
      </c>
      <c r="AR8" s="79" t="s">
        <v>1273</v>
      </c>
      <c r="AS8" s="247"/>
      <c r="AT8" s="120"/>
      <c r="AU8" s="119"/>
      <c r="AV8" s="79"/>
    </row>
    <row r="9">
      <c r="A9" s="247" t="s">
        <v>3639</v>
      </c>
      <c r="B9" s="120" t="s">
        <v>3640</v>
      </c>
      <c r="C9" s="119" t="s">
        <v>3641</v>
      </c>
      <c r="D9" s="79" t="s">
        <v>3642</v>
      </c>
      <c r="E9" s="247" t="s">
        <v>3639</v>
      </c>
      <c r="F9" s="120" t="s">
        <v>3643</v>
      </c>
      <c r="G9" s="119" t="s">
        <v>3644</v>
      </c>
      <c r="H9" s="79" t="s">
        <v>3645</v>
      </c>
      <c r="I9" s="247" t="s">
        <v>3639</v>
      </c>
      <c r="J9" s="120" t="s">
        <v>3646</v>
      </c>
      <c r="K9" s="119" t="s">
        <v>3647</v>
      </c>
      <c r="L9" s="79" t="s">
        <v>3648</v>
      </c>
      <c r="M9" s="247" t="s">
        <v>3639</v>
      </c>
      <c r="N9" s="120" t="s">
        <v>3649</v>
      </c>
      <c r="O9" s="119" t="s">
        <v>3650</v>
      </c>
      <c r="P9" s="79" t="s">
        <v>3651</v>
      </c>
      <c r="Q9" s="247" t="s">
        <v>3639</v>
      </c>
      <c r="R9" s="132" t="s">
        <v>3652</v>
      </c>
      <c r="S9" s="121" t="str">
        <f>IFERROR(__xludf.DUMMYFUNCTION("GOOGLETRANSLATE(C9,""zh-tw"",""es-MX"")"),"Sendero del Aventurero: Punto de Encuentro
Ubicado en la Calle del Aventurero, se puede comprar al caballero por $5000.")</f>
        <v>Sendero del Aventurero: Punto de Encuentro
Ubicado en la Calle del Aventurero, se puede comprar al caballero por $5000.</v>
      </c>
      <c r="T9" s="82" t="str">
        <f>IFERROR(__xludf.DUMMYFUNCTION("GOOGLETRANSLATE(D9,""zh-tw"",""es-MX"")"),"Tras obtener ""JoyStation V"", podrás iniciar y activar el juego con tu hermana al regresar a casa.")</f>
        <v>Tras obtener "JoyStation V", podrás iniciar y activar el juego con tu hermana al regresar a casa.</v>
      </c>
      <c r="U9" s="247" t="s">
        <v>3639</v>
      </c>
      <c r="V9" s="132" t="str">
        <f>IFERROR(__xludf.DUMMYFUNCTION("GOOGLETRANSLATE(B9,""zh-tw"",""KO"")"),"게임 콘솔")</f>
        <v>게임 콘솔</v>
      </c>
      <c r="W9" s="121" t="str">
        <f>IFERROR(__xludf.DUMMYFUNCTION("GOOGLETRANSLATE(C9,""zh-tw"",""KO"")"),"모험가의 길: 집결지
모험가의 거리에 위치해 있으며, 기사에게서 5000달러에 구입할 수 있습니다.")</f>
        <v>모험가의 길: 집결지
모험가의 거리에 위치해 있으며, 기사에게서 5000달러에 구입할 수 있습니다.</v>
      </c>
      <c r="X9" s="82" t="str">
        <f>IFERROR(__xludf.DUMMYFUNCTION("GOOGLETRANSLATE(D9,""zh-tw"",""KO"")"),"""JoyStation V""를 구한 후, 집에 돌아오면 여동생과 함께 게임을 시작하고 활성화할 수 있습니다.")</f>
        <v>"JoyStation V"를 구한 후, 집에 돌아오면 여동생과 함께 게임을 시작하고 활성화할 수 있습니다.</v>
      </c>
      <c r="Y9" s="247" t="s">
        <v>3639</v>
      </c>
      <c r="Z9" s="248" t="s">
        <v>3653</v>
      </c>
      <c r="AA9" s="249" t="s">
        <v>3654</v>
      </c>
      <c r="AB9" s="69" t="s">
        <v>3655</v>
      </c>
      <c r="AC9" s="247" t="s">
        <v>3639</v>
      </c>
      <c r="AD9" s="120" t="s">
        <v>3656</v>
      </c>
      <c r="AE9" s="250" t="s">
        <v>3657</v>
      </c>
      <c r="AF9" s="71" t="s">
        <v>3658</v>
      </c>
      <c r="AG9" s="247" t="s">
        <v>3639</v>
      </c>
      <c r="AH9" s="251" t="s">
        <v>3659</v>
      </c>
      <c r="AI9" s="145" t="s">
        <v>3660</v>
      </c>
      <c r="AJ9" s="148" t="s">
        <v>3661</v>
      </c>
      <c r="AK9" s="247" t="s">
        <v>3639</v>
      </c>
      <c r="AL9" s="132" t="s">
        <v>3662</v>
      </c>
      <c r="AM9" s="121" t="s">
        <v>3663</v>
      </c>
      <c r="AN9" s="82" t="s">
        <v>3664</v>
      </c>
      <c r="AO9" s="247" t="s">
        <v>3639</v>
      </c>
      <c r="AP9" s="120" t="s">
        <v>3665</v>
      </c>
      <c r="AQ9" s="119" t="s">
        <v>3666</v>
      </c>
      <c r="AR9" s="79" t="s">
        <v>3667</v>
      </c>
      <c r="AS9" s="247"/>
      <c r="AT9" s="120"/>
      <c r="AU9" s="119"/>
      <c r="AV9" s="79"/>
    </row>
    <row r="10">
      <c r="A10" s="247" t="s">
        <v>3668</v>
      </c>
      <c r="B10" s="120" t="s">
        <v>3669</v>
      </c>
      <c r="C10" s="119" t="s">
        <v>3670</v>
      </c>
      <c r="D10" s="253" t="s">
        <v>3671</v>
      </c>
      <c r="E10" s="247" t="s">
        <v>3668</v>
      </c>
      <c r="F10" s="120" t="s">
        <v>3672</v>
      </c>
      <c r="G10" s="119" t="s">
        <v>3673</v>
      </c>
      <c r="H10" s="79" t="s">
        <v>3674</v>
      </c>
      <c r="I10" s="247" t="s">
        <v>3668</v>
      </c>
      <c r="J10" s="120" t="s">
        <v>3669</v>
      </c>
      <c r="K10" s="119" t="s">
        <v>3675</v>
      </c>
      <c r="L10" s="79" t="s">
        <v>3676</v>
      </c>
      <c r="M10" s="247" t="s">
        <v>3668</v>
      </c>
      <c r="N10" s="120" t="s">
        <v>3669</v>
      </c>
      <c r="O10" s="119" t="s">
        <v>3677</v>
      </c>
      <c r="P10" s="79" t="s">
        <v>3678</v>
      </c>
      <c r="Q10" s="247" t="s">
        <v>3668</v>
      </c>
      <c r="R10" s="132" t="s">
        <v>3679</v>
      </c>
      <c r="S10" s="119" t="s">
        <v>3680</v>
      </c>
      <c r="T10" s="82" t="str">
        <f>IFERROR(__xludf.DUMMYFUNCTION("GOOGLETRANSLATE(D10,""zh-tw"",""es-MX"")"),"Shadow Souls - DLC: Ayuda a tu hermana a concentrarse más en el juego y desbloquea opciones adicionales.")</f>
        <v>Shadow Souls - DLC: Ayuda a tu hermana a concentrarse más en el juego y desbloquea opciones adicionales.</v>
      </c>
      <c r="U10" s="247" t="s">
        <v>3668</v>
      </c>
      <c r="V10" s="132" t="str">
        <f>IFERROR(__xludf.DUMMYFUNCTION("GOOGLETRANSLATE(B10,""zh-tw"",""KO"")"),"DLC")</f>
        <v>DLC</v>
      </c>
      <c r="W10" s="121" t="str">
        <f>IFERROR(__xludf.DUMMYFUNCTION("GOOGLETRANSLATE(C10,""zh-tw"",""KO"")"),"모험가의 길: 집결지 기사와 일정 횟수 이상 만남을 공유하면 [무언가]를 얻을 수 있습니다.")</f>
        <v>모험가의 길: 집결지 기사와 일정 횟수 이상 만남을 공유하면 [무언가]를 얻을 수 있습니다.</v>
      </c>
      <c r="X10" s="82" t="str">
        <f>IFERROR(__xludf.DUMMYFUNCTION("GOOGLETRANSLATE(D10,""zh-tw"",""KO"")"),"Shadow Souls - DLC: 여동생이 게임에 더 집중할 수 있도록 도와주고 추가 옵션을 잠금 해제하세요.")</f>
        <v>Shadow Souls - DLC: 여동생이 게임에 더 집중할 수 있도록 도와주고 추가 옵션을 잠금 해제하세요.</v>
      </c>
      <c r="Y10" s="247" t="s">
        <v>3668</v>
      </c>
      <c r="Z10" s="248" t="s">
        <v>3669</v>
      </c>
      <c r="AA10" s="249" t="s">
        <v>3681</v>
      </c>
      <c r="AB10" s="69" t="s">
        <v>3682</v>
      </c>
      <c r="AC10" s="247" t="s">
        <v>3668</v>
      </c>
      <c r="AD10" s="120" t="s">
        <v>3669</v>
      </c>
      <c r="AE10" s="254" t="str">
        <f>IFERROR(__xludf.DUMMYFUNCTION("GOOGLETRANSLATE(C10,""zh-tw"",""DE"")"),"Pfad des Abenteurers: Treffpunkt Du kannst [etwas] erhalten, indem du eine bestimmte Anzahl von Begegnungen mit dem Ritter absolvierst.")</f>
        <v>Pfad des Abenteurers: Treffpunkt Du kannst [etwas] erhalten, indem du eine bestimmte Anzahl von Begegnungen mit dem Ritter absolvierst.</v>
      </c>
      <c r="AF10" s="71" t="s">
        <v>3683</v>
      </c>
      <c r="AG10" s="247" t="s">
        <v>3668</v>
      </c>
      <c r="AH10" s="251" t="s">
        <v>3669</v>
      </c>
      <c r="AI10" s="149" t="s">
        <v>3684</v>
      </c>
      <c r="AJ10" s="146" t="s">
        <v>3685</v>
      </c>
      <c r="AK10" s="247" t="s">
        <v>3668</v>
      </c>
      <c r="AL10" s="132" t="s">
        <v>3669</v>
      </c>
      <c r="AM10" s="119" t="s">
        <v>3686</v>
      </c>
      <c r="AN10" s="79" t="s">
        <v>3687</v>
      </c>
      <c r="AO10" s="247" t="s">
        <v>3668</v>
      </c>
      <c r="AP10" s="116" t="s">
        <v>3669</v>
      </c>
      <c r="AQ10" s="121" t="s">
        <v>3688</v>
      </c>
      <c r="AR10" s="82" t="s">
        <v>3689</v>
      </c>
      <c r="AS10" s="247"/>
      <c r="AT10" s="116"/>
      <c r="AU10" s="121"/>
      <c r="AV10" s="82"/>
    </row>
    <row r="11">
      <c r="A11" s="247" t="s">
        <v>3690</v>
      </c>
      <c r="B11" s="120" t="s">
        <v>3691</v>
      </c>
      <c r="C11" s="119" t="s">
        <v>3692</v>
      </c>
      <c r="D11" s="79" t="s">
        <v>3693</v>
      </c>
      <c r="E11" s="247" t="s">
        <v>3690</v>
      </c>
      <c r="F11" s="120" t="s">
        <v>3694</v>
      </c>
      <c r="G11" s="119" t="s">
        <v>3695</v>
      </c>
      <c r="H11" s="79" t="s">
        <v>3696</v>
      </c>
      <c r="I11" s="247" t="s">
        <v>3690</v>
      </c>
      <c r="J11" s="120" t="s">
        <v>3697</v>
      </c>
      <c r="K11" s="119" t="s">
        <v>3698</v>
      </c>
      <c r="L11" s="79" t="s">
        <v>3699</v>
      </c>
      <c r="M11" s="247" t="s">
        <v>3690</v>
      </c>
      <c r="N11" s="120" t="s">
        <v>3700</v>
      </c>
      <c r="O11" s="119" t="s">
        <v>3701</v>
      </c>
      <c r="P11" s="79" t="s">
        <v>3702</v>
      </c>
      <c r="Q11" s="247" t="s">
        <v>3690</v>
      </c>
      <c r="R11" s="120" t="s">
        <v>3703</v>
      </c>
      <c r="S11" s="119" t="s">
        <v>3704</v>
      </c>
      <c r="T11" s="82" t="str">
        <f>IFERROR(__xludf.DUMMYFUNCTION("GOOGLETRANSLATE(D11,""zh-tw"",""es-MX"")"),"Tras compartir algunas de tus experiencias, recibirás una camiseta extra, que verás en una escena donde tu hermana la lleva puesta al llegar a casa.
(La función de cambio de ropa posterior aún no está implementada).")</f>
        <v>Tras compartir algunas de tus experiencias, recibirás una camiseta extra, que verás en una escena donde tu hermana la lleva puesta al llegar a casa.
(La función de cambio de ropa posterior aún no está implementada).</v>
      </c>
      <c r="U11" s="247" t="s">
        <v>3690</v>
      </c>
      <c r="V11" s="132" t="str">
        <f>IFERROR(__xludf.DUMMYFUNCTION("GOOGLETRANSLATE(B11,""zh-tw"",""KO"")"),"모든 관찰")</f>
        <v>모든 관찰</v>
      </c>
      <c r="W11" s="121" t="str">
        <f>IFERROR(__xludf.DUMMYFUNCTION("GOOGLETRANSLATE(C11,""zh-tw"",""KO"")"),"모험의 길을 걷는 기사들이 경험담을 공유합니다: 이상한 새의 울음소리 / 짐승 고기 요리 / 걸어다니는 버섯 요리 / 슬라임 요리 / 버려진 숲 / 유적과 연결된 돌 깨기 / 동굴에 빠지기 / 로봇 / 여동생과 게임하고 여동생의 커다란 흰 토끼 쓰다듬기
숫자는 이벤트 번호를 나타냅니다.")</f>
        <v>모험의 길을 걷는 기사들이 경험담을 공유합니다: 이상한 새의 울음소리 / 짐승 고기 요리 / 걸어다니는 버섯 요리 / 슬라임 요리 / 버려진 숲 / 유적과 연결된 돌 깨기 / 동굴에 빠지기 / 로봇 / 여동생과 게임하고 여동생의 커다란 흰 토끼 쓰다듬기
숫자는 이벤트 번호를 나타냅니다.</v>
      </c>
      <c r="X11" s="82" t="str">
        <f>IFERROR(__xludf.DUMMYFUNCTION("GOOGLETRANSLATE(D11,""zh-tw"",""KO"")"),"일정 횟수 이상 경험을 공유하면 ""보너스 티셔츠""를 받게 되는데, 집에 돌아왔을 때 여동생이 그 티셔츠를 입고 있는 장면을 볼 수 있습니다.
(이후 의상 변경 기능은 아직 구현되지 않았습니다.)")</f>
        <v>일정 횟수 이상 경험을 공유하면 "보너스 티셔츠"를 받게 되는데, 집에 돌아왔을 때 여동생이 그 티셔츠를 입고 있는 장면을 볼 수 있습니다.
(이후 의상 변경 기능은 아직 구현되지 않았습니다.)</v>
      </c>
      <c r="Y11" s="247" t="s">
        <v>3690</v>
      </c>
      <c r="Z11" s="248" t="s">
        <v>3705</v>
      </c>
      <c r="AA11" s="249" t="s">
        <v>3706</v>
      </c>
      <c r="AB11" s="78" t="s">
        <v>3707</v>
      </c>
      <c r="AC11" s="247" t="s">
        <v>3690</v>
      </c>
      <c r="AD11" s="120" t="s">
        <v>3708</v>
      </c>
      <c r="AE11" s="250" t="s">
        <v>3709</v>
      </c>
      <c r="AF11" s="71" t="s">
        <v>3710</v>
      </c>
      <c r="AG11" s="247" t="s">
        <v>3690</v>
      </c>
      <c r="AH11" s="252" t="s">
        <v>3711</v>
      </c>
      <c r="AI11" s="149" t="s">
        <v>3712</v>
      </c>
      <c r="AJ11" s="146" t="s">
        <v>3713</v>
      </c>
      <c r="AK11" s="247" t="s">
        <v>3690</v>
      </c>
      <c r="AL11" s="132" t="s">
        <v>3714</v>
      </c>
      <c r="AM11" s="121" t="s">
        <v>3715</v>
      </c>
      <c r="AN11" s="82" t="s">
        <v>3716</v>
      </c>
      <c r="AO11" s="247" t="s">
        <v>3690</v>
      </c>
      <c r="AP11" s="116" t="s">
        <v>3717</v>
      </c>
      <c r="AQ11" s="121" t="s">
        <v>3718</v>
      </c>
      <c r="AR11" s="82" t="s">
        <v>3719</v>
      </c>
      <c r="AS11" s="247"/>
      <c r="AT11" s="116"/>
      <c r="AU11" s="121"/>
      <c r="AV11" s="82"/>
    </row>
    <row r="12">
      <c r="A12" s="247" t="s">
        <v>3720</v>
      </c>
      <c r="B12" s="120" t="s">
        <v>3721</v>
      </c>
      <c r="C12" s="119" t="s">
        <v>3722</v>
      </c>
      <c r="D12" s="79" t="s">
        <v>3723</v>
      </c>
      <c r="E12" s="247" t="s">
        <v>3724</v>
      </c>
      <c r="F12" s="120" t="s">
        <v>3725</v>
      </c>
      <c r="G12" s="119" t="s">
        <v>3726</v>
      </c>
      <c r="H12" s="79" t="s">
        <v>3727</v>
      </c>
      <c r="I12" s="247" t="s">
        <v>3724</v>
      </c>
      <c r="J12" s="120" t="s">
        <v>3728</v>
      </c>
      <c r="K12" s="119" t="s">
        <v>3729</v>
      </c>
      <c r="L12" s="79" t="s">
        <v>3730</v>
      </c>
      <c r="M12" s="247" t="s">
        <v>3724</v>
      </c>
      <c r="N12" s="120" t="s">
        <v>3731</v>
      </c>
      <c r="O12" s="119" t="s">
        <v>3732</v>
      </c>
      <c r="P12" s="79" t="s">
        <v>3733</v>
      </c>
      <c r="Q12" s="247" t="s">
        <v>3724</v>
      </c>
      <c r="R12" s="120" t="s">
        <v>3734</v>
      </c>
      <c r="S12" s="121" t="str">
        <f>IFERROR(__xludf.DUMMYFUNCTION("GOOGLETRANSLATE(C12,""zh-tw"",""es-MX"")"),"Sendero del Aventurero: Punto de Reunión, hay un cofre del tesoro en la esquina superior izquierda.")</f>
        <v>Sendero del Aventurero: Punto de Reunión, hay un cofre del tesoro en la esquina superior izquierda.</v>
      </c>
      <c r="T12" s="82" t="str">
        <f>IFERROR(__xludf.DUMMYFUNCTION("GOOGLETRANSLATE(D12,""zh-tw"",""es-MX"")"),"Obtén el arma Chidori, nota especial en la historia.")</f>
        <v>Obtén el arma Chidori, nota especial en la historia.</v>
      </c>
      <c r="U12" s="247" t="s">
        <v>3724</v>
      </c>
      <c r="V12" s="132" t="str">
        <f>IFERROR(__xludf.DUMMYFUNCTION("GOOGLETRANSLATE(B12,""zh-tw"",""KO"")"),"숨겨진 통로")</f>
        <v>숨겨진 통로</v>
      </c>
      <c r="W12" s="121" t="str">
        <f>IFERROR(__xludf.DUMMYFUNCTION("GOOGLETRANSLATE(C12,""zh-tw"",""KO"")"),"어드벤처스 패스: 집결지, 왼쪽 상단에 보물 상자가 있습니다.")</f>
        <v>어드벤처스 패스: 집결지, 왼쪽 상단에 보물 상자가 있습니다.</v>
      </c>
      <c r="X12" s="82" t="str">
        <f>IFERROR(__xludf.DUMMYFUNCTION("GOOGLETRANSLATE(D12,""zh-tw"",""KO"")"),"무기 획득 - 치도리, 특별 참고 사항 스토리라인")</f>
        <v>무기 획득 - 치도리, 특별 참고 사항 스토리라인</v>
      </c>
      <c r="Y12" s="247" t="s">
        <v>3724</v>
      </c>
      <c r="Z12" s="248" t="s">
        <v>3735</v>
      </c>
      <c r="AA12" s="249" t="s">
        <v>3736</v>
      </c>
      <c r="AB12" s="69" t="s">
        <v>3737</v>
      </c>
      <c r="AC12" s="247" t="s">
        <v>3724</v>
      </c>
      <c r="AD12" s="120" t="s">
        <v>3738</v>
      </c>
      <c r="AE12" s="250" t="s">
        <v>3739</v>
      </c>
      <c r="AF12" s="71" t="s">
        <v>3740</v>
      </c>
      <c r="AG12" s="247" t="s">
        <v>3724</v>
      </c>
      <c r="AH12" s="252" t="s">
        <v>3741</v>
      </c>
      <c r="AI12" s="145" t="s">
        <v>3742</v>
      </c>
      <c r="AJ12" s="148" t="s">
        <v>3743</v>
      </c>
      <c r="AK12" s="247" t="s">
        <v>3724</v>
      </c>
      <c r="AL12" s="120" t="s">
        <v>3744</v>
      </c>
      <c r="AM12" s="121" t="s">
        <v>3745</v>
      </c>
      <c r="AN12" s="82" t="s">
        <v>3746</v>
      </c>
      <c r="AO12" s="247" t="s">
        <v>3724</v>
      </c>
      <c r="AP12" s="120" t="s">
        <v>3747</v>
      </c>
      <c r="AQ12" s="121" t="s">
        <v>3748</v>
      </c>
      <c r="AR12" s="82" t="s">
        <v>3749</v>
      </c>
      <c r="AS12" s="247"/>
      <c r="AT12" s="120"/>
      <c r="AU12" s="121"/>
      <c r="AV12" s="82"/>
    </row>
    <row r="13">
      <c r="A13" s="247" t="s">
        <v>3724</v>
      </c>
      <c r="B13" s="120" t="s">
        <v>3721</v>
      </c>
      <c r="C13" s="119" t="s">
        <v>3750</v>
      </c>
      <c r="D13" s="79" t="s">
        <v>3751</v>
      </c>
      <c r="E13" s="247" t="s">
        <v>3752</v>
      </c>
      <c r="F13" s="120" t="s">
        <v>3753</v>
      </c>
      <c r="G13" s="119" t="s">
        <v>3754</v>
      </c>
      <c r="H13" s="79" t="s">
        <v>3755</v>
      </c>
      <c r="I13" s="247" t="s">
        <v>3752</v>
      </c>
      <c r="J13" s="120" t="s">
        <v>3728</v>
      </c>
      <c r="K13" s="119" t="s">
        <v>3756</v>
      </c>
      <c r="L13" s="79" t="s">
        <v>3757</v>
      </c>
      <c r="M13" s="247" t="s">
        <v>3752</v>
      </c>
      <c r="N13" s="120" t="s">
        <v>3731</v>
      </c>
      <c r="O13" s="119" t="s">
        <v>3758</v>
      </c>
      <c r="P13" s="79" t="s">
        <v>3759</v>
      </c>
      <c r="Q13" s="247" t="s">
        <v>3752</v>
      </c>
      <c r="R13" s="120" t="s">
        <v>3734</v>
      </c>
      <c r="S13" s="121" t="str">
        <f>IFERROR(__xludf.DUMMYFUNCTION("GOOGLETRANSLATE(C13,""zh-tw"",""es-MX"")"),"Tras subir por la cuerda que hay a la derecha de la máquina expendedora en ""Sendero del Aventurero: Lugar de Encuentro"", un pasaje oculto conduce al gran bosque que se encuentra más abajo.")</f>
        <v>Tras subir por la cuerda que hay a la derecha de la máquina expendedora en "Sendero del Aventurero: Lugar de Encuentro", un pasaje oculto conduce al gran bosque que se encuentra más abajo.</v>
      </c>
      <c r="T13" s="82" t="str">
        <f>IFERROR(__xludf.DUMMYFUNCTION("GOOGLETRANSLATE(D13,""zh-tw"",""es-MX"")"),"El robot que encuentres desaparecerá al día siguiente, momento en el que podrás iniciar un encuentro.
(Aún no implementado)
Objeto obtenido: Núcleo de Evolución")</f>
        <v>El robot que encuentres desaparecerá al día siguiente, momento en el que podrás iniciar un encuentro.
(Aún no implementado)
Objeto obtenido: Núcleo de Evolución</v>
      </c>
      <c r="U13" s="247" t="s">
        <v>3752</v>
      </c>
      <c r="V13" s="132" t="str">
        <f>IFERROR(__xludf.DUMMYFUNCTION("GOOGLETRANSLATE(B13,""zh-tw"",""KO"")"),"숨겨진 통로")</f>
        <v>숨겨진 통로</v>
      </c>
      <c r="W13" s="121" t="str">
        <f>IFERROR(__xludf.DUMMYFUNCTION("GOOGLETRANSLATE(C13,""zh-tw"",""KO"")"),"""모험가의 길: 집결지""에 있는 자판기 오른쪽에 있는 밧줄을 타고 올라가면 아래쪽 넓은 숲으로 이어지는 숨겨진 통로가 있습니다.")</f>
        <v>"모험가의 길: 집결지"에 있는 자판기 오른쪽에 있는 밧줄을 타고 올라가면 아래쪽 넓은 숲으로 이어지는 숨겨진 통로가 있습니다.</v>
      </c>
      <c r="X13" s="82" t="str">
        <f>IFERROR(__xludf.DUMMYFUNCTION("GOOGLETRANSLATE(D13,""zh-tw"",""KO"")"),"발견한 메카는 다음 날 사라지며, 그 시점에 전투가 발생합니다.
(아직 구현되지 않음)
획득 아이템: 진화 코어")</f>
        <v>발견한 메카는 다음 날 사라지며, 그 시점에 전투가 발생합니다.
(아직 구현되지 않음)
획득 아이템: 진화 코어</v>
      </c>
      <c r="Y13" s="247" t="s">
        <v>3752</v>
      </c>
      <c r="Z13" s="248" t="s">
        <v>3760</v>
      </c>
      <c r="AA13" s="249" t="s">
        <v>3761</v>
      </c>
      <c r="AB13" s="69" t="s">
        <v>3762</v>
      </c>
      <c r="AC13" s="247" t="s">
        <v>3752</v>
      </c>
      <c r="AD13" s="120" t="s">
        <v>3763</v>
      </c>
      <c r="AE13" s="250" t="s">
        <v>3764</v>
      </c>
      <c r="AF13" s="71" t="s">
        <v>3765</v>
      </c>
      <c r="AG13" s="247" t="s">
        <v>3752</v>
      </c>
      <c r="AH13" s="252" t="s">
        <v>3741</v>
      </c>
      <c r="AI13" s="145" t="s">
        <v>3766</v>
      </c>
      <c r="AJ13" s="148" t="s">
        <v>3767</v>
      </c>
      <c r="AK13" s="247" t="s">
        <v>3752</v>
      </c>
      <c r="AL13" s="120" t="s">
        <v>3744</v>
      </c>
      <c r="AM13" s="121" t="s">
        <v>3768</v>
      </c>
      <c r="AN13" s="82" t="s">
        <v>3769</v>
      </c>
      <c r="AO13" s="247" t="s">
        <v>3752</v>
      </c>
      <c r="AP13" s="120" t="s">
        <v>3747</v>
      </c>
      <c r="AQ13" s="121" t="s">
        <v>3770</v>
      </c>
      <c r="AR13" s="82" t="s">
        <v>3771</v>
      </c>
      <c r="AS13" s="247"/>
      <c r="AT13" s="120"/>
      <c r="AU13" s="121"/>
      <c r="AV13" s="82"/>
    </row>
    <row r="14">
      <c r="A14" s="242"/>
      <c r="B14" s="243" t="s">
        <v>3772</v>
      </c>
      <c r="E14" s="242"/>
      <c r="F14" s="242"/>
      <c r="I14" s="242"/>
      <c r="J14" s="243" t="s">
        <v>3773</v>
      </c>
      <c r="M14" s="242"/>
      <c r="N14" s="241" t="s">
        <v>3774</v>
      </c>
      <c r="Q14" s="242"/>
      <c r="R14" s="242"/>
      <c r="U14" s="242"/>
      <c r="V14" s="244"/>
      <c r="Y14" s="242"/>
      <c r="Z14" s="245" t="s">
        <v>3775</v>
      </c>
      <c r="AC14" s="242"/>
      <c r="AD14" s="242"/>
      <c r="AG14" s="242"/>
      <c r="AH14" s="242"/>
      <c r="AK14" s="242"/>
      <c r="AL14" s="255" t="s">
        <v>3776</v>
      </c>
      <c r="AO14" s="242"/>
      <c r="AP14" s="242"/>
      <c r="AS14" s="242"/>
      <c r="AT14" s="242"/>
    </row>
    <row r="15">
      <c r="A15" s="247" t="s">
        <v>3777</v>
      </c>
      <c r="B15" s="120" t="s">
        <v>3778</v>
      </c>
      <c r="C15" s="119" t="s">
        <v>3779</v>
      </c>
      <c r="D15" s="79" t="s">
        <v>3780</v>
      </c>
      <c r="E15" s="247" t="s">
        <v>3777</v>
      </c>
      <c r="F15" s="120" t="s">
        <v>3781</v>
      </c>
      <c r="G15" s="119" t="s">
        <v>3782</v>
      </c>
      <c r="H15" s="79" t="s">
        <v>3783</v>
      </c>
      <c r="I15" s="247" t="s">
        <v>3777</v>
      </c>
      <c r="J15" s="120" t="s">
        <v>3784</v>
      </c>
      <c r="K15" s="119" t="s">
        <v>3785</v>
      </c>
      <c r="L15" s="79" t="s">
        <v>3786</v>
      </c>
      <c r="M15" s="247" t="s">
        <v>3777</v>
      </c>
      <c r="N15" s="120" t="s">
        <v>3778</v>
      </c>
      <c r="O15" s="119" t="s">
        <v>3787</v>
      </c>
      <c r="P15" s="79" t="s">
        <v>3788</v>
      </c>
      <c r="Q15" s="247" t="s">
        <v>3777</v>
      </c>
      <c r="R15" s="132" t="s">
        <v>3789</v>
      </c>
      <c r="S15" s="121" t="str">
        <f>IFERROR(__xludf.DUMMYFUNCTION("GOOGLETRANSLATE(C15,""zh-tw"",""es-MX"")"),"Sendero del Aventurero: Bosque
Recoge el hacha que está detrás de la chimenea de la cabaña.
(El hacha se encuentra a la izquierda de la cabaña).")</f>
        <v>Sendero del Aventurero: Bosque
Recoge el hacha que está detrás de la chimenea de la cabaña.
(El hacha se encuentra a la izquierda de la cabaña).</v>
      </c>
      <c r="T15" s="82" t="str">
        <f>IFERROR(__xludf.DUMMYFUNCTION("GOOGLETRANSLATE(D15,""zh-tw"",""es-MX"")"),"Los 5000 dólares se repondrán después de que llueva, pero la cantidad será menor.")</f>
        <v>Los 5000 dólares se repondrán después de que llueva, pero la cantidad será menor.</v>
      </c>
      <c r="U15" s="247" t="s">
        <v>3777</v>
      </c>
      <c r="V15" s="120" t="s">
        <v>3790</v>
      </c>
      <c r="W15" s="119" t="s">
        <v>3791</v>
      </c>
      <c r="X15" s="79" t="s">
        <v>3792</v>
      </c>
      <c r="Y15" s="247" t="s">
        <v>3777</v>
      </c>
      <c r="Z15" s="248" t="s">
        <v>3793</v>
      </c>
      <c r="AA15" s="249" t="s">
        <v>3794</v>
      </c>
      <c r="AB15" s="69" t="s">
        <v>3795</v>
      </c>
      <c r="AC15" s="247" t="s">
        <v>3777</v>
      </c>
      <c r="AD15" s="120" t="s">
        <v>3796</v>
      </c>
      <c r="AE15" s="250" t="s">
        <v>3797</v>
      </c>
      <c r="AF15" s="71" t="s">
        <v>3798</v>
      </c>
      <c r="AG15" s="247" t="s">
        <v>3777</v>
      </c>
      <c r="AH15" s="251" t="s">
        <v>3799</v>
      </c>
      <c r="AI15" s="145" t="s">
        <v>3800</v>
      </c>
      <c r="AJ15" s="148" t="s">
        <v>3801</v>
      </c>
      <c r="AK15" s="247" t="s">
        <v>3777</v>
      </c>
      <c r="AL15" s="132" t="s">
        <v>3802</v>
      </c>
      <c r="AM15" s="121" t="s">
        <v>3803</v>
      </c>
      <c r="AN15" s="82" t="s">
        <v>3804</v>
      </c>
      <c r="AO15" s="247" t="s">
        <v>3777</v>
      </c>
      <c r="AP15" s="120" t="s">
        <v>3784</v>
      </c>
      <c r="AQ15" s="119" t="s">
        <v>3805</v>
      </c>
      <c r="AR15" s="79" t="s">
        <v>3806</v>
      </c>
      <c r="AS15" s="247"/>
      <c r="AT15" s="120"/>
      <c r="AU15" s="119"/>
      <c r="AV15" s="79"/>
    </row>
    <row r="16">
      <c r="A16" s="247" t="s">
        <v>3807</v>
      </c>
      <c r="B16" s="120" t="s">
        <v>3808</v>
      </c>
      <c r="C16" s="119" t="s">
        <v>3809</v>
      </c>
      <c r="D16" s="79" t="s">
        <v>3810</v>
      </c>
      <c r="E16" s="247" t="s">
        <v>3807</v>
      </c>
      <c r="F16" s="120" t="s">
        <v>3811</v>
      </c>
      <c r="G16" s="119" t="s">
        <v>3812</v>
      </c>
      <c r="H16" s="79" t="s">
        <v>3813</v>
      </c>
      <c r="I16" s="247" t="s">
        <v>3807</v>
      </c>
      <c r="J16" s="120" t="s">
        <v>3814</v>
      </c>
      <c r="K16" s="119" t="s">
        <v>3815</v>
      </c>
      <c r="L16" s="79" t="s">
        <v>3816</v>
      </c>
      <c r="M16" s="247" t="s">
        <v>3807</v>
      </c>
      <c r="N16" s="120" t="s">
        <v>3817</v>
      </c>
      <c r="O16" s="121" t="s">
        <v>3818</v>
      </c>
      <c r="P16" s="82" t="s">
        <v>3819</v>
      </c>
      <c r="Q16" s="247" t="s">
        <v>3807</v>
      </c>
      <c r="R16" s="132" t="s">
        <v>3820</v>
      </c>
      <c r="S16" s="121" t="str">
        <f>IFERROR(__xludf.DUMMYFUNCTION("GOOGLETRANSLATE(C16,""zh-tw"",""es-MX"")"),"La Cabaña del Cazador ya está abierta a la exploración; debes derribar la puerta para entrar.
Puedes encontrar la Túnica del Cazador en el montón de pieles.
Puedes encontrar el Cinturón del Cazador en el armario central.
")</f>
        <v>La Cabaña del Cazador ya está abierta a la exploración; debes derribar la puerta para entrar.
Puedes encontrar la Túnica del Cazador en el montón de pieles.
Puedes encontrar el Cinturón del Cazador en el armario central.
</v>
      </c>
      <c r="T16" s="82" t="str">
        <f>IFERROR(__xludf.DUMMYFUNCTION("GOOGLETRANSLATE(D16,""zh-tw"",""es-MX"")"),"Equipo adquirido: Traje de cazador, Cinturón de cazador
*Se prevé la incorporación de un PNJ en el futuro.")</f>
        <v>Equipo adquirido: Traje de cazador, Cinturón de cazador
*Se prevé la incorporación de un PNJ en el futuro.</v>
      </c>
      <c r="U16" s="247" t="s">
        <v>3807</v>
      </c>
      <c r="V16" s="132" t="str">
        <f>IFERROR(__xludf.DUMMYFUNCTION("GOOGLETRANSLATE(B16,""zh-tw"",""KO"")"),"헌터스 롯지")</f>
        <v>헌터스 롯지</v>
      </c>
      <c r="W16" s="121" t="str">
        <f>IFERROR(__xludf.DUMMYFUNCTION("GOOGLETRANSLATE(C16,""zh-tw"",""KO"")"),"사냥꾼의 오두막이 이제 탐험 가능해졌습니다. 문을 부수고 들어가세요.
사냥꾼의 로브는 모피 더미에서 찾을 수 있습니다.
사냥꾼의 벨트는 중앙 캐비닛 더미에서 찾을 수 있습니다.
")</f>
        <v>사냥꾼의 오두막이 이제 탐험 가능해졌습니다. 문을 부수고 들어가세요.
사냥꾼의 로브는 모피 더미에서 찾을 수 있습니다.
사냥꾼의 벨트는 중앙 캐비닛 더미에서 찾을 수 있습니다.
</v>
      </c>
      <c r="X16" s="82" t="str">
        <f>IFERROR(__xludf.DUMMYFUNCTION("GOOGLETRANSLATE(D16,""zh-tw"",""KO"")"),"획득 장비: 헌터 슈트, 헌터 벨트
*향후 NPC가 추가될 예정입니다.")</f>
        <v>획득 장비: 헌터 슈트, 헌터 벨트
*향후 NPC가 추가될 예정입니다.</v>
      </c>
      <c r="Y16" s="247" t="s">
        <v>3807</v>
      </c>
      <c r="Z16" s="248" t="s">
        <v>3821</v>
      </c>
      <c r="AA16" s="249" t="s">
        <v>3822</v>
      </c>
      <c r="AB16" s="69" t="s">
        <v>3823</v>
      </c>
      <c r="AC16" s="247" t="s">
        <v>3807</v>
      </c>
      <c r="AD16" s="120" t="s">
        <v>3824</v>
      </c>
      <c r="AE16" s="119" t="s">
        <v>3825</v>
      </c>
      <c r="AF16" s="79" t="s">
        <v>3826</v>
      </c>
      <c r="AG16" s="247" t="s">
        <v>3807</v>
      </c>
      <c r="AH16" s="251" t="s">
        <v>3827</v>
      </c>
      <c r="AI16" s="145" t="s">
        <v>3828</v>
      </c>
      <c r="AJ16" s="148" t="s">
        <v>3829</v>
      </c>
      <c r="AK16" s="247" t="s">
        <v>3807</v>
      </c>
      <c r="AL16" s="132" t="s">
        <v>3830</v>
      </c>
      <c r="AM16" s="121" t="s">
        <v>3831</v>
      </c>
      <c r="AN16" s="82" t="s">
        <v>3832</v>
      </c>
      <c r="AO16" s="247" t="s">
        <v>3807</v>
      </c>
      <c r="AP16" s="116" t="s">
        <v>3833</v>
      </c>
      <c r="AQ16" s="121" t="s">
        <v>3834</v>
      </c>
      <c r="AR16" s="82" t="s">
        <v>3835</v>
      </c>
      <c r="AS16" s="247"/>
      <c r="AT16" s="116"/>
      <c r="AU16" s="121"/>
      <c r="AV16" s="82"/>
    </row>
    <row r="17">
      <c r="A17" s="247" t="s">
        <v>3836</v>
      </c>
      <c r="B17" s="120" t="s">
        <v>3837</v>
      </c>
      <c r="C17" s="119" t="s">
        <v>3838</v>
      </c>
      <c r="D17" s="79" t="s">
        <v>3839</v>
      </c>
      <c r="E17" s="247" t="s">
        <v>3836</v>
      </c>
      <c r="F17" s="120" t="s">
        <v>3840</v>
      </c>
      <c r="G17" s="119" t="s">
        <v>3841</v>
      </c>
      <c r="H17" s="79" t="s">
        <v>3842</v>
      </c>
      <c r="I17" s="247" t="s">
        <v>3836</v>
      </c>
      <c r="J17" s="120" t="s">
        <v>3843</v>
      </c>
      <c r="K17" s="119" t="s">
        <v>3844</v>
      </c>
      <c r="L17" s="79" t="s">
        <v>3845</v>
      </c>
      <c r="M17" s="247" t="s">
        <v>3836</v>
      </c>
      <c r="N17" s="120" t="s">
        <v>3846</v>
      </c>
      <c r="O17" s="121" t="s">
        <v>3847</v>
      </c>
      <c r="P17" s="82" t="s">
        <v>3848</v>
      </c>
      <c r="Q17" s="247" t="s">
        <v>3836</v>
      </c>
      <c r="R17" s="132" t="s">
        <v>3849</v>
      </c>
      <c r="S17" s="121" t="str">
        <f>IFERROR(__xludf.DUMMYFUNCTION("GOOGLETRANSLATE(C17,""zh-tw"",""es-MX"")"),"En la parte inferior central del tablón de madera hay un pasaje secreto, al que se puede acceder mediante explosiones u otros medios.
Allí podrás conseguir la Daga del Cazador.
Y en el barril de la esquina inferior derecha, encontrarás la Insignia de la"&amp;" Espada Guardiana.")</f>
        <v>En la parte inferior central del tablón de madera hay un pasaje secreto, al que se puede acceder mediante explosiones u otros medios.
Allí podrás conseguir la Daga del Cazador.
Y en el barril de la esquina inferior derecha, encontrarás la Insignia de la Espada Guardiana.</v>
      </c>
      <c r="T17" s="82" t="str">
        <f>IFERROR(__xludf.DUMMYFUNCTION("GOOGLETRANSLATE(D17,""zh-tw"",""es-MX"")"),"Equipo adquirido: Daga del cazador, Insignia del maestro de la espada guardiana")</f>
        <v>Equipo adquirido: Daga del cazador, Insignia del maestro de la espada guardiana</v>
      </c>
      <c r="U17" s="247" t="s">
        <v>3836</v>
      </c>
      <c r="V17" s="132" t="str">
        <f>IFERROR(__xludf.DUMMYFUNCTION("GOOGLETRANSLATE(B17,""zh-tw"",""KO"")"),"헌터스 로지 - 지하실")</f>
        <v>헌터스 로지 - 지하실</v>
      </c>
      <c r="W17" s="121" t="str">
        <f>IFERROR(__xludf.DUMMYFUNCTION("GOOGLETRANSLATE(C17,""zh-tw"",""KO"")"),"나무판자 아래쪽 중앙에는 폭발이나 다른 방법을 통해 접근할 수 있는 숨겨진 통로가 있습니다.
그곳에서 사냥꾼의 단검을 얻을 수 있습니다.
그리고 오른쪽 아래 구석에 있는 통 안에는 수호자의 검 배지가 있습니다.")</f>
        <v>나무판자 아래쪽 중앙에는 폭발이나 다른 방법을 통해 접근할 수 있는 숨겨진 통로가 있습니다.
그곳에서 사냥꾼의 단검을 얻을 수 있습니다.
그리고 오른쪽 아래 구석에 있는 통 안에는 수호자의 검 배지가 있습니다.</v>
      </c>
      <c r="X17" s="82" t="str">
        <f>IFERROR(__xludf.DUMMYFUNCTION("GOOGLETRANSLATE(D17,""zh-tw"",""KO"")"),"획득 장비: 사냥꾼의 단검, 수호검 달인의 휘장")</f>
        <v>획득 장비: 사냥꾼의 단검, 수호검 달인의 휘장</v>
      </c>
      <c r="Y17" s="247" t="s">
        <v>3836</v>
      </c>
      <c r="Z17" s="248" t="s">
        <v>3850</v>
      </c>
      <c r="AA17" s="249" t="s">
        <v>3851</v>
      </c>
      <c r="AB17" s="69" t="s">
        <v>3852</v>
      </c>
      <c r="AC17" s="247" t="s">
        <v>3836</v>
      </c>
      <c r="AD17" s="120" t="s">
        <v>3853</v>
      </c>
      <c r="AE17" s="119" t="s">
        <v>3854</v>
      </c>
      <c r="AF17" s="79" t="s">
        <v>3855</v>
      </c>
      <c r="AG17" s="247" t="s">
        <v>3836</v>
      </c>
      <c r="AH17" s="251" t="s">
        <v>3856</v>
      </c>
      <c r="AI17" s="145" t="s">
        <v>3857</v>
      </c>
      <c r="AJ17" s="148" t="s">
        <v>3858</v>
      </c>
      <c r="AK17" s="247" t="s">
        <v>3836</v>
      </c>
      <c r="AL17" s="132" t="s">
        <v>3859</v>
      </c>
      <c r="AM17" s="121" t="s">
        <v>3860</v>
      </c>
      <c r="AN17" s="82" t="s">
        <v>3861</v>
      </c>
      <c r="AO17" s="247" t="s">
        <v>3836</v>
      </c>
      <c r="AP17" s="116" t="s">
        <v>3862</v>
      </c>
      <c r="AQ17" s="121" t="s">
        <v>3863</v>
      </c>
      <c r="AR17" s="82" t="s">
        <v>3864</v>
      </c>
      <c r="AS17" s="247"/>
      <c r="AT17" s="116"/>
      <c r="AU17" s="121"/>
      <c r="AV17" s="82"/>
    </row>
    <row r="18">
      <c r="A18" s="247" t="s">
        <v>3865</v>
      </c>
      <c r="B18" s="120" t="s">
        <v>3721</v>
      </c>
      <c r="C18" s="119" t="s">
        <v>3866</v>
      </c>
      <c r="D18" s="79" t="s">
        <v>3867</v>
      </c>
      <c r="E18" s="247" t="s">
        <v>3865</v>
      </c>
      <c r="F18" s="120" t="s">
        <v>3725</v>
      </c>
      <c r="G18" s="119" t="s">
        <v>3868</v>
      </c>
      <c r="H18" s="79" t="s">
        <v>3869</v>
      </c>
      <c r="I18" s="247" t="s">
        <v>3865</v>
      </c>
      <c r="J18" s="120" t="s">
        <v>3728</v>
      </c>
      <c r="K18" s="119" t="s">
        <v>3870</v>
      </c>
      <c r="L18" s="79" t="s">
        <v>3871</v>
      </c>
      <c r="M18" s="247" t="s">
        <v>3865</v>
      </c>
      <c r="N18" s="120" t="s">
        <v>3731</v>
      </c>
      <c r="O18" s="119" t="s">
        <v>3872</v>
      </c>
      <c r="P18" s="79" t="s">
        <v>3873</v>
      </c>
      <c r="Q18" s="247" t="s">
        <v>3865</v>
      </c>
      <c r="R18" s="120" t="s">
        <v>3874</v>
      </c>
      <c r="S18" s="121" t="str">
        <f>IFERROR(__xludf.DUMMYFUNCTION("GOOGLETRANSLATE(C18,""zh-tw"",""es-MX"")"),"Sendero del Aventurero: Objeto oculto en la esquina inferior derecha del bosque.")</f>
        <v>Sendero del Aventurero: Objeto oculto en la esquina inferior derecha del bosque.</v>
      </c>
      <c r="T18" s="82" t="str">
        <f>IFERROR(__xludf.DUMMYFUNCTION("GOOGLETRANSLATE(D18,""zh-tw"",""es-MX"")"),"Obtener artículos")</f>
        <v>Obtener artículos</v>
      </c>
      <c r="U18" s="247" t="s">
        <v>3865</v>
      </c>
      <c r="V18" s="132" t="str">
        <f>IFERROR(__xludf.DUMMYFUNCTION("GOOGLETRANSLATE(B18,""zh-tw"",""KO"")"),"숨겨진 통로")</f>
        <v>숨겨진 통로</v>
      </c>
      <c r="W18" s="121" t="str">
        <f>IFERROR(__xludf.DUMMYFUNCTION("GOOGLETRANSLATE(C18,""zh-tw"",""KO"")"),"모험가의 길: 숲의 오른쪽 아래 구석에 숨겨진 아이템이 있습니다.")</f>
        <v>모험가의 길: 숲의 오른쪽 아래 구석에 숨겨진 아이템이 있습니다.</v>
      </c>
      <c r="X18" s="82" t="str">
        <f>IFERROR(__xludf.DUMMYFUNCTION("GOOGLETRANSLATE(D18,""zh-tw"",""KO"")"),"아이템을 획득하세요")</f>
        <v>아이템을 획득하세요</v>
      </c>
      <c r="Y18" s="247" t="s">
        <v>3865</v>
      </c>
      <c r="Z18" s="248" t="s">
        <v>3760</v>
      </c>
      <c r="AA18" s="249" t="s">
        <v>3875</v>
      </c>
      <c r="AB18" s="69" t="s">
        <v>3876</v>
      </c>
      <c r="AC18" s="247" t="s">
        <v>3865</v>
      </c>
      <c r="AD18" s="120" t="s">
        <v>3738</v>
      </c>
      <c r="AE18" s="250" t="s">
        <v>3877</v>
      </c>
      <c r="AF18" s="71" t="s">
        <v>3878</v>
      </c>
      <c r="AG18" s="247" t="s">
        <v>3865</v>
      </c>
      <c r="AH18" s="252" t="s">
        <v>3741</v>
      </c>
      <c r="AI18" s="145" t="s">
        <v>3879</v>
      </c>
      <c r="AJ18" s="148" t="s">
        <v>3880</v>
      </c>
      <c r="AK18" s="247" t="s">
        <v>3865</v>
      </c>
      <c r="AL18" s="120" t="s">
        <v>3744</v>
      </c>
      <c r="AM18" s="121" t="s">
        <v>3881</v>
      </c>
      <c r="AN18" s="82" t="s">
        <v>3882</v>
      </c>
      <c r="AO18" s="247" t="s">
        <v>3865</v>
      </c>
      <c r="AP18" s="120" t="s">
        <v>3747</v>
      </c>
      <c r="AQ18" s="121" t="s">
        <v>3883</v>
      </c>
      <c r="AR18" s="82" t="s">
        <v>3884</v>
      </c>
      <c r="AS18" s="247"/>
      <c r="AT18" s="120"/>
      <c r="AU18" s="121"/>
      <c r="AV18" s="82"/>
    </row>
    <row r="19">
      <c r="A19" s="247" t="s">
        <v>3885</v>
      </c>
      <c r="B19" s="120" t="s">
        <v>3886</v>
      </c>
      <c r="C19" s="119" t="s">
        <v>3887</v>
      </c>
      <c r="D19" s="79" t="s">
        <v>3888</v>
      </c>
      <c r="E19" s="247" t="s">
        <v>3885</v>
      </c>
      <c r="F19" s="120" t="s">
        <v>3889</v>
      </c>
      <c r="G19" s="119" t="s">
        <v>3890</v>
      </c>
      <c r="H19" s="79" t="s">
        <v>3891</v>
      </c>
      <c r="I19" s="247" t="s">
        <v>3885</v>
      </c>
      <c r="J19" s="120" t="s">
        <v>3892</v>
      </c>
      <c r="K19" s="119" t="s">
        <v>3893</v>
      </c>
      <c r="L19" s="79" t="s">
        <v>3894</v>
      </c>
      <c r="M19" s="247" t="s">
        <v>3885</v>
      </c>
      <c r="N19" s="120" t="s">
        <v>3886</v>
      </c>
      <c r="O19" s="121" t="s">
        <v>3895</v>
      </c>
      <c r="P19" s="82" t="s">
        <v>3896</v>
      </c>
      <c r="Q19" s="247" t="s">
        <v>3885</v>
      </c>
      <c r="R19" s="132" t="s">
        <v>3897</v>
      </c>
      <c r="S19" s="121" t="str">
        <f>IFERROR(__xludf.DUMMYFUNCTION("GOOGLETRANSLATE(C19,""zh-tw"",""es-MX"")"),"Sendero del Aventurero: Bosque-2, punto de encuentro en el pasaje oculto del medio.")</f>
        <v>Sendero del Aventurero: Bosque-2, punto de encuentro en el pasaje oculto del medio.</v>
      </c>
      <c r="T19" s="82" t="str">
        <f>IFERROR(__xludf.DUMMYFUNCTION("GOOGLETRANSLATE(D19,""zh-tw"",""es-MX"")"),"Objeto obtenido: Carta del Tarot - La Templanza
(Se recarga en días lluviosos)")</f>
        <v>Objeto obtenido: Carta del Tarot - La Templanza
(Se recarga en días lluviosos)</v>
      </c>
      <c r="U19" s="247" t="s">
        <v>3885</v>
      </c>
      <c r="V19" s="132" t="str">
        <f>IFERROR(__xludf.DUMMYFUNCTION("GOOGLETRANSLATE(B19,""zh-tw"",""KO"")"),"숨겨진 아이템")</f>
        <v>숨겨진 아이템</v>
      </c>
      <c r="W19" s="121" t="str">
        <f>IFERROR(__xludf.DUMMYFUNCTION("GOOGLETRANSLATE(C19,""zh-tw"",""KO"")"),"모험가의 길: 숲 2, 중앙의 숨겨진 통로에 집결")</f>
        <v>모험가의 길: 숲 2, 중앙의 숨겨진 통로에 집결</v>
      </c>
      <c r="X19" s="82" t="str">
        <f>IFERROR(__xludf.DUMMYFUNCTION("GOOGLETRANSLATE(D19,""zh-tw"",""KO"")"),"획득 아이템: 타로 카드 - 절제
(비 오는 날에 효과가 사라집니다)")</f>
        <v>획득 아이템: 타로 카드 - 절제
(비 오는 날에 효과가 사라집니다)</v>
      </c>
      <c r="Y19" s="247" t="s">
        <v>3885</v>
      </c>
      <c r="Z19" s="256" t="s">
        <v>3898</v>
      </c>
      <c r="AA19" s="249" t="s">
        <v>3899</v>
      </c>
      <c r="AB19" s="78" t="s">
        <v>3900</v>
      </c>
      <c r="AC19" s="247" t="s">
        <v>3885</v>
      </c>
      <c r="AD19" s="120" t="s">
        <v>3901</v>
      </c>
      <c r="AE19" s="250" t="s">
        <v>3902</v>
      </c>
      <c r="AF19" s="71" t="s">
        <v>3903</v>
      </c>
      <c r="AG19" s="247" t="s">
        <v>3885</v>
      </c>
      <c r="AH19" s="257" t="s">
        <v>3904</v>
      </c>
      <c r="AI19" s="258" t="s">
        <v>3905</v>
      </c>
      <c r="AJ19" s="259" t="s">
        <v>3906</v>
      </c>
      <c r="AK19" s="247" t="s">
        <v>3885</v>
      </c>
      <c r="AL19" s="120" t="s">
        <v>3907</v>
      </c>
      <c r="AM19" s="119" t="s">
        <v>3908</v>
      </c>
      <c r="AN19" s="79" t="s">
        <v>3909</v>
      </c>
      <c r="AO19" s="247" t="s">
        <v>3885</v>
      </c>
      <c r="AP19" s="116" t="s">
        <v>3910</v>
      </c>
      <c r="AQ19" s="121" t="s">
        <v>3911</v>
      </c>
      <c r="AR19" s="82" t="s">
        <v>3912</v>
      </c>
      <c r="AS19" s="247"/>
      <c r="AT19" s="116"/>
      <c r="AU19" s="121"/>
      <c r="AV19" s="82"/>
    </row>
    <row r="20">
      <c r="A20" s="247" t="s">
        <v>3913</v>
      </c>
      <c r="B20" s="120" t="s">
        <v>3914</v>
      </c>
      <c r="C20" s="129" t="s">
        <v>3915</v>
      </c>
      <c r="D20" s="140" t="s">
        <v>3916</v>
      </c>
      <c r="E20" s="247" t="s">
        <v>3913</v>
      </c>
      <c r="F20" s="120" t="s">
        <v>3917</v>
      </c>
      <c r="G20" s="119" t="s">
        <v>3918</v>
      </c>
      <c r="H20" s="79" t="s">
        <v>3919</v>
      </c>
      <c r="I20" s="247" t="s">
        <v>3913</v>
      </c>
      <c r="J20" s="120" t="s">
        <v>3920</v>
      </c>
      <c r="K20" s="119" t="s">
        <v>3921</v>
      </c>
      <c r="L20" s="79" t="s">
        <v>3922</v>
      </c>
      <c r="M20" s="247" t="s">
        <v>3913</v>
      </c>
      <c r="N20" s="120" t="s">
        <v>3923</v>
      </c>
      <c r="O20" s="119" t="s">
        <v>3924</v>
      </c>
      <c r="P20" s="79" t="s">
        <v>3925</v>
      </c>
      <c r="Q20" s="247" t="s">
        <v>3913</v>
      </c>
      <c r="R20" s="132" t="s">
        <v>3926</v>
      </c>
      <c r="S20" s="121" t="str">
        <f>IFERROR(__xludf.DUMMYFUNCTION("GOOGLETRANSLATE(C20,""zh-tw"",""es-MX"")"),"Desde ""Sendero del Aventurero: Bosque-2"", tras pasar el tablón de anuncios, se puede llegar a ""Bosque de Ruinas (Conejo Blanco del Jardín en Miniatura)"" atravesando el bosque.")</f>
        <v>Desde "Sendero del Aventurero: Bosque-2", tras pasar el tablón de anuncios, se puede llegar a "Bosque de Ruinas (Conejo Blanco del Jardín en Miniatura)" atravesando el bosque.</v>
      </c>
      <c r="T20" s="82" t="str">
        <f>IFERROR(__xludf.DUMMYFUNCTION("GOOGLETRANSLATE(D20,""zh-tw"",""es-MX"")"),"Llegada al ""Bosque de las Ruinas""
(El Conejo Blanco del Pequeño Jardín)")</f>
        <v>Llegada al "Bosque de las Ruinas"
(El Conejo Blanco del Pequeño Jardín)</v>
      </c>
      <c r="U20" s="247" t="s">
        <v>3913</v>
      </c>
      <c r="V20" s="132" t="str">
        <f>IFERROR(__xludf.DUMMYFUNCTION("GOOGLETRANSLATE(B20,""zh-tw"",""KO"")"),"폐허의 숲(작은 정원의 흰 토끼)으로 향하세요.")</f>
        <v>폐허의 숲(작은 정원의 흰 토끼)으로 향하세요.</v>
      </c>
      <c r="W20" s="121" t="str">
        <f>IFERROR(__xludf.DUMMYFUNCTION("GOOGLETRANSLATE(C20,""zh-tw"",""KO"")"),"""모험가의 길: 숲-2""에서 게시판을 지나친 후 숲을 통과하면 ""폐허의 숲(미니어처 정원의 흰 토끼)""에 도달할 수 있습니다.")</f>
        <v>"모험가의 길: 숲-2"에서 게시판을 지나친 후 숲을 통과하면 "폐허의 숲(미니어처 정원의 흰 토끼)"에 도달할 수 있습니다.</v>
      </c>
      <c r="X20" s="82" t="str">
        <f>IFERROR(__xludf.DUMMYFUNCTION("GOOGLETRANSLATE(D20,""zh-tw"",""KO"")"),"""폐허의 숲""에 도착하다
(작은 정원의 흰 토끼)")</f>
        <v>"폐허의 숲"에 도착하다
(작은 정원의 흰 토끼)</v>
      </c>
      <c r="Y20" s="260" t="s">
        <v>3913</v>
      </c>
      <c r="Z20" s="248" t="s">
        <v>3927</v>
      </c>
      <c r="AA20" s="249" t="s">
        <v>3928</v>
      </c>
      <c r="AB20" s="69" t="s">
        <v>3929</v>
      </c>
      <c r="AC20" s="247" t="s">
        <v>3913</v>
      </c>
      <c r="AD20" s="120" t="s">
        <v>3930</v>
      </c>
      <c r="AE20" s="119" t="s">
        <v>3931</v>
      </c>
      <c r="AF20" s="79" t="s">
        <v>3932</v>
      </c>
      <c r="AG20" s="247" t="s">
        <v>3913</v>
      </c>
      <c r="AH20" s="261" t="s">
        <v>3933</v>
      </c>
      <c r="AI20" s="145" t="s">
        <v>3934</v>
      </c>
      <c r="AJ20" s="199" t="s">
        <v>3935</v>
      </c>
      <c r="AK20" s="247" t="s">
        <v>3913</v>
      </c>
      <c r="AL20" s="262" t="s">
        <v>3936</v>
      </c>
      <c r="AM20" s="121" t="s">
        <v>3937</v>
      </c>
      <c r="AN20" s="82" t="s">
        <v>3938</v>
      </c>
      <c r="AO20" s="247" t="s">
        <v>3913</v>
      </c>
      <c r="AP20" s="116" t="s">
        <v>3939</v>
      </c>
      <c r="AQ20" s="121" t="s">
        <v>3940</v>
      </c>
      <c r="AR20" s="82" t="s">
        <v>3941</v>
      </c>
      <c r="AS20" s="247"/>
      <c r="AT20" s="116"/>
      <c r="AU20" s="121"/>
      <c r="AV20" s="82"/>
    </row>
    <row r="21">
      <c r="A21" s="242"/>
      <c r="B21" s="241" t="s">
        <v>3942</v>
      </c>
      <c r="E21" s="242"/>
      <c r="F21" s="244"/>
      <c r="I21" s="242"/>
      <c r="J21" s="243" t="s">
        <v>3943</v>
      </c>
      <c r="M21" s="242"/>
      <c r="N21" s="241" t="s">
        <v>3944</v>
      </c>
      <c r="Q21" s="242"/>
      <c r="R21" s="244"/>
      <c r="U21" s="242"/>
      <c r="V21" s="244"/>
      <c r="Y21" s="242"/>
      <c r="Z21" s="245" t="s">
        <v>3945</v>
      </c>
      <c r="AC21" s="242"/>
      <c r="AD21" s="242"/>
      <c r="AG21" s="242"/>
      <c r="AH21" s="244"/>
      <c r="AK21" s="242"/>
      <c r="AL21" s="246" t="s">
        <v>3946</v>
      </c>
      <c r="AO21" s="242"/>
      <c r="AP21" s="242"/>
      <c r="AS21" s="242"/>
      <c r="AT21" s="242"/>
    </row>
    <row r="22">
      <c r="A22" s="247" t="s">
        <v>3947</v>
      </c>
      <c r="B22" s="120" t="s">
        <v>3948</v>
      </c>
      <c r="C22" s="119" t="s">
        <v>3949</v>
      </c>
      <c r="D22" s="79" t="s">
        <v>3950</v>
      </c>
      <c r="E22" s="247" t="s">
        <v>3947</v>
      </c>
      <c r="F22" s="120" t="s">
        <v>3951</v>
      </c>
      <c r="G22" s="119" t="s">
        <v>3952</v>
      </c>
      <c r="H22" s="79" t="s">
        <v>3953</v>
      </c>
      <c r="I22" s="247" t="s">
        <v>3947</v>
      </c>
      <c r="J22" s="120" t="s">
        <v>3954</v>
      </c>
      <c r="K22" s="119" t="s">
        <v>3955</v>
      </c>
      <c r="L22" s="79" t="s">
        <v>3956</v>
      </c>
      <c r="M22" s="247" t="s">
        <v>3947</v>
      </c>
      <c r="N22" s="120" t="s">
        <v>3957</v>
      </c>
      <c r="O22" s="119" t="s">
        <v>3958</v>
      </c>
      <c r="P22" s="79" t="s">
        <v>3959</v>
      </c>
      <c r="Q22" s="247" t="s">
        <v>3947</v>
      </c>
      <c r="R22" s="120" t="s">
        <v>3960</v>
      </c>
      <c r="S22" s="119" t="s">
        <v>3961</v>
      </c>
      <c r="T22" s="82" t="str">
        <f>IFERROR(__xludf.DUMMYFUNCTION("GOOGLETRANSLATE(D22,""zh-tw"",""es-MX"")"),"Consigue el objeto ""Pato de goma""; se puede colocar dentro de la bañera.")</f>
        <v>Consigue el objeto "Pato de goma"; se puede colocar dentro de la bañera.</v>
      </c>
      <c r="U22" s="247" t="s">
        <v>3947</v>
      </c>
      <c r="V22" s="132" t="str">
        <f>IFERROR(__xludf.DUMMYFUNCTION("GOOGLETRANSLATE(B22,""zh-tw"",""KO"")"),"오리")</f>
        <v>오리</v>
      </c>
      <c r="W22" s="121" t="str">
        <f>IFERROR(__xludf.DUMMYFUNCTION("GOOGLETRANSLATE(C22,""zh-tw"",""KO"")"),"모험가의 길: 기념비
오른쪽 강둑에서 찾을 수 있습니다.
*만약 유적 숲-4의 폭포에서 휩쓸려 이곳으로 왔다면, 다른 대화가 발생합니다.")</f>
        <v>모험가의 길: 기념비
오른쪽 강둑에서 찾을 수 있습니다.
*만약 유적 숲-4의 폭포에서 휩쓸려 이곳으로 왔다면, 다른 대화가 발생합니다.</v>
      </c>
      <c r="X22" s="82" t="str">
        <f>IFERROR(__xludf.DUMMYFUNCTION("GOOGLETRANSLATE(D22,""zh-tw"",""KO"")"),"""고무 오리"" 아이템을 구해서 욕조 안에 넣으세요.")</f>
        <v>"고무 오리" 아이템을 구해서 욕조 안에 넣으세요.</v>
      </c>
      <c r="Y22" s="247" t="s">
        <v>3947</v>
      </c>
      <c r="Z22" s="248" t="s">
        <v>3962</v>
      </c>
      <c r="AA22" s="249" t="s">
        <v>3963</v>
      </c>
      <c r="AB22" s="69" t="s">
        <v>3964</v>
      </c>
      <c r="AC22" s="247" t="s">
        <v>3947</v>
      </c>
      <c r="AD22" s="120" t="s">
        <v>3965</v>
      </c>
      <c r="AE22" s="250" t="s">
        <v>3966</v>
      </c>
      <c r="AF22" s="71" t="s">
        <v>3967</v>
      </c>
      <c r="AG22" s="247" t="s">
        <v>3947</v>
      </c>
      <c r="AH22" s="251" t="s">
        <v>3968</v>
      </c>
      <c r="AI22" s="145" t="s">
        <v>3969</v>
      </c>
      <c r="AJ22" s="148" t="s">
        <v>3970</v>
      </c>
      <c r="AK22" s="247" t="s">
        <v>3947</v>
      </c>
      <c r="AL22" s="132" t="s">
        <v>3954</v>
      </c>
      <c r="AM22" s="121" t="s">
        <v>3971</v>
      </c>
      <c r="AN22" s="82" t="s">
        <v>3972</v>
      </c>
      <c r="AO22" s="247" t="s">
        <v>3947</v>
      </c>
      <c r="AP22" s="120" t="s">
        <v>3954</v>
      </c>
      <c r="AQ22" s="119" t="s">
        <v>3973</v>
      </c>
      <c r="AR22" s="79" t="s">
        <v>3974</v>
      </c>
      <c r="AS22" s="247"/>
      <c r="AT22" s="120"/>
      <c r="AU22" s="119"/>
      <c r="AV22" s="79"/>
    </row>
    <row r="23">
      <c r="A23" s="247" t="s">
        <v>3975</v>
      </c>
      <c r="B23" s="120" t="s">
        <v>3721</v>
      </c>
      <c r="C23" s="119" t="s">
        <v>3976</v>
      </c>
      <c r="D23" s="79" t="s">
        <v>3977</v>
      </c>
      <c r="E23" s="247" t="s">
        <v>3975</v>
      </c>
      <c r="F23" s="120" t="s">
        <v>3725</v>
      </c>
      <c r="G23" s="119" t="s">
        <v>3978</v>
      </c>
      <c r="H23" s="79" t="s">
        <v>3979</v>
      </c>
      <c r="I23" s="247" t="s">
        <v>3975</v>
      </c>
      <c r="J23" s="120" t="s">
        <v>3728</v>
      </c>
      <c r="K23" s="119" t="s">
        <v>3980</v>
      </c>
      <c r="L23" s="79" t="s">
        <v>3981</v>
      </c>
      <c r="M23" s="247" t="s">
        <v>3975</v>
      </c>
      <c r="N23" s="120" t="s">
        <v>3731</v>
      </c>
      <c r="O23" s="119" t="s">
        <v>3982</v>
      </c>
      <c r="P23" s="79" t="s">
        <v>3983</v>
      </c>
      <c r="Q23" s="247" t="s">
        <v>3975</v>
      </c>
      <c r="R23" s="120" t="s">
        <v>3734</v>
      </c>
      <c r="S23" s="121" t="str">
        <f>IFERROR(__xludf.DUMMYFUNCTION("GOOGLETRANSLATE(C23,""zh-tw"",""es-MX"")"),"Sendero del Aventurero: Detrás del monumento que se encuentra más abajo, hay un objeto oculto.")</f>
        <v>Sendero del Aventurero: Detrás del monumento que se encuentra más abajo, hay un objeto oculto.</v>
      </c>
      <c r="T23" s="82" t="str">
        <f>IFERROR(__xludf.DUMMYFUNCTION("GOOGLETRANSLATE(D23,""zh-tw"",""es-MX"")"),"Obtén el objeto y el arma: Bastón de Lava.")</f>
        <v>Obtén el objeto y el arma: Bastón de Lava.</v>
      </c>
      <c r="U23" s="247" t="s">
        <v>3975</v>
      </c>
      <c r="V23" s="132" t="str">
        <f>IFERROR(__xludf.DUMMYFUNCTION("GOOGLETRANSLATE(B23,""zh-tw"",""KO"")"),"숨겨진 통로")</f>
        <v>숨겨진 통로</v>
      </c>
      <c r="W23" s="121" t="str">
        <f>IFERROR(__xludf.DUMMYFUNCTION("GOOGLETRANSLATE(C23,""zh-tw"",""KO"")"),"모험가의 길: 아래 기념비 뒤에 숨겨진 아이템이 있습니다.")</f>
        <v>모험가의 길: 아래 기념비 뒤에 숨겨진 아이템이 있습니다.</v>
      </c>
      <c r="X23" s="82" t="str">
        <f>IFERROR(__xludf.DUMMYFUNCTION("GOOGLETRANSLATE(D23,""zh-tw"",""KO"")"),"아이템과 무기인 용암 지팡이를 획득하세요.")</f>
        <v>아이템과 무기인 용암 지팡이를 획득하세요.</v>
      </c>
      <c r="Y23" s="247" t="s">
        <v>3975</v>
      </c>
      <c r="Z23" s="248" t="s">
        <v>3735</v>
      </c>
      <c r="AA23" s="249" t="s">
        <v>3984</v>
      </c>
      <c r="AB23" s="69" t="s">
        <v>3985</v>
      </c>
      <c r="AC23" s="247" t="s">
        <v>3975</v>
      </c>
      <c r="AD23" s="120" t="s">
        <v>3738</v>
      </c>
      <c r="AE23" s="250" t="s">
        <v>3986</v>
      </c>
      <c r="AF23" s="71" t="s">
        <v>3987</v>
      </c>
      <c r="AG23" s="247" t="s">
        <v>3975</v>
      </c>
      <c r="AH23" s="252" t="s">
        <v>3741</v>
      </c>
      <c r="AI23" s="145" t="s">
        <v>3988</v>
      </c>
      <c r="AJ23" s="148" t="s">
        <v>3989</v>
      </c>
      <c r="AK23" s="247" t="s">
        <v>3975</v>
      </c>
      <c r="AL23" s="120" t="s">
        <v>3744</v>
      </c>
      <c r="AM23" s="121" t="s">
        <v>3990</v>
      </c>
      <c r="AN23" s="82" t="s">
        <v>3991</v>
      </c>
      <c r="AO23" s="247" t="s">
        <v>3975</v>
      </c>
      <c r="AP23" s="120" t="s">
        <v>3747</v>
      </c>
      <c r="AQ23" s="121" t="s">
        <v>3992</v>
      </c>
      <c r="AR23" s="82" t="s">
        <v>3993</v>
      </c>
      <c r="AS23" s="247"/>
      <c r="AT23" s="120"/>
      <c r="AU23" s="121"/>
      <c r="AV23" s="82"/>
    </row>
    <row r="24">
      <c r="A24" s="242"/>
      <c r="B24" s="241" t="s">
        <v>3994</v>
      </c>
      <c r="E24" s="242"/>
      <c r="F24" s="242"/>
      <c r="I24" s="242"/>
      <c r="J24" s="243" t="s">
        <v>3995</v>
      </c>
      <c r="M24" s="242"/>
      <c r="N24" s="241" t="s">
        <v>3996</v>
      </c>
      <c r="Q24" s="242"/>
      <c r="R24" s="242"/>
      <c r="U24" s="242"/>
      <c r="V24" s="244"/>
      <c r="Y24" s="242"/>
      <c r="Z24" s="245" t="s">
        <v>3997</v>
      </c>
      <c r="AC24" s="242"/>
      <c r="AD24" s="242"/>
      <c r="AG24" s="242"/>
      <c r="AH24" s="242"/>
      <c r="AK24" s="242"/>
      <c r="AL24" s="246" t="s">
        <v>3998</v>
      </c>
      <c r="AO24" s="242"/>
      <c r="AP24" s="242"/>
      <c r="AS24" s="242"/>
      <c r="AT24" s="242"/>
    </row>
    <row r="25">
      <c r="A25" s="247" t="s">
        <v>3999</v>
      </c>
      <c r="B25" s="128" t="s">
        <v>4000</v>
      </c>
      <c r="C25" s="119" t="s">
        <v>4001</v>
      </c>
      <c r="D25" s="79" t="s">
        <v>4002</v>
      </c>
      <c r="E25" s="247" t="s">
        <v>3999</v>
      </c>
      <c r="F25" s="120" t="s">
        <v>4003</v>
      </c>
      <c r="G25" s="119" t="s">
        <v>4004</v>
      </c>
      <c r="H25" s="79" t="s">
        <v>4005</v>
      </c>
      <c r="I25" s="247" t="s">
        <v>3999</v>
      </c>
      <c r="J25" s="120" t="s">
        <v>4006</v>
      </c>
      <c r="K25" s="119" t="s">
        <v>4007</v>
      </c>
      <c r="L25" s="79" t="s">
        <v>4008</v>
      </c>
      <c r="M25" s="247" t="s">
        <v>3999</v>
      </c>
      <c r="N25" s="120" t="s">
        <v>4009</v>
      </c>
      <c r="O25" s="119" t="s">
        <v>4010</v>
      </c>
      <c r="P25" s="79" t="s">
        <v>4011</v>
      </c>
      <c r="Q25" s="247" t="s">
        <v>3999</v>
      </c>
      <c r="R25" s="132" t="s">
        <v>4012</v>
      </c>
      <c r="S25" s="121" t="str">
        <f>IFERROR(__xludf.DUMMYFUNCTION("GOOGLETRANSLATE(C25,""zh-tw"",""es-MX"")"),"Frente a la entrada de las ruinas, dirígete hacia la parte inferior derecha y encontrarás una piedra que debes despejar. Dentro, hay varios túneles donde podrás encontrar objetos.")</f>
        <v>Frente a la entrada de las ruinas, dirígete hacia la parte inferior derecha y encontrarás una piedra que debes despejar. Dentro, hay varios túneles donde podrás encontrar objetos.</v>
      </c>
      <c r="T25" s="82" t="str">
        <f>IFERROR(__xludf.DUMMYFUNCTION("GOOGLETRANSLATE(D25,""zh-tw"",""es-MX"")"),"A la zona que hay detrás de la puerta solo se puede entrar y salir libremente después de atravesar la zona no desarrollada (mina)-2.")</f>
        <v>A la zona que hay detrás de la puerta solo se puede entrar y salir libremente después de atravesar la zona no desarrollada (mina)-2.</v>
      </c>
      <c r="U25" s="247" t="s">
        <v>3999</v>
      </c>
      <c r="V25" s="132" t="str">
        <f>IFERROR(__xludf.DUMMYFUNCTION("GOOGLETRANSLATE(B25,""zh-tw"",""KO"")"),"산속 동굴")</f>
        <v>산속 동굴</v>
      </c>
      <c r="W25" s="121" t="str">
        <f>IFERROR(__xludf.DUMMYFUNCTION("GOOGLETRANSLATE(C25,""zh-tw"",""KO"")"),"유적 입구 앞에서 오른쪽 아래로 가서 치워야 할 돌을 찾으세요. 안쪽에는 여러 개의 터널이 있으며, 그곳에서 아이템을 찾을 수 있습니다.")</f>
        <v>유적 입구 앞에서 오른쪽 아래로 가서 치워야 할 돌을 찾으세요. 안쪽에는 여러 개의 터널이 있으며, 그곳에서 아이템을 찾을 수 있습니다.</v>
      </c>
      <c r="X25" s="82" t="str">
        <f>IFERROR(__xludf.DUMMYFUNCTION("GOOGLETRANSLATE(D25,""zh-tw"",""KO"")"),"문 뒤편 지역은 미개발 지역(광산)-2를 파괴한 후에만 자유롭게 출입할 수 있습니다.")</f>
        <v>문 뒤편 지역은 미개발 지역(광산)-2를 파괴한 후에만 자유롭게 출입할 수 있습니다.</v>
      </c>
      <c r="Y25" s="247" t="s">
        <v>3999</v>
      </c>
      <c r="Z25" s="248" t="s">
        <v>4013</v>
      </c>
      <c r="AA25" s="263" t="s">
        <v>4014</v>
      </c>
      <c r="AB25" s="78" t="s">
        <v>4015</v>
      </c>
      <c r="AC25" s="247" t="s">
        <v>3999</v>
      </c>
      <c r="AD25" s="120" t="s">
        <v>4016</v>
      </c>
      <c r="AE25" s="250" t="s">
        <v>4017</v>
      </c>
      <c r="AF25" s="71" t="s">
        <v>4018</v>
      </c>
      <c r="AG25" s="247" t="s">
        <v>3999</v>
      </c>
      <c r="AH25" s="251" t="s">
        <v>4019</v>
      </c>
      <c r="AI25" s="149" t="s">
        <v>4020</v>
      </c>
      <c r="AJ25" s="146" t="s">
        <v>4021</v>
      </c>
      <c r="AK25" s="247" t="s">
        <v>3999</v>
      </c>
      <c r="AL25" s="132" t="s">
        <v>4022</v>
      </c>
      <c r="AM25" s="121" t="s">
        <v>4023</v>
      </c>
      <c r="AN25" s="82" t="s">
        <v>4024</v>
      </c>
      <c r="AO25" s="247" t="s">
        <v>3999</v>
      </c>
      <c r="AP25" s="116" t="s">
        <v>4025</v>
      </c>
      <c r="AQ25" s="121" t="s">
        <v>4026</v>
      </c>
      <c r="AR25" s="82" t="s">
        <v>4027</v>
      </c>
      <c r="AS25" s="247"/>
      <c r="AT25" s="116"/>
      <c r="AU25" s="121"/>
      <c r="AV25" s="82"/>
    </row>
    <row r="26">
      <c r="A26" s="242"/>
      <c r="B26" s="241" t="s">
        <v>4028</v>
      </c>
      <c r="E26" s="242"/>
      <c r="F26" s="242"/>
      <c r="I26" s="242"/>
      <c r="J26" s="243" t="s">
        <v>4029</v>
      </c>
      <c r="M26" s="242"/>
      <c r="N26" s="241" t="s">
        <v>4030</v>
      </c>
      <c r="Q26" s="242"/>
      <c r="R26" s="242"/>
      <c r="U26" s="242"/>
      <c r="V26" s="244"/>
      <c r="Y26" s="242"/>
      <c r="Z26" s="245" t="s">
        <v>4031</v>
      </c>
      <c r="AC26" s="242"/>
      <c r="AD26" s="242"/>
      <c r="AG26" s="242"/>
      <c r="AH26" s="242"/>
      <c r="AK26" s="242"/>
      <c r="AL26" s="246" t="s">
        <v>4032</v>
      </c>
      <c r="AO26" s="242"/>
      <c r="AP26" s="242"/>
      <c r="AS26" s="242"/>
      <c r="AT26" s="242"/>
    </row>
    <row r="27">
      <c r="A27" s="247"/>
      <c r="B27" s="128"/>
      <c r="C27" s="119"/>
      <c r="D27" s="79"/>
      <c r="E27" s="247"/>
      <c r="F27" s="120"/>
      <c r="G27" s="119"/>
      <c r="H27" s="79"/>
      <c r="I27" s="247"/>
      <c r="J27" s="120"/>
      <c r="K27" s="119"/>
      <c r="L27" s="79"/>
      <c r="M27" s="247"/>
      <c r="N27" s="120"/>
      <c r="O27" s="119"/>
      <c r="P27" s="79"/>
      <c r="Q27" s="247"/>
      <c r="R27" s="132"/>
      <c r="S27" s="121"/>
      <c r="T27" s="82"/>
      <c r="U27" s="247"/>
      <c r="V27" s="132"/>
      <c r="W27" s="121"/>
      <c r="X27" s="82"/>
      <c r="Y27" s="247"/>
      <c r="Z27" s="120"/>
      <c r="AA27" s="263"/>
      <c r="AB27" s="78"/>
      <c r="AC27" s="247"/>
      <c r="AD27" s="120"/>
      <c r="AE27" s="250"/>
      <c r="AF27" s="71"/>
      <c r="AG27" s="247"/>
      <c r="AH27" s="251"/>
      <c r="AI27" s="149"/>
      <c r="AJ27" s="146"/>
      <c r="AK27" s="247"/>
      <c r="AL27" s="132"/>
      <c r="AM27" s="121"/>
      <c r="AN27" s="82"/>
      <c r="AO27" s="247"/>
      <c r="AP27" s="116"/>
      <c r="AQ27" s="121"/>
      <c r="AR27" s="82"/>
      <c r="AS27" s="247"/>
      <c r="AT27" s="116"/>
      <c r="AU27" s="121"/>
      <c r="AV27" s="82"/>
    </row>
    <row r="28">
      <c r="A28" s="264"/>
      <c r="B28" s="264"/>
      <c r="C28" s="264"/>
      <c r="D28" s="264"/>
      <c r="E28" s="264"/>
      <c r="F28" s="264"/>
      <c r="G28" s="264"/>
      <c r="H28" s="264"/>
      <c r="I28" s="264"/>
      <c r="J28" s="264"/>
      <c r="K28" s="264"/>
      <c r="L28" s="264"/>
      <c r="M28" s="264"/>
      <c r="N28" s="264"/>
      <c r="O28" s="264"/>
      <c r="P28" s="264"/>
      <c r="Q28" s="264"/>
      <c r="R28" s="264"/>
      <c r="S28" s="265"/>
      <c r="T28" s="265"/>
      <c r="U28" s="264"/>
      <c r="V28" s="265"/>
      <c r="W28" s="265"/>
      <c r="X28" s="265"/>
      <c r="Y28" s="264"/>
      <c r="Z28" s="264"/>
      <c r="AA28" s="266"/>
      <c r="AB28" s="265"/>
      <c r="AC28" s="264"/>
      <c r="AD28" s="264"/>
      <c r="AE28" s="264"/>
      <c r="AF28" s="264"/>
      <c r="AG28" s="264"/>
      <c r="AH28" s="264"/>
      <c r="AI28" s="264"/>
      <c r="AJ28" s="264"/>
      <c r="AK28" s="264"/>
      <c r="AL28" s="265"/>
      <c r="AM28" s="265"/>
      <c r="AN28" s="265"/>
      <c r="AO28" s="264"/>
      <c r="AP28" s="264"/>
      <c r="AQ28" s="265"/>
      <c r="AR28" s="265"/>
      <c r="AS28" s="264"/>
      <c r="AT28" s="264"/>
      <c r="AU28" s="265"/>
      <c r="AV28" s="265"/>
    </row>
    <row r="29">
      <c r="A29" s="241" t="s">
        <v>1480</v>
      </c>
      <c r="B29" s="241" t="s">
        <v>4033</v>
      </c>
      <c r="E29" s="241" t="s">
        <v>1480</v>
      </c>
      <c r="F29" s="242"/>
      <c r="I29" s="241" t="s">
        <v>1480</v>
      </c>
      <c r="J29" s="243" t="s">
        <v>4034</v>
      </c>
      <c r="M29" s="241" t="s">
        <v>1480</v>
      </c>
      <c r="N29" s="241" t="s">
        <v>4035</v>
      </c>
      <c r="Q29" s="241" t="s">
        <v>1480</v>
      </c>
      <c r="R29" s="242"/>
      <c r="U29" s="241" t="s">
        <v>1480</v>
      </c>
      <c r="V29" s="244"/>
      <c r="Y29" s="241" t="s">
        <v>1480</v>
      </c>
      <c r="Z29" s="245" t="s">
        <v>4036</v>
      </c>
      <c r="AC29" s="241" t="s">
        <v>1480</v>
      </c>
      <c r="AD29" s="242"/>
      <c r="AG29" s="241" t="s">
        <v>1480</v>
      </c>
      <c r="AH29" s="242"/>
      <c r="AK29" s="241" t="s">
        <v>1480</v>
      </c>
      <c r="AL29" s="246" t="s">
        <v>4037</v>
      </c>
      <c r="AO29" s="241" t="s">
        <v>1480</v>
      </c>
      <c r="AP29" s="242"/>
      <c r="AS29" s="241"/>
      <c r="AT29" s="242"/>
    </row>
    <row r="30">
      <c r="A30" s="247" t="s">
        <v>4038</v>
      </c>
      <c r="B30" s="120" t="s">
        <v>3721</v>
      </c>
      <c r="C30" s="119" t="s">
        <v>4039</v>
      </c>
      <c r="D30" s="79" t="s">
        <v>3867</v>
      </c>
      <c r="E30" s="247" t="s">
        <v>4038</v>
      </c>
      <c r="F30" s="120" t="s">
        <v>3725</v>
      </c>
      <c r="G30" s="119" t="s">
        <v>4040</v>
      </c>
      <c r="H30" s="79" t="s">
        <v>3869</v>
      </c>
      <c r="I30" s="247" t="s">
        <v>4038</v>
      </c>
      <c r="J30" s="120" t="s">
        <v>3728</v>
      </c>
      <c r="K30" s="119" t="s">
        <v>4041</v>
      </c>
      <c r="L30" s="79" t="s">
        <v>3871</v>
      </c>
      <c r="M30" s="247" t="s">
        <v>4038</v>
      </c>
      <c r="N30" s="120" t="s">
        <v>3731</v>
      </c>
      <c r="O30" s="119" t="s">
        <v>4042</v>
      </c>
      <c r="P30" s="79" t="s">
        <v>3873</v>
      </c>
      <c r="Q30" s="247" t="s">
        <v>4038</v>
      </c>
      <c r="R30" s="120" t="s">
        <v>3734</v>
      </c>
      <c r="S30" s="121" t="str">
        <f>IFERROR(__xludf.DUMMYFUNCTION("GOOGLETRANSLATE(C30,""zh-tw"",""es-MX"")"),"Hay un objeto oculto en el bosque, en la esquina inferior derecha de ""Ruinas del Bosque-4"".")</f>
        <v>Hay un objeto oculto en el bosque, en la esquina inferior derecha de "Ruinas del Bosque-4".</v>
      </c>
      <c r="T30" s="79" t="s">
        <v>4043</v>
      </c>
      <c r="U30" s="247" t="s">
        <v>4038</v>
      </c>
      <c r="V30" s="132" t="str">
        <f>IFERROR(__xludf.DUMMYFUNCTION("GOOGLETRANSLATE(B30,""zh-tw"",""KO"")"),"숨겨진 통로")</f>
        <v>숨겨진 통로</v>
      </c>
      <c r="W30" s="121" t="str">
        <f>IFERROR(__xludf.DUMMYFUNCTION("GOOGLETRANSLATE(C30,""zh-tw"",""KO"")"),"""유적의 숲-4""의 오른쪽 아래 구석에 숨겨진 아이템이 있습니다.")</f>
        <v>"유적의 숲-4"의 오른쪽 아래 구석에 숨겨진 아이템이 있습니다.</v>
      </c>
      <c r="X30" s="82" t="str">
        <f>IFERROR(__xludf.DUMMYFUNCTION("GOOGLETRANSLATE(D30,""zh-tw"",""KO"")"),"아이템을 획득하세요")</f>
        <v>아이템을 획득하세요</v>
      </c>
      <c r="Y30" s="247" t="s">
        <v>4038</v>
      </c>
      <c r="Z30" s="248" t="s">
        <v>3735</v>
      </c>
      <c r="AA30" s="249" t="s">
        <v>4044</v>
      </c>
      <c r="AB30" s="69" t="s">
        <v>3876</v>
      </c>
      <c r="AC30" s="247" t="s">
        <v>4038</v>
      </c>
      <c r="AD30" s="120" t="s">
        <v>3738</v>
      </c>
      <c r="AE30" s="250" t="s">
        <v>4045</v>
      </c>
      <c r="AF30" s="71" t="s">
        <v>4046</v>
      </c>
      <c r="AG30" s="247" t="s">
        <v>4038</v>
      </c>
      <c r="AH30" s="252" t="s">
        <v>3741</v>
      </c>
      <c r="AI30" s="145" t="s">
        <v>4047</v>
      </c>
      <c r="AJ30" s="148" t="s">
        <v>3880</v>
      </c>
      <c r="AK30" s="247" t="s">
        <v>4038</v>
      </c>
      <c r="AL30" s="120" t="s">
        <v>3744</v>
      </c>
      <c r="AM30" s="121" t="s">
        <v>4048</v>
      </c>
      <c r="AN30" s="82" t="s">
        <v>4049</v>
      </c>
      <c r="AO30" s="247" t="s">
        <v>4038</v>
      </c>
      <c r="AP30" s="120" t="s">
        <v>3747</v>
      </c>
      <c r="AQ30" s="121" t="s">
        <v>4050</v>
      </c>
      <c r="AR30" s="82" t="s">
        <v>3884</v>
      </c>
      <c r="AS30" s="247"/>
      <c r="AT30" s="120"/>
      <c r="AU30" s="121"/>
      <c r="AV30" s="82"/>
    </row>
    <row r="31">
      <c r="A31" s="247" t="s">
        <v>4051</v>
      </c>
      <c r="B31" s="120" t="s">
        <v>4052</v>
      </c>
      <c r="C31" s="119" t="s">
        <v>4053</v>
      </c>
      <c r="D31" s="79" t="s">
        <v>4054</v>
      </c>
      <c r="E31" s="247" t="s">
        <v>4051</v>
      </c>
      <c r="F31" s="120" t="s">
        <v>4055</v>
      </c>
      <c r="G31" s="119" t="s">
        <v>4056</v>
      </c>
      <c r="H31" s="79" t="s">
        <v>4057</v>
      </c>
      <c r="I31" s="247" t="s">
        <v>4051</v>
      </c>
      <c r="J31" s="120" t="s">
        <v>4058</v>
      </c>
      <c r="K31" s="119" t="s">
        <v>4059</v>
      </c>
      <c r="L31" s="79" t="s">
        <v>4060</v>
      </c>
      <c r="M31" s="247" t="s">
        <v>4051</v>
      </c>
      <c r="N31" s="120" t="s">
        <v>4061</v>
      </c>
      <c r="O31" s="119" t="s">
        <v>4062</v>
      </c>
      <c r="P31" s="79" t="s">
        <v>4063</v>
      </c>
      <c r="Q31" s="247" t="s">
        <v>4051</v>
      </c>
      <c r="R31" s="120" t="s">
        <v>4064</v>
      </c>
      <c r="S31" s="119" t="s">
        <v>4065</v>
      </c>
      <c r="T31" s="82" t="str">
        <f>IFERROR(__xludf.DUMMYFUNCTION("GOOGLETRANSLATE(D31,""zh-tw"",""es-MX"")"),"Enlace al mapa de las ruinas
Observaciones")</f>
        <v>Enlace al mapa de las ruinas
Observaciones</v>
      </c>
      <c r="U31" s="247" t="s">
        <v>4051</v>
      </c>
      <c r="V31" s="132" t="str">
        <f>IFERROR(__xludf.DUMMYFUNCTION("GOOGLETRANSLATE(B31,""zh-tw"",""KO"")"),"유적지 입구들을 연결하기")</f>
        <v>유적지 입구들을 연결하기</v>
      </c>
      <c r="W31" s="121" t="str">
        <f>IFERROR(__xludf.DUMMYFUNCTION("GOOGLETRANSLATE(C31,""zh-tw"",""KO"")"),"유적의 숲 - 4 지도 중앙에 있던 바위들이 제거되었습니다.")</f>
        <v>유적의 숲 - 4 지도 중앙에 있던 바위들이 제거되었습니다.</v>
      </c>
      <c r="X31" s="82" t="str">
        <f>IFERROR(__xludf.DUMMYFUNCTION("GOOGLETRANSLATE(D31,""zh-tw"",""KO"")"),"유적 지도 링크
관찰 내용")</f>
        <v>유적 지도 링크
관찰 내용</v>
      </c>
      <c r="Y31" s="247" t="s">
        <v>4051</v>
      </c>
      <c r="Z31" s="248" t="s">
        <v>4066</v>
      </c>
      <c r="AA31" s="249" t="s">
        <v>4067</v>
      </c>
      <c r="AB31" s="69" t="s">
        <v>4068</v>
      </c>
      <c r="AC31" s="247" t="s">
        <v>4051</v>
      </c>
      <c r="AD31" s="120" t="s">
        <v>4069</v>
      </c>
      <c r="AE31" s="250" t="s">
        <v>4070</v>
      </c>
      <c r="AF31" s="71" t="s">
        <v>4071</v>
      </c>
      <c r="AG31" s="247" t="s">
        <v>4051</v>
      </c>
      <c r="AH31" s="251" t="s">
        <v>4072</v>
      </c>
      <c r="AI31" s="145" t="s">
        <v>4073</v>
      </c>
      <c r="AJ31" s="148" t="s">
        <v>4074</v>
      </c>
      <c r="AK31" s="247" t="s">
        <v>4051</v>
      </c>
      <c r="AL31" s="132" t="s">
        <v>4075</v>
      </c>
      <c r="AM31" s="121" t="s">
        <v>4076</v>
      </c>
      <c r="AN31" s="82" t="s">
        <v>4077</v>
      </c>
      <c r="AO31" s="247" t="s">
        <v>4051</v>
      </c>
      <c r="AP31" s="267" t="s">
        <v>4078</v>
      </c>
      <c r="AQ31" s="268" t="s">
        <v>4079</v>
      </c>
      <c r="AR31" s="269" t="s">
        <v>4080</v>
      </c>
      <c r="AS31" s="247"/>
      <c r="AT31" s="267"/>
      <c r="AU31" s="268"/>
      <c r="AV31" s="269"/>
    </row>
    <row r="32">
      <c r="A32" s="242"/>
      <c r="B32" s="241" t="s">
        <v>4081</v>
      </c>
      <c r="E32" s="242"/>
      <c r="F32" s="242"/>
      <c r="I32" s="242"/>
      <c r="J32" s="243" t="s">
        <v>3920</v>
      </c>
      <c r="M32" s="242"/>
      <c r="N32" s="241" t="s">
        <v>4082</v>
      </c>
      <c r="Q32" s="242"/>
      <c r="R32" s="242"/>
      <c r="U32" s="242"/>
      <c r="V32" s="244"/>
      <c r="Y32" s="242"/>
      <c r="Z32" s="245" t="s">
        <v>4083</v>
      </c>
      <c r="AC32" s="242"/>
      <c r="AD32" s="242"/>
      <c r="AG32" s="242"/>
      <c r="AH32" s="242"/>
      <c r="AK32" s="242"/>
      <c r="AL32" s="246" t="s">
        <v>4084</v>
      </c>
      <c r="AO32" s="242"/>
      <c r="AP32" s="242"/>
      <c r="AS32" s="242"/>
      <c r="AT32" s="242"/>
    </row>
    <row r="33">
      <c r="A33" s="247" t="s">
        <v>4085</v>
      </c>
      <c r="B33" s="132" t="s">
        <v>4086</v>
      </c>
      <c r="C33" s="121" t="s">
        <v>4087</v>
      </c>
      <c r="D33" s="82" t="s">
        <v>4088</v>
      </c>
      <c r="E33" s="247" t="s">
        <v>4085</v>
      </c>
      <c r="F33" s="132" t="s">
        <v>4089</v>
      </c>
      <c r="G33" s="121" t="s">
        <v>4090</v>
      </c>
      <c r="H33" s="82" t="s">
        <v>4091</v>
      </c>
      <c r="I33" s="247" t="s">
        <v>4085</v>
      </c>
      <c r="J33" s="132" t="s">
        <v>4092</v>
      </c>
      <c r="K33" s="121" t="s">
        <v>4093</v>
      </c>
      <c r="L33" s="82" t="s">
        <v>4094</v>
      </c>
      <c r="M33" s="247" t="s">
        <v>4085</v>
      </c>
      <c r="N33" s="120" t="s">
        <v>4095</v>
      </c>
      <c r="O33" s="119" t="s">
        <v>4096</v>
      </c>
      <c r="P33" s="79" t="s">
        <v>4097</v>
      </c>
      <c r="Q33" s="247" t="s">
        <v>4085</v>
      </c>
      <c r="R33" s="132" t="s">
        <v>4098</v>
      </c>
      <c r="S33" s="121" t="str">
        <f>IFERROR(__xludf.DUMMYFUNCTION("GOOGLETRANSLATE(C33,""zh-tw"",""es-MX"")"),"Puedes llegar a la zona del jefe Maid Bunny utilizando un método de movimiento especial en el ""Bosque de las Ruinas"".")</f>
        <v>Puedes llegar a la zona del jefe Maid Bunny utilizando un método de movimiento especial en el "Bosque de las Ruinas".</v>
      </c>
      <c r="T33" s="82" t="str">
        <f>IFERROR(__xludf.DUMMYFUNCTION("GOOGLETRANSLATE(D33,""zh-tw"",""es-MX"")"),"Llega a la zona del JEFE.
P.D.: Por ejemplo, las plumas del pájaro monstruoso pueden flotar.")</f>
        <v>Llega a la zona del JEFE.
P.D.: Por ejemplo, las plumas del pájaro monstruoso pueden flotar.</v>
      </c>
      <c r="U33" s="247" t="s">
        <v>4085</v>
      </c>
      <c r="V33" s="132" t="str">
        <f>IFERROR(__xludf.DUMMYFUNCTION("GOOGLETRANSLATE(B33,""zh-tw"",""KO"")"),"메이드 버니 BOSS 구역 -1")</f>
        <v>메이드 버니 BOSS 구역 -1</v>
      </c>
      <c r="W33" s="121" t="str">
        <f>IFERROR(__xludf.DUMMYFUNCTION("GOOGLETRANSLATE(C33,""zh-tw"",""KO"")"),"""폐허의 숲""에서 특별한 이동 방법을 사용하면 메이드 버니 보스 지역에 도달할 수 있습니다.")</f>
        <v>"폐허의 숲"에서 특별한 이동 방법을 사용하면 메이드 버니 보스 지역에 도달할 수 있습니다.</v>
      </c>
      <c r="X33" s="82" t="str">
        <f>IFERROR(__xludf.DUMMYFUNCTION("GOOGLETRANSLATE(D33,""zh-tw"",""KO"")"),"보스 구역에 도착하세요.
추신: 예를 들어, 괴물 새의 깃털은 공중에 뜰 수 있습니다.")</f>
        <v>보스 구역에 도착하세요.
추신: 예를 들어, 괴물 새의 깃털은 공중에 뜰 수 있습니다.</v>
      </c>
      <c r="Y33" s="247" t="s">
        <v>4085</v>
      </c>
      <c r="Z33" s="120" t="s">
        <v>4099</v>
      </c>
      <c r="AA33" s="249" t="s">
        <v>4100</v>
      </c>
      <c r="AB33" s="69" t="s">
        <v>4101</v>
      </c>
      <c r="AC33" s="247" t="s">
        <v>4085</v>
      </c>
      <c r="AD33" s="132" t="s">
        <v>4102</v>
      </c>
      <c r="AE33" s="121" t="s">
        <v>4103</v>
      </c>
      <c r="AF33" s="82" t="s">
        <v>4104</v>
      </c>
      <c r="AG33" s="247" t="s">
        <v>4085</v>
      </c>
      <c r="AH33" s="261" t="s">
        <v>4105</v>
      </c>
      <c r="AI33" s="205" t="s">
        <v>4106</v>
      </c>
      <c r="AJ33" s="199" t="s">
        <v>4107</v>
      </c>
      <c r="AK33" s="247" t="s">
        <v>4085</v>
      </c>
      <c r="AL33" s="132" t="s">
        <v>4108</v>
      </c>
      <c r="AM33" s="121" t="s">
        <v>4109</v>
      </c>
      <c r="AN33" s="82" t="s">
        <v>4110</v>
      </c>
      <c r="AO33" s="247" t="s">
        <v>4085</v>
      </c>
      <c r="AP33" s="116" t="s">
        <v>4111</v>
      </c>
      <c r="AQ33" s="121" t="s">
        <v>4112</v>
      </c>
      <c r="AR33" s="82" t="s">
        <v>4113</v>
      </c>
      <c r="AS33" s="247"/>
      <c r="AT33" s="116"/>
      <c r="AU33" s="121"/>
      <c r="AV33" s="82"/>
    </row>
    <row r="34">
      <c r="A34" s="247" t="s">
        <v>4114</v>
      </c>
      <c r="B34" s="132" t="s">
        <v>4115</v>
      </c>
      <c r="C34" s="121" t="s">
        <v>4116</v>
      </c>
      <c r="D34" s="79" t="s">
        <v>4117</v>
      </c>
      <c r="E34" s="247" t="s">
        <v>4114</v>
      </c>
      <c r="F34" s="132" t="s">
        <v>4118</v>
      </c>
      <c r="G34" s="121" t="s">
        <v>4119</v>
      </c>
      <c r="H34" s="79" t="s">
        <v>4120</v>
      </c>
      <c r="I34" s="247" t="s">
        <v>4114</v>
      </c>
      <c r="J34" s="132" t="s">
        <v>4121</v>
      </c>
      <c r="K34" s="121" t="s">
        <v>4122</v>
      </c>
      <c r="L34" s="79" t="s">
        <v>4123</v>
      </c>
      <c r="M34" s="247" t="s">
        <v>4114</v>
      </c>
      <c r="N34" s="120" t="s">
        <v>4124</v>
      </c>
      <c r="O34" s="121" t="s">
        <v>4125</v>
      </c>
      <c r="P34" s="82" t="s">
        <v>4126</v>
      </c>
      <c r="Q34" s="247" t="s">
        <v>4114</v>
      </c>
      <c r="R34" s="132" t="s">
        <v>4127</v>
      </c>
      <c r="S34" s="121" t="str">
        <f>IFERROR(__xludf.DUMMYFUNCTION("GOOGLETRANSLATE(C34,""zh-tw"",""es-MX"")"),"El cofre del tesoro que se encuentra frente a la zona del JEFE explotará al abrirse, infligiendo daño a los jugadores o enemigos.")</f>
        <v>El cofre del tesoro que se encuentra frente a la zona del JEFE explotará al abrirse, infligiendo daño a los jugadores o enemigos.</v>
      </c>
      <c r="T34" s="82" t="str">
        <f>IFERROR(__xludf.DUMMYFUNCTION("GOOGLETRANSLATE(D34,""zh-tw"",""es-MX"")"),"Ábralo con precaución. *No se reiniciará.")</f>
        <v>Ábralo con precaución. *No se reiniciará.</v>
      </c>
      <c r="U34" s="247" t="s">
        <v>4114</v>
      </c>
      <c r="V34" s="132" t="str">
        <f>IFERROR(__xludf.DUMMYFUNCTION("GOOGLETRANSLATE(B34,""zh-tw"",""KO"")"),"메이드 버니 BOSS 구역 - 2")</f>
        <v>메이드 버니 BOSS 구역 - 2</v>
      </c>
      <c r="W34" s="121" t="str">
        <f>IFERROR(__xludf.DUMMYFUNCTION("GOOGLETRANSLATE(C34,""zh-tw"",""KO"")"),"보스 구역 앞의 보물 상자는 열면 폭발하여 플레이어나 적에게 피해를 줍니다.")</f>
        <v>보스 구역 앞의 보물 상자는 열면 폭발하여 플레이어나 적에게 피해를 줍니다.</v>
      </c>
      <c r="X34" s="82" t="str">
        <f>IFERROR(__xludf.DUMMYFUNCTION("GOOGLETRANSLATE(D34,""zh-tw"",""KO"")"),"주의해서 열어주세요. *재설정되지 않습니다.")</f>
        <v>주의해서 열어주세요. *재설정되지 않습니다.</v>
      </c>
      <c r="Y34" s="247" t="s">
        <v>4114</v>
      </c>
      <c r="Z34" s="120" t="s">
        <v>4128</v>
      </c>
      <c r="AA34" s="249" t="s">
        <v>4129</v>
      </c>
      <c r="AB34" s="69" t="s">
        <v>4130</v>
      </c>
      <c r="AC34" s="247" t="s">
        <v>4114</v>
      </c>
      <c r="AD34" s="132" t="s">
        <v>4131</v>
      </c>
      <c r="AE34" s="121" t="s">
        <v>4132</v>
      </c>
      <c r="AF34" s="82" t="s">
        <v>4133</v>
      </c>
      <c r="AG34" s="247" t="s">
        <v>4114</v>
      </c>
      <c r="AH34" s="261" t="s">
        <v>4134</v>
      </c>
      <c r="AI34" s="205" t="s">
        <v>4135</v>
      </c>
      <c r="AJ34" s="148" t="s">
        <v>4136</v>
      </c>
      <c r="AK34" s="247" t="s">
        <v>4114</v>
      </c>
      <c r="AL34" s="132" t="s">
        <v>4137</v>
      </c>
      <c r="AM34" s="121" t="s">
        <v>4138</v>
      </c>
      <c r="AN34" s="82" t="s">
        <v>4139</v>
      </c>
      <c r="AO34" s="247" t="s">
        <v>4114</v>
      </c>
      <c r="AP34" s="116" t="s">
        <v>4140</v>
      </c>
      <c r="AQ34" s="121" t="s">
        <v>4141</v>
      </c>
      <c r="AR34" s="82" t="s">
        <v>4142</v>
      </c>
      <c r="AS34" s="247"/>
      <c r="AT34" s="116"/>
      <c r="AU34" s="121"/>
      <c r="AV34" s="82"/>
    </row>
    <row r="35">
      <c r="A35" s="247" t="s">
        <v>4143</v>
      </c>
      <c r="B35" s="132" t="s">
        <v>4144</v>
      </c>
      <c r="C35" s="119" t="s">
        <v>4145</v>
      </c>
      <c r="D35" s="82" t="s">
        <v>4146</v>
      </c>
      <c r="E35" s="247" t="s">
        <v>4143</v>
      </c>
      <c r="F35" s="132" t="s">
        <v>4147</v>
      </c>
      <c r="G35" s="121" t="s">
        <v>4148</v>
      </c>
      <c r="H35" s="82" t="s">
        <v>4149</v>
      </c>
      <c r="I35" s="247" t="s">
        <v>4143</v>
      </c>
      <c r="J35" s="132" t="s">
        <v>4150</v>
      </c>
      <c r="K35" s="119" t="s">
        <v>4151</v>
      </c>
      <c r="L35" s="79" t="s">
        <v>4152</v>
      </c>
      <c r="M35" s="247" t="s">
        <v>4143</v>
      </c>
      <c r="N35" s="120" t="s">
        <v>4153</v>
      </c>
      <c r="O35" s="121" t="s">
        <v>4154</v>
      </c>
      <c r="P35" s="82" t="s">
        <v>4155</v>
      </c>
      <c r="Q35" s="247" t="s">
        <v>4143</v>
      </c>
      <c r="R35" s="132" t="s">
        <v>4156</v>
      </c>
      <c r="S35" s="121" t="str">
        <f>IFERROR(__xludf.DUMMYFUNCTION("GOOGLETRANSLATE(C35,""zh-tw"",""es-MX"")"),"Tras retirar la zanahoria brillante, aparecerá el JEFE Conejita Sirvienta.
P.D.: Usar el traje de sirvienta activará diferentes opciones de diálogo, pero la batalla se desarrollará igualmente. Recuerda actualizar tu equipo de batalla.")</f>
        <v>Tras retirar la zanahoria brillante, aparecerá el JEFE Conejita Sirvienta.
P.D.: Usar el traje de sirvienta activará diferentes opciones de diálogo, pero la batalla se desarrollará igualmente. Recuerda actualizar tu equipo de batalla.</v>
      </c>
      <c r="T35" s="82" t="str">
        <f>IFERROR(__xludf.DUMMYFUNCTION("GOOGLETRANSLATE(D35,""zh-tw"",""es-MX"")"),"Jefe de invocación: El conejo blanco del pequeño jardín.")</f>
        <v>Jefe de invocación: El conejo blanco del pequeño jardín.</v>
      </c>
      <c r="U35" s="247" t="s">
        <v>4143</v>
      </c>
      <c r="V35" s="132" t="str">
        <f>IFERROR(__xludf.DUMMYFUNCTION("GOOGLETRANSLATE(B35,""zh-tw"",""KO"")"),"메이드 래빗 보스 구역 - 3")</f>
        <v>메이드 래빗 보스 구역 - 3</v>
      </c>
      <c r="W35" s="121" t="str">
        <f>IFERROR(__xludf.DUMMYFUNCTION("GOOGLETRANSLATE(C35,""zh-tw"",""KO"")"),"빛나는 당근을 제거하면 메이드 토끼 보스가 소환됩니다.
참고: 메이드 복장을 착용하면 대화 선택지가 달라지지만, 전투는 동일하게 진행됩니다. 전투 장비를 최신 버전으로 업데이트하는 것을 잊지 마세요.")</f>
        <v>빛나는 당근을 제거하면 메이드 토끼 보스가 소환됩니다.
참고: 메이드 복장을 착용하면 대화 선택지가 달라지지만, 전투는 동일하게 진행됩니다. 전투 장비를 최신 버전으로 업데이트하는 것을 잊지 마세요.</v>
      </c>
      <c r="X35" s="82" t="str">
        <f>IFERROR(__xludf.DUMMYFUNCTION("GOOGLETRANSLATE(D35,""zh-tw"",""KO"")"),"보스 소환 - 작은 정원의 하얀 토끼")</f>
        <v>보스 소환 - 작은 정원의 하얀 토끼</v>
      </c>
      <c r="Y35" s="247" t="s">
        <v>4143</v>
      </c>
      <c r="Z35" s="120" t="s">
        <v>4157</v>
      </c>
      <c r="AA35" s="249" t="s">
        <v>4158</v>
      </c>
      <c r="AB35" s="78" t="s">
        <v>4159</v>
      </c>
      <c r="AC35" s="247" t="s">
        <v>4143</v>
      </c>
      <c r="AD35" s="132" t="s">
        <v>4160</v>
      </c>
      <c r="AE35" s="121" t="s">
        <v>4161</v>
      </c>
      <c r="AF35" s="82" t="s">
        <v>4162</v>
      </c>
      <c r="AG35" s="247" t="s">
        <v>4143</v>
      </c>
      <c r="AH35" s="261" t="s">
        <v>4163</v>
      </c>
      <c r="AI35" s="145" t="s">
        <v>4164</v>
      </c>
      <c r="AJ35" s="199" t="s">
        <v>4165</v>
      </c>
      <c r="AK35" s="247" t="s">
        <v>4143</v>
      </c>
      <c r="AL35" s="132" t="s">
        <v>4166</v>
      </c>
      <c r="AM35" s="121" t="s">
        <v>4167</v>
      </c>
      <c r="AN35" s="82" t="s">
        <v>4168</v>
      </c>
      <c r="AO35" s="247" t="s">
        <v>4143</v>
      </c>
      <c r="AP35" s="120" t="s">
        <v>4169</v>
      </c>
      <c r="AQ35" s="121" t="s">
        <v>4170</v>
      </c>
      <c r="AR35" s="82" t="s">
        <v>4171</v>
      </c>
      <c r="AS35" s="247"/>
      <c r="AT35" s="120"/>
      <c r="AU35" s="121"/>
      <c r="AV35" s="82"/>
    </row>
    <row r="36">
      <c r="A36" s="247" t="s">
        <v>4172</v>
      </c>
      <c r="B36" s="132" t="s">
        <v>4173</v>
      </c>
      <c r="C36" s="119" t="s">
        <v>4174</v>
      </c>
      <c r="D36" s="79" t="s">
        <v>4175</v>
      </c>
      <c r="E36" s="247" t="s">
        <v>4172</v>
      </c>
      <c r="F36" s="132" t="s">
        <v>4176</v>
      </c>
      <c r="G36" s="119" t="s">
        <v>4177</v>
      </c>
      <c r="H36" s="79" t="s">
        <v>4178</v>
      </c>
      <c r="I36" s="247" t="s">
        <v>4172</v>
      </c>
      <c r="J36" s="132" t="s">
        <v>4179</v>
      </c>
      <c r="K36" s="119" t="s">
        <v>4180</v>
      </c>
      <c r="L36" s="79" t="s">
        <v>4181</v>
      </c>
      <c r="M36" s="247" t="s">
        <v>4172</v>
      </c>
      <c r="N36" s="120" t="s">
        <v>4182</v>
      </c>
      <c r="O36" s="121" t="s">
        <v>4183</v>
      </c>
      <c r="P36" s="82" t="s">
        <v>4184</v>
      </c>
      <c r="Q36" s="247" t="s">
        <v>4172</v>
      </c>
      <c r="R36" s="132" t="s">
        <v>4185</v>
      </c>
      <c r="S36" s="121" t="str">
        <f>IFERROR(__xludf.DUMMYFUNCTION("GOOGLETRANSLATE(C36,""zh-tw"",""es-MX"")"),"Derrota: El Conejo Blanco del Jardín
Derrota especial (no implementada): Destruye todas las entradas de la cueva para derrotar al JEFE.")</f>
        <v>Derrota: El Conejo Blanco del Jardín
Derrota especial (no implementada): Destruye todas las entradas de la cueva para derrotar al JEFE.</v>
      </c>
      <c r="T36" s="82" t="str">
        <f>IFERROR(__xludf.DUMMYFUNCTION("GOOGLETRANSLATE(D36,""zh-tw"",""es-MX"")"),"Probabilidad de obtener objetos: Espada Grande de Zanahoria/Espada Grande de Zanahoria Congelada/Espada Grande de Zanahoria Mohosa
Probabilidad de obtener comida: Zanahoria
Probabilidad de obtener armadura: Orejas de Conejo Lindas, Uniforme de Sirvienta
O"&amp;"bjeto que se obtiene: Mapa del Conejo (Único)")</f>
        <v>Probabilidad de obtener objetos: Espada Grande de Zanahoria/Espada Grande de Zanahoria Congelada/Espada Grande de Zanahoria Mohosa
Probabilidad de obtener comida: Zanahoria
Probabilidad de obtener armadura: Orejas de Conejo Lindas, Uniforme de Sirvienta
Objeto que se obtiene: Mapa del Conejo (Único)</v>
      </c>
      <c r="U36" s="247" t="s">
        <v>4172</v>
      </c>
      <c r="V36" s="132" t="str">
        <f>IFERROR(__xludf.DUMMYFUNCTION("GOOGLETRANSLATE(B36,""zh-tw"",""KO"")"),"메이드 래빗 보스 구역 -4")</f>
        <v>메이드 래빗 보스 구역 -4</v>
      </c>
      <c r="W36" s="121" t="str">
        <f>IFERROR(__xludf.DUMMYFUNCTION("GOOGLETRANSLATE(C36,""zh-tw"",""KO"")"),"처치 방법 - 작은 정원의 흰 토끼
특별 처치 (미구현) - 모든 동굴 입구를 파괴하면 보스를 처치할 수 있습니다.")</f>
        <v>처치 방법 - 작은 정원의 흰 토끼
특별 처치 (미구현) - 모든 동굴 입구를 파괴하면 보스를 처치할 수 있습니다.</v>
      </c>
      <c r="X36" s="82" t="str">
        <f>IFERROR(__xludf.DUMMYFUNCTION("GOOGLETRANSLATE(D36,""zh-tw"",""KO"")"),"획득 확률: 당근 대검/얼어붙은 당근 대검/곰팡이 핀 당근 대검
획득 확률: 당근
획득 확률: 귀여운 토끼 귀, 메이드 유니폼
획득 아이템: 토끼 지도 (고유)")</f>
        <v>획득 확률: 당근 대검/얼어붙은 당근 대검/곰팡이 핀 당근 대검
획득 확률: 당근
획득 확률: 귀여운 토끼 귀, 메이드 유니폼
획득 아이템: 토끼 지도 (고유)</v>
      </c>
      <c r="Y36" s="247" t="s">
        <v>4172</v>
      </c>
      <c r="Z36" s="150" t="s">
        <v>4186</v>
      </c>
      <c r="AA36" s="249" t="s">
        <v>4187</v>
      </c>
      <c r="AB36" s="69" t="s">
        <v>4188</v>
      </c>
      <c r="AC36" s="247" t="s">
        <v>4172</v>
      </c>
      <c r="AD36" s="132" t="s">
        <v>4189</v>
      </c>
      <c r="AE36" s="121" t="s">
        <v>4190</v>
      </c>
      <c r="AF36" s="82" t="s">
        <v>4191</v>
      </c>
      <c r="AG36" s="247" t="s">
        <v>4172</v>
      </c>
      <c r="AH36" s="261" t="s">
        <v>4192</v>
      </c>
      <c r="AI36" s="145" t="s">
        <v>4193</v>
      </c>
      <c r="AJ36" s="146" t="s">
        <v>4194</v>
      </c>
      <c r="AK36" s="247" t="s">
        <v>4172</v>
      </c>
      <c r="AL36" s="132" t="s">
        <v>4195</v>
      </c>
      <c r="AM36" s="121" t="s">
        <v>4196</v>
      </c>
      <c r="AN36" s="82" t="s">
        <v>4197</v>
      </c>
      <c r="AO36" s="247" t="s">
        <v>4172</v>
      </c>
      <c r="AP36" s="120" t="s">
        <v>4198</v>
      </c>
      <c r="AQ36" s="121" t="s">
        <v>4199</v>
      </c>
      <c r="AR36" s="82" t="s">
        <v>4200</v>
      </c>
      <c r="AS36" s="247"/>
      <c r="AT36" s="120"/>
      <c r="AU36" s="121"/>
      <c r="AV36" s="82"/>
    </row>
    <row r="37">
      <c r="A37" s="247" t="s">
        <v>4201</v>
      </c>
      <c r="B37" s="120" t="s">
        <v>4202</v>
      </c>
      <c r="C37" s="119" t="s">
        <v>4203</v>
      </c>
      <c r="D37" s="79" t="s">
        <v>4204</v>
      </c>
      <c r="E37" s="247" t="s">
        <v>4201</v>
      </c>
      <c r="F37" s="120" t="s">
        <v>4205</v>
      </c>
      <c r="G37" s="119" t="s">
        <v>4206</v>
      </c>
      <c r="H37" s="79" t="s">
        <v>4207</v>
      </c>
      <c r="I37" s="247" t="s">
        <v>4201</v>
      </c>
      <c r="J37" s="120" t="s">
        <v>4208</v>
      </c>
      <c r="K37" s="119" t="s">
        <v>4209</v>
      </c>
      <c r="L37" s="79" t="s">
        <v>4210</v>
      </c>
      <c r="M37" s="247" t="s">
        <v>4201</v>
      </c>
      <c r="N37" s="120" t="s">
        <v>4211</v>
      </c>
      <c r="O37" s="121" t="s">
        <v>4212</v>
      </c>
      <c r="P37" s="82" t="s">
        <v>4213</v>
      </c>
      <c r="Q37" s="247" t="s">
        <v>4201</v>
      </c>
      <c r="R37" s="132" t="s">
        <v>4214</v>
      </c>
      <c r="S37" s="121" t="str">
        <f>IFERROR(__xludf.DUMMYFUNCTION("GOOGLETRANSLATE(C37,""zh-tw"",""es-MX"")"),"La zanahoria brillante confiscará todas las zanahorias especiales presentes cuando aparezca el jefe Maid Bunny, y solo reaparecerá después de derrotarlo.
Al recoger esta zanahoria especial, soltará un objeto especial.")</f>
        <v>La zanahoria brillante confiscará todas las zanahorias especiales presentes cuando aparezca el jefe Maid Bunny, y solo reaparecerá después de derrotarlo.
Al recoger esta zanahoria especial, soltará un objeto especial.</v>
      </c>
      <c r="T37" s="82" t="str">
        <f>IFERROR(__xludf.DUMMYFUNCTION("GOOGLETRANSLATE(D37,""zh-tw"",""es-MX"")"),"Obtenido: Gran Espada de Zanahoria, Fragmento de Piedra Celestial
Los procesos posteriores aún no se han implementado; actualmente no es posible crear el segundo Elixir de Médula Roja.")</f>
        <v>Obtenido: Gran Espada de Zanahoria, Fragmento de Piedra Celestial
Los procesos posteriores aún no se han implementado; actualmente no es posible crear el segundo Elixir de Médula Roja.</v>
      </c>
      <c r="U37" s="247" t="s">
        <v>4201</v>
      </c>
      <c r="V37" s="132" t="str">
        <f>IFERROR(__xludf.DUMMYFUNCTION("GOOGLETRANSLATE(B37,""zh-tw"",""KO"")"),"빛나는 당근")</f>
        <v>빛나는 당근</v>
      </c>
      <c r="W37" s="121" t="str">
        <f>IFERROR(__xludf.DUMMYFUNCTION("GOOGLETRANSLATE(C37,""zh-tw"",""KO"")"),"빛나는 당근은 메이드 버니 보스가 나타나면 모든 특수 당근을 가져가 버리고, 보스를 물리친 후에야 다시 나타납니다.
이 특수 당근을 뽑으면 특수 아이템이 나옵니다.")</f>
        <v>빛나는 당근은 메이드 버니 보스가 나타나면 모든 특수 당근을 가져가 버리고, 보스를 물리친 후에야 다시 나타납니다.
이 특수 당근을 뽑으면 특수 아이템이 나옵니다.</v>
      </c>
      <c r="X37" s="82" t="str">
        <f>IFERROR(__xludf.DUMMYFUNCTION("GOOGLETRANSLATE(D37,""zh-tw"",""KO"")"),"획득 아이템: 당근 대검, 천석 조각
후속 제작 과정은 아직 구현되지 않았습니다. 현재로서는 두 번째 적골수 비약을 제작할 수 없습니다.")</f>
        <v>획득 아이템: 당근 대검, 천석 조각
후속 제작 과정은 아직 구현되지 않았습니다. 현재로서는 두 번째 적골수 비약을 제작할 수 없습니다.</v>
      </c>
      <c r="Y37" s="247" t="s">
        <v>4201</v>
      </c>
      <c r="Z37" s="248" t="s">
        <v>4215</v>
      </c>
      <c r="AA37" s="249" t="s">
        <v>4216</v>
      </c>
      <c r="AB37" s="69" t="s">
        <v>4217</v>
      </c>
      <c r="AC37" s="247" t="s">
        <v>4201</v>
      </c>
      <c r="AD37" s="120" t="s">
        <v>4218</v>
      </c>
      <c r="AE37" s="119" t="str">
        <f>IFERROR(__xludf.DUMMYFUNCTION("GOOGLETRANSLATE(C37,""zh-tw"",""de"")"),"Die leuchtende Karotte nimmt alle Spezialkarotten an sich, sobald der Maid Bunny-Boss erscheint, und taucht erst wieder auf, nachdem ihr ihn besiegt habt.
Zieht ihr diese Spezialkarotte hoch, erhaltet ihr einen besonderen Gegenstand.")</f>
        <v>Die leuchtende Karotte nimmt alle Spezialkarotten an sich, sobald der Maid Bunny-Boss erscheint, und taucht erst wieder auf, nachdem ihr ihn besiegt habt.
Zieht ihr diese Spezialkarotte hoch, erhaltet ihr einen besonderen Gegenstand.</v>
      </c>
      <c r="AF37" s="79" t="s">
        <v>4219</v>
      </c>
      <c r="AG37" s="247" t="s">
        <v>4201</v>
      </c>
      <c r="AH37" s="251" t="s">
        <v>4220</v>
      </c>
      <c r="AI37" s="145" t="s">
        <v>4221</v>
      </c>
      <c r="AJ37" s="146" t="s">
        <v>4222</v>
      </c>
      <c r="AK37" s="247" t="s">
        <v>4201</v>
      </c>
      <c r="AL37" s="132" t="s">
        <v>4223</v>
      </c>
      <c r="AM37" s="121" t="s">
        <v>4224</v>
      </c>
      <c r="AN37" s="82" t="s">
        <v>4225</v>
      </c>
      <c r="AO37" s="247" t="s">
        <v>4201</v>
      </c>
      <c r="AP37" s="116" t="s">
        <v>4226</v>
      </c>
      <c r="AQ37" s="121" t="s">
        <v>4227</v>
      </c>
      <c r="AR37" s="82" t="s">
        <v>4228</v>
      </c>
      <c r="AS37" s="247"/>
      <c r="AT37" s="116"/>
      <c r="AU37" s="121"/>
      <c r="AV37" s="82"/>
    </row>
    <row r="38">
      <c r="A38" s="242"/>
      <c r="B38" s="243" t="s">
        <v>4229</v>
      </c>
      <c r="E38" s="242"/>
      <c r="F38" s="242"/>
      <c r="I38" s="242"/>
      <c r="J38" s="243" t="s">
        <v>4230</v>
      </c>
      <c r="M38" s="242"/>
      <c r="N38" s="241" t="s">
        <v>4231</v>
      </c>
      <c r="Q38" s="242"/>
      <c r="R38" s="242"/>
      <c r="U38" s="242"/>
      <c r="V38" s="244"/>
      <c r="Y38" s="242"/>
      <c r="Z38" s="245" t="s">
        <v>4232</v>
      </c>
      <c r="AC38" s="242"/>
      <c r="AD38" s="242"/>
      <c r="AG38" s="242"/>
      <c r="AH38" s="242"/>
      <c r="AK38" s="242"/>
      <c r="AL38" s="246" t="s">
        <v>4233</v>
      </c>
      <c r="AO38" s="242"/>
      <c r="AP38" s="242"/>
      <c r="AS38" s="242"/>
      <c r="AT38" s="242"/>
    </row>
    <row r="39">
      <c r="A39" s="247" t="s">
        <v>4234</v>
      </c>
      <c r="B39" s="132" t="s">
        <v>4235</v>
      </c>
      <c r="C39" s="121" t="s">
        <v>4236</v>
      </c>
      <c r="D39" s="82" t="s">
        <v>4237</v>
      </c>
      <c r="E39" s="247" t="s">
        <v>4234</v>
      </c>
      <c r="F39" s="132" t="s">
        <v>4238</v>
      </c>
      <c r="G39" s="121" t="s">
        <v>4239</v>
      </c>
      <c r="H39" s="82" t="s">
        <v>4240</v>
      </c>
      <c r="I39" s="247" t="s">
        <v>4234</v>
      </c>
      <c r="J39" s="132" t="s">
        <v>4241</v>
      </c>
      <c r="K39" s="119" t="s">
        <v>4242</v>
      </c>
      <c r="L39" s="82" t="s">
        <v>4243</v>
      </c>
      <c r="M39" s="247" t="s">
        <v>4234</v>
      </c>
      <c r="N39" s="132" t="s">
        <v>4235</v>
      </c>
      <c r="O39" s="121" t="s">
        <v>4244</v>
      </c>
      <c r="P39" s="79" t="s">
        <v>4245</v>
      </c>
      <c r="Q39" s="247" t="s">
        <v>4234</v>
      </c>
      <c r="R39" s="132" t="s">
        <v>4246</v>
      </c>
      <c r="S39" s="121" t="str">
        <f>IFERROR(__xludf.DUMMYFUNCTION("GOOGLETRANSLATE(C39,""zh-tw"",""es-MX"")"),"Z normalmente solo aparece en el Bosque Perdido. Si entras en contacto con Z, existe la posibilidad de que adquieras un estado especial. Bajo este estado, existe la posibilidad de que Z te siga continuamente cuando cambies de mapa.")</f>
        <v>Z normalmente solo aparece en el Bosque Perdido. Si entras en contacto con Z, existe la posibilidad de que adquieras un estado especial. Bajo este estado, existe la posibilidad de que Z te siga continuamente cuando cambies de mapa.</v>
      </c>
      <c r="T39" s="82" t="str">
        <f>IFERROR(__xludf.DUMMYFUNCTION("GOOGLETRANSLATE(D39,""zh-tw"",""es-MX"")"),"Posibilidad de obtener el efecto de estado y ser seguido por Z.
El Exterminador de Insectos se puede comprar en el carrito de la tienda Nekogami.")</f>
        <v>Posibilidad de obtener el efecto de estado y ser seguido por Z.
El Exterminador de Insectos se puede comprar en el carrito de la tienda Nekogami.</v>
      </c>
      <c r="U39" s="247" t="s">
        <v>4234</v>
      </c>
      <c r="V39" s="132" t="str">
        <f>IFERROR(__xludf.DUMMYFUNCTION("GOOGLETRANSLATE(B39,""zh-tw"",""KO"")"),"나는 하멤의 피리 부는 사람이 아니야~")</f>
        <v>나는 하멤의 피리 부는 사람이 아니야~</v>
      </c>
      <c r="W39" s="121" t="str">
        <f>IFERROR(__xludf.DUMMYFUNCTION("GOOGLETRANSLATE(C39,""zh-tw"",""KO"")"),"Z는 일반적으로 잃어버린 숲에서만 나타납니다. Z와 접촉하게 되면 특정 상태에 빠질 확률이 있습니다. 이 상태가 되면 맵을 전환할 때 Z가 계속해서 플레이어를 따라올 수 있습니다.")</f>
        <v>Z는 일반적으로 잃어버린 숲에서만 나타납니다. Z와 접촉하게 되면 특정 상태에 빠질 확률이 있습니다. 이 상태가 되면 맵을 전환할 때 Z가 계속해서 플레이어를 따라올 수 있습니다.</v>
      </c>
      <c r="X39" s="82" t="str">
        <f>IFERROR(__xludf.DUMMYFUNCTION("GOOGLETRANSLATE(D39,""zh-tw"",""KO"")"),"Z의 추적을 받는 상태 이상 효과를 얻을 확률
벌레 박멸자는 네코가미 상점 카트에서 구입할 수 있습니다.")</f>
        <v>Z의 추적을 받는 상태 이상 효과를 얻을 확률
벌레 박멸자는 네코가미 상점 카트에서 구입할 수 있습니다.</v>
      </c>
      <c r="Y39" s="247" t="s">
        <v>4234</v>
      </c>
      <c r="Z39" s="248" t="s">
        <v>4247</v>
      </c>
      <c r="AA39" s="249" t="s">
        <v>4248</v>
      </c>
      <c r="AB39" s="69" t="s">
        <v>4249</v>
      </c>
      <c r="AC39" s="247" t="s">
        <v>4234</v>
      </c>
      <c r="AD39" s="256" t="str">
        <f>IFERROR(__xludf.DUMMYFUNCTION("IF(N39="""", """", GOOGLETRANSLATE(J39,""en"",""DE""))"),"Ich bin nicht der Rattenfänger von Hameln")</f>
        <v>Ich bin nicht der Rattenfänger von Hameln</v>
      </c>
      <c r="AE39" s="121" t="s">
        <v>4250</v>
      </c>
      <c r="AF39" s="82" t="s">
        <v>4251</v>
      </c>
      <c r="AG39" s="247" t="s">
        <v>4234</v>
      </c>
      <c r="AH39" s="270" t="s">
        <v>4252</v>
      </c>
      <c r="AI39" s="271" t="s">
        <v>4253</v>
      </c>
      <c r="AJ39" s="272" t="s">
        <v>4254</v>
      </c>
      <c r="AK39" s="247" t="s">
        <v>4234</v>
      </c>
      <c r="AL39" s="132" t="s">
        <v>4255</v>
      </c>
      <c r="AM39" s="121" t="s">
        <v>4256</v>
      </c>
      <c r="AN39" s="79" t="s">
        <v>4257</v>
      </c>
      <c r="AO39" s="247" t="s">
        <v>4234</v>
      </c>
      <c r="AP39" s="116" t="s">
        <v>4258</v>
      </c>
      <c r="AQ39" s="121" t="s">
        <v>4259</v>
      </c>
      <c r="AR39" s="82" t="s">
        <v>4260</v>
      </c>
      <c r="AS39" s="247"/>
      <c r="AT39" s="116"/>
      <c r="AU39" s="121"/>
      <c r="AV39" s="82"/>
    </row>
    <row r="40">
      <c r="A40" s="247" t="s">
        <v>4261</v>
      </c>
      <c r="B40" s="120" t="s">
        <v>3721</v>
      </c>
      <c r="C40" s="119" t="s">
        <v>4262</v>
      </c>
      <c r="D40" s="79" t="s">
        <v>4263</v>
      </c>
      <c r="E40" s="247" t="s">
        <v>4261</v>
      </c>
      <c r="F40" s="120" t="s">
        <v>3725</v>
      </c>
      <c r="G40" s="119" t="s">
        <v>4264</v>
      </c>
      <c r="H40" s="79" t="s">
        <v>4265</v>
      </c>
      <c r="I40" s="247" t="s">
        <v>4261</v>
      </c>
      <c r="J40" s="120" t="s">
        <v>3728</v>
      </c>
      <c r="K40" s="119" t="s">
        <v>4266</v>
      </c>
      <c r="L40" s="79" t="s">
        <v>4267</v>
      </c>
      <c r="M40" s="247" t="s">
        <v>4261</v>
      </c>
      <c r="N40" s="120" t="s">
        <v>3731</v>
      </c>
      <c r="O40" s="119" t="s">
        <v>4268</v>
      </c>
      <c r="P40" s="79" t="s">
        <v>4269</v>
      </c>
      <c r="Q40" s="247" t="s">
        <v>4261</v>
      </c>
      <c r="R40" s="120" t="s">
        <v>3734</v>
      </c>
      <c r="S40" s="121" t="str">
        <f>IFERROR(__xludf.DUMMYFUNCTION("GOOGLETRANSLATE(C40,""zh-tw"",""es-MX"")"),"En el Bosque Perdido, sigue las setas luminosas para llegar al cofre del tesoro que se encuentra en la esquina inferior derecha del mapa.")</f>
        <v>En el Bosque Perdido, sigue las setas luminosas para llegar al cofre del tesoro que se encuentra en la esquina inferior derecha del mapa.</v>
      </c>
      <c r="T40" s="82" t="str">
        <f>IFERROR(__xludf.DUMMYFUNCTION("GOOGLETRANSLATE(D40,""zh-tw"",""es-MX"")"),"Obtén el arma ""Bastón de Lava""")</f>
        <v>Obtén el arma "Bastón de Lava"</v>
      </c>
      <c r="U40" s="247" t="s">
        <v>4261</v>
      </c>
      <c r="V40" s="132" t="str">
        <f>IFERROR(__xludf.DUMMYFUNCTION("GOOGLETRANSLATE(B40,""zh-tw"",""KO"")"),"숨겨진 통로")</f>
        <v>숨겨진 통로</v>
      </c>
      <c r="W40" s="121" t="str">
        <f>IFERROR(__xludf.DUMMYFUNCTION("GOOGLETRANSLATE(C40,""zh-tw"",""KO"")"),"잃어버린 숲에서 빛나는 버섯을 따라가면 지도 오른쪽 아래에 보물 상자가 있습니다.")</f>
        <v>잃어버린 숲에서 빛나는 버섯을 따라가면 지도 오른쪽 아래에 보물 상자가 있습니다.</v>
      </c>
      <c r="X40" s="82" t="str">
        <f>IFERROR(__xludf.DUMMYFUNCTION("GOOGLETRANSLATE(D40,""zh-tw"",""KO"")"),"""용암 지팡이"" 무기를 획득하세요")</f>
        <v>"용암 지팡이" 무기를 획득하세요</v>
      </c>
      <c r="Y40" s="247" t="s">
        <v>4261</v>
      </c>
      <c r="Z40" s="248" t="s">
        <v>3735</v>
      </c>
      <c r="AA40" s="249" t="s">
        <v>4270</v>
      </c>
      <c r="AB40" s="69" t="s">
        <v>4271</v>
      </c>
      <c r="AC40" s="247" t="s">
        <v>4261</v>
      </c>
      <c r="AD40" s="120" t="s">
        <v>3738</v>
      </c>
      <c r="AE40" s="250" t="s">
        <v>4272</v>
      </c>
      <c r="AF40" s="71" t="s">
        <v>4273</v>
      </c>
      <c r="AG40" s="247" t="s">
        <v>4261</v>
      </c>
      <c r="AH40" s="252" t="s">
        <v>3741</v>
      </c>
      <c r="AI40" s="145" t="s">
        <v>4274</v>
      </c>
      <c r="AJ40" s="148" t="s">
        <v>4275</v>
      </c>
      <c r="AK40" s="247" t="s">
        <v>4261</v>
      </c>
      <c r="AL40" s="120" t="s">
        <v>3744</v>
      </c>
      <c r="AM40" s="121" t="s">
        <v>4276</v>
      </c>
      <c r="AN40" s="82" t="s">
        <v>4277</v>
      </c>
      <c r="AO40" s="247" t="s">
        <v>4261</v>
      </c>
      <c r="AP40" s="120" t="s">
        <v>3747</v>
      </c>
      <c r="AQ40" s="121" t="s">
        <v>4278</v>
      </c>
      <c r="AR40" s="82" t="s">
        <v>4279</v>
      </c>
      <c r="AS40" s="247"/>
      <c r="AT40" s="120"/>
      <c r="AU40" s="121"/>
      <c r="AV40" s="82"/>
    </row>
    <row r="41">
      <c r="A41" s="247" t="s">
        <v>4280</v>
      </c>
      <c r="B41" s="120" t="s">
        <v>4281</v>
      </c>
      <c r="C41" s="119" t="s">
        <v>4282</v>
      </c>
      <c r="D41" s="79" t="s">
        <v>4283</v>
      </c>
      <c r="E41" s="247" t="s">
        <v>4280</v>
      </c>
      <c r="F41" s="120" t="s">
        <v>4284</v>
      </c>
      <c r="G41" s="119" t="s">
        <v>4285</v>
      </c>
      <c r="H41" s="79" t="s">
        <v>4286</v>
      </c>
      <c r="I41" s="247" t="s">
        <v>4280</v>
      </c>
      <c r="J41" s="120" t="s">
        <v>4287</v>
      </c>
      <c r="K41" s="119" t="s">
        <v>4288</v>
      </c>
      <c r="L41" s="79" t="s">
        <v>4289</v>
      </c>
      <c r="M41" s="247" t="s">
        <v>4280</v>
      </c>
      <c r="N41" s="120" t="s">
        <v>4290</v>
      </c>
      <c r="O41" s="119" t="s">
        <v>4291</v>
      </c>
      <c r="P41" s="79" t="s">
        <v>4292</v>
      </c>
      <c r="Q41" s="247" t="s">
        <v>4280</v>
      </c>
      <c r="R41" s="132" t="s">
        <v>4293</v>
      </c>
      <c r="S41" s="121" t="str">
        <f>IFERROR(__xludf.DUMMYFUNCTION("GOOGLETRANSLATE(C41,""zh-tw"",""es-MX"")"),"En el Bosque Perdido (el final), apareció una criatura desconocida.")</f>
        <v>En el Bosque Perdido (el final), apareció una criatura desconocida.</v>
      </c>
      <c r="T41" s="82" t="str">
        <f>IFERROR(__xludf.DUMMYFUNCTION("GOOGLETRANSLATE(D41,""zh-tw"",""es-MX"")"),"La configuración inicial del escarabajo BOSS actualmente resulta ineficaz.")</f>
        <v>La configuración inicial del escarabajo BOSS actualmente resulta ineficaz.</v>
      </c>
      <c r="U41" s="247" t="s">
        <v>4280</v>
      </c>
      <c r="V41" s="132" t="str">
        <f>IFERROR(__xludf.DUMMYFUNCTION("GOOGLETRANSLATE(B41,""zh-tw"",""KO"")"),"정체불명의 생명체가 나타났다.")</f>
        <v>정체불명의 생명체가 나타났다.</v>
      </c>
      <c r="W41" s="121" t="str">
        <f>IFERROR(__xludf.DUMMYFUNCTION("GOOGLETRANSLATE(C41,""zh-tw"",""KO"")"),"잃어버린 숲(끝부분)에서 정체불명의 생명체가 나타났다.")</f>
        <v>잃어버린 숲(끝부분)에서 정체불명의 생명체가 나타났다.</v>
      </c>
      <c r="X41" s="82" t="str">
        <f>IFERROR(__xludf.DUMMYFUNCTION("GOOGLETRANSLATE(D41,""zh-tw"",""KO"")"),"BOSS 딱정벌레의 초기 설정은 현재 효과적이지 않습니다.")</f>
        <v>BOSS 딱정벌레의 초기 설정은 현재 효과적이지 않습니다.</v>
      </c>
      <c r="Y41" s="247" t="s">
        <v>4280</v>
      </c>
      <c r="Z41" s="248" t="s">
        <v>4294</v>
      </c>
      <c r="AA41" s="263" t="s">
        <v>4295</v>
      </c>
      <c r="AB41" s="69" t="s">
        <v>4296</v>
      </c>
      <c r="AC41" s="247" t="s">
        <v>4280</v>
      </c>
      <c r="AD41" s="150" t="s">
        <v>4297</v>
      </c>
      <c r="AE41" s="250" t="s">
        <v>4298</v>
      </c>
      <c r="AF41" s="71" t="s">
        <v>4299</v>
      </c>
      <c r="AG41" s="247" t="s">
        <v>4280</v>
      </c>
      <c r="AH41" s="251" t="s">
        <v>4300</v>
      </c>
      <c r="AI41" s="145" t="s">
        <v>4301</v>
      </c>
      <c r="AJ41" s="148" t="s">
        <v>4302</v>
      </c>
      <c r="AK41" s="247" t="s">
        <v>4280</v>
      </c>
      <c r="AL41" s="132" t="s">
        <v>4303</v>
      </c>
      <c r="AM41" s="121" t="s">
        <v>4304</v>
      </c>
      <c r="AN41" s="82" t="s">
        <v>4305</v>
      </c>
      <c r="AO41" s="247" t="s">
        <v>4280</v>
      </c>
      <c r="AP41" s="120" t="s">
        <v>4306</v>
      </c>
      <c r="AQ41" s="121" t="s">
        <v>4307</v>
      </c>
      <c r="AR41" s="82" t="s">
        <v>4308</v>
      </c>
      <c r="AS41" s="247"/>
      <c r="AT41" s="120"/>
      <c r="AU41" s="121"/>
      <c r="AV41" s="82"/>
    </row>
    <row r="42">
      <c r="A42" s="264"/>
      <c r="B42" s="264"/>
      <c r="C42" s="264"/>
      <c r="D42" s="264"/>
      <c r="E42" s="264"/>
      <c r="F42" s="264"/>
      <c r="G42" s="264"/>
      <c r="H42" s="264"/>
      <c r="I42" s="264"/>
      <c r="J42" s="264"/>
      <c r="K42" s="264"/>
      <c r="L42" s="264"/>
      <c r="M42" s="264"/>
      <c r="N42" s="264"/>
      <c r="O42" s="264"/>
      <c r="P42" s="264"/>
      <c r="Q42" s="264"/>
      <c r="R42" s="264"/>
      <c r="S42" s="265"/>
      <c r="T42" s="265"/>
      <c r="U42" s="264"/>
      <c r="V42" s="265"/>
      <c r="W42" s="265"/>
      <c r="X42" s="265"/>
      <c r="Y42" s="264"/>
      <c r="Z42" s="264"/>
      <c r="AA42" s="266"/>
      <c r="AB42" s="265"/>
      <c r="AC42" s="264"/>
      <c r="AD42" s="264"/>
      <c r="AE42" s="264"/>
      <c r="AF42" s="264"/>
      <c r="AG42" s="264"/>
      <c r="AH42" s="264"/>
      <c r="AI42" s="264"/>
      <c r="AJ42" s="264"/>
      <c r="AK42" s="264"/>
      <c r="AL42" s="265"/>
      <c r="AM42" s="265"/>
      <c r="AN42" s="265"/>
      <c r="AO42" s="264"/>
      <c r="AP42" s="264"/>
      <c r="AQ42" s="265"/>
      <c r="AR42" s="265"/>
      <c r="AS42" s="264"/>
      <c r="AT42" s="264"/>
      <c r="AU42" s="265"/>
      <c r="AV42" s="265"/>
    </row>
    <row r="43">
      <c r="A43" s="241" t="s">
        <v>1874</v>
      </c>
      <c r="B43" s="241" t="s">
        <v>4309</v>
      </c>
      <c r="E43" s="241" t="s">
        <v>1874</v>
      </c>
      <c r="F43" s="242"/>
      <c r="I43" s="241" t="s">
        <v>1874</v>
      </c>
      <c r="J43" s="243" t="s">
        <v>4310</v>
      </c>
      <c r="M43" s="241" t="s">
        <v>1874</v>
      </c>
      <c r="N43" s="241" t="s">
        <v>4311</v>
      </c>
      <c r="Q43" s="241" t="s">
        <v>1874</v>
      </c>
      <c r="R43" s="242"/>
      <c r="U43" s="241" t="s">
        <v>1874</v>
      </c>
      <c r="V43" s="244"/>
      <c r="Y43" s="241" t="s">
        <v>1874</v>
      </c>
      <c r="Z43" s="245" t="s">
        <v>4312</v>
      </c>
      <c r="AC43" s="241" t="s">
        <v>1874</v>
      </c>
      <c r="AD43" s="242"/>
      <c r="AG43" s="241" t="s">
        <v>1874</v>
      </c>
      <c r="AH43" s="242"/>
      <c r="AK43" s="241" t="s">
        <v>1874</v>
      </c>
      <c r="AL43" s="246" t="s">
        <v>4313</v>
      </c>
      <c r="AO43" s="241" t="s">
        <v>1874</v>
      </c>
      <c r="AP43" s="242"/>
      <c r="AS43" s="241"/>
      <c r="AT43" s="242"/>
    </row>
    <row r="44">
      <c r="A44" s="273" t="s">
        <v>4314</v>
      </c>
      <c r="B44" s="128" t="s">
        <v>3886</v>
      </c>
      <c r="C44" s="129" t="s">
        <v>4315</v>
      </c>
      <c r="D44" s="130" t="s">
        <v>4316</v>
      </c>
      <c r="E44" s="273" t="s">
        <v>4314</v>
      </c>
      <c r="F44" s="274" t="s">
        <v>3725</v>
      </c>
      <c r="G44" s="275" t="s">
        <v>4317</v>
      </c>
      <c r="H44" s="276" t="s">
        <v>4318</v>
      </c>
      <c r="I44" s="273" t="s">
        <v>4314</v>
      </c>
      <c r="J44" s="274" t="s">
        <v>4319</v>
      </c>
      <c r="K44" s="119" t="s">
        <v>4320</v>
      </c>
      <c r="L44" s="79" t="s">
        <v>4321</v>
      </c>
      <c r="M44" s="273" t="s">
        <v>4314</v>
      </c>
      <c r="N44" s="128" t="s">
        <v>4322</v>
      </c>
      <c r="O44" s="129" t="s">
        <v>4323</v>
      </c>
      <c r="P44" s="130" t="s">
        <v>4324</v>
      </c>
      <c r="Q44" s="273" t="s">
        <v>4314</v>
      </c>
      <c r="R44" s="277"/>
      <c r="S44" s="278"/>
      <c r="T44" s="279"/>
      <c r="U44" s="273" t="s">
        <v>4314</v>
      </c>
      <c r="V44" s="280"/>
      <c r="W44" s="281"/>
      <c r="X44" s="222"/>
      <c r="Y44" s="273" t="s">
        <v>4314</v>
      </c>
      <c r="Z44" s="282" t="s">
        <v>4325</v>
      </c>
      <c r="AA44" s="123" t="s">
        <v>4326</v>
      </c>
      <c r="AB44" s="283" t="s">
        <v>4327</v>
      </c>
      <c r="AC44" s="273" t="s">
        <v>4314</v>
      </c>
      <c r="AD44" s="277"/>
      <c r="AE44" s="278"/>
      <c r="AF44" s="279"/>
      <c r="AG44" s="273" t="s">
        <v>4314</v>
      </c>
      <c r="AH44" s="277"/>
      <c r="AI44" s="278"/>
      <c r="AJ44" s="279"/>
      <c r="AK44" s="273" t="s">
        <v>4314</v>
      </c>
      <c r="AL44" s="274" t="s">
        <v>4328</v>
      </c>
      <c r="AM44" s="134" t="s">
        <v>4329</v>
      </c>
      <c r="AN44" s="284" t="s">
        <v>4330</v>
      </c>
      <c r="AO44" s="273" t="s">
        <v>4314</v>
      </c>
      <c r="AP44" s="277"/>
      <c r="AQ44" s="278"/>
      <c r="AR44" s="279"/>
      <c r="AS44" s="273"/>
      <c r="AT44" s="277"/>
      <c r="AU44" s="278"/>
      <c r="AV44" s="279"/>
    </row>
    <row r="45">
      <c r="A45" s="242"/>
      <c r="B45" s="243" t="s">
        <v>4331</v>
      </c>
      <c r="E45" s="242"/>
      <c r="F45" s="242"/>
      <c r="I45" s="242"/>
      <c r="J45" s="243" t="s">
        <v>4332</v>
      </c>
      <c r="M45" s="242"/>
      <c r="N45" s="241" t="s">
        <v>4333</v>
      </c>
      <c r="Q45" s="242"/>
      <c r="R45" s="242"/>
      <c r="U45" s="242"/>
      <c r="V45" s="244"/>
      <c r="Y45" s="242"/>
      <c r="Z45" s="245" t="s">
        <v>4334</v>
      </c>
      <c r="AC45" s="242"/>
      <c r="AD45" s="242"/>
      <c r="AG45" s="242"/>
      <c r="AH45" s="242"/>
      <c r="AK45" s="242"/>
      <c r="AL45" s="246" t="s">
        <v>4335</v>
      </c>
      <c r="AO45" s="242"/>
      <c r="AP45" s="242"/>
      <c r="AS45" s="242"/>
      <c r="AT45" s="242"/>
    </row>
    <row r="46">
      <c r="A46" s="285" t="s">
        <v>4336</v>
      </c>
      <c r="B46" s="120" t="s">
        <v>4337</v>
      </c>
      <c r="C46" s="119" t="s">
        <v>4338</v>
      </c>
      <c r="D46" s="79" t="s">
        <v>4339</v>
      </c>
      <c r="E46" s="285" t="s">
        <v>4336</v>
      </c>
      <c r="F46" s="120" t="s">
        <v>4340</v>
      </c>
      <c r="G46" s="119" t="s">
        <v>4341</v>
      </c>
      <c r="H46" s="79" t="s">
        <v>4342</v>
      </c>
      <c r="I46" s="285" t="s">
        <v>4336</v>
      </c>
      <c r="J46" s="120" t="s">
        <v>4343</v>
      </c>
      <c r="K46" s="119" t="s">
        <v>4344</v>
      </c>
      <c r="L46" s="79" t="s">
        <v>4345</v>
      </c>
      <c r="M46" s="285" t="s">
        <v>4336</v>
      </c>
      <c r="N46" s="120" t="s">
        <v>4346</v>
      </c>
      <c r="O46" s="119" t="s">
        <v>4347</v>
      </c>
      <c r="P46" s="79" t="s">
        <v>4348</v>
      </c>
      <c r="Q46" s="285" t="s">
        <v>4336</v>
      </c>
      <c r="R46" s="132" t="s">
        <v>4349</v>
      </c>
      <c r="S46" s="119" t="s">
        <v>4350</v>
      </c>
      <c r="T46" s="82" t="str">
        <f>IFERROR(__xludf.DUMMYFUNCTION("GOOGLETRANSLATE(D46,""zh-tw"",""es-MX"")"),"Lo que vi: Caí en una cueva.")</f>
        <v>Lo que vi: Caí en una cueva.</v>
      </c>
      <c r="U46" s="285" t="s">
        <v>4336</v>
      </c>
      <c r="V46" s="132" t="str">
        <f>IFERROR(__xludf.DUMMYFUNCTION("GOOGLETRANSLATE(B46,""zh-tw"",""KO"")"),"구멍 속으로 떨어지다")</f>
        <v>구멍 속으로 떨어지다</v>
      </c>
      <c r="W46" s="121" t="str">
        <f>IFERROR(__xludf.DUMMYFUNCTION("GOOGLETRANSLATE(C46,""zh-tw"",""KO"")"),"개발 지역(광산)
광산 지도에서 다음 단계로 이동")</f>
        <v>개발 지역(광산)
광산 지도에서 다음 단계로 이동</v>
      </c>
      <c r="X46" s="82" t="str">
        <f>IFERROR(__xludf.DUMMYFUNCTION("GOOGLETRANSLATE(D46,""zh-tw"",""KO"")"),"내가 본 것: 나는 동굴 속으로 떨어졌다")</f>
        <v>내가 본 것: 나는 동굴 속으로 떨어졌다</v>
      </c>
      <c r="Y46" s="285" t="s">
        <v>4336</v>
      </c>
      <c r="Z46" s="248" t="s">
        <v>4351</v>
      </c>
      <c r="AA46" s="249" t="s">
        <v>4352</v>
      </c>
      <c r="AB46" s="69" t="s">
        <v>4353</v>
      </c>
      <c r="AC46" s="285" t="s">
        <v>4336</v>
      </c>
      <c r="AD46" s="120" t="s">
        <v>4354</v>
      </c>
      <c r="AE46" s="250" t="s">
        <v>4355</v>
      </c>
      <c r="AF46" s="71" t="s">
        <v>4356</v>
      </c>
      <c r="AG46" s="285" t="s">
        <v>4336</v>
      </c>
      <c r="AH46" s="251" t="s">
        <v>4357</v>
      </c>
      <c r="AI46" s="145" t="s">
        <v>4358</v>
      </c>
      <c r="AJ46" s="148" t="s">
        <v>4359</v>
      </c>
      <c r="AK46" s="285" t="s">
        <v>4336</v>
      </c>
      <c r="AL46" s="132" t="s">
        <v>4360</v>
      </c>
      <c r="AM46" s="121" t="s">
        <v>4361</v>
      </c>
      <c r="AN46" s="82" t="s">
        <v>4362</v>
      </c>
      <c r="AO46" s="285" t="s">
        <v>4336</v>
      </c>
      <c r="AP46" s="116" t="s">
        <v>4363</v>
      </c>
      <c r="AQ46" s="121" t="s">
        <v>4364</v>
      </c>
      <c r="AR46" s="82" t="s">
        <v>4365</v>
      </c>
      <c r="AS46" s="285"/>
      <c r="AT46" s="116"/>
      <c r="AU46" s="121"/>
      <c r="AV46" s="82"/>
    </row>
    <row r="47">
      <c r="A47" s="285" t="s">
        <v>4366</v>
      </c>
      <c r="B47" s="128" t="s">
        <v>3886</v>
      </c>
      <c r="C47" s="119" t="s">
        <v>4367</v>
      </c>
      <c r="D47" s="79" t="s">
        <v>4368</v>
      </c>
      <c r="E47" s="285" t="s">
        <v>4366</v>
      </c>
      <c r="F47" s="120" t="s">
        <v>3889</v>
      </c>
      <c r="G47" s="119" t="s">
        <v>4369</v>
      </c>
      <c r="H47" s="79" t="s">
        <v>4370</v>
      </c>
      <c r="I47" s="285" t="s">
        <v>4366</v>
      </c>
      <c r="J47" s="120" t="s">
        <v>4319</v>
      </c>
      <c r="K47" s="119" t="s">
        <v>4371</v>
      </c>
      <c r="L47" s="79" t="s">
        <v>4372</v>
      </c>
      <c r="M47" s="285" t="s">
        <v>4366</v>
      </c>
      <c r="N47" s="120" t="s">
        <v>4322</v>
      </c>
      <c r="O47" s="119" t="s">
        <v>4373</v>
      </c>
      <c r="P47" s="79" t="s">
        <v>4374</v>
      </c>
      <c r="Q47" s="285" t="s">
        <v>4366</v>
      </c>
      <c r="R47" s="132" t="s">
        <v>3897</v>
      </c>
      <c r="S47" s="119" t="s">
        <v>4375</v>
      </c>
      <c r="T47" s="82" t="str">
        <f>IFERROR(__xludf.DUMMYFUNCTION("GOOGLETRANSLATE(D47,""zh-tw"",""es-MX"")"),"Objeto obtenido: Gel mágico x10 (Refrescante en días lluviosos)")</f>
        <v>Objeto obtenido: Gel mágico x10 (Refrescante en días lluviosos)</v>
      </c>
      <c r="U47" s="285" t="s">
        <v>4366</v>
      </c>
      <c r="V47" s="132" t="str">
        <f>IFERROR(__xludf.DUMMYFUNCTION("GOOGLETRANSLATE(B47,""zh-tw"",""KO"")"),"숨겨진 아이템")</f>
        <v>숨겨진 아이템</v>
      </c>
      <c r="W47" s="121" t="str">
        <f>IFERROR(__xludf.DUMMYFUNCTION("GOOGLETRANSLATE(C47,""zh-tw"",""KO"")"),"개발 구역(광산)-1의 계단 중앙에 보물 상자가 있습니다.")</f>
        <v>개발 구역(광산)-1의 계단 중앙에 보물 상자가 있습니다.</v>
      </c>
      <c r="X47" s="82" t="str">
        <f>IFERROR(__xludf.DUMMYFUNCTION("GOOGLETRANSLATE(D47,""zh-tw"",""KO"")"),"획득 아이템: 매직 젤 10개 (비 오는 날 상쾌함을 선사합니다)")</f>
        <v>획득 아이템: 매직 젤 10개 (비 오는 날 상쾌함을 선사합니다)</v>
      </c>
      <c r="Y47" s="285" t="s">
        <v>4366</v>
      </c>
      <c r="Z47" s="248" t="s">
        <v>3735</v>
      </c>
      <c r="AA47" s="249" t="s">
        <v>4376</v>
      </c>
      <c r="AB47" s="69" t="s">
        <v>4377</v>
      </c>
      <c r="AC47" s="285" t="s">
        <v>4366</v>
      </c>
      <c r="AD47" s="120" t="s">
        <v>4378</v>
      </c>
      <c r="AE47" s="250" t="s">
        <v>4379</v>
      </c>
      <c r="AF47" s="71" t="s">
        <v>4380</v>
      </c>
      <c r="AG47" s="285" t="s">
        <v>4366</v>
      </c>
      <c r="AH47" s="251" t="s">
        <v>4381</v>
      </c>
      <c r="AI47" s="145" t="s">
        <v>4382</v>
      </c>
      <c r="AJ47" s="148" t="s">
        <v>4383</v>
      </c>
      <c r="AK47" s="285" t="s">
        <v>4366</v>
      </c>
      <c r="AL47" s="132" t="s">
        <v>4384</v>
      </c>
      <c r="AM47" s="121" t="s">
        <v>4385</v>
      </c>
      <c r="AN47" s="82" t="s">
        <v>4386</v>
      </c>
      <c r="AO47" s="285" t="s">
        <v>4366</v>
      </c>
      <c r="AP47" s="116" t="s">
        <v>3910</v>
      </c>
      <c r="AQ47" s="121" t="s">
        <v>4387</v>
      </c>
      <c r="AR47" s="82" t="s">
        <v>4388</v>
      </c>
      <c r="AS47" s="285"/>
      <c r="AT47" s="116"/>
      <c r="AU47" s="121"/>
      <c r="AV47" s="82"/>
    </row>
    <row r="48">
      <c r="A48" s="285" t="s">
        <v>4389</v>
      </c>
      <c r="B48" s="120" t="s">
        <v>3721</v>
      </c>
      <c r="C48" s="119" t="s">
        <v>4390</v>
      </c>
      <c r="D48" s="79" t="s">
        <v>4391</v>
      </c>
      <c r="E48" s="285" t="s">
        <v>4389</v>
      </c>
      <c r="F48" s="120" t="s">
        <v>3725</v>
      </c>
      <c r="G48" s="119" t="s">
        <v>4392</v>
      </c>
      <c r="H48" s="79" t="s">
        <v>4393</v>
      </c>
      <c r="I48" s="285" t="s">
        <v>4389</v>
      </c>
      <c r="J48" s="120" t="s">
        <v>3728</v>
      </c>
      <c r="K48" s="119" t="s">
        <v>4394</v>
      </c>
      <c r="L48" s="79" t="s">
        <v>4395</v>
      </c>
      <c r="M48" s="285" t="s">
        <v>4389</v>
      </c>
      <c r="N48" s="120" t="s">
        <v>3731</v>
      </c>
      <c r="O48" s="119" t="s">
        <v>4396</v>
      </c>
      <c r="P48" s="79" t="s">
        <v>4397</v>
      </c>
      <c r="Q48" s="285" t="s">
        <v>4389</v>
      </c>
      <c r="R48" s="120" t="s">
        <v>3734</v>
      </c>
      <c r="S48" s="119" t="s">
        <v>4398</v>
      </c>
      <c r="T48" s="82" t="str">
        <f>IFERROR(__xludf.DUMMYFUNCTION("GOOGLETRANSLATE(D48,""zh-tw"",""es-MX"")"),"Obtén el equipo: Anillo de hueso del ahorcado")</f>
        <v>Obtén el equipo: Anillo de hueso del ahorcado</v>
      </c>
      <c r="U48" s="285" t="s">
        <v>4389</v>
      </c>
      <c r="V48" s="132" t="str">
        <f>IFERROR(__xludf.DUMMYFUNCTION("GOOGLETRANSLATE(B48,""zh-tw"",""KO"")"),"숨겨진 통로")</f>
        <v>숨겨진 통로</v>
      </c>
      <c r="W48" s="121" t="str">
        <f>IFERROR(__xludf.DUMMYFUNCTION("GOOGLETRANSLATE(C48,""zh-tw"",""KO"")"),"개발 지역(광산)-1에서는 광산 수레를 타고 가장 먼 지점에 도달하면 장비를 얻을 수 있습니다.")</f>
        <v>개발 지역(광산)-1에서는 광산 수레를 타고 가장 먼 지점에 도달하면 장비를 얻을 수 있습니다.</v>
      </c>
      <c r="X48" s="82" t="str">
        <f>IFERROR(__xludf.DUMMYFUNCTION("GOOGLETRANSLATE(D48,""zh-tw"",""KO"")"),"장비 획득 - 교수형당한 남자의 뼈 반지")</f>
        <v>장비 획득 - 교수형당한 남자의 뼈 반지</v>
      </c>
      <c r="Y48" s="285" t="s">
        <v>4389</v>
      </c>
      <c r="Z48" s="248" t="s">
        <v>4325</v>
      </c>
      <c r="AA48" s="249" t="s">
        <v>4399</v>
      </c>
      <c r="AB48" s="69" t="s">
        <v>4400</v>
      </c>
      <c r="AC48" s="285" t="s">
        <v>4389</v>
      </c>
      <c r="AD48" s="120" t="s">
        <v>3738</v>
      </c>
      <c r="AE48" s="250" t="s">
        <v>4401</v>
      </c>
      <c r="AF48" s="71" t="s">
        <v>4402</v>
      </c>
      <c r="AG48" s="285" t="s">
        <v>4389</v>
      </c>
      <c r="AH48" s="252" t="s">
        <v>3741</v>
      </c>
      <c r="AI48" s="145" t="s">
        <v>4403</v>
      </c>
      <c r="AJ48" s="146" t="s">
        <v>4404</v>
      </c>
      <c r="AK48" s="285" t="s">
        <v>4389</v>
      </c>
      <c r="AL48" s="120" t="s">
        <v>3744</v>
      </c>
      <c r="AM48" s="121" t="s">
        <v>4405</v>
      </c>
      <c r="AN48" s="82" t="s">
        <v>4406</v>
      </c>
      <c r="AO48" s="285" t="s">
        <v>4389</v>
      </c>
      <c r="AP48" s="116" t="s">
        <v>4407</v>
      </c>
      <c r="AQ48" s="121" t="s">
        <v>4408</v>
      </c>
      <c r="AR48" s="82" t="s">
        <v>4409</v>
      </c>
      <c r="AS48" s="285"/>
      <c r="AT48" s="116"/>
      <c r="AU48" s="121"/>
      <c r="AV48" s="82"/>
    </row>
    <row r="49">
      <c r="A49" s="285" t="s">
        <v>4410</v>
      </c>
      <c r="B49" s="132" t="s">
        <v>4411</v>
      </c>
      <c r="C49" s="121" t="s">
        <v>4412</v>
      </c>
      <c r="D49" s="82" t="s">
        <v>4413</v>
      </c>
      <c r="E49" s="285" t="s">
        <v>4410</v>
      </c>
      <c r="F49" s="120" t="s">
        <v>4414</v>
      </c>
      <c r="G49" s="119" t="s">
        <v>4415</v>
      </c>
      <c r="H49" s="82" t="s">
        <v>4416</v>
      </c>
      <c r="I49" s="285" t="s">
        <v>4410</v>
      </c>
      <c r="J49" s="132" t="s">
        <v>4417</v>
      </c>
      <c r="K49" s="121" t="s">
        <v>4418</v>
      </c>
      <c r="L49" s="82" t="s">
        <v>4419</v>
      </c>
      <c r="M49" s="285" t="s">
        <v>4410</v>
      </c>
      <c r="N49" s="120" t="s">
        <v>4420</v>
      </c>
      <c r="O49" s="119" t="s">
        <v>4421</v>
      </c>
      <c r="P49" s="79" t="s">
        <v>4422</v>
      </c>
      <c r="Q49" s="285" t="s">
        <v>4410</v>
      </c>
      <c r="R49" s="132" t="s">
        <v>4423</v>
      </c>
      <c r="S49" s="121" t="str">
        <f>IFERROR(__xludf.DUMMYFUNCTION("GOOGLETRANSLATE(C49,""zh-tw"",""es-MX"")"),"Desde el fondo de la zona en desarrollo (mina)-1, se puede acceder al siguiente mapa.")</f>
        <v>Desde el fondo de la zona en desarrollo (mina)-1, se puede acceder al siguiente mapa.</v>
      </c>
      <c r="T49" s="82" t="str">
        <f>IFERROR(__xludf.DUMMYFUNCTION("GOOGLETRANSLATE(D49,""zh-tw"",""es-MX"")"),"Llegada a ""Zona de desarrollo (mina)-2""")</f>
        <v>Llegada a "Zona de desarrollo (mina)-2"</v>
      </c>
      <c r="U49" s="285" t="s">
        <v>4410</v>
      </c>
      <c r="V49" s="132" t="str">
        <f>IFERROR(__xludf.DUMMYFUNCTION("GOOGLETRANSLATE(B49,""zh-tw"",""KO"")"),"개발 지역(광산 구덩이) -2")</f>
        <v>개발 지역(광산 구덩이) -2</v>
      </c>
      <c r="W49" s="121" t="str">
        <f>IFERROR(__xludf.DUMMYFUNCTION("GOOGLETRANSLATE(C49,""zh-tw"",""KO"")"),"개발 지역(광산)-1의 맨 뒤쪽에서 다음 지도로 이동할 수 있습니다.")</f>
        <v>개발 지역(광산)-1의 맨 뒤쪽에서 다음 지도로 이동할 수 있습니다.</v>
      </c>
      <c r="X49" s="82" t="str">
        <f>IFERROR(__xludf.DUMMYFUNCTION("GOOGLETRANSLATE(D49,""zh-tw"",""KO"")"),"""개발 지역(광산)-2""에 도착하세요.")</f>
        <v>"개발 지역(광산)-2"에 도착하세요.</v>
      </c>
      <c r="Y49" s="285" t="s">
        <v>4410</v>
      </c>
      <c r="Z49" s="120" t="s">
        <v>4424</v>
      </c>
      <c r="AA49" s="249" t="s">
        <v>4425</v>
      </c>
      <c r="AB49" s="69" t="s">
        <v>4426</v>
      </c>
      <c r="AC49" s="285" t="s">
        <v>4410</v>
      </c>
      <c r="AD49" s="132" t="s">
        <v>4427</v>
      </c>
      <c r="AE49" s="121" t="s">
        <v>4428</v>
      </c>
      <c r="AF49" s="82" t="s">
        <v>4429</v>
      </c>
      <c r="AG49" s="285" t="s">
        <v>4410</v>
      </c>
      <c r="AH49" s="261" t="s">
        <v>4430</v>
      </c>
      <c r="AI49" s="205" t="s">
        <v>4431</v>
      </c>
      <c r="AJ49" s="199" t="s">
        <v>4432</v>
      </c>
      <c r="AK49" s="285" t="s">
        <v>4410</v>
      </c>
      <c r="AL49" s="132" t="s">
        <v>4433</v>
      </c>
      <c r="AM49" s="121" t="s">
        <v>4434</v>
      </c>
      <c r="AN49" s="82" t="s">
        <v>4435</v>
      </c>
      <c r="AO49" s="285" t="s">
        <v>4410</v>
      </c>
      <c r="AP49" s="120" t="s">
        <v>4436</v>
      </c>
      <c r="AQ49" s="121" t="s">
        <v>4437</v>
      </c>
      <c r="AR49" s="82" t="s">
        <v>4438</v>
      </c>
      <c r="AS49" s="285"/>
      <c r="AT49" s="120"/>
      <c r="AU49" s="121"/>
      <c r="AV49" s="82"/>
    </row>
    <row r="50">
      <c r="A50" s="285" t="s">
        <v>4439</v>
      </c>
      <c r="B50" s="120" t="s">
        <v>3886</v>
      </c>
      <c r="C50" s="119" t="s">
        <v>4440</v>
      </c>
      <c r="D50" s="79" t="s">
        <v>4316</v>
      </c>
      <c r="E50" s="285" t="s">
        <v>4439</v>
      </c>
      <c r="F50" s="120" t="s">
        <v>3889</v>
      </c>
      <c r="G50" s="119" t="s">
        <v>4441</v>
      </c>
      <c r="H50" s="79" t="s">
        <v>4442</v>
      </c>
      <c r="I50" s="285" t="s">
        <v>4439</v>
      </c>
      <c r="J50" s="120" t="s">
        <v>4319</v>
      </c>
      <c r="K50" s="119" t="s">
        <v>4443</v>
      </c>
      <c r="L50" s="79" t="s">
        <v>4321</v>
      </c>
      <c r="M50" s="285" t="s">
        <v>4439</v>
      </c>
      <c r="N50" s="120" t="s">
        <v>4322</v>
      </c>
      <c r="O50" s="121" t="s">
        <v>4444</v>
      </c>
      <c r="P50" s="82" t="s">
        <v>4324</v>
      </c>
      <c r="Q50" s="285" t="s">
        <v>4439</v>
      </c>
      <c r="R50" s="132" t="s">
        <v>3897</v>
      </c>
      <c r="S50" s="121" t="str">
        <f>IFERROR(__xludf.DUMMYFUNCTION("GOOGLETRANSLATE(C50,""zh-tw"",""es-MX"")"),"El punto brillante se encuentra en el fondo de la superficie del agua en ""Zona de Desarrollo (Mina)-2"".")</f>
        <v>El punto brillante se encuentra en el fondo de la superficie del agua en "Zona de Desarrollo (Mina)-2".</v>
      </c>
      <c r="T50" s="82" t="str">
        <f>IFERROR(__xludf.DUMMYFUNCTION("GOOGLETRANSLATE(D50,""zh-tw"",""es-MX"")"),"Equipo obtenido: Medalla de la Espada del Guardián")</f>
        <v>Equipo obtenido: Medalla de la Espada del Guardián</v>
      </c>
      <c r="U50" s="285" t="s">
        <v>4439</v>
      </c>
      <c r="V50" s="132" t="str">
        <f>IFERROR(__xludf.DUMMYFUNCTION("GOOGLETRANSLATE(B50,""zh-tw"",""KO"")"),"숨겨진 아이템")</f>
        <v>숨겨진 아이템</v>
      </c>
      <c r="W50" s="121" t="str">
        <f>IFERROR(__xludf.DUMMYFUNCTION("GOOGLETRANSLATE(C50,""zh-tw"",""KO"")"),"빛나는 지점은 ""개발 구역(광산)-2""의 수면 바닥에 위치해 있습니다.")</f>
        <v>빛나는 지점은 "개발 구역(광산)-2"의 수면 바닥에 위치해 있습니다.</v>
      </c>
      <c r="X50" s="82" t="str">
        <f>IFERROR(__xludf.DUMMYFUNCTION("GOOGLETRANSLATE(D50,""zh-tw"",""KO"")"),"획득 장비: 수호자의 검 메달")</f>
        <v>획득 장비: 수호자의 검 메달</v>
      </c>
      <c r="Y50" s="285" t="s">
        <v>4439</v>
      </c>
      <c r="Z50" s="248" t="s">
        <v>4325</v>
      </c>
      <c r="AA50" s="249" t="s">
        <v>4445</v>
      </c>
      <c r="AB50" s="286" t="s">
        <v>4327</v>
      </c>
      <c r="AC50" s="285" t="s">
        <v>4439</v>
      </c>
      <c r="AD50" s="120" t="s">
        <v>4378</v>
      </c>
      <c r="AE50" s="119" t="str">
        <f>IFERROR(__xludf.DUMMYFUNCTION("GOOGLETRANSLATE(C50,""zh-tw"",""de"")"),"Der leuchtende Fleck befindet sich am Grund der Wasseroberfläche im ""Entwicklungsbereich (Mine)-2"".")</f>
        <v>Der leuchtende Fleck befindet sich am Grund der Wasseroberfläche im "Entwicklungsbereich (Mine)-2".</v>
      </c>
      <c r="AF50" s="79" t="s">
        <v>4446</v>
      </c>
      <c r="AG50" s="285" t="s">
        <v>4439</v>
      </c>
      <c r="AH50" s="251" t="s">
        <v>4381</v>
      </c>
      <c r="AI50" s="145" t="s">
        <v>4447</v>
      </c>
      <c r="AJ50" s="148" t="s">
        <v>4448</v>
      </c>
      <c r="AK50" s="285" t="s">
        <v>4439</v>
      </c>
      <c r="AL50" s="132" t="s">
        <v>4384</v>
      </c>
      <c r="AM50" s="121" t="s">
        <v>4449</v>
      </c>
      <c r="AN50" s="79" t="s">
        <v>4450</v>
      </c>
      <c r="AO50" s="285" t="s">
        <v>4439</v>
      </c>
      <c r="AP50" s="116" t="s">
        <v>3910</v>
      </c>
      <c r="AQ50" s="121" t="s">
        <v>4451</v>
      </c>
      <c r="AR50" s="82" t="s">
        <v>4452</v>
      </c>
      <c r="AS50" s="285"/>
      <c r="AT50" s="116"/>
      <c r="AU50" s="121"/>
      <c r="AV50" s="82"/>
    </row>
    <row r="51">
      <c r="A51" s="285" t="s">
        <v>4453</v>
      </c>
      <c r="B51" s="132" t="s">
        <v>3721</v>
      </c>
      <c r="C51" s="121" t="s">
        <v>4454</v>
      </c>
      <c r="D51" s="82" t="s">
        <v>4455</v>
      </c>
      <c r="E51" s="285" t="s">
        <v>4453</v>
      </c>
      <c r="F51" s="132" t="s">
        <v>4456</v>
      </c>
      <c r="G51" s="121" t="s">
        <v>4457</v>
      </c>
      <c r="H51" s="82" t="s">
        <v>4458</v>
      </c>
      <c r="I51" s="285" t="s">
        <v>4453</v>
      </c>
      <c r="J51" s="120" t="s">
        <v>4459</v>
      </c>
      <c r="K51" s="119" t="s">
        <v>4460</v>
      </c>
      <c r="L51" s="82" t="s">
        <v>4461</v>
      </c>
      <c r="M51" s="285" t="s">
        <v>4453</v>
      </c>
      <c r="N51" s="120" t="s">
        <v>3731</v>
      </c>
      <c r="O51" s="119" t="s">
        <v>4462</v>
      </c>
      <c r="P51" s="79" t="s">
        <v>4463</v>
      </c>
      <c r="Q51" s="285" t="s">
        <v>4453</v>
      </c>
      <c r="R51" s="132" t="s">
        <v>4464</v>
      </c>
      <c r="S51" s="121" t="str">
        <f>IFERROR(__xludf.DUMMYFUNCTION("GOOGLETRANSLATE(C51,""zh-tw"",""es-MX"")"),"En el área en desarrollo (mina)-2, desde el centro del mapa hacia la parte superior derecha, hay un pasaje oculto que conecta con la ""Cueva de la Montaña"" (R11).")</f>
        <v>En el área en desarrollo (mina)-2, desde el centro del mapa hacia la parte superior derecha, hay un pasaje oculto que conecta con la "Cueva de la Montaña" (R11).</v>
      </c>
      <c r="T51" s="82" t="str">
        <f>IFERROR(__xludf.DUMMYFUNCTION("GOOGLETRANSLATE(D51,""zh-tw"",""es-MX"")"),"Tras despejar las rocas, se puede acceder a las cuevas de la montaña.")</f>
        <v>Tras despejar las rocas, se puede acceder a las cuevas de la montaña.</v>
      </c>
      <c r="U51" s="285" t="s">
        <v>4453</v>
      </c>
      <c r="V51" s="132" t="str">
        <f>IFERROR(__xludf.DUMMYFUNCTION("GOOGLETRANSLATE(B51,""zh-tw"",""KO"")"),"숨겨진 통로")</f>
        <v>숨겨진 통로</v>
      </c>
      <c r="W51" s="121" t="str">
        <f>IFERROR(__xludf.DUMMYFUNCTION("GOOGLETRANSLATE(C51,""zh-tw"",""KO"")"),"개발 지역(광산)-2에서 지도 중앙에서 오른쪽 위로 ""산 동굴""(R11)과 연결되는 숨겨진 통로가 있습니다.")</f>
        <v>개발 지역(광산)-2에서 지도 중앙에서 오른쪽 위로 "산 동굴"(R11)과 연결되는 숨겨진 통로가 있습니다.</v>
      </c>
      <c r="X51" s="82" t="str">
        <f>IFERROR(__xludf.DUMMYFUNCTION("GOOGLETRANSLATE(D51,""zh-tw"",""KO"")"),"바위를 치우고 나면 산속 동굴과 연결될 수 있습니다.")</f>
        <v>바위를 치우고 나면 산속 동굴과 연결될 수 있습니다.</v>
      </c>
      <c r="Y51" s="285" t="s">
        <v>4453</v>
      </c>
      <c r="Z51" s="248" t="s">
        <v>3760</v>
      </c>
      <c r="AA51" s="249" t="s">
        <v>4465</v>
      </c>
      <c r="AB51" s="69" t="s">
        <v>4466</v>
      </c>
      <c r="AC51" s="285" t="s">
        <v>4453</v>
      </c>
      <c r="AD51" s="132" t="s">
        <v>4467</v>
      </c>
      <c r="AE51" s="121" t="s">
        <v>4468</v>
      </c>
      <c r="AF51" s="82" t="s">
        <v>4469</v>
      </c>
      <c r="AG51" s="285" t="s">
        <v>4453</v>
      </c>
      <c r="AH51" s="252" t="s">
        <v>4470</v>
      </c>
      <c r="AI51" s="205" t="s">
        <v>4471</v>
      </c>
      <c r="AJ51" s="199" t="s">
        <v>4472</v>
      </c>
      <c r="AK51" s="285" t="s">
        <v>4453</v>
      </c>
      <c r="AL51" s="120" t="s">
        <v>4473</v>
      </c>
      <c r="AM51" s="121" t="s">
        <v>4474</v>
      </c>
      <c r="AN51" s="82" t="s">
        <v>4475</v>
      </c>
      <c r="AO51" s="285" t="s">
        <v>4453</v>
      </c>
      <c r="AP51" s="116" t="s">
        <v>4476</v>
      </c>
      <c r="AQ51" s="121" t="s">
        <v>4477</v>
      </c>
      <c r="AR51" s="82" t="s">
        <v>4478</v>
      </c>
      <c r="AS51" s="285"/>
      <c r="AT51" s="116"/>
      <c r="AU51" s="121"/>
      <c r="AV51" s="82"/>
    </row>
    <row r="52">
      <c r="A52" s="285" t="s">
        <v>4479</v>
      </c>
      <c r="B52" s="132" t="s">
        <v>4480</v>
      </c>
      <c r="C52" s="121" t="s">
        <v>4481</v>
      </c>
      <c r="D52" s="82" t="s">
        <v>4482</v>
      </c>
      <c r="E52" s="285" t="s">
        <v>4479</v>
      </c>
      <c r="F52" s="120" t="s">
        <v>4483</v>
      </c>
      <c r="G52" s="121" t="s">
        <v>4484</v>
      </c>
      <c r="H52" s="82" t="s">
        <v>4485</v>
      </c>
      <c r="I52" s="285" t="s">
        <v>4479</v>
      </c>
      <c r="J52" s="132" t="s">
        <v>4486</v>
      </c>
      <c r="K52" s="121" t="s">
        <v>4487</v>
      </c>
      <c r="L52" s="82" t="s">
        <v>4488</v>
      </c>
      <c r="M52" s="285" t="s">
        <v>4479</v>
      </c>
      <c r="N52" s="120" t="s">
        <v>4489</v>
      </c>
      <c r="O52" s="119" t="s">
        <v>4490</v>
      </c>
      <c r="P52" s="79" t="s">
        <v>4491</v>
      </c>
      <c r="Q52" s="285" t="s">
        <v>4479</v>
      </c>
      <c r="R52" s="132" t="s">
        <v>4492</v>
      </c>
      <c r="S52" s="121" t="str">
        <f>IFERROR(__xludf.DUMMYFUNCTION("GOOGLETRANSLATE(C52,""zh-tw"",""es-MX"")"),"En ""Zona de Desarrollo (Mina)-2"", hay una enorme roca en el centro del mapa que se extiende hacia arriba. Si la atraviesas, llegarás a ""Zona de Desarrollo (Mina)-3"", donde podrás destruirla manualmente o usar una vagoneta para entrar en ella.")</f>
        <v>En "Zona de Desarrollo (Mina)-2", hay una enorme roca en el centro del mapa que se extiende hacia arriba. Si la atraviesas, llegarás a "Zona de Desarrollo (Mina)-3", donde podrás destruirla manualmente o usar una vagoneta para entrar en ella.</v>
      </c>
      <c r="T52" s="82" t="str">
        <f>IFERROR(__xludf.DUMMYFUNCTION("GOOGLETRANSLATE(D52,""zh-tw"",""es-MX"")"),"Llegada a ""Zona de desarrollo (mina)-3""")</f>
        <v>Llegada a "Zona de desarrollo (mina)-3"</v>
      </c>
      <c r="U52" s="285" t="s">
        <v>4479</v>
      </c>
      <c r="V52" s="132" t="str">
        <f>IFERROR(__xludf.DUMMYFUNCTION("GOOGLETRANSLATE(B52,""zh-tw"",""KO"")"),"개발 지역(광산 구덩이) -3")</f>
        <v>개발 지역(광산 구덩이) -3</v>
      </c>
      <c r="W52" s="121" t="str">
        <f>IFERROR(__xludf.DUMMYFUNCTION("GOOGLETRANSLATE(C52,""zh-tw"",""KO"")"),"""개발 지역(광산)-2""에는 지도 중앙에 위쪽으로 이어지는 거대한 바위가 있습니다. 그 바위를 통과하면 ""개발 지역(광산)-3""에 도달하며, 그곳에서 바위를 직접 파괴하거나 광산 수레를 타고 바위 안으로 들어갈 수 있습니다.")</f>
        <v>"개발 지역(광산)-2"에는 지도 중앙에 위쪽으로 이어지는 거대한 바위가 있습니다. 그 바위를 통과하면 "개발 지역(광산)-3"에 도달하며, 그곳에서 바위를 직접 파괴하거나 광산 수레를 타고 바위 안으로 들어갈 수 있습니다.</v>
      </c>
      <c r="X52" s="82" t="str">
        <f>IFERROR(__xludf.DUMMYFUNCTION("GOOGLETRANSLATE(D52,""zh-tw"",""KO"")"),"""개발 지역(광산)-3""에 도착하세요.")</f>
        <v>"개발 지역(광산)-3"에 도착하세요.</v>
      </c>
      <c r="Y52" s="285" t="s">
        <v>4479</v>
      </c>
      <c r="Z52" s="120" t="s">
        <v>4493</v>
      </c>
      <c r="AA52" s="249" t="s">
        <v>4494</v>
      </c>
      <c r="AB52" s="69" t="s">
        <v>4495</v>
      </c>
      <c r="AC52" s="285" t="s">
        <v>4479</v>
      </c>
      <c r="AD52" s="132" t="s">
        <v>4496</v>
      </c>
      <c r="AE52" s="121" t="s">
        <v>4497</v>
      </c>
      <c r="AF52" s="82" t="s">
        <v>4498</v>
      </c>
      <c r="AG52" s="285" t="s">
        <v>4479</v>
      </c>
      <c r="AH52" s="261" t="s">
        <v>4499</v>
      </c>
      <c r="AI52" s="205" t="s">
        <v>4500</v>
      </c>
      <c r="AJ52" s="199" t="s">
        <v>4501</v>
      </c>
      <c r="AK52" s="285" t="s">
        <v>4479</v>
      </c>
      <c r="AL52" s="132" t="s">
        <v>4502</v>
      </c>
      <c r="AM52" s="121" t="s">
        <v>4503</v>
      </c>
      <c r="AN52" s="82" t="s">
        <v>4504</v>
      </c>
      <c r="AO52" s="285" t="s">
        <v>4479</v>
      </c>
      <c r="AP52" s="120" t="s">
        <v>4505</v>
      </c>
      <c r="AQ52" s="121" t="s">
        <v>4506</v>
      </c>
      <c r="AR52" s="82" t="s">
        <v>4507</v>
      </c>
      <c r="AS52" s="285"/>
      <c r="AT52" s="120"/>
      <c r="AU52" s="121"/>
      <c r="AV52" s="82"/>
    </row>
    <row r="53">
      <c r="A53" s="285" t="s">
        <v>4508</v>
      </c>
      <c r="B53" s="120" t="s">
        <v>3886</v>
      </c>
      <c r="C53" s="119" t="s">
        <v>4509</v>
      </c>
      <c r="D53" s="79" t="s">
        <v>4510</v>
      </c>
      <c r="E53" s="285" t="s">
        <v>4508</v>
      </c>
      <c r="F53" s="120" t="s">
        <v>3889</v>
      </c>
      <c r="G53" s="119" t="s">
        <v>4511</v>
      </c>
      <c r="H53" s="79" t="s">
        <v>4512</v>
      </c>
      <c r="I53" s="285" t="s">
        <v>4508</v>
      </c>
      <c r="J53" s="120" t="s">
        <v>4319</v>
      </c>
      <c r="K53" s="119" t="s">
        <v>4513</v>
      </c>
      <c r="L53" s="79" t="s">
        <v>4514</v>
      </c>
      <c r="M53" s="285" t="s">
        <v>4508</v>
      </c>
      <c r="N53" s="120" t="s">
        <v>4322</v>
      </c>
      <c r="O53" s="121" t="s">
        <v>4515</v>
      </c>
      <c r="P53" s="82" t="s">
        <v>4516</v>
      </c>
      <c r="Q53" s="285" t="s">
        <v>4508</v>
      </c>
      <c r="R53" s="132" t="s">
        <v>3897</v>
      </c>
      <c r="S53" s="121" t="str">
        <f>IFERROR(__xludf.DUMMYFUNCTION("GOOGLETRANSLATE(C53,""zh-tw"",""es-MX"")"),"La caja de madera brillante se encuentra en el lado izquierdo después de entrar en ""Área de Desarrollo (Mina)-3"".")</f>
        <v>La caja de madera brillante se encuentra en el lado izquierdo después de entrar en "Área de Desarrollo (Mina)-3".</v>
      </c>
      <c r="T53" s="82" t="str">
        <f>IFERROR(__xludf.DUMMYFUNCTION("GOOGLETRANSLATE(D53,""zh-tw"",""es-MX"")"),"Equipo obtenido: Guantes de seguridad")</f>
        <v>Equipo obtenido: Guantes de seguridad</v>
      </c>
      <c r="U53" s="285" t="s">
        <v>4508</v>
      </c>
      <c r="V53" s="132" t="str">
        <f>IFERROR(__xludf.DUMMYFUNCTION("GOOGLETRANSLATE(B53,""zh-tw"",""KO"")"),"숨겨진 아이템")</f>
        <v>숨겨진 아이템</v>
      </c>
      <c r="W53" s="121" t="str">
        <f>IFERROR(__xludf.DUMMYFUNCTION("GOOGLETRANSLATE(C53,""zh-tw"",""KO"")"),"빛나는 나무 상자는 ""개발 구역(광산)-3""에 들어간 후 왼쪽에 있습니다.")</f>
        <v>빛나는 나무 상자는 "개발 구역(광산)-3"에 들어간 후 왼쪽에 있습니다.</v>
      </c>
      <c r="X53" s="82" t="str">
        <f>IFERROR(__xludf.DUMMYFUNCTION("GOOGLETRANSLATE(D53,""zh-tw"",""KO"")"),"획득 장비: 안전 장갑")</f>
        <v>획득 장비: 안전 장갑</v>
      </c>
      <c r="Y53" s="285" t="s">
        <v>4508</v>
      </c>
      <c r="Z53" s="248" t="s">
        <v>4325</v>
      </c>
      <c r="AA53" s="249" t="s">
        <v>4517</v>
      </c>
      <c r="AB53" s="69" t="s">
        <v>4518</v>
      </c>
      <c r="AC53" s="285" t="s">
        <v>4508</v>
      </c>
      <c r="AD53" s="120" t="s">
        <v>4378</v>
      </c>
      <c r="AE53" s="119" t="str">
        <f>IFERROR(__xludf.DUMMYFUNCTION("GOOGLETRANSLATE(C53,""zh-tw"",""de"")"),"Die leuchtende Holzkiste befindet sich auf der linken Seite nach Betreten des ""Entwicklungsbereichs (Mine)-3"".")</f>
        <v>Die leuchtende Holzkiste befindet sich auf der linken Seite nach Betreten des "Entwicklungsbereichs (Mine)-3".</v>
      </c>
      <c r="AF53" s="79" t="s">
        <v>4519</v>
      </c>
      <c r="AG53" s="285" t="s">
        <v>4508</v>
      </c>
      <c r="AH53" s="251" t="s">
        <v>4381</v>
      </c>
      <c r="AI53" s="145" t="s">
        <v>4520</v>
      </c>
      <c r="AJ53" s="148" t="s">
        <v>4521</v>
      </c>
      <c r="AK53" s="285" t="s">
        <v>4508</v>
      </c>
      <c r="AL53" s="132" t="s">
        <v>4384</v>
      </c>
      <c r="AM53" s="121" t="s">
        <v>4522</v>
      </c>
      <c r="AN53" s="82" t="s">
        <v>4523</v>
      </c>
      <c r="AO53" s="285" t="s">
        <v>4508</v>
      </c>
      <c r="AP53" s="116" t="s">
        <v>3910</v>
      </c>
      <c r="AQ53" s="121" t="s">
        <v>4524</v>
      </c>
      <c r="AR53" s="82" t="s">
        <v>4525</v>
      </c>
      <c r="AS53" s="285"/>
      <c r="AT53" s="116"/>
      <c r="AU53" s="121"/>
      <c r="AV53" s="82"/>
    </row>
    <row r="54">
      <c r="A54" s="285" t="s">
        <v>4526</v>
      </c>
      <c r="B54" s="120" t="s">
        <v>3886</v>
      </c>
      <c r="C54" s="119" t="s">
        <v>4527</v>
      </c>
      <c r="D54" s="79" t="s">
        <v>4528</v>
      </c>
      <c r="E54" s="285" t="s">
        <v>4526</v>
      </c>
      <c r="F54" s="120" t="s">
        <v>3889</v>
      </c>
      <c r="G54" s="119" t="s">
        <v>4529</v>
      </c>
      <c r="H54" s="79" t="s">
        <v>4530</v>
      </c>
      <c r="I54" s="285" t="s">
        <v>4526</v>
      </c>
      <c r="J54" s="120" t="s">
        <v>4319</v>
      </c>
      <c r="K54" s="119" t="s">
        <v>4531</v>
      </c>
      <c r="L54" s="79" t="s">
        <v>4532</v>
      </c>
      <c r="M54" s="285" t="s">
        <v>4526</v>
      </c>
      <c r="N54" s="120" t="s">
        <v>4322</v>
      </c>
      <c r="O54" s="121" t="s">
        <v>4533</v>
      </c>
      <c r="P54" s="82" t="s">
        <v>4534</v>
      </c>
      <c r="Q54" s="285" t="s">
        <v>4526</v>
      </c>
      <c r="R54" s="132" t="s">
        <v>3897</v>
      </c>
      <c r="S54" s="121" t="str">
        <f>IFERROR(__xludf.DUMMYFUNCTION("GOOGLETRANSLATE(C54,""zh-tw"",""es-MX"")"),"Los objetos ocultos se pueden obtener utilizando habilidades de equipo en el área suspendida del área de desarrollo (mina)-3.")</f>
        <v>Los objetos ocultos se pueden obtener utilizando habilidades de equipo en el área suspendida del área de desarrollo (mina)-3.</v>
      </c>
      <c r="T54" s="82" t="str">
        <f>IFERROR(__xludf.DUMMYFUNCTION("GOOGLETRANSLATE(D54,""zh-tw"",""es-MX"")"),"Equipo obtenido: Espada de gemas")</f>
        <v>Equipo obtenido: Espada de gemas</v>
      </c>
      <c r="U54" s="285" t="s">
        <v>4526</v>
      </c>
      <c r="V54" s="132" t="str">
        <f>IFERROR(__xludf.DUMMYFUNCTION("GOOGLETRANSLATE(B54,""zh-tw"",""KO"")"),"숨겨진 아이템")</f>
        <v>숨겨진 아이템</v>
      </c>
      <c r="W54" s="121" t="str">
        <f>IFERROR(__xludf.DUMMYFUNCTION("GOOGLETRANSLATE(C54,""zh-tw"",""KO"")"),"숨겨진 아이템은 개발 지역(광산)-3의 공중에 떠 있는 지역에서 장비 스킬을 사용하여 획득할 수 있습니다.")</f>
        <v>숨겨진 아이템은 개발 지역(광산)-3의 공중에 떠 있는 지역에서 장비 스킬을 사용하여 획득할 수 있습니다.</v>
      </c>
      <c r="X54" s="82" t="str">
        <f>IFERROR(__xludf.DUMMYFUNCTION("GOOGLETRANSLATE(D54,""zh-tw"",""KO"")"),"획득 장비: 보석검")</f>
        <v>획득 장비: 보석검</v>
      </c>
      <c r="Y54" s="285" t="s">
        <v>4526</v>
      </c>
      <c r="Z54" s="248" t="s">
        <v>4325</v>
      </c>
      <c r="AA54" s="249" t="s">
        <v>4535</v>
      </c>
      <c r="AB54" s="69" t="s">
        <v>4536</v>
      </c>
      <c r="AC54" s="285" t="s">
        <v>4526</v>
      </c>
      <c r="AD54" s="120" t="s">
        <v>4378</v>
      </c>
      <c r="AE54" s="119" t="str">
        <f>IFERROR(__xludf.DUMMYFUNCTION("GOOGLETRANSLATE(C54,""zh-tw"",""de"")"),"Versteckte Gegenstände können durch den Einsatz von Ausrüstungsfertigkeiten im schwebenden Bereich des Entwicklungsgebiets (Mine)-3 erhalten werden.")</f>
        <v>Versteckte Gegenstände können durch den Einsatz von Ausrüstungsfertigkeiten im schwebenden Bereich des Entwicklungsgebiets (Mine)-3 erhalten werden.</v>
      </c>
      <c r="AF54" s="79" t="s">
        <v>4537</v>
      </c>
      <c r="AG54" s="285" t="s">
        <v>4526</v>
      </c>
      <c r="AH54" s="251" t="s">
        <v>4381</v>
      </c>
      <c r="AI54" s="145" t="s">
        <v>4538</v>
      </c>
      <c r="AJ54" s="148" t="s">
        <v>4539</v>
      </c>
      <c r="AK54" s="285" t="s">
        <v>4526</v>
      </c>
      <c r="AL54" s="132" t="s">
        <v>4384</v>
      </c>
      <c r="AM54" s="121" t="s">
        <v>4540</v>
      </c>
      <c r="AN54" s="82" t="s">
        <v>4541</v>
      </c>
      <c r="AO54" s="285" t="s">
        <v>4526</v>
      </c>
      <c r="AP54" s="116" t="s">
        <v>3910</v>
      </c>
      <c r="AQ54" s="121" t="s">
        <v>4542</v>
      </c>
      <c r="AR54" s="82" t="s">
        <v>4543</v>
      </c>
      <c r="AS54" s="285"/>
      <c r="AT54" s="116"/>
      <c r="AU54" s="121"/>
      <c r="AV54" s="82"/>
    </row>
    <row r="55">
      <c r="A55" s="285" t="s">
        <v>4544</v>
      </c>
      <c r="B55" s="132" t="s">
        <v>4545</v>
      </c>
      <c r="C55" s="121" t="s">
        <v>4546</v>
      </c>
      <c r="D55" s="82" t="s">
        <v>4547</v>
      </c>
      <c r="E55" s="285" t="s">
        <v>4544</v>
      </c>
      <c r="F55" s="120" t="s">
        <v>4548</v>
      </c>
      <c r="G55" s="121" t="s">
        <v>4549</v>
      </c>
      <c r="H55" s="82" t="s">
        <v>4550</v>
      </c>
      <c r="I55" s="285" t="s">
        <v>4544</v>
      </c>
      <c r="J55" s="132" t="s">
        <v>4551</v>
      </c>
      <c r="K55" s="121" t="s">
        <v>4552</v>
      </c>
      <c r="L55" s="82" t="s">
        <v>4553</v>
      </c>
      <c r="M55" s="285" t="s">
        <v>4544</v>
      </c>
      <c r="N55" s="120" t="s">
        <v>4554</v>
      </c>
      <c r="O55" s="119" t="s">
        <v>4555</v>
      </c>
      <c r="P55" s="79" t="s">
        <v>4556</v>
      </c>
      <c r="Q55" s="285" t="s">
        <v>4544</v>
      </c>
      <c r="R55" s="132" t="s">
        <v>4557</v>
      </c>
      <c r="S55" s="121" t="str">
        <f>IFERROR(__xludf.DUMMYFUNCTION("GOOGLETRANSLATE(C55,""zh-tw"",""es-MX"")"),"Desde ""Zona de desarrollo (mina)-3"", siga el camino del mapa para llegar a ""Zona de desarrollo (mina)-4"". Si cae accidentalmente, llegará a la zona de lava.")</f>
        <v>Desde "Zona de desarrollo (mina)-3", siga el camino del mapa para llegar a "Zona de desarrollo (mina)-4". Si cae accidentalmente, llegará a la zona de lava.</v>
      </c>
      <c r="T55" s="82" t="str">
        <f>IFERROR(__xludf.DUMMYFUNCTION("GOOGLETRANSLATE(D55,""zh-tw"",""es-MX"")"),"Llegada a ""Zona de desarrollo (mina)-4""")</f>
        <v>Llegada a "Zona de desarrollo (mina)-4"</v>
      </c>
      <c r="U55" s="285" t="s">
        <v>4544</v>
      </c>
      <c r="V55" s="132" t="str">
        <f>IFERROR(__xludf.DUMMYFUNCTION("GOOGLETRANSLATE(B55,""zh-tw"",""KO"")"),"개발 지역(광산 구덩이) -4")</f>
        <v>개발 지역(광산 구덩이) -4</v>
      </c>
      <c r="W55" s="121" t="str">
        <f>IFERROR(__xludf.DUMMYFUNCTION("GOOGLETRANSLATE(C55,""zh-tw"",""KO"")"),"""개발 구역(광산)-3""에서 지도 경로를 따라 ""개발 구역(광산)-4""로 이동하세요. 만약 실수로 떨어지면 용암 지대에 도착하게 됩니다.")</f>
        <v>"개발 구역(광산)-3"에서 지도 경로를 따라 "개발 구역(광산)-4"로 이동하세요. 만약 실수로 떨어지면 용암 지대에 도착하게 됩니다.</v>
      </c>
      <c r="X55" s="82" t="str">
        <f>IFERROR(__xludf.DUMMYFUNCTION("GOOGLETRANSLATE(D55,""zh-tw"",""KO"")"),"""개발 지역(광산)-4""에 도착하세요.")</f>
        <v>"개발 지역(광산)-4"에 도착하세요.</v>
      </c>
      <c r="Y55" s="285" t="s">
        <v>4544</v>
      </c>
      <c r="Z55" s="120" t="s">
        <v>4558</v>
      </c>
      <c r="AA55" s="249" t="s">
        <v>4559</v>
      </c>
      <c r="AB55" s="69" t="s">
        <v>4560</v>
      </c>
      <c r="AC55" s="285" t="s">
        <v>4544</v>
      </c>
      <c r="AD55" s="132" t="s">
        <v>4561</v>
      </c>
      <c r="AE55" s="121" t="s">
        <v>4562</v>
      </c>
      <c r="AF55" s="82" t="s">
        <v>4563</v>
      </c>
      <c r="AG55" s="285" t="s">
        <v>4544</v>
      </c>
      <c r="AH55" s="261" t="s">
        <v>4430</v>
      </c>
      <c r="AI55" s="149" t="s">
        <v>4564</v>
      </c>
      <c r="AJ55" s="199" t="s">
        <v>4565</v>
      </c>
      <c r="AK55" s="285" t="s">
        <v>4544</v>
      </c>
      <c r="AL55" s="132" t="s">
        <v>4566</v>
      </c>
      <c r="AM55" s="121" t="s">
        <v>4567</v>
      </c>
      <c r="AN55" s="82" t="s">
        <v>4568</v>
      </c>
      <c r="AO55" s="285" t="s">
        <v>4544</v>
      </c>
      <c r="AP55" s="120" t="s">
        <v>4569</v>
      </c>
      <c r="AQ55" s="121" t="s">
        <v>4570</v>
      </c>
      <c r="AR55" s="82" t="s">
        <v>4571</v>
      </c>
      <c r="AS55" s="285"/>
      <c r="AT55" s="120"/>
      <c r="AU55" s="121"/>
      <c r="AV55" s="82"/>
    </row>
    <row r="56">
      <c r="A56" s="285" t="s">
        <v>4572</v>
      </c>
      <c r="B56" s="120" t="s">
        <v>3886</v>
      </c>
      <c r="C56" s="119" t="s">
        <v>4573</v>
      </c>
      <c r="D56" s="79" t="s">
        <v>4574</v>
      </c>
      <c r="E56" s="285" t="s">
        <v>4572</v>
      </c>
      <c r="F56" s="120" t="s">
        <v>3889</v>
      </c>
      <c r="G56" s="119" t="s">
        <v>4575</v>
      </c>
      <c r="H56" s="79" t="s">
        <v>4576</v>
      </c>
      <c r="I56" s="285" t="s">
        <v>4572</v>
      </c>
      <c r="J56" s="120" t="s">
        <v>4319</v>
      </c>
      <c r="K56" s="119" t="s">
        <v>4577</v>
      </c>
      <c r="L56" s="79" t="s">
        <v>4578</v>
      </c>
      <c r="M56" s="285" t="s">
        <v>4572</v>
      </c>
      <c r="N56" s="120" t="s">
        <v>4322</v>
      </c>
      <c r="O56" s="121" t="s">
        <v>4579</v>
      </c>
      <c r="P56" s="82" t="s">
        <v>4580</v>
      </c>
      <c r="Q56" s="285" t="s">
        <v>4572</v>
      </c>
      <c r="R56" s="132" t="s">
        <v>3897</v>
      </c>
      <c r="S56" s="121" t="str">
        <f>IFERROR(__xludf.DUMMYFUNCTION("GOOGLETRANSLATE(C56,""zh-tw"",""es-MX"")"),"En la zona de desarrollo (mina)-4, encima de la escalera central, hay un punto brillante.")</f>
        <v>En la zona de desarrollo (mina)-4, encima de la escalera central, hay un punto brillante.</v>
      </c>
      <c r="T56" s="82" t="str">
        <f>IFERROR(__xludf.DUMMYFUNCTION("GOOGLETRANSLATE(D56,""zh-tw"",""es-MX"")"),"Obtén el equipo: Espada de hierro oxidada")</f>
        <v>Obtén el equipo: Espada de hierro oxidada</v>
      </c>
      <c r="U56" s="285" t="s">
        <v>4572</v>
      </c>
      <c r="V56" s="132" t="str">
        <f>IFERROR(__xludf.DUMMYFUNCTION("GOOGLETRANSLATE(B56,""zh-tw"",""KO"")"),"숨겨진 아이템")</f>
        <v>숨겨진 아이템</v>
      </c>
      <c r="W56" s="121" t="str">
        <f>IFERROR(__xludf.DUMMYFUNCTION("GOOGLETRANSLATE(C56,""zh-tw"",""KO"")"),"개발 구역(광산)-4의 중앙 계단 위쪽에 빛나는 지점이 있습니다.")</f>
        <v>개발 구역(광산)-4의 중앙 계단 위쪽에 빛나는 지점이 있습니다.</v>
      </c>
      <c r="X56" s="82" t="str">
        <f>IFERROR(__xludf.DUMMYFUNCTION("GOOGLETRANSLATE(D56,""zh-tw"",""KO"")"),"장비 획득: 녹슨 철검")</f>
        <v>장비 획득: 녹슨 철검</v>
      </c>
      <c r="Y56" s="285" t="s">
        <v>4572</v>
      </c>
      <c r="Z56" s="248" t="s">
        <v>4325</v>
      </c>
      <c r="AA56" s="249" t="s">
        <v>4581</v>
      </c>
      <c r="AB56" s="69" t="s">
        <v>4582</v>
      </c>
      <c r="AC56" s="285" t="s">
        <v>4572</v>
      </c>
      <c r="AD56" s="120" t="s">
        <v>4378</v>
      </c>
      <c r="AE56" s="119" t="str">
        <f>IFERROR(__xludf.DUMMYFUNCTION("GOOGLETRANSLATE(C56,""zh-tw"",""de"")"),"Im Entwicklungsgebiet (Mine)-4, oberhalb der zentralen Treppe, befindet sich ein leuchtender Fleck.")</f>
        <v>Im Entwicklungsgebiet (Mine)-4, oberhalb der zentralen Treppe, befindet sich ein leuchtender Fleck.</v>
      </c>
      <c r="AF56" s="79" t="s">
        <v>4583</v>
      </c>
      <c r="AG56" s="285" t="s">
        <v>4572</v>
      </c>
      <c r="AH56" s="251" t="s">
        <v>4381</v>
      </c>
      <c r="AI56" s="145" t="s">
        <v>4584</v>
      </c>
      <c r="AJ56" s="148" t="s">
        <v>4585</v>
      </c>
      <c r="AK56" s="285" t="s">
        <v>4572</v>
      </c>
      <c r="AL56" s="132" t="s">
        <v>4384</v>
      </c>
      <c r="AM56" s="121" t="s">
        <v>4586</v>
      </c>
      <c r="AN56" s="82" t="s">
        <v>4587</v>
      </c>
      <c r="AO56" s="285" t="s">
        <v>4572</v>
      </c>
      <c r="AP56" s="116" t="s">
        <v>3910</v>
      </c>
      <c r="AQ56" s="121" t="s">
        <v>4588</v>
      </c>
      <c r="AR56" s="82" t="s">
        <v>4589</v>
      </c>
      <c r="AS56" s="285"/>
      <c r="AT56" s="116"/>
      <c r="AU56" s="121"/>
      <c r="AV56" s="82"/>
    </row>
    <row r="57">
      <c r="A57" s="285" t="s">
        <v>4590</v>
      </c>
      <c r="B57" s="120" t="s">
        <v>3886</v>
      </c>
      <c r="C57" s="119" t="s">
        <v>4591</v>
      </c>
      <c r="D57" s="79" t="s">
        <v>4592</v>
      </c>
      <c r="E57" s="285" t="s">
        <v>4590</v>
      </c>
      <c r="F57" s="120" t="s">
        <v>3889</v>
      </c>
      <c r="G57" s="119" t="s">
        <v>4593</v>
      </c>
      <c r="H57" s="79" t="s">
        <v>4594</v>
      </c>
      <c r="I57" s="285" t="s">
        <v>4590</v>
      </c>
      <c r="J57" s="120" t="s">
        <v>4319</v>
      </c>
      <c r="K57" s="119" t="s">
        <v>4595</v>
      </c>
      <c r="L57" s="79" t="s">
        <v>4596</v>
      </c>
      <c r="M57" s="285" t="s">
        <v>4590</v>
      </c>
      <c r="N57" s="120" t="s">
        <v>4322</v>
      </c>
      <c r="O57" s="121" t="s">
        <v>4597</v>
      </c>
      <c r="P57" s="82" t="s">
        <v>4598</v>
      </c>
      <c r="Q57" s="285" t="s">
        <v>4590</v>
      </c>
      <c r="R57" s="132" t="s">
        <v>3897</v>
      </c>
      <c r="S57" s="121" t="str">
        <f>IFERROR(__xludf.DUMMYFUNCTION("GOOGLETRANSLATE(C57,""zh-tw"",""es-MX"")"),"En la zona en desarrollo (pozo minero) -4, a la izquierda después de bajar la escalera central.")</f>
        <v>En la zona en desarrollo (pozo minero) -4, a la izquierda después de bajar la escalera central.</v>
      </c>
      <c r="T57" s="82" t="str">
        <f>IFERROR(__xludf.DUMMYFUNCTION("GOOGLETRANSLATE(D57,""zh-tw"",""es-MX"")"),"Adquirir equipo: Golem de hierro. Las reglas para el Golem de hierro se explican en los consejos.")</f>
        <v>Adquirir equipo: Golem de hierro. Las reglas para el Golem de hierro se explican en los consejos.</v>
      </c>
      <c r="U57" s="285" t="s">
        <v>4590</v>
      </c>
      <c r="V57" s="132" t="str">
        <f>IFERROR(__xludf.DUMMYFUNCTION("GOOGLETRANSLATE(B57,""zh-tw"",""KO"")"),"숨겨진 아이템")</f>
        <v>숨겨진 아이템</v>
      </c>
      <c r="W57" s="121" t="str">
        <f>IFERROR(__xludf.DUMMYFUNCTION("GOOGLETRANSLATE(C57,""zh-tw"",""KO"")"),"개발 구역(광산 구덩이) -4에서 중앙 계단을 내려간 후 왼쪽에 있습니다.")</f>
        <v>개발 구역(광산 구덩이) -4에서 중앙 계단을 내려간 후 왼쪽에 있습니다.</v>
      </c>
      <c r="X57" s="82" t="str">
        <f>IFERROR(__xludf.DUMMYFUNCTION("GOOGLETRANSLATE(D57,""zh-tw"",""KO"")"),"장비 획득: 철 골렘 철 골렘 사용 규칙은 팁에서 설명합니다.")</f>
        <v>장비 획득: 철 골렘 철 골렘 사용 규칙은 팁에서 설명합니다.</v>
      </c>
      <c r="Y57" s="285" t="s">
        <v>4590</v>
      </c>
      <c r="Z57" s="248" t="s">
        <v>4325</v>
      </c>
      <c r="AA57" s="249" t="s">
        <v>4599</v>
      </c>
      <c r="AB57" s="69" t="s">
        <v>4600</v>
      </c>
      <c r="AC57" s="285" t="s">
        <v>4590</v>
      </c>
      <c r="AD57" s="120" t="s">
        <v>4378</v>
      </c>
      <c r="AE57" s="119" t="str">
        <f>IFERROR(__xludf.DUMMYFUNCTION("GOOGLETRANSLATE(C57,""zh-tw"",""de"")"),"Im Erschließungsbereich (Schacht) -4, links nach dem Abstieg über die zentrale Treppe.")</f>
        <v>Im Erschließungsbereich (Schacht) -4, links nach dem Abstieg über die zentrale Treppe.</v>
      </c>
      <c r="AF57" s="79" t="s">
        <v>4601</v>
      </c>
      <c r="AG57" s="285" t="s">
        <v>4590</v>
      </c>
      <c r="AH57" s="251" t="s">
        <v>4381</v>
      </c>
      <c r="AI57" s="145" t="s">
        <v>4602</v>
      </c>
      <c r="AJ57" s="148" t="s">
        <v>4603</v>
      </c>
      <c r="AK57" s="285" t="s">
        <v>4590</v>
      </c>
      <c r="AL57" s="132" t="s">
        <v>4384</v>
      </c>
      <c r="AM57" s="121" t="s">
        <v>4604</v>
      </c>
      <c r="AN57" s="82" t="s">
        <v>4605</v>
      </c>
      <c r="AO57" s="285" t="s">
        <v>4590</v>
      </c>
      <c r="AP57" s="116" t="s">
        <v>3910</v>
      </c>
      <c r="AQ57" s="121" t="s">
        <v>4606</v>
      </c>
      <c r="AR57" s="82" t="s">
        <v>4607</v>
      </c>
      <c r="AS57" s="285"/>
      <c r="AT57" s="116"/>
      <c r="AU57" s="121"/>
      <c r="AV57" s="82"/>
    </row>
    <row r="58">
      <c r="A58" s="285" t="s">
        <v>4608</v>
      </c>
      <c r="B58" s="120" t="s">
        <v>3886</v>
      </c>
      <c r="C58" s="119" t="s">
        <v>4609</v>
      </c>
      <c r="D58" s="79" t="s">
        <v>4610</v>
      </c>
      <c r="E58" s="285" t="s">
        <v>4608</v>
      </c>
      <c r="F58" s="120" t="s">
        <v>3889</v>
      </c>
      <c r="G58" s="119" t="s">
        <v>4611</v>
      </c>
      <c r="H58" s="79" t="s">
        <v>4612</v>
      </c>
      <c r="I58" s="285" t="s">
        <v>4608</v>
      </c>
      <c r="J58" s="120" t="s">
        <v>4319</v>
      </c>
      <c r="K58" s="119" t="s">
        <v>4613</v>
      </c>
      <c r="L58" s="79" t="s">
        <v>4614</v>
      </c>
      <c r="M58" s="285" t="s">
        <v>4608</v>
      </c>
      <c r="N58" s="120" t="s">
        <v>4322</v>
      </c>
      <c r="O58" s="121" t="s">
        <v>4615</v>
      </c>
      <c r="P58" s="82" t="s">
        <v>4616</v>
      </c>
      <c r="Q58" s="285" t="s">
        <v>4608</v>
      </c>
      <c r="R58" s="132" t="s">
        <v>3897</v>
      </c>
      <c r="S58" s="121" t="str">
        <f>IFERROR(__xludf.DUMMYFUNCTION("GOOGLETRANSLATE(C58,""zh-tw"",""es-MX"")"),"En la zona en desarrollo (pozo de la mina) -4, el punto brillante está a la derecha después de bajar las escaleras centrales.")</f>
        <v>En la zona en desarrollo (pozo de la mina) -4, el punto brillante está a la derecha después de bajar las escaleras centrales.</v>
      </c>
      <c r="T58" s="82" t="str">
        <f>IFERROR(__xludf.DUMMYFUNCTION("GOOGLETRANSLATE(D58,""zh-tw"",""es-MX"")"),"Objeto obtenido: Gel mágico x10")</f>
        <v>Objeto obtenido: Gel mágico x10</v>
      </c>
      <c r="U58" s="285" t="s">
        <v>4608</v>
      </c>
      <c r="V58" s="132" t="str">
        <f>IFERROR(__xludf.DUMMYFUNCTION("GOOGLETRANSLATE(B58,""zh-tw"",""KO"")"),"숨겨진 아이템")</f>
        <v>숨겨진 아이템</v>
      </c>
      <c r="W58" s="121" t="str">
        <f>IFERROR(__xludf.DUMMYFUNCTION("GOOGLETRANSLATE(C58,""zh-tw"",""KO"")"),"개발 구역(광산 구덩이) -4에서, 중앙 계단을 내려간 후 오른쪽에 빛나는 지점이 있습니다.")</f>
        <v>개발 구역(광산 구덩이) -4에서, 중앙 계단을 내려간 후 오른쪽에 빛나는 지점이 있습니다.</v>
      </c>
      <c r="X58" s="82" t="str">
        <f>IFERROR(__xludf.DUMMYFUNCTION("GOOGLETRANSLATE(D58,""zh-tw"",""KO"")"),"획득 아이템: 매직 젤 10개")</f>
        <v>획득 아이템: 매직 젤 10개</v>
      </c>
      <c r="Y58" s="285" t="s">
        <v>4608</v>
      </c>
      <c r="Z58" s="248" t="s">
        <v>4325</v>
      </c>
      <c r="AA58" s="249" t="s">
        <v>4617</v>
      </c>
      <c r="AB58" s="69" t="s">
        <v>4618</v>
      </c>
      <c r="AC58" s="285" t="s">
        <v>4608</v>
      </c>
      <c r="AD58" s="120" t="s">
        <v>4378</v>
      </c>
      <c r="AE58" s="119" t="str">
        <f>IFERROR(__xludf.DUMMYFUNCTION("GOOGLETRANSLATE(C58,""zh-tw"",""de"")"),"Im Entwicklungsgebiet (Schacht) -4 befindet sich der leuchtende Punkt auf der rechten Seite, nachdem man die zentrale Treppe hinuntergegangen ist.")</f>
        <v>Im Entwicklungsgebiet (Schacht) -4 befindet sich der leuchtende Punkt auf der rechten Seite, nachdem man die zentrale Treppe hinuntergegangen ist.</v>
      </c>
      <c r="AF58" s="79" t="s">
        <v>4619</v>
      </c>
      <c r="AG58" s="285" t="s">
        <v>4608</v>
      </c>
      <c r="AH58" s="251" t="s">
        <v>4381</v>
      </c>
      <c r="AI58" s="145" t="s">
        <v>4620</v>
      </c>
      <c r="AJ58" s="148" t="s">
        <v>4621</v>
      </c>
      <c r="AK58" s="285" t="s">
        <v>4608</v>
      </c>
      <c r="AL58" s="132" t="s">
        <v>4384</v>
      </c>
      <c r="AM58" s="121" t="s">
        <v>4622</v>
      </c>
      <c r="AN58" s="82" t="s">
        <v>4623</v>
      </c>
      <c r="AO58" s="285" t="s">
        <v>4608</v>
      </c>
      <c r="AP58" s="116" t="s">
        <v>3910</v>
      </c>
      <c r="AQ58" s="121" t="s">
        <v>4624</v>
      </c>
      <c r="AR58" s="82" t="s">
        <v>4625</v>
      </c>
      <c r="AS58" s="285"/>
      <c r="AT58" s="116"/>
      <c r="AU58" s="121"/>
      <c r="AV58" s="82"/>
    </row>
    <row r="59">
      <c r="A59" s="285" t="s">
        <v>4626</v>
      </c>
      <c r="B59" s="132" t="s">
        <v>3721</v>
      </c>
      <c r="C59" s="121" t="s">
        <v>4627</v>
      </c>
      <c r="D59" s="79" t="s">
        <v>4628</v>
      </c>
      <c r="E59" s="285" t="s">
        <v>4626</v>
      </c>
      <c r="F59" s="132" t="s">
        <v>4456</v>
      </c>
      <c r="G59" s="121" t="s">
        <v>4629</v>
      </c>
      <c r="H59" s="79" t="s">
        <v>4630</v>
      </c>
      <c r="I59" s="285" t="s">
        <v>4626</v>
      </c>
      <c r="J59" s="120" t="s">
        <v>4631</v>
      </c>
      <c r="K59" s="121" t="s">
        <v>4632</v>
      </c>
      <c r="L59" s="79" t="s">
        <v>4633</v>
      </c>
      <c r="M59" s="285" t="s">
        <v>4626</v>
      </c>
      <c r="N59" s="120" t="s">
        <v>3731</v>
      </c>
      <c r="O59" s="119" t="s">
        <v>4634</v>
      </c>
      <c r="P59" s="79" t="s">
        <v>4635</v>
      </c>
      <c r="Q59" s="285" t="s">
        <v>4626</v>
      </c>
      <c r="R59" s="132" t="s">
        <v>4464</v>
      </c>
      <c r="S59" s="121" t="str">
        <f>IFERROR(__xludf.DUMMYFUNCTION("GOOGLETRANSLATE(C59,""zh-tw"",""es-MX"")"),"En la ""Zona de Desarrollo (Mina)-4"", tras salir de la zona de escaleras, hay un pasaje oculto en la gran zona rocosa situada en la parte superior derecha.")</f>
        <v>En la "Zona de Desarrollo (Mina)-4", tras salir de la zona de escaleras, hay un pasaje oculto en la gran zona rocosa situada en la parte superior derecha.</v>
      </c>
      <c r="T59" s="82" t="str">
        <f>IFERROR(__xludf.DUMMYFUNCTION("GOOGLETRANSLATE(D59,""zh-tw"",""es-MX"")"),"Llegar al ""Nivel Inferior de la Tumba Olvidada""")</f>
        <v>Llegar al "Nivel Inferior de la Tumba Olvidada"</v>
      </c>
      <c r="U59" s="285" t="s">
        <v>4626</v>
      </c>
      <c r="V59" s="132" t="str">
        <f>IFERROR(__xludf.DUMMYFUNCTION("GOOGLETRANSLATE(B59,""zh-tw"",""KO"")"),"숨겨진 통로")</f>
        <v>숨겨진 통로</v>
      </c>
      <c r="W59" s="121" t="str">
        <f>IFERROR(__xludf.DUMMYFUNCTION("GOOGLETRANSLATE(C59,""zh-tw"",""KO"")"),"""개발 구역(광산)-4""에서 계단 구역을 나온 후, 오른쪽 위 큰 바위 지대에 숨겨진 통로가 있습니다.")</f>
        <v>"개발 구역(광산)-4"에서 계단 구역을 나온 후, 오른쪽 위 큰 바위 지대에 숨겨진 통로가 있습니다.</v>
      </c>
      <c r="X59" s="82" t="str">
        <f>IFERROR(__xludf.DUMMYFUNCTION("GOOGLETRANSLATE(D59,""zh-tw"",""KO"")"),"""잊혀진 무덤의 하층""에 도착하세요")</f>
        <v>"잊혀진 무덤의 하층"에 도착하세요</v>
      </c>
      <c r="Y59" s="285" t="s">
        <v>4626</v>
      </c>
      <c r="Z59" s="248" t="s">
        <v>3760</v>
      </c>
      <c r="AA59" s="249" t="s">
        <v>4636</v>
      </c>
      <c r="AB59" s="69" t="s">
        <v>4637</v>
      </c>
      <c r="AC59" s="285" t="s">
        <v>4626</v>
      </c>
      <c r="AD59" s="120" t="s">
        <v>4467</v>
      </c>
      <c r="AE59" s="121" t="s">
        <v>4638</v>
      </c>
      <c r="AF59" s="82" t="s">
        <v>4639</v>
      </c>
      <c r="AG59" s="285" t="s">
        <v>4626</v>
      </c>
      <c r="AH59" s="252" t="s">
        <v>4470</v>
      </c>
      <c r="AI59" s="205" t="s">
        <v>4640</v>
      </c>
      <c r="AJ59" s="199" t="s">
        <v>4641</v>
      </c>
      <c r="AK59" s="285" t="s">
        <v>4626</v>
      </c>
      <c r="AL59" s="120" t="s">
        <v>4473</v>
      </c>
      <c r="AM59" s="121" t="s">
        <v>4642</v>
      </c>
      <c r="AN59" s="82" t="s">
        <v>4643</v>
      </c>
      <c r="AO59" s="285" t="s">
        <v>4626</v>
      </c>
      <c r="AP59" s="116" t="s">
        <v>4476</v>
      </c>
      <c r="AQ59" s="121" t="s">
        <v>4644</v>
      </c>
      <c r="AR59" s="82" t="s">
        <v>4645</v>
      </c>
      <c r="AS59" s="285"/>
      <c r="AT59" s="116"/>
      <c r="AU59" s="121"/>
      <c r="AV59" s="82"/>
    </row>
    <row r="60">
      <c r="A60" s="264"/>
      <c r="B60" s="264"/>
      <c r="C60" s="264"/>
      <c r="D60" s="264"/>
      <c r="E60" s="264"/>
      <c r="F60" s="264"/>
      <c r="G60" s="264"/>
      <c r="H60" s="264"/>
      <c r="I60" s="264"/>
      <c r="J60" s="264"/>
      <c r="K60" s="264"/>
      <c r="L60" s="264"/>
      <c r="M60" s="264"/>
      <c r="N60" s="264"/>
      <c r="O60" s="264"/>
      <c r="P60" s="264"/>
      <c r="Q60" s="264"/>
      <c r="R60" s="264"/>
      <c r="S60" s="265"/>
      <c r="T60" s="265"/>
      <c r="U60" s="264"/>
      <c r="V60" s="265"/>
      <c r="W60" s="265"/>
      <c r="X60" s="265"/>
      <c r="Y60" s="264"/>
      <c r="Z60" s="264"/>
      <c r="AA60" s="266"/>
      <c r="AB60" s="265"/>
      <c r="AC60" s="264"/>
      <c r="AD60" s="264"/>
      <c r="AE60" s="264"/>
      <c r="AF60" s="264"/>
      <c r="AG60" s="264"/>
      <c r="AH60" s="264"/>
      <c r="AI60" s="264"/>
      <c r="AJ60" s="264"/>
      <c r="AK60" s="264"/>
      <c r="AL60" s="265"/>
      <c r="AM60" s="265"/>
      <c r="AN60" s="265"/>
      <c r="AO60" s="264"/>
      <c r="AP60" s="264"/>
      <c r="AQ60" s="265"/>
      <c r="AR60" s="265"/>
      <c r="AS60" s="264"/>
      <c r="AT60" s="264"/>
      <c r="AU60" s="265"/>
      <c r="AV60" s="265"/>
    </row>
    <row r="61">
      <c r="A61" s="241" t="s">
        <v>2772</v>
      </c>
      <c r="B61" s="287" t="s">
        <v>4646</v>
      </c>
      <c r="E61" s="241" t="s">
        <v>2772</v>
      </c>
      <c r="F61" s="244"/>
      <c r="I61" s="241" t="s">
        <v>2772</v>
      </c>
      <c r="J61" s="243" t="s">
        <v>4647</v>
      </c>
      <c r="M61" s="241" t="s">
        <v>2772</v>
      </c>
      <c r="N61" s="241" t="s">
        <v>4648</v>
      </c>
      <c r="Q61" s="241" t="s">
        <v>2772</v>
      </c>
      <c r="R61" s="244"/>
      <c r="U61" s="241" t="s">
        <v>2772</v>
      </c>
      <c r="V61" s="244"/>
      <c r="Y61" s="241" t="s">
        <v>2772</v>
      </c>
      <c r="Z61" s="245" t="s">
        <v>4649</v>
      </c>
      <c r="AC61" s="241" t="s">
        <v>2772</v>
      </c>
      <c r="AD61" s="244"/>
      <c r="AG61" s="241" t="s">
        <v>2772</v>
      </c>
      <c r="AH61" s="244"/>
      <c r="AK61" s="241" t="s">
        <v>2772</v>
      </c>
      <c r="AL61" s="246" t="s">
        <v>4650</v>
      </c>
      <c r="AO61" s="241" t="s">
        <v>2772</v>
      </c>
      <c r="AP61" s="242"/>
      <c r="AS61" s="241"/>
      <c r="AT61" s="242"/>
    </row>
    <row r="62">
      <c r="A62" s="285" t="s">
        <v>4651</v>
      </c>
      <c r="B62" s="120" t="s">
        <v>3886</v>
      </c>
      <c r="C62" s="119" t="s">
        <v>4652</v>
      </c>
      <c r="D62" s="79" t="s">
        <v>4653</v>
      </c>
      <c r="E62" s="285" t="s">
        <v>4651</v>
      </c>
      <c r="F62" s="120" t="s">
        <v>3889</v>
      </c>
      <c r="G62" s="117" t="s">
        <v>4654</v>
      </c>
      <c r="H62" s="118" t="s">
        <v>4655</v>
      </c>
      <c r="I62" s="285" t="s">
        <v>4651</v>
      </c>
      <c r="J62" s="120" t="s">
        <v>4319</v>
      </c>
      <c r="K62" s="117" t="s">
        <v>4656</v>
      </c>
      <c r="L62" s="79" t="s">
        <v>4657</v>
      </c>
      <c r="M62" s="285" t="s">
        <v>4651</v>
      </c>
      <c r="N62" s="120" t="s">
        <v>4322</v>
      </c>
      <c r="O62" s="119" t="s">
        <v>4658</v>
      </c>
      <c r="P62" s="79" t="s">
        <v>4659</v>
      </c>
      <c r="Q62" s="285" t="s">
        <v>4651</v>
      </c>
      <c r="R62" s="132" t="s">
        <v>3897</v>
      </c>
      <c r="S62" s="117" t="s">
        <v>4660</v>
      </c>
      <c r="T62" s="82" t="str">
        <f>IFERROR(__xludf.DUMMYFUNCTION("GOOGLETRANSLATE(D62,""zh-tw"",""es-MX"")"),"Cofre del tesoro blanco: Producto defectuoso con fugas, Nubes ardientes
Cofre del tesoro rojo: Luna helada, Cartas del tarot del carro (Los cofres del tesoro rojos se pueden actualizar)")</f>
        <v>Cofre del tesoro blanco: Producto defectuoso con fugas, Nubes ardientes
Cofre del tesoro rojo: Luna helada, Cartas del tarot del carro (Los cofres del tesoro rojos se pueden actualizar)</v>
      </c>
      <c r="U62" s="285" t="s">
        <v>4651</v>
      </c>
      <c r="V62" s="132" t="str">
        <f>IFERROR(__xludf.DUMMYFUNCTION("GOOGLETRANSLATE(B62,""zh-tw"",""KO"")"),"숨겨진 아이템")</f>
        <v>숨겨진 아이템</v>
      </c>
      <c r="W62" s="121" t="str">
        <f>IFERROR(__xludf.DUMMYFUNCTION("GOOGLETRANSLATE(C62,""zh-tw"",""KO"")"),"얕은 유적 미로
유적의 첫 번째 층
오른쪽 기계 장치 옆과 왼쪽 외부 연결 지점에 흰색 보물 상자가 있습니다.
왼쪽에는 빨간색 보물 상자가 있는데, 덩굴 가장자리를 따라 걸어가면 도달할 수 있습니다.")</f>
        <v>얕은 유적 미로
유적의 첫 번째 층
오른쪽 기계 장치 옆과 왼쪽 외부 연결 지점에 흰색 보물 상자가 있습니다.
왼쪽에는 빨간색 보물 상자가 있는데, 덩굴 가장자리를 따라 걸어가면 도달할 수 있습니다.</v>
      </c>
      <c r="X62" s="82" t="str">
        <f>IFERROR(__xludf.DUMMYFUNCTION("GOOGLETRANSLATE(D62,""zh-tw"",""KO"")"),"하얀 보물 상자: 새는 불량품, 불타는 구름
붉은 보물 상자: 서리가 내린 달, 전차 타로 카드 (붉은 보물 상자는 새로 고칠 수 있습니다)")</f>
        <v>하얀 보물 상자: 새는 불량품, 불타는 구름
붉은 보물 상자: 서리가 내린 달, 전차 타로 카드 (붉은 보물 상자는 새로 고칠 수 있습니다)</v>
      </c>
      <c r="Y62" s="285" t="s">
        <v>4651</v>
      </c>
      <c r="Z62" s="248" t="s">
        <v>4325</v>
      </c>
      <c r="AA62" s="249" t="s">
        <v>4661</v>
      </c>
      <c r="AB62" s="69" t="s">
        <v>4662</v>
      </c>
      <c r="AC62" s="285" t="s">
        <v>4651</v>
      </c>
      <c r="AD62" s="120" t="s">
        <v>4378</v>
      </c>
      <c r="AE62" s="117" t="s">
        <v>4663</v>
      </c>
      <c r="AF62" s="118" t="s">
        <v>4664</v>
      </c>
      <c r="AG62" s="285" t="s">
        <v>4651</v>
      </c>
      <c r="AH62" s="251" t="s">
        <v>4381</v>
      </c>
      <c r="AI62" s="145" t="s">
        <v>4665</v>
      </c>
      <c r="AJ62" s="148" t="s">
        <v>4666</v>
      </c>
      <c r="AK62" s="285" t="s">
        <v>4651</v>
      </c>
      <c r="AL62" s="132" t="s">
        <v>4384</v>
      </c>
      <c r="AM62" s="121" t="s">
        <v>4667</v>
      </c>
      <c r="AN62" s="82" t="s">
        <v>4668</v>
      </c>
      <c r="AO62" s="285" t="s">
        <v>4651</v>
      </c>
      <c r="AP62" s="116" t="s">
        <v>3910</v>
      </c>
      <c r="AQ62" s="121" t="s">
        <v>4669</v>
      </c>
      <c r="AR62" s="82" t="s">
        <v>4670</v>
      </c>
      <c r="AS62" s="285"/>
      <c r="AT62" s="116"/>
      <c r="AU62" s="121"/>
      <c r="AV62" s="82"/>
    </row>
    <row r="63">
      <c r="A63" s="242"/>
      <c r="B63" s="287" t="s">
        <v>4671</v>
      </c>
      <c r="E63" s="242"/>
      <c r="F63" s="244"/>
      <c r="I63" s="242"/>
      <c r="J63" s="243" t="s">
        <v>4672</v>
      </c>
      <c r="M63" s="242"/>
      <c r="N63" s="241" t="s">
        <v>4673</v>
      </c>
      <c r="Q63" s="242"/>
      <c r="R63" s="244"/>
      <c r="U63" s="242"/>
      <c r="V63" s="244"/>
      <c r="Y63" s="242"/>
      <c r="Z63" s="245" t="s">
        <v>4674</v>
      </c>
      <c r="AC63" s="242"/>
      <c r="AD63" s="244"/>
      <c r="AG63" s="242"/>
      <c r="AH63" s="244"/>
      <c r="AK63" s="242"/>
      <c r="AL63" s="246" t="s">
        <v>4675</v>
      </c>
      <c r="AO63" s="242"/>
      <c r="AP63" s="242"/>
      <c r="AS63" s="242"/>
      <c r="AT63" s="242"/>
    </row>
    <row r="64">
      <c r="A64" s="285" t="s">
        <v>4676</v>
      </c>
      <c r="B64" s="120" t="s">
        <v>3721</v>
      </c>
      <c r="C64" s="119" t="s">
        <v>4677</v>
      </c>
      <c r="D64" s="79" t="s">
        <v>4678</v>
      </c>
      <c r="E64" s="285" t="s">
        <v>4676</v>
      </c>
      <c r="F64" s="120" t="s">
        <v>3725</v>
      </c>
      <c r="G64" s="119" t="s">
        <v>4679</v>
      </c>
      <c r="H64" s="79" t="s">
        <v>4680</v>
      </c>
      <c r="I64" s="285" t="s">
        <v>4676</v>
      </c>
      <c r="J64" s="120" t="s">
        <v>4459</v>
      </c>
      <c r="K64" s="119" t="s">
        <v>4681</v>
      </c>
      <c r="L64" s="79" t="s">
        <v>4682</v>
      </c>
      <c r="M64" s="285" t="s">
        <v>4676</v>
      </c>
      <c r="N64" s="120" t="s">
        <v>3731</v>
      </c>
      <c r="O64" s="119" t="s">
        <v>4683</v>
      </c>
      <c r="P64" s="79" t="s">
        <v>4684</v>
      </c>
      <c r="Q64" s="285" t="s">
        <v>4676</v>
      </c>
      <c r="R64" s="120" t="s">
        <v>3734</v>
      </c>
      <c r="S64" s="121" t="str">
        <f>IFERROR(__xludf.DUMMYFUNCTION("GOOGLETRANSLATE(C64,""zh-tw"",""es-MX"")"),"En la Tumba Olvidada - Nivel Superior, al destruir la tumba de la izquierda se revelará un pasaje oculto.")</f>
        <v>En la Tumba Olvidada - Nivel Superior, al destruir la tumba de la izquierda se revelará un pasaje oculto.</v>
      </c>
      <c r="T64" s="82" t="str">
        <f>IFERROR(__xludf.DUMMYFUNCTION("GOOGLETRANSLATE(D64,""zh-tw"",""es-MX"")"),"El mapa oculto contiene los ""Guantes de Absorción Mágica"", la ubicación de una fogata y un personaje no jugable (NPC) ninja.")</f>
        <v>El mapa oculto contiene los "Guantes de Absorción Mágica", la ubicación de una fogata y un personaje no jugable (NPC) ninja.</v>
      </c>
      <c r="U64" s="285" t="s">
        <v>4676</v>
      </c>
      <c r="V64" s="132" t="str">
        <f>IFERROR(__xludf.DUMMYFUNCTION("GOOGLETRANSLATE(B64,""zh-tw"",""KO"")"),"숨겨진 통로")</f>
        <v>숨겨진 통로</v>
      </c>
      <c r="W64" s="121" t="str">
        <f>IFERROR(__xludf.DUMMYFUNCTION("GOOGLETRANSLATE(C64,""zh-tw"",""KO"")"),"잊혀진 무덤 상층부에서 왼쪽에 있는 무덤을 파괴하면 숨겨진 통로가 나타납니다.")</f>
        <v>잊혀진 무덤 상층부에서 왼쪽에 있는 무덤을 파괴하면 숨겨진 통로가 나타납니다.</v>
      </c>
      <c r="X64" s="82" t="str">
        <f>IFERROR(__xludf.DUMMYFUNCTION("GOOGLETRANSLATE(D64,""zh-tw"",""KO"")"),"숨겨진 지도에는 ""마법 흡수 장갑"", 모닥불 위치, 그리고 닌자 NPC가 있습니다.")</f>
        <v>숨겨진 지도에는 "마법 흡수 장갑", 모닥불 위치, 그리고 닌자 NPC가 있습니다.</v>
      </c>
      <c r="Y64" s="285" t="s">
        <v>4676</v>
      </c>
      <c r="Z64" s="248" t="s">
        <v>3760</v>
      </c>
      <c r="AA64" s="249" t="s">
        <v>4685</v>
      </c>
      <c r="AB64" s="69" t="s">
        <v>4686</v>
      </c>
      <c r="AC64" s="285" t="s">
        <v>4676</v>
      </c>
      <c r="AD64" s="120" t="s">
        <v>3738</v>
      </c>
      <c r="AE64" s="250" t="s">
        <v>4687</v>
      </c>
      <c r="AF64" s="71" t="s">
        <v>4688</v>
      </c>
      <c r="AG64" s="285" t="s">
        <v>4676</v>
      </c>
      <c r="AH64" s="252" t="s">
        <v>3741</v>
      </c>
      <c r="AI64" s="145" t="s">
        <v>4689</v>
      </c>
      <c r="AJ64" s="148" t="s">
        <v>4690</v>
      </c>
      <c r="AK64" s="285" t="s">
        <v>4676</v>
      </c>
      <c r="AL64" s="120" t="s">
        <v>3744</v>
      </c>
      <c r="AM64" s="121" t="s">
        <v>4691</v>
      </c>
      <c r="AN64" s="82" t="s">
        <v>4692</v>
      </c>
      <c r="AO64" s="285" t="s">
        <v>4676</v>
      </c>
      <c r="AP64" s="120" t="s">
        <v>3747</v>
      </c>
      <c r="AQ64" s="121" t="s">
        <v>4693</v>
      </c>
      <c r="AR64" s="82" t="s">
        <v>4694</v>
      </c>
      <c r="AS64" s="285"/>
      <c r="AT64" s="120"/>
      <c r="AU64" s="121"/>
      <c r="AV64" s="82"/>
    </row>
    <row r="65">
      <c r="A65" s="285" t="s">
        <v>4695</v>
      </c>
      <c r="B65" s="120" t="s">
        <v>4696</v>
      </c>
      <c r="C65" s="119" t="s">
        <v>4697</v>
      </c>
      <c r="D65" s="79" t="s">
        <v>4698</v>
      </c>
      <c r="E65" s="285" t="s">
        <v>4695</v>
      </c>
      <c r="F65" s="120" t="s">
        <v>4696</v>
      </c>
      <c r="G65" s="119" t="s">
        <v>4699</v>
      </c>
      <c r="H65" s="79" t="s">
        <v>4700</v>
      </c>
      <c r="I65" s="285" t="s">
        <v>4695</v>
      </c>
      <c r="J65" s="120" t="s">
        <v>4701</v>
      </c>
      <c r="K65" s="119" t="s">
        <v>4702</v>
      </c>
      <c r="L65" s="79" t="s">
        <v>4703</v>
      </c>
      <c r="M65" s="285" t="s">
        <v>4695</v>
      </c>
      <c r="N65" s="120" t="s">
        <v>4704</v>
      </c>
      <c r="O65" s="119" t="s">
        <v>4705</v>
      </c>
      <c r="P65" s="79" t="s">
        <v>4706</v>
      </c>
      <c r="Q65" s="285" t="s">
        <v>4695</v>
      </c>
      <c r="R65" s="120" t="s">
        <v>4707</v>
      </c>
      <c r="S65" s="121" t="str">
        <f>IFERROR(__xludf.DUMMYFUNCTION("GOOGLETRANSLATE(C65,""zh-tw"",""es-MX"")"),"En la ubicación del objeto R18, después de alimentar al ninja, podrás aprender habilidades del PNJ ninja.")</f>
        <v>En la ubicación del objeto R18, después de alimentar al ninja, podrás aprender habilidades del PNJ ninja.</v>
      </c>
      <c r="T65" s="82" t="str">
        <f>IFERROR(__xludf.DUMMYFUNCTION("GOOGLETRANSLATE(D65,""zh-tw"",""es-MX"")"),"Habilidad aprendida: Eliminación de aura
Reduce el rango de alerta de los enemigos dentro de un área, hasta un máximo de ?? casillas.
Reduce la velocidad a la que se acumula el valor de alerta de tu hermana, hasta un máximo de ??%.
Requiere presionar l"&amp;"a tecla Mayús para cambiar al modo de caminar.")</f>
        <v>Habilidad aprendida: Eliminación de aura
Reduce el rango de alerta de los enemigos dentro de un área, hasta un máximo de ?? casillas.
Reduce la velocidad a la que se acumula el valor de alerta de tu hermana, hasta un máximo de ??%.
Requiere presionar la tecla Mayús para cambiar al modo de caminar.</v>
      </c>
      <c r="U65" s="285" t="s">
        <v>4695</v>
      </c>
      <c r="V65" s="132" t="str">
        <f>IFERROR(__xludf.DUMMYFUNCTION("GOOGLETRANSLATE(B65,""zh-tw"",""KO"")"),"인술-1")</f>
        <v>인술-1</v>
      </c>
      <c r="W65" s="121" t="str">
        <f>IFERROR(__xludf.DUMMYFUNCTION("GOOGLETRANSLATE(C65,""zh-tw"",""KO"")"),"아이템 R18이 있는 위치에서 닌자에게 먹이를 준 후, 닌자 NPC로부터 스킬을 배울 수 있습니다.")</f>
        <v>아이템 R18이 있는 위치에서 닌자에게 먹이를 준 후, 닌자 NPC로부터 스킬을 배울 수 있습니다.</v>
      </c>
      <c r="X65" s="82" t="str">
        <f>IFERROR(__xludf.DUMMYFUNCTION("GOOGLETRANSLATE(D65,""zh-tw"",""KO"")"),"습득 스킬: 오라 제거
일정 범위 내 적의 경계 범위를 최대 ??칸까지 감소시킵니다.
여동생의 경계 수치 누적 속도를 최대 ??%까지 감소시킵니다.
걷기 모드로 전환하려면 Shift 키를 눌러야 합니다.")</f>
        <v>습득 스킬: 오라 제거
일정 범위 내 적의 경계 범위를 최대 ??칸까지 감소시킵니다.
여동생의 경계 수치 누적 속도를 최대 ??%까지 감소시킵니다.
걷기 모드로 전환하려면 Shift 키를 눌러야 합니다.</v>
      </c>
      <c r="Y65" s="285" t="s">
        <v>4695</v>
      </c>
      <c r="Z65" s="248" t="s">
        <v>4708</v>
      </c>
      <c r="AA65" s="249" t="s">
        <v>4709</v>
      </c>
      <c r="AB65" s="78" t="s">
        <v>4710</v>
      </c>
      <c r="AC65" s="285" t="s">
        <v>4695</v>
      </c>
      <c r="AD65" s="150" t="s">
        <v>4711</v>
      </c>
      <c r="AE65" s="250" t="s">
        <v>4712</v>
      </c>
      <c r="AF65" s="71" t="s">
        <v>4713</v>
      </c>
      <c r="AG65" s="285" t="s">
        <v>4695</v>
      </c>
      <c r="AH65" s="251" t="s">
        <v>4714</v>
      </c>
      <c r="AI65" s="145" t="s">
        <v>4715</v>
      </c>
      <c r="AJ65" s="148" t="s">
        <v>4716</v>
      </c>
      <c r="AK65" s="285" t="s">
        <v>4695</v>
      </c>
      <c r="AL65" s="132" t="s">
        <v>4701</v>
      </c>
      <c r="AM65" s="121" t="s">
        <v>4717</v>
      </c>
      <c r="AN65" s="82" t="s">
        <v>4718</v>
      </c>
      <c r="AO65" s="285" t="s">
        <v>4695</v>
      </c>
      <c r="AP65" s="116" t="s">
        <v>4719</v>
      </c>
      <c r="AQ65" s="121" t="s">
        <v>4720</v>
      </c>
      <c r="AR65" s="82" t="s">
        <v>4721</v>
      </c>
      <c r="AS65" s="285"/>
      <c r="AT65" s="116"/>
      <c r="AU65" s="121"/>
      <c r="AV65" s="82"/>
    </row>
    <row r="66">
      <c r="A66" s="285" t="s">
        <v>4722</v>
      </c>
      <c r="B66" s="120" t="s">
        <v>4723</v>
      </c>
      <c r="C66" s="119" t="s">
        <v>4724</v>
      </c>
      <c r="D66" s="79" t="s">
        <v>4725</v>
      </c>
      <c r="E66" s="285" t="s">
        <v>4722</v>
      </c>
      <c r="F66" s="120" t="s">
        <v>4723</v>
      </c>
      <c r="G66" s="119" t="s">
        <v>4726</v>
      </c>
      <c r="H66" s="79" t="s">
        <v>4727</v>
      </c>
      <c r="I66" s="285" t="s">
        <v>4722</v>
      </c>
      <c r="J66" s="120" t="s">
        <v>4728</v>
      </c>
      <c r="K66" s="119" t="s">
        <v>4729</v>
      </c>
      <c r="L66" s="79" t="s">
        <v>4730</v>
      </c>
      <c r="M66" s="285" t="s">
        <v>4722</v>
      </c>
      <c r="N66" s="120" t="s">
        <v>4731</v>
      </c>
      <c r="O66" s="119" t="s">
        <v>4732</v>
      </c>
      <c r="P66" s="79" t="s">
        <v>4733</v>
      </c>
      <c r="Q66" s="285" t="s">
        <v>4722</v>
      </c>
      <c r="R66" s="120" t="s">
        <v>4734</v>
      </c>
      <c r="S66" s="121" t="str">
        <f>IFERROR(__xludf.DUMMYFUNCTION("GOOGLETRANSLATE(C66,""zh-tw"",""es-MX"")"),"Como se mencionó anteriormente, alimentar al niño le permitirá aprender otra habilidad.
PD: Encontrará más detalles en la sección de CONSEJOS.")</f>
        <v>Como se mencionó anteriormente, alimentar al niño le permitirá aprender otra habilidad.
PD: Encontrará más detalles en la sección de CONSEJOS.</v>
      </c>
      <c r="T66" s="82" t="str">
        <f>IFERROR(__xludf.DUMMYFUNCTION("GOOGLETRANSLATE(D66,""zh-tw"",""es-MX"")"),"Habilidad aprendida: Ataque por la espalda
Ataca al enemigo por la espalda, aumentando el daño. El multiplicador aumenta con la práctica, alcanzando un máximo del 300 %.")</f>
        <v>Habilidad aprendida: Ataque por la espalda
Ataca al enemigo por la espalda, aumentando el daño. El multiplicador aumenta con la práctica, alcanzando un máximo del 300 %.</v>
      </c>
      <c r="U66" s="285" t="s">
        <v>4722</v>
      </c>
      <c r="V66" s="132" t="str">
        <f>IFERROR(__xludf.DUMMYFUNCTION("GOOGLETRANSLATE(B66,""zh-tw"",""KO"")"),"인술-2")</f>
        <v>인술-2</v>
      </c>
      <c r="W66" s="121" t="str">
        <f>IFERROR(__xludf.DUMMYFUNCTION("GOOGLETRANSLATE(C66,""zh-tw"",""KO"")"),"위에서 언급했듯이, 아이에게 밥을 먹이는 것은 아이가 또 다른 기술을 배우는 데 도움이 됩니다.
추신: 자세한 내용은 팁 섹션을 참조하세요.")</f>
        <v>위에서 언급했듯이, 아이에게 밥을 먹이는 것은 아이가 또 다른 기술을 배우는 데 도움이 됩니다.
추신: 자세한 내용은 팁 섹션을 참조하세요.</v>
      </c>
      <c r="X66" s="82" t="str">
        <f>IFERROR(__xludf.DUMMYFUNCTION("GOOGLETRANSLATE(D66,""zh-tw"",""KO"")"),"습득 기술: 배후 공격
적의 뒤에서 공격하여 피해량을 증가시킵니다. 숙련도가 높아질수록 피해량 배율이 증가하며, 최대 300%까지 올라갑니다.")</f>
        <v>습득 기술: 배후 공격
적의 뒤에서 공격하여 피해량을 증가시킵니다. 숙련도가 높아질수록 피해량 배율이 증가하며, 최대 300%까지 올라갑니다.</v>
      </c>
      <c r="Y66" s="285" t="s">
        <v>4722</v>
      </c>
      <c r="Z66" s="248" t="s">
        <v>4735</v>
      </c>
      <c r="AA66" s="249" t="s">
        <v>4736</v>
      </c>
      <c r="AB66" s="69" t="s">
        <v>4737</v>
      </c>
      <c r="AC66" s="285" t="s">
        <v>4722</v>
      </c>
      <c r="AD66" s="150" t="s">
        <v>4738</v>
      </c>
      <c r="AE66" s="250" t="s">
        <v>4739</v>
      </c>
      <c r="AF66" s="71" t="s">
        <v>4740</v>
      </c>
      <c r="AG66" s="285" t="s">
        <v>4722</v>
      </c>
      <c r="AH66" s="251" t="s">
        <v>4741</v>
      </c>
      <c r="AI66" s="145" t="s">
        <v>4742</v>
      </c>
      <c r="AJ66" s="148" t="s">
        <v>4743</v>
      </c>
      <c r="AK66" s="285" t="s">
        <v>4722</v>
      </c>
      <c r="AL66" s="132" t="s">
        <v>4728</v>
      </c>
      <c r="AM66" s="121" t="s">
        <v>4744</v>
      </c>
      <c r="AN66" s="82" t="s">
        <v>4745</v>
      </c>
      <c r="AO66" s="285" t="s">
        <v>4722</v>
      </c>
      <c r="AP66" s="116" t="s">
        <v>4738</v>
      </c>
      <c r="AQ66" s="121" t="s">
        <v>4746</v>
      </c>
      <c r="AR66" s="82" t="s">
        <v>4747</v>
      </c>
      <c r="AS66" s="285"/>
      <c r="AT66" s="116"/>
      <c r="AU66" s="121"/>
      <c r="AV66" s="82"/>
    </row>
    <row r="67">
      <c r="A67" s="285" t="s">
        <v>4748</v>
      </c>
      <c r="B67" s="120" t="s">
        <v>3721</v>
      </c>
      <c r="C67" s="119" t="s">
        <v>4749</v>
      </c>
      <c r="D67" s="79" t="s">
        <v>4750</v>
      </c>
      <c r="E67" s="285" t="s">
        <v>4748</v>
      </c>
      <c r="F67" s="120" t="s">
        <v>3889</v>
      </c>
      <c r="G67" s="119" t="s">
        <v>4751</v>
      </c>
      <c r="H67" s="79" t="s">
        <v>4752</v>
      </c>
      <c r="I67" s="285" t="s">
        <v>4748</v>
      </c>
      <c r="J67" s="120" t="s">
        <v>4319</v>
      </c>
      <c r="K67" s="119" t="s">
        <v>4753</v>
      </c>
      <c r="L67" s="79" t="s">
        <v>4754</v>
      </c>
      <c r="M67" s="285" t="s">
        <v>4748</v>
      </c>
      <c r="N67" s="120" t="s">
        <v>3731</v>
      </c>
      <c r="O67" s="119" t="s">
        <v>4755</v>
      </c>
      <c r="P67" s="79" t="s">
        <v>4756</v>
      </c>
      <c r="Q67" s="285" t="s">
        <v>4748</v>
      </c>
      <c r="R67" s="120" t="s">
        <v>3734</v>
      </c>
      <c r="S67" s="121" t="str">
        <f>IFERROR(__xludf.DUMMYFUNCTION("GOOGLETRANSLATE(C67,""zh-tw"",""es-MX"")"),"En el ""Nivel Superior de la Tumba Olvidada"", al romper la losa de piedra de la derecha se revelará un pasaje oculto.")</f>
        <v>En el "Nivel Superior de la Tumba Olvidada", al romper la losa de piedra de la derecha se revelará un pasaje oculto.</v>
      </c>
      <c r="T67" s="82" t="str">
        <f>IFERROR(__xludf.DUMMYFUNCTION("GOOGLETRANSLATE(D67,""zh-tw"",""es-MX"")"),"En el mapa oculto se pueden encontrar cofres del tesoro y puntos brillantes escondidos.")</f>
        <v>En el mapa oculto se pueden encontrar cofres del tesoro y puntos brillantes escondidos.</v>
      </c>
      <c r="U67" s="285" t="s">
        <v>4748</v>
      </c>
      <c r="V67" s="132" t="str">
        <f>IFERROR(__xludf.DUMMYFUNCTION("GOOGLETRANSLATE(B67,""zh-tw"",""KO"")"),"숨겨진 통로")</f>
        <v>숨겨진 통로</v>
      </c>
      <c r="W67" s="121" t="str">
        <f>IFERROR(__xludf.DUMMYFUNCTION("GOOGLETRANSLATE(C67,""zh-tw"",""KO"")"),"""잊혀진 무덤의 상층부""에서 오른쪽에 있는 돌판을 부수면 숨겨진 통로가 나타납니다.")</f>
        <v>"잊혀진 무덤의 상층부"에서 오른쪽에 있는 돌판을 부수면 숨겨진 통로가 나타납니다.</v>
      </c>
      <c r="X67" s="82" t="str">
        <f>IFERROR(__xludf.DUMMYFUNCTION("GOOGLETRANSLATE(D67,""zh-tw"",""KO"")"),"숨겨진 지도 속에는 보물 상자와 숨겨진 빛나는 지점들이 있습니다.")</f>
        <v>숨겨진 지도 속에는 보물 상자와 숨겨진 빛나는 지점들이 있습니다.</v>
      </c>
      <c r="Y67" s="285" t="s">
        <v>4748</v>
      </c>
      <c r="Z67" s="248" t="s">
        <v>3760</v>
      </c>
      <c r="AA67" s="249" t="s">
        <v>4757</v>
      </c>
      <c r="AB67" s="69" t="s">
        <v>4758</v>
      </c>
      <c r="AC67" s="285" t="s">
        <v>4748</v>
      </c>
      <c r="AD67" s="120" t="s">
        <v>3738</v>
      </c>
      <c r="AE67" s="250" t="s">
        <v>4759</v>
      </c>
      <c r="AF67" s="71" t="s">
        <v>4760</v>
      </c>
      <c r="AG67" s="285" t="s">
        <v>4748</v>
      </c>
      <c r="AH67" s="252" t="s">
        <v>3741</v>
      </c>
      <c r="AI67" s="145" t="s">
        <v>4761</v>
      </c>
      <c r="AJ67" s="148" t="s">
        <v>4762</v>
      </c>
      <c r="AK67" s="285" t="s">
        <v>4748</v>
      </c>
      <c r="AL67" s="120" t="s">
        <v>3744</v>
      </c>
      <c r="AM67" s="121" t="s">
        <v>4763</v>
      </c>
      <c r="AN67" s="82" t="s">
        <v>4764</v>
      </c>
      <c r="AO67" s="285" t="s">
        <v>4748</v>
      </c>
      <c r="AP67" s="120" t="s">
        <v>3747</v>
      </c>
      <c r="AQ67" s="121" t="s">
        <v>4765</v>
      </c>
      <c r="AR67" s="82" t="s">
        <v>4766</v>
      </c>
      <c r="AS67" s="285"/>
      <c r="AT67" s="120"/>
      <c r="AU67" s="121"/>
      <c r="AV67" s="82"/>
    </row>
    <row r="68">
      <c r="A68" s="285" t="s">
        <v>4767</v>
      </c>
      <c r="B68" s="120" t="s">
        <v>3886</v>
      </c>
      <c r="C68" s="119" t="s">
        <v>4768</v>
      </c>
      <c r="D68" s="79" t="s">
        <v>4769</v>
      </c>
      <c r="E68" s="285" t="s">
        <v>4767</v>
      </c>
      <c r="F68" s="120" t="s">
        <v>3889</v>
      </c>
      <c r="G68" s="119" t="s">
        <v>4770</v>
      </c>
      <c r="H68" s="79" t="s">
        <v>4265</v>
      </c>
      <c r="I68" s="285" t="s">
        <v>4767</v>
      </c>
      <c r="J68" s="120" t="s">
        <v>4319</v>
      </c>
      <c r="K68" s="119" t="s">
        <v>4771</v>
      </c>
      <c r="L68" s="79" t="s">
        <v>4772</v>
      </c>
      <c r="M68" s="285" t="s">
        <v>4767</v>
      </c>
      <c r="N68" s="120" t="s">
        <v>4322</v>
      </c>
      <c r="O68" s="119" t="s">
        <v>4773</v>
      </c>
      <c r="P68" s="79" t="s">
        <v>4774</v>
      </c>
      <c r="Q68" s="285" t="s">
        <v>4767</v>
      </c>
      <c r="R68" s="132" t="s">
        <v>3897</v>
      </c>
      <c r="S68" s="119" t="s">
        <v>4775</v>
      </c>
      <c r="T68" s="82" t="str">
        <f>IFERROR(__xludf.DUMMYFUNCTION("GOOGLETRANSLATE(D68,""zh-tw"",""es-MX"")"),"Obtén el arma: Espina de pescado apestosa")</f>
        <v>Obtén el arma: Espina de pescado apestosa</v>
      </c>
      <c r="U68" s="285" t="s">
        <v>4767</v>
      </c>
      <c r="V68" s="132" t="str">
        <f>IFERROR(__xludf.DUMMYFUNCTION("GOOGLETRANSLATE(B68,""zh-tw"",""KO"")"),"숨겨진 아이템")</f>
        <v>숨겨진 아이템</v>
      </c>
      <c r="W68" s="121" t="str">
        <f>IFERROR(__xludf.DUMMYFUNCTION("GOOGLETRANSLATE(C68,""zh-tw"",""KO"")"),"잊혀진 무덤 1층 오른쪽 동굴 입구 옆, 달걀들이 일렬로 늘어선 곳 왼쪽에 보물 상자가 있습니다.")</f>
        <v>잊혀진 무덤 1층 오른쪽 동굴 입구 옆, 달걀들이 일렬로 늘어선 곳 왼쪽에 보물 상자가 있습니다.</v>
      </c>
      <c r="X68" s="82" t="str">
        <f>IFERROR(__xludf.DUMMYFUNCTION("GOOGLETRANSLATE(D68,""zh-tw"",""KO"")"),"무기 획득 - 냄새나는 생선뼈")</f>
        <v>무기 획득 - 냄새나는 생선뼈</v>
      </c>
      <c r="Y68" s="285" t="s">
        <v>4767</v>
      </c>
      <c r="Z68" s="248" t="s">
        <v>4325</v>
      </c>
      <c r="AA68" s="249" t="s">
        <v>4776</v>
      </c>
      <c r="AB68" s="69" t="s">
        <v>4777</v>
      </c>
      <c r="AC68" s="285" t="s">
        <v>4767</v>
      </c>
      <c r="AD68" s="120" t="s">
        <v>4378</v>
      </c>
      <c r="AE68" s="254" t="str">
        <f>IFERROR(__xludf.DUMMYFUNCTION("GOOGLETRANSLATE(C68,""zh-tw"",""DE"")"),"Links neben einer Reihe von Eiern, neben dem rechten Höhleneingang auf der ersten Ebene des Vergessenen Grabes, befindet sich eine Schatztruhe.")</f>
        <v>Links neben einer Reihe von Eiern, neben dem rechten Höhleneingang auf der ersten Ebene des Vergessenen Grabes, befindet sich eine Schatztruhe.</v>
      </c>
      <c r="AF68" s="71" t="s">
        <v>4778</v>
      </c>
      <c r="AG68" s="285" t="s">
        <v>4767</v>
      </c>
      <c r="AH68" s="251" t="s">
        <v>4381</v>
      </c>
      <c r="AI68" s="145" t="s">
        <v>4779</v>
      </c>
      <c r="AJ68" s="148" t="s">
        <v>4780</v>
      </c>
      <c r="AK68" s="285" t="s">
        <v>4767</v>
      </c>
      <c r="AL68" s="132" t="s">
        <v>4384</v>
      </c>
      <c r="AM68" s="121" t="s">
        <v>4781</v>
      </c>
      <c r="AN68" s="82" t="s">
        <v>4782</v>
      </c>
      <c r="AO68" s="285" t="s">
        <v>4767</v>
      </c>
      <c r="AP68" s="116" t="s">
        <v>3910</v>
      </c>
      <c r="AQ68" s="121" t="s">
        <v>4783</v>
      </c>
      <c r="AR68" s="82" t="s">
        <v>4784</v>
      </c>
      <c r="AS68" s="285"/>
      <c r="AT68" s="116"/>
      <c r="AU68" s="121"/>
      <c r="AV68" s="82"/>
    </row>
    <row r="69">
      <c r="A69" s="242"/>
      <c r="B69" s="241" t="s">
        <v>4785</v>
      </c>
      <c r="E69" s="242"/>
      <c r="F69" s="242"/>
      <c r="I69" s="242"/>
      <c r="J69" s="243" t="s">
        <v>4786</v>
      </c>
      <c r="M69" s="242"/>
      <c r="N69" s="241" t="s">
        <v>4787</v>
      </c>
      <c r="Q69" s="242"/>
      <c r="R69" s="244"/>
      <c r="U69" s="242"/>
      <c r="V69" s="244"/>
      <c r="Y69" s="242"/>
      <c r="Z69" s="245" t="s">
        <v>4788</v>
      </c>
      <c r="AC69" s="242"/>
      <c r="AD69" s="242"/>
      <c r="AG69" s="242"/>
      <c r="AH69" s="242"/>
      <c r="AK69" s="242"/>
      <c r="AL69" s="246" t="s">
        <v>4789</v>
      </c>
      <c r="AO69" s="242"/>
      <c r="AP69" s="242"/>
      <c r="AS69" s="242"/>
      <c r="AT69" s="242"/>
    </row>
    <row r="70">
      <c r="A70" s="285" t="s">
        <v>4790</v>
      </c>
      <c r="B70" s="120" t="s">
        <v>3886</v>
      </c>
      <c r="C70" s="119" t="s">
        <v>4791</v>
      </c>
      <c r="D70" s="79" t="s">
        <v>4792</v>
      </c>
      <c r="E70" s="285" t="s">
        <v>4790</v>
      </c>
      <c r="F70" s="120" t="s">
        <v>3889</v>
      </c>
      <c r="G70" s="119" t="s">
        <v>4793</v>
      </c>
      <c r="H70" s="79" t="s">
        <v>4265</v>
      </c>
      <c r="I70" s="285" t="s">
        <v>4790</v>
      </c>
      <c r="J70" s="120" t="s">
        <v>4319</v>
      </c>
      <c r="K70" s="119" t="s">
        <v>4794</v>
      </c>
      <c r="L70" s="79" t="s">
        <v>4795</v>
      </c>
      <c r="M70" s="285" t="s">
        <v>4790</v>
      </c>
      <c r="N70" s="120" t="s">
        <v>4322</v>
      </c>
      <c r="O70" s="119" t="s">
        <v>4796</v>
      </c>
      <c r="P70" s="79" t="s">
        <v>4797</v>
      </c>
      <c r="Q70" s="285" t="s">
        <v>4790</v>
      </c>
      <c r="R70" s="132" t="s">
        <v>3897</v>
      </c>
      <c r="S70" s="119" t="s">
        <v>4798</v>
      </c>
      <c r="T70" s="82" t="str">
        <f>IFERROR(__xludf.DUMMYFUNCTION("GOOGLETRANSLATE(D70,""zh-tw"",""es-MX"")"),"Obtener arma - Xuejian")</f>
        <v>Obtener arma - Xuejian</v>
      </c>
      <c r="U70" s="285" t="s">
        <v>4790</v>
      </c>
      <c r="V70" s="132" t="str">
        <f>IFERROR(__xludf.DUMMYFUNCTION("GOOGLETRANSLATE(B70,""zh-tw"",""KO"")"),"숨겨진 아이템")</f>
        <v>숨겨진 아이템</v>
      </c>
      <c r="W70" s="121" t="str">
        <f>IFERROR(__xludf.DUMMYFUNCTION("GOOGLETRANSLATE(C70,""zh-tw"",""KO"")"),"잊혀진 무덤-1, 가운데 알 근처에 보물 상자가 있습니다.")</f>
        <v>잊혀진 무덤-1, 가운데 알 근처에 보물 상자가 있습니다.</v>
      </c>
      <c r="X70" s="82" t="str">
        <f>IFERROR(__xludf.DUMMYFUNCTION("GOOGLETRANSLATE(D70,""zh-tw"",""KO"")"),"무기 획득 - 설검")</f>
        <v>무기 획득 - 설검</v>
      </c>
      <c r="Y70" s="285" t="s">
        <v>4790</v>
      </c>
      <c r="Z70" s="248" t="s">
        <v>4325</v>
      </c>
      <c r="AA70" s="249" t="s">
        <v>4799</v>
      </c>
      <c r="AB70" s="69" t="s">
        <v>4800</v>
      </c>
      <c r="AC70" s="285" t="s">
        <v>4790</v>
      </c>
      <c r="AD70" s="120" t="s">
        <v>4378</v>
      </c>
      <c r="AE70" s="254" t="str">
        <f>IFERROR(__xludf.DUMMYFUNCTION("GOOGLETRANSLATE(C70,""zh-tw"",""DE"")"),"Vergessenes Grab-1, eine Schatztruhe in der Nähe des Eis in der Mitte.")</f>
        <v>Vergessenes Grab-1, eine Schatztruhe in der Nähe des Eis in der Mitte.</v>
      </c>
      <c r="AF70" s="71" t="s">
        <v>4801</v>
      </c>
      <c r="AG70" s="285" t="s">
        <v>4790</v>
      </c>
      <c r="AH70" s="251" t="s">
        <v>4381</v>
      </c>
      <c r="AI70" s="145" t="s">
        <v>4802</v>
      </c>
      <c r="AJ70" s="148" t="s">
        <v>4803</v>
      </c>
      <c r="AK70" s="285" t="s">
        <v>4790</v>
      </c>
      <c r="AL70" s="132" t="s">
        <v>4384</v>
      </c>
      <c r="AM70" s="121" t="s">
        <v>4804</v>
      </c>
      <c r="AN70" s="82" t="s">
        <v>4805</v>
      </c>
      <c r="AO70" s="285" t="s">
        <v>4790</v>
      </c>
      <c r="AP70" s="116" t="s">
        <v>3910</v>
      </c>
      <c r="AQ70" s="121" t="s">
        <v>4806</v>
      </c>
      <c r="AR70" s="82" t="s">
        <v>4807</v>
      </c>
      <c r="AS70" s="285"/>
      <c r="AT70" s="116"/>
      <c r="AU70" s="121"/>
      <c r="AV70" s="82"/>
    </row>
    <row r="71">
      <c r="A71" s="242"/>
      <c r="B71" s="241" t="s">
        <v>4808</v>
      </c>
      <c r="E71" s="242"/>
      <c r="F71" s="242"/>
      <c r="I71" s="242"/>
      <c r="J71" s="243" t="s">
        <v>4809</v>
      </c>
      <c r="M71" s="242"/>
      <c r="N71" s="241" t="s">
        <v>4787</v>
      </c>
      <c r="Q71" s="242"/>
      <c r="R71" s="244"/>
      <c r="U71" s="242"/>
      <c r="V71" s="244"/>
      <c r="Y71" s="242"/>
      <c r="Z71" s="245" t="s">
        <v>4810</v>
      </c>
      <c r="AC71" s="242"/>
      <c r="AD71" s="242"/>
      <c r="AG71" s="242"/>
      <c r="AH71" s="242"/>
      <c r="AK71" s="242"/>
      <c r="AL71" s="246" t="s">
        <v>4811</v>
      </c>
      <c r="AO71" s="242"/>
      <c r="AP71" s="242"/>
      <c r="AS71" s="242"/>
      <c r="AT71" s="242"/>
    </row>
    <row r="72">
      <c r="A72" s="247" t="s">
        <v>4812</v>
      </c>
      <c r="B72" s="120" t="s">
        <v>3721</v>
      </c>
      <c r="C72" s="119" t="s">
        <v>4813</v>
      </c>
      <c r="D72" s="79" t="s">
        <v>4814</v>
      </c>
      <c r="E72" s="247" t="s">
        <v>4812</v>
      </c>
      <c r="F72" s="120" t="s">
        <v>3889</v>
      </c>
      <c r="G72" s="119" t="s">
        <v>4815</v>
      </c>
      <c r="H72" s="79" t="s">
        <v>4393</v>
      </c>
      <c r="I72" s="247" t="s">
        <v>4812</v>
      </c>
      <c r="J72" s="120" t="s">
        <v>4319</v>
      </c>
      <c r="K72" s="119" t="s">
        <v>4816</v>
      </c>
      <c r="L72" s="79" t="s">
        <v>4395</v>
      </c>
      <c r="M72" s="247" t="s">
        <v>4812</v>
      </c>
      <c r="N72" s="120" t="s">
        <v>3731</v>
      </c>
      <c r="O72" s="119" t="s">
        <v>4817</v>
      </c>
      <c r="P72" s="79" t="s">
        <v>4818</v>
      </c>
      <c r="Q72" s="247" t="s">
        <v>4812</v>
      </c>
      <c r="R72" s="120" t="s">
        <v>3734</v>
      </c>
      <c r="S72" s="119" t="s">
        <v>4819</v>
      </c>
      <c r="T72" s="82" t="str">
        <f>IFERROR(__xludf.DUMMYFUNCTION("GOOGLETRANSLATE(D72,""zh-tw"",""es-MX"")"),"Obtén el equipo ""Anillo de Hueso del Ahorcado"".")</f>
        <v>Obtén el equipo "Anillo de Hueso del Ahorcado".</v>
      </c>
      <c r="U72" s="247" t="s">
        <v>4812</v>
      </c>
      <c r="V72" s="132" t="str">
        <f>IFERROR(__xludf.DUMMYFUNCTION("GOOGLETRANSLATE(B72,""zh-tw"",""KO"")"),"숨겨진 통로")</f>
        <v>숨겨진 통로</v>
      </c>
      <c r="W72" s="121" t="str">
        <f>IFERROR(__xludf.DUMMYFUNCTION("GOOGLETRANSLATE(C72,""zh-tw"",""KO"")"),"""??? 무덤(격노한 붉은 짐승)"" 유적 보스 - 격노한 붉은 짐승에서 아이템을 사용하여 아래 절벽을 건너가면 보물 상자를 찾을 수 있습니다. 또는 부활의 깃털을 사용하여 이전 레벨의 왼쪽 아래 모서리에서 아래로 내려가 보스를 건너뛰고 해당 지역으로 들어갈 수도 있습니다.")</f>
        <v>"??? 무덤(격노한 붉은 짐승)" 유적 보스 - 격노한 붉은 짐승에서 아이템을 사용하여 아래 절벽을 건너가면 보물 상자를 찾을 수 있습니다. 또는 부활의 깃털을 사용하여 이전 레벨의 왼쪽 아래 모서리에서 아래로 내려가 보스를 건너뛰고 해당 지역으로 들어갈 수도 있습니다.</v>
      </c>
      <c r="X72" s="82" t="str">
        <f>IFERROR(__xludf.DUMMYFUNCTION("GOOGLETRANSLATE(D72,""zh-tw"",""KO"")"),"""교수형당한 남자의 뼈 반지"" 장비를 획득하세요.")</f>
        <v>"교수형당한 남자의 뼈 반지" 장비를 획득하세요.</v>
      </c>
      <c r="Y72" s="247" t="s">
        <v>4812</v>
      </c>
      <c r="Z72" s="248" t="s">
        <v>3760</v>
      </c>
      <c r="AA72" s="249" t="s">
        <v>4820</v>
      </c>
      <c r="AB72" s="69" t="s">
        <v>4400</v>
      </c>
      <c r="AC72" s="247" t="s">
        <v>4812</v>
      </c>
      <c r="AD72" s="120" t="s">
        <v>3738</v>
      </c>
      <c r="AE72" s="250" t="s">
        <v>4821</v>
      </c>
      <c r="AF72" s="71" t="s">
        <v>4822</v>
      </c>
      <c r="AG72" s="247" t="s">
        <v>4812</v>
      </c>
      <c r="AH72" s="252" t="s">
        <v>3741</v>
      </c>
      <c r="AI72" s="145" t="s">
        <v>4823</v>
      </c>
      <c r="AJ72" s="146" t="s">
        <v>4404</v>
      </c>
      <c r="AK72" s="247" t="s">
        <v>4812</v>
      </c>
      <c r="AL72" s="120" t="s">
        <v>3744</v>
      </c>
      <c r="AM72" s="121" t="s">
        <v>4824</v>
      </c>
      <c r="AN72" s="82" t="s">
        <v>4825</v>
      </c>
      <c r="AO72" s="247" t="s">
        <v>4812</v>
      </c>
      <c r="AP72" s="120" t="s">
        <v>3747</v>
      </c>
      <c r="AQ72" s="121" t="s">
        <v>4826</v>
      </c>
      <c r="AR72" s="82" t="s">
        <v>4827</v>
      </c>
      <c r="AS72" s="247"/>
      <c r="AT72" s="120"/>
      <c r="AU72" s="121"/>
      <c r="AV72" s="82"/>
    </row>
    <row r="73" ht="113.25" customHeight="1">
      <c r="A73" s="247" t="s">
        <v>4828</v>
      </c>
      <c r="B73" s="120" t="s">
        <v>4829</v>
      </c>
      <c r="C73" s="119" t="s">
        <v>4830</v>
      </c>
      <c r="D73" s="79" t="s">
        <v>4831</v>
      </c>
      <c r="E73" s="247" t="s">
        <v>4828</v>
      </c>
      <c r="F73" s="120" t="s">
        <v>4832</v>
      </c>
      <c r="G73" s="119" t="s">
        <v>4833</v>
      </c>
      <c r="H73" s="79" t="s">
        <v>4834</v>
      </c>
      <c r="I73" s="247" t="s">
        <v>4828</v>
      </c>
      <c r="J73" s="120" t="s">
        <v>4835</v>
      </c>
      <c r="K73" s="119" t="s">
        <v>4836</v>
      </c>
      <c r="L73" s="79" t="s">
        <v>4837</v>
      </c>
      <c r="M73" s="247" t="s">
        <v>4828</v>
      </c>
      <c r="N73" s="120" t="s">
        <v>4838</v>
      </c>
      <c r="O73" s="119" t="s">
        <v>4839</v>
      </c>
      <c r="P73" s="79" t="s">
        <v>4840</v>
      </c>
      <c r="Q73" s="247" t="s">
        <v>4828</v>
      </c>
      <c r="R73" s="132" t="s">
        <v>4841</v>
      </c>
      <c r="S73" s="119" t="s">
        <v>4842</v>
      </c>
      <c r="T73" s="82" t="str">
        <f>IFERROR(__xludf.DUMMYFUNCTION("GOOGLETRANSLATE(D73,""zh-tw"",""es-MX"")"),"Obtén objetos y equipo.
P.D.: Los jefes del Abismo reaparecen cada siete días, y cada vez son más fuertes. También puedes usar la carta del Tarot ""El Mundo"".")</f>
        <v>Obtén objetos y equipo.
P.D.: Los jefes del Abismo reaparecen cada siete días, y cada vez son más fuertes. También puedes usar la carta del Tarot "El Mundo".</v>
      </c>
      <c r="U73" s="247" t="s">
        <v>4828</v>
      </c>
      <c r="V73" s="132" t="str">
        <f>IFERROR(__xludf.DUMMYFUNCTION("GOOGLETRANSLATE(B73,""zh-tw"",""KO"")"),"심연의 보스: 광폭한 붉은 짐승")</f>
        <v>심연의 보스: 광폭한 붉은 짐승</v>
      </c>
      <c r="W73" s="121" t="str">
        <f>IFERROR(__xludf.DUMMYFUNCTION("GOOGLETRANSLATE(C73,""zh-tw"",""KO"")"),"""??? 무덤(날뛰는 붉은 짐승)""의 폐허 보스를 정복하세요")</f>
        <v>"??? 무덤(날뛰는 붉은 짐승)"의 폐허 보스를 정복하세요</v>
      </c>
      <c r="X73" s="82" t="str">
        <f>IFERROR(__xludf.DUMMYFUNCTION("GOOGLETRANSLATE(D73,""zh-tw"",""KO"")"),"아이템과 장비를 획득하세요
추신: 심연의 보스는 7일마다 다시 나타나며, 나타날 때마다 더 강해집니다. ""세계"" 타로 카드를 사용할 수도 있습니다.")</f>
        <v>아이템과 장비를 획득하세요
추신: 심연의 보스는 7일마다 다시 나타나며, 나타날 때마다 더 강해집니다. "세계" 타로 카드를 사용할 수도 있습니다.</v>
      </c>
      <c r="Y73" s="247" t="s">
        <v>4828</v>
      </c>
      <c r="Z73" s="248" t="s">
        <v>4843</v>
      </c>
      <c r="AA73" s="249" t="s">
        <v>4844</v>
      </c>
      <c r="AB73" s="69" t="s">
        <v>4845</v>
      </c>
      <c r="AC73" s="247" t="s">
        <v>4828</v>
      </c>
      <c r="AD73" s="120" t="s">
        <v>4846</v>
      </c>
      <c r="AE73" s="250" t="s">
        <v>4847</v>
      </c>
      <c r="AF73" s="71" t="s">
        <v>4848</v>
      </c>
      <c r="AG73" s="247" t="s">
        <v>4828</v>
      </c>
      <c r="AH73" s="252" t="s">
        <v>4849</v>
      </c>
      <c r="AI73" s="149" t="s">
        <v>4850</v>
      </c>
      <c r="AJ73" s="146" t="s">
        <v>4851</v>
      </c>
      <c r="AK73" s="247" t="s">
        <v>4828</v>
      </c>
      <c r="AL73" s="132" t="s">
        <v>4852</v>
      </c>
      <c r="AM73" s="121" t="s">
        <v>4853</v>
      </c>
      <c r="AN73" s="82" t="s">
        <v>4854</v>
      </c>
      <c r="AO73" s="247" t="s">
        <v>4828</v>
      </c>
      <c r="AP73" s="116" t="s">
        <v>4855</v>
      </c>
      <c r="AQ73" s="121" t="s">
        <v>4856</v>
      </c>
      <c r="AR73" s="82" t="s">
        <v>4857</v>
      </c>
      <c r="AS73" s="247"/>
      <c r="AT73" s="116"/>
      <c r="AU73" s="121"/>
      <c r="AV73" s="82"/>
    </row>
    <row r="74">
      <c r="A74" s="247" t="s">
        <v>4858</v>
      </c>
      <c r="B74" s="120" t="s">
        <v>4859</v>
      </c>
      <c r="C74" s="119" t="s">
        <v>4860</v>
      </c>
      <c r="D74" s="79" t="s">
        <v>4861</v>
      </c>
      <c r="E74" s="247" t="s">
        <v>4858</v>
      </c>
      <c r="F74" s="120" t="s">
        <v>4862</v>
      </c>
      <c r="G74" s="119" t="s">
        <v>4863</v>
      </c>
      <c r="H74" s="79" t="s">
        <v>4864</v>
      </c>
      <c r="I74" s="247" t="s">
        <v>4858</v>
      </c>
      <c r="J74" s="120" t="s">
        <v>4865</v>
      </c>
      <c r="K74" s="119" t="s">
        <v>4866</v>
      </c>
      <c r="L74" s="79" t="s">
        <v>4867</v>
      </c>
      <c r="M74" s="247" t="s">
        <v>4858</v>
      </c>
      <c r="N74" s="120" t="s">
        <v>4868</v>
      </c>
      <c r="O74" s="119" t="s">
        <v>4869</v>
      </c>
      <c r="P74" s="79" t="s">
        <v>4870</v>
      </c>
      <c r="Q74" s="247" t="s">
        <v>4858</v>
      </c>
      <c r="R74" s="120" t="s">
        <v>4871</v>
      </c>
      <c r="S74" s="121" t="str">
        <f>IFERROR(__xludf.DUMMYFUNCTION("GOOGLETRANSLATE(C74,""zh-tw"",""es-MX"")"),"En las ruinas de la ""Tumba ??? (Bestia Roja Furiosa)"", tras derrotar al jefe (que debe ser derrotado en 20 segundos), aparecerá un portal de invocación.")</f>
        <v>En las ruinas de la "Tumba ??? (Bestia Roja Furiosa)", tras derrotar al jefe (que debe ser derrotado en 20 segundos), aparecerá un portal de invocación.</v>
      </c>
      <c r="T74" s="82" t="str">
        <f>IFERROR(__xludf.DUMMYFUNCTION("GOOGLETRANSLATE(D74,""zh-tw"",""es-MX"")"),"Nueva ubicación: La Iglesia Caída. Hay una hoguera.
(Abreviatura en el mapa: ""Iglesia"". Actualmente, los PNJ no tienen funciones; se añadirán en futuras actualizaciones).")</f>
        <v>Nueva ubicación: La Iglesia Caída. Hay una hoguera.
(Abreviatura en el mapa: "Iglesia". Actualmente, los PNJ no tienen funciones; se añadirán en futuras actualizaciones).</v>
      </c>
      <c r="U74" s="247" t="s">
        <v>4858</v>
      </c>
      <c r="V74" s="132" t="str">
        <f>IFERROR(__xludf.DUMMYFUNCTION("GOOGLETRANSLATE(B74,""zh-tw"",""KO"")"),"당신의 죄를 속죄하십시오")</f>
        <v>당신의 죄를 속죄하십시오</v>
      </c>
      <c r="W74" s="121" t="str">
        <f>IFERROR(__xludf.DUMMYFUNCTION("GOOGLETRANSLATE(C74,""zh-tw"",""KO"")"),"""??? 무덤(격노한 붉은 짐승)"" 유적에서 보스를 처치하면(20초 이내에 처치해야 함) 소환 포털이 나타납니다.")</f>
        <v>"??? 무덤(격노한 붉은 짐승)" 유적에서 보스를 처치하면(20초 이내에 처치해야 함) 소환 포털이 나타납니다.</v>
      </c>
      <c r="X74" s="82" t="str">
        <f>IFERROR(__xludf.DUMMYFUNCTION("GOOGLETRANSLATE(D74,""zh-tw"",""KO"")"),"새로운 장소 - 몰락한 교회. 모닥불이 있습니다.
(지도 약칭: ""교회"". 현재 NPC는 기능이 없으며, 향후 업데이트를 기다리고 있습니다.)")</f>
        <v>새로운 장소 - 몰락한 교회. 모닥불이 있습니다.
(지도 약칭: "교회". 현재 NPC는 기능이 없으며, 향후 업데이트를 기다리고 있습니다.)</v>
      </c>
      <c r="Y74" s="247" t="s">
        <v>4858</v>
      </c>
      <c r="Z74" s="248" t="s">
        <v>4872</v>
      </c>
      <c r="AA74" s="249" t="s">
        <v>4873</v>
      </c>
      <c r="AB74" s="69" t="s">
        <v>4874</v>
      </c>
      <c r="AC74" s="247" t="s">
        <v>4858</v>
      </c>
      <c r="AD74" s="120" t="s">
        <v>4875</v>
      </c>
      <c r="AE74" s="250" t="s">
        <v>4876</v>
      </c>
      <c r="AF74" s="71" t="s">
        <v>4877</v>
      </c>
      <c r="AG74" s="247" t="s">
        <v>4858</v>
      </c>
      <c r="AH74" s="251" t="s">
        <v>4878</v>
      </c>
      <c r="AI74" s="149" t="s">
        <v>4879</v>
      </c>
      <c r="AJ74" s="148" t="s">
        <v>4880</v>
      </c>
      <c r="AK74" s="247" t="s">
        <v>4858</v>
      </c>
      <c r="AL74" s="132" t="s">
        <v>4881</v>
      </c>
      <c r="AM74" s="119" t="s">
        <v>4882</v>
      </c>
      <c r="AN74" s="82" t="s">
        <v>4883</v>
      </c>
      <c r="AO74" s="247" t="s">
        <v>4858</v>
      </c>
      <c r="AP74" s="116" t="s">
        <v>4884</v>
      </c>
      <c r="AQ74" s="121" t="s">
        <v>4885</v>
      </c>
      <c r="AR74" s="82" t="s">
        <v>4886</v>
      </c>
      <c r="AS74" s="247"/>
      <c r="AT74" s="116"/>
      <c r="AU74" s="121"/>
      <c r="AV74" s="82"/>
    </row>
    <row r="75">
      <c r="A75" s="247" t="s">
        <v>4887</v>
      </c>
      <c r="B75" s="120" t="s">
        <v>4888</v>
      </c>
      <c r="C75" s="119" t="s">
        <v>4889</v>
      </c>
      <c r="D75" s="79" t="s">
        <v>4890</v>
      </c>
      <c r="E75" s="247" t="s">
        <v>4887</v>
      </c>
      <c r="F75" s="120" t="s">
        <v>4891</v>
      </c>
      <c r="G75" s="119" t="s">
        <v>4892</v>
      </c>
      <c r="H75" s="79" t="s">
        <v>4893</v>
      </c>
      <c r="I75" s="247" t="s">
        <v>4887</v>
      </c>
      <c r="J75" s="120" t="s">
        <v>4894</v>
      </c>
      <c r="K75" s="119" t="s">
        <v>4895</v>
      </c>
      <c r="L75" s="79" t="s">
        <v>4896</v>
      </c>
      <c r="M75" s="247" t="s">
        <v>4887</v>
      </c>
      <c r="N75" s="120" t="s">
        <v>4897</v>
      </c>
      <c r="O75" s="119" t="s">
        <v>4898</v>
      </c>
      <c r="P75" s="79" t="s">
        <v>4899</v>
      </c>
      <c r="Q75" s="247" t="s">
        <v>4887</v>
      </c>
      <c r="R75" s="120" t="s">
        <v>4900</v>
      </c>
      <c r="S75" s="119" t="s">
        <v>4901</v>
      </c>
      <c r="T75" s="82" t="str">
        <f>IFERROR(__xludf.DUMMYFUNCTION("GOOGLETRANSLATE(D75,""zh-tw"",""es-MX"")"),"Nuevo mapa: La Gran Zona de Lava Abrasada
(Las funciones de este mapa aún no están completas y puede contener errores. No se recomienda acceder a él sin antes guardar la partida).")</f>
        <v>Nuevo mapa: La Gran Zona de Lava Abrasada
(Las funciones de este mapa aún no están completas y puede contener errores. No se recomienda acceder a él sin antes guardar la partida).</v>
      </c>
      <c r="U75" s="247" t="s">
        <v>4887</v>
      </c>
      <c r="V75" s="132" t="str">
        <f>IFERROR(__xludf.DUMMYFUNCTION("GOOGLETRANSLATE(B75,""zh-tw"",""KO"")"),"다자오 열 카르스트대")</f>
        <v>다자오 열 카르스트대</v>
      </c>
      <c r="W75" s="121" t="str">
        <f>IFERROR(__xludf.DUMMYFUNCTION("GOOGLETRANSLATE(C75,""zh-tw"",""KO"")"),"""??? 무덤(날뛰는 붉은 짐승)"" 동굴 입구로 들어가세요(부활 깃털을 지참하세요). 그러면 새로운 지도에 도달할 수 있습니다.")</f>
        <v>"??? 무덤(날뛰는 붉은 짐승)" 동굴 입구로 들어가세요(부활 깃털을 지참하세요). 그러면 새로운 지도에 도달할 수 있습니다.</v>
      </c>
      <c r="X75" s="82" t="str">
        <f>IFERROR(__xludf.DUMMYFUNCTION("GOOGLETRANSLATE(D75,""zh-tw"",""KO"")"),"새로운 맵: 거대한 용암 지대
(이 맵의 기능은 아직 완성되지 않았으며 버그가 발생할 수 있습니다. 게임을 저장하기 전에는 이 맵에 진입하지 않는 것이 좋습니다.)")</f>
        <v>새로운 맵: 거대한 용암 지대
(이 맵의 기능은 아직 완성되지 않았으며 버그가 발생할 수 있습니다. 게임을 저장하기 전에는 이 맵에 진입하지 않는 것이 좋습니다.)</v>
      </c>
      <c r="Y75" s="247" t="s">
        <v>4887</v>
      </c>
      <c r="Z75" s="248" t="s">
        <v>4902</v>
      </c>
      <c r="AA75" s="249" t="s">
        <v>4903</v>
      </c>
      <c r="AB75" s="69" t="s">
        <v>4904</v>
      </c>
      <c r="AC75" s="247" t="s">
        <v>4887</v>
      </c>
      <c r="AD75" s="150" t="s">
        <v>4905</v>
      </c>
      <c r="AE75" s="250" t="s">
        <v>4906</v>
      </c>
      <c r="AF75" s="71" t="s">
        <v>4907</v>
      </c>
      <c r="AG75" s="247" t="s">
        <v>4887</v>
      </c>
      <c r="AH75" s="251" t="s">
        <v>4908</v>
      </c>
      <c r="AI75" s="145" t="s">
        <v>4909</v>
      </c>
      <c r="AJ75" s="148" t="s">
        <v>4910</v>
      </c>
      <c r="AK75" s="247" t="s">
        <v>4887</v>
      </c>
      <c r="AL75" s="132" t="s">
        <v>4911</v>
      </c>
      <c r="AM75" s="121" t="s">
        <v>4912</v>
      </c>
      <c r="AN75" s="82" t="s">
        <v>4913</v>
      </c>
      <c r="AO75" s="247" t="s">
        <v>4887</v>
      </c>
      <c r="AP75" s="116" t="s">
        <v>4914</v>
      </c>
      <c r="AQ75" s="121" t="s">
        <v>4915</v>
      </c>
      <c r="AR75" s="82" t="s">
        <v>4916</v>
      </c>
      <c r="AS75" s="247"/>
      <c r="AT75" s="116"/>
      <c r="AU75" s="121"/>
      <c r="AV75" s="82"/>
    </row>
    <row r="76">
      <c r="A76" s="242"/>
      <c r="B76" s="241" t="s">
        <v>4917</v>
      </c>
      <c r="E76" s="242"/>
      <c r="F76" s="242"/>
      <c r="I76" s="242"/>
      <c r="J76" s="243" t="s">
        <v>4918</v>
      </c>
      <c r="M76" s="242"/>
      <c r="N76" s="241" t="s">
        <v>4787</v>
      </c>
      <c r="Q76" s="242"/>
      <c r="R76" s="244"/>
      <c r="U76" s="242"/>
      <c r="V76" s="244"/>
      <c r="Y76" s="242"/>
      <c r="Z76" s="245" t="s">
        <v>4919</v>
      </c>
      <c r="AC76" s="242"/>
      <c r="AD76" s="242"/>
      <c r="AG76" s="242"/>
      <c r="AH76" s="242"/>
      <c r="AK76" s="242"/>
      <c r="AL76" s="246" t="s">
        <v>4920</v>
      </c>
      <c r="AO76" s="242"/>
      <c r="AP76" s="242"/>
      <c r="AS76" s="242"/>
      <c r="AT76" s="242"/>
    </row>
    <row r="77">
      <c r="A77" s="247" t="s">
        <v>4921</v>
      </c>
      <c r="B77" s="120" t="s">
        <v>4922</v>
      </c>
      <c r="C77" s="119" t="s">
        <v>4923</v>
      </c>
      <c r="D77" s="79" t="s">
        <v>4924</v>
      </c>
      <c r="E77" s="247" t="s">
        <v>4921</v>
      </c>
      <c r="F77" s="120" t="s">
        <v>4925</v>
      </c>
      <c r="G77" s="119" t="s">
        <v>4926</v>
      </c>
      <c r="H77" s="79" t="s">
        <v>4927</v>
      </c>
      <c r="I77" s="247" t="s">
        <v>4921</v>
      </c>
      <c r="J77" s="120" t="s">
        <v>4928</v>
      </c>
      <c r="K77" s="119" t="s">
        <v>4929</v>
      </c>
      <c r="L77" s="79" t="s">
        <v>4930</v>
      </c>
      <c r="M77" s="247" t="s">
        <v>4921</v>
      </c>
      <c r="N77" s="120" t="s">
        <v>4931</v>
      </c>
      <c r="O77" s="119" t="s">
        <v>4932</v>
      </c>
      <c r="P77" s="79" t="s">
        <v>4933</v>
      </c>
      <c r="Q77" s="247" t="s">
        <v>4921</v>
      </c>
      <c r="R77" s="132" t="s">
        <v>4934</v>
      </c>
      <c r="S77" s="119" t="s">
        <v>4935</v>
      </c>
      <c r="T77" s="82" t="str">
        <f>IFERROR(__xludf.DUMMYFUNCTION("GOOGLETRANSLATE(D77,""zh-tw"",""es-MX"")"),"Equipo: Misericordia de Santa Doncella")</f>
        <v>Equipo: Misericordia de Santa Doncella</v>
      </c>
      <c r="U77" s="247" t="s">
        <v>4921</v>
      </c>
      <c r="V77" s="132" t="str">
        <f>IFERROR(__xludf.DUMMYFUNCTION("GOOGLETRANSLATE(B77,""zh-tw"",""KO"")"),"교회 숨겨진 아이템 - 1")</f>
        <v>교회 숨겨진 아이템 - 1</v>
      </c>
      <c r="W77" s="121" t="str">
        <f>IFERROR(__xludf.DUMMYFUNCTION("GOOGLETRANSLATE(C77,""zh-tw"",""KO"")"),"교회 NPC 뒤편, 석상 뒤편")</f>
        <v>교회 NPC 뒤편, 석상 뒤편</v>
      </c>
      <c r="X77" s="82" t="str">
        <f>IFERROR(__xludf.DUMMYFUNCTION("GOOGLETRANSLATE(D77,""zh-tw"",""KO"")"),"장비: 성녀의 자비")</f>
        <v>장비: 성녀의 자비</v>
      </c>
      <c r="Y77" s="247" t="s">
        <v>4921</v>
      </c>
      <c r="Z77" s="248" t="s">
        <v>3898</v>
      </c>
      <c r="AA77" s="249" t="s">
        <v>4936</v>
      </c>
      <c r="AB77" s="69" t="s">
        <v>4937</v>
      </c>
      <c r="AC77" s="247" t="s">
        <v>4921</v>
      </c>
      <c r="AD77" s="120" t="s">
        <v>4938</v>
      </c>
      <c r="AE77" s="250" t="s">
        <v>4939</v>
      </c>
      <c r="AF77" s="71" t="s">
        <v>4940</v>
      </c>
      <c r="AG77" s="247" t="s">
        <v>4921</v>
      </c>
      <c r="AH77" s="251" t="s">
        <v>4941</v>
      </c>
      <c r="AI77" s="145" t="s">
        <v>4942</v>
      </c>
      <c r="AJ77" s="148" t="s">
        <v>4943</v>
      </c>
      <c r="AK77" s="247" t="s">
        <v>4921</v>
      </c>
      <c r="AL77" s="132" t="s">
        <v>4944</v>
      </c>
      <c r="AM77" s="121" t="s">
        <v>4945</v>
      </c>
      <c r="AN77" s="82" t="s">
        <v>4946</v>
      </c>
      <c r="AO77" s="247" t="s">
        <v>4921</v>
      </c>
      <c r="AP77" s="116" t="s">
        <v>4947</v>
      </c>
      <c r="AQ77" s="121" t="s">
        <v>4948</v>
      </c>
      <c r="AR77" s="82" t="s">
        <v>4949</v>
      </c>
      <c r="AS77" s="247"/>
      <c r="AT77" s="116"/>
      <c r="AU77" s="121"/>
      <c r="AV77" s="82"/>
    </row>
    <row r="78">
      <c r="A78" s="247" t="s">
        <v>4950</v>
      </c>
      <c r="B78" s="132" t="s">
        <v>4951</v>
      </c>
      <c r="C78" s="119" t="s">
        <v>4952</v>
      </c>
      <c r="D78" s="79" t="s">
        <v>4953</v>
      </c>
      <c r="E78" s="247" t="s">
        <v>4950</v>
      </c>
      <c r="F78" s="132" t="s">
        <v>4954</v>
      </c>
      <c r="G78" s="121" t="s">
        <v>4955</v>
      </c>
      <c r="H78" s="82" t="s">
        <v>4956</v>
      </c>
      <c r="I78" s="247" t="s">
        <v>4950</v>
      </c>
      <c r="J78" s="132" t="s">
        <v>4957</v>
      </c>
      <c r="K78" s="119" t="s">
        <v>4958</v>
      </c>
      <c r="L78" s="79" t="s">
        <v>4959</v>
      </c>
      <c r="M78" s="247" t="s">
        <v>4950</v>
      </c>
      <c r="N78" s="132" t="s">
        <v>4960</v>
      </c>
      <c r="O78" s="121" t="s">
        <v>4961</v>
      </c>
      <c r="P78" s="82" t="s">
        <v>4962</v>
      </c>
      <c r="Q78" s="247" t="s">
        <v>4950</v>
      </c>
      <c r="R78" s="132" t="s">
        <v>4963</v>
      </c>
      <c r="S78" s="121" t="str">
        <f>IFERROR(__xludf.DUMMYFUNCTION("GOOGLETRANSLATE(C78,""zh-tw"",""es-MX"")"),"Para confesarte con las monjas en la iglesia, tu nivel de excitación debe ser superior al 50%. Si es demasiado bajo, no habrá opción.")</f>
        <v>Para confesarte con las monjas en la iglesia, tu nivel de excitación debe ser superior al 50%. Si es demasiado bajo, no habrá opción.</v>
      </c>
      <c r="T78" s="82" t="str">
        <f>IFERROR(__xludf.DUMMYFUNCTION("GOOGLETRANSLATE(D78,""zh-tw"",""es-MX"")"),"Activa la primera parte de la historia.
*Hacerle daño resultará en una muerte segura.")</f>
        <v>Activa la primera parte de la historia.
*Hacerle daño resultará en una muerte segura.</v>
      </c>
      <c r="U78" s="247" t="s">
        <v>4950</v>
      </c>
      <c r="V78" s="132" t="str">
        <f>IFERROR(__xludf.DUMMYFUNCTION("GOOGLETRANSLATE(B78,""zh-tw"",""KO"")"),"회개하라")</f>
        <v>회개하라</v>
      </c>
      <c r="W78" s="121" t="str">
        <f>IFERROR(__xludf.DUMMYFUNCTION("GOOGLETRANSLATE(C78,""zh-tw"",""KO"")"),"교회에서 수녀님에게 고해성사를 하려면 흥분도가 50% 이상이어야 합니다. 흥분도가 너무 낮으면 고해성사 옵션이 나타나지 않습니다.")</f>
        <v>교회에서 수녀님에게 고해성사를 하려면 흥분도가 50% 이상이어야 합니다. 흥분도가 너무 낮으면 고해성사 옵션이 나타나지 않습니다.</v>
      </c>
      <c r="X78" s="82" t="str">
        <f>IFERROR(__xludf.DUMMYFUNCTION("GOOGLETRANSLATE(D78,""zh-tw"",""KO"")"),"이야기의 첫 부분을 시작하세요.
*그녀에게 해를 가하면 반드시 죽게 됩니다.")</f>
        <v>이야기의 첫 부분을 시작하세요.
*그녀에게 해를 가하면 반드시 죽게 됩니다.</v>
      </c>
      <c r="Y78" s="247" t="s">
        <v>4950</v>
      </c>
      <c r="Z78" s="256" t="s">
        <v>4964</v>
      </c>
      <c r="AA78" s="249" t="s">
        <v>4965</v>
      </c>
      <c r="AB78" s="69" t="s">
        <v>4966</v>
      </c>
      <c r="AC78" s="247" t="s">
        <v>4950</v>
      </c>
      <c r="AD78" s="120" t="str">
        <f>IFERROR(__xludf.DUMMYFUNCTION("GOOGLETRANSLATE(B78,""zh-tw"",""de"")"),"Bereuen")</f>
        <v>Bereuen</v>
      </c>
      <c r="AE78" s="121" t="s">
        <v>4967</v>
      </c>
      <c r="AF78" s="82" t="s">
        <v>4968</v>
      </c>
      <c r="AG78" s="247" t="s">
        <v>4950</v>
      </c>
      <c r="AH78" s="270" t="s">
        <v>4969</v>
      </c>
      <c r="AI78" s="271" t="s">
        <v>4970</v>
      </c>
      <c r="AJ78" s="259" t="s">
        <v>4971</v>
      </c>
      <c r="AK78" s="247" t="s">
        <v>4950</v>
      </c>
      <c r="AL78" s="132" t="s">
        <v>4972</v>
      </c>
      <c r="AM78" s="119" t="s">
        <v>4973</v>
      </c>
      <c r="AN78" s="79" t="s">
        <v>4974</v>
      </c>
      <c r="AO78" s="247" t="s">
        <v>4950</v>
      </c>
      <c r="AP78" s="116" t="s">
        <v>4975</v>
      </c>
      <c r="AQ78" s="121" t="s">
        <v>4976</v>
      </c>
      <c r="AR78" s="82" t="s">
        <v>4977</v>
      </c>
      <c r="AS78" s="247"/>
      <c r="AT78" s="116"/>
      <c r="AU78" s="121"/>
      <c r="AV78" s="82"/>
    </row>
    <row r="79">
      <c r="A79" s="247" t="s">
        <v>4978</v>
      </c>
      <c r="B79" s="132" t="s">
        <v>4979</v>
      </c>
      <c r="C79" s="121" t="s">
        <v>4980</v>
      </c>
      <c r="D79" s="82" t="s">
        <v>4981</v>
      </c>
      <c r="E79" s="247" t="s">
        <v>4978</v>
      </c>
      <c r="F79" s="132" t="s">
        <v>4982</v>
      </c>
      <c r="G79" s="121" t="s">
        <v>4983</v>
      </c>
      <c r="H79" s="82" t="s">
        <v>4984</v>
      </c>
      <c r="I79" s="247" t="s">
        <v>4978</v>
      </c>
      <c r="J79" s="132" t="s">
        <v>4985</v>
      </c>
      <c r="K79" s="121" t="s">
        <v>4986</v>
      </c>
      <c r="L79" s="82" t="s">
        <v>4987</v>
      </c>
      <c r="M79" s="247" t="s">
        <v>4978</v>
      </c>
      <c r="N79" s="132" t="s">
        <v>4988</v>
      </c>
      <c r="O79" s="121" t="s">
        <v>4989</v>
      </c>
      <c r="P79" s="82" t="s">
        <v>4990</v>
      </c>
      <c r="Q79" s="247" t="s">
        <v>4978</v>
      </c>
      <c r="R79" s="132" t="s">
        <v>4991</v>
      </c>
      <c r="S79" s="121" t="str">
        <f>IFERROR(__xludf.DUMMYFUNCTION("GOOGLETRANSLATE(C79,""zh-tw"",""es-MX"")"),"Cuando el valor del pecado llega a -, se puede activar la segunda etapa del arrepentimiento.")</f>
        <v>Cuando el valor del pecado llega a -, se puede activar la segunda etapa del arrepentimiento.</v>
      </c>
      <c r="T79" s="82" t="str">
        <f>IFERROR(__xludf.DUMMYFUNCTION("GOOGLETRANSLATE(D79,""zh-tw"",""es-MX"")"),"Activar la segunda parte de la historia
*Aún no implementado")</f>
        <v>Activar la segunda parte de la historia
*Aún no implementado</v>
      </c>
      <c r="U79" s="247" t="s">
        <v>4978</v>
      </c>
      <c r="V79" s="132" t="str">
        <f>IFERROR(__xludf.DUMMYFUNCTION("GOOGLETRANSLATE(B79,""zh-tw"",""KO"")"),"회개하라 - 1")</f>
        <v>회개하라 - 1</v>
      </c>
      <c r="W79" s="121" t="str">
        <f>IFERROR(__xludf.DUMMYFUNCTION("GOOGLETRANSLATE(C79,""zh-tw"",""KO"")"),"죄의 값이 마이너스에 도달하면 회개의 두 번째 단계가 시작될 수 있습니다.")</f>
        <v>죄의 값이 마이너스에 도달하면 회개의 두 번째 단계가 시작될 수 있습니다.</v>
      </c>
      <c r="X79" s="82" t="str">
        <f>IFERROR(__xludf.DUMMYFUNCTION("GOOGLETRANSLATE(D79,""zh-tw"",""KO"")"),"이야기의 두 번째 부분을 시작하세요
*아직 구현되지 않았습니다")</f>
        <v>이야기의 두 번째 부분을 시작하세요
*아직 구현되지 않았습니다</v>
      </c>
      <c r="Y79" s="247" t="s">
        <v>4978</v>
      </c>
      <c r="Z79" s="256" t="s">
        <v>4992</v>
      </c>
      <c r="AA79" s="263" t="s">
        <v>4993</v>
      </c>
      <c r="AB79" s="78" t="s">
        <v>4994</v>
      </c>
      <c r="AC79" s="247" t="s">
        <v>4978</v>
      </c>
      <c r="AD79" s="120" t="str">
        <f>IFERROR(__xludf.DUMMYFUNCTION("GOOGLETRANSLATE(B79,""zh-tw"",""de"")"),"Bereue - 1")</f>
        <v>Bereue - 1</v>
      </c>
      <c r="AE79" s="121" t="s">
        <v>4995</v>
      </c>
      <c r="AF79" s="82" t="s">
        <v>4996</v>
      </c>
      <c r="AG79" s="247" t="s">
        <v>4978</v>
      </c>
      <c r="AH79" s="270" t="s">
        <v>4997</v>
      </c>
      <c r="AI79" s="271" t="s">
        <v>4998</v>
      </c>
      <c r="AJ79" s="272" t="s">
        <v>4999</v>
      </c>
      <c r="AK79" s="247" t="s">
        <v>4978</v>
      </c>
      <c r="AL79" s="132" t="s">
        <v>5000</v>
      </c>
      <c r="AM79" s="121" t="s">
        <v>5001</v>
      </c>
      <c r="AN79" s="82" t="s">
        <v>5002</v>
      </c>
      <c r="AO79" s="247" t="s">
        <v>4978</v>
      </c>
      <c r="AP79" s="116" t="s">
        <v>5003</v>
      </c>
      <c r="AQ79" s="121" t="s">
        <v>5004</v>
      </c>
      <c r="AR79" s="82" t="s">
        <v>5005</v>
      </c>
      <c r="AS79" s="247"/>
      <c r="AT79" s="116"/>
      <c r="AU79" s="121"/>
      <c r="AV79" s="82"/>
    </row>
    <row r="80">
      <c r="A80" s="242"/>
      <c r="B80" s="287" t="s">
        <v>4888</v>
      </c>
      <c r="E80" s="242"/>
      <c r="F80" s="244"/>
      <c r="I80" s="242"/>
      <c r="J80" s="243" t="s">
        <v>4894</v>
      </c>
      <c r="M80" s="242"/>
      <c r="N80" s="287" t="s">
        <v>4897</v>
      </c>
      <c r="Q80" s="242"/>
      <c r="R80" s="244"/>
      <c r="U80" s="242"/>
      <c r="V80" s="244"/>
      <c r="Y80" s="242"/>
      <c r="Z80" s="245" t="s">
        <v>4902</v>
      </c>
      <c r="AC80" s="242"/>
      <c r="AD80" s="242"/>
      <c r="AG80" s="242"/>
      <c r="AH80" s="244"/>
      <c r="AK80" s="242"/>
      <c r="AL80" s="246" t="s">
        <v>5006</v>
      </c>
      <c r="AO80" s="242"/>
      <c r="AP80" s="242"/>
      <c r="AS80" s="242"/>
      <c r="AT80" s="242"/>
    </row>
    <row r="81">
      <c r="A81" s="247" t="s">
        <v>5007</v>
      </c>
      <c r="B81" s="120" t="s">
        <v>3721</v>
      </c>
      <c r="C81" s="119" t="s">
        <v>5008</v>
      </c>
      <c r="D81" s="79" t="s">
        <v>5009</v>
      </c>
      <c r="E81" s="247" t="s">
        <v>5007</v>
      </c>
      <c r="F81" s="120" t="s">
        <v>3889</v>
      </c>
      <c r="G81" s="119" t="s">
        <v>5010</v>
      </c>
      <c r="H81" s="79" t="s">
        <v>5011</v>
      </c>
      <c r="I81" s="247" t="s">
        <v>5007</v>
      </c>
      <c r="J81" s="120" t="s">
        <v>4319</v>
      </c>
      <c r="K81" s="119" t="s">
        <v>5012</v>
      </c>
      <c r="L81" s="79" t="s">
        <v>5013</v>
      </c>
      <c r="M81" s="247" t="s">
        <v>5007</v>
      </c>
      <c r="N81" s="120" t="s">
        <v>3731</v>
      </c>
      <c r="O81" s="119" t="s">
        <v>5014</v>
      </c>
      <c r="P81" s="79" t="s">
        <v>5015</v>
      </c>
      <c r="Q81" s="247" t="s">
        <v>5007</v>
      </c>
      <c r="R81" s="120" t="s">
        <v>3734</v>
      </c>
      <c r="S81" s="121" t="str">
        <f>IFERROR(__xludf.DUMMYFUNCTION("GOOGLETRANSLATE(C81,""zh-tw"",""es-MX"")"),"Detrás del pilar situado en el lado izquierdo del ""Gran Cinturón de Lava de Coca-Cola"", hay un objeto oculto y un punto de recogida.")</f>
        <v>Detrás del pilar situado en el lado izquierdo del "Gran Cinturón de Lava de Coca-Cola", hay un objeto oculto y un punto de recogida.</v>
      </c>
      <c r="T81" s="82" t="str">
        <f>IFERROR(__xludf.DUMMYFUNCTION("GOOGLETRANSLATE(D81,""zh-tw"",""es-MX"")"),"Equipo: Anillo de Lava
*Este objeto se puede obtener repetidamente después de que el mapa se actualice.")</f>
        <v>Equipo: Anillo de Lava
*Este objeto se puede obtener repetidamente después de que el mapa se actualice.</v>
      </c>
      <c r="U81" s="247" t="s">
        <v>5007</v>
      </c>
      <c r="V81" s="132" t="str">
        <f>IFERROR(__xludf.DUMMYFUNCTION("GOOGLETRANSLATE(B81,""zh-tw"",""KO"")"),"숨겨진 통로")</f>
        <v>숨겨진 통로</v>
      </c>
      <c r="W81" s="121" t="str">
        <f>IFERROR(__xludf.DUMMYFUNCTION("GOOGLETRANSLATE(C81,""zh-tw"",""KO"")"),"""거대한 코카콜라 용암 지대"" 왼쪽 기둥 뒤에는 숨겨진 아이템과 수집 지점이 있습니다.")</f>
        <v>"거대한 코카콜라 용암 지대" 왼쪽 기둥 뒤에는 숨겨진 아이템과 수집 지점이 있습니다.</v>
      </c>
      <c r="X81" s="82" t="str">
        <f>IFERROR(__xludf.DUMMYFUNCTION("GOOGLETRANSLATE(D81,""zh-tw"",""KO"")"),"장비: 용암 반지
*이 아이템은 맵이 새로고침된 후에도 반복해서 획득할 수 있습니다.")</f>
        <v>장비: 용암 반지
*이 아이템은 맵이 새로고침된 후에도 반복해서 획득할 수 있습니다.</v>
      </c>
      <c r="Y81" s="247" t="s">
        <v>5007</v>
      </c>
      <c r="Z81" s="248" t="s">
        <v>3760</v>
      </c>
      <c r="AA81" s="249" t="s">
        <v>5016</v>
      </c>
      <c r="AB81" s="69" t="s">
        <v>5017</v>
      </c>
      <c r="AC81" s="247" t="s">
        <v>5007</v>
      </c>
      <c r="AD81" s="120" t="s">
        <v>3738</v>
      </c>
      <c r="AE81" s="250" t="s">
        <v>5018</v>
      </c>
      <c r="AF81" s="71" t="s">
        <v>5019</v>
      </c>
      <c r="AG81" s="247" t="s">
        <v>5007</v>
      </c>
      <c r="AH81" s="252" t="s">
        <v>3741</v>
      </c>
      <c r="AI81" s="145" t="s">
        <v>5020</v>
      </c>
      <c r="AJ81" s="146" t="s">
        <v>5021</v>
      </c>
      <c r="AK81" s="247" t="s">
        <v>5007</v>
      </c>
      <c r="AL81" s="120" t="s">
        <v>3744</v>
      </c>
      <c r="AM81" s="121" t="s">
        <v>5022</v>
      </c>
      <c r="AN81" s="82" t="s">
        <v>5023</v>
      </c>
      <c r="AO81" s="247" t="s">
        <v>5007</v>
      </c>
      <c r="AP81" s="120" t="s">
        <v>3747</v>
      </c>
      <c r="AQ81" s="121" t="s">
        <v>5024</v>
      </c>
      <c r="AR81" s="82" t="s">
        <v>5025</v>
      </c>
      <c r="AS81" s="247"/>
      <c r="AT81" s="120"/>
      <c r="AU81" s="121"/>
      <c r="AV81" s="82"/>
    </row>
    <row r="82">
      <c r="A82" s="288"/>
      <c r="B82" s="288"/>
      <c r="C82" s="288"/>
      <c r="D82" s="288"/>
      <c r="E82" s="288"/>
      <c r="F82" s="288"/>
      <c r="G82" s="288"/>
      <c r="H82" s="288"/>
      <c r="I82" s="288"/>
      <c r="J82" s="288"/>
      <c r="K82" s="288"/>
      <c r="L82" s="288"/>
      <c r="M82" s="288"/>
      <c r="N82" s="288"/>
      <c r="O82" s="288"/>
      <c r="P82" s="288"/>
      <c r="Q82" s="288"/>
      <c r="R82" s="288"/>
      <c r="S82" s="289"/>
      <c r="T82" s="289"/>
      <c r="U82" s="288"/>
      <c r="V82" s="289"/>
      <c r="W82" s="289"/>
      <c r="X82" s="289"/>
      <c r="Y82" s="288"/>
      <c r="Z82" s="288"/>
      <c r="AA82" s="290"/>
      <c r="AB82" s="289"/>
      <c r="AC82" s="288"/>
      <c r="AD82" s="288"/>
      <c r="AE82" s="288"/>
      <c r="AF82" s="288"/>
      <c r="AG82" s="288"/>
      <c r="AH82" s="288"/>
      <c r="AI82" s="288"/>
      <c r="AJ82" s="288"/>
      <c r="AK82" s="288"/>
      <c r="AL82" s="289"/>
      <c r="AM82" s="289"/>
      <c r="AN82" s="289"/>
      <c r="AO82" s="288"/>
      <c r="AP82" s="288"/>
      <c r="AQ82" s="289"/>
      <c r="AR82" s="289"/>
      <c r="AS82" s="288"/>
      <c r="AT82" s="288"/>
      <c r="AU82" s="289"/>
      <c r="AV82" s="289"/>
    </row>
    <row r="83">
      <c r="A83" s="241" t="s">
        <v>5026</v>
      </c>
      <c r="B83" s="287" t="s">
        <v>5027</v>
      </c>
      <c r="E83" s="241" t="s">
        <v>5026</v>
      </c>
      <c r="F83" s="244"/>
      <c r="I83" s="241" t="s">
        <v>5026</v>
      </c>
      <c r="J83" s="243" t="s">
        <v>5028</v>
      </c>
      <c r="M83" s="241" t="s">
        <v>5026</v>
      </c>
      <c r="N83" s="287" t="s">
        <v>5027</v>
      </c>
      <c r="Q83" s="241" t="s">
        <v>5026</v>
      </c>
      <c r="R83" s="244"/>
      <c r="U83" s="241" t="s">
        <v>5026</v>
      </c>
      <c r="V83" s="244"/>
      <c r="Y83" s="241" t="s">
        <v>5026</v>
      </c>
      <c r="Z83" s="245" t="s">
        <v>5029</v>
      </c>
      <c r="AC83" s="241" t="s">
        <v>5026</v>
      </c>
      <c r="AD83" s="242"/>
      <c r="AG83" s="241" t="s">
        <v>5026</v>
      </c>
      <c r="AH83" s="244"/>
      <c r="AK83" s="241" t="s">
        <v>5026</v>
      </c>
      <c r="AL83" s="246" t="s">
        <v>5030</v>
      </c>
      <c r="AO83" s="241" t="s">
        <v>5026</v>
      </c>
      <c r="AP83" s="242"/>
      <c r="AS83" s="241"/>
      <c r="AT83" s="242"/>
    </row>
    <row r="84">
      <c r="A84" s="247" t="s">
        <v>5031</v>
      </c>
      <c r="B84" s="120" t="s">
        <v>5032</v>
      </c>
      <c r="C84" s="119" t="s">
        <v>5033</v>
      </c>
      <c r="D84" s="79" t="s">
        <v>5034</v>
      </c>
      <c r="E84" s="247" t="s">
        <v>5031</v>
      </c>
      <c r="F84" s="120" t="s">
        <v>5035</v>
      </c>
      <c r="G84" s="119" t="s">
        <v>5036</v>
      </c>
      <c r="H84" s="79" t="s">
        <v>5037</v>
      </c>
      <c r="I84" s="247" t="s">
        <v>5031</v>
      </c>
      <c r="J84" s="120" t="s">
        <v>5038</v>
      </c>
      <c r="K84" s="119" t="s">
        <v>5039</v>
      </c>
      <c r="L84" s="79" t="s">
        <v>5040</v>
      </c>
      <c r="M84" s="247" t="s">
        <v>5031</v>
      </c>
      <c r="N84" s="120" t="s">
        <v>5041</v>
      </c>
      <c r="O84" s="119" t="s">
        <v>5042</v>
      </c>
      <c r="P84" s="79" t="s">
        <v>5043</v>
      </c>
      <c r="Q84" s="247" t="s">
        <v>5031</v>
      </c>
      <c r="R84" s="132" t="s">
        <v>5044</v>
      </c>
      <c r="S84" s="121" t="str">
        <f>IFERROR(__xludf.DUMMYFUNCTION("GOOGLETRANSLATE(C84,""zh-tw"",""es-MX"")"),"Tras aprender la técnica ""Paso Rápido con Katana"", equipar un arma cuerpo a cuerpo y realizar un cuarto tajo aéreo activará automáticamente un estado de entrenamiento de esgrima oculto.
Usar un arma de mayor tamaño puede mejorar la eficacia del entrena"&amp;"miento (por ejemplo, mediante el uso de cartas del tarot o habilidades propias del arma).")</f>
        <v>Tras aprender la técnica "Paso Rápido con Katana", equipar un arma cuerpo a cuerpo y realizar un cuarto tajo aéreo activará automáticamente un estado de entrenamiento de esgrima oculto.
Usar un arma de mayor tamaño puede mejorar la eficacia del entrenamiento (por ejemplo, mediante el uso de cartas del tarot o habilidades propias del arma).</v>
      </c>
      <c r="T84" s="82" t="str">
        <f>IFERROR(__xludf.DUMMYFUNCTION("GOOGLETRANSLATE(D84,""zh-tw"",""es-MX"")"),"Durante el entrenamiento, las estadísticas ocultas se acumularán gradualmente, alcanzando un máximo de 36 000 golpes aéreos.
[4, 15, 50, 150, 500, 1600, 4800, 12 000, 24 000, 36 000]
Con la acumulación de golpes aéreos, el poder de ataque normal y la ve"&amp;"locidad de ataque aumentarán gradualmente. El multiplicador de ataque máximo es del 357 % (1,8 * nivel de entrenamiento de esgrima).")</f>
        <v>Durante el entrenamiento, las estadísticas ocultas se acumularán gradualmente, alcanzando un máximo de 36 000 golpes aéreos.
[4, 15, 50, 150, 500, 1600, 4800, 12 000, 24 000, 36 000]
Con la acumulación de golpes aéreos, el poder de ataque normal y la velocidad de ataque aumentarán gradualmente. El multiplicador de ataque máximo es del 357 % (1,8 * nivel de entrenamiento de esgrima).</v>
      </c>
      <c r="U84" s="247" t="s">
        <v>5031</v>
      </c>
      <c r="V84" s="132" t="str">
        <f>IFERROR(__xludf.DUMMYFUNCTION("GOOGLETRANSLATE(B84,""zh-tw"",""KO"")"),"검술 훈련")</f>
        <v>검술 훈련</v>
      </c>
      <c r="W84" s="121" t="str">
        <f>IFERROR(__xludf.DUMMYFUNCTION("GOOGLETRANSLATE(C84,""zh-tw"",""KO"")"),"""플래시 스텝 카타나""를 익힌 후, ""근접 무기""를 장착하고 4번째 공중 베기를 시전하면 자동으로 은밀한 검술 수련 상태에 진입합니다.
무기를 확대하면 수련 효율을 높일 수 있습니다 (예: 타로 카드 사용 또는 무기 고유의 기술 사용).")</f>
        <v>"플래시 스텝 카타나"를 익힌 후, "근접 무기"를 장착하고 4번째 공중 베기를 시전하면 자동으로 은밀한 검술 수련 상태에 진입합니다.
무기를 확대하면 수련 효율을 높일 수 있습니다 (예: 타로 카드 사용 또는 무기 고유의 기술 사용).</v>
      </c>
      <c r="X84" s="82" t="str">
        <f>IFERROR(__xludf.DUMMYFUNCTION("GOOGLETRANSLATE(D84,""zh-tw"",""KO"")"),"훈련하는 동안 숨겨진 능력치가 점차 누적되어 최대 36,000회의 공중 휘두르기에 도달합니다.
[4, 15, 50, 150, 500, 1600, 4800, 12000, 24000, 36000]
공중 휘두르기가 누적됨에 따라 일반 공격력과 공격 속도가 점차 증가합니다. 최대 공격 배율은 357%(검술 훈련 레벨의 1.8배)입니다.")</f>
        <v>훈련하는 동안 숨겨진 능력치가 점차 누적되어 최대 36,000회의 공중 휘두르기에 도달합니다.
[4, 15, 50, 150, 500, 1600, 4800, 12000, 24000, 36000]
공중 휘두르기가 누적됨에 따라 일반 공격력과 공격 속도가 점차 증가합니다. 최대 공격 배율은 357%(검술 훈련 레벨의 1.8배)입니다.</v>
      </c>
      <c r="Y84" s="247" t="s">
        <v>5031</v>
      </c>
      <c r="Z84" s="248" t="s">
        <v>5045</v>
      </c>
      <c r="AA84" s="249" t="s">
        <v>5046</v>
      </c>
      <c r="AB84" s="69" t="s">
        <v>5047</v>
      </c>
      <c r="AC84" s="247" t="s">
        <v>5031</v>
      </c>
      <c r="AD84" s="120" t="s">
        <v>5048</v>
      </c>
      <c r="AE84" s="250" t="s">
        <v>5049</v>
      </c>
      <c r="AF84" s="71" t="s">
        <v>5050</v>
      </c>
      <c r="AG84" s="247" t="s">
        <v>5031</v>
      </c>
      <c r="AH84" s="251" t="s">
        <v>5051</v>
      </c>
      <c r="AI84" s="149" t="s">
        <v>5052</v>
      </c>
      <c r="AJ84" s="146" t="s">
        <v>5053</v>
      </c>
      <c r="AK84" s="247" t="s">
        <v>5031</v>
      </c>
      <c r="AL84" s="132" t="s">
        <v>5054</v>
      </c>
      <c r="AM84" s="119" t="s">
        <v>5055</v>
      </c>
      <c r="AN84" s="79" t="s">
        <v>5056</v>
      </c>
      <c r="AO84" s="247" t="s">
        <v>5031</v>
      </c>
      <c r="AP84" s="120" t="s">
        <v>5057</v>
      </c>
      <c r="AQ84" s="119" t="s">
        <v>5058</v>
      </c>
      <c r="AR84" s="79" t="s">
        <v>5059</v>
      </c>
      <c r="AS84" s="247"/>
      <c r="AT84" s="120"/>
      <c r="AU84" s="119"/>
      <c r="AV84" s="79"/>
    </row>
    <row r="85">
      <c r="A85" s="247" t="s">
        <v>5060</v>
      </c>
      <c r="B85" s="120" t="s">
        <v>5061</v>
      </c>
      <c r="C85" s="119" t="s">
        <v>5062</v>
      </c>
      <c r="D85" s="79" t="s">
        <v>5063</v>
      </c>
      <c r="E85" s="247" t="s">
        <v>5060</v>
      </c>
      <c r="F85" s="120" t="s">
        <v>5064</v>
      </c>
      <c r="G85" s="119" t="s">
        <v>5065</v>
      </c>
      <c r="H85" s="79" t="s">
        <v>5066</v>
      </c>
      <c r="I85" s="247" t="s">
        <v>5060</v>
      </c>
      <c r="J85" s="120" t="s">
        <v>5067</v>
      </c>
      <c r="K85" s="119" t="s">
        <v>5068</v>
      </c>
      <c r="L85" s="79" t="s">
        <v>5069</v>
      </c>
      <c r="M85" s="247" t="s">
        <v>5060</v>
      </c>
      <c r="N85" s="120" t="s">
        <v>5070</v>
      </c>
      <c r="O85" s="119" t="s">
        <v>5071</v>
      </c>
      <c r="P85" s="79" t="s">
        <v>5072</v>
      </c>
      <c r="Q85" s="247" t="s">
        <v>5060</v>
      </c>
      <c r="R85" s="120" t="s">
        <v>5073</v>
      </c>
      <c r="S85" s="121" t="str">
        <f>IFERROR(__xludf.DUMMYFUNCTION("GOOGLETRANSLATE(C85,""zh-tw"",""es-MX"")"),"En días soleados, es probable que haga calor.
(Si tu hermana ya recibió la camiseta, aumenta la probabilidad de que haga calor).")</f>
        <v>En días soleados, es probable que haga calor.
(Si tu hermana ya recibió la camiseta, aumenta la probabilidad de que haga calor).</v>
      </c>
      <c r="T85" s="82" t="str">
        <f>IFERROR(__xludf.DUMMYFUNCTION("GOOGLETRANSLATE(D85,""zh-tw"",""es-MX"")"),"Algunos PNJ se esconderán.
Si regresas a casa antes de tiempo (y no puedes usar el Portal Estelar), tu hermana tendrá un evento relacionado con el calor.")</f>
        <v>Algunos PNJ se esconderán.
Si regresas a casa antes de tiempo (y no puedes usar el Portal Estelar), tu hermana tendrá un evento relacionado con el calor.</v>
      </c>
      <c r="U85" s="247" t="s">
        <v>5060</v>
      </c>
      <c r="V85" s="132" t="str">
        <f>IFERROR(__xludf.DUMMYFUNCTION("GOOGLETRANSLATE(B85,""zh-tw"",""KO"")"),"더운 날씨 1")</f>
        <v>더운 날씨 1</v>
      </c>
      <c r="W85" s="121" t="str">
        <f>IFERROR(__xludf.DUMMYFUNCTION("GOOGLETRANSLATE(C85,""zh-tw"",""KO"")"),"화창한 날에는 날씨가 더워질 가능성이 있습니다.
(만약 여동생이 이미 티셔츠를 받았다면, 더워질 가능성은 더욱 높아집니다.)")</f>
        <v>화창한 날에는 날씨가 더워질 가능성이 있습니다.
(만약 여동생이 이미 티셔츠를 받았다면, 더워질 가능성은 더욱 높아집니다.)</v>
      </c>
      <c r="X85" s="82" t="str">
        <f>IFERROR(__xludf.DUMMYFUNCTION("GOOGLETRANSLATE(D85,""zh-tw"",""KO"")"),"일부 NPC는 숨을 것입니다.
만약 일찍 집으로 돌아오거나 (스타게이트를 사용할 수 없는 경우), 여동생에게 폭염과 관련된 이벤트가 발생합니다.")</f>
        <v>일부 NPC는 숨을 것입니다.
만약 일찍 집으로 돌아오거나 (스타게이트를 사용할 수 없는 경우), 여동생에게 폭염과 관련된 이벤트가 발생합니다.</v>
      </c>
      <c r="Y85" s="247" t="s">
        <v>5060</v>
      </c>
      <c r="Z85" s="248" t="s">
        <v>5074</v>
      </c>
      <c r="AA85" s="249" t="s">
        <v>5075</v>
      </c>
      <c r="AB85" s="69" t="s">
        <v>5076</v>
      </c>
      <c r="AC85" s="247" t="s">
        <v>5060</v>
      </c>
      <c r="AD85" s="120" t="s">
        <v>5077</v>
      </c>
      <c r="AE85" s="250" t="s">
        <v>5078</v>
      </c>
      <c r="AF85" s="71" t="s">
        <v>5079</v>
      </c>
      <c r="AG85" s="247" t="s">
        <v>5060</v>
      </c>
      <c r="AH85" s="251" t="s">
        <v>5080</v>
      </c>
      <c r="AI85" s="145" t="s">
        <v>5081</v>
      </c>
      <c r="AJ85" s="148" t="s">
        <v>5082</v>
      </c>
      <c r="AK85" s="247" t="s">
        <v>5060</v>
      </c>
      <c r="AL85" s="132" t="s">
        <v>5083</v>
      </c>
      <c r="AM85" s="121" t="s">
        <v>5084</v>
      </c>
      <c r="AN85" s="82" t="s">
        <v>5085</v>
      </c>
      <c r="AO85" s="247" t="s">
        <v>5060</v>
      </c>
      <c r="AP85" s="116" t="s">
        <v>5086</v>
      </c>
      <c r="AQ85" s="121" t="s">
        <v>5087</v>
      </c>
      <c r="AR85" s="82" t="s">
        <v>5088</v>
      </c>
      <c r="AS85" s="247"/>
      <c r="AT85" s="116"/>
      <c r="AU85" s="121"/>
      <c r="AV85" s="82"/>
    </row>
    <row r="86">
      <c r="A86" s="247" t="s">
        <v>5089</v>
      </c>
      <c r="B86" s="120" t="s">
        <v>5090</v>
      </c>
      <c r="C86" s="119" t="s">
        <v>5091</v>
      </c>
      <c r="D86" s="79" t="s">
        <v>5092</v>
      </c>
      <c r="E86" s="247" t="s">
        <v>5089</v>
      </c>
      <c r="F86" s="120" t="s">
        <v>5093</v>
      </c>
      <c r="G86" s="119" t="s">
        <v>5094</v>
      </c>
      <c r="H86" s="79" t="s">
        <v>5095</v>
      </c>
      <c r="I86" s="247" t="s">
        <v>5089</v>
      </c>
      <c r="J86" s="120" t="s">
        <v>5096</v>
      </c>
      <c r="K86" s="119" t="s">
        <v>5097</v>
      </c>
      <c r="L86" s="79" t="s">
        <v>5098</v>
      </c>
      <c r="M86" s="247" t="s">
        <v>5089</v>
      </c>
      <c r="N86" s="120" t="s">
        <v>5099</v>
      </c>
      <c r="O86" s="119" t="s">
        <v>5100</v>
      </c>
      <c r="P86" s="79" t="s">
        <v>5101</v>
      </c>
      <c r="Q86" s="247" t="s">
        <v>5089</v>
      </c>
      <c r="R86" s="120" t="s">
        <v>5102</v>
      </c>
      <c r="S86" s="119" t="s">
        <v>5103</v>
      </c>
      <c r="T86" s="82" t="str">
        <f>IFERROR(__xludf.DUMMYFUNCTION("GOOGLETRANSLATE(D86,""zh-tw"",""es-MX"")"),"Igual que lo anterior. Historia secundaria sobre el clima cálido.
(En la versión actual, este atuendo se usará automáticamente, independientemente de si has obtenido la camiseta o no).")</f>
        <v>Igual que lo anterior. Historia secundaria sobre el clima cálido.
(En la versión actual, este atuendo se usará automáticamente, independientemente de si has obtenido la camiseta o no).</v>
      </c>
      <c r="U86" s="247" t="s">
        <v>5089</v>
      </c>
      <c r="V86" s="132" t="str">
        <f>IFERROR(__xludf.DUMMYFUNCTION("GOOGLETRANSLATE(B86,""zh-tw"",""KO"")"),"더운 날씨 2 보너스 티셔츠")</f>
        <v>더운 날씨 2 보너스 티셔츠</v>
      </c>
      <c r="W86" s="121" t="str">
        <f>IFERROR(__xludf.DUMMYFUNCTION("GOOGLETRANSLATE(C86,""zh-tw"",""KO"")"),"위에서 언급했듯이, 티셔츠가 있으면 스토리가 분기됩니다.")</f>
        <v>위에서 언급했듯이, 티셔츠가 있으면 스토리가 분기됩니다.</v>
      </c>
      <c r="X86" s="82" t="str">
        <f>IFERROR(__xludf.DUMMYFUNCTION("GOOGLETRANSLATE(D86,""zh-tw"",""KO"")"),"위와 동일합니다. 더운 날씨 사이드 스토리
(현재 버전에서는 티셔츠 획득 여부와 관계없이 자동으로 이 의상을 착용하게 됩니다.)")</f>
        <v>위와 동일합니다. 더운 날씨 사이드 스토리
(현재 버전에서는 티셔츠 획득 여부와 관계없이 자동으로 이 의상을 착용하게 됩니다.)</v>
      </c>
      <c r="Y86" s="247" t="s">
        <v>5089</v>
      </c>
      <c r="Z86" s="248" t="s">
        <v>5104</v>
      </c>
      <c r="AA86" s="249" t="s">
        <v>5105</v>
      </c>
      <c r="AB86" s="69" t="s">
        <v>5106</v>
      </c>
      <c r="AC86" s="247" t="s">
        <v>5089</v>
      </c>
      <c r="AD86" s="120" t="s">
        <v>5107</v>
      </c>
      <c r="AE86" s="250" t="s">
        <v>5108</v>
      </c>
      <c r="AF86" s="71" t="s">
        <v>5109</v>
      </c>
      <c r="AG86" s="247" t="s">
        <v>5089</v>
      </c>
      <c r="AH86" s="251" t="s">
        <v>5110</v>
      </c>
      <c r="AI86" s="145" t="s">
        <v>5111</v>
      </c>
      <c r="AJ86" s="148" t="s">
        <v>5112</v>
      </c>
      <c r="AK86" s="247" t="s">
        <v>5089</v>
      </c>
      <c r="AL86" s="132" t="s">
        <v>5113</v>
      </c>
      <c r="AM86" s="121" t="s">
        <v>5114</v>
      </c>
      <c r="AN86" s="82" t="s">
        <v>5115</v>
      </c>
      <c r="AO86" s="247" t="s">
        <v>5089</v>
      </c>
      <c r="AP86" s="116" t="s">
        <v>5116</v>
      </c>
      <c r="AQ86" s="121" t="s">
        <v>5117</v>
      </c>
      <c r="AR86" s="82" t="s">
        <v>5118</v>
      </c>
      <c r="AS86" s="247"/>
      <c r="AT86" s="116"/>
      <c r="AU86" s="121"/>
      <c r="AV86" s="82"/>
    </row>
    <row r="87">
      <c r="A87" s="247" t="s">
        <v>5119</v>
      </c>
      <c r="B87" s="120" t="s">
        <v>5120</v>
      </c>
      <c r="C87" s="119" t="s">
        <v>5121</v>
      </c>
      <c r="D87" s="79" t="s">
        <v>5122</v>
      </c>
      <c r="E87" s="247" t="s">
        <v>5119</v>
      </c>
      <c r="F87" s="120" t="s">
        <v>5123</v>
      </c>
      <c r="G87" s="119" t="s">
        <v>5124</v>
      </c>
      <c r="H87" s="79" t="s">
        <v>5125</v>
      </c>
      <c r="I87" s="247" t="s">
        <v>5119</v>
      </c>
      <c r="J87" s="120" t="s">
        <v>5126</v>
      </c>
      <c r="K87" s="119" t="s">
        <v>5127</v>
      </c>
      <c r="L87" s="79" t="s">
        <v>5128</v>
      </c>
      <c r="M87" s="247" t="s">
        <v>5119</v>
      </c>
      <c r="N87" s="120" t="s">
        <v>5129</v>
      </c>
      <c r="O87" s="119" t="s">
        <v>5130</v>
      </c>
      <c r="P87" s="79" t="s">
        <v>5131</v>
      </c>
      <c r="Q87" s="247" t="s">
        <v>5119</v>
      </c>
      <c r="R87" s="120" t="s">
        <v>5132</v>
      </c>
      <c r="S87" s="119" t="s">
        <v>5133</v>
      </c>
      <c r="T87" s="82" t="str">
        <f>IFERROR(__xludf.DUMMYFUNCTION("GOOGLETRANSLATE(D87,""zh-tw"",""es-MX"")"),"Consigue un ventilador eléctrico. Historia paralela sobre el calor.")</f>
        <v>Consigue un ventilador eléctrico. Historia paralela sobre el calor.</v>
      </c>
      <c r="U87" s="247" t="s">
        <v>5119</v>
      </c>
      <c r="V87" s="132" t="str">
        <f>IFERROR(__xludf.DUMMYFUNCTION("GOOGLETRANSLATE(B87,""zh-tw"",""KO"")"),"더운 날씨 3. 선풍기")</f>
        <v>더운 날씨 3. 선풍기</v>
      </c>
      <c r="W87" s="121" t="str">
        <f>IFERROR(__xludf.DUMMYFUNCTION("GOOGLETRANSLATE(C87,""zh-tw"",""KO"")"),"마찬가지로, ""전차"" 타로 카드가 소환하는 상점에서 선풍기를 구입할 수 있습니다.")</f>
        <v>마찬가지로, "전차" 타로 카드가 소환하는 상점에서 선풍기를 구입할 수 있습니다.</v>
      </c>
      <c r="X87" s="82" t="str">
        <f>IFERROR(__xludf.DUMMYFUNCTION("GOOGLETRANSLATE(D87,""zh-tw"",""KO"")"),"선풍기를 구하세요. 더운 날씨에 대한 여담입니다.")</f>
        <v>선풍기를 구하세요. 더운 날씨에 대한 여담입니다.</v>
      </c>
      <c r="Y87" s="247" t="s">
        <v>5119</v>
      </c>
      <c r="Z87" s="248" t="s">
        <v>5134</v>
      </c>
      <c r="AA87" s="249" t="s">
        <v>5135</v>
      </c>
      <c r="AB87" s="69" t="s">
        <v>5136</v>
      </c>
      <c r="AC87" s="247" t="s">
        <v>5119</v>
      </c>
      <c r="AD87" s="120" t="s">
        <v>5137</v>
      </c>
      <c r="AE87" s="250" t="s">
        <v>5138</v>
      </c>
      <c r="AF87" s="71" t="s">
        <v>5139</v>
      </c>
      <c r="AG87" s="247" t="s">
        <v>5119</v>
      </c>
      <c r="AH87" s="251" t="s">
        <v>5140</v>
      </c>
      <c r="AI87" s="145" t="s">
        <v>5141</v>
      </c>
      <c r="AJ87" s="148" t="s">
        <v>5142</v>
      </c>
      <c r="AK87" s="247" t="s">
        <v>5119</v>
      </c>
      <c r="AL87" s="132" t="s">
        <v>5143</v>
      </c>
      <c r="AM87" s="121" t="s">
        <v>5144</v>
      </c>
      <c r="AN87" s="82" t="s">
        <v>5145</v>
      </c>
      <c r="AO87" s="247" t="s">
        <v>5119</v>
      </c>
      <c r="AP87" s="116" t="s">
        <v>5146</v>
      </c>
      <c r="AQ87" s="121" t="s">
        <v>5147</v>
      </c>
      <c r="AR87" s="82" t="s">
        <v>5148</v>
      </c>
      <c r="AS87" s="247"/>
      <c r="AT87" s="116"/>
      <c r="AU87" s="121"/>
      <c r="AV87" s="82"/>
    </row>
    <row r="88">
      <c r="A88" s="247" t="s">
        <v>5149</v>
      </c>
      <c r="B88" s="120" t="s">
        <v>5150</v>
      </c>
      <c r="C88" s="119" t="s">
        <v>5151</v>
      </c>
      <c r="D88" s="79" t="s">
        <v>5152</v>
      </c>
      <c r="E88" s="247" t="s">
        <v>5149</v>
      </c>
      <c r="F88" s="120" t="s">
        <v>5153</v>
      </c>
      <c r="G88" s="119" t="s">
        <v>5154</v>
      </c>
      <c r="H88" s="79" t="s">
        <v>5155</v>
      </c>
      <c r="I88" s="247" t="s">
        <v>5149</v>
      </c>
      <c r="J88" s="120" t="s">
        <v>5156</v>
      </c>
      <c r="K88" s="119" t="s">
        <v>5157</v>
      </c>
      <c r="L88" s="79" t="s">
        <v>5158</v>
      </c>
      <c r="M88" s="247" t="s">
        <v>5149</v>
      </c>
      <c r="N88" s="120" t="s">
        <v>5150</v>
      </c>
      <c r="O88" s="119" t="s">
        <v>5159</v>
      </c>
      <c r="P88" s="79" t="s">
        <v>5160</v>
      </c>
      <c r="Q88" s="247" t="s">
        <v>5149</v>
      </c>
      <c r="R88" s="120" t="s">
        <v>5161</v>
      </c>
      <c r="S88" s="119" t="s">
        <v>5162</v>
      </c>
      <c r="T88" s="82" t="str">
        <f>IFERROR(__xludf.DUMMYFUNCTION("GOOGLETRANSLATE(D88,""zh-tw"",""es-MX"")"),"La primera vez que te encuentres con esto, tendrás dos opciones de diálogo; recuerda completarlas ambas.
De lo contrario, te perderás elementos posteriores.")</f>
        <v>La primera vez que te encuentres con esto, tendrás dos opciones de diálogo; recuerda completarlas ambas.
De lo contrario, te perderás elementos posteriores.</v>
      </c>
      <c r="U88" s="247" t="s">
        <v>5149</v>
      </c>
      <c r="V88" s="132" t="str">
        <f>IFERROR(__xludf.DUMMYFUNCTION("GOOGLETRANSLATE(B88,""zh-tw"",""KO"")"),"미스터리 쇼핑")</f>
        <v>미스터리 쇼핑</v>
      </c>
      <c r="W88" s="121" t="str">
        <f>IFERROR(__xludf.DUMMYFUNCTION("GOOGLETRANSLATE(C88,""zh-tw"",""KO"")"),"맑은 날에는 ""폐허의 숲"" 지역 내 무작위 위치에서 60% 확률로 나타납니다.
""폐허의 숲"" 지역은 지도에 표시되어 있으며, ""잃어버린 숲""과는 다릅니다.")</f>
        <v>맑은 날에는 "폐허의 숲" 지역 내 무작위 위치에서 60% 확률로 나타납니다.
"폐허의 숲" 지역은 지도에 표시되어 있으며, "잃어버린 숲"과는 다릅니다.</v>
      </c>
      <c r="X88" s="82" t="str">
        <f>IFERROR(__xludf.DUMMYFUNCTION("GOOGLETRANSLATE(D88,""zh-tw"",""KO"")"),"처음 이 상황을 접했을 때 두 가지 대화 선택지가 있습니다. 두 가지 대화 모두 완료해 주세요.
그렇지 않으면 앞으로 얻을 수 있는 아이템들을 놓치게 됩니다.")</f>
        <v>처음 이 상황을 접했을 때 두 가지 대화 선택지가 있습니다. 두 가지 대화 모두 완료해 주세요.
그렇지 않으면 앞으로 얻을 수 있는 아이템들을 놓치게 됩니다.</v>
      </c>
      <c r="Y88" s="247" t="s">
        <v>5149</v>
      </c>
      <c r="Z88" s="248" t="s">
        <v>5163</v>
      </c>
      <c r="AA88" s="249" t="s">
        <v>5164</v>
      </c>
      <c r="AB88" s="69" t="s">
        <v>5165</v>
      </c>
      <c r="AC88" s="247" t="s">
        <v>5149</v>
      </c>
      <c r="AD88" s="120" t="s">
        <v>5166</v>
      </c>
      <c r="AE88" s="250" t="s">
        <v>5167</v>
      </c>
      <c r="AF88" s="71" t="s">
        <v>5168</v>
      </c>
      <c r="AG88" s="247" t="s">
        <v>5149</v>
      </c>
      <c r="AH88" s="251" t="s">
        <v>5169</v>
      </c>
      <c r="AI88" s="145" t="s">
        <v>5170</v>
      </c>
      <c r="AJ88" s="146" t="s">
        <v>5171</v>
      </c>
      <c r="AK88" s="247" t="s">
        <v>5149</v>
      </c>
      <c r="AL88" s="132" t="s">
        <v>5172</v>
      </c>
      <c r="AM88" s="121" t="s">
        <v>5173</v>
      </c>
      <c r="AN88" s="79" t="s">
        <v>5174</v>
      </c>
      <c r="AO88" s="247" t="s">
        <v>5149</v>
      </c>
      <c r="AP88" s="116" t="s">
        <v>5175</v>
      </c>
      <c r="AQ88" s="121" t="s">
        <v>5176</v>
      </c>
      <c r="AR88" s="82" t="s">
        <v>5177</v>
      </c>
      <c r="AS88" s="247"/>
      <c r="AT88" s="116"/>
      <c r="AU88" s="121"/>
      <c r="AV88" s="82"/>
    </row>
    <row r="89">
      <c r="A89" s="247" t="s">
        <v>5178</v>
      </c>
      <c r="B89" s="120" t="s">
        <v>5179</v>
      </c>
      <c r="C89" s="119" t="s">
        <v>5180</v>
      </c>
      <c r="D89" s="79" t="s">
        <v>5181</v>
      </c>
      <c r="E89" s="247" t="s">
        <v>5178</v>
      </c>
      <c r="F89" s="120" t="s">
        <v>5182</v>
      </c>
      <c r="G89" s="119" t="s">
        <v>5183</v>
      </c>
      <c r="H89" s="79" t="s">
        <v>5184</v>
      </c>
      <c r="I89" s="247" t="s">
        <v>5178</v>
      </c>
      <c r="J89" s="120" t="s">
        <v>5185</v>
      </c>
      <c r="K89" s="119" t="s">
        <v>5186</v>
      </c>
      <c r="L89" s="79" t="s">
        <v>5187</v>
      </c>
      <c r="M89" s="247" t="s">
        <v>5178</v>
      </c>
      <c r="N89" s="120" t="s">
        <v>5188</v>
      </c>
      <c r="O89" s="119" t="s">
        <v>5189</v>
      </c>
      <c r="P89" s="79" t="s">
        <v>5190</v>
      </c>
      <c r="Q89" s="247" t="s">
        <v>5178</v>
      </c>
      <c r="R89" s="120" t="s">
        <v>5191</v>
      </c>
      <c r="S89" s="119" t="s">
        <v>5192</v>
      </c>
      <c r="T89" s="82" t="str">
        <f>IFERROR(__xludf.DUMMYFUNCTION("GOOGLETRANSLATE(D89,""zh-tw"",""es-MX"")"),"Obtén aleatoriamente konpeito (dulces japoneses) azules, verdes o rosas.
«Cuanto mejor sea tu relación con el tendero, menor será el precio».")</f>
        <v>Obtén aleatoriamente konpeito (dulces japoneses) azules, verdes o rosas.
«Cuanto mejor sea tu relación con el tendero, menor será el precio».</v>
      </c>
      <c r="U89" s="247" t="s">
        <v>5178</v>
      </c>
      <c r="V89" s="132" t="str">
        <f>IFERROR(__xludf.DUMMYFUNCTION("GOOGLETRANSLATE(B89,""zh-tw"",""KO"")"),"미스터리 쇼핑 - 1")</f>
        <v>미스터리 쇼핑 - 1</v>
      </c>
      <c r="W89" s="121" t="str">
        <f>IFERROR(__xludf.DUMMYFUNCTION("GOOGLETRANSLATE(C89,""zh-tw"",""KO"")"),"미스터리 샵의 가챠 시스템에서는 5,000엔을 사용하거나 특정 아이템을 사용할 수 있습니다.")</f>
        <v>미스터리 샵의 가챠 시스템에서는 5,000엔을 사용하거나 특정 아이템을 사용할 수 있습니다.</v>
      </c>
      <c r="X89" s="82" t="str">
        <f>IFERROR(__xludf.DUMMYFUNCTION("GOOGLETRANSLATE(D89,""zh-tw"",""KO"")"),"파란색, 초록색, 또는 분홍색 콘페이토(일본 사탕)를 무작위로 획득하세요.
""상인과의 친밀도가 높을수록 가격이 저렴해집니다.""")</f>
        <v>파란색, 초록색, 또는 분홍색 콘페이토(일본 사탕)를 무작위로 획득하세요.
"상인과의 친밀도가 높을수록 가격이 저렴해집니다."</v>
      </c>
      <c r="Y89" s="247" t="s">
        <v>5178</v>
      </c>
      <c r="Z89" s="291" t="s">
        <v>5193</v>
      </c>
      <c r="AA89" s="249" t="s">
        <v>5194</v>
      </c>
      <c r="AB89" s="69" t="s">
        <v>5195</v>
      </c>
      <c r="AC89" s="247" t="s">
        <v>5178</v>
      </c>
      <c r="AD89" s="120" t="s">
        <v>5196</v>
      </c>
      <c r="AE89" s="250" t="s">
        <v>5197</v>
      </c>
      <c r="AF89" s="71" t="s">
        <v>5198</v>
      </c>
      <c r="AG89" s="247" t="s">
        <v>5178</v>
      </c>
      <c r="AH89" s="251" t="s">
        <v>5199</v>
      </c>
      <c r="AI89" s="145" t="s">
        <v>5200</v>
      </c>
      <c r="AJ89" s="148" t="s">
        <v>5201</v>
      </c>
      <c r="AK89" s="247" t="s">
        <v>5178</v>
      </c>
      <c r="AL89" s="132" t="s">
        <v>5202</v>
      </c>
      <c r="AM89" s="121" t="s">
        <v>5203</v>
      </c>
      <c r="AN89" s="82" t="s">
        <v>5204</v>
      </c>
      <c r="AO89" s="247" t="s">
        <v>5178</v>
      </c>
      <c r="AP89" s="116" t="s">
        <v>5205</v>
      </c>
      <c r="AQ89" s="121" t="s">
        <v>5206</v>
      </c>
      <c r="AR89" s="82" t="s">
        <v>5207</v>
      </c>
      <c r="AS89" s="247"/>
      <c r="AT89" s="116"/>
      <c r="AU89" s="121"/>
      <c r="AV89" s="82"/>
    </row>
    <row r="90">
      <c r="A90" s="247" t="s">
        <v>5208</v>
      </c>
      <c r="B90" s="120" t="s">
        <v>5209</v>
      </c>
      <c r="C90" s="119" t="s">
        <v>5210</v>
      </c>
      <c r="D90" s="79" t="s">
        <v>5211</v>
      </c>
      <c r="E90" s="247" t="s">
        <v>5208</v>
      </c>
      <c r="F90" s="120" t="s">
        <v>5212</v>
      </c>
      <c r="G90" s="119" t="s">
        <v>5213</v>
      </c>
      <c r="H90" s="79" t="s">
        <v>5214</v>
      </c>
      <c r="I90" s="247" t="s">
        <v>5208</v>
      </c>
      <c r="J90" s="120" t="s">
        <v>5215</v>
      </c>
      <c r="K90" s="119" t="s">
        <v>5216</v>
      </c>
      <c r="L90" s="79" t="s">
        <v>5217</v>
      </c>
      <c r="M90" s="247" t="s">
        <v>5208</v>
      </c>
      <c r="N90" s="120" t="s">
        <v>5209</v>
      </c>
      <c r="O90" s="119" t="s">
        <v>5218</v>
      </c>
      <c r="P90" s="79" t="s">
        <v>5219</v>
      </c>
      <c r="Q90" s="247" t="s">
        <v>5208</v>
      </c>
      <c r="R90" s="120" t="s">
        <v>5220</v>
      </c>
      <c r="S90" s="121" t="str">
        <f>IFERROR(__xludf.DUMMYFUNCTION("GOOGLETRANSLATE(C90,""zh-tw"",""es-MX"")"),"Habla con el tendero de la Tienda Misteriosa y dale un ""Salmón"".")</f>
        <v>Habla con el tendero de la Tienda Misteriosa y dale un "Salmón".</v>
      </c>
      <c r="T90" s="82" t="str">
        <f>IFERROR(__xludf.DUMMYFUNCTION("GOOGLETRANSLATE(D90,""zh-tw"",""es-MX"")"),"Precio de la máquina expendedora de dulces rebajado en $50
*El precio mínimo de la máquina expendedora de dulces es de $500")</f>
        <v>Precio de la máquina expendedora de dulces rebajado en $50
*El precio mínimo de la máquina expendedora de dulces es de $500</v>
      </c>
      <c r="U90" s="247" t="s">
        <v>5208</v>
      </c>
      <c r="V90" s="132" t="str">
        <f>IFERROR(__xludf.DUMMYFUNCTION("GOOGLETRANSLATE(B90,""zh-tw"",""KO"")"),"미스터리 쇼핑 - 2")</f>
        <v>미스터리 쇼핑 - 2</v>
      </c>
      <c r="W90" s="121" t="str">
        <f>IFERROR(__xludf.DUMMYFUNCTION("GOOGLETRANSLATE(C90,""zh-tw"",""KO"")"),"수수께끼의 가게 주인에게 말을 걸고 ""연어""를 주세요.")</f>
        <v>수수께끼의 가게 주인에게 말을 걸고 "연어"를 주세요.</v>
      </c>
      <c r="X90" s="82" t="str">
        <f>IFERROR(__xludf.DUMMYFUNCTION("GOOGLETRANSLATE(D90,""zh-tw"",""KO"")"),"사탕 자판기 가격이 50달러 인하되었습니다.
*사탕 자판기 최저 가격은 500달러입니다.")</f>
        <v>사탕 자판기 가격이 50달러 인하되었습니다.
*사탕 자판기 최저 가격은 500달러입니다.</v>
      </c>
      <c r="Y90" s="247" t="s">
        <v>5208</v>
      </c>
      <c r="Z90" s="291" t="s">
        <v>5221</v>
      </c>
      <c r="AA90" s="249" t="s">
        <v>5222</v>
      </c>
      <c r="AB90" s="69" t="s">
        <v>5223</v>
      </c>
      <c r="AC90" s="247" t="s">
        <v>5208</v>
      </c>
      <c r="AD90" s="120" t="s">
        <v>5224</v>
      </c>
      <c r="AE90" s="250" t="s">
        <v>5225</v>
      </c>
      <c r="AF90" s="71" t="s">
        <v>5226</v>
      </c>
      <c r="AG90" s="247" t="s">
        <v>5208</v>
      </c>
      <c r="AH90" s="251" t="s">
        <v>5227</v>
      </c>
      <c r="AI90" s="145" t="s">
        <v>5228</v>
      </c>
      <c r="AJ90" s="146" t="s">
        <v>5229</v>
      </c>
      <c r="AK90" s="247" t="s">
        <v>5208</v>
      </c>
      <c r="AL90" s="132" t="s">
        <v>5230</v>
      </c>
      <c r="AM90" s="121" t="s">
        <v>5231</v>
      </c>
      <c r="AN90" s="82" t="s">
        <v>5232</v>
      </c>
      <c r="AO90" s="247" t="s">
        <v>5208</v>
      </c>
      <c r="AP90" s="116" t="s">
        <v>5233</v>
      </c>
      <c r="AQ90" s="121" t="s">
        <v>5234</v>
      </c>
      <c r="AR90" s="82" t="s">
        <v>5235</v>
      </c>
      <c r="AS90" s="247"/>
      <c r="AT90" s="116"/>
      <c r="AU90" s="121"/>
      <c r="AV90" s="82"/>
    </row>
    <row r="91">
      <c r="A91" s="247" t="s">
        <v>5236</v>
      </c>
      <c r="B91" s="120" t="s">
        <v>5237</v>
      </c>
      <c r="C91" s="119" t="s">
        <v>5238</v>
      </c>
      <c r="D91" s="79" t="s">
        <v>5239</v>
      </c>
      <c r="E91" s="247" t="s">
        <v>5236</v>
      </c>
      <c r="F91" s="120" t="s">
        <v>5240</v>
      </c>
      <c r="G91" s="119" t="s">
        <v>5241</v>
      </c>
      <c r="H91" s="79" t="s">
        <v>5242</v>
      </c>
      <c r="I91" s="247" t="s">
        <v>5236</v>
      </c>
      <c r="J91" s="120" t="s">
        <v>5243</v>
      </c>
      <c r="K91" s="119" t="s">
        <v>5244</v>
      </c>
      <c r="L91" s="79" t="s">
        <v>5245</v>
      </c>
      <c r="M91" s="247" t="s">
        <v>5236</v>
      </c>
      <c r="N91" s="120" t="s">
        <v>5237</v>
      </c>
      <c r="O91" s="119" t="s">
        <v>5246</v>
      </c>
      <c r="P91" s="79" t="s">
        <v>5247</v>
      </c>
      <c r="Q91" s="247" t="s">
        <v>5236</v>
      </c>
      <c r="R91" s="120" t="s">
        <v>5248</v>
      </c>
      <c r="S91" s="121" t="str">
        <f>IFERROR(__xludf.DUMMYFUNCTION("GOOGLETRANSLATE(C91,""zh-tw"",""es-MX"")"),"Habla con el tendero de la Tienda Misteriosa y dale ""Salmón Rey"".")</f>
        <v>Habla con el tendero de la Tienda Misteriosa y dale "Salmón Rey".</v>
      </c>
      <c r="T91" s="82" t="str">
        <f>IFERROR(__xludf.DUMMYFUNCTION("GOOGLETRANSLATE(D91,""zh-tw"",""es-MX"")"),"Precio de la máquina expendedora de dulces rebajado en $500
Recibe: Pudín de sushi
*El precio mínimo de la máquina expendedora de dulces es de $500")</f>
        <v>Precio de la máquina expendedora de dulces rebajado en $500
Recibe: Pudín de sushi
*El precio mínimo de la máquina expendedora de dulces es de $500</v>
      </c>
      <c r="U91" s="247" t="s">
        <v>5236</v>
      </c>
      <c r="V91" s="132" t="str">
        <f>IFERROR(__xludf.DUMMYFUNCTION("GOOGLETRANSLATE(B91,""zh-tw"",""KO"")"),"미스터리 쇼핑 - 3")</f>
        <v>미스터리 쇼핑 - 3</v>
      </c>
      <c r="W91" s="121" t="str">
        <f>IFERROR(__xludf.DUMMYFUNCTION("GOOGLETRANSLATE(C91,""zh-tw"",""KO"")"),"신비의 상점 주인에게 말을 걸고 ""킹 연어""를 주세요.")</f>
        <v>신비의 상점 주인에게 말을 걸고 "킹 연어"를 주세요.</v>
      </c>
      <c r="X91" s="82" t="str">
        <f>IFERROR(__xludf.DUMMYFUNCTION("GOOGLETRANSLATE(D91,""zh-tw"",""KO"")"),"자판기 상품 최저가 500달러 인하
상품: 스시 푸딩
*자판기 상품 최저가는 500달러입니다")</f>
        <v>자판기 상품 최저가 500달러 인하
상품: 스시 푸딩
*자판기 상품 최저가는 500달러입니다</v>
      </c>
      <c r="Y91" s="247" t="s">
        <v>5236</v>
      </c>
      <c r="Z91" s="291" t="s">
        <v>5249</v>
      </c>
      <c r="AA91" s="249" t="s">
        <v>5250</v>
      </c>
      <c r="AB91" s="69" t="s">
        <v>5251</v>
      </c>
      <c r="AC91" s="247" t="s">
        <v>5236</v>
      </c>
      <c r="AD91" s="120" t="s">
        <v>5252</v>
      </c>
      <c r="AE91" s="250" t="s">
        <v>5253</v>
      </c>
      <c r="AF91" s="71" t="s">
        <v>5254</v>
      </c>
      <c r="AG91" s="247" t="s">
        <v>5236</v>
      </c>
      <c r="AH91" s="251" t="s">
        <v>5255</v>
      </c>
      <c r="AI91" s="145" t="s">
        <v>5256</v>
      </c>
      <c r="AJ91" s="148" t="s">
        <v>5257</v>
      </c>
      <c r="AK91" s="247" t="s">
        <v>5236</v>
      </c>
      <c r="AL91" s="132" t="s">
        <v>5258</v>
      </c>
      <c r="AM91" s="121" t="s">
        <v>5259</v>
      </c>
      <c r="AN91" s="82" t="s">
        <v>5260</v>
      </c>
      <c r="AO91" s="247" t="s">
        <v>5236</v>
      </c>
      <c r="AP91" s="116" t="s">
        <v>5261</v>
      </c>
      <c r="AQ91" s="121" t="s">
        <v>5262</v>
      </c>
      <c r="AR91" s="82" t="s">
        <v>5263</v>
      </c>
      <c r="AS91" s="247"/>
      <c r="AT91" s="116"/>
      <c r="AU91" s="121"/>
      <c r="AV91" s="82"/>
    </row>
    <row r="92">
      <c r="A92" s="247" t="s">
        <v>5264</v>
      </c>
      <c r="B92" s="120" t="s">
        <v>5265</v>
      </c>
      <c r="C92" s="119" t="s">
        <v>5266</v>
      </c>
      <c r="D92" s="79" t="s">
        <v>5267</v>
      </c>
      <c r="E92" s="247" t="s">
        <v>5264</v>
      </c>
      <c r="F92" s="120" t="s">
        <v>5268</v>
      </c>
      <c r="G92" s="119" t="s">
        <v>5269</v>
      </c>
      <c r="H92" s="79" t="s">
        <v>5270</v>
      </c>
      <c r="I92" s="247" t="s">
        <v>5264</v>
      </c>
      <c r="J92" s="120" t="s">
        <v>5271</v>
      </c>
      <c r="K92" s="119" t="s">
        <v>5272</v>
      </c>
      <c r="L92" s="79" t="s">
        <v>5273</v>
      </c>
      <c r="M92" s="247" t="s">
        <v>5264</v>
      </c>
      <c r="N92" s="120" t="s">
        <v>5265</v>
      </c>
      <c r="O92" s="119" t="s">
        <v>5274</v>
      </c>
      <c r="P92" s="79" t="s">
        <v>5275</v>
      </c>
      <c r="Q92" s="247" t="s">
        <v>5264</v>
      </c>
      <c r="R92" s="120" t="s">
        <v>5276</v>
      </c>
      <c r="S92" s="121" t="str">
        <f>IFERROR(__xludf.DUMMYFUNCTION("GOOGLETRANSLATE(C92,""zh-tw"",""es-MX"")"),"Habla con el tendero de la Tienda Misteriosa y ""no le des"" el salmón.")</f>
        <v>Habla con el tendero de la Tienda Misteriosa y "no le des" el salmón.</v>
      </c>
      <c r="T92" s="82" t="str">
        <f>IFERROR(__xludf.DUMMYFUNCTION("GOOGLETRANSLATE(D92,""zh-tw"",""es-MX"")"),"Estado: Maldito
Los genitales del hermano brillan.
Actualmente, un evento especial solo ocurre cuando él y su hermana se bañan juntos y están sentados uno al lado del otro.")</f>
        <v>Estado: Maldito
Los genitales del hermano brillan.
Actualmente, un evento especial solo ocurre cuando él y su hermana se bañan juntos y están sentados uno al lado del otro.</v>
      </c>
      <c r="U92" s="247" t="s">
        <v>5264</v>
      </c>
      <c r="V92" s="132" t="str">
        <f>IFERROR(__xludf.DUMMYFUNCTION("GOOGLETRANSLATE(B92,""zh-tw"",""KO"")"),"미스터리 쇼핑 - 4")</f>
        <v>미스터리 쇼핑 - 4</v>
      </c>
      <c r="W92" s="121" t="str">
        <f>IFERROR(__xludf.DUMMYFUNCTION("GOOGLETRANSLATE(C92,""zh-tw"",""KO"")"),"수수께끼 상점의 점원에게 말을 걸고 연어를 ""주지 마세요"".")</f>
        <v>수수께끼 상점의 점원에게 말을 걸고 연어를 "주지 마세요".</v>
      </c>
      <c r="X92" s="82" t="str">
        <f>IFERROR(__xludf.DUMMYFUNCTION("GOOGLETRANSLATE(D92,""zh-tw"",""KO"")"),"상태: 저주받음
오빠의 성기가 빛나고 있다.
현재, 그와 여동생이 나란히 앉아 함께 목욕할 때만 특별한 현상이 발생한다.")</f>
        <v>상태: 저주받음
오빠의 성기가 빛나고 있다.
현재, 그와 여동생이 나란히 앉아 함께 목욕할 때만 특별한 현상이 발생한다.</v>
      </c>
      <c r="Y92" s="247" t="s">
        <v>5264</v>
      </c>
      <c r="Z92" s="291" t="s">
        <v>5277</v>
      </c>
      <c r="AA92" s="249" t="s">
        <v>5278</v>
      </c>
      <c r="AB92" s="69" t="s">
        <v>5279</v>
      </c>
      <c r="AC92" s="247" t="s">
        <v>5264</v>
      </c>
      <c r="AD92" s="120" t="s">
        <v>5280</v>
      </c>
      <c r="AE92" s="250" t="s">
        <v>5281</v>
      </c>
      <c r="AF92" s="71" t="s">
        <v>5282</v>
      </c>
      <c r="AG92" s="247" t="s">
        <v>5264</v>
      </c>
      <c r="AH92" s="251" t="s">
        <v>5283</v>
      </c>
      <c r="AI92" s="145" t="s">
        <v>5284</v>
      </c>
      <c r="AJ92" s="148" t="s">
        <v>5285</v>
      </c>
      <c r="AK92" s="247" t="s">
        <v>5264</v>
      </c>
      <c r="AL92" s="132" t="s">
        <v>5286</v>
      </c>
      <c r="AM92" s="121" t="s">
        <v>5272</v>
      </c>
      <c r="AN92" s="82" t="s">
        <v>5273</v>
      </c>
      <c r="AO92" s="247" t="s">
        <v>5264</v>
      </c>
      <c r="AP92" s="116" t="s">
        <v>5287</v>
      </c>
      <c r="AQ92" s="121" t="s">
        <v>5288</v>
      </c>
      <c r="AR92" s="82" t="s">
        <v>5289</v>
      </c>
      <c r="AS92" s="247"/>
      <c r="AT92" s="116"/>
      <c r="AU92" s="121"/>
      <c r="AV92" s="82"/>
    </row>
    <row r="93">
      <c r="A93" s="247" t="s">
        <v>5290</v>
      </c>
      <c r="B93" s="120" t="s">
        <v>5291</v>
      </c>
      <c r="C93" s="119" t="s">
        <v>5292</v>
      </c>
      <c r="D93" s="79" t="s">
        <v>5293</v>
      </c>
      <c r="E93" s="247" t="s">
        <v>5290</v>
      </c>
      <c r="F93" s="120" t="s">
        <v>5294</v>
      </c>
      <c r="G93" s="119" t="s">
        <v>5295</v>
      </c>
      <c r="H93" s="79" t="s">
        <v>5296</v>
      </c>
      <c r="I93" s="247" t="s">
        <v>5290</v>
      </c>
      <c r="J93" s="120" t="s">
        <v>5297</v>
      </c>
      <c r="K93" s="119" t="s">
        <v>5298</v>
      </c>
      <c r="L93" s="79" t="s">
        <v>5299</v>
      </c>
      <c r="M93" s="247" t="s">
        <v>5290</v>
      </c>
      <c r="N93" s="120" t="s">
        <v>5291</v>
      </c>
      <c r="O93" s="119" t="s">
        <v>5300</v>
      </c>
      <c r="P93" s="79" t="s">
        <v>5301</v>
      </c>
      <c r="Q93" s="247" t="s">
        <v>5290</v>
      </c>
      <c r="R93" s="120" t="s">
        <v>5302</v>
      </c>
      <c r="S93" s="121" t="str">
        <f>IFERROR(__xludf.DUMMYFUNCTION("GOOGLETRANSLATE(C93,""zh-tw"",""es-MX"")"),"Como continuación del punto anterior, dárselo a un salmón rey puede eliminar la maldición.")</f>
        <v>Como continuación del punto anterior, dárselo a un salmón rey puede eliminar la maldición.</v>
      </c>
      <c r="T93" s="82" t="str">
        <f>IFERROR(__xludf.DUMMYFUNCTION("GOOGLETRANSLATE(D93,""zh-tw"",""es-MX"")"),"Eliminar la maldición")</f>
        <v>Eliminar la maldición</v>
      </c>
      <c r="U93" s="247" t="s">
        <v>5290</v>
      </c>
      <c r="V93" s="132" t="str">
        <f>IFERROR(__xludf.DUMMYFUNCTION("GOOGLETRANSLATE(B93,""zh-tw"",""KO"")"),"미스터리 쇼핑 - 5")</f>
        <v>미스터리 쇼핑 - 5</v>
      </c>
      <c r="W93" s="121" t="str">
        <f>IFERROR(__xludf.DUMMYFUNCTION("GOOGLETRANSLATE(C93,""zh-tw"",""KO"")"),"앞서 언급한 내용에 이어서, 왕연어에게 주면 저주가 풀립니다.")</f>
        <v>앞서 언급한 내용에 이어서, 왕연어에게 주면 저주가 풀립니다.</v>
      </c>
      <c r="X93" s="82" t="str">
        <f>IFERROR(__xludf.DUMMYFUNCTION("GOOGLETRANSLATE(D93,""zh-tw"",""KO"")"),"저주를 풀어주세요")</f>
        <v>저주를 풀어주세요</v>
      </c>
      <c r="Y93" s="247" t="s">
        <v>5290</v>
      </c>
      <c r="Z93" s="291" t="s">
        <v>5303</v>
      </c>
      <c r="AA93" s="249" t="s">
        <v>5304</v>
      </c>
      <c r="AB93" s="69" t="s">
        <v>5305</v>
      </c>
      <c r="AC93" s="247" t="s">
        <v>5290</v>
      </c>
      <c r="AD93" s="120" t="s">
        <v>5306</v>
      </c>
      <c r="AE93" s="250" t="s">
        <v>5307</v>
      </c>
      <c r="AF93" s="71" t="s">
        <v>5308</v>
      </c>
      <c r="AG93" s="247" t="s">
        <v>5290</v>
      </c>
      <c r="AH93" s="251" t="s">
        <v>5309</v>
      </c>
      <c r="AI93" s="145" t="s">
        <v>5310</v>
      </c>
      <c r="AJ93" s="148" t="s">
        <v>5311</v>
      </c>
      <c r="AK93" s="247" t="s">
        <v>5290</v>
      </c>
      <c r="AL93" s="132" t="s">
        <v>5312</v>
      </c>
      <c r="AM93" s="121" t="s">
        <v>5313</v>
      </c>
      <c r="AN93" s="82" t="s">
        <v>5314</v>
      </c>
      <c r="AO93" s="247" t="s">
        <v>5290</v>
      </c>
      <c r="AP93" s="116" t="s">
        <v>5315</v>
      </c>
      <c r="AQ93" s="121" t="s">
        <v>5316</v>
      </c>
      <c r="AR93" s="82" t="s">
        <v>5317</v>
      </c>
      <c r="AS93" s="247"/>
      <c r="AT93" s="116"/>
      <c r="AU93" s="121"/>
      <c r="AV93" s="82"/>
    </row>
    <row r="94">
      <c r="A94" s="247" t="s">
        <v>5318</v>
      </c>
      <c r="B94" s="120" t="s">
        <v>5319</v>
      </c>
      <c r="C94" s="119" t="s">
        <v>5320</v>
      </c>
      <c r="D94" s="79" t="s">
        <v>5321</v>
      </c>
      <c r="E94" s="247" t="s">
        <v>5318</v>
      </c>
      <c r="F94" s="120" t="s">
        <v>5322</v>
      </c>
      <c r="G94" s="119" t="s">
        <v>5323</v>
      </c>
      <c r="H94" s="79" t="s">
        <v>5324</v>
      </c>
      <c r="I94" s="247" t="s">
        <v>5318</v>
      </c>
      <c r="J94" s="120" t="s">
        <v>5325</v>
      </c>
      <c r="K94" s="119" t="s">
        <v>5326</v>
      </c>
      <c r="L94" s="79" t="s">
        <v>5327</v>
      </c>
      <c r="M94" s="247" t="s">
        <v>5318</v>
      </c>
      <c r="N94" s="120" t="s">
        <v>5328</v>
      </c>
      <c r="O94" s="119" t="s">
        <v>5329</v>
      </c>
      <c r="P94" s="79" t="s">
        <v>5330</v>
      </c>
      <c r="Q94" s="247" t="s">
        <v>5318</v>
      </c>
      <c r="R94" s="132" t="s">
        <v>5331</v>
      </c>
      <c r="S94" s="121" t="str">
        <f>IFERROR(__xludf.DUMMYFUNCTION("GOOGLETRANSLATE(C94,""zh-tw"",""es-MX"")"),"Tras completar el diálogo y al volver a encontrarte con la tienda, es posible que encuentres bollos de agua entre los artículos.")</f>
        <v>Tras completar el diálogo y al volver a encontrarte con la tienda, es posible que encuentres bollos de agua entre los artículos.</v>
      </c>
      <c r="T94" s="82" t="str">
        <f>IFERROR(__xludf.DUMMYFUNCTION("GOOGLETRANSLATE(D94,""zh-tw"",""es-MX"")"),"Compra el artículo ""Súper Sensitive Soft and Chewy Water Bun"".")</f>
        <v>Compra el artículo "Súper Sensitive Soft and Chewy Water Bun".</v>
      </c>
      <c r="U94" s="247" t="s">
        <v>5318</v>
      </c>
      <c r="V94" s="132" t="str">
        <f>IFERROR(__xludf.DUMMYFUNCTION("GOOGLETRANSLATE(B94,""zh-tw"",""KO"")"),"미스터리 쇼핑 - 6")</f>
        <v>미스터리 쇼핑 - 6</v>
      </c>
      <c r="W94" s="121" t="str">
        <f>IFERROR(__xludf.DUMMYFUNCTION("GOOGLETRANSLATE(C94,""zh-tw"",""KO"")"),"대화를 마친 후, 상점을 두 번째로 마주쳤을 때 물빵을 아이템으로 발견할 수 있습니다.")</f>
        <v>대화를 마친 후, 상점을 두 번째로 마주쳤을 때 물빵을 아이템으로 발견할 수 있습니다.</v>
      </c>
      <c r="X94" s="82" t="str">
        <f>IFERROR(__xludf.DUMMYFUNCTION("GOOGLETRANSLATE(D94,""zh-tw"",""KO"")"),"구매하시면 ""매우 부드럽고 쫄깃한 워터 번""을 드립니다.")</f>
        <v>구매하시면 "매우 부드럽고 쫄깃한 워터 번"을 드립니다.</v>
      </c>
      <c r="Y94" s="247" t="s">
        <v>5318</v>
      </c>
      <c r="Z94" s="291" t="s">
        <v>5332</v>
      </c>
      <c r="AA94" s="249" t="s">
        <v>5333</v>
      </c>
      <c r="AB94" s="69" t="s">
        <v>5334</v>
      </c>
      <c r="AC94" s="247" t="s">
        <v>5318</v>
      </c>
      <c r="AD94" s="120" t="s">
        <v>5335</v>
      </c>
      <c r="AE94" s="250" t="s">
        <v>5336</v>
      </c>
      <c r="AF94" s="71" t="s">
        <v>5337</v>
      </c>
      <c r="AG94" s="247" t="s">
        <v>5318</v>
      </c>
      <c r="AH94" s="251" t="s">
        <v>5338</v>
      </c>
      <c r="AI94" s="145" t="s">
        <v>5339</v>
      </c>
      <c r="AJ94" s="148" t="s">
        <v>5340</v>
      </c>
      <c r="AK94" s="247" t="s">
        <v>5318</v>
      </c>
      <c r="AL94" s="132" t="s">
        <v>5341</v>
      </c>
      <c r="AM94" s="121" t="s">
        <v>5342</v>
      </c>
      <c r="AN94" s="82" t="s">
        <v>5343</v>
      </c>
      <c r="AO94" s="247" t="s">
        <v>5318</v>
      </c>
      <c r="AP94" s="116" t="s">
        <v>5344</v>
      </c>
      <c r="AQ94" s="121" t="s">
        <v>5345</v>
      </c>
      <c r="AR94" s="82" t="s">
        <v>5346</v>
      </c>
      <c r="AS94" s="247"/>
      <c r="AT94" s="116"/>
      <c r="AU94" s="121"/>
      <c r="AV94" s="82"/>
    </row>
    <row r="95">
      <c r="A95" s="247" t="s">
        <v>5347</v>
      </c>
      <c r="B95" s="120" t="s">
        <v>5348</v>
      </c>
      <c r="C95" s="119" t="s">
        <v>5349</v>
      </c>
      <c r="D95" s="79" t="s">
        <v>5350</v>
      </c>
      <c r="E95" s="247" t="s">
        <v>5347</v>
      </c>
      <c r="F95" s="120" t="s">
        <v>5351</v>
      </c>
      <c r="G95" s="119" t="s">
        <v>5352</v>
      </c>
      <c r="H95" s="79" t="s">
        <v>5353</v>
      </c>
      <c r="I95" s="247" t="s">
        <v>5347</v>
      </c>
      <c r="J95" s="120" t="s">
        <v>5354</v>
      </c>
      <c r="K95" s="119" t="s">
        <v>5355</v>
      </c>
      <c r="L95" s="79" t="s">
        <v>5356</v>
      </c>
      <c r="M95" s="247" t="s">
        <v>5347</v>
      </c>
      <c r="N95" s="120" t="s">
        <v>5348</v>
      </c>
      <c r="O95" s="119" t="s">
        <v>5357</v>
      </c>
      <c r="P95" s="79" t="s">
        <v>5358</v>
      </c>
      <c r="Q95" s="247" t="s">
        <v>5347</v>
      </c>
      <c r="R95" s="132" t="s">
        <v>5359</v>
      </c>
      <c r="S95" s="121" t="str">
        <f>IFERROR(__xludf.DUMMYFUNCTION("GOOGLETRANSLATE(C95,""zh-tw"",""es-MX"")"),"Tras derrotar al jefe en el tercer piso de las ruinas y obtener el objeto, usa la ""Puerta Estelar"" para regresar a casa y activar el evento.")</f>
        <v>Tras derrotar al jefe en el tercer piso de las ruinas y obtener el objeto, usa la "Puerta Estelar" para regresar a casa y activar el evento.</v>
      </c>
      <c r="T95" s="82" t="str">
        <f>IFERROR(__xludf.DUMMYFUNCTION("GOOGLETRANSLATE(D95,""zh-tw"",""es-MX"")"),"Obtén el artículo ""Líquido de médula roja""")</f>
        <v>Obtén el artículo "Líquido de médula roja"</v>
      </c>
      <c r="U95" s="247" t="s">
        <v>5347</v>
      </c>
      <c r="V95" s="132" t="str">
        <f>IFERROR(__xludf.DUMMYFUNCTION("GOOGLETRANSLATE(B95,""zh-tw"",""KO"")"),"천상의 돌 조각 1")</f>
        <v>천상의 돌 조각 1</v>
      </c>
      <c r="W95" s="121" t="str">
        <f>IFERROR(__xludf.DUMMYFUNCTION("GOOGLETRANSLATE(C95,""zh-tw"",""KO"")"),"유적 3층의 보스를 물리치고 아이템을 획득한 후, ""스타 게이트""를 사용하여 집으로 돌아가면 이벤트가 발생합니다.")</f>
        <v>유적 3층의 보스를 물리치고 아이템을 획득한 후, "스타 게이트"를 사용하여 집으로 돌아가면 이벤트가 발생합니다.</v>
      </c>
      <c r="X95" s="82" t="str">
        <f>IFERROR(__xludf.DUMMYFUNCTION("GOOGLETRANSLATE(D95,""zh-tw"",""KO"")"),"""적골수액"" 아이템을 획득하세요.")</f>
        <v>"적골수액" 아이템을 획득하세요.</v>
      </c>
      <c r="Y95" s="247" t="s">
        <v>5347</v>
      </c>
      <c r="Z95" s="150" t="s">
        <v>5360</v>
      </c>
      <c r="AA95" s="249" t="s">
        <v>5361</v>
      </c>
      <c r="AB95" s="69" t="s">
        <v>5362</v>
      </c>
      <c r="AC95" s="247" t="s">
        <v>5347</v>
      </c>
      <c r="AD95" s="120" t="s">
        <v>5363</v>
      </c>
      <c r="AE95" s="250" t="s">
        <v>5364</v>
      </c>
      <c r="AF95" s="71" t="s">
        <v>5365</v>
      </c>
      <c r="AG95" s="247" t="s">
        <v>5347</v>
      </c>
      <c r="AH95" s="251" t="s">
        <v>5366</v>
      </c>
      <c r="AI95" s="145" t="s">
        <v>5367</v>
      </c>
      <c r="AJ95" s="148" t="s">
        <v>5368</v>
      </c>
      <c r="AK95" s="247" t="s">
        <v>5347</v>
      </c>
      <c r="AL95" s="132" t="s">
        <v>5369</v>
      </c>
      <c r="AM95" s="121" t="s">
        <v>5370</v>
      </c>
      <c r="AN95" s="82" t="s">
        <v>5371</v>
      </c>
      <c r="AO95" s="247" t="s">
        <v>5347</v>
      </c>
      <c r="AP95" s="116" t="s">
        <v>5372</v>
      </c>
      <c r="AQ95" s="121" t="s">
        <v>5373</v>
      </c>
      <c r="AR95" s="82" t="s">
        <v>5374</v>
      </c>
      <c r="AS95" s="247"/>
      <c r="AT95" s="116"/>
      <c r="AU95" s="121"/>
      <c r="AV95" s="82"/>
    </row>
    <row r="96">
      <c r="A96" s="247" t="s">
        <v>5375</v>
      </c>
      <c r="B96" s="120" t="s">
        <v>5376</v>
      </c>
      <c r="C96" s="119" t="s">
        <v>5377</v>
      </c>
      <c r="D96" s="79" t="s">
        <v>5378</v>
      </c>
      <c r="E96" s="247" t="s">
        <v>5375</v>
      </c>
      <c r="F96" s="120" t="s">
        <v>5379</v>
      </c>
      <c r="G96" s="119" t="s">
        <v>5380</v>
      </c>
      <c r="H96" s="79" t="s">
        <v>5381</v>
      </c>
      <c r="I96" s="247" t="s">
        <v>5375</v>
      </c>
      <c r="J96" s="120" t="s">
        <v>5382</v>
      </c>
      <c r="K96" s="119" t="s">
        <v>5383</v>
      </c>
      <c r="L96" s="79" t="s">
        <v>5384</v>
      </c>
      <c r="M96" s="247" t="s">
        <v>5375</v>
      </c>
      <c r="N96" s="120" t="s">
        <v>5376</v>
      </c>
      <c r="O96" s="119" t="s">
        <v>5385</v>
      </c>
      <c r="P96" s="79" t="s">
        <v>5386</v>
      </c>
      <c r="Q96" s="247" t="s">
        <v>5375</v>
      </c>
      <c r="R96" s="132" t="s">
        <v>5387</v>
      </c>
      <c r="S96" s="121" t="str">
        <f>IFERROR(__xludf.DUMMYFUNCTION("GOOGLETRANSLATE(C96,""zh-tw"",""es-MX"")"),"El hermano mayor puede beber el objeto y obtener el efecto de estado.")</f>
        <v>El hermano mayor puede beber el objeto y obtener el efecto de estado.</v>
      </c>
      <c r="T96" s="82" t="str">
        <f>IFERROR(__xludf.DUMMYFUNCTION("GOOGLETRANSLATE(D96,""zh-tw"",""es-MX"")"),"Ganando estatus
*Se desarrollan diferentes tramas dependiendo de si la bebida se consume antes o después de curar a la hermana.")</f>
        <v>Ganando estatus
*Se desarrollan diferentes tramas dependiendo de si la bebida se consume antes o después de curar a la hermana.</v>
      </c>
      <c r="U96" s="247" t="s">
        <v>5375</v>
      </c>
      <c r="V96" s="132" t="str">
        <f>IFERROR(__xludf.DUMMYFUNCTION("GOOGLETRANSLATE(B96,""zh-tw"",""KO"")"),"천상의 돌 조각 2")</f>
        <v>천상의 돌 조각 2</v>
      </c>
      <c r="W96" s="121" t="str">
        <f>IFERROR(__xludf.DUMMYFUNCTION("GOOGLETRANSLATE(C96,""zh-tw"",""KO"")"),"형은 해당 아이템을 마셔서 상태 효과를 얻을 수 있습니다.")</f>
        <v>형은 해당 아이템을 마셔서 상태 효과를 얻을 수 있습니다.</v>
      </c>
      <c r="X96" s="82" t="str">
        <f>IFERROR(__xludf.DUMMYFUNCTION("GOOGLETRANSLATE(D96,""zh-tw"",""KO"")"),"지위 상승
*여동생을 치료하기 전 또는 후에 음료를 마시는지에 따라 스토리가 달라집니다.")</f>
        <v>지위 상승
*여동생을 치료하기 전 또는 후에 음료를 마시는지에 따라 스토리가 달라집니다.</v>
      </c>
      <c r="Y96" s="247" t="s">
        <v>5375</v>
      </c>
      <c r="Z96" s="150" t="s">
        <v>5388</v>
      </c>
      <c r="AA96" s="249" t="s">
        <v>5389</v>
      </c>
      <c r="AB96" s="69" t="s">
        <v>5390</v>
      </c>
      <c r="AC96" s="247" t="s">
        <v>5375</v>
      </c>
      <c r="AD96" s="120" t="s">
        <v>5391</v>
      </c>
      <c r="AE96" s="250" t="s">
        <v>5392</v>
      </c>
      <c r="AF96" s="71" t="s">
        <v>5393</v>
      </c>
      <c r="AG96" s="247" t="s">
        <v>5375</v>
      </c>
      <c r="AH96" s="251" t="s">
        <v>5394</v>
      </c>
      <c r="AI96" s="145" t="s">
        <v>5395</v>
      </c>
      <c r="AJ96" s="148" t="s">
        <v>5396</v>
      </c>
      <c r="AK96" s="247" t="s">
        <v>5375</v>
      </c>
      <c r="AL96" s="132" t="s">
        <v>5397</v>
      </c>
      <c r="AM96" s="121" t="s">
        <v>5398</v>
      </c>
      <c r="AN96" s="82" t="s">
        <v>5399</v>
      </c>
      <c r="AO96" s="247" t="s">
        <v>5375</v>
      </c>
      <c r="AP96" s="116" t="s">
        <v>5400</v>
      </c>
      <c r="AQ96" s="121" t="s">
        <v>5401</v>
      </c>
      <c r="AR96" s="82" t="s">
        <v>5402</v>
      </c>
      <c r="AS96" s="247"/>
      <c r="AT96" s="116"/>
      <c r="AU96" s="121"/>
      <c r="AV96" s="82"/>
    </row>
    <row r="97">
      <c r="A97" s="247" t="s">
        <v>5403</v>
      </c>
      <c r="B97" s="116" t="s">
        <v>5404</v>
      </c>
      <c r="C97" s="117" t="s">
        <v>5405</v>
      </c>
      <c r="D97" s="118" t="s">
        <v>5406</v>
      </c>
      <c r="E97" s="247" t="s">
        <v>5403</v>
      </c>
      <c r="F97" s="116" t="s">
        <v>5407</v>
      </c>
      <c r="G97" s="117" t="s">
        <v>5408</v>
      </c>
      <c r="H97" s="118" t="s">
        <v>5409</v>
      </c>
      <c r="I97" s="247" t="s">
        <v>5403</v>
      </c>
      <c r="J97" s="116" t="s">
        <v>5410</v>
      </c>
      <c r="K97" s="117" t="s">
        <v>5411</v>
      </c>
      <c r="L97" s="118" t="s">
        <v>5412</v>
      </c>
      <c r="M97" s="247" t="s">
        <v>5403</v>
      </c>
      <c r="N97" s="116" t="s">
        <v>5413</v>
      </c>
      <c r="O97" s="119" t="s">
        <v>5414</v>
      </c>
      <c r="P97" s="82" t="s">
        <v>5415</v>
      </c>
      <c r="Q97" s="247" t="s">
        <v>5403</v>
      </c>
      <c r="R97" s="132" t="s">
        <v>5416</v>
      </c>
      <c r="S97" s="119" t="s">
        <v>4935</v>
      </c>
      <c r="T97" s="82" t="str">
        <f>IFERROR(__xludf.DUMMYFUNCTION("GOOGLETRANSLATE(D97,""zh-tw"",""es-MX"")"),"Interactúa con el carrito de la chica gato.
¡No tomes los artículos inmediatamente! ¡Hacerlo se considerará robo!")</f>
        <v>Interactúa con el carrito de la chica gato.
¡No tomes los artículos inmediatamente! ¡Hacerlo se considerará robo!</v>
      </c>
      <c r="U97" s="247" t="s">
        <v>5403</v>
      </c>
      <c r="V97" s="132" t="str">
        <f>IFERROR(__xludf.DUMMYFUNCTION("GOOGLETRANSLATE(B97,""zh-tw"",""KO"")"),"샵 트럭-1")</f>
        <v>샵 트럭-1</v>
      </c>
      <c r="W97" s="121" t="str">
        <f>IFERROR(__xludf.DUMMYFUNCTION("GOOGLETRANSLATE(C97,""zh-tw"",""KO"")"),"지도상에서 무작위로 나타날 수 있습니다.
""전차"" 타로 카드를 사용하여 소환할 수도 있습니다.
*하루에 한 번만 소환할 수 있습니다.")</f>
        <v>지도상에서 무작위로 나타날 수 있습니다.
"전차" 타로 카드를 사용하여 소환할 수도 있습니다.
*하루에 한 번만 소환할 수 있습니다.</v>
      </c>
      <c r="X97" s="82" t="str">
        <f>IFERROR(__xludf.DUMMYFUNCTION("GOOGLETRANSLATE(D97,""zh-tw"",""KO"")"),"고양이 소녀가 있는 상점 카트와 상호작용하세요.
물건을 바로 집어 들지 마세요! 그렇게 하면 절도로 간주됩니다!")</f>
        <v>고양이 소녀가 있는 상점 카트와 상호작용하세요.
물건을 바로 집어 들지 마세요! 그렇게 하면 절도로 간주됩니다!</v>
      </c>
      <c r="Y97" s="247" t="s">
        <v>5403</v>
      </c>
      <c r="Z97" s="248" t="s">
        <v>5417</v>
      </c>
      <c r="AA97" s="249" t="s">
        <v>5418</v>
      </c>
      <c r="AB97" s="69" t="s">
        <v>5419</v>
      </c>
      <c r="AC97" s="247" t="s">
        <v>5403</v>
      </c>
      <c r="AD97" s="116" t="s">
        <v>5420</v>
      </c>
      <c r="AE97" s="117" t="s">
        <v>5421</v>
      </c>
      <c r="AF97" s="118" t="s">
        <v>5422</v>
      </c>
      <c r="AG97" s="247" t="s">
        <v>5403</v>
      </c>
      <c r="AH97" s="143" t="s">
        <v>5423</v>
      </c>
      <c r="AI97" s="127" t="s">
        <v>5424</v>
      </c>
      <c r="AJ97" s="73" t="s">
        <v>5425</v>
      </c>
      <c r="AK97" s="247" t="s">
        <v>5403</v>
      </c>
      <c r="AL97" s="132" t="s">
        <v>5426</v>
      </c>
      <c r="AM97" s="117" t="s">
        <v>5427</v>
      </c>
      <c r="AN97" s="118" t="s">
        <v>5428</v>
      </c>
      <c r="AO97" s="247" t="s">
        <v>5403</v>
      </c>
      <c r="AP97" s="120" t="s">
        <v>5429</v>
      </c>
      <c r="AQ97" s="121" t="s">
        <v>5430</v>
      </c>
      <c r="AR97" s="82" t="s">
        <v>5431</v>
      </c>
      <c r="AS97" s="247"/>
      <c r="AT97" s="120"/>
      <c r="AU97" s="121"/>
      <c r="AV97" s="82"/>
    </row>
    <row r="98" ht="396.0" customHeight="1">
      <c r="A98" s="247" t="s">
        <v>5432</v>
      </c>
      <c r="B98" s="116" t="s">
        <v>5433</v>
      </c>
      <c r="C98" s="117" t="s">
        <v>5434</v>
      </c>
      <c r="D98" s="118" t="s">
        <v>5435</v>
      </c>
      <c r="E98" s="247" t="s">
        <v>5432</v>
      </c>
      <c r="F98" s="116" t="s">
        <v>5436</v>
      </c>
      <c r="G98" s="117" t="s">
        <v>5437</v>
      </c>
      <c r="H98" s="118" t="s">
        <v>5438</v>
      </c>
      <c r="I98" s="247" t="s">
        <v>5432</v>
      </c>
      <c r="J98" s="116" t="s">
        <v>5439</v>
      </c>
      <c r="K98" s="117" t="s">
        <v>5440</v>
      </c>
      <c r="L98" s="79" t="s">
        <v>5441</v>
      </c>
      <c r="M98" s="247" t="s">
        <v>5432</v>
      </c>
      <c r="N98" s="116" t="s">
        <v>5442</v>
      </c>
      <c r="O98" s="121" t="s">
        <v>5443</v>
      </c>
      <c r="P98" s="79" t="s">
        <v>5444</v>
      </c>
      <c r="Q98" s="247" t="s">
        <v>5432</v>
      </c>
      <c r="R98" s="132" t="s">
        <v>5445</v>
      </c>
      <c r="S98" s="119" t="s">
        <v>4935</v>
      </c>
      <c r="T98" s="82" t="str">
        <f>IFERROR(__xludf.DUMMYFUNCTION("GOOGLETRANSLATE(D98,""zh-tw"",""es-MX"")"),"Advertencia: Catgirl Asaba es extremadamente poderosa y normalmente invencible. Por lo tanto, no la desafíes antes de guardar la partida.
Elegir ""Escabullirse"" resultará en un ataque (Nota: Incluso usando el dispositivo de detención del tiempo, te dete"&amp;"ctará).
Los jugadores deben llevar el objeto fuera del mapa actual para robarlo. Lanzar el objeto al Portal Estelar también cuenta como robarlo. Puedes robar varios objetos simultáneamente.
Si Asaba te derriba mientras llevas el objeto, este será recupe"&amp;"rado y se te impondrá una multa.
Puedes soltar el objeto intencionalmente mientras lo llevas para evitar la multa, pero esto no eliminará la atención de Asaba.
Derrotar a Asaba no conlleva multa.
*Consulta los CONSEJOS para obtener más detalles sobre l"&amp;"as multas.")</f>
        <v>Advertencia: Catgirl Asaba es extremadamente poderosa y normalmente invencible. Por lo tanto, no la desafíes antes de guardar la partida.
Elegir "Escabullirse" resultará en un ataque (Nota: Incluso usando el dispositivo de detención del tiempo, te detectará).
Los jugadores deben llevar el objeto fuera del mapa actual para robarlo. Lanzar el objeto al Portal Estelar también cuenta como robarlo. Puedes robar varios objetos simultáneamente.
Si Asaba te derriba mientras llevas el objeto, este será recuperado y se te impondrá una multa.
Puedes soltar el objeto intencionalmente mientras lo llevas para evitar la multa, pero esto no eliminará la atención de Asaba.
Derrotar a Asaba no conlleva multa.
*Consulta los CONSEJOS para obtener más detalles sobre las multas.</v>
      </c>
      <c r="U98" s="247" t="s">
        <v>5432</v>
      </c>
      <c r="V98" s="132" t="str">
        <f>IFERROR(__xludf.DUMMYFUNCTION("GOOGLETRANSLATE(B98,""zh-tw"",""KO"")"),"샵 트럭-2")</f>
        <v>샵 트럭-2</v>
      </c>
      <c r="W98" s="121" t="str">
        <f>IFERROR(__xludf.DUMMYFUNCTION("GOOGLETRANSLATE(C98,""zh-tw"",""KO"")"),"쇼핑 카트에서 물건을 훔치는 행위")</f>
        <v>쇼핑 카트에서 물건을 훔치는 행위</v>
      </c>
      <c r="X98" s="82" t="str">
        <f>IFERROR(__xludf.DUMMYFUNCTION("GOOGLETRANSLATE(D98,""zh-tw"",""KO"")"),"경고: 고양이 소녀 아사바는 매우 강력하며 평소에는 무적입니다. 따라서 게임을 저장하기 전에는 절대 도전하지 마십시오.
""몰래 도망치기""를 선택하면 공격을 받게 됩니다. (참고: 시간 정지 장치를 사용하더라도 발각될 수 있습니다.)
아이템을 획득하려면 현재 맵에서 멀리 떨어진 곳으로 가져가야 합니다. 스타게이트에 아이템을 던지는 것도 획득으로 간주됩니다. 여러 아이템을 동시에 훔칠 수 있습니다.
아이템을 들고 있는 동안 아사바에게 공격당해 쓰러"&amp;"지면 아이템을 되찾고 벌금을 내야 합니다.
벌금을 피하려면 일부러 아이템을 떨어뜨릴 수 있지만, 아사바의 공격은 사라지지 않습니다.
아사바를 쓰러뜨리면 벌금이 부과되지 않습니다.
*벌금에 대한 자세한 내용은 팁을 참조하십시오.")</f>
        <v>경고: 고양이 소녀 아사바는 매우 강력하며 평소에는 무적입니다. 따라서 게임을 저장하기 전에는 절대 도전하지 마십시오.
"몰래 도망치기"를 선택하면 공격을 받게 됩니다. (참고: 시간 정지 장치를 사용하더라도 발각될 수 있습니다.)
아이템을 획득하려면 현재 맵에서 멀리 떨어진 곳으로 가져가야 합니다. 스타게이트에 아이템을 던지는 것도 획득으로 간주됩니다. 여러 아이템을 동시에 훔칠 수 있습니다.
아이템을 들고 있는 동안 아사바에게 공격당해 쓰러지면 아이템을 되찾고 벌금을 내야 합니다.
벌금을 피하려면 일부러 아이템을 떨어뜨릴 수 있지만, 아사바의 공격은 사라지지 않습니다.
아사바를 쓰러뜨리면 벌금이 부과되지 않습니다.
*벌금에 대한 자세한 내용은 팁을 참조하십시오.</v>
      </c>
      <c r="Y98" s="247" t="s">
        <v>5432</v>
      </c>
      <c r="Z98" s="248" t="s">
        <v>5446</v>
      </c>
      <c r="AA98" s="249" t="s">
        <v>5447</v>
      </c>
      <c r="AB98" s="69" t="s">
        <v>5448</v>
      </c>
      <c r="AC98" s="247" t="s">
        <v>5432</v>
      </c>
      <c r="AD98" s="116" t="s">
        <v>5449</v>
      </c>
      <c r="AE98" s="117" t="s">
        <v>5450</v>
      </c>
      <c r="AF98" s="79" t="str">
        <f>IFERROR(__xludf.DUMMYFUNCTION("GOOGLETRANSLATE(D98,""zh-tw"",""de"")"),"Warnung: Katzenmädchen Asaba ist extrem mächtig und normalerweise unbesiegbar. Fordern Sie sie daher bitte nicht heraus, bevor Sie Ihr Spiel gespeichert haben.
Die Option „Wegschleichen“ führt zu einem Angriff (P.S.: Selbst mit dem Zeitstoppgerät werden "&amp;"Sie entdeckt).
Spieler müssen den Gegenstand von der aktuellen Karte wegbringen, um ihn erfolgreich zu stehlen. Das Werfen des Gegenstands in das Sternentor zählt ebenfalls. Sie können mehrere Gegenstände gleichzeitig stehlen.
Wenn Sie von Asaba niederg"&amp;"eschlagen werden, während Sie den Gegenstand tragen, wird Ihnen der Gegenstand abgenommen und Sie erhalten eine Strafe.
Sie können den Gegenstand absichtlich fallen lassen, während Sie ihn tragen, um die Strafe zu vermeiden. Dadurch verschwindet Asabas A"&amp;"ggression jedoch nicht.
Das Besiegen von Asaba führt nicht zu einer Strafe.
*Siehe TIPPS für Details zu Strafen.")</f>
        <v>Warnung: Katzenmädchen Asaba ist extrem mächtig und normalerweise unbesiegbar. Fordern Sie sie daher bitte nicht heraus, bevor Sie Ihr Spiel gespeichert haben.
Die Option „Wegschleichen“ führt zu einem Angriff (P.S.: Selbst mit dem Zeitstoppgerät werden Sie entdeckt).
Spieler müssen den Gegenstand von der aktuellen Karte wegbringen, um ihn erfolgreich zu stehlen. Das Werfen des Gegenstands in das Sternentor zählt ebenfalls. Sie können mehrere Gegenstände gleichzeitig stehlen.
Wenn Sie von Asaba niedergeschlagen werden, während Sie den Gegenstand tragen, wird Ihnen der Gegenstand abgenommen und Sie erhalten eine Strafe.
Sie können den Gegenstand absichtlich fallen lassen, während Sie ihn tragen, um die Strafe zu vermeiden. Dadurch verschwindet Asabas Aggression jedoch nicht.
Das Besiegen von Asaba führt nicht zu einer Strafe.
*Siehe TIPPS für Details zu Strafen.</v>
      </c>
      <c r="AG98" s="247" t="s">
        <v>5432</v>
      </c>
      <c r="AH98" s="143" t="s">
        <v>5451</v>
      </c>
      <c r="AI98" s="127" t="s">
        <v>5452</v>
      </c>
      <c r="AJ98" s="73" t="s">
        <v>5453</v>
      </c>
      <c r="AK98" s="247" t="s">
        <v>5432</v>
      </c>
      <c r="AL98" s="132" t="s">
        <v>5454</v>
      </c>
      <c r="AM98" s="121" t="s">
        <v>5455</v>
      </c>
      <c r="AN98" s="82" t="s">
        <v>5456</v>
      </c>
      <c r="AO98" s="247" t="s">
        <v>5432</v>
      </c>
      <c r="AP98" s="120" t="s">
        <v>5457</v>
      </c>
      <c r="AQ98" s="121" t="s">
        <v>5458</v>
      </c>
      <c r="AR98" s="82" t="s">
        <v>5459</v>
      </c>
      <c r="AS98" s="247"/>
      <c r="AT98" s="120"/>
      <c r="AU98" s="121"/>
      <c r="AV98" s="82"/>
    </row>
    <row r="99">
      <c r="A99" s="247" t="s">
        <v>5460</v>
      </c>
      <c r="B99" s="120" t="s">
        <v>5461</v>
      </c>
      <c r="C99" s="119" t="s">
        <v>5462</v>
      </c>
      <c r="D99" s="79" t="s">
        <v>5463</v>
      </c>
      <c r="E99" s="247" t="s">
        <v>5460</v>
      </c>
      <c r="F99" s="120" t="s">
        <v>5464</v>
      </c>
      <c r="G99" s="119" t="s">
        <v>5465</v>
      </c>
      <c r="H99" s="79" t="s">
        <v>5466</v>
      </c>
      <c r="I99" s="247" t="s">
        <v>5460</v>
      </c>
      <c r="J99" s="120" t="s">
        <v>5467</v>
      </c>
      <c r="K99" s="119" t="s">
        <v>5468</v>
      </c>
      <c r="L99" s="79" t="s">
        <v>5469</v>
      </c>
      <c r="M99" s="247" t="s">
        <v>5460</v>
      </c>
      <c r="N99" s="120" t="s">
        <v>5470</v>
      </c>
      <c r="O99" s="119" t="s">
        <v>5471</v>
      </c>
      <c r="P99" s="79" t="s">
        <v>5472</v>
      </c>
      <c r="Q99" s="247" t="s">
        <v>5460</v>
      </c>
      <c r="R99" s="132" t="s">
        <v>5473</v>
      </c>
      <c r="S99" s="119" t="s">
        <v>5474</v>
      </c>
      <c r="T99" s="82" t="str">
        <f>IFERROR(__xludf.DUMMYFUNCTION("GOOGLETRANSLATE(D99,""zh-tw"",""es-MX"")"),"Obtención del objeto: Fotógrafo Mágico (Cámara)
*Implementación: Al fotografiar a tu hermana menor, podría poner cara graciosa.
*Tomar fotos durante escenas eróticas también hará que tu hermana menor se ponga tímida.
*Cuando tu hermano mayor está maldi"&amp;"to, es más fácil tomar fotos inquietantes.
*Implementación: Al usarla en el Abismo, el sonido al tomar fotos atraerá la atención de los monstruos cercanos.
(Actualmente, esta función está en sus primeras etapas y gran parte del contenido aún no está com"&amp;"pletamente implementado).")</f>
        <v>Obtención del objeto: Fotógrafo Mágico (Cámara)
*Implementación: Al fotografiar a tu hermana menor, podría poner cara graciosa.
*Tomar fotos durante escenas eróticas también hará que tu hermana menor se ponga tímida.
*Cuando tu hermano mayor está maldito, es más fácil tomar fotos inquietantes.
*Implementación: Al usarla en el Abismo, el sonido al tomar fotos atraerá la atención de los monstruos cercanos.
(Actualmente, esta función está en sus primeras etapas y gran parte del contenido aún no está completamente implementado).</v>
      </c>
      <c r="U99" s="247" t="s">
        <v>5460</v>
      </c>
      <c r="V99" s="132" t="str">
        <f>IFERROR(__xludf.DUMMYFUNCTION("GOOGLETRANSLATE(B99,""zh-tw"",""KO"")"),"샵 트럭-3")</f>
        <v>샵 트럭-3</v>
      </c>
      <c r="W99" s="121" t="str">
        <f>IFERROR(__xludf.DUMMYFUNCTION("GOOGLETRANSLATE(C99,""zh-tw"",""KO"")"),"쇼핑 카트에 고정된 품목 중 하나")</f>
        <v>쇼핑 카트에 고정된 품목 중 하나</v>
      </c>
      <c r="X99" s="82" t="str">
        <f>IFERROR(__xludf.DUMMYFUNCTION("GOOGLETRANSLATE(D99,""zh-tw"",""KO"")"),"획득 아이템 - 마법 사진작가 (카메라)
*효과: 여동생을 촬영하면 재미있는 표정을 지을 수 있습니다.
*성인 장면 촬영 시에도 여동생이 부끄러워합니다.
*오빠가 저주에 걸렸을 때, 섬뜩한 사진을 더 쉽게 찍을 수 있습니다.
*효과: 심연에서 사용 시 사진 촬영 효과음이 주변 몬스터의 주의를 끌 수 있습니다.
(현재 이 기능은 초기 개발 단계이며, 많은 부분이 아직 완전히 구현되지 않았습니다.)")</f>
        <v>획득 아이템 - 마법 사진작가 (카메라)
*효과: 여동생을 촬영하면 재미있는 표정을 지을 수 있습니다.
*성인 장면 촬영 시에도 여동생이 부끄러워합니다.
*오빠가 저주에 걸렸을 때, 섬뜩한 사진을 더 쉽게 찍을 수 있습니다.
*효과: 심연에서 사용 시 사진 촬영 효과음이 주변 몬스터의 주의를 끌 수 있습니다.
(현재 이 기능은 초기 개발 단계이며, 많은 부분이 아직 완전히 구현되지 않았습니다.)</v>
      </c>
      <c r="Y99" s="247" t="s">
        <v>5460</v>
      </c>
      <c r="Z99" s="248" t="s">
        <v>5475</v>
      </c>
      <c r="AA99" s="249" t="s">
        <v>5476</v>
      </c>
      <c r="AB99" s="69" t="s">
        <v>5477</v>
      </c>
      <c r="AC99" s="247" t="s">
        <v>5460</v>
      </c>
      <c r="AD99" s="150" t="s">
        <v>5478</v>
      </c>
      <c r="AE99" s="250" t="s">
        <v>5479</v>
      </c>
      <c r="AF99" s="71" t="s">
        <v>5480</v>
      </c>
      <c r="AG99" s="247" t="s">
        <v>5460</v>
      </c>
      <c r="AH99" s="251" t="s">
        <v>5481</v>
      </c>
      <c r="AI99" s="145" t="s">
        <v>5482</v>
      </c>
      <c r="AJ99" s="146" t="s">
        <v>5483</v>
      </c>
      <c r="AK99" s="247" t="s">
        <v>5460</v>
      </c>
      <c r="AL99" s="132" t="s">
        <v>5484</v>
      </c>
      <c r="AM99" s="121" t="s">
        <v>5485</v>
      </c>
      <c r="AN99" s="82" t="s">
        <v>5486</v>
      </c>
      <c r="AO99" s="247" t="s">
        <v>5460</v>
      </c>
      <c r="AP99" s="120" t="s">
        <v>5487</v>
      </c>
      <c r="AQ99" s="121" t="s">
        <v>5488</v>
      </c>
      <c r="AR99" s="82" t="s">
        <v>5489</v>
      </c>
      <c r="AS99" s="247"/>
      <c r="AT99" s="120"/>
      <c r="AU99" s="121"/>
      <c r="AV99" s="82"/>
    </row>
    <row r="100">
      <c r="A100" s="247" t="s">
        <v>5490</v>
      </c>
      <c r="B100" s="120" t="s">
        <v>5491</v>
      </c>
      <c r="C100" s="119" t="s">
        <v>5462</v>
      </c>
      <c r="D100" s="79" t="s">
        <v>5492</v>
      </c>
      <c r="E100" s="247" t="s">
        <v>5490</v>
      </c>
      <c r="F100" s="120" t="s">
        <v>5493</v>
      </c>
      <c r="G100" s="119" t="s">
        <v>5494</v>
      </c>
      <c r="H100" s="79" t="s">
        <v>5495</v>
      </c>
      <c r="I100" s="247" t="s">
        <v>5490</v>
      </c>
      <c r="J100" s="120" t="s">
        <v>5496</v>
      </c>
      <c r="K100" s="119" t="s">
        <v>5468</v>
      </c>
      <c r="L100" s="79" t="s">
        <v>5497</v>
      </c>
      <c r="M100" s="247" t="s">
        <v>5490</v>
      </c>
      <c r="N100" s="120" t="s">
        <v>5498</v>
      </c>
      <c r="O100" s="119" t="s">
        <v>5471</v>
      </c>
      <c r="P100" s="79" t="s">
        <v>5499</v>
      </c>
      <c r="Q100" s="247" t="s">
        <v>5490</v>
      </c>
      <c r="R100" s="132" t="s">
        <v>5500</v>
      </c>
      <c r="S100" s="119" t="s">
        <v>5474</v>
      </c>
      <c r="T100" s="82" t="str">
        <f>IFERROR(__xludf.DUMMYFUNCTION("GOOGLETRANSLATE(D100,""zh-tw"",""es-MX"")"),"Obtención del objeto: Hucha
Este objeto evoluciona tras reunir 1 millón de monedas (solo puede existir una a la vez). Otorga intereses, la habilidad ""Resplandor de Mammon"", mayor velocidad de movimiento e invulnerabilidad.
P.D.: No puedes introducir t"&amp;"us propias monedas en la hucha.")</f>
        <v>Obtención del objeto: Hucha
Este objeto evoluciona tras reunir 1 millón de monedas (solo puede existir una a la vez). Otorga intereses, la habilidad "Resplandor de Mammon", mayor velocidad de movimiento e invulnerabilidad.
P.D.: No puedes introducir tus propias monedas en la hucha.</v>
      </c>
      <c r="U100" s="247" t="s">
        <v>5490</v>
      </c>
      <c r="V100" s="132" t="str">
        <f>IFERROR(__xludf.DUMMYFUNCTION("GOOGLETRANSLATE(B100,""zh-tw"",""KO"")"),"샵카-4")</f>
        <v>샵카-4</v>
      </c>
      <c r="W100" s="121" t="str">
        <f>IFERROR(__xludf.DUMMYFUNCTION("GOOGLETRANSLATE(C100,""zh-tw"",""KO"")"),"쇼핑 카트에 고정된 품목 중 하나")</f>
        <v>쇼핑 카트에 고정된 품목 중 하나</v>
      </c>
      <c r="X100" s="82" t="str">
        <f>IFERROR(__xludf.DUMMYFUNCTION("GOOGLETRANSLATE(D100,""zh-tw"",""KO"")"),"획득 아이템: 돼지 저금통
이 아이템은 동전 100만 개를 모으면 진화합니다 (한 번에 하나만 존재할 수 있습니다). 진화하면 이자, ""맘몬의 광채"" 특성, 이동 속도 증가, 그리고 파괴 불가능 효과를 얻습니다.
참고: 자신의 동전을 돼지 저금통에 넣을 수는 없습니다.")</f>
        <v>획득 아이템: 돼지 저금통
이 아이템은 동전 100만 개를 모으면 진화합니다 (한 번에 하나만 존재할 수 있습니다). 진화하면 이자, "맘몬의 광채" 특성, 이동 속도 증가, 그리고 파괴 불가능 효과를 얻습니다.
참고: 자신의 동전을 돼지 저금통에 넣을 수는 없습니다.</v>
      </c>
      <c r="Y100" s="247" t="s">
        <v>5490</v>
      </c>
      <c r="Z100" s="248" t="s">
        <v>5501</v>
      </c>
      <c r="AA100" s="249" t="s">
        <v>5476</v>
      </c>
      <c r="AB100" s="69" t="s">
        <v>5502</v>
      </c>
      <c r="AC100" s="247" t="s">
        <v>5490</v>
      </c>
      <c r="AD100" s="150" t="s">
        <v>5503</v>
      </c>
      <c r="AE100" s="250" t="s">
        <v>5479</v>
      </c>
      <c r="AF100" s="71" t="s">
        <v>5504</v>
      </c>
      <c r="AG100" s="247" t="s">
        <v>5490</v>
      </c>
      <c r="AH100" s="251" t="s">
        <v>5505</v>
      </c>
      <c r="AI100" s="145" t="s">
        <v>5482</v>
      </c>
      <c r="AJ100" s="148" t="s">
        <v>5506</v>
      </c>
      <c r="AK100" s="247" t="s">
        <v>5490</v>
      </c>
      <c r="AL100" s="132" t="s">
        <v>5507</v>
      </c>
      <c r="AM100" s="121" t="s">
        <v>5485</v>
      </c>
      <c r="AN100" s="82" t="s">
        <v>5508</v>
      </c>
      <c r="AO100" s="247" t="s">
        <v>5490</v>
      </c>
      <c r="AP100" s="120" t="s">
        <v>5509</v>
      </c>
      <c r="AQ100" s="121" t="s">
        <v>5488</v>
      </c>
      <c r="AR100" s="82" t="s">
        <v>5510</v>
      </c>
      <c r="AS100" s="247"/>
      <c r="AT100" s="120"/>
      <c r="AU100" s="121"/>
      <c r="AV100" s="82"/>
    </row>
    <row r="101">
      <c r="A101" s="247" t="s">
        <v>5511</v>
      </c>
      <c r="B101" s="120" t="s">
        <v>5512</v>
      </c>
      <c r="C101" s="119" t="s">
        <v>5513</v>
      </c>
      <c r="D101" s="79" t="s">
        <v>5514</v>
      </c>
      <c r="E101" s="247" t="s">
        <v>5511</v>
      </c>
      <c r="F101" s="120" t="s">
        <v>5515</v>
      </c>
      <c r="G101" s="119" t="s">
        <v>5516</v>
      </c>
      <c r="H101" s="79" t="s">
        <v>1100</v>
      </c>
      <c r="I101" s="247" t="s">
        <v>5511</v>
      </c>
      <c r="J101" s="120" t="s">
        <v>5517</v>
      </c>
      <c r="K101" s="119" t="s">
        <v>5518</v>
      </c>
      <c r="L101" s="79" t="s">
        <v>1425</v>
      </c>
      <c r="M101" s="247" t="s">
        <v>5511</v>
      </c>
      <c r="N101" s="120" t="s">
        <v>5519</v>
      </c>
      <c r="O101" s="119" t="s">
        <v>5520</v>
      </c>
      <c r="P101" s="79" t="s">
        <v>3209</v>
      </c>
      <c r="Q101" s="247" t="s">
        <v>5511</v>
      </c>
      <c r="R101" s="132" t="s">
        <v>5521</v>
      </c>
      <c r="S101" s="119" t="s">
        <v>5522</v>
      </c>
      <c r="T101" s="82" t="str">
        <f>IFERROR(__xludf.DUMMYFUNCTION("GOOGLETRANSLATE(D101,""zh-tw"",""es-MX"")"),"No implementado")</f>
        <v>No implementado</v>
      </c>
      <c r="U101" s="247" t="s">
        <v>5511</v>
      </c>
      <c r="V101" s="132" t="str">
        <f>IFERROR(__xludf.DUMMYFUNCTION("GOOGLETRANSLATE(B101,""zh-tw"",""KO"")"),"샵 트럭-5")</f>
        <v>샵 트럭-5</v>
      </c>
      <c r="W101" s="121" t="str">
        <f>IFERROR(__xludf.DUMMYFUNCTION("GOOGLETRANSLATE(C101,""zh-tw"",""KO"")"),"형이 상점 트럭에 치여 HP가 0이 되면 새로운 맵으로 이동하게 됩니다(아직 구현되지 않음).")</f>
        <v>형이 상점 트럭에 치여 HP가 0이 되면 새로운 맵으로 이동하게 됩니다(아직 구현되지 않음).</v>
      </c>
      <c r="X101" s="82" t="str">
        <f>IFERROR(__xludf.DUMMYFUNCTION("GOOGLETRANSLATE(D101,""zh-tw"",""KO"")"),"구현되지 않음")</f>
        <v>구현되지 않음</v>
      </c>
      <c r="Y101" s="247" t="s">
        <v>5511</v>
      </c>
      <c r="Z101" s="248" t="s">
        <v>5523</v>
      </c>
      <c r="AA101" s="249" t="s">
        <v>5524</v>
      </c>
      <c r="AB101" s="78" t="s">
        <v>5525</v>
      </c>
      <c r="AC101" s="247" t="s">
        <v>5511</v>
      </c>
      <c r="AD101" s="150" t="s">
        <v>5526</v>
      </c>
      <c r="AE101" s="250" t="s">
        <v>5527</v>
      </c>
      <c r="AF101" s="71" t="s">
        <v>5528</v>
      </c>
      <c r="AG101" s="247" t="s">
        <v>5511</v>
      </c>
      <c r="AH101" s="251" t="s">
        <v>5529</v>
      </c>
      <c r="AI101" s="145" t="s">
        <v>5530</v>
      </c>
      <c r="AJ101" s="148" t="s">
        <v>5531</v>
      </c>
      <c r="AK101" s="247" t="s">
        <v>5511</v>
      </c>
      <c r="AL101" s="132" t="s">
        <v>5532</v>
      </c>
      <c r="AM101" s="121" t="s">
        <v>5533</v>
      </c>
      <c r="AN101" s="82" t="s">
        <v>1436</v>
      </c>
      <c r="AO101" s="247" t="s">
        <v>5511</v>
      </c>
      <c r="AP101" s="120" t="s">
        <v>5534</v>
      </c>
      <c r="AQ101" s="121" t="s">
        <v>5535</v>
      </c>
      <c r="AR101" s="82" t="s">
        <v>1691</v>
      </c>
      <c r="AS101" s="247"/>
      <c r="AT101" s="120"/>
      <c r="AU101" s="121"/>
      <c r="AV101" s="82"/>
    </row>
    <row r="102">
      <c r="A102" s="247" t="s">
        <v>5536</v>
      </c>
      <c r="B102" s="120" t="s">
        <v>5537</v>
      </c>
      <c r="C102" s="119" t="s">
        <v>5462</v>
      </c>
      <c r="D102" s="79" t="s">
        <v>5538</v>
      </c>
      <c r="E102" s="247" t="s">
        <v>5536</v>
      </c>
      <c r="F102" s="120" t="s">
        <v>5539</v>
      </c>
      <c r="G102" s="119" t="s">
        <v>5540</v>
      </c>
      <c r="H102" s="79" t="s">
        <v>5541</v>
      </c>
      <c r="I102" s="247" t="s">
        <v>5536</v>
      </c>
      <c r="J102" s="120" t="s">
        <v>5542</v>
      </c>
      <c r="K102" s="119" t="s">
        <v>5543</v>
      </c>
      <c r="L102" s="79" t="s">
        <v>5544</v>
      </c>
      <c r="M102" s="247" t="s">
        <v>5536</v>
      </c>
      <c r="N102" s="120" t="s">
        <v>5545</v>
      </c>
      <c r="O102" s="119" t="s">
        <v>5471</v>
      </c>
      <c r="P102" s="79" t="s">
        <v>5546</v>
      </c>
      <c r="Q102" s="247" t="s">
        <v>5536</v>
      </c>
      <c r="R102" s="132" t="s">
        <v>5547</v>
      </c>
      <c r="S102" s="121" t="str">
        <f>IFERROR(__xludf.DUMMYFUNCTION("GOOGLETRANSLATE(C102,""zh-tw"",""es-MX"")"),"Uno de los artículos fijos en el carrito de la tienda")</f>
        <v>Uno de los artículos fijos en el carrito de la tienda</v>
      </c>
      <c r="T102" s="82" t="str">
        <f>IFERROR(__xludf.DUMMYFUNCTION("GOOGLETRANSLATE(D102,""zh-tw"",""es-MX"")"),"Objeto obtenido: Doujinshi de Yuriko
Efecto: Aumenta la libido
※Este objeto es experimental por el momento; la función de visualización de imágenes se añadirá más adelante.")</f>
        <v>Objeto obtenido: Doujinshi de Yuriko
Efecto: Aumenta la libido
※Este objeto es experimental por el momento; la función de visualización de imágenes se añadirá más adelante.</v>
      </c>
      <c r="U102" s="247" t="s">
        <v>5536</v>
      </c>
      <c r="V102" s="132" t="str">
        <f>IFERROR(__xludf.DUMMYFUNCTION("GOOGLETRANSLATE(B102,""zh-tw"",""KO"")"),"샵 트럭-6")</f>
        <v>샵 트럭-6</v>
      </c>
      <c r="W102" s="121" t="str">
        <f>IFERROR(__xludf.DUMMYFUNCTION("GOOGLETRANSLATE(C102,""zh-tw"",""KO"")"),"쇼핑 카트에 고정된 품목 중 하나")</f>
        <v>쇼핑 카트에 고정된 품목 중 하나</v>
      </c>
      <c r="X102" s="82" t="str">
        <f>IFERROR(__xludf.DUMMYFUNCTION("GOOGLETRANSLATE(D102,""zh-tw"",""KO"")"),"획득 아이템: 유리코 동인지
효과: 성욕 증가
※본 아이템은 현재 실험용이며, 추후 CG 보기 기능이 추가될 예정입니다.")</f>
        <v>획득 아이템: 유리코 동인지
효과: 성욕 증가
※본 아이템은 현재 실험용이며, 추후 CG 보기 기능이 추가될 예정입니다.</v>
      </c>
      <c r="Y102" s="247" t="s">
        <v>5536</v>
      </c>
      <c r="Z102" s="248" t="s">
        <v>5548</v>
      </c>
      <c r="AA102" s="249" t="s">
        <v>5476</v>
      </c>
      <c r="AB102" s="69" t="s">
        <v>5549</v>
      </c>
      <c r="AC102" s="247" t="s">
        <v>5536</v>
      </c>
      <c r="AD102" s="150" t="s">
        <v>5550</v>
      </c>
      <c r="AE102" s="250" t="s">
        <v>5551</v>
      </c>
      <c r="AF102" s="71" t="s">
        <v>5552</v>
      </c>
      <c r="AG102" s="247" t="s">
        <v>5536</v>
      </c>
      <c r="AH102" s="251" t="s">
        <v>5553</v>
      </c>
      <c r="AI102" s="145" t="s">
        <v>5554</v>
      </c>
      <c r="AJ102" s="148" t="s">
        <v>5555</v>
      </c>
      <c r="AK102" s="247" t="s">
        <v>5536</v>
      </c>
      <c r="AL102" s="132" t="s">
        <v>5556</v>
      </c>
      <c r="AM102" s="121" t="s">
        <v>5557</v>
      </c>
      <c r="AN102" s="82" t="s">
        <v>5558</v>
      </c>
      <c r="AO102" s="247" t="s">
        <v>5536</v>
      </c>
      <c r="AP102" s="116" t="s">
        <v>5559</v>
      </c>
      <c r="AQ102" s="121" t="s">
        <v>5488</v>
      </c>
      <c r="AR102" s="82" t="s">
        <v>5560</v>
      </c>
      <c r="AS102" s="247"/>
      <c r="AT102" s="116"/>
      <c r="AU102" s="121"/>
      <c r="AV102" s="82"/>
    </row>
    <row r="103">
      <c r="A103" s="247" t="s">
        <v>5561</v>
      </c>
      <c r="B103" s="120" t="s">
        <v>5562</v>
      </c>
      <c r="C103" s="119" t="s">
        <v>5462</v>
      </c>
      <c r="D103" s="79" t="s">
        <v>5563</v>
      </c>
      <c r="E103" s="247" t="s">
        <v>5561</v>
      </c>
      <c r="F103" s="120" t="s">
        <v>5564</v>
      </c>
      <c r="G103" s="119" t="s">
        <v>5540</v>
      </c>
      <c r="H103" s="79" t="s">
        <v>5565</v>
      </c>
      <c r="I103" s="247" t="s">
        <v>5561</v>
      </c>
      <c r="J103" s="120" t="s">
        <v>5566</v>
      </c>
      <c r="K103" s="119" t="s">
        <v>5543</v>
      </c>
      <c r="L103" s="79" t="s">
        <v>5567</v>
      </c>
      <c r="M103" s="247" t="s">
        <v>5561</v>
      </c>
      <c r="N103" s="120" t="s">
        <v>5568</v>
      </c>
      <c r="O103" s="119" t="s">
        <v>5471</v>
      </c>
      <c r="P103" s="79" t="s">
        <v>5569</v>
      </c>
      <c r="Q103" s="247" t="s">
        <v>5561</v>
      </c>
      <c r="R103" s="132" t="s">
        <v>5570</v>
      </c>
      <c r="S103" s="121" t="str">
        <f>IFERROR(__xludf.DUMMYFUNCTION("GOOGLETRANSLATE(C103,""zh-tw"",""es-MX"")"),"Uno de los artículos fijos en el carrito de la tienda")</f>
        <v>Uno de los artículos fijos en el carrito de la tienda</v>
      </c>
      <c r="T103" s="82" t="str">
        <f>IFERROR(__xludf.DUMMYFUNCTION("GOOGLETRANSLATE(D103,""zh-tw"",""es-MX"")"),"Objeto obtenido: Doujinshi adorable
Efecto: Aumenta la libido
※Este objeto es experimental por el momento; la función de visualización de imágenes se añadirá más adelante.")</f>
        <v>Objeto obtenido: Doujinshi adorable
Efecto: Aumenta la libido
※Este objeto es experimental por el momento; la función de visualización de imágenes se añadirá más adelante.</v>
      </c>
      <c r="U103" s="247" t="s">
        <v>5561</v>
      </c>
      <c r="V103" s="132" t="str">
        <f>IFERROR(__xludf.DUMMYFUNCTION("GOOGLETRANSLATE(B103,""zh-tw"",""KO"")"),"상점 차량-7")</f>
        <v>상점 차량-7</v>
      </c>
      <c r="W103" s="121" t="str">
        <f>IFERROR(__xludf.DUMMYFUNCTION("GOOGLETRANSLATE(C103,""zh-tw"",""KO"")"),"쇼핑 카트에 고정된 품목 중 하나")</f>
        <v>쇼핑 카트에 고정된 품목 중 하나</v>
      </c>
      <c r="X103" s="82" t="str">
        <f>IFERROR(__xludf.DUMMYFUNCTION("GOOGLETRANSLATE(D103,""zh-tw"",""KO"")"),"획득 아이템: 귀여운 동인지
효과: 성욕 증가
※본 아이템은 현재 실험용이며, 추후 CG 보기 기능이 추가될 예정입니다.")</f>
        <v>획득 아이템: 귀여운 동인지
효과: 성욕 증가
※본 아이템은 현재 실험용이며, 추후 CG 보기 기능이 추가될 예정입니다.</v>
      </c>
      <c r="Y103" s="247" t="s">
        <v>5561</v>
      </c>
      <c r="Z103" s="248" t="s">
        <v>5571</v>
      </c>
      <c r="AA103" s="249" t="s">
        <v>5476</v>
      </c>
      <c r="AB103" s="69" t="s">
        <v>5572</v>
      </c>
      <c r="AC103" s="247" t="s">
        <v>5561</v>
      </c>
      <c r="AD103" s="150" t="s">
        <v>5573</v>
      </c>
      <c r="AE103" s="250" t="s">
        <v>5574</v>
      </c>
      <c r="AF103" s="71" t="s">
        <v>5575</v>
      </c>
      <c r="AG103" s="247" t="s">
        <v>5561</v>
      </c>
      <c r="AH103" s="251" t="s">
        <v>5576</v>
      </c>
      <c r="AI103" s="145" t="s">
        <v>5554</v>
      </c>
      <c r="AJ103" s="148" t="s">
        <v>5577</v>
      </c>
      <c r="AK103" s="247" t="s">
        <v>5561</v>
      </c>
      <c r="AL103" s="132" t="s">
        <v>5578</v>
      </c>
      <c r="AM103" s="121" t="s">
        <v>5557</v>
      </c>
      <c r="AN103" s="82" t="s">
        <v>5579</v>
      </c>
      <c r="AO103" s="247" t="s">
        <v>5561</v>
      </c>
      <c r="AP103" s="116" t="s">
        <v>5580</v>
      </c>
      <c r="AQ103" s="121" t="s">
        <v>5488</v>
      </c>
      <c r="AR103" s="82" t="s">
        <v>5581</v>
      </c>
      <c r="AS103" s="247"/>
      <c r="AT103" s="116"/>
      <c r="AU103" s="121"/>
      <c r="AV103" s="82"/>
    </row>
    <row r="104">
      <c r="A104" s="247" t="s">
        <v>5582</v>
      </c>
      <c r="B104" s="120" t="s">
        <v>5583</v>
      </c>
      <c r="C104" s="119" t="s">
        <v>5584</v>
      </c>
      <c r="D104" s="79" t="s">
        <v>5585</v>
      </c>
      <c r="E104" s="247" t="s">
        <v>5582</v>
      </c>
      <c r="F104" s="120" t="s">
        <v>5586</v>
      </c>
      <c r="G104" s="119" t="s">
        <v>5587</v>
      </c>
      <c r="H104" s="79" t="s">
        <v>5588</v>
      </c>
      <c r="I104" s="247" t="s">
        <v>5582</v>
      </c>
      <c r="J104" s="120" t="s">
        <v>5589</v>
      </c>
      <c r="K104" s="119" t="s">
        <v>5590</v>
      </c>
      <c r="L104" s="79" t="s">
        <v>5591</v>
      </c>
      <c r="M104" s="247" t="s">
        <v>5582</v>
      </c>
      <c r="N104" s="120" t="str">
        <f>IFERROR(__xludf.DUMMYFUNCTION("GOOGLETRANSLATE(B104,""zh-tw"",""zh"")"),"深夜的好选择")</f>
        <v>深夜的好选择</v>
      </c>
      <c r="O104" s="119" t="str">
        <f>IFERROR(__xludf.DUMMYFUNCTION("GOOGLETRANSLATE(C104,""zh-tw"",""zh"")"),"解锁深夜时段后，可以向骑士花费5000元或者于AKI商店花费一只帝王鲑
购买恐怖录影带、成人录影带")</f>
        <v>解锁深夜时段后，可以向骑士花费5000元或者于AKI商店花费一只帝王鲑
购买恐怖录影带、成人录影带</v>
      </c>
      <c r="P104" s="79" t="str">
        <f>IFERROR(__xludf.DUMMYFUNCTION("GOOGLETRANSLATE(D104,""zh-tw"",""zh"")"),"获得道具:恐怖录影带
获得道具:成人录影带")</f>
        <v>获得道具:恐怖录影带
获得道具:成人录影带</v>
      </c>
      <c r="Q104" s="247" t="s">
        <v>5582</v>
      </c>
      <c r="R104" s="132" t="str">
        <f>IFERROR(__xludf.DUMMYFUNCTION("GOOGLETRANSLATE(B104,""zh-tw"",""es-MX"")"),"Una buena opción para las noches largas.")</f>
        <v>Una buena opción para las noches largas.</v>
      </c>
      <c r="S104" s="121" t="str">
        <f>IFERROR(__xludf.DUMMYFUNCTION("GOOGLETRANSLATE(C104,""zh-tw"",""es-MX"")"),"Tras desbloquear el horario nocturno, puedes gastar 5000 monedas con el Caballero o un Rey Salmón en la tienda AKI para comprar cintas de vídeo de terror y cintas de vídeo para adultos.")</f>
        <v>Tras desbloquear el horario nocturno, puedes gastar 5000 monedas con el Caballero o un Rey Salmón en la tienda AKI para comprar cintas de vídeo de terror y cintas de vídeo para adultos.</v>
      </c>
      <c r="T104" s="82" t="str">
        <f>IFERROR(__xludf.DUMMYFUNCTION("GOOGLETRANSLATE(D104,""zh-tw"",""es-MX"")"),"Objeto obtenido: Cinta de vídeo de terror
Objeto obtenido: Cinta de vídeo para adultos")</f>
        <v>Objeto obtenido: Cinta de vídeo de terror
Objeto obtenido: Cinta de vídeo para adultos</v>
      </c>
      <c r="U104" s="247" t="s">
        <v>5582</v>
      </c>
      <c r="V104" s="132" t="str">
        <f>IFERROR(__xludf.DUMMYFUNCTION("GOOGLETRANSLATE(B104,""zh-tw"",""KO"")"),"늦은 밤에 즐기기 좋은 선택입니다.")</f>
        <v>늦은 밤에 즐기기 좋은 선택입니다.</v>
      </c>
      <c r="W104" s="121" t="str">
        <f>IFERROR(__xludf.DUMMYFUNCTION("GOOGLETRANSLATE(C104,""zh-tw"",""KO"")"),"심야 시간대가 해금되면, AKI 상점에서 기사나 왕연어에게 5000 코인을 지불하여 공포 비디오테이프와 성인 비디오테이프를 구매할 수 있습니다.")</f>
        <v>심야 시간대가 해금되면, AKI 상점에서 기사나 왕연어에게 5000 코인을 지불하여 공포 비디오테이프와 성인 비디오테이프를 구매할 수 있습니다.</v>
      </c>
      <c r="X104" s="82" t="str">
        <f>IFERROR(__xludf.DUMMYFUNCTION("GOOGLETRANSLATE(D104,""zh-tw"",""KO"")"),"획득 아이템: 공포 비디오테이프
획득 아이템: 성인 비디오테이프")</f>
        <v>획득 아이템: 공포 비디오테이프
획득 아이템: 성인 비디오테이프</v>
      </c>
      <c r="Y104" s="247" t="s">
        <v>5582</v>
      </c>
      <c r="Z104" s="248" t="s">
        <v>5592</v>
      </c>
      <c r="AA104" s="249" t="s">
        <v>5593</v>
      </c>
      <c r="AB104" s="69" t="s">
        <v>5594</v>
      </c>
      <c r="AC104" s="247" t="s">
        <v>5582</v>
      </c>
      <c r="AD104" s="150" t="s">
        <v>5595</v>
      </c>
      <c r="AE104" s="250" t="s">
        <v>5596</v>
      </c>
      <c r="AF104" s="71" t="s">
        <v>5597</v>
      </c>
      <c r="AG104" s="247" t="s">
        <v>5582</v>
      </c>
      <c r="AH104" s="251" t="s">
        <v>5598</v>
      </c>
      <c r="AI104" s="145" t="str">
        <f>IFERROR(__xludf.DUMMYFUNCTION("GOOGLETRANSLATE(C104,""zh-tw"",""vi"")"),"Sau khi mở khóa khung giờ đêm muộn, bạn có thể dùng 5000 xu để mua các băng video kinh dị và video người lớn từ Hiệp sĩ hoặc Cá hồi vua tại Cửa hàng AKI.")</f>
        <v>Sau khi mở khóa khung giờ đêm muộn, bạn có thể dùng 5000 xu để mua các băng video kinh dị và video người lớn từ Hiệp sĩ hoặc Cá hồi vua tại Cửa hàng AKI.</v>
      </c>
      <c r="AJ104" s="148" t="s">
        <v>5599</v>
      </c>
      <c r="AK104" s="247" t="s">
        <v>5582</v>
      </c>
      <c r="AL104" s="132" t="s">
        <v>5600</v>
      </c>
      <c r="AM104" s="121" t="s">
        <v>5601</v>
      </c>
      <c r="AN104" s="82" t="s">
        <v>5602</v>
      </c>
      <c r="AO104" s="247" t="s">
        <v>5582</v>
      </c>
      <c r="AP104" s="116" t="s">
        <v>5603</v>
      </c>
      <c r="AQ104" s="121" t="s">
        <v>5604</v>
      </c>
      <c r="AR104" s="82" t="s">
        <v>5605</v>
      </c>
      <c r="AS104" s="247"/>
      <c r="AT104" s="116"/>
      <c r="AU104" s="121"/>
      <c r="AV104" s="82"/>
    </row>
    <row r="105">
      <c r="A105" s="247" t="s">
        <v>5606</v>
      </c>
      <c r="B105" s="120" t="s">
        <v>5607</v>
      </c>
      <c r="C105" s="119" t="s">
        <v>5608</v>
      </c>
      <c r="D105" s="79" t="s">
        <v>5609</v>
      </c>
      <c r="E105" s="247" t="s">
        <v>5606</v>
      </c>
      <c r="F105" s="120" t="s">
        <v>5610</v>
      </c>
      <c r="G105" s="119" t="s">
        <v>5611</v>
      </c>
      <c r="H105" s="79" t="s">
        <v>5612</v>
      </c>
      <c r="I105" s="247" t="s">
        <v>5606</v>
      </c>
      <c r="J105" s="120" t="s">
        <v>5613</v>
      </c>
      <c r="K105" s="119" t="s">
        <v>5614</v>
      </c>
      <c r="L105" s="79" t="s">
        <v>5615</v>
      </c>
      <c r="M105" s="247" t="s">
        <v>5606</v>
      </c>
      <c r="N105" s="120" t="s">
        <v>5607</v>
      </c>
      <c r="O105" s="121" t="s">
        <v>5616</v>
      </c>
      <c r="P105" s="82" t="s">
        <v>5617</v>
      </c>
      <c r="Q105" s="247" t="s">
        <v>5606</v>
      </c>
      <c r="R105" s="132" t="s">
        <v>5607</v>
      </c>
      <c r="S105" s="121" t="str">
        <f>IFERROR(__xludf.DUMMYFUNCTION("GOOGLETRANSLATE(C105,""zh-tw"",""es-MX"")"),"Alimente a ASABA - ""alimento regular""")</f>
        <v>Alimente a ASABA - "alimento regular"</v>
      </c>
      <c r="T105" s="82" t="str">
        <f>IFERROR(__xludf.DUMMYFUNCTION("GOOGLETRANSLATE(D105,""zh-tw"",""es-MX"")"),"No hubo reacción alguna, e incluso la repetición del suceso podía provocar aversión.")</f>
        <v>No hubo reacción alguna, e incluso la repetición del suceso podía provocar aversión.</v>
      </c>
      <c r="U105" s="247" t="s">
        <v>5606</v>
      </c>
      <c r="V105" s="132" t="str">
        <f>IFERROR(__xludf.DUMMYFUNCTION("GOOGLETRANSLATE(B105,""zh-tw"",""KO"")"),"아사바-1")</f>
        <v>아사바-1</v>
      </c>
      <c r="W105" s="121" t="str">
        <f>IFERROR(__xludf.DUMMYFUNCTION("GOOGLETRANSLATE(C105,""zh-tw"",""KO"")"),"ASABA에게 ""일반 사료""를 먹이세요.")</f>
        <v>ASABA에게 "일반 사료"를 먹이세요.</v>
      </c>
      <c r="X105" s="82" t="str">
        <f>IFERROR(__xludf.DUMMYFUNCTION("GOOGLETRANSLATE(D105,""zh-tw"",""KO"")"),"아무런 반응도 없었고, 반복될 경우 오히려 혐오감이 생길 수도 있었다.")</f>
        <v>아무런 반응도 없었고, 반복될 경우 오히려 혐오감이 생길 수도 있었다.</v>
      </c>
      <c r="Y105" s="247" t="s">
        <v>5606</v>
      </c>
      <c r="Z105" s="248" t="s">
        <v>5618</v>
      </c>
      <c r="AA105" s="249" t="s">
        <v>5619</v>
      </c>
      <c r="AB105" s="69" t="s">
        <v>5620</v>
      </c>
      <c r="AC105" s="247" t="s">
        <v>5606</v>
      </c>
      <c r="AD105" s="120" t="str">
        <f>IFERROR(__xludf.DUMMYFUNCTION("GOOGLETRANSLATE(B105,""zh-tw"",""de"")"),"ASABA-1")</f>
        <v>ASABA-1</v>
      </c>
      <c r="AE105" s="119" t="str">
        <f>IFERROR(__xludf.DUMMYFUNCTION("GOOGLETRANSLATE(C105,""zh-tw"",""de"")"),"ASABA füttern – „normales Futter“")</f>
        <v>ASABA füttern – „normales Futter“</v>
      </c>
      <c r="AF105" s="79" t="s">
        <v>5621</v>
      </c>
      <c r="AG105" s="247" t="s">
        <v>5606</v>
      </c>
      <c r="AH105" s="251" t="s">
        <v>5613</v>
      </c>
      <c r="AI105" s="145" t="s">
        <v>5622</v>
      </c>
      <c r="AJ105" s="148" t="s">
        <v>5623</v>
      </c>
      <c r="AK105" s="247" t="s">
        <v>5606</v>
      </c>
      <c r="AL105" s="132" t="s">
        <v>5613</v>
      </c>
      <c r="AM105" s="121" t="s">
        <v>5624</v>
      </c>
      <c r="AN105" s="82" t="s">
        <v>5625</v>
      </c>
      <c r="AO105" s="247" t="s">
        <v>5606</v>
      </c>
      <c r="AP105" s="116" t="s">
        <v>5607</v>
      </c>
      <c r="AQ105" s="121" t="s">
        <v>5626</v>
      </c>
      <c r="AR105" s="82" t="s">
        <v>5627</v>
      </c>
      <c r="AS105" s="247"/>
      <c r="AT105" s="116"/>
      <c r="AU105" s="121"/>
      <c r="AV105" s="82"/>
    </row>
    <row r="106">
      <c r="A106" s="247" t="s">
        <v>5628</v>
      </c>
      <c r="B106" s="120" t="s">
        <v>5629</v>
      </c>
      <c r="C106" s="119" t="s">
        <v>5630</v>
      </c>
      <c r="D106" s="79" t="s">
        <v>5631</v>
      </c>
      <c r="E106" s="247" t="s">
        <v>5628</v>
      </c>
      <c r="F106" s="120" t="s">
        <v>5632</v>
      </c>
      <c r="G106" s="119" t="s">
        <v>5633</v>
      </c>
      <c r="H106" s="79" t="s">
        <v>5634</v>
      </c>
      <c r="I106" s="247" t="s">
        <v>5628</v>
      </c>
      <c r="J106" s="120" t="s">
        <v>5635</v>
      </c>
      <c r="K106" s="119" t="s">
        <v>5636</v>
      </c>
      <c r="L106" s="79" t="s">
        <v>5637</v>
      </c>
      <c r="M106" s="247" t="s">
        <v>5628</v>
      </c>
      <c r="N106" s="120" t="s">
        <v>5629</v>
      </c>
      <c r="O106" s="121" t="s">
        <v>5638</v>
      </c>
      <c r="P106" s="82" t="s">
        <v>5639</v>
      </c>
      <c r="Q106" s="247" t="s">
        <v>5628</v>
      </c>
      <c r="R106" s="132" t="s">
        <v>5629</v>
      </c>
      <c r="S106" s="121" t="str">
        <f>IFERROR(__xludf.DUMMYFUNCTION("GOOGLETRANSLATE(C106,""zh-tw"",""es-MX"")"),"Alimentando a ASABA - ""El mechón rebelde de la hermana""")</f>
        <v>Alimentando a ASABA - "El mechón rebelde de la hermana"</v>
      </c>
      <c r="T106" s="82" t="str">
        <f>IFERROR(__xludf.DUMMYFUNCTION("GOOGLETRANSLATE(D106,""zh-tw"",""es-MX"")"),"Desactivando el cerebro de ASABA")</f>
        <v>Desactivando el cerebro de ASABA</v>
      </c>
      <c r="U106" s="247" t="s">
        <v>5628</v>
      </c>
      <c r="V106" s="132" t="str">
        <f>IFERROR(__xludf.DUMMYFUNCTION("GOOGLETRANSLATE(B106,""zh-tw"",""KO"")"),"아사바-2")</f>
        <v>아사바-2</v>
      </c>
      <c r="W106" s="121" t="str">
        <f>IFERROR(__xludf.DUMMYFUNCTION("GOOGLETRANSLATE(C106,""zh-tw"",""KO"")"),"아사바 먹이 주기 - ""언니의 아호게""")</f>
        <v>아사바 먹이 주기 - "언니의 아호게"</v>
      </c>
      <c r="X106" s="82" t="str">
        <f>IFERROR(__xludf.DUMMYFUNCTION("GOOGLETRANSLATE(D106,""zh-tw"",""KO"")"),"ASABA의 두뇌를 차단합니다")</f>
        <v>ASABA의 두뇌를 차단합니다</v>
      </c>
      <c r="Y106" s="247" t="s">
        <v>5628</v>
      </c>
      <c r="Z106" s="248" t="s">
        <v>5640</v>
      </c>
      <c r="AA106" s="249" t="s">
        <v>5641</v>
      </c>
      <c r="AB106" s="69" t="s">
        <v>5642</v>
      </c>
      <c r="AC106" s="247" t="s">
        <v>5628</v>
      </c>
      <c r="AD106" s="120" t="str">
        <f>IFERROR(__xludf.DUMMYFUNCTION("GOOGLETRANSLATE(B106,""zh-tw"",""de"")"),"ASABA-2")</f>
        <v>ASABA-2</v>
      </c>
      <c r="AE106" s="119" t="str">
        <f>IFERROR(__xludf.DUMMYFUNCTION("GOOGLETRANSLATE(C106,""zh-tw"",""de"")"),"Fütterung von ASABA – „Schwesters Ahoge“")</f>
        <v>Fütterung von ASABA – „Schwesters Ahoge“</v>
      </c>
      <c r="AF106" s="79" t="s">
        <v>5643</v>
      </c>
      <c r="AG106" s="247" t="s">
        <v>5628</v>
      </c>
      <c r="AH106" s="251" t="s">
        <v>5635</v>
      </c>
      <c r="AI106" s="145" t="s">
        <v>5644</v>
      </c>
      <c r="AJ106" s="148" t="s">
        <v>5645</v>
      </c>
      <c r="AK106" s="247" t="s">
        <v>5628</v>
      </c>
      <c r="AL106" s="132" t="s">
        <v>5635</v>
      </c>
      <c r="AM106" s="121" t="s">
        <v>5646</v>
      </c>
      <c r="AN106" s="82" t="s">
        <v>5647</v>
      </c>
      <c r="AO106" s="247" t="s">
        <v>5628</v>
      </c>
      <c r="AP106" s="116" t="s">
        <v>5629</v>
      </c>
      <c r="AQ106" s="121" t="s">
        <v>5648</v>
      </c>
      <c r="AR106" s="82" t="s">
        <v>5649</v>
      </c>
      <c r="AS106" s="247"/>
      <c r="AT106" s="116"/>
      <c r="AU106" s="121"/>
      <c r="AV106" s="82"/>
    </row>
    <row r="107">
      <c r="A107" s="247" t="s">
        <v>5650</v>
      </c>
      <c r="B107" s="120" t="s">
        <v>5651</v>
      </c>
      <c r="C107" s="119" t="s">
        <v>5652</v>
      </c>
      <c r="D107" s="79" t="s">
        <v>5653</v>
      </c>
      <c r="E107" s="247" t="s">
        <v>5650</v>
      </c>
      <c r="F107" s="120" t="s">
        <v>5654</v>
      </c>
      <c r="G107" s="119" t="s">
        <v>5655</v>
      </c>
      <c r="H107" s="79" t="s">
        <v>5656</v>
      </c>
      <c r="I107" s="247" t="s">
        <v>5650</v>
      </c>
      <c r="J107" s="120" t="s">
        <v>5657</v>
      </c>
      <c r="K107" s="119" t="s">
        <v>5658</v>
      </c>
      <c r="L107" s="79" t="s">
        <v>5659</v>
      </c>
      <c r="M107" s="247" t="s">
        <v>5650</v>
      </c>
      <c r="N107" s="120" t="s">
        <v>5651</v>
      </c>
      <c r="O107" s="121" t="s">
        <v>5660</v>
      </c>
      <c r="P107" s="82" t="s">
        <v>5661</v>
      </c>
      <c r="Q107" s="247" t="s">
        <v>5650</v>
      </c>
      <c r="R107" s="132" t="s">
        <v>5651</v>
      </c>
      <c r="S107" s="121" t="str">
        <f>IFERROR(__xludf.DUMMYFUNCTION("GOOGLETRANSLATE(C107,""zh-tw"",""es-MX"")"),"Alimentar a ASABA con ""fresas"" te otorgará una mejora.")</f>
        <v>Alimentar a ASABA con "fresas" te otorgará una mejora.</v>
      </c>
      <c r="T107" s="82" t="str">
        <f>IFERROR(__xludf.DUMMYFUNCTION("GOOGLETRANSLATE(D107,""zh-tw"",""es-MX"")"),"Ponte en forma")</f>
        <v>Ponte en forma</v>
      </c>
      <c r="U107" s="247" t="s">
        <v>5650</v>
      </c>
      <c r="V107" s="132" t="str">
        <f>IFERROR(__xludf.DUMMYFUNCTION("GOOGLETRANSLATE(B107,""zh-tw"",""KO"")"),"아사바-3")</f>
        <v>아사바-3</v>
      </c>
      <c r="W107" s="121" t="str">
        <f>IFERROR(__xludf.DUMMYFUNCTION("GOOGLETRANSLATE(C107,""zh-tw"",""KO"")"),"아사바에게 ""딸기""를 먹이면 버프를 얻을 수 있습니다.")</f>
        <v>아사바에게 "딸기"를 먹이면 버프를 얻을 수 있습니다.</v>
      </c>
      <c r="X107" s="82" t="str">
        <f>IFERROR(__xludf.DUMMYFUNCTION("GOOGLETRANSLATE(D107,""zh-tw"",""KO"")"),"버프 받으세요")</f>
        <v>버프 받으세요</v>
      </c>
      <c r="Y107" s="247" t="s">
        <v>5650</v>
      </c>
      <c r="Z107" s="248" t="s">
        <v>5662</v>
      </c>
      <c r="AA107" s="249" t="s">
        <v>5663</v>
      </c>
      <c r="AB107" s="78" t="s">
        <v>5664</v>
      </c>
      <c r="AC107" s="247" t="s">
        <v>5650</v>
      </c>
      <c r="AD107" s="120" t="str">
        <f>IFERROR(__xludf.DUMMYFUNCTION("GOOGLETRANSLATE(B107,""zh-tw"",""de"")"),"ASABA-3")</f>
        <v>ASABA-3</v>
      </c>
      <c r="AE107" s="119" t="str">
        <f>IFERROR(__xludf.DUMMYFUNCTION("GOOGLETRANSLATE(C107,""zh-tw"",""de"")"),"Wenn du ASABA mit ""Erdbeeren"" fütterst, erhältst du einen Buff.")</f>
        <v>Wenn du ASABA mit "Erdbeeren" fütterst, erhältst du einen Buff.</v>
      </c>
      <c r="AF107" s="79" t="s">
        <v>5665</v>
      </c>
      <c r="AG107" s="247" t="s">
        <v>5650</v>
      </c>
      <c r="AH107" s="251" t="s">
        <v>5657</v>
      </c>
      <c r="AI107" s="145" t="s">
        <v>5666</v>
      </c>
      <c r="AJ107" s="148" t="s">
        <v>5667</v>
      </c>
      <c r="AK107" s="247" t="s">
        <v>5650</v>
      </c>
      <c r="AL107" s="132" t="s">
        <v>5657</v>
      </c>
      <c r="AM107" s="121" t="s">
        <v>5668</v>
      </c>
      <c r="AN107" s="82" t="s">
        <v>5669</v>
      </c>
      <c r="AO107" s="247" t="s">
        <v>5650</v>
      </c>
      <c r="AP107" s="116" t="s">
        <v>5651</v>
      </c>
      <c r="AQ107" s="121" t="s">
        <v>5670</v>
      </c>
      <c r="AR107" s="82" t="s">
        <v>5671</v>
      </c>
      <c r="AS107" s="247"/>
      <c r="AT107" s="116"/>
      <c r="AU107" s="121"/>
      <c r="AV107" s="82"/>
    </row>
    <row r="108">
      <c r="A108" s="247" t="s">
        <v>5672</v>
      </c>
      <c r="B108" s="120" t="s">
        <v>5673</v>
      </c>
      <c r="C108" s="119" t="s">
        <v>5674</v>
      </c>
      <c r="D108" s="79" t="s">
        <v>5675</v>
      </c>
      <c r="E108" s="247" t="s">
        <v>5672</v>
      </c>
      <c r="F108" s="120" t="s">
        <v>5676</v>
      </c>
      <c r="G108" s="119" t="s">
        <v>5677</v>
      </c>
      <c r="H108" s="79" t="s">
        <v>5678</v>
      </c>
      <c r="I108" s="247" t="s">
        <v>5672</v>
      </c>
      <c r="J108" s="120" t="s">
        <v>5679</v>
      </c>
      <c r="K108" s="119" t="s">
        <v>5680</v>
      </c>
      <c r="L108" s="79" t="s">
        <v>5681</v>
      </c>
      <c r="M108" s="247" t="s">
        <v>5672</v>
      </c>
      <c r="N108" s="120" t="s">
        <v>5673</v>
      </c>
      <c r="O108" s="121" t="s">
        <v>5682</v>
      </c>
      <c r="P108" s="82" t="s">
        <v>5683</v>
      </c>
      <c r="Q108" s="247" t="s">
        <v>5672</v>
      </c>
      <c r="R108" s="132" t="s">
        <v>5673</v>
      </c>
      <c r="S108" s="121" t="str">
        <f>IFERROR(__xludf.DUMMYFUNCTION("GOOGLETRANSLATE(C108,""zh-tw"",""es-MX"")"),"Derrotar al ASABA normal te recompensará con la ""Fresa de ASABA"".")</f>
        <v>Derrotar al ASABA normal te recompensará con la "Fresa de ASABA".</v>
      </c>
      <c r="T108" s="82" t="str">
        <f>IFERROR(__xludf.DUMMYFUNCTION("GOOGLETRANSLATE(D108,""zh-tw"",""es-MX"")"),"Fresas de ASABA")</f>
        <v>Fresas de ASABA</v>
      </c>
      <c r="U108" s="247" t="s">
        <v>5672</v>
      </c>
      <c r="V108" s="132" t="str">
        <f>IFERROR(__xludf.DUMMYFUNCTION("GOOGLETRANSLATE(B108,""zh-tw"",""KO"")"),"아사바-4")</f>
        <v>아사바-4</v>
      </c>
      <c r="W108" s="121" t="str">
        <f>IFERROR(__xludf.DUMMYFUNCTION("GOOGLETRANSLATE(C108,""zh-tw"",""KO"")"),"일반 아사바를 물리치면 ""아사바의 딸기""를 보상으로 받게 됩니다.")</f>
        <v>일반 아사바를 물리치면 "아사바의 딸기"를 보상으로 받게 됩니다.</v>
      </c>
      <c r="X108" s="82" t="str">
        <f>IFERROR(__xludf.DUMMYFUNCTION("GOOGLETRANSLATE(D108,""zh-tw"",""KO"")"),"아사바산 딸기")</f>
        <v>아사바산 딸기</v>
      </c>
      <c r="Y108" s="247" t="s">
        <v>5672</v>
      </c>
      <c r="Z108" s="248" t="s">
        <v>5684</v>
      </c>
      <c r="AA108" s="249" t="s">
        <v>5685</v>
      </c>
      <c r="AB108" s="69" t="s">
        <v>5686</v>
      </c>
      <c r="AC108" s="247" t="s">
        <v>5672</v>
      </c>
      <c r="AD108" s="120" t="str">
        <f>IFERROR(__xludf.DUMMYFUNCTION("GOOGLETRANSLATE(B108,""zh-tw"",""de"")"),"ASABA-4")</f>
        <v>ASABA-4</v>
      </c>
      <c r="AE108" s="119" t="str">
        <f>IFERROR(__xludf.DUMMYFUNCTION("GOOGLETRANSLATE(C108,""zh-tw"",""de"")"),"Wenn du den normalen ASABA besiegst, erhältst du als Belohnung ""ASABAs Erdbeere"".")</f>
        <v>Wenn du den normalen ASABA besiegst, erhältst du als Belohnung "ASABAs Erdbeere".</v>
      </c>
      <c r="AF108" s="79" t="s">
        <v>5687</v>
      </c>
      <c r="AG108" s="247" t="s">
        <v>5672</v>
      </c>
      <c r="AH108" s="251" t="s">
        <v>5679</v>
      </c>
      <c r="AI108" s="145" t="s">
        <v>5688</v>
      </c>
      <c r="AJ108" s="148" t="s">
        <v>5689</v>
      </c>
      <c r="AK108" s="247" t="s">
        <v>5672</v>
      </c>
      <c r="AL108" s="132" t="s">
        <v>5679</v>
      </c>
      <c r="AM108" s="121" t="s">
        <v>5690</v>
      </c>
      <c r="AN108" s="82" t="s">
        <v>5691</v>
      </c>
      <c r="AO108" s="247" t="s">
        <v>5672</v>
      </c>
      <c r="AP108" s="116" t="s">
        <v>5673</v>
      </c>
      <c r="AQ108" s="121" t="s">
        <v>5692</v>
      </c>
      <c r="AR108" s="82" t="s">
        <v>5693</v>
      </c>
      <c r="AS108" s="247"/>
      <c r="AT108" s="116"/>
      <c r="AU108" s="121"/>
      <c r="AV108" s="82"/>
    </row>
    <row r="109">
      <c r="A109" s="247" t="s">
        <v>5694</v>
      </c>
      <c r="B109" s="120" t="s">
        <v>5695</v>
      </c>
      <c r="C109" s="119" t="s">
        <v>5696</v>
      </c>
      <c r="D109" s="79" t="s">
        <v>5697</v>
      </c>
      <c r="E109" s="247" t="s">
        <v>5694</v>
      </c>
      <c r="F109" s="120" t="s">
        <v>5698</v>
      </c>
      <c r="G109" s="119" t="s">
        <v>5699</v>
      </c>
      <c r="H109" s="79" t="s">
        <v>5700</v>
      </c>
      <c r="I109" s="247" t="s">
        <v>5694</v>
      </c>
      <c r="J109" s="120" t="s">
        <v>5701</v>
      </c>
      <c r="K109" s="119" t="s">
        <v>5702</v>
      </c>
      <c r="L109" s="79" t="s">
        <v>5703</v>
      </c>
      <c r="M109" s="247" t="s">
        <v>5694</v>
      </c>
      <c r="N109" s="120" t="s">
        <v>5695</v>
      </c>
      <c r="O109" s="121" t="s">
        <v>5704</v>
      </c>
      <c r="P109" s="82" t="s">
        <v>5705</v>
      </c>
      <c r="Q109" s="247" t="s">
        <v>5694</v>
      </c>
      <c r="R109" s="132" t="s">
        <v>5695</v>
      </c>
      <c r="S109" s="121" t="str">
        <f>IFERROR(__xludf.DUMMYFUNCTION("GOOGLETRANSLATE(C109,""zh-tw"",""es-MX"")"),"Alimentar a ASABA con ""La fresa de ASABA"" iniciará una batalla contra un JEFE.")</f>
        <v>Alimentar a ASABA con "La fresa de ASABA" iniciará una batalla contra un JEFE.</v>
      </c>
      <c r="T109" s="82" t="str">
        <f>IFERROR(__xludf.DUMMYFUNCTION("GOOGLETRANSLATE(D109,""zh-tw"",""es-MX"")"),"Derrotar al enemigo te recompensará con la ""Fresa de ASABA"".")</f>
        <v>Derrotar al enemigo te recompensará con la "Fresa de ASABA".</v>
      </c>
      <c r="U109" s="247" t="s">
        <v>5694</v>
      </c>
      <c r="V109" s="132" t="str">
        <f>IFERROR(__xludf.DUMMYFUNCTION("GOOGLETRANSLATE(B109,""zh-tw"",""KO"")"),"아사바-5")</f>
        <v>아사바-5</v>
      </c>
      <c r="W109" s="121" t="str">
        <f>IFERROR(__xludf.DUMMYFUNCTION("GOOGLETRANSLATE(C109,""zh-tw"",""KO"")"),"아사바에게 ""아사바의 딸기""를 먹이면 보스전이 시작됩니다.")</f>
        <v>아사바에게 "아사바의 딸기"를 먹이면 보스전이 시작됩니다.</v>
      </c>
      <c r="X109" s="82" t="str">
        <f>IFERROR(__xludf.DUMMYFUNCTION("GOOGLETRANSLATE(D109,""zh-tw"",""KO"")"),"적을 물리치면 ""아사바의 딸기""를 보상으로 받게 됩니다.")</f>
        <v>적을 물리치면 "아사바의 딸기"를 보상으로 받게 됩니다.</v>
      </c>
      <c r="Y109" s="247" t="s">
        <v>5694</v>
      </c>
      <c r="Z109" s="248" t="s">
        <v>5706</v>
      </c>
      <c r="AA109" s="249" t="s">
        <v>5707</v>
      </c>
      <c r="AB109" s="69" t="s">
        <v>5708</v>
      </c>
      <c r="AC109" s="247" t="s">
        <v>5694</v>
      </c>
      <c r="AD109" s="120" t="str">
        <f>IFERROR(__xludf.DUMMYFUNCTION("GOOGLETRANSLATE(B109,""zh-tw"",""de"")"),"ASABA-5")</f>
        <v>ASABA-5</v>
      </c>
      <c r="AE109" s="119" t="str">
        <f>IFERROR(__xludf.DUMMYFUNCTION("GOOGLETRANSLATE(C109,""zh-tw"",""de"")"),"Wenn man ASABA mit „ASABAs Erdbeere“ füttert, wird ein Bosskampf ausgelöst.")</f>
        <v>Wenn man ASABA mit „ASABAs Erdbeere“ füttert, wird ein Bosskampf ausgelöst.</v>
      </c>
      <c r="AF109" s="79" t="s">
        <v>5709</v>
      </c>
      <c r="AG109" s="247" t="s">
        <v>5694</v>
      </c>
      <c r="AH109" s="251" t="s">
        <v>5701</v>
      </c>
      <c r="AI109" s="145" t="s">
        <v>5710</v>
      </c>
      <c r="AJ109" s="148" t="s">
        <v>5711</v>
      </c>
      <c r="AK109" s="247" t="s">
        <v>5694</v>
      </c>
      <c r="AL109" s="132" t="s">
        <v>5701</v>
      </c>
      <c r="AM109" s="121" t="s">
        <v>5712</v>
      </c>
      <c r="AN109" s="82" t="s">
        <v>5713</v>
      </c>
      <c r="AO109" s="247" t="s">
        <v>5694</v>
      </c>
      <c r="AP109" s="116" t="s">
        <v>5695</v>
      </c>
      <c r="AQ109" s="121" t="s">
        <v>5714</v>
      </c>
      <c r="AR109" s="82" t="s">
        <v>5715</v>
      </c>
      <c r="AS109" s="247"/>
      <c r="AT109" s="116"/>
      <c r="AU109" s="121"/>
      <c r="AV109" s="82"/>
    </row>
    <row r="110">
      <c r="A110" s="247" t="s">
        <v>5716</v>
      </c>
      <c r="B110" s="120" t="s">
        <v>5717</v>
      </c>
      <c r="C110" s="119" t="s">
        <v>5718</v>
      </c>
      <c r="D110" s="79" t="s">
        <v>5719</v>
      </c>
      <c r="E110" s="247" t="s">
        <v>5716</v>
      </c>
      <c r="F110" s="120" t="s">
        <v>5720</v>
      </c>
      <c r="G110" s="119" t="s">
        <v>5721</v>
      </c>
      <c r="H110" s="79" t="s">
        <v>5722</v>
      </c>
      <c r="I110" s="247" t="s">
        <v>5716</v>
      </c>
      <c r="J110" s="120" t="s">
        <v>5723</v>
      </c>
      <c r="K110" s="119" t="s">
        <v>5724</v>
      </c>
      <c r="L110" s="79" t="s">
        <v>5725</v>
      </c>
      <c r="M110" s="247" t="s">
        <v>5716</v>
      </c>
      <c r="N110" s="120" t="s">
        <v>5717</v>
      </c>
      <c r="O110" s="121" t="s">
        <v>5726</v>
      </c>
      <c r="P110" s="82" t="s">
        <v>5727</v>
      </c>
      <c r="Q110" s="247" t="s">
        <v>5716</v>
      </c>
      <c r="R110" s="132" t="s">
        <v>5717</v>
      </c>
      <c r="S110" s="121" t="str">
        <f>IFERROR(__xludf.DUMMYFUNCTION("GOOGLETRANSLATE(C110,""zh-tw"",""es-MX"")"),"Del mismo modo, cuantas más veces te golpee el ataque definitivo del JEFE, mayor será tu probabilidad de obtener objetos especiales.")</f>
        <v>Del mismo modo, cuantas más veces te golpee el ataque definitivo del JEFE, mayor será tu probabilidad de obtener objetos especiales.</v>
      </c>
      <c r="T110" s="82" t="str">
        <f>IFERROR(__xludf.DUMMYFUNCTION("GOOGLETRANSLATE(D110,""zh-tw"",""es-MX"")"),"Consigue el equipo ""¡Recupera las fresas!""
(Consulta la barra de habilidades para ver los comandos)")</f>
        <v>Consigue el equipo "¡Recupera las fresas!"
(Consulta la barra de habilidades para ver los comandos)</v>
      </c>
      <c r="U110" s="247" t="s">
        <v>5716</v>
      </c>
      <c r="V110" s="132" t="str">
        <f>IFERROR(__xludf.DUMMYFUNCTION("GOOGLETRANSLATE(B110,""zh-tw"",""KO"")"),"아사바-6")</f>
        <v>아사바-6</v>
      </c>
      <c r="W110" s="121" t="str">
        <f>IFERROR(__xludf.DUMMYFUNCTION("GOOGLETRANSLATE(C110,""zh-tw"",""KO"")"),"마찬가지로, 보스의 궁극기 공격을 더 많이 맞을수록 특별한 아이템을 얻을 확률이 높아집니다.")</f>
        <v>마찬가지로, 보스의 궁극기 공격을 더 많이 맞을수록 특별한 아이템을 얻을 확률이 높아집니다.</v>
      </c>
      <c r="X110" s="82" t="str">
        <f>IFERROR(__xludf.DUMMYFUNCTION("GOOGLETRANSLATE(D110,""zh-tw"",""KO"")"),"""딸기 되찾기!!"" 장비를 획득하세요!
(명령어는 스킬 바를 참조하세요)")</f>
        <v>"딸기 되찾기!!" 장비를 획득하세요!
(명령어는 스킬 바를 참조하세요)</v>
      </c>
      <c r="Y110" s="247" t="s">
        <v>5716</v>
      </c>
      <c r="Z110" s="248" t="s">
        <v>5728</v>
      </c>
      <c r="AA110" s="249" t="s">
        <v>5729</v>
      </c>
      <c r="AB110" s="69" t="s">
        <v>5730</v>
      </c>
      <c r="AC110" s="247" t="s">
        <v>5716</v>
      </c>
      <c r="AD110" s="120" t="str">
        <f>IFERROR(__xludf.DUMMYFUNCTION("GOOGLETRANSLATE(B110,""zh-tw"",""de"")"),"ASABA-6")</f>
        <v>ASABA-6</v>
      </c>
      <c r="AE110" s="119" t="str">
        <f>IFERROR(__xludf.DUMMYFUNCTION("GOOGLETRANSLATE(C110,""zh-tw"",""de"")"),"Genauso verhält es sich mit der ultimativen Attacke des BOSS: Je öfter man von ihr getroffen wird, desto größer ist die Chance, besondere Beute zu erhalten.")</f>
        <v>Genauso verhält es sich mit der ultimativen Attacke des BOSS: Je öfter man von ihr getroffen wird, desto größer ist die Chance, besondere Beute zu erhalten.</v>
      </c>
      <c r="AF110" s="79" t="str">
        <f>IFERROR(__xludf.DUMMYFUNCTION("GOOGLETRANSLATE(D110,""zh-tw"",""de"")"),"Hol dir die Ausrüstung „Erdbeeren zurückerobern!!“
(Befehle findest du in der Fertigkeitsleiste.)")</f>
        <v>Hol dir die Ausrüstung „Erdbeeren zurückerobern!!“
(Befehle findest du in der Fertigkeitsleiste.)</v>
      </c>
      <c r="AG110" s="247" t="s">
        <v>5716</v>
      </c>
      <c r="AH110" s="251" t="s">
        <v>5723</v>
      </c>
      <c r="AI110" s="145" t="s">
        <v>5731</v>
      </c>
      <c r="AJ110" s="148" t="s">
        <v>5732</v>
      </c>
      <c r="AK110" s="247" t="s">
        <v>5716</v>
      </c>
      <c r="AL110" s="132" t="s">
        <v>5723</v>
      </c>
      <c r="AM110" s="121" t="s">
        <v>5733</v>
      </c>
      <c r="AN110" s="82" t="s">
        <v>5734</v>
      </c>
      <c r="AO110" s="247" t="s">
        <v>5716</v>
      </c>
      <c r="AP110" s="116" t="s">
        <v>5717</v>
      </c>
      <c r="AQ110" s="121" t="s">
        <v>5735</v>
      </c>
      <c r="AR110" s="82" t="s">
        <v>5736</v>
      </c>
      <c r="AS110" s="247"/>
      <c r="AT110" s="116"/>
      <c r="AU110" s="121"/>
      <c r="AV110" s="82"/>
    </row>
    <row r="111">
      <c r="A111" s="247" t="s">
        <v>5737</v>
      </c>
      <c r="B111" s="120" t="s">
        <v>5738</v>
      </c>
      <c r="C111" s="119" t="s">
        <v>5739</v>
      </c>
      <c r="D111" s="79" t="s">
        <v>5740</v>
      </c>
      <c r="E111" s="247" t="s">
        <v>5737</v>
      </c>
      <c r="F111" s="120" t="s">
        <v>5738</v>
      </c>
      <c r="G111" s="119" t="s">
        <v>5741</v>
      </c>
      <c r="H111" s="79" t="s">
        <v>5742</v>
      </c>
      <c r="I111" s="247" t="s">
        <v>5737</v>
      </c>
      <c r="J111" s="120" t="s">
        <v>5738</v>
      </c>
      <c r="K111" s="119" t="s">
        <v>5743</v>
      </c>
      <c r="L111" s="79" t="s">
        <v>5744</v>
      </c>
      <c r="M111" s="247" t="s">
        <v>5737</v>
      </c>
      <c r="N111" s="120" t="s">
        <v>5738</v>
      </c>
      <c r="O111" s="121" t="s">
        <v>5745</v>
      </c>
      <c r="P111" s="82" t="s">
        <v>5746</v>
      </c>
      <c r="Q111" s="247" t="s">
        <v>5737</v>
      </c>
      <c r="R111" s="132" t="s">
        <v>5738</v>
      </c>
      <c r="S111" s="121" t="str">
        <f>IFERROR(__xludf.DUMMYFUNCTION("GOOGLETRANSLATE(C111,""zh-tw"",""es-MX"")"),"Este pequeño monstruo podría aparecer cuando estés friendo pescado.")</f>
        <v>Este pequeño monstruo podría aparecer cuando estés friendo pescado.</v>
      </c>
      <c r="T111" s="82" t="str">
        <f>IFERROR(__xludf.DUMMYFUNCTION("GOOGLETRANSLATE(D111,""zh-tw"",""es-MX"")"),"Tortuga Sakaban (Pequeña) - Botín al ser derrotada: ◉▽◉ (Azul)")</f>
        <v>Tortuga Sakaban (Pequeña) - Botín al ser derrotada: ◉▽◉ (Azul)</v>
      </c>
      <c r="U111" s="247" t="s">
        <v>5737</v>
      </c>
      <c r="V111" s="132" t="str">
        <f>IFERROR(__xludf.DUMMYFUNCTION("GOOGLETRANSLATE(B111,""zh-tw"",""KO"")"),"◉▽◉?")</f>
        <v>◉▽◉?</v>
      </c>
      <c r="W111" s="121" t="str">
        <f>IFERROR(__xludf.DUMMYFUNCTION("GOOGLETRANSLATE(C111,""zh-tw"",""KO"")"),"이 작은 괴물은 생선을 튀길 때 나타날 수도 있습니다.")</f>
        <v>이 작은 괴물은 생선을 튀길 때 나타날 수도 있습니다.</v>
      </c>
      <c r="X111" s="82" t="str">
        <f>IFERROR(__xludf.DUMMYFUNCTION("GOOGLETRANSLATE(D111,""zh-tw"",""KO"")"),"사카반 거북 (소형) - 처치 시 드롭 아이템: ◉▽◉ (파란색)")</f>
        <v>사카반 거북 (소형) - 처치 시 드롭 아이템: ◉▽◉ (파란색)</v>
      </c>
      <c r="Y111" s="247" t="s">
        <v>5737</v>
      </c>
      <c r="Z111" s="248" t="s">
        <v>5738</v>
      </c>
      <c r="AA111" s="249" t="s">
        <v>5747</v>
      </c>
      <c r="AB111" s="69" t="s">
        <v>5748</v>
      </c>
      <c r="AC111" s="247" t="s">
        <v>5737</v>
      </c>
      <c r="AD111" s="120" t="str">
        <f>IFERROR(__xludf.DUMMYFUNCTION("GOOGLETRANSLATE(B111,""zh-tw"",""de"")"),"◉▽◉?")</f>
        <v>◉▽◉?</v>
      </c>
      <c r="AE111" s="119" t="str">
        <f>IFERROR(__xludf.DUMMYFUNCTION("GOOGLETRANSLATE(C111,""zh-tw"",""de"")"),"Dieses kleine Monster könnte auftauchen, wenn man gerade Fisch brät.")</f>
        <v>Dieses kleine Monster könnte auftauchen, wenn man gerade Fisch brät.</v>
      </c>
      <c r="AF111" s="79" t="str">
        <f>IFERROR(__xludf.DUMMYFUNCTION("GOOGLETRANSLATE(D111,""zh-tw"",""de"")"),"Sakaban-Schildkröte (Klein) - Beute nach Niederlage: ◉▽◉ (Blau)")</f>
        <v>Sakaban-Schildkröte (Klein) - Beute nach Niederlage: ◉▽◉ (Blau)</v>
      </c>
      <c r="AG111" s="247" t="s">
        <v>5737</v>
      </c>
      <c r="AH111" s="126" t="s">
        <v>5738</v>
      </c>
      <c r="AI111" s="145" t="s">
        <v>5749</v>
      </c>
      <c r="AJ111" s="148" t="s">
        <v>5750</v>
      </c>
      <c r="AK111" s="247" t="s">
        <v>5737</v>
      </c>
      <c r="AL111" s="132" t="s">
        <v>5738</v>
      </c>
      <c r="AM111" s="121" t="s">
        <v>5751</v>
      </c>
      <c r="AN111" s="82" t="s">
        <v>5752</v>
      </c>
      <c r="AO111" s="247" t="s">
        <v>5737</v>
      </c>
      <c r="AP111" s="116" t="s">
        <v>5738</v>
      </c>
      <c r="AQ111" s="121" t="s">
        <v>5753</v>
      </c>
      <c r="AR111" s="82" t="s">
        <v>5754</v>
      </c>
      <c r="AS111" s="247"/>
      <c r="AT111" s="116"/>
      <c r="AU111" s="121"/>
      <c r="AV111" s="82"/>
    </row>
    <row r="112">
      <c r="A112" s="247" t="s">
        <v>5755</v>
      </c>
      <c r="B112" s="120" t="s">
        <v>5756</v>
      </c>
      <c r="C112" s="119" t="s">
        <v>5757</v>
      </c>
      <c r="D112" s="79" t="s">
        <v>5758</v>
      </c>
      <c r="E112" s="247" t="s">
        <v>5755</v>
      </c>
      <c r="F112" s="120" t="s">
        <v>5756</v>
      </c>
      <c r="G112" s="119" t="s">
        <v>5759</v>
      </c>
      <c r="H112" s="79" t="s">
        <v>5760</v>
      </c>
      <c r="I112" s="247" t="s">
        <v>5755</v>
      </c>
      <c r="J112" s="120" t="s">
        <v>5756</v>
      </c>
      <c r="K112" s="119" t="s">
        <v>5761</v>
      </c>
      <c r="L112" s="79" t="s">
        <v>5762</v>
      </c>
      <c r="M112" s="247" t="s">
        <v>5755</v>
      </c>
      <c r="N112" s="120" t="s">
        <v>5756</v>
      </c>
      <c r="O112" s="121" t="s">
        <v>5763</v>
      </c>
      <c r="P112" s="82" t="s">
        <v>5764</v>
      </c>
      <c r="Q112" s="247" t="s">
        <v>5755</v>
      </c>
      <c r="R112" s="132" t="s">
        <v>5756</v>
      </c>
      <c r="S112" s="121" t="str">
        <f>IFERROR(__xludf.DUMMYFUNCTION("GOOGLETRANSLATE(C112,""zh-tw"",""es-MX"")"),"Este monstruo puede aparecer con baja probabilidad al freír pescado.")</f>
        <v>Este monstruo puede aparecer con baja probabilidad al freír pescado.</v>
      </c>
      <c r="T112" s="82" t="str">
        <f>IFERROR(__xludf.DUMMYFUNCTION("GOOGLETRANSLATE(D112,""zh-tw"",""es-MX"")"),"Tortuga Sakaban (Grande) - Suelta al ser derrotada: ◉▽◉ (Morado)")</f>
        <v>Tortuga Sakaban (Grande) - Suelta al ser derrotada: ◉▽◉ (Morado)</v>
      </c>
      <c r="U112" s="247" t="s">
        <v>5755</v>
      </c>
      <c r="V112" s="132" t="str">
        <f>IFERROR(__xludf.DUMMYFUNCTION("GOOGLETRANSLATE(B112,""zh-tw"",""KO"")"),"◉▽◉!?")</f>
        <v>◉▽◉!?</v>
      </c>
      <c r="W112" s="121" t="str">
        <f>IFERROR(__xludf.DUMMYFUNCTION("GOOGLETRANSLATE(C112,""zh-tw"",""KO"")"),"이 괴물은 생선을 튀길 때 낮은 확률로 나타날 수 있습니다.")</f>
        <v>이 괴물은 생선을 튀길 때 낮은 확률로 나타날 수 있습니다.</v>
      </c>
      <c r="X112" s="82" t="str">
        <f>IFERROR(__xludf.DUMMYFUNCTION("GOOGLETRANSLATE(D112,""zh-tw"",""KO"")"),"사카반 거북 (대형) - 처치 시 드롭 아이템: ◉▽◉ (보라색)")</f>
        <v>사카반 거북 (대형) - 처치 시 드롭 아이템: ◉▽◉ (보라색)</v>
      </c>
      <c r="Y112" s="247" t="s">
        <v>5755</v>
      </c>
      <c r="Z112" s="248" t="s">
        <v>5765</v>
      </c>
      <c r="AA112" s="249" t="s">
        <v>5766</v>
      </c>
      <c r="AB112" s="69" t="s">
        <v>5767</v>
      </c>
      <c r="AC112" s="247" t="s">
        <v>5755</v>
      </c>
      <c r="AD112" s="120" t="str">
        <f>IFERROR(__xludf.DUMMYFUNCTION("GOOGLETRANSLATE(B112,""zh-tw"",""de"")"),"◉▽◉!?")</f>
        <v>◉▽◉!?</v>
      </c>
      <c r="AE112" s="119" t="str">
        <f>IFERROR(__xludf.DUMMYFUNCTION("GOOGLETRANSLATE(C112,""zh-tw"",""de"")"),"Dieses Monster kann mit geringer Wahrscheinlichkeit beim Braten von Fisch erscheinen.")</f>
        <v>Dieses Monster kann mit geringer Wahrscheinlichkeit beim Braten von Fisch erscheinen.</v>
      </c>
      <c r="AF112" s="79" t="str">
        <f>IFERROR(__xludf.DUMMYFUNCTION("GOOGLETRANSLATE(D112,""zh-tw"",""de"")"),"Sakaban-Schildkröte (Groß) – Beute nach Niederlage: ◉▽◉ (Lila)")</f>
        <v>Sakaban-Schildkröte (Groß) – Beute nach Niederlage: ◉▽◉ (Lila)</v>
      </c>
      <c r="AG112" s="247" t="s">
        <v>5755</v>
      </c>
      <c r="AH112" s="126" t="s">
        <v>5756</v>
      </c>
      <c r="AI112" s="145" t="s">
        <v>5768</v>
      </c>
      <c r="AJ112" s="148" t="s">
        <v>5769</v>
      </c>
      <c r="AK112" s="247" t="s">
        <v>5755</v>
      </c>
      <c r="AL112" s="132" t="s">
        <v>5756</v>
      </c>
      <c r="AM112" s="121" t="s">
        <v>5770</v>
      </c>
      <c r="AN112" s="82" t="s">
        <v>5771</v>
      </c>
      <c r="AO112" s="247" t="s">
        <v>5755</v>
      </c>
      <c r="AP112" s="116" t="s">
        <v>5756</v>
      </c>
      <c r="AQ112" s="121" t="s">
        <v>5772</v>
      </c>
      <c r="AR112" s="82" t="s">
        <v>5773</v>
      </c>
      <c r="AS112" s="247"/>
      <c r="AT112" s="116"/>
      <c r="AU112" s="121"/>
      <c r="AV112" s="82"/>
    </row>
    <row r="113">
      <c r="A113" s="247" t="s">
        <v>5774</v>
      </c>
      <c r="B113" s="120" t="s">
        <v>5775</v>
      </c>
      <c r="C113" s="119" t="s">
        <v>5776</v>
      </c>
      <c r="D113" s="79" t="s">
        <v>5777</v>
      </c>
      <c r="E113" s="247" t="s">
        <v>5774</v>
      </c>
      <c r="F113" s="120" t="s">
        <v>5775</v>
      </c>
      <c r="G113" s="119" t="s">
        <v>5778</v>
      </c>
      <c r="H113" s="79" t="s">
        <v>5779</v>
      </c>
      <c r="I113" s="247" t="s">
        <v>5774</v>
      </c>
      <c r="J113" s="120" t="s">
        <v>5775</v>
      </c>
      <c r="K113" s="119" t="s">
        <v>5780</v>
      </c>
      <c r="L113" s="79" t="s">
        <v>5781</v>
      </c>
      <c r="M113" s="247" t="s">
        <v>5774</v>
      </c>
      <c r="N113" s="120" t="s">
        <v>5775</v>
      </c>
      <c r="O113" s="121" t="s">
        <v>5782</v>
      </c>
      <c r="P113" s="82" t="s">
        <v>5783</v>
      </c>
      <c r="Q113" s="247" t="s">
        <v>5774</v>
      </c>
      <c r="R113" s="132" t="s">
        <v>5784</v>
      </c>
      <c r="S113" s="121" t="str">
        <f>IFERROR(__xludf.DUMMYFUNCTION("GOOGLETRANSLATE(C113,""zh-tw"",""es-MX"")"),"Cuando se dan las raras circunstancias y se cumplen las condiciones del terreno, puede aparecer un JEFE.
(Explicación detallada en los CONSEJOS)")</f>
        <v>Cuando se dan las raras circunstancias y se cumplen las condiciones del terreno, puede aparecer un JEFE.
(Explicación detallada en los CONSEJOS)</v>
      </c>
      <c r="T113" s="82" t="str">
        <f>IFERROR(__xludf.DUMMYFUNCTION("GOOGLETRANSLATE(D113,""zh-tw"",""es-MX"")"),"Jefe invocado: ¡El Señor del Río, que debería estar extinto! (Rey Tortuga)
Botín al ser derrotado: Decreto Real, ◉▽◉ (Rosa)")</f>
        <v>Jefe invocado: ¡El Señor del Río, que debería estar extinto! (Rey Tortuga)
Botín al ser derrotado: Decreto Real, ◉▽◉ (Rosa)</v>
      </c>
      <c r="U113" s="247" t="s">
        <v>5774</v>
      </c>
      <c r="V113" s="132" t="str">
        <f>IFERROR(__xludf.DUMMYFUNCTION("GOOGLETRANSLATE(B113,""zh-tw"",""KO"")"),"♔
◉▽◉")</f>
        <v>♔
◉▽◉</v>
      </c>
      <c r="W113" s="121" t="str">
        <f>IFERROR(__xludf.DUMMYFUNCTION("GOOGLETRANSLATE(C113,""zh-tw"",""KO"")"),"극히 드문 경우이지만, 충분한 확률이 확보되고 지형 조건이 충족되면 보스 몬스터가 소환될 수 있습니다.
(자세한 설명은 팁을 참조하세요)")</f>
        <v>극히 드문 경우이지만, 충분한 확률이 확보되고 지형 조건이 충족되면 보스 몬스터가 소환될 수 있습니다.
(자세한 설명은 팁을 참조하세요)</v>
      </c>
      <c r="X113" s="82" t="str">
        <f>IFERROR(__xludf.DUMMYFUNCTION("GOOGLETRANSLATE(D113,""zh-tw"",""KO"")"),"소환 보스: 사라져야 할 강의 군주!? (거북왕)
전리품: 왕의 칙령, ◉▽◉ (분홍색)")</f>
        <v>소환 보스: 사라져야 할 강의 군주!? (거북왕)
전리품: 왕의 칙령, ◉▽◉ (분홍색)</v>
      </c>
      <c r="Y113" s="247" t="s">
        <v>5774</v>
      </c>
      <c r="Z113" s="248" t="s">
        <v>5784</v>
      </c>
      <c r="AA113" s="249" t="s">
        <v>5785</v>
      </c>
      <c r="AB113" s="69" t="s">
        <v>5786</v>
      </c>
      <c r="AC113" s="247" t="s">
        <v>5774</v>
      </c>
      <c r="AD113" s="120" t="str">
        <f>IFERROR(__xludf.DUMMYFUNCTION("GOOGLETRANSLATE(B113,""zh-tw"",""de"")"),"♔
◉▽◉")</f>
        <v>♔
◉▽◉</v>
      </c>
      <c r="AE113" s="119" t="str">
        <f>IFERROR(__xludf.DUMMYFUNCTION("GOOGLETRANSLATE(C113,""zh-tw"",""de"")"),"Wenn die seltene Chance groß genug ist und die Geländebedingungen erfüllt sind, kann ein Boss beschworen werden.
(Detaillierte Erklärung in den Tipps)")</f>
        <v>Wenn die seltene Chance groß genug ist und die Geländebedingungen erfüllt sind, kann ein Boss beschworen werden.
(Detaillierte Erklärung in den Tipps)</v>
      </c>
      <c r="AF113" s="79" t="str">
        <f>IFERROR(__xludf.DUMMYFUNCTION("GOOGLETRANSLATE(D113,""zh-tw"",""de"")"),"Beschwörungsboss: Der Flusskönig, der doch ausgestorben sein sollte!? (Schildkrötenkönig)
Beute nach dem Sieg: Königlicher Erlass, ◉▽◉ (Pink)")</f>
        <v>Beschwörungsboss: Der Flusskönig, der doch ausgestorben sein sollte!? (Schildkrötenkönig)
Beute nach dem Sieg: Königlicher Erlass, ◉▽◉ (Pink)</v>
      </c>
      <c r="AG113" s="247" t="s">
        <v>5774</v>
      </c>
      <c r="AH113" s="147" t="s">
        <v>5784</v>
      </c>
      <c r="AI113" s="145" t="s">
        <v>5787</v>
      </c>
      <c r="AJ113" s="146" t="s">
        <v>5788</v>
      </c>
      <c r="AK113" s="247" t="s">
        <v>5774</v>
      </c>
      <c r="AL113" s="132" t="s">
        <v>5775</v>
      </c>
      <c r="AM113" s="121" t="s">
        <v>5789</v>
      </c>
      <c r="AN113" s="79" t="s">
        <v>5790</v>
      </c>
      <c r="AO113" s="247" t="s">
        <v>5774</v>
      </c>
      <c r="AP113" s="116" t="s">
        <v>5784</v>
      </c>
      <c r="AQ113" s="121" t="s">
        <v>5791</v>
      </c>
      <c r="AR113" s="82" t="s">
        <v>5792</v>
      </c>
      <c r="AS113" s="247"/>
      <c r="AT113" s="116"/>
      <c r="AU113" s="121"/>
      <c r="AV113" s="82"/>
    </row>
    <row r="114">
      <c r="A114" s="247" t="s">
        <v>5793</v>
      </c>
      <c r="B114" s="120" t="s">
        <v>5794</v>
      </c>
      <c r="C114" s="119" t="s">
        <v>5795</v>
      </c>
      <c r="D114" s="79" t="s">
        <v>5796</v>
      </c>
      <c r="E114" s="247" t="s">
        <v>5793</v>
      </c>
      <c r="F114" s="120" t="s">
        <v>5797</v>
      </c>
      <c r="G114" s="119" t="s">
        <v>5798</v>
      </c>
      <c r="H114" s="79" t="s">
        <v>5799</v>
      </c>
      <c r="I114" s="247" t="s">
        <v>5793</v>
      </c>
      <c r="J114" s="120" t="s">
        <v>5800</v>
      </c>
      <c r="K114" s="119" t="s">
        <v>5801</v>
      </c>
      <c r="L114" s="79" t="s">
        <v>5802</v>
      </c>
      <c r="M114" s="247" t="s">
        <v>5793</v>
      </c>
      <c r="N114" s="120" t="s">
        <v>5803</v>
      </c>
      <c r="O114" s="121" t="s">
        <v>5804</v>
      </c>
      <c r="P114" s="82" t="s">
        <v>5805</v>
      </c>
      <c r="Q114" s="247" t="s">
        <v>5793</v>
      </c>
      <c r="R114" s="132" t="s">
        <v>5806</v>
      </c>
      <c r="S114" s="121" t="str">
        <f>IFERROR(__xludf.DUMMYFUNCTION("GOOGLETRANSLATE(C114,""zh-tw"",""es-MX"")"),"Cuando las tortugas seguidoras o el rey tortuga se encuentran con la superficie del agua, corren de vuelta al agua.")</f>
        <v>Cuando las tortugas seguidoras o el rey tortuga se encuentran con la superficie del agua, corren de vuelta al agua.</v>
      </c>
      <c r="T114" s="82" t="str">
        <f>IFERROR(__xludf.DUMMYFUNCTION("GOOGLETRANSLATE(D114,""zh-tw"",""es-MX"")"),"Escape de objeto")</f>
        <v>Escape de objeto</v>
      </c>
      <c r="U114" s="247" t="s">
        <v>5793</v>
      </c>
      <c r="V114" s="132" t="str">
        <f>IFERROR(__xludf.DUMMYFUNCTION("GOOGLETRANSLATE(B114,""zh-tw"",""KO"")"),"물로 돌아가기")</f>
        <v>물로 돌아가기</v>
      </c>
      <c r="W114" s="121" t="str">
        <f>IFERROR(__xludf.DUMMYFUNCTION("GOOGLETRANSLATE(C114,""zh-tw"",""KO"")"),"거북이의 추종자들이나 거북이 왕은 수면을 만나면 다시 물속으로 뛰어들어갑니다.")</f>
        <v>거북이의 추종자들이나 거북이 왕은 수면을 만나면 다시 물속으로 뛰어들어갑니다.</v>
      </c>
      <c r="X114" s="82" t="str">
        <f>IFERROR(__xludf.DUMMYFUNCTION("GOOGLETRANSLATE(D114,""zh-tw"",""KO"")"),"객체 탈출")</f>
        <v>객체 탈출</v>
      </c>
      <c r="Y114" s="247" t="s">
        <v>5793</v>
      </c>
      <c r="Z114" s="122" t="s">
        <v>5807</v>
      </c>
      <c r="AA114" s="162" t="s">
        <v>5808</v>
      </c>
      <c r="AB114" s="142" t="s">
        <v>5809</v>
      </c>
      <c r="AC114" s="247" t="s">
        <v>5793</v>
      </c>
      <c r="AD114" s="120" t="s">
        <v>5810</v>
      </c>
      <c r="AE114" s="119" t="str">
        <f>IFERROR(__xludf.DUMMYFUNCTION("GOOGLETRANSLATE(C114,""zh-tw"",""de"")"),"Wenn die Schildkrötenanhänger oder der Schildkrötenkönig die Wasseroberfläche erreichen, rennen sie zurück ins Wasser.")</f>
        <v>Wenn die Schildkrötenanhänger oder der Schildkrötenkönig die Wasseroberfläche erreichen, rennen sie zurück ins Wasser.</v>
      </c>
      <c r="AF114" s="79" t="s">
        <v>5811</v>
      </c>
      <c r="AG114" s="247" t="s">
        <v>5793</v>
      </c>
      <c r="AH114" s="251" t="s">
        <v>5812</v>
      </c>
      <c r="AI114" s="145" t="s">
        <v>5813</v>
      </c>
      <c r="AJ114" s="148" t="s">
        <v>5814</v>
      </c>
      <c r="AK114" s="247" t="s">
        <v>5793</v>
      </c>
      <c r="AL114" s="132" t="s">
        <v>5815</v>
      </c>
      <c r="AM114" s="119" t="s">
        <v>5816</v>
      </c>
      <c r="AN114" s="82" t="s">
        <v>5817</v>
      </c>
      <c r="AO114" s="247" t="s">
        <v>5793</v>
      </c>
      <c r="AP114" s="116" t="s">
        <v>5818</v>
      </c>
      <c r="AQ114" s="121" t="s">
        <v>5819</v>
      </c>
      <c r="AR114" s="82" t="s">
        <v>5820</v>
      </c>
      <c r="AS114" s="247"/>
      <c r="AT114" s="116"/>
      <c r="AU114" s="121"/>
      <c r="AV114" s="82"/>
    </row>
    <row r="115">
      <c r="A115" s="247" t="s">
        <v>5821</v>
      </c>
      <c r="B115" s="120" t="s">
        <v>5822</v>
      </c>
      <c r="C115" s="119" t="s">
        <v>5823</v>
      </c>
      <c r="D115" s="79" t="s">
        <v>1097</v>
      </c>
      <c r="E115" s="247" t="s">
        <v>5821</v>
      </c>
      <c r="F115" s="120" t="s">
        <v>5824</v>
      </c>
      <c r="G115" s="119" t="s">
        <v>5825</v>
      </c>
      <c r="H115" s="79" t="s">
        <v>1100</v>
      </c>
      <c r="I115" s="247" t="s">
        <v>5821</v>
      </c>
      <c r="J115" s="120" t="s">
        <v>5826</v>
      </c>
      <c r="K115" s="119" t="s">
        <v>5827</v>
      </c>
      <c r="L115" s="79" t="s">
        <v>1425</v>
      </c>
      <c r="M115" s="247" t="s">
        <v>5821</v>
      </c>
      <c r="N115" s="120" t="s">
        <v>5828</v>
      </c>
      <c r="O115" s="121" t="s">
        <v>5829</v>
      </c>
      <c r="P115" s="82" t="s">
        <v>3209</v>
      </c>
      <c r="Q115" s="247" t="s">
        <v>5821</v>
      </c>
      <c r="R115" s="132" t="s">
        <v>5830</v>
      </c>
      <c r="S115" s="121" t="str">
        <f>IFERROR(__xludf.DUMMYFUNCTION("GOOGLETRANSLATE(C115,""zh-tw"",""es-MX"")"),"Tras descongelar la Gran Espada de Zanahoria Congelada sobre una hoguera, podrás obtener la Gran Espada de Zanahoria Mohosa.")</f>
        <v>Tras descongelar la Gran Espada de Zanahoria Congelada sobre una hoguera, podrás obtener la Gran Espada de Zanahoria Mohosa.</v>
      </c>
      <c r="T115" s="82" t="str">
        <f>IFERROR(__xludf.DUMMYFUNCTION("GOOGLETRANSLATE(D115,""zh-tw"",""es-MX"")"),"No implementado")</f>
        <v>No implementado</v>
      </c>
      <c r="U115" s="247" t="s">
        <v>5821</v>
      </c>
      <c r="V115" s="132" t="str">
        <f>IFERROR(__xludf.DUMMYFUNCTION("GOOGLETRANSLATE(B115,""zh-tw"",""KO"")"),"큰 검")</f>
        <v>큰 검</v>
      </c>
      <c r="W115" s="121" t="str">
        <f>IFERROR(__xludf.DUMMYFUNCTION("GOOGLETRANSLATE(C115,""zh-tw"",""KO"")"),"캠프파이어에서 얼어붙은 당근 대검을 녹이면 곰팡이 핀 당근 대검을 얻을 수 있습니다.")</f>
        <v>캠프파이어에서 얼어붙은 당근 대검을 녹이면 곰팡이 핀 당근 대검을 얻을 수 있습니다.</v>
      </c>
      <c r="X115" s="82" t="str">
        <f>IFERROR(__xludf.DUMMYFUNCTION("GOOGLETRANSLATE(D115,""zh-tw"",""KO"")"),"구현되지 않음")</f>
        <v>구현되지 않음</v>
      </c>
      <c r="Y115" s="247" t="s">
        <v>5821</v>
      </c>
      <c r="Z115" s="122" t="s">
        <v>5831</v>
      </c>
      <c r="AA115" s="162" t="s">
        <v>5832</v>
      </c>
      <c r="AB115" s="142" t="s">
        <v>5525</v>
      </c>
      <c r="AC115" s="247" t="s">
        <v>5821</v>
      </c>
      <c r="AD115" s="120" t="s">
        <v>5833</v>
      </c>
      <c r="AE115" s="119" t="str">
        <f>IFERROR(__xludf.DUMMYFUNCTION("GOOGLETRANSLATE(C115,""zh-tw"",""de"")"),"Nachdem man das gefrorene Karotten-Großschwert über einem Lagerfeuer aufgetaut hat, kann man das verschimmelte Karotten-Großschwert erhalten.")</f>
        <v>Nachdem man das gefrorene Karotten-Großschwert über einem Lagerfeuer aufgetaut hat, kann man das verschimmelte Karotten-Großschwert erhalten.</v>
      </c>
      <c r="AF115" s="79" t="s">
        <v>1115</v>
      </c>
      <c r="AG115" s="247" t="s">
        <v>5821</v>
      </c>
      <c r="AH115" s="251" t="s">
        <v>5834</v>
      </c>
      <c r="AI115" s="149" t="s">
        <v>5835</v>
      </c>
      <c r="AJ115" s="148" t="s">
        <v>1283</v>
      </c>
      <c r="AK115" s="247" t="s">
        <v>5821</v>
      </c>
      <c r="AL115" s="132" t="s">
        <v>5836</v>
      </c>
      <c r="AM115" s="121" t="s">
        <v>5837</v>
      </c>
      <c r="AN115" s="82" t="s">
        <v>1436</v>
      </c>
      <c r="AO115" s="247" t="s">
        <v>5821</v>
      </c>
      <c r="AP115" s="116" t="s">
        <v>5838</v>
      </c>
      <c r="AQ115" s="121" t="s">
        <v>5839</v>
      </c>
      <c r="AR115" s="82" t="s">
        <v>1691</v>
      </c>
      <c r="AS115" s="247"/>
      <c r="AT115" s="116"/>
      <c r="AU115" s="121"/>
      <c r="AV115" s="82"/>
    </row>
    <row r="116">
      <c r="A116" s="247" t="s">
        <v>5840</v>
      </c>
      <c r="B116" s="120" t="s">
        <v>5841</v>
      </c>
      <c r="C116" s="119" t="s">
        <v>5842</v>
      </c>
      <c r="D116" s="79" t="s">
        <v>1097</v>
      </c>
      <c r="E116" s="247" t="s">
        <v>5840</v>
      </c>
      <c r="F116" s="120" t="s">
        <v>5843</v>
      </c>
      <c r="G116" s="119" t="s">
        <v>5844</v>
      </c>
      <c r="H116" s="79" t="s">
        <v>1100</v>
      </c>
      <c r="I116" s="247" t="s">
        <v>5840</v>
      </c>
      <c r="J116" s="120" t="s">
        <v>5845</v>
      </c>
      <c r="K116" s="119" t="s">
        <v>5846</v>
      </c>
      <c r="L116" s="79" t="s">
        <v>1425</v>
      </c>
      <c r="M116" s="247" t="s">
        <v>5840</v>
      </c>
      <c r="N116" s="120" t="s">
        <v>5847</v>
      </c>
      <c r="O116" s="121" t="s">
        <v>5848</v>
      </c>
      <c r="P116" s="82" t="s">
        <v>3209</v>
      </c>
      <c r="Q116" s="247" t="s">
        <v>5840</v>
      </c>
      <c r="R116" s="132" t="s">
        <v>5849</v>
      </c>
      <c r="S116" s="121" t="str">
        <f>IFERROR(__xludf.DUMMYFUNCTION("GOOGLETRANSLATE(C116,""zh-tw"",""es-MX"")"),"Usar la gran espada de zanahoria alrededor de la fogata invocará a una simpática conejita sirvienta que te ayudará a teletransportarte por el mapa.")</f>
        <v>Usar la gran espada de zanahoria alrededor de la fogata invocará a una simpática conejita sirvienta que te ayudará a teletransportarte por el mapa.</v>
      </c>
      <c r="T116" s="82" t="str">
        <f>IFERROR(__xludf.DUMMYFUNCTION("GOOGLETRANSLATE(D116,""zh-tw"",""es-MX"")"),"No implementado")</f>
        <v>No implementado</v>
      </c>
      <c r="U116" s="247" t="s">
        <v>5840</v>
      </c>
      <c r="V116" s="132" t="str">
        <f>IFERROR(__xludf.DUMMYFUNCTION("GOOGLETRANSLATE(B116,""zh-tw"",""KO"")"),"당근 대검 - 1")</f>
        <v>당근 대검 - 1</v>
      </c>
      <c r="W116" s="121" t="str">
        <f>IFERROR(__xludf.DUMMYFUNCTION("GOOGLETRANSLATE(C116,""zh-tw"",""KO"")"),"캠프파이어 주변에서 당근 대검을 사용하면 친절한 토끼 하녀가 소환되어 지도 곳곳으로 순간 이동하는 것을 도와줍니다.")</f>
        <v>캠프파이어 주변에서 당근 대검을 사용하면 친절한 토끼 하녀가 소환되어 지도 곳곳으로 순간 이동하는 것을 도와줍니다.</v>
      </c>
      <c r="X116" s="82" t="str">
        <f>IFERROR(__xludf.DUMMYFUNCTION("GOOGLETRANSLATE(D116,""zh-tw"",""KO"")"),"구현되지 않음")</f>
        <v>구현되지 않음</v>
      </c>
      <c r="Y116" s="247" t="s">
        <v>5840</v>
      </c>
      <c r="Z116" s="122" t="s">
        <v>5850</v>
      </c>
      <c r="AA116" s="162" t="s">
        <v>5851</v>
      </c>
      <c r="AB116" s="142" t="s">
        <v>5525</v>
      </c>
      <c r="AC116" s="247" t="s">
        <v>5840</v>
      </c>
      <c r="AD116" s="120" t="s">
        <v>5852</v>
      </c>
      <c r="AE116" s="119" t="str">
        <f>IFERROR(__xludf.DUMMYFUNCTION("GOOGLETRANSLATE(C116,""zh-tw"",""de"")"),"Wenn du das Karotten-Großschwert am Lagerfeuer benutzt, beschwörst du ein freundliches Dienstmädchen-Häschen, das dir beim Teleportieren auf der Karte hilft.")</f>
        <v>Wenn du das Karotten-Großschwert am Lagerfeuer benutzt, beschwörst du ein freundliches Dienstmädchen-Häschen, das dir beim Teleportieren auf der Karte hilft.</v>
      </c>
      <c r="AF116" s="79" t="s">
        <v>1115</v>
      </c>
      <c r="AG116" s="247" t="s">
        <v>5840</v>
      </c>
      <c r="AH116" s="251" t="s">
        <v>5853</v>
      </c>
      <c r="AI116" s="145" t="s">
        <v>5854</v>
      </c>
      <c r="AJ116" s="148" t="s">
        <v>1283</v>
      </c>
      <c r="AK116" s="247" t="s">
        <v>5840</v>
      </c>
      <c r="AL116" s="132" t="s">
        <v>5855</v>
      </c>
      <c r="AM116" s="121" t="s">
        <v>5856</v>
      </c>
      <c r="AN116" s="82" t="s">
        <v>1436</v>
      </c>
      <c r="AO116" s="247" t="s">
        <v>5840</v>
      </c>
      <c r="AP116" s="116" t="s">
        <v>5857</v>
      </c>
      <c r="AQ116" s="121" t="s">
        <v>5858</v>
      </c>
      <c r="AR116" s="82" t="s">
        <v>1691</v>
      </c>
      <c r="AS116" s="247"/>
      <c r="AT116" s="116"/>
      <c r="AU116" s="121"/>
      <c r="AV116" s="82"/>
    </row>
    <row r="117">
      <c r="A117" s="247" t="s">
        <v>5859</v>
      </c>
      <c r="B117" s="120" t="s">
        <v>5860</v>
      </c>
      <c r="C117" s="119" t="s">
        <v>5861</v>
      </c>
      <c r="D117" s="79" t="s">
        <v>5862</v>
      </c>
      <c r="E117" s="247" t="s">
        <v>5859</v>
      </c>
      <c r="F117" s="120" t="s">
        <v>5863</v>
      </c>
      <c r="G117" s="119" t="s">
        <v>5864</v>
      </c>
      <c r="H117" s="79" t="s">
        <v>5865</v>
      </c>
      <c r="I117" s="247" t="s">
        <v>5859</v>
      </c>
      <c r="J117" s="120" t="s">
        <v>5866</v>
      </c>
      <c r="K117" s="119" t="s">
        <v>5867</v>
      </c>
      <c r="L117" s="79" t="s">
        <v>5868</v>
      </c>
      <c r="M117" s="247" t="s">
        <v>5859</v>
      </c>
      <c r="N117" s="120" t="str">
        <f>IFERROR(__xludf.DUMMYFUNCTION("GOOGLETRANSLATE(B117,""zh-tw"",""zh"")"),"封印之柱")</f>
        <v>封印之柱</v>
      </c>
      <c r="O117" s="121" t="s">
        <v>5869</v>
      </c>
      <c r="P117" s="82" t="str">
        <f>IFERROR(__xludf.DUMMYFUNCTION("GOOGLETRANSLATE(D117,""zh-tw"",""zh"")"),"领域范围内玩家无法自由离开，且领域内会出现强力怪物
最后阶段会出现【淫奔的恶魔】
需要击杀完所有的怪物才会解除领域墙
不论在领域内外，只要是地图上的怪物也会受到领域墙壁的伤害
可以用传送手段逃跑，但逃跑后，封印之柱会消失")</f>
        <v>领域范围内玩家无法自由离开，且领域内会出现强力怪物
最后阶段会出现【淫奔的恶魔】
需要击杀完所有的怪物才会解除领域墙
不论在领域内外，只要是地图上的怪物也会受到领域墙壁的伤害
可以用传送手段逃跑，但逃跑后，封印之柱会消失</v>
      </c>
      <c r="Q117" s="247" t="s">
        <v>5859</v>
      </c>
      <c r="R117" s="132" t="str">
        <f>IFERROR(__xludf.DUMMYFUNCTION("GOOGLETRANSLATE(B117,""zh-tw"",""es-MX"")"),"Pilar del Sello")</f>
        <v>Pilar del Sello</v>
      </c>
      <c r="S117" s="121" t="str">
        <f>IFERROR(__xludf.DUMMYFUNCTION("GOOGLETRANSLATE(C117,""zh-tw"",""es-MX"")"),"Cuando la ""Concentración de Aura Abisal"" supera cierto valor, el ""Pilar de Sellado"" aparecerá en una ubicación aleatoria del Abismo.
La [Carta del Tarot - Torre] se puede usar para invocarlo directamente, y su ubicación quedará marcada (el jugador de"&amp;"be estar en el Abismo).")</f>
        <v>Cuando la "Concentración de Aura Abisal" supera cierto valor, el "Pilar de Sellado" aparecerá en una ubicación aleatoria del Abismo.
La [Carta del Tarot - Torre] se puede usar para invocarlo directamente, y su ubicación quedará marcada (el jugador debe estar en el Abismo).</v>
      </c>
      <c r="T117" s="82" t="str">
        <f>IFERROR(__xludf.DUMMYFUNCTION("GOOGLETRANSLATE(D117,""zh-tw"",""es-MX"")"),"Los jugadores no pueden abandonar la zona libremente, y aparecerán poderosos monstruos en su interior.
En la fase final aparecerá el [Demonio lascivo].
Debes derrotar a todos los monstruos para eliminar el muro de la zona.
Los monstruos del mapa, tanto"&amp;" dentro como fuera de la zona, también sufrirán daño al atravesar el muro.
Puedes escapar usando la teletransportación, pero el pilar de sellado desaparecerá tras tu huida.")</f>
        <v>Los jugadores no pueden abandonar la zona libremente, y aparecerán poderosos monstruos en su interior.
En la fase final aparecerá el [Demonio lascivo].
Debes derrotar a todos los monstruos para eliminar el muro de la zona.
Los monstruos del mapa, tanto dentro como fuera de la zona, también sufrirán daño al atravesar el muro.
Puedes escapar usando la teletransportación, pero el pilar de sellado desaparecerá tras tu huida.</v>
      </c>
      <c r="U117" s="247" t="s">
        <v>5859</v>
      </c>
      <c r="V117" s="132" t="str">
        <f>IFERROR(__xludf.DUMMYFUNCTION("GOOGLETRANSLATE(B117,""zh-tw"",""KO"")"),"봉인의 기둥")</f>
        <v>봉인의 기둥</v>
      </c>
      <c r="W117" s="121" t="str">
        <f>IFERROR(__xludf.DUMMYFUNCTION("GOOGLETRANSLATE(C117,""zh-tw"",""KO"")"),"심연의 기운 집중도가 특정 값을 초과하면 심연의 임의 위치에 봉인 기둥이 나타납니다.
[타로 카드 - 탑]을 사용하면 봉인 기둥을 직접 소환할 수 있으며, 소환된 위치는 표시됩니다 (플레이어는 심연에 있어야 합니다).")</f>
        <v>심연의 기운 집중도가 특정 값을 초과하면 심연의 임의 위치에 봉인 기둥이 나타납니다.
[타로 카드 - 탑]을 사용하면 봉인 기둥을 직접 소환할 수 있으며, 소환된 위치는 표시됩니다 (플레이어는 심연에 있어야 합니다).</v>
      </c>
      <c r="X117" s="82" t="str">
        <f>IFERROR(__xludf.DUMMYFUNCTION("GOOGLETRANSLATE(D117,""zh-tw"",""KO"")"),"플레이어는 해당 지역을 자유롭게 떠날 수 없으며, 지역 내에서는 강력한 몬스터들이 소환됩니다.
마지막 단계에서는 [음란한 악마]가 등장합니다.
지역 벽을 제거하려면 모든 몬스터를 처치해야 합니다.
지역 안팎의 맵에 있는 몬스터들도 이 벽의 영향을 받습니다.
순간이동을 이용해 탈출할 수 있지만, 탈출 후에는 봉인 기둥이 사라집니다.")</f>
        <v>플레이어는 해당 지역을 자유롭게 떠날 수 없으며, 지역 내에서는 강력한 몬스터들이 소환됩니다.
마지막 단계에서는 [음란한 악마]가 등장합니다.
지역 벽을 제거하려면 모든 몬스터를 처치해야 합니다.
지역 안팎의 맵에 있는 몬스터들도 이 벽의 영향을 받습니다.
순간이동을 이용해 탈출할 수 있지만, 탈출 후에는 봉인 기둥이 사라집니다.</v>
      </c>
      <c r="Y117" s="247" t="s">
        <v>5859</v>
      </c>
      <c r="Z117" s="122" t="s">
        <v>5870</v>
      </c>
      <c r="AA117" s="162" t="s">
        <v>5871</v>
      </c>
      <c r="AB117" s="142" t="s">
        <v>5872</v>
      </c>
      <c r="AC117" s="247" t="s">
        <v>5859</v>
      </c>
      <c r="AD117" s="120" t="s">
        <v>5873</v>
      </c>
      <c r="AE117" s="119" t="s">
        <v>5874</v>
      </c>
      <c r="AF117" s="79" t="s">
        <v>5875</v>
      </c>
      <c r="AG117" s="247" t="s">
        <v>5859</v>
      </c>
      <c r="AH117" s="252" t="s">
        <v>5876</v>
      </c>
      <c r="AI117" s="149" t="s">
        <v>5877</v>
      </c>
      <c r="AJ117" s="148" t="s">
        <v>5878</v>
      </c>
      <c r="AK117" s="247" t="s">
        <v>5859</v>
      </c>
      <c r="AL117" s="132" t="s">
        <v>5879</v>
      </c>
      <c r="AM117" s="121" t="s">
        <v>5880</v>
      </c>
      <c r="AN117" s="82" t="s">
        <v>5881</v>
      </c>
      <c r="AO117" s="247" t="s">
        <v>5859</v>
      </c>
      <c r="AP117" s="116" t="s">
        <v>5882</v>
      </c>
      <c r="AQ117" s="121" t="s">
        <v>5883</v>
      </c>
      <c r="AR117" s="82" t="s">
        <v>5884</v>
      </c>
      <c r="AS117" s="247"/>
      <c r="AT117" s="116"/>
      <c r="AU117" s="121"/>
      <c r="AV117" s="82"/>
    </row>
    <row r="118">
      <c r="A118" s="247" t="s">
        <v>5885</v>
      </c>
      <c r="B118" s="120" t="s">
        <v>5886</v>
      </c>
      <c r="C118" s="119" t="s">
        <v>5887</v>
      </c>
      <c r="D118" s="79" t="s">
        <v>5888</v>
      </c>
      <c r="E118" s="292"/>
      <c r="F118" s="120" t="s">
        <v>5889</v>
      </c>
      <c r="G118" s="119" t="s">
        <v>5890</v>
      </c>
      <c r="H118" s="79" t="s">
        <v>5891</v>
      </c>
      <c r="I118" s="247" t="s">
        <v>5885</v>
      </c>
      <c r="J118" s="120" t="s">
        <v>5892</v>
      </c>
      <c r="K118" s="119" t="s">
        <v>5893</v>
      </c>
      <c r="L118" s="79" t="s">
        <v>5894</v>
      </c>
      <c r="M118" s="292"/>
      <c r="N118" s="132"/>
      <c r="O118" s="121"/>
      <c r="P118" s="82"/>
      <c r="Q118" s="292"/>
      <c r="R118" s="132"/>
      <c r="S118" s="121"/>
      <c r="T118" s="82"/>
      <c r="U118" s="292"/>
      <c r="V118" s="132"/>
      <c r="W118" s="121"/>
      <c r="X118" s="82"/>
      <c r="Y118" s="247" t="s">
        <v>5885</v>
      </c>
      <c r="Z118" s="190" t="s">
        <v>5895</v>
      </c>
      <c r="AA118" s="293" t="s">
        <v>5896</v>
      </c>
      <c r="AB118" s="192" t="s">
        <v>5897</v>
      </c>
      <c r="AC118" s="292"/>
      <c r="AD118" s="132"/>
      <c r="AE118" s="254"/>
      <c r="AF118" s="294"/>
      <c r="AG118" s="292"/>
      <c r="AH118" s="295"/>
      <c r="AI118" s="296"/>
      <c r="AJ118" s="199"/>
      <c r="AK118" s="247" t="s">
        <v>5885</v>
      </c>
      <c r="AL118" s="297" t="s">
        <v>5898</v>
      </c>
      <c r="AM118" s="119" t="s">
        <v>5899</v>
      </c>
      <c r="AN118" s="79" t="s">
        <v>5900</v>
      </c>
      <c r="AO118" s="292"/>
      <c r="AP118" s="298"/>
      <c r="AQ118" s="299"/>
      <c r="AR118" s="82"/>
      <c r="AS118" s="292"/>
      <c r="AT118" s="298"/>
      <c r="AU118" s="299"/>
      <c r="AV118" s="82"/>
    </row>
    <row r="119">
      <c r="A119" s="292"/>
      <c r="B119" s="132"/>
      <c r="C119" s="121"/>
      <c r="D119" s="82"/>
      <c r="E119" s="292"/>
      <c r="F119" s="132"/>
      <c r="G119" s="121"/>
      <c r="H119" s="82"/>
      <c r="I119" s="292"/>
      <c r="J119" s="132"/>
      <c r="K119" s="121"/>
      <c r="L119" s="82"/>
      <c r="M119" s="292"/>
      <c r="N119" s="132"/>
      <c r="O119" s="121"/>
      <c r="P119" s="82"/>
      <c r="Q119" s="292"/>
      <c r="R119" s="132"/>
      <c r="S119" s="121"/>
      <c r="T119" s="82"/>
      <c r="U119" s="292"/>
      <c r="V119" s="132"/>
      <c r="W119" s="121"/>
      <c r="X119" s="82"/>
      <c r="Y119" s="292"/>
      <c r="Z119" s="300"/>
      <c r="AA119" s="301"/>
      <c r="AB119" s="80"/>
      <c r="AC119" s="292"/>
      <c r="AD119" s="132"/>
      <c r="AE119" s="254"/>
      <c r="AF119" s="294"/>
      <c r="AG119" s="292"/>
      <c r="AH119" s="295"/>
      <c r="AI119" s="296"/>
      <c r="AJ119" s="199"/>
      <c r="AK119" s="292"/>
      <c r="AL119" s="298"/>
      <c r="AM119" s="299"/>
      <c r="AN119" s="82"/>
      <c r="AO119" s="292"/>
      <c r="AP119" s="298"/>
      <c r="AQ119" s="299"/>
      <c r="AR119" s="82"/>
      <c r="AS119" s="292"/>
      <c r="AT119" s="298"/>
      <c r="AU119" s="299"/>
      <c r="AV119" s="82"/>
    </row>
    <row r="120">
      <c r="A120" s="292"/>
      <c r="B120" s="132"/>
      <c r="C120" s="121"/>
      <c r="D120" s="82"/>
      <c r="E120" s="292"/>
      <c r="F120" s="132"/>
      <c r="G120" s="121"/>
      <c r="H120" s="82"/>
      <c r="I120" s="292"/>
      <c r="J120" s="132"/>
      <c r="K120" s="121"/>
      <c r="L120" s="82"/>
      <c r="M120" s="292"/>
      <c r="N120" s="132"/>
      <c r="O120" s="121"/>
      <c r="P120" s="82"/>
      <c r="Q120" s="292"/>
      <c r="R120" s="132"/>
      <c r="S120" s="121"/>
      <c r="T120" s="82"/>
      <c r="U120" s="292"/>
      <c r="V120" s="132"/>
      <c r="W120" s="121"/>
      <c r="X120" s="82"/>
      <c r="Y120" s="292"/>
      <c r="Z120" s="300"/>
      <c r="AA120" s="301"/>
      <c r="AB120" s="80"/>
      <c r="AC120" s="292"/>
      <c r="AD120" s="132"/>
      <c r="AE120" s="254"/>
      <c r="AF120" s="294"/>
      <c r="AG120" s="292"/>
      <c r="AH120" s="295"/>
      <c r="AI120" s="296"/>
      <c r="AJ120" s="199"/>
      <c r="AK120" s="292"/>
      <c r="AL120" s="298"/>
      <c r="AM120" s="299"/>
      <c r="AN120" s="82"/>
      <c r="AO120" s="292"/>
      <c r="AP120" s="298"/>
      <c r="AQ120" s="299"/>
      <c r="AR120" s="82"/>
      <c r="AS120" s="292"/>
      <c r="AT120" s="298"/>
      <c r="AU120" s="299"/>
      <c r="AV120" s="82"/>
    </row>
    <row r="121">
      <c r="A121" s="292"/>
      <c r="B121" s="132"/>
      <c r="C121" s="121"/>
      <c r="D121" s="82"/>
      <c r="E121" s="292"/>
      <c r="F121" s="132"/>
      <c r="G121" s="121"/>
      <c r="H121" s="82"/>
      <c r="I121" s="292"/>
      <c r="J121" s="132"/>
      <c r="K121" s="121"/>
      <c r="L121" s="82"/>
      <c r="M121" s="292"/>
      <c r="N121" s="132"/>
      <c r="O121" s="121"/>
      <c r="P121" s="82"/>
      <c r="Q121" s="292"/>
      <c r="R121" s="132"/>
      <c r="S121" s="121"/>
      <c r="T121" s="82"/>
      <c r="U121" s="292"/>
      <c r="V121" s="132"/>
      <c r="W121" s="121"/>
      <c r="X121" s="82"/>
      <c r="Y121" s="292"/>
      <c r="Z121" s="300"/>
      <c r="AA121" s="301"/>
      <c r="AB121" s="80"/>
      <c r="AC121" s="292"/>
      <c r="AD121" s="132"/>
      <c r="AE121" s="254"/>
      <c r="AF121" s="294"/>
      <c r="AG121" s="292"/>
      <c r="AH121" s="295"/>
      <c r="AI121" s="296"/>
      <c r="AJ121" s="199"/>
      <c r="AK121" s="292"/>
      <c r="AL121" s="298"/>
      <c r="AM121" s="299"/>
      <c r="AN121" s="82"/>
      <c r="AO121" s="292"/>
      <c r="AP121" s="298"/>
      <c r="AQ121" s="299"/>
      <c r="AR121" s="82"/>
      <c r="AS121" s="292"/>
      <c r="AT121" s="298"/>
      <c r="AU121" s="299"/>
      <c r="AV121" s="82"/>
    </row>
    <row r="122">
      <c r="A122" s="292"/>
      <c r="B122" s="132"/>
      <c r="C122" s="121"/>
      <c r="D122" s="82"/>
      <c r="E122" s="292"/>
      <c r="F122" s="132"/>
      <c r="G122" s="121"/>
      <c r="H122" s="82"/>
      <c r="I122" s="292"/>
      <c r="J122" s="132"/>
      <c r="K122" s="121"/>
      <c r="L122" s="82"/>
      <c r="M122" s="292"/>
      <c r="N122" s="132"/>
      <c r="O122" s="121"/>
      <c r="P122" s="82"/>
      <c r="Q122" s="292"/>
      <c r="R122" s="132"/>
      <c r="S122" s="121"/>
      <c r="T122" s="82"/>
      <c r="U122" s="292"/>
      <c r="V122" s="132"/>
      <c r="W122" s="121"/>
      <c r="X122" s="82"/>
      <c r="Y122" s="292"/>
      <c r="Z122" s="300"/>
      <c r="AA122" s="301"/>
      <c r="AB122" s="80"/>
      <c r="AC122" s="292"/>
      <c r="AD122" s="132"/>
      <c r="AE122" s="254"/>
      <c r="AF122" s="294"/>
      <c r="AG122" s="292"/>
      <c r="AH122" s="295"/>
      <c r="AI122" s="296"/>
      <c r="AJ122" s="199"/>
      <c r="AK122" s="292"/>
      <c r="AL122" s="298"/>
      <c r="AM122" s="299"/>
      <c r="AN122" s="82"/>
      <c r="AO122" s="292"/>
      <c r="AP122" s="298"/>
      <c r="AQ122" s="299"/>
      <c r="AR122" s="82"/>
      <c r="AS122" s="292"/>
      <c r="AT122" s="298"/>
      <c r="AU122" s="299"/>
      <c r="AV122" s="82"/>
    </row>
    <row r="123">
      <c r="A123" s="292"/>
      <c r="B123" s="132"/>
      <c r="C123" s="121"/>
      <c r="D123" s="82"/>
      <c r="E123" s="292"/>
      <c r="F123" s="132"/>
      <c r="G123" s="121"/>
      <c r="H123" s="82"/>
      <c r="I123" s="292"/>
      <c r="J123" s="132"/>
      <c r="K123" s="121"/>
      <c r="L123" s="82"/>
      <c r="M123" s="292"/>
      <c r="N123" s="132"/>
      <c r="O123" s="121"/>
      <c r="P123" s="82"/>
      <c r="Q123" s="292"/>
      <c r="R123" s="132"/>
      <c r="S123" s="121"/>
      <c r="T123" s="82"/>
      <c r="U123" s="292"/>
      <c r="V123" s="132"/>
      <c r="W123" s="121"/>
      <c r="X123" s="82"/>
      <c r="Y123" s="292"/>
      <c r="Z123" s="300"/>
      <c r="AA123" s="301"/>
      <c r="AB123" s="80"/>
      <c r="AC123" s="292"/>
      <c r="AD123" s="132"/>
      <c r="AE123" s="254"/>
      <c r="AF123" s="294"/>
      <c r="AG123" s="292"/>
      <c r="AH123" s="295"/>
      <c r="AI123" s="296"/>
      <c r="AJ123" s="199"/>
      <c r="AK123" s="292"/>
      <c r="AL123" s="298"/>
      <c r="AM123" s="299"/>
      <c r="AN123" s="82"/>
      <c r="AO123" s="292"/>
      <c r="AP123" s="298"/>
      <c r="AQ123" s="299"/>
      <c r="AR123" s="82"/>
      <c r="AS123" s="292"/>
      <c r="AT123" s="298"/>
      <c r="AU123" s="299"/>
      <c r="AV123" s="82"/>
    </row>
    <row r="124">
      <c r="A124" s="292"/>
      <c r="B124" s="132"/>
      <c r="C124" s="121"/>
      <c r="D124" s="82"/>
      <c r="E124" s="292"/>
      <c r="F124" s="132"/>
      <c r="G124" s="121"/>
      <c r="H124" s="82"/>
      <c r="I124" s="292"/>
      <c r="J124" s="132"/>
      <c r="K124" s="121"/>
      <c r="L124" s="82"/>
      <c r="M124" s="292"/>
      <c r="N124" s="132"/>
      <c r="O124" s="121"/>
      <c r="P124" s="82"/>
      <c r="Q124" s="292"/>
      <c r="R124" s="132"/>
      <c r="S124" s="121"/>
      <c r="T124" s="82"/>
      <c r="U124" s="292"/>
      <c r="V124" s="132"/>
      <c r="W124" s="121"/>
      <c r="X124" s="82"/>
      <c r="Y124" s="292"/>
      <c r="Z124" s="300"/>
      <c r="AA124" s="301"/>
      <c r="AB124" s="80"/>
      <c r="AC124" s="292"/>
      <c r="AD124" s="132"/>
      <c r="AE124" s="254"/>
      <c r="AF124" s="294"/>
      <c r="AG124" s="292"/>
      <c r="AH124" s="295"/>
      <c r="AI124" s="296"/>
      <c r="AJ124" s="199"/>
      <c r="AK124" s="292"/>
      <c r="AL124" s="298"/>
      <c r="AM124" s="299"/>
      <c r="AN124" s="82"/>
      <c r="AO124" s="292"/>
      <c r="AP124" s="298"/>
      <c r="AQ124" s="299"/>
      <c r="AR124" s="82"/>
      <c r="AS124" s="292"/>
      <c r="AT124" s="298"/>
      <c r="AU124" s="299"/>
      <c r="AV124" s="82"/>
    </row>
    <row r="125">
      <c r="A125" s="292"/>
      <c r="B125" s="132"/>
      <c r="C125" s="121"/>
      <c r="D125" s="82"/>
      <c r="E125" s="292"/>
      <c r="F125" s="132"/>
      <c r="G125" s="121"/>
      <c r="H125" s="82"/>
      <c r="I125" s="292"/>
      <c r="J125" s="132"/>
      <c r="K125" s="121"/>
      <c r="L125" s="82"/>
      <c r="M125" s="292"/>
      <c r="N125" s="132"/>
      <c r="O125" s="121"/>
      <c r="P125" s="82"/>
      <c r="Q125" s="292"/>
      <c r="R125" s="132"/>
      <c r="S125" s="121"/>
      <c r="T125" s="82"/>
      <c r="U125" s="292"/>
      <c r="V125" s="132"/>
      <c r="W125" s="121"/>
      <c r="X125" s="82"/>
      <c r="Y125" s="292"/>
      <c r="Z125" s="300"/>
      <c r="AA125" s="301"/>
      <c r="AB125" s="80"/>
      <c r="AC125" s="292"/>
      <c r="AD125" s="132"/>
      <c r="AE125" s="254"/>
      <c r="AF125" s="294"/>
      <c r="AG125" s="292"/>
      <c r="AH125" s="295"/>
      <c r="AI125" s="296"/>
      <c r="AJ125" s="199"/>
      <c r="AK125" s="292"/>
      <c r="AL125" s="298"/>
      <c r="AM125" s="299"/>
      <c r="AN125" s="82"/>
      <c r="AO125" s="292"/>
      <c r="AP125" s="298"/>
      <c r="AQ125" s="299"/>
      <c r="AR125" s="82"/>
      <c r="AS125" s="292"/>
      <c r="AT125" s="298"/>
      <c r="AU125" s="299"/>
      <c r="AV125" s="82"/>
    </row>
    <row r="126">
      <c r="A126" s="292"/>
      <c r="B126" s="132"/>
      <c r="C126" s="121"/>
      <c r="D126" s="82"/>
      <c r="E126" s="292"/>
      <c r="F126" s="132"/>
      <c r="G126" s="121"/>
      <c r="H126" s="82"/>
      <c r="I126" s="292"/>
      <c r="J126" s="132"/>
      <c r="K126" s="121"/>
      <c r="L126" s="82"/>
      <c r="M126" s="292"/>
      <c r="N126" s="132"/>
      <c r="O126" s="121"/>
      <c r="P126" s="82"/>
      <c r="Q126" s="292"/>
      <c r="R126" s="132"/>
      <c r="S126" s="121"/>
      <c r="T126" s="82"/>
      <c r="U126" s="292"/>
      <c r="V126" s="132"/>
      <c r="W126" s="121"/>
      <c r="X126" s="82"/>
      <c r="Y126" s="292"/>
      <c r="Z126" s="300"/>
      <c r="AA126" s="301"/>
      <c r="AB126" s="80"/>
      <c r="AC126" s="292"/>
      <c r="AD126" s="132"/>
      <c r="AE126" s="254"/>
      <c r="AF126" s="294"/>
      <c r="AG126" s="292"/>
      <c r="AH126" s="295"/>
      <c r="AI126" s="296"/>
      <c r="AJ126" s="199"/>
      <c r="AK126" s="292"/>
      <c r="AL126" s="298"/>
      <c r="AM126" s="299"/>
      <c r="AN126" s="82"/>
      <c r="AO126" s="292"/>
      <c r="AP126" s="298"/>
      <c r="AQ126" s="299"/>
      <c r="AR126" s="82"/>
      <c r="AS126" s="292"/>
      <c r="AT126" s="298"/>
      <c r="AU126" s="299"/>
      <c r="AV126" s="82"/>
    </row>
    <row r="127">
      <c r="A127" s="292"/>
      <c r="B127" s="132"/>
      <c r="C127" s="121"/>
      <c r="D127" s="82"/>
      <c r="E127" s="292"/>
      <c r="F127" s="132"/>
      <c r="G127" s="121"/>
      <c r="H127" s="82"/>
      <c r="I127" s="292"/>
      <c r="J127" s="132"/>
      <c r="K127" s="121"/>
      <c r="L127" s="82"/>
      <c r="M127" s="292"/>
      <c r="N127" s="132"/>
      <c r="O127" s="121"/>
      <c r="P127" s="82"/>
      <c r="Q127" s="292"/>
      <c r="R127" s="132"/>
      <c r="S127" s="121"/>
      <c r="T127" s="82"/>
      <c r="U127" s="292"/>
      <c r="V127" s="132"/>
      <c r="W127" s="121"/>
      <c r="X127" s="82"/>
      <c r="Y127" s="292"/>
      <c r="Z127" s="300"/>
      <c r="AA127" s="301"/>
      <c r="AB127" s="80"/>
      <c r="AC127" s="292"/>
      <c r="AD127" s="132"/>
      <c r="AE127" s="254"/>
      <c r="AF127" s="294"/>
      <c r="AG127" s="292"/>
      <c r="AH127" s="295"/>
      <c r="AI127" s="296"/>
      <c r="AJ127" s="199"/>
      <c r="AK127" s="292"/>
      <c r="AL127" s="298"/>
      <c r="AM127" s="299"/>
      <c r="AN127" s="82"/>
      <c r="AO127" s="292"/>
      <c r="AP127" s="298"/>
      <c r="AQ127" s="299"/>
      <c r="AR127" s="82"/>
      <c r="AS127" s="292"/>
      <c r="AT127" s="298"/>
      <c r="AU127" s="299"/>
      <c r="AV127" s="82"/>
    </row>
    <row r="128">
      <c r="A128" s="292"/>
      <c r="B128" s="132"/>
      <c r="C128" s="121"/>
      <c r="D128" s="82"/>
      <c r="E128" s="292"/>
      <c r="F128" s="132"/>
      <c r="G128" s="121"/>
      <c r="H128" s="82"/>
      <c r="I128" s="292"/>
      <c r="J128" s="132"/>
      <c r="K128" s="121"/>
      <c r="L128" s="82"/>
      <c r="M128" s="292"/>
      <c r="N128" s="132"/>
      <c r="O128" s="121"/>
      <c r="P128" s="82"/>
      <c r="Q128" s="292"/>
      <c r="R128" s="132"/>
      <c r="S128" s="121"/>
      <c r="T128" s="82"/>
      <c r="U128" s="292"/>
      <c r="V128" s="132"/>
      <c r="W128" s="121"/>
      <c r="X128" s="82"/>
      <c r="Y128" s="292"/>
      <c r="Z128" s="300"/>
      <c r="AA128" s="301"/>
      <c r="AB128" s="80"/>
      <c r="AC128" s="292"/>
      <c r="AD128" s="132"/>
      <c r="AE128" s="254"/>
      <c r="AF128" s="294"/>
      <c r="AG128" s="292"/>
      <c r="AH128" s="295"/>
      <c r="AI128" s="296"/>
      <c r="AJ128" s="199"/>
      <c r="AK128" s="292"/>
      <c r="AL128" s="298"/>
      <c r="AM128" s="299"/>
      <c r="AN128" s="82"/>
      <c r="AO128" s="292"/>
      <c r="AP128" s="298"/>
      <c r="AQ128" s="299"/>
      <c r="AR128" s="82"/>
      <c r="AS128" s="292"/>
      <c r="AT128" s="298"/>
      <c r="AU128" s="299"/>
      <c r="AV128" s="82"/>
    </row>
    <row r="129">
      <c r="A129" s="292"/>
      <c r="B129" s="132"/>
      <c r="C129" s="121"/>
      <c r="D129" s="82"/>
      <c r="E129" s="292"/>
      <c r="F129" s="132"/>
      <c r="G129" s="121"/>
      <c r="H129" s="82"/>
      <c r="I129" s="292"/>
      <c r="J129" s="132"/>
      <c r="K129" s="121"/>
      <c r="L129" s="82"/>
      <c r="M129" s="292"/>
      <c r="N129" s="132"/>
      <c r="O129" s="121"/>
      <c r="P129" s="82"/>
      <c r="Q129" s="292"/>
      <c r="R129" s="132"/>
      <c r="S129" s="121"/>
      <c r="T129" s="82"/>
      <c r="U129" s="292"/>
      <c r="V129" s="132"/>
      <c r="W129" s="121"/>
      <c r="X129" s="82"/>
      <c r="Y129" s="292"/>
      <c r="Z129" s="300"/>
      <c r="AA129" s="301"/>
      <c r="AB129" s="80"/>
      <c r="AC129" s="292"/>
      <c r="AD129" s="132"/>
      <c r="AE129" s="254"/>
      <c r="AF129" s="294"/>
      <c r="AG129" s="292"/>
      <c r="AH129" s="295"/>
      <c r="AI129" s="296"/>
      <c r="AJ129" s="199"/>
      <c r="AK129" s="292"/>
      <c r="AL129" s="298"/>
      <c r="AM129" s="299"/>
      <c r="AN129" s="82"/>
      <c r="AO129" s="292"/>
      <c r="AP129" s="298"/>
      <c r="AQ129" s="299"/>
      <c r="AR129" s="82"/>
      <c r="AS129" s="292"/>
      <c r="AT129" s="298"/>
      <c r="AU129" s="299"/>
      <c r="AV129" s="82"/>
    </row>
    <row r="130">
      <c r="A130" s="292"/>
      <c r="B130" s="132"/>
      <c r="C130" s="121"/>
      <c r="D130" s="82"/>
      <c r="E130" s="292"/>
      <c r="F130" s="132"/>
      <c r="G130" s="121"/>
      <c r="H130" s="82"/>
      <c r="I130" s="292"/>
      <c r="J130" s="132"/>
      <c r="K130" s="121"/>
      <c r="L130" s="82"/>
      <c r="M130" s="292"/>
      <c r="N130" s="132"/>
      <c r="O130" s="121"/>
      <c r="P130" s="82"/>
      <c r="Q130" s="292"/>
      <c r="R130" s="132"/>
      <c r="S130" s="121"/>
      <c r="T130" s="82"/>
      <c r="U130" s="292"/>
      <c r="V130" s="132"/>
      <c r="W130" s="121"/>
      <c r="X130" s="82"/>
      <c r="Y130" s="292"/>
      <c r="Z130" s="300"/>
      <c r="AA130" s="301"/>
      <c r="AB130" s="80"/>
      <c r="AC130" s="292"/>
      <c r="AD130" s="132"/>
      <c r="AE130" s="254"/>
      <c r="AF130" s="294"/>
      <c r="AG130" s="292"/>
      <c r="AH130" s="295"/>
      <c r="AI130" s="296"/>
      <c r="AJ130" s="199"/>
      <c r="AK130" s="292"/>
      <c r="AL130" s="298"/>
      <c r="AM130" s="299"/>
      <c r="AN130" s="82"/>
      <c r="AO130" s="292"/>
      <c r="AP130" s="298"/>
      <c r="AQ130" s="299"/>
      <c r="AR130" s="82"/>
      <c r="AS130" s="292"/>
      <c r="AT130" s="298"/>
      <c r="AU130" s="299"/>
      <c r="AV130" s="82"/>
    </row>
    <row r="131">
      <c r="A131" s="292"/>
      <c r="B131" s="132"/>
      <c r="C131" s="121"/>
      <c r="D131" s="82"/>
      <c r="E131" s="292"/>
      <c r="F131" s="132"/>
      <c r="G131" s="121"/>
      <c r="H131" s="82"/>
      <c r="I131" s="292"/>
      <c r="J131" s="132"/>
      <c r="K131" s="121"/>
      <c r="L131" s="82"/>
      <c r="M131" s="292"/>
      <c r="N131" s="132"/>
      <c r="O131" s="121"/>
      <c r="P131" s="82"/>
      <c r="Q131" s="292"/>
      <c r="R131" s="132"/>
      <c r="S131" s="121"/>
      <c r="T131" s="82"/>
      <c r="U131" s="292"/>
      <c r="V131" s="132"/>
      <c r="W131" s="121"/>
      <c r="X131" s="82"/>
      <c r="Y131" s="292"/>
      <c r="Z131" s="300"/>
      <c r="AA131" s="301"/>
      <c r="AB131" s="80"/>
      <c r="AC131" s="292"/>
      <c r="AD131" s="132"/>
      <c r="AE131" s="254"/>
      <c r="AF131" s="294"/>
      <c r="AG131" s="292"/>
      <c r="AH131" s="295"/>
      <c r="AI131" s="296"/>
      <c r="AJ131" s="199"/>
      <c r="AK131" s="292"/>
      <c r="AL131" s="298"/>
      <c r="AM131" s="299"/>
      <c r="AN131" s="82"/>
      <c r="AO131" s="292"/>
      <c r="AP131" s="298"/>
      <c r="AQ131" s="299"/>
      <c r="AR131" s="82"/>
      <c r="AS131" s="292"/>
      <c r="AT131" s="298"/>
      <c r="AU131" s="299"/>
      <c r="AV131" s="82"/>
    </row>
    <row r="132">
      <c r="A132" s="292"/>
      <c r="B132" s="132"/>
      <c r="C132" s="121"/>
      <c r="D132" s="82"/>
      <c r="E132" s="292"/>
      <c r="F132" s="132"/>
      <c r="G132" s="121"/>
      <c r="H132" s="82"/>
      <c r="I132" s="292"/>
      <c r="J132" s="132"/>
      <c r="K132" s="121"/>
      <c r="L132" s="82"/>
      <c r="M132" s="292"/>
      <c r="N132" s="132"/>
      <c r="O132" s="121"/>
      <c r="P132" s="82"/>
      <c r="Q132" s="292"/>
      <c r="R132" s="132"/>
      <c r="S132" s="121"/>
      <c r="T132" s="82"/>
      <c r="U132" s="292"/>
      <c r="V132" s="132"/>
      <c r="W132" s="121"/>
      <c r="X132" s="82"/>
      <c r="Y132" s="292"/>
      <c r="Z132" s="300"/>
      <c r="AA132" s="301"/>
      <c r="AB132" s="80"/>
      <c r="AC132" s="292"/>
      <c r="AD132" s="132"/>
      <c r="AE132" s="254"/>
      <c r="AF132" s="294"/>
      <c r="AG132" s="292"/>
      <c r="AH132" s="295"/>
      <c r="AI132" s="296"/>
      <c r="AJ132" s="199"/>
      <c r="AK132" s="292"/>
      <c r="AL132" s="298"/>
      <c r="AM132" s="299"/>
      <c r="AN132" s="82"/>
      <c r="AO132" s="292"/>
      <c r="AP132" s="298"/>
      <c r="AQ132" s="299"/>
      <c r="AR132" s="82"/>
      <c r="AS132" s="292"/>
      <c r="AT132" s="298"/>
      <c r="AU132" s="299"/>
      <c r="AV132" s="82"/>
    </row>
    <row r="133">
      <c r="A133" s="292"/>
      <c r="B133" s="132"/>
      <c r="C133" s="121"/>
      <c r="D133" s="82"/>
      <c r="E133" s="292"/>
      <c r="F133" s="132"/>
      <c r="G133" s="121"/>
      <c r="H133" s="82"/>
      <c r="I133" s="292"/>
      <c r="J133" s="132"/>
      <c r="K133" s="121"/>
      <c r="L133" s="82"/>
      <c r="M133" s="292"/>
      <c r="N133" s="132"/>
      <c r="O133" s="121"/>
      <c r="P133" s="82"/>
      <c r="Q133" s="292"/>
      <c r="R133" s="132"/>
      <c r="S133" s="121"/>
      <c r="T133" s="82"/>
      <c r="U133" s="292"/>
      <c r="V133" s="132"/>
      <c r="W133" s="121"/>
      <c r="X133" s="82"/>
      <c r="Y133" s="292"/>
      <c r="Z133" s="300"/>
      <c r="AA133" s="301"/>
      <c r="AB133" s="80"/>
      <c r="AC133" s="292"/>
      <c r="AD133" s="132"/>
      <c r="AE133" s="254"/>
      <c r="AF133" s="294"/>
      <c r="AG133" s="292"/>
      <c r="AH133" s="295"/>
      <c r="AI133" s="296"/>
      <c r="AJ133" s="199"/>
      <c r="AK133" s="292"/>
      <c r="AL133" s="298"/>
      <c r="AM133" s="299"/>
      <c r="AN133" s="82"/>
      <c r="AO133" s="292"/>
      <c r="AP133" s="298"/>
      <c r="AQ133" s="299"/>
      <c r="AR133" s="82"/>
      <c r="AS133" s="292"/>
      <c r="AT133" s="298"/>
      <c r="AU133" s="299"/>
      <c r="AV133" s="82"/>
    </row>
    <row r="134">
      <c r="A134" s="292"/>
      <c r="B134" s="132"/>
      <c r="C134" s="121"/>
      <c r="D134" s="82"/>
      <c r="E134" s="292"/>
      <c r="F134" s="132"/>
      <c r="G134" s="121"/>
      <c r="H134" s="82"/>
      <c r="I134" s="292"/>
      <c r="J134" s="132"/>
      <c r="K134" s="121"/>
      <c r="L134" s="82"/>
      <c r="M134" s="292"/>
      <c r="N134" s="132"/>
      <c r="O134" s="121"/>
      <c r="P134" s="82"/>
      <c r="Q134" s="292"/>
      <c r="R134" s="132"/>
      <c r="S134" s="121"/>
      <c r="T134" s="82"/>
      <c r="U134" s="292"/>
      <c r="V134" s="132"/>
      <c r="W134" s="121"/>
      <c r="X134" s="82"/>
      <c r="Y134" s="292"/>
      <c r="Z134" s="300"/>
      <c r="AA134" s="301"/>
      <c r="AB134" s="80"/>
      <c r="AC134" s="292"/>
      <c r="AD134" s="132"/>
      <c r="AE134" s="254"/>
      <c r="AF134" s="294"/>
      <c r="AG134" s="292"/>
      <c r="AH134" s="295"/>
      <c r="AI134" s="296"/>
      <c r="AJ134" s="199"/>
      <c r="AK134" s="292"/>
      <c r="AL134" s="298"/>
      <c r="AM134" s="299"/>
      <c r="AN134" s="82"/>
      <c r="AO134" s="292"/>
      <c r="AP134" s="298"/>
      <c r="AQ134" s="299"/>
      <c r="AR134" s="82"/>
      <c r="AS134" s="292"/>
      <c r="AT134" s="298"/>
      <c r="AU134" s="299"/>
      <c r="AV134" s="82"/>
    </row>
    <row r="135">
      <c r="A135" s="292"/>
      <c r="B135" s="132"/>
      <c r="C135" s="121"/>
      <c r="D135" s="82"/>
      <c r="E135" s="292"/>
      <c r="F135" s="132"/>
      <c r="G135" s="121"/>
      <c r="H135" s="82"/>
      <c r="I135" s="292"/>
      <c r="J135" s="132"/>
      <c r="K135" s="121"/>
      <c r="L135" s="82"/>
      <c r="M135" s="292"/>
      <c r="N135" s="132"/>
      <c r="O135" s="121"/>
      <c r="P135" s="82"/>
      <c r="Q135" s="292"/>
      <c r="R135" s="132"/>
      <c r="S135" s="121"/>
      <c r="T135" s="82"/>
      <c r="U135" s="292"/>
      <c r="V135" s="132"/>
      <c r="W135" s="121"/>
      <c r="X135" s="82"/>
      <c r="Y135" s="292"/>
      <c r="Z135" s="300"/>
      <c r="AA135" s="301"/>
      <c r="AB135" s="80"/>
      <c r="AC135" s="292"/>
      <c r="AD135" s="132"/>
      <c r="AE135" s="254"/>
      <c r="AF135" s="294"/>
      <c r="AG135" s="292"/>
      <c r="AH135" s="295"/>
      <c r="AI135" s="296"/>
      <c r="AJ135" s="199"/>
      <c r="AK135" s="292"/>
      <c r="AL135" s="298"/>
      <c r="AM135" s="299"/>
      <c r="AN135" s="82"/>
      <c r="AO135" s="292"/>
      <c r="AP135" s="298"/>
      <c r="AQ135" s="299"/>
      <c r="AR135" s="82"/>
      <c r="AS135" s="292"/>
      <c r="AT135" s="298"/>
      <c r="AU135" s="299"/>
      <c r="AV135" s="82"/>
    </row>
    <row r="136">
      <c r="A136" s="292"/>
      <c r="B136" s="132"/>
      <c r="C136" s="121"/>
      <c r="D136" s="82"/>
      <c r="E136" s="292"/>
      <c r="F136" s="132"/>
      <c r="G136" s="121"/>
      <c r="H136" s="82"/>
      <c r="I136" s="292"/>
      <c r="J136" s="132"/>
      <c r="K136" s="121"/>
      <c r="L136" s="82"/>
      <c r="M136" s="292"/>
      <c r="N136" s="132"/>
      <c r="O136" s="121"/>
      <c r="P136" s="82"/>
      <c r="Q136" s="292"/>
      <c r="R136" s="132"/>
      <c r="S136" s="121"/>
      <c r="T136" s="82"/>
      <c r="U136" s="292"/>
      <c r="V136" s="132"/>
      <c r="W136" s="121"/>
      <c r="X136" s="82"/>
      <c r="Y136" s="292"/>
      <c r="Z136" s="300"/>
      <c r="AA136" s="301"/>
      <c r="AB136" s="80"/>
      <c r="AC136" s="292"/>
      <c r="AD136" s="132"/>
      <c r="AE136" s="254"/>
      <c r="AF136" s="294"/>
      <c r="AG136" s="292"/>
      <c r="AH136" s="295"/>
      <c r="AI136" s="296"/>
      <c r="AJ136" s="199"/>
      <c r="AK136" s="292"/>
      <c r="AL136" s="298"/>
      <c r="AM136" s="299"/>
      <c r="AN136" s="82"/>
      <c r="AO136" s="292"/>
      <c r="AP136" s="298"/>
      <c r="AQ136" s="299"/>
      <c r="AR136" s="82"/>
      <c r="AS136" s="292"/>
      <c r="AT136" s="298"/>
      <c r="AU136" s="299"/>
      <c r="AV136" s="82"/>
    </row>
    <row r="137">
      <c r="A137" s="292"/>
      <c r="B137" s="132"/>
      <c r="C137" s="121"/>
      <c r="D137" s="82"/>
      <c r="E137" s="292"/>
      <c r="F137" s="132"/>
      <c r="G137" s="121"/>
      <c r="H137" s="82"/>
      <c r="I137" s="292"/>
      <c r="J137" s="132"/>
      <c r="K137" s="121"/>
      <c r="L137" s="82"/>
      <c r="M137" s="292"/>
      <c r="N137" s="132"/>
      <c r="O137" s="121"/>
      <c r="P137" s="82"/>
      <c r="Q137" s="292"/>
      <c r="R137" s="132"/>
      <c r="S137" s="121"/>
      <c r="T137" s="82"/>
      <c r="U137" s="292"/>
      <c r="V137" s="132"/>
      <c r="W137" s="121"/>
      <c r="X137" s="82"/>
      <c r="Y137" s="292"/>
      <c r="Z137" s="300"/>
      <c r="AA137" s="301"/>
      <c r="AB137" s="80"/>
      <c r="AC137" s="292"/>
      <c r="AD137" s="132"/>
      <c r="AE137" s="254"/>
      <c r="AF137" s="294"/>
      <c r="AG137" s="292"/>
      <c r="AH137" s="295"/>
      <c r="AI137" s="296"/>
      <c r="AJ137" s="199"/>
      <c r="AK137" s="292"/>
      <c r="AL137" s="298"/>
      <c r="AM137" s="299"/>
      <c r="AN137" s="82"/>
      <c r="AO137" s="292"/>
      <c r="AP137" s="298"/>
      <c r="AQ137" s="299"/>
      <c r="AR137" s="82"/>
      <c r="AS137" s="292"/>
      <c r="AT137" s="298"/>
      <c r="AU137" s="299"/>
      <c r="AV137" s="82"/>
    </row>
    <row r="138">
      <c r="A138" s="292"/>
      <c r="B138" s="132"/>
      <c r="C138" s="121"/>
      <c r="D138" s="82"/>
      <c r="E138" s="292"/>
      <c r="F138" s="132"/>
      <c r="G138" s="121"/>
      <c r="H138" s="82"/>
      <c r="I138" s="292"/>
      <c r="J138" s="132"/>
      <c r="K138" s="121"/>
      <c r="L138" s="82"/>
      <c r="M138" s="292"/>
      <c r="N138" s="132"/>
      <c r="O138" s="121"/>
      <c r="P138" s="82"/>
      <c r="Q138" s="292"/>
      <c r="R138" s="132"/>
      <c r="S138" s="121"/>
      <c r="T138" s="82"/>
      <c r="U138" s="292"/>
      <c r="V138" s="132"/>
      <c r="W138" s="121"/>
      <c r="X138" s="82"/>
      <c r="Y138" s="292"/>
      <c r="Z138" s="300"/>
      <c r="AA138" s="301"/>
      <c r="AB138" s="80"/>
      <c r="AC138" s="292"/>
      <c r="AD138" s="132"/>
      <c r="AE138" s="254"/>
      <c r="AF138" s="294"/>
      <c r="AG138" s="292"/>
      <c r="AH138" s="295"/>
      <c r="AI138" s="296"/>
      <c r="AJ138" s="199"/>
      <c r="AK138" s="292"/>
      <c r="AL138" s="298"/>
      <c r="AM138" s="299"/>
      <c r="AN138" s="82"/>
      <c r="AO138" s="292"/>
      <c r="AP138" s="298"/>
      <c r="AQ138" s="299"/>
      <c r="AR138" s="82"/>
      <c r="AS138" s="292"/>
      <c r="AT138" s="298"/>
      <c r="AU138" s="299"/>
      <c r="AV138" s="82"/>
    </row>
    <row r="139">
      <c r="A139" s="292"/>
      <c r="B139" s="132"/>
      <c r="C139" s="121"/>
      <c r="D139" s="82"/>
      <c r="E139" s="292"/>
      <c r="F139" s="132"/>
      <c r="G139" s="121"/>
      <c r="H139" s="82"/>
      <c r="I139" s="292"/>
      <c r="J139" s="132"/>
      <c r="K139" s="121"/>
      <c r="L139" s="82"/>
      <c r="M139" s="292"/>
      <c r="N139" s="132"/>
      <c r="O139" s="121"/>
      <c r="P139" s="82"/>
      <c r="Q139" s="292"/>
      <c r="R139" s="132"/>
      <c r="S139" s="121"/>
      <c r="T139" s="82"/>
      <c r="U139" s="292"/>
      <c r="V139" s="132"/>
      <c r="W139" s="121"/>
      <c r="X139" s="82"/>
      <c r="Y139" s="292"/>
      <c r="Z139" s="300"/>
      <c r="AA139" s="301"/>
      <c r="AB139" s="80"/>
      <c r="AC139" s="292"/>
      <c r="AD139" s="132"/>
      <c r="AE139" s="254"/>
      <c r="AF139" s="294"/>
      <c r="AG139" s="292"/>
      <c r="AH139" s="295"/>
      <c r="AI139" s="296"/>
      <c r="AJ139" s="199"/>
      <c r="AK139" s="292"/>
      <c r="AL139" s="298"/>
      <c r="AM139" s="299"/>
      <c r="AN139" s="82"/>
      <c r="AO139" s="292"/>
      <c r="AP139" s="298"/>
      <c r="AQ139" s="299"/>
      <c r="AR139" s="82"/>
      <c r="AS139" s="292"/>
      <c r="AT139" s="298"/>
      <c r="AU139" s="299"/>
      <c r="AV139" s="82"/>
    </row>
    <row r="140">
      <c r="A140" s="292"/>
      <c r="B140" s="132"/>
      <c r="C140" s="121"/>
      <c r="D140" s="82"/>
      <c r="E140" s="292"/>
      <c r="F140" s="132"/>
      <c r="G140" s="121"/>
      <c r="H140" s="82"/>
      <c r="I140" s="292"/>
      <c r="J140" s="132"/>
      <c r="K140" s="121"/>
      <c r="L140" s="82"/>
      <c r="M140" s="292"/>
      <c r="N140" s="132"/>
      <c r="O140" s="121"/>
      <c r="P140" s="82"/>
      <c r="Q140" s="292"/>
      <c r="R140" s="132"/>
      <c r="S140" s="121"/>
      <c r="T140" s="82"/>
      <c r="U140" s="292"/>
      <c r="V140" s="132"/>
      <c r="W140" s="121"/>
      <c r="X140" s="82"/>
      <c r="Y140" s="292"/>
      <c r="Z140" s="300"/>
      <c r="AA140" s="301"/>
      <c r="AB140" s="80"/>
      <c r="AC140" s="292"/>
      <c r="AD140" s="132"/>
      <c r="AE140" s="254"/>
      <c r="AF140" s="294"/>
      <c r="AG140" s="292"/>
      <c r="AH140" s="295"/>
      <c r="AI140" s="296"/>
      <c r="AJ140" s="199"/>
      <c r="AK140" s="292"/>
      <c r="AL140" s="298"/>
      <c r="AM140" s="299"/>
      <c r="AN140" s="82"/>
      <c r="AO140" s="292"/>
      <c r="AP140" s="298"/>
      <c r="AQ140" s="299"/>
      <c r="AR140" s="82"/>
      <c r="AS140" s="292"/>
      <c r="AT140" s="298"/>
      <c r="AU140" s="299"/>
      <c r="AV140" s="82"/>
    </row>
    <row r="141">
      <c r="A141" s="292"/>
      <c r="B141" s="132"/>
      <c r="C141" s="121"/>
      <c r="D141" s="82"/>
      <c r="E141" s="292"/>
      <c r="F141" s="132"/>
      <c r="G141" s="121"/>
      <c r="H141" s="82"/>
      <c r="I141" s="292"/>
      <c r="J141" s="132"/>
      <c r="K141" s="121"/>
      <c r="L141" s="82"/>
      <c r="M141" s="292"/>
      <c r="N141" s="132"/>
      <c r="O141" s="121"/>
      <c r="P141" s="82"/>
      <c r="Q141" s="292"/>
      <c r="R141" s="132"/>
      <c r="S141" s="121"/>
      <c r="T141" s="82"/>
      <c r="U141" s="292"/>
      <c r="V141" s="132"/>
      <c r="W141" s="121"/>
      <c r="X141" s="82"/>
      <c r="Y141" s="292"/>
      <c r="Z141" s="300"/>
      <c r="AA141" s="301"/>
      <c r="AB141" s="80"/>
      <c r="AC141" s="292"/>
      <c r="AD141" s="132"/>
      <c r="AE141" s="254"/>
      <c r="AF141" s="294"/>
      <c r="AG141" s="292"/>
      <c r="AH141" s="295"/>
      <c r="AI141" s="296"/>
      <c r="AJ141" s="199"/>
      <c r="AK141" s="292"/>
      <c r="AL141" s="298"/>
      <c r="AM141" s="299"/>
      <c r="AN141" s="82"/>
      <c r="AO141" s="292"/>
      <c r="AP141" s="298"/>
      <c r="AQ141" s="299"/>
      <c r="AR141" s="82"/>
      <c r="AS141" s="292"/>
      <c r="AT141" s="298"/>
      <c r="AU141" s="299"/>
      <c r="AV141" s="82"/>
    </row>
    <row r="142">
      <c r="A142" s="292"/>
      <c r="B142" s="132"/>
      <c r="C142" s="121"/>
      <c r="D142" s="82"/>
      <c r="E142" s="292"/>
      <c r="F142" s="132"/>
      <c r="G142" s="121"/>
      <c r="H142" s="82"/>
      <c r="I142" s="292"/>
      <c r="J142" s="132"/>
      <c r="K142" s="121"/>
      <c r="L142" s="82"/>
      <c r="M142" s="292"/>
      <c r="N142" s="132"/>
      <c r="O142" s="121"/>
      <c r="P142" s="82"/>
      <c r="Q142" s="292"/>
      <c r="R142" s="132"/>
      <c r="S142" s="121"/>
      <c r="T142" s="82"/>
      <c r="U142" s="292"/>
      <c r="V142" s="132"/>
      <c r="W142" s="121"/>
      <c r="X142" s="82"/>
      <c r="Y142" s="292"/>
      <c r="Z142" s="300"/>
      <c r="AA142" s="301"/>
      <c r="AB142" s="80"/>
      <c r="AC142" s="292"/>
      <c r="AD142" s="132"/>
      <c r="AE142" s="254"/>
      <c r="AF142" s="294"/>
      <c r="AG142" s="292"/>
      <c r="AH142" s="295"/>
      <c r="AI142" s="296"/>
      <c r="AJ142" s="199"/>
      <c r="AK142" s="292"/>
      <c r="AL142" s="298"/>
      <c r="AM142" s="299"/>
      <c r="AN142" s="82"/>
      <c r="AO142" s="292"/>
      <c r="AP142" s="298"/>
      <c r="AQ142" s="299"/>
      <c r="AR142" s="82"/>
      <c r="AS142" s="292"/>
      <c r="AT142" s="298"/>
      <c r="AU142" s="299"/>
      <c r="AV142" s="82"/>
    </row>
    <row r="143">
      <c r="A143" s="292"/>
      <c r="B143" s="132"/>
      <c r="C143" s="121"/>
      <c r="D143" s="82"/>
      <c r="E143" s="292"/>
      <c r="F143" s="132"/>
      <c r="G143" s="121"/>
      <c r="H143" s="82"/>
      <c r="I143" s="292"/>
      <c r="J143" s="132"/>
      <c r="K143" s="121"/>
      <c r="L143" s="82"/>
      <c r="M143" s="292"/>
      <c r="N143" s="132"/>
      <c r="O143" s="121"/>
      <c r="P143" s="82"/>
      <c r="Q143" s="292"/>
      <c r="R143" s="132"/>
      <c r="S143" s="121"/>
      <c r="T143" s="82"/>
      <c r="U143" s="292"/>
      <c r="V143" s="132"/>
      <c r="W143" s="121"/>
      <c r="X143" s="82"/>
      <c r="Y143" s="292"/>
      <c r="Z143" s="300"/>
      <c r="AA143" s="301"/>
      <c r="AB143" s="80"/>
      <c r="AC143" s="292"/>
      <c r="AD143" s="132"/>
      <c r="AE143" s="254"/>
      <c r="AF143" s="294"/>
      <c r="AG143" s="292"/>
      <c r="AH143" s="295"/>
      <c r="AI143" s="296"/>
      <c r="AJ143" s="199"/>
      <c r="AK143" s="292"/>
      <c r="AL143" s="298"/>
      <c r="AM143" s="299"/>
      <c r="AN143" s="82"/>
      <c r="AO143" s="292"/>
      <c r="AP143" s="298"/>
      <c r="AQ143" s="299"/>
      <c r="AR143" s="82"/>
      <c r="AS143" s="292"/>
      <c r="AT143" s="298"/>
      <c r="AU143" s="299"/>
      <c r="AV143" s="82"/>
    </row>
    <row r="144">
      <c r="A144" s="292"/>
      <c r="B144" s="132"/>
      <c r="C144" s="121"/>
      <c r="D144" s="82"/>
      <c r="E144" s="292"/>
      <c r="F144" s="132"/>
      <c r="G144" s="121"/>
      <c r="H144" s="82"/>
      <c r="I144" s="292"/>
      <c r="J144" s="132"/>
      <c r="K144" s="121"/>
      <c r="L144" s="82"/>
      <c r="M144" s="292"/>
      <c r="N144" s="132"/>
      <c r="O144" s="121"/>
      <c r="P144" s="82"/>
      <c r="Q144" s="292"/>
      <c r="R144" s="132"/>
      <c r="S144" s="121"/>
      <c r="T144" s="82"/>
      <c r="U144" s="292"/>
      <c r="V144" s="132"/>
      <c r="W144" s="121"/>
      <c r="X144" s="82"/>
      <c r="Y144" s="292"/>
      <c r="Z144" s="300"/>
      <c r="AA144" s="301"/>
      <c r="AB144" s="80"/>
      <c r="AC144" s="292"/>
      <c r="AD144" s="132"/>
      <c r="AE144" s="254"/>
      <c r="AF144" s="294"/>
      <c r="AG144" s="292"/>
      <c r="AH144" s="295"/>
      <c r="AI144" s="296"/>
      <c r="AJ144" s="199"/>
      <c r="AK144" s="292"/>
      <c r="AL144" s="298"/>
      <c r="AM144" s="299"/>
      <c r="AN144" s="82"/>
      <c r="AO144" s="292"/>
      <c r="AP144" s="298"/>
      <c r="AQ144" s="299"/>
      <c r="AR144" s="82"/>
      <c r="AS144" s="292"/>
      <c r="AT144" s="298"/>
      <c r="AU144" s="299"/>
      <c r="AV144" s="82"/>
    </row>
    <row r="145">
      <c r="A145" s="292"/>
      <c r="B145" s="132"/>
      <c r="C145" s="121"/>
      <c r="D145" s="82"/>
      <c r="E145" s="292"/>
      <c r="F145" s="132"/>
      <c r="G145" s="121"/>
      <c r="H145" s="82"/>
      <c r="I145" s="292"/>
      <c r="J145" s="132"/>
      <c r="K145" s="121"/>
      <c r="L145" s="82"/>
      <c r="M145" s="292"/>
      <c r="N145" s="132"/>
      <c r="O145" s="121"/>
      <c r="P145" s="82"/>
      <c r="Q145" s="292"/>
      <c r="R145" s="132"/>
      <c r="S145" s="121"/>
      <c r="T145" s="82"/>
      <c r="U145" s="292"/>
      <c r="V145" s="132"/>
      <c r="W145" s="121"/>
      <c r="X145" s="82"/>
      <c r="Y145" s="292"/>
      <c r="Z145" s="300"/>
      <c r="AA145" s="301"/>
      <c r="AB145" s="80"/>
      <c r="AC145" s="292"/>
      <c r="AD145" s="132"/>
      <c r="AE145" s="254"/>
      <c r="AF145" s="294"/>
      <c r="AG145" s="292"/>
      <c r="AH145" s="295"/>
      <c r="AI145" s="296"/>
      <c r="AJ145" s="199"/>
      <c r="AK145" s="292"/>
      <c r="AL145" s="298"/>
      <c r="AM145" s="299"/>
      <c r="AN145" s="82"/>
      <c r="AO145" s="292"/>
      <c r="AP145" s="298"/>
      <c r="AQ145" s="299"/>
      <c r="AR145" s="82"/>
      <c r="AS145" s="292"/>
      <c r="AT145" s="298"/>
      <c r="AU145" s="299"/>
      <c r="AV145" s="82"/>
    </row>
    <row r="146">
      <c r="A146" s="292"/>
      <c r="B146" s="132"/>
      <c r="C146" s="121"/>
      <c r="D146" s="82"/>
      <c r="E146" s="292"/>
      <c r="F146" s="132"/>
      <c r="G146" s="121"/>
      <c r="H146" s="82"/>
      <c r="I146" s="292"/>
      <c r="J146" s="132"/>
      <c r="K146" s="121"/>
      <c r="L146" s="82"/>
      <c r="M146" s="292"/>
      <c r="N146" s="132"/>
      <c r="O146" s="121"/>
      <c r="P146" s="82"/>
      <c r="Q146" s="292"/>
      <c r="R146" s="132"/>
      <c r="S146" s="121"/>
      <c r="T146" s="82"/>
      <c r="U146" s="292"/>
      <c r="V146" s="132"/>
      <c r="W146" s="121"/>
      <c r="X146" s="82"/>
      <c r="Y146" s="292"/>
      <c r="Z146" s="300"/>
      <c r="AA146" s="301"/>
      <c r="AB146" s="80"/>
      <c r="AC146" s="292"/>
      <c r="AD146" s="132"/>
      <c r="AE146" s="254"/>
      <c r="AF146" s="294"/>
      <c r="AG146" s="292"/>
      <c r="AH146" s="295"/>
      <c r="AI146" s="296"/>
      <c r="AJ146" s="199"/>
      <c r="AK146" s="292"/>
      <c r="AL146" s="298"/>
      <c r="AM146" s="299"/>
      <c r="AN146" s="82"/>
      <c r="AO146" s="292"/>
      <c r="AP146" s="298"/>
      <c r="AQ146" s="299"/>
      <c r="AR146" s="82"/>
      <c r="AS146" s="292"/>
      <c r="AT146" s="298"/>
      <c r="AU146" s="299"/>
      <c r="AV146" s="82"/>
    </row>
    <row r="147">
      <c r="A147" s="292"/>
      <c r="B147" s="132"/>
      <c r="C147" s="121"/>
      <c r="D147" s="82"/>
      <c r="E147" s="292"/>
      <c r="F147" s="132"/>
      <c r="G147" s="121"/>
      <c r="H147" s="82"/>
      <c r="I147" s="292"/>
      <c r="J147" s="132"/>
      <c r="K147" s="121"/>
      <c r="L147" s="82"/>
      <c r="M147" s="292"/>
      <c r="N147" s="132"/>
      <c r="O147" s="121"/>
      <c r="P147" s="82"/>
      <c r="Q147" s="292"/>
      <c r="R147" s="132"/>
      <c r="S147" s="121"/>
      <c r="T147" s="82"/>
      <c r="U147" s="292"/>
      <c r="V147" s="132"/>
      <c r="W147" s="121"/>
      <c r="X147" s="82"/>
      <c r="Y147" s="292"/>
      <c r="Z147" s="300"/>
      <c r="AA147" s="301"/>
      <c r="AB147" s="80"/>
      <c r="AC147" s="292"/>
      <c r="AD147" s="132"/>
      <c r="AE147" s="254"/>
      <c r="AF147" s="294"/>
      <c r="AG147" s="292"/>
      <c r="AH147" s="295"/>
      <c r="AI147" s="296"/>
      <c r="AJ147" s="199"/>
      <c r="AK147" s="292"/>
      <c r="AL147" s="298"/>
      <c r="AM147" s="299"/>
      <c r="AN147" s="82"/>
      <c r="AO147" s="292"/>
      <c r="AP147" s="298"/>
      <c r="AQ147" s="299"/>
      <c r="AR147" s="82"/>
      <c r="AS147" s="292"/>
      <c r="AT147" s="298"/>
      <c r="AU147" s="299"/>
      <c r="AV147" s="82"/>
    </row>
    <row r="148">
      <c r="A148" s="292"/>
      <c r="B148" s="132"/>
      <c r="C148" s="121"/>
      <c r="D148" s="82"/>
      <c r="E148" s="292"/>
      <c r="F148" s="132"/>
      <c r="G148" s="121"/>
      <c r="H148" s="82"/>
      <c r="I148" s="292"/>
      <c r="J148" s="132"/>
      <c r="K148" s="121"/>
      <c r="L148" s="82"/>
      <c r="M148" s="292"/>
      <c r="N148" s="132"/>
      <c r="O148" s="121"/>
      <c r="P148" s="82"/>
      <c r="Q148" s="292"/>
      <c r="R148" s="132"/>
      <c r="S148" s="121"/>
      <c r="T148" s="82"/>
      <c r="U148" s="292"/>
      <c r="V148" s="132"/>
      <c r="W148" s="121"/>
      <c r="X148" s="82"/>
      <c r="Y148" s="292"/>
      <c r="Z148" s="300"/>
      <c r="AA148" s="301"/>
      <c r="AB148" s="80"/>
      <c r="AC148" s="292"/>
      <c r="AD148" s="132"/>
      <c r="AE148" s="254"/>
      <c r="AF148" s="294"/>
      <c r="AG148" s="292"/>
      <c r="AH148" s="295"/>
      <c r="AI148" s="296"/>
      <c r="AJ148" s="199"/>
      <c r="AK148" s="292"/>
      <c r="AL148" s="298"/>
      <c r="AM148" s="299"/>
      <c r="AN148" s="82"/>
      <c r="AO148" s="292"/>
      <c r="AP148" s="298"/>
      <c r="AQ148" s="299"/>
      <c r="AR148" s="82"/>
      <c r="AS148" s="292"/>
      <c r="AT148" s="298"/>
      <c r="AU148" s="299"/>
      <c r="AV148" s="82"/>
    </row>
    <row r="149">
      <c r="A149" s="292"/>
      <c r="B149" s="132"/>
      <c r="C149" s="121"/>
      <c r="D149" s="82"/>
      <c r="E149" s="292"/>
      <c r="F149" s="132"/>
      <c r="G149" s="121"/>
      <c r="H149" s="82"/>
      <c r="I149" s="292"/>
      <c r="J149" s="132"/>
      <c r="K149" s="121"/>
      <c r="L149" s="82"/>
      <c r="M149" s="292"/>
      <c r="N149" s="132"/>
      <c r="O149" s="121"/>
      <c r="P149" s="82"/>
      <c r="Q149" s="292"/>
      <c r="R149" s="132"/>
      <c r="S149" s="121"/>
      <c r="T149" s="82"/>
      <c r="U149" s="292"/>
      <c r="V149" s="132"/>
      <c r="W149" s="121"/>
      <c r="X149" s="82"/>
      <c r="Y149" s="292"/>
      <c r="Z149" s="300"/>
      <c r="AA149" s="301"/>
      <c r="AB149" s="80"/>
      <c r="AC149" s="292"/>
      <c r="AD149" s="132"/>
      <c r="AE149" s="254"/>
      <c r="AF149" s="294"/>
      <c r="AG149" s="292"/>
      <c r="AH149" s="295"/>
      <c r="AI149" s="296"/>
      <c r="AJ149" s="199"/>
      <c r="AK149" s="292"/>
      <c r="AL149" s="298"/>
      <c r="AM149" s="299"/>
      <c r="AN149" s="82"/>
      <c r="AO149" s="292"/>
      <c r="AP149" s="298"/>
      <c r="AQ149" s="299"/>
      <c r="AR149" s="82"/>
      <c r="AS149" s="292"/>
      <c r="AT149" s="298"/>
      <c r="AU149" s="299"/>
      <c r="AV149" s="82"/>
    </row>
    <row r="150">
      <c r="A150" s="292"/>
      <c r="B150" s="132"/>
      <c r="C150" s="121"/>
      <c r="D150" s="82"/>
      <c r="E150" s="292"/>
      <c r="F150" s="132"/>
      <c r="G150" s="121"/>
      <c r="H150" s="82"/>
      <c r="I150" s="292"/>
      <c r="J150" s="132"/>
      <c r="K150" s="121"/>
      <c r="L150" s="82"/>
      <c r="M150" s="292"/>
      <c r="N150" s="132"/>
      <c r="O150" s="121"/>
      <c r="P150" s="82"/>
      <c r="Q150" s="292"/>
      <c r="R150" s="132"/>
      <c r="S150" s="121"/>
      <c r="T150" s="82"/>
      <c r="U150" s="292"/>
      <c r="V150" s="132"/>
      <c r="W150" s="121"/>
      <c r="X150" s="82"/>
      <c r="Y150" s="292"/>
      <c r="Z150" s="300"/>
      <c r="AA150" s="301"/>
      <c r="AB150" s="80"/>
      <c r="AC150" s="292"/>
      <c r="AD150" s="132"/>
      <c r="AE150" s="254"/>
      <c r="AF150" s="294"/>
      <c r="AG150" s="292"/>
      <c r="AH150" s="295"/>
      <c r="AI150" s="296"/>
      <c r="AJ150" s="199"/>
      <c r="AK150" s="292"/>
      <c r="AL150" s="298"/>
      <c r="AM150" s="299"/>
      <c r="AN150" s="82"/>
      <c r="AO150" s="292"/>
      <c r="AP150" s="298"/>
      <c r="AQ150" s="299"/>
      <c r="AR150" s="82"/>
      <c r="AS150" s="292"/>
      <c r="AT150" s="298"/>
      <c r="AU150" s="299"/>
      <c r="AV150" s="82"/>
    </row>
    <row r="151">
      <c r="A151" s="292"/>
      <c r="B151" s="132"/>
      <c r="C151" s="121"/>
      <c r="D151" s="82"/>
      <c r="E151" s="292"/>
      <c r="F151" s="132"/>
      <c r="G151" s="121"/>
      <c r="H151" s="82"/>
      <c r="I151" s="292"/>
      <c r="J151" s="132"/>
      <c r="K151" s="121"/>
      <c r="L151" s="82"/>
      <c r="M151" s="292"/>
      <c r="N151" s="132"/>
      <c r="O151" s="121"/>
      <c r="P151" s="82"/>
      <c r="Q151" s="292"/>
      <c r="R151" s="132"/>
      <c r="S151" s="121"/>
      <c r="T151" s="82"/>
      <c r="U151" s="292"/>
      <c r="V151" s="132"/>
      <c r="W151" s="121"/>
      <c r="X151" s="82"/>
      <c r="Y151" s="292"/>
      <c r="Z151" s="300"/>
      <c r="AA151" s="301"/>
      <c r="AB151" s="80"/>
      <c r="AC151" s="292"/>
      <c r="AD151" s="132"/>
      <c r="AE151" s="254"/>
      <c r="AF151" s="294"/>
      <c r="AG151" s="292"/>
      <c r="AH151" s="295"/>
      <c r="AI151" s="296"/>
      <c r="AJ151" s="199"/>
      <c r="AK151" s="292"/>
      <c r="AL151" s="298"/>
      <c r="AM151" s="299"/>
      <c r="AN151" s="82"/>
      <c r="AO151" s="292"/>
      <c r="AP151" s="298"/>
      <c r="AQ151" s="299"/>
      <c r="AR151" s="82"/>
      <c r="AS151" s="292"/>
      <c r="AT151" s="298"/>
      <c r="AU151" s="299"/>
      <c r="AV151" s="82"/>
    </row>
    <row r="152">
      <c r="A152" s="292"/>
      <c r="B152" s="132"/>
      <c r="C152" s="121"/>
      <c r="D152" s="82"/>
      <c r="E152" s="292"/>
      <c r="F152" s="132"/>
      <c r="G152" s="121"/>
      <c r="H152" s="82"/>
      <c r="I152" s="292"/>
      <c r="J152" s="132"/>
      <c r="K152" s="121"/>
      <c r="L152" s="82"/>
      <c r="M152" s="292"/>
      <c r="N152" s="132"/>
      <c r="O152" s="121"/>
      <c r="P152" s="82"/>
      <c r="Q152" s="292"/>
      <c r="R152" s="132"/>
      <c r="S152" s="121"/>
      <c r="T152" s="82"/>
      <c r="U152" s="292"/>
      <c r="V152" s="132"/>
      <c r="W152" s="121"/>
      <c r="X152" s="82"/>
      <c r="Y152" s="292"/>
      <c r="Z152" s="300"/>
      <c r="AA152" s="301"/>
      <c r="AB152" s="80"/>
      <c r="AC152" s="292"/>
      <c r="AD152" s="132"/>
      <c r="AE152" s="254"/>
      <c r="AF152" s="294"/>
      <c r="AG152" s="292"/>
      <c r="AH152" s="295"/>
      <c r="AI152" s="296"/>
      <c r="AJ152" s="199"/>
      <c r="AK152" s="292"/>
      <c r="AL152" s="298"/>
      <c r="AM152" s="299"/>
      <c r="AN152" s="82"/>
      <c r="AO152" s="292"/>
      <c r="AP152" s="298"/>
      <c r="AQ152" s="299"/>
      <c r="AR152" s="82"/>
      <c r="AS152" s="292"/>
      <c r="AT152" s="298"/>
      <c r="AU152" s="299"/>
      <c r="AV152" s="82"/>
    </row>
    <row r="153">
      <c r="A153" s="292"/>
      <c r="B153" s="132"/>
      <c r="C153" s="121"/>
      <c r="D153" s="82"/>
      <c r="E153" s="292"/>
      <c r="F153" s="132"/>
      <c r="G153" s="121"/>
      <c r="H153" s="82"/>
      <c r="I153" s="292"/>
      <c r="J153" s="132"/>
      <c r="K153" s="121"/>
      <c r="L153" s="82"/>
      <c r="M153" s="292"/>
      <c r="N153" s="132"/>
      <c r="O153" s="121"/>
      <c r="P153" s="82"/>
      <c r="Q153" s="292"/>
      <c r="R153" s="132"/>
      <c r="S153" s="121"/>
      <c r="T153" s="82"/>
      <c r="U153" s="292"/>
      <c r="V153" s="132"/>
      <c r="W153" s="121"/>
      <c r="X153" s="82"/>
      <c r="Y153" s="292"/>
      <c r="Z153" s="300"/>
      <c r="AA153" s="301"/>
      <c r="AB153" s="80"/>
      <c r="AC153" s="292"/>
      <c r="AD153" s="132"/>
      <c r="AE153" s="254"/>
      <c r="AF153" s="294"/>
      <c r="AG153" s="292"/>
      <c r="AH153" s="295"/>
      <c r="AI153" s="296"/>
      <c r="AJ153" s="199"/>
      <c r="AK153" s="292"/>
      <c r="AL153" s="298"/>
      <c r="AM153" s="299"/>
      <c r="AN153" s="82"/>
      <c r="AO153" s="292"/>
      <c r="AP153" s="298"/>
      <c r="AQ153" s="299"/>
      <c r="AR153" s="82"/>
      <c r="AS153" s="292"/>
      <c r="AT153" s="298"/>
      <c r="AU153" s="299"/>
      <c r="AV153" s="82"/>
    </row>
    <row r="154">
      <c r="A154" s="292"/>
      <c r="B154" s="132"/>
      <c r="C154" s="121"/>
      <c r="D154" s="82"/>
      <c r="E154" s="292"/>
      <c r="F154" s="132"/>
      <c r="G154" s="121"/>
      <c r="H154" s="82"/>
      <c r="I154" s="292"/>
      <c r="J154" s="132"/>
      <c r="K154" s="121"/>
      <c r="L154" s="82"/>
      <c r="M154" s="292"/>
      <c r="N154" s="132"/>
      <c r="O154" s="121"/>
      <c r="P154" s="82"/>
      <c r="Q154" s="292"/>
      <c r="R154" s="132"/>
      <c r="S154" s="121"/>
      <c r="T154" s="82"/>
      <c r="U154" s="292"/>
      <c r="V154" s="132"/>
      <c r="W154" s="121"/>
      <c r="X154" s="82"/>
      <c r="Y154" s="292"/>
      <c r="Z154" s="300"/>
      <c r="AA154" s="301"/>
      <c r="AB154" s="80"/>
      <c r="AC154" s="292"/>
      <c r="AD154" s="132"/>
      <c r="AE154" s="254"/>
      <c r="AF154" s="294"/>
      <c r="AG154" s="292"/>
      <c r="AH154" s="295"/>
      <c r="AI154" s="296"/>
      <c r="AJ154" s="199"/>
      <c r="AK154" s="292"/>
      <c r="AL154" s="298"/>
      <c r="AM154" s="299"/>
      <c r="AN154" s="82"/>
      <c r="AO154" s="292"/>
      <c r="AP154" s="298"/>
      <c r="AQ154" s="299"/>
      <c r="AR154" s="82"/>
      <c r="AS154" s="292"/>
      <c r="AT154" s="298"/>
      <c r="AU154" s="299"/>
      <c r="AV154" s="82"/>
    </row>
    <row r="155">
      <c r="A155" s="292"/>
      <c r="B155" s="132"/>
      <c r="C155" s="121"/>
      <c r="D155" s="82"/>
      <c r="E155" s="292"/>
      <c r="F155" s="132"/>
      <c r="G155" s="121"/>
      <c r="H155" s="82"/>
      <c r="I155" s="292"/>
      <c r="J155" s="132"/>
      <c r="K155" s="121"/>
      <c r="L155" s="82"/>
      <c r="M155" s="292"/>
      <c r="N155" s="132"/>
      <c r="O155" s="121"/>
      <c r="P155" s="82"/>
      <c r="Q155" s="292"/>
      <c r="R155" s="132"/>
      <c r="S155" s="121"/>
      <c r="T155" s="82"/>
      <c r="U155" s="292"/>
      <c r="V155" s="132"/>
      <c r="W155" s="121"/>
      <c r="X155" s="82"/>
      <c r="Y155" s="292"/>
      <c r="Z155" s="300"/>
      <c r="AA155" s="301"/>
      <c r="AB155" s="80"/>
      <c r="AC155" s="292"/>
      <c r="AD155" s="132"/>
      <c r="AE155" s="254"/>
      <c r="AF155" s="294"/>
      <c r="AG155" s="292"/>
      <c r="AH155" s="295"/>
      <c r="AI155" s="296"/>
      <c r="AJ155" s="199"/>
      <c r="AK155" s="292"/>
      <c r="AL155" s="298"/>
      <c r="AM155" s="299"/>
      <c r="AN155" s="82"/>
      <c r="AO155" s="292"/>
      <c r="AP155" s="298"/>
      <c r="AQ155" s="299"/>
      <c r="AR155" s="82"/>
      <c r="AS155" s="292"/>
      <c r="AT155" s="298"/>
      <c r="AU155" s="299"/>
      <c r="AV155" s="82"/>
    </row>
    <row r="156">
      <c r="A156" s="292"/>
      <c r="B156" s="132"/>
      <c r="C156" s="121"/>
      <c r="D156" s="82"/>
      <c r="E156" s="292"/>
      <c r="F156" s="132"/>
      <c r="G156" s="121"/>
      <c r="H156" s="82"/>
      <c r="I156" s="292"/>
      <c r="J156" s="132"/>
      <c r="K156" s="121"/>
      <c r="L156" s="82"/>
      <c r="M156" s="292"/>
      <c r="N156" s="132"/>
      <c r="O156" s="121"/>
      <c r="P156" s="82"/>
      <c r="Q156" s="292"/>
      <c r="R156" s="132"/>
      <c r="S156" s="121"/>
      <c r="T156" s="82"/>
      <c r="U156" s="292"/>
      <c r="V156" s="132"/>
      <c r="W156" s="121"/>
      <c r="X156" s="82"/>
      <c r="Y156" s="292"/>
      <c r="Z156" s="300"/>
      <c r="AA156" s="301"/>
      <c r="AB156" s="80"/>
      <c r="AC156" s="292"/>
      <c r="AD156" s="132"/>
      <c r="AE156" s="254"/>
      <c r="AF156" s="294"/>
      <c r="AG156" s="292"/>
      <c r="AH156" s="295"/>
      <c r="AI156" s="296"/>
      <c r="AJ156" s="199"/>
      <c r="AK156" s="292"/>
      <c r="AL156" s="298"/>
      <c r="AM156" s="299"/>
      <c r="AN156" s="82"/>
      <c r="AO156" s="292"/>
      <c r="AP156" s="298"/>
      <c r="AQ156" s="299"/>
      <c r="AR156" s="82"/>
      <c r="AS156" s="292"/>
      <c r="AT156" s="298"/>
      <c r="AU156" s="299"/>
      <c r="AV156" s="82"/>
    </row>
    <row r="157">
      <c r="A157" s="292"/>
      <c r="B157" s="132"/>
      <c r="C157" s="121"/>
      <c r="D157" s="82"/>
      <c r="E157" s="292"/>
      <c r="F157" s="132"/>
      <c r="G157" s="121"/>
      <c r="H157" s="82"/>
      <c r="I157" s="292"/>
      <c r="J157" s="132"/>
      <c r="K157" s="121"/>
      <c r="L157" s="82"/>
      <c r="M157" s="292"/>
      <c r="N157" s="132"/>
      <c r="O157" s="121"/>
      <c r="P157" s="82"/>
      <c r="Q157" s="292"/>
      <c r="R157" s="132"/>
      <c r="S157" s="121"/>
      <c r="T157" s="82"/>
      <c r="U157" s="292"/>
      <c r="V157" s="132"/>
      <c r="W157" s="121"/>
      <c r="X157" s="82"/>
      <c r="Y157" s="292"/>
      <c r="Z157" s="300"/>
      <c r="AA157" s="301"/>
      <c r="AB157" s="80"/>
      <c r="AC157" s="292"/>
      <c r="AD157" s="132"/>
      <c r="AE157" s="254"/>
      <c r="AF157" s="294"/>
      <c r="AG157" s="292"/>
      <c r="AH157" s="295"/>
      <c r="AI157" s="296"/>
      <c r="AJ157" s="199"/>
      <c r="AK157" s="292"/>
      <c r="AL157" s="298"/>
      <c r="AM157" s="299"/>
      <c r="AN157" s="82"/>
      <c r="AO157" s="292"/>
      <c r="AP157" s="298"/>
      <c r="AQ157" s="299"/>
      <c r="AR157" s="82"/>
      <c r="AS157" s="292"/>
      <c r="AT157" s="298"/>
      <c r="AU157" s="299"/>
      <c r="AV157" s="82"/>
    </row>
    <row r="158">
      <c r="A158" s="292"/>
      <c r="B158" s="132"/>
      <c r="C158" s="121"/>
      <c r="D158" s="82"/>
      <c r="E158" s="292"/>
      <c r="F158" s="132"/>
      <c r="G158" s="121"/>
      <c r="H158" s="82"/>
      <c r="I158" s="292"/>
      <c r="J158" s="132"/>
      <c r="K158" s="121"/>
      <c r="L158" s="82"/>
      <c r="M158" s="292"/>
      <c r="N158" s="132"/>
      <c r="O158" s="121"/>
      <c r="P158" s="82"/>
      <c r="Q158" s="292"/>
      <c r="R158" s="132"/>
      <c r="S158" s="121"/>
      <c r="T158" s="82"/>
      <c r="U158" s="292"/>
      <c r="V158" s="132"/>
      <c r="W158" s="121"/>
      <c r="X158" s="82"/>
      <c r="Y158" s="292"/>
      <c r="Z158" s="300"/>
      <c r="AA158" s="301"/>
      <c r="AB158" s="80"/>
      <c r="AC158" s="292"/>
      <c r="AD158" s="132"/>
      <c r="AE158" s="254"/>
      <c r="AF158" s="294"/>
      <c r="AG158" s="292"/>
      <c r="AH158" s="295"/>
      <c r="AI158" s="296"/>
      <c r="AJ158" s="199"/>
      <c r="AK158" s="292"/>
      <c r="AL158" s="298"/>
      <c r="AM158" s="299"/>
      <c r="AN158" s="82"/>
      <c r="AO158" s="292"/>
      <c r="AP158" s="298"/>
      <c r="AQ158" s="299"/>
      <c r="AR158" s="82"/>
      <c r="AS158" s="292"/>
      <c r="AT158" s="298"/>
      <c r="AU158" s="299"/>
      <c r="AV158" s="82"/>
    </row>
    <row r="159">
      <c r="A159" s="292"/>
      <c r="B159" s="132"/>
      <c r="C159" s="121"/>
      <c r="D159" s="82"/>
      <c r="E159" s="292"/>
      <c r="F159" s="132"/>
      <c r="G159" s="121"/>
      <c r="H159" s="82"/>
      <c r="I159" s="292"/>
      <c r="J159" s="132"/>
      <c r="K159" s="121"/>
      <c r="L159" s="82"/>
      <c r="M159" s="292"/>
      <c r="N159" s="132"/>
      <c r="O159" s="121"/>
      <c r="P159" s="82"/>
      <c r="Q159" s="292"/>
      <c r="R159" s="132"/>
      <c r="S159" s="121"/>
      <c r="T159" s="82"/>
      <c r="U159" s="292"/>
      <c r="V159" s="132"/>
      <c r="W159" s="121"/>
      <c r="X159" s="82"/>
      <c r="Y159" s="292"/>
      <c r="Z159" s="300"/>
      <c r="AA159" s="301"/>
      <c r="AB159" s="80"/>
      <c r="AC159" s="292"/>
      <c r="AD159" s="132"/>
      <c r="AE159" s="254"/>
      <c r="AF159" s="294"/>
      <c r="AG159" s="292"/>
      <c r="AH159" s="295"/>
      <c r="AI159" s="296"/>
      <c r="AJ159" s="199"/>
      <c r="AK159" s="292"/>
      <c r="AL159" s="298"/>
      <c r="AM159" s="299"/>
      <c r="AN159" s="82"/>
      <c r="AO159" s="292"/>
      <c r="AP159" s="298"/>
      <c r="AQ159" s="299"/>
      <c r="AR159" s="82"/>
      <c r="AS159" s="292"/>
      <c r="AT159" s="298"/>
      <c r="AU159" s="299"/>
      <c r="AV159" s="82"/>
    </row>
    <row r="160">
      <c r="A160" s="292"/>
      <c r="B160" s="132"/>
      <c r="C160" s="121"/>
      <c r="D160" s="82"/>
      <c r="E160" s="292"/>
      <c r="F160" s="132"/>
      <c r="G160" s="121"/>
      <c r="H160" s="82"/>
      <c r="I160" s="292"/>
      <c r="J160" s="132"/>
      <c r="K160" s="121"/>
      <c r="L160" s="82"/>
      <c r="M160" s="292"/>
      <c r="N160" s="132"/>
      <c r="O160" s="121"/>
      <c r="P160" s="82"/>
      <c r="Q160" s="292"/>
      <c r="R160" s="132"/>
      <c r="S160" s="121"/>
      <c r="T160" s="82"/>
      <c r="U160" s="292"/>
      <c r="V160" s="132"/>
      <c r="W160" s="121"/>
      <c r="X160" s="82"/>
      <c r="Y160" s="292"/>
      <c r="Z160" s="300"/>
      <c r="AA160" s="301"/>
      <c r="AB160" s="80"/>
      <c r="AC160" s="292"/>
      <c r="AD160" s="132"/>
      <c r="AE160" s="254"/>
      <c r="AF160" s="294"/>
      <c r="AG160" s="292"/>
      <c r="AH160" s="295"/>
      <c r="AI160" s="296"/>
      <c r="AJ160" s="199"/>
      <c r="AK160" s="292"/>
      <c r="AL160" s="298"/>
      <c r="AM160" s="299"/>
      <c r="AN160" s="82"/>
      <c r="AO160" s="292"/>
      <c r="AP160" s="298"/>
      <c r="AQ160" s="299"/>
      <c r="AR160" s="82"/>
      <c r="AS160" s="292"/>
      <c r="AT160" s="298"/>
      <c r="AU160" s="299"/>
      <c r="AV160" s="82"/>
    </row>
    <row r="161">
      <c r="A161" s="292"/>
      <c r="B161" s="132"/>
      <c r="C161" s="121"/>
      <c r="D161" s="82"/>
      <c r="E161" s="292"/>
      <c r="F161" s="132"/>
      <c r="G161" s="121"/>
      <c r="H161" s="82"/>
      <c r="I161" s="292"/>
      <c r="J161" s="132"/>
      <c r="K161" s="121"/>
      <c r="L161" s="82"/>
      <c r="M161" s="292"/>
      <c r="N161" s="132"/>
      <c r="O161" s="121"/>
      <c r="P161" s="82"/>
      <c r="Q161" s="292"/>
      <c r="R161" s="132"/>
      <c r="S161" s="121"/>
      <c r="T161" s="82"/>
      <c r="U161" s="292"/>
      <c r="V161" s="132"/>
      <c r="W161" s="121"/>
      <c r="X161" s="82"/>
      <c r="Y161" s="292"/>
      <c r="Z161" s="300"/>
      <c r="AA161" s="301"/>
      <c r="AB161" s="80"/>
      <c r="AC161" s="292"/>
      <c r="AD161" s="132"/>
      <c r="AE161" s="254"/>
      <c r="AF161" s="294"/>
      <c r="AG161" s="292"/>
      <c r="AH161" s="295"/>
      <c r="AI161" s="296"/>
      <c r="AJ161" s="199"/>
      <c r="AK161" s="292"/>
      <c r="AL161" s="298"/>
      <c r="AM161" s="299"/>
      <c r="AN161" s="82"/>
      <c r="AO161" s="292"/>
      <c r="AP161" s="298"/>
      <c r="AQ161" s="299"/>
      <c r="AR161" s="82"/>
      <c r="AS161" s="292"/>
      <c r="AT161" s="298"/>
      <c r="AU161" s="299"/>
      <c r="AV161" s="82"/>
    </row>
    <row r="162">
      <c r="A162" s="292"/>
      <c r="B162" s="132"/>
      <c r="C162" s="121"/>
      <c r="D162" s="82"/>
      <c r="E162" s="292"/>
      <c r="F162" s="132"/>
      <c r="G162" s="121"/>
      <c r="H162" s="82"/>
      <c r="I162" s="292"/>
      <c r="J162" s="132"/>
      <c r="K162" s="121"/>
      <c r="L162" s="82"/>
      <c r="M162" s="292"/>
      <c r="N162" s="132"/>
      <c r="O162" s="121"/>
      <c r="P162" s="82"/>
      <c r="Q162" s="292"/>
      <c r="R162" s="132"/>
      <c r="S162" s="121"/>
      <c r="T162" s="82"/>
      <c r="U162" s="292"/>
      <c r="V162" s="132"/>
      <c r="W162" s="121"/>
      <c r="X162" s="82"/>
      <c r="Y162" s="292"/>
      <c r="Z162" s="300"/>
      <c r="AA162" s="301"/>
      <c r="AB162" s="80"/>
      <c r="AC162" s="292"/>
      <c r="AD162" s="132"/>
      <c r="AE162" s="254"/>
      <c r="AF162" s="294"/>
      <c r="AG162" s="292"/>
      <c r="AH162" s="295"/>
      <c r="AI162" s="296"/>
      <c r="AJ162" s="199"/>
      <c r="AK162" s="292"/>
      <c r="AL162" s="298"/>
      <c r="AM162" s="299"/>
      <c r="AN162" s="82"/>
      <c r="AO162" s="292"/>
      <c r="AP162" s="298"/>
      <c r="AQ162" s="299"/>
      <c r="AR162" s="82"/>
      <c r="AS162" s="292"/>
      <c r="AT162" s="298"/>
      <c r="AU162" s="299"/>
      <c r="AV162" s="82"/>
    </row>
    <row r="163">
      <c r="A163" s="292"/>
      <c r="B163" s="132"/>
      <c r="C163" s="121"/>
      <c r="D163" s="82"/>
      <c r="E163" s="292"/>
      <c r="F163" s="132"/>
      <c r="G163" s="121"/>
      <c r="H163" s="82"/>
      <c r="I163" s="292"/>
      <c r="J163" s="132"/>
      <c r="K163" s="121"/>
      <c r="L163" s="82"/>
      <c r="M163" s="292"/>
      <c r="N163" s="132"/>
      <c r="O163" s="121"/>
      <c r="P163" s="82"/>
      <c r="Q163" s="292"/>
      <c r="R163" s="132"/>
      <c r="S163" s="121"/>
      <c r="T163" s="82"/>
      <c r="U163" s="292"/>
      <c r="V163" s="132"/>
      <c r="W163" s="121"/>
      <c r="X163" s="82"/>
      <c r="Y163" s="292"/>
      <c r="Z163" s="300"/>
      <c r="AA163" s="301"/>
      <c r="AB163" s="80"/>
      <c r="AC163" s="292"/>
      <c r="AD163" s="132"/>
      <c r="AE163" s="254"/>
      <c r="AF163" s="294"/>
      <c r="AG163" s="292"/>
      <c r="AH163" s="295"/>
      <c r="AI163" s="296"/>
      <c r="AJ163" s="199"/>
      <c r="AK163" s="292"/>
      <c r="AL163" s="298"/>
      <c r="AM163" s="299"/>
      <c r="AN163" s="82"/>
      <c r="AO163" s="292"/>
      <c r="AP163" s="298"/>
      <c r="AQ163" s="299"/>
      <c r="AR163" s="82"/>
      <c r="AS163" s="292"/>
      <c r="AT163" s="298"/>
      <c r="AU163" s="299"/>
      <c r="AV163" s="82"/>
    </row>
    <row r="164">
      <c r="A164" s="292"/>
      <c r="B164" s="132"/>
      <c r="C164" s="121"/>
      <c r="D164" s="82"/>
      <c r="E164" s="292"/>
      <c r="F164" s="132"/>
      <c r="G164" s="121"/>
      <c r="H164" s="82"/>
      <c r="I164" s="292"/>
      <c r="J164" s="132"/>
      <c r="K164" s="121"/>
      <c r="L164" s="82"/>
      <c r="M164" s="292"/>
      <c r="N164" s="132"/>
      <c r="O164" s="121"/>
      <c r="P164" s="82"/>
      <c r="Q164" s="292"/>
      <c r="R164" s="132"/>
      <c r="S164" s="121"/>
      <c r="T164" s="82"/>
      <c r="U164" s="292"/>
      <c r="V164" s="132"/>
      <c r="W164" s="121"/>
      <c r="X164" s="82"/>
      <c r="Y164" s="292"/>
      <c r="Z164" s="300"/>
      <c r="AA164" s="301"/>
      <c r="AB164" s="80"/>
      <c r="AC164" s="292"/>
      <c r="AD164" s="132"/>
      <c r="AE164" s="254"/>
      <c r="AF164" s="294"/>
      <c r="AG164" s="292"/>
      <c r="AH164" s="295"/>
      <c r="AI164" s="296"/>
      <c r="AJ164" s="199"/>
      <c r="AK164" s="292"/>
      <c r="AL164" s="298"/>
      <c r="AM164" s="299"/>
      <c r="AN164" s="82"/>
      <c r="AO164" s="292"/>
      <c r="AP164" s="298"/>
      <c r="AQ164" s="299"/>
      <c r="AR164" s="82"/>
      <c r="AS164" s="292"/>
      <c r="AT164" s="298"/>
      <c r="AU164" s="299"/>
      <c r="AV164" s="82"/>
    </row>
    <row r="165">
      <c r="A165" s="292"/>
      <c r="B165" s="132"/>
      <c r="C165" s="121"/>
      <c r="D165" s="82"/>
      <c r="E165" s="292"/>
      <c r="F165" s="132"/>
      <c r="G165" s="121"/>
      <c r="H165" s="82"/>
      <c r="I165" s="292"/>
      <c r="J165" s="132"/>
      <c r="K165" s="121"/>
      <c r="L165" s="82"/>
      <c r="M165" s="292"/>
      <c r="N165" s="132"/>
      <c r="O165" s="121"/>
      <c r="P165" s="82"/>
      <c r="Q165" s="292"/>
      <c r="R165" s="132"/>
      <c r="S165" s="121"/>
      <c r="T165" s="82"/>
      <c r="U165" s="292"/>
      <c r="V165" s="132"/>
      <c r="W165" s="121"/>
      <c r="X165" s="82"/>
      <c r="Y165" s="292"/>
      <c r="Z165" s="300"/>
      <c r="AA165" s="301"/>
      <c r="AB165" s="80"/>
      <c r="AC165" s="292"/>
      <c r="AD165" s="132"/>
      <c r="AE165" s="254"/>
      <c r="AF165" s="294"/>
      <c r="AG165" s="292"/>
      <c r="AH165" s="295"/>
      <c r="AI165" s="296"/>
      <c r="AJ165" s="199"/>
      <c r="AK165" s="292"/>
      <c r="AL165" s="298"/>
      <c r="AM165" s="299"/>
      <c r="AN165" s="82"/>
      <c r="AO165" s="292"/>
      <c r="AP165" s="298"/>
      <c r="AQ165" s="299"/>
      <c r="AR165" s="82"/>
      <c r="AS165" s="292"/>
      <c r="AT165" s="298"/>
      <c r="AU165" s="299"/>
      <c r="AV165" s="82"/>
    </row>
    <row r="166">
      <c r="A166" s="292"/>
      <c r="B166" s="132"/>
      <c r="C166" s="121"/>
      <c r="D166" s="82"/>
      <c r="E166" s="292"/>
      <c r="F166" s="132"/>
      <c r="G166" s="121"/>
      <c r="H166" s="82"/>
      <c r="I166" s="292"/>
      <c r="J166" s="132"/>
      <c r="K166" s="121"/>
      <c r="L166" s="82"/>
      <c r="M166" s="292"/>
      <c r="N166" s="132"/>
      <c r="O166" s="121"/>
      <c r="P166" s="82"/>
      <c r="Q166" s="292"/>
      <c r="R166" s="132"/>
      <c r="S166" s="121"/>
      <c r="T166" s="82"/>
      <c r="U166" s="292"/>
      <c r="V166" s="132"/>
      <c r="W166" s="121"/>
      <c r="X166" s="82"/>
      <c r="Y166" s="292"/>
      <c r="Z166" s="300"/>
      <c r="AA166" s="301"/>
      <c r="AB166" s="80"/>
      <c r="AC166" s="292"/>
      <c r="AD166" s="132"/>
      <c r="AE166" s="254"/>
      <c r="AF166" s="294"/>
      <c r="AG166" s="292"/>
      <c r="AH166" s="295"/>
      <c r="AI166" s="296"/>
      <c r="AJ166" s="199"/>
      <c r="AK166" s="292"/>
      <c r="AL166" s="298"/>
      <c r="AM166" s="299"/>
      <c r="AN166" s="82"/>
      <c r="AO166" s="292"/>
      <c r="AP166" s="298"/>
      <c r="AQ166" s="299"/>
      <c r="AR166" s="82"/>
      <c r="AS166" s="292"/>
      <c r="AT166" s="298"/>
      <c r="AU166" s="299"/>
      <c r="AV166" s="82"/>
    </row>
    <row r="167">
      <c r="A167" s="292"/>
      <c r="B167" s="132"/>
      <c r="C167" s="121"/>
      <c r="D167" s="82"/>
      <c r="E167" s="292"/>
      <c r="F167" s="132"/>
      <c r="G167" s="121"/>
      <c r="H167" s="82"/>
      <c r="I167" s="292"/>
      <c r="J167" s="132"/>
      <c r="K167" s="121"/>
      <c r="L167" s="82"/>
      <c r="M167" s="292"/>
      <c r="N167" s="132"/>
      <c r="O167" s="121"/>
      <c r="P167" s="82"/>
      <c r="Q167" s="292"/>
      <c r="R167" s="132"/>
      <c r="S167" s="121"/>
      <c r="T167" s="82"/>
      <c r="U167" s="292"/>
      <c r="V167" s="132"/>
      <c r="W167" s="121"/>
      <c r="X167" s="82"/>
      <c r="Y167" s="292"/>
      <c r="Z167" s="300"/>
      <c r="AA167" s="301"/>
      <c r="AB167" s="80"/>
      <c r="AC167" s="292"/>
      <c r="AD167" s="132"/>
      <c r="AE167" s="254"/>
      <c r="AF167" s="294"/>
      <c r="AG167" s="292"/>
      <c r="AH167" s="295"/>
      <c r="AI167" s="296"/>
      <c r="AJ167" s="199"/>
      <c r="AK167" s="292"/>
      <c r="AL167" s="298"/>
      <c r="AM167" s="299"/>
      <c r="AN167" s="82"/>
      <c r="AO167" s="292"/>
      <c r="AP167" s="298"/>
      <c r="AQ167" s="299"/>
      <c r="AR167" s="82"/>
      <c r="AS167" s="292"/>
      <c r="AT167" s="298"/>
      <c r="AU167" s="299"/>
      <c r="AV167" s="82"/>
    </row>
    <row r="168">
      <c r="A168" s="292"/>
      <c r="B168" s="132"/>
      <c r="C168" s="121"/>
      <c r="D168" s="82"/>
      <c r="E168" s="292"/>
      <c r="F168" s="132"/>
      <c r="G168" s="121"/>
      <c r="H168" s="82"/>
      <c r="I168" s="292"/>
      <c r="J168" s="132"/>
      <c r="K168" s="121"/>
      <c r="L168" s="82"/>
      <c r="M168" s="292"/>
      <c r="N168" s="132"/>
      <c r="O168" s="121"/>
      <c r="P168" s="82"/>
      <c r="Q168" s="292"/>
      <c r="R168" s="132"/>
      <c r="S168" s="121"/>
      <c r="T168" s="82"/>
      <c r="U168" s="292"/>
      <c r="V168" s="132"/>
      <c r="W168" s="121"/>
      <c r="X168" s="82"/>
      <c r="Y168" s="292"/>
      <c r="Z168" s="300"/>
      <c r="AA168" s="301"/>
      <c r="AB168" s="80"/>
      <c r="AC168" s="292"/>
      <c r="AD168" s="132"/>
      <c r="AE168" s="254"/>
      <c r="AF168" s="294"/>
      <c r="AG168" s="292"/>
      <c r="AH168" s="295"/>
      <c r="AI168" s="296"/>
      <c r="AJ168" s="199"/>
      <c r="AK168" s="292"/>
      <c r="AL168" s="298"/>
      <c r="AM168" s="299"/>
      <c r="AN168" s="82"/>
      <c r="AO168" s="292"/>
      <c r="AP168" s="298"/>
      <c r="AQ168" s="299"/>
      <c r="AR168" s="82"/>
      <c r="AS168" s="292"/>
      <c r="AT168" s="298"/>
      <c r="AU168" s="299"/>
      <c r="AV168" s="82"/>
    </row>
    <row r="169">
      <c r="A169" s="292"/>
      <c r="B169" s="132"/>
      <c r="C169" s="121"/>
      <c r="D169" s="82"/>
      <c r="E169" s="292"/>
      <c r="F169" s="132"/>
      <c r="G169" s="121"/>
      <c r="H169" s="82"/>
      <c r="I169" s="292"/>
      <c r="J169" s="132"/>
      <c r="K169" s="121"/>
      <c r="L169" s="82"/>
      <c r="M169" s="292"/>
      <c r="N169" s="132"/>
      <c r="O169" s="121"/>
      <c r="P169" s="82"/>
      <c r="Q169" s="292"/>
      <c r="R169" s="132"/>
      <c r="S169" s="121"/>
      <c r="T169" s="82"/>
      <c r="U169" s="292"/>
      <c r="V169" s="132"/>
      <c r="W169" s="121"/>
      <c r="X169" s="82"/>
      <c r="Y169" s="292"/>
      <c r="Z169" s="300"/>
      <c r="AA169" s="301"/>
      <c r="AB169" s="80"/>
      <c r="AC169" s="292"/>
      <c r="AD169" s="132"/>
      <c r="AE169" s="254"/>
      <c r="AF169" s="294"/>
      <c r="AG169" s="292"/>
      <c r="AH169" s="295"/>
      <c r="AI169" s="296"/>
      <c r="AJ169" s="199"/>
      <c r="AK169" s="292"/>
      <c r="AL169" s="298"/>
      <c r="AM169" s="299"/>
      <c r="AN169" s="82"/>
      <c r="AO169" s="292"/>
      <c r="AP169" s="298"/>
      <c r="AQ169" s="299"/>
      <c r="AR169" s="82"/>
      <c r="AS169" s="292"/>
      <c r="AT169" s="298"/>
      <c r="AU169" s="299"/>
      <c r="AV169" s="82"/>
    </row>
    <row r="170">
      <c r="A170" s="292"/>
      <c r="B170" s="132"/>
      <c r="C170" s="121"/>
      <c r="D170" s="82"/>
      <c r="E170" s="292"/>
      <c r="F170" s="132"/>
      <c r="G170" s="121"/>
      <c r="H170" s="82"/>
      <c r="I170" s="292"/>
      <c r="J170" s="132"/>
      <c r="K170" s="121"/>
      <c r="L170" s="82"/>
      <c r="M170" s="292"/>
      <c r="N170" s="132"/>
      <c r="O170" s="121"/>
      <c r="P170" s="82"/>
      <c r="Q170" s="292"/>
      <c r="R170" s="132"/>
      <c r="S170" s="121"/>
      <c r="T170" s="82"/>
      <c r="U170" s="292"/>
      <c r="V170" s="132"/>
      <c r="W170" s="121"/>
      <c r="X170" s="82"/>
      <c r="Y170" s="292"/>
      <c r="Z170" s="300"/>
      <c r="AA170" s="301"/>
      <c r="AB170" s="80"/>
      <c r="AC170" s="292"/>
      <c r="AD170" s="132"/>
      <c r="AE170" s="254"/>
      <c r="AF170" s="294"/>
      <c r="AG170" s="292"/>
      <c r="AH170" s="295"/>
      <c r="AI170" s="296"/>
      <c r="AJ170" s="199"/>
      <c r="AK170" s="292"/>
      <c r="AL170" s="298"/>
      <c r="AM170" s="299"/>
      <c r="AN170" s="82"/>
      <c r="AO170" s="292"/>
      <c r="AP170" s="298"/>
      <c r="AQ170" s="299"/>
      <c r="AR170" s="82"/>
      <c r="AS170" s="292"/>
      <c r="AT170" s="298"/>
      <c r="AU170" s="299"/>
      <c r="AV170" s="82"/>
    </row>
    <row r="171">
      <c r="A171" s="292"/>
      <c r="B171" s="132"/>
      <c r="C171" s="121"/>
      <c r="D171" s="82"/>
      <c r="E171" s="292"/>
      <c r="F171" s="132"/>
      <c r="G171" s="121"/>
      <c r="H171" s="82"/>
      <c r="I171" s="292"/>
      <c r="J171" s="132"/>
      <c r="K171" s="121"/>
      <c r="L171" s="82"/>
      <c r="M171" s="292"/>
      <c r="N171" s="132"/>
      <c r="O171" s="121"/>
      <c r="P171" s="82"/>
      <c r="Q171" s="292"/>
      <c r="R171" s="132"/>
      <c r="S171" s="121"/>
      <c r="T171" s="82"/>
      <c r="U171" s="292"/>
      <c r="V171" s="132"/>
      <c r="W171" s="121"/>
      <c r="X171" s="82"/>
      <c r="Y171" s="292"/>
      <c r="Z171" s="300"/>
      <c r="AA171" s="301"/>
      <c r="AB171" s="80"/>
      <c r="AC171" s="292"/>
      <c r="AD171" s="132"/>
      <c r="AE171" s="254"/>
      <c r="AF171" s="294"/>
      <c r="AG171" s="292"/>
      <c r="AH171" s="295"/>
      <c r="AI171" s="296"/>
      <c r="AJ171" s="199"/>
      <c r="AK171" s="292"/>
      <c r="AL171" s="298"/>
      <c r="AM171" s="299"/>
      <c r="AN171" s="82"/>
      <c r="AO171" s="292"/>
      <c r="AP171" s="298"/>
      <c r="AQ171" s="299"/>
      <c r="AR171" s="82"/>
      <c r="AS171" s="292"/>
      <c r="AT171" s="298"/>
      <c r="AU171" s="299"/>
      <c r="AV171" s="82"/>
    </row>
    <row r="172">
      <c r="A172" s="292"/>
      <c r="B172" s="132"/>
      <c r="C172" s="121"/>
      <c r="D172" s="82"/>
      <c r="E172" s="292"/>
      <c r="F172" s="132"/>
      <c r="G172" s="121"/>
      <c r="H172" s="82"/>
      <c r="I172" s="292"/>
      <c r="J172" s="132"/>
      <c r="K172" s="121"/>
      <c r="L172" s="82"/>
      <c r="M172" s="292"/>
      <c r="N172" s="132"/>
      <c r="O172" s="121"/>
      <c r="P172" s="82"/>
      <c r="Q172" s="292"/>
      <c r="R172" s="132"/>
      <c r="S172" s="121"/>
      <c r="T172" s="82"/>
      <c r="U172" s="292"/>
      <c r="V172" s="132"/>
      <c r="W172" s="121"/>
      <c r="X172" s="82"/>
      <c r="Y172" s="292"/>
      <c r="Z172" s="300"/>
      <c r="AA172" s="301"/>
      <c r="AB172" s="80"/>
      <c r="AC172" s="292"/>
      <c r="AD172" s="132"/>
      <c r="AE172" s="254"/>
      <c r="AF172" s="294"/>
      <c r="AG172" s="292"/>
      <c r="AH172" s="295"/>
      <c r="AI172" s="296"/>
      <c r="AJ172" s="199"/>
      <c r="AK172" s="292"/>
      <c r="AL172" s="298"/>
      <c r="AM172" s="299"/>
      <c r="AN172" s="82"/>
      <c r="AO172" s="292"/>
      <c r="AP172" s="298"/>
      <c r="AQ172" s="299"/>
      <c r="AR172" s="82"/>
      <c r="AS172" s="292"/>
      <c r="AT172" s="298"/>
      <c r="AU172" s="299"/>
      <c r="AV172" s="82"/>
    </row>
    <row r="173">
      <c r="A173" s="292"/>
      <c r="B173" s="132"/>
      <c r="C173" s="121"/>
      <c r="D173" s="82"/>
      <c r="E173" s="292"/>
      <c r="F173" s="132"/>
      <c r="G173" s="121"/>
      <c r="H173" s="82"/>
      <c r="I173" s="292"/>
      <c r="J173" s="132"/>
      <c r="K173" s="121"/>
      <c r="L173" s="82"/>
      <c r="M173" s="292"/>
      <c r="N173" s="132"/>
      <c r="O173" s="121"/>
      <c r="P173" s="82"/>
      <c r="Q173" s="292"/>
      <c r="R173" s="132"/>
      <c r="S173" s="121"/>
      <c r="T173" s="82"/>
      <c r="U173" s="292"/>
      <c r="V173" s="132"/>
      <c r="W173" s="121"/>
      <c r="X173" s="82"/>
      <c r="Y173" s="292"/>
      <c r="Z173" s="300"/>
      <c r="AA173" s="301"/>
      <c r="AB173" s="80"/>
      <c r="AC173" s="292"/>
      <c r="AD173" s="132"/>
      <c r="AE173" s="254"/>
      <c r="AF173" s="294"/>
      <c r="AG173" s="292"/>
      <c r="AH173" s="295"/>
      <c r="AI173" s="296"/>
      <c r="AJ173" s="199"/>
      <c r="AK173" s="292"/>
      <c r="AL173" s="298"/>
      <c r="AM173" s="299"/>
      <c r="AN173" s="82"/>
      <c r="AO173" s="292"/>
      <c r="AP173" s="298"/>
      <c r="AQ173" s="299"/>
      <c r="AR173" s="82"/>
      <c r="AS173" s="292"/>
      <c r="AT173" s="298"/>
      <c r="AU173" s="299"/>
      <c r="AV173" s="82"/>
    </row>
    <row r="174">
      <c r="A174" s="292"/>
      <c r="B174" s="132"/>
      <c r="C174" s="121"/>
      <c r="D174" s="82"/>
      <c r="E174" s="292"/>
      <c r="F174" s="132"/>
      <c r="G174" s="121"/>
      <c r="H174" s="82"/>
      <c r="I174" s="292"/>
      <c r="J174" s="132"/>
      <c r="K174" s="121"/>
      <c r="L174" s="82"/>
      <c r="M174" s="292"/>
      <c r="N174" s="132"/>
      <c r="O174" s="121"/>
      <c r="P174" s="82"/>
      <c r="Q174" s="292"/>
      <c r="R174" s="132"/>
      <c r="S174" s="121"/>
      <c r="T174" s="82"/>
      <c r="U174" s="292"/>
      <c r="V174" s="132"/>
      <c r="W174" s="121"/>
      <c r="X174" s="82"/>
      <c r="Y174" s="292"/>
      <c r="Z174" s="300"/>
      <c r="AA174" s="301"/>
      <c r="AB174" s="80"/>
      <c r="AC174" s="292"/>
      <c r="AD174" s="132"/>
      <c r="AE174" s="254"/>
      <c r="AF174" s="294"/>
      <c r="AG174" s="292"/>
      <c r="AH174" s="295"/>
      <c r="AI174" s="296"/>
      <c r="AJ174" s="199"/>
      <c r="AK174" s="292"/>
      <c r="AL174" s="298"/>
      <c r="AM174" s="299"/>
      <c r="AN174" s="82"/>
      <c r="AO174" s="292"/>
      <c r="AP174" s="298"/>
      <c r="AQ174" s="299"/>
      <c r="AR174" s="82"/>
      <c r="AS174" s="292"/>
      <c r="AT174" s="298"/>
      <c r="AU174" s="299"/>
      <c r="AV174" s="82"/>
    </row>
    <row r="175">
      <c r="A175" s="292"/>
      <c r="B175" s="132"/>
      <c r="C175" s="121"/>
      <c r="D175" s="82"/>
      <c r="E175" s="292"/>
      <c r="F175" s="132"/>
      <c r="G175" s="121"/>
      <c r="H175" s="82"/>
      <c r="I175" s="292"/>
      <c r="J175" s="132"/>
      <c r="K175" s="121"/>
      <c r="L175" s="82"/>
      <c r="M175" s="292"/>
      <c r="N175" s="132"/>
      <c r="O175" s="121"/>
      <c r="P175" s="82"/>
      <c r="Q175" s="292"/>
      <c r="R175" s="132"/>
      <c r="S175" s="121"/>
      <c r="T175" s="82"/>
      <c r="U175" s="292"/>
      <c r="V175" s="132"/>
      <c r="W175" s="121"/>
      <c r="X175" s="82"/>
      <c r="Y175" s="292"/>
      <c r="Z175" s="300"/>
      <c r="AA175" s="301"/>
      <c r="AB175" s="80"/>
      <c r="AC175" s="292"/>
      <c r="AD175" s="132"/>
      <c r="AE175" s="254"/>
      <c r="AF175" s="294"/>
      <c r="AG175" s="292"/>
      <c r="AH175" s="295"/>
      <c r="AI175" s="296"/>
      <c r="AJ175" s="199"/>
      <c r="AK175" s="292"/>
      <c r="AL175" s="298"/>
      <c r="AM175" s="299"/>
      <c r="AN175" s="82"/>
      <c r="AO175" s="292"/>
      <c r="AP175" s="298"/>
      <c r="AQ175" s="299"/>
      <c r="AR175" s="82"/>
      <c r="AS175" s="292"/>
      <c r="AT175" s="298"/>
      <c r="AU175" s="299"/>
      <c r="AV175" s="82"/>
    </row>
    <row r="176">
      <c r="A176" s="292"/>
      <c r="B176" s="132"/>
      <c r="C176" s="121"/>
      <c r="D176" s="82"/>
      <c r="E176" s="292"/>
      <c r="F176" s="132"/>
      <c r="G176" s="121"/>
      <c r="H176" s="82"/>
      <c r="I176" s="292"/>
      <c r="J176" s="132"/>
      <c r="K176" s="121"/>
      <c r="L176" s="82"/>
      <c r="M176" s="292"/>
      <c r="N176" s="132"/>
      <c r="O176" s="121"/>
      <c r="P176" s="82"/>
      <c r="Q176" s="292"/>
      <c r="R176" s="132"/>
      <c r="S176" s="121"/>
      <c r="T176" s="82"/>
      <c r="U176" s="292"/>
      <c r="V176" s="132"/>
      <c r="W176" s="121"/>
      <c r="X176" s="82"/>
      <c r="Y176" s="292"/>
      <c r="Z176" s="300"/>
      <c r="AA176" s="301"/>
      <c r="AB176" s="80"/>
      <c r="AC176" s="292"/>
      <c r="AD176" s="132"/>
      <c r="AE176" s="254"/>
      <c r="AF176" s="294"/>
      <c r="AG176" s="292"/>
      <c r="AH176" s="295"/>
      <c r="AI176" s="296"/>
      <c r="AJ176" s="199"/>
      <c r="AK176" s="292"/>
      <c r="AL176" s="298"/>
      <c r="AM176" s="299"/>
      <c r="AN176" s="82"/>
      <c r="AO176" s="292"/>
      <c r="AP176" s="298"/>
      <c r="AQ176" s="299"/>
      <c r="AR176" s="82"/>
      <c r="AS176" s="292"/>
      <c r="AT176" s="298"/>
      <c r="AU176" s="299"/>
      <c r="AV176" s="82"/>
    </row>
    <row r="177">
      <c r="A177" s="292"/>
      <c r="B177" s="132"/>
      <c r="C177" s="121"/>
      <c r="D177" s="82"/>
      <c r="E177" s="292"/>
      <c r="F177" s="132"/>
      <c r="G177" s="121"/>
      <c r="H177" s="82"/>
      <c r="I177" s="292"/>
      <c r="J177" s="132"/>
      <c r="K177" s="121"/>
      <c r="L177" s="82"/>
      <c r="M177" s="292"/>
      <c r="N177" s="132"/>
      <c r="O177" s="121"/>
      <c r="P177" s="82"/>
      <c r="Q177" s="292"/>
      <c r="R177" s="132"/>
      <c r="S177" s="121"/>
      <c r="T177" s="82"/>
      <c r="U177" s="292"/>
      <c r="V177" s="132"/>
      <c r="W177" s="121"/>
      <c r="X177" s="82"/>
      <c r="Y177" s="292"/>
      <c r="Z177" s="300"/>
      <c r="AA177" s="301"/>
      <c r="AB177" s="80"/>
      <c r="AC177" s="292"/>
      <c r="AD177" s="132"/>
      <c r="AE177" s="254"/>
      <c r="AF177" s="294"/>
      <c r="AG177" s="292"/>
      <c r="AH177" s="295"/>
      <c r="AI177" s="296"/>
      <c r="AJ177" s="199"/>
      <c r="AK177" s="292"/>
      <c r="AL177" s="298"/>
      <c r="AM177" s="299"/>
      <c r="AN177" s="82"/>
      <c r="AO177" s="292"/>
      <c r="AP177" s="298"/>
      <c r="AQ177" s="299"/>
      <c r="AR177" s="82"/>
      <c r="AS177" s="292"/>
      <c r="AT177" s="298"/>
      <c r="AU177" s="299"/>
      <c r="AV177" s="82"/>
    </row>
    <row r="178">
      <c r="A178" s="292"/>
      <c r="B178" s="132"/>
      <c r="C178" s="121"/>
      <c r="D178" s="82"/>
      <c r="E178" s="292"/>
      <c r="F178" s="132"/>
      <c r="G178" s="121"/>
      <c r="H178" s="82"/>
      <c r="I178" s="292"/>
      <c r="J178" s="132"/>
      <c r="K178" s="121"/>
      <c r="L178" s="82"/>
      <c r="M178" s="292"/>
      <c r="N178" s="132"/>
      <c r="O178" s="121"/>
      <c r="P178" s="82"/>
      <c r="Q178" s="292"/>
      <c r="R178" s="132"/>
      <c r="S178" s="121"/>
      <c r="T178" s="82"/>
      <c r="U178" s="292"/>
      <c r="V178" s="132"/>
      <c r="W178" s="121"/>
      <c r="X178" s="82"/>
      <c r="Y178" s="292"/>
      <c r="Z178" s="300"/>
      <c r="AA178" s="301"/>
      <c r="AB178" s="80"/>
      <c r="AC178" s="292"/>
      <c r="AD178" s="132"/>
      <c r="AE178" s="254"/>
      <c r="AF178" s="294"/>
      <c r="AG178" s="292"/>
      <c r="AH178" s="295"/>
      <c r="AI178" s="296"/>
      <c r="AJ178" s="199"/>
      <c r="AK178" s="292"/>
      <c r="AL178" s="298"/>
      <c r="AM178" s="299"/>
      <c r="AN178" s="82"/>
      <c r="AO178" s="292"/>
      <c r="AP178" s="298"/>
      <c r="AQ178" s="299"/>
      <c r="AR178" s="82"/>
      <c r="AS178" s="292"/>
      <c r="AT178" s="298"/>
      <c r="AU178" s="299"/>
      <c r="AV178" s="82"/>
    </row>
    <row r="179">
      <c r="A179" s="292"/>
      <c r="B179" s="132"/>
      <c r="C179" s="121"/>
      <c r="D179" s="82"/>
      <c r="E179" s="292"/>
      <c r="F179" s="132"/>
      <c r="G179" s="121"/>
      <c r="H179" s="82"/>
      <c r="I179" s="292"/>
      <c r="J179" s="132"/>
      <c r="K179" s="121"/>
      <c r="L179" s="82"/>
      <c r="M179" s="292"/>
      <c r="N179" s="132"/>
      <c r="O179" s="121"/>
      <c r="P179" s="82"/>
      <c r="Q179" s="292"/>
      <c r="R179" s="132"/>
      <c r="S179" s="121"/>
      <c r="T179" s="82"/>
      <c r="U179" s="292"/>
      <c r="V179" s="132"/>
      <c r="W179" s="121"/>
      <c r="X179" s="82"/>
      <c r="Y179" s="292"/>
      <c r="Z179" s="300"/>
      <c r="AA179" s="301"/>
      <c r="AB179" s="80"/>
      <c r="AC179" s="292"/>
      <c r="AD179" s="132"/>
      <c r="AE179" s="254"/>
      <c r="AF179" s="294"/>
      <c r="AG179" s="292"/>
      <c r="AH179" s="295"/>
      <c r="AI179" s="296"/>
      <c r="AJ179" s="199"/>
      <c r="AK179" s="292"/>
      <c r="AL179" s="298"/>
      <c r="AM179" s="299"/>
      <c r="AN179" s="82"/>
      <c r="AO179" s="292"/>
      <c r="AP179" s="298"/>
      <c r="AQ179" s="299"/>
      <c r="AR179" s="82"/>
      <c r="AS179" s="292"/>
      <c r="AT179" s="298"/>
      <c r="AU179" s="299"/>
      <c r="AV179" s="82"/>
    </row>
    <row r="180">
      <c r="A180" s="292"/>
      <c r="B180" s="132"/>
      <c r="C180" s="121"/>
      <c r="D180" s="82"/>
      <c r="E180" s="292"/>
      <c r="F180" s="132"/>
      <c r="G180" s="121"/>
      <c r="H180" s="82"/>
      <c r="I180" s="292"/>
      <c r="J180" s="132"/>
      <c r="K180" s="121"/>
      <c r="L180" s="82"/>
      <c r="M180" s="292"/>
      <c r="N180" s="132"/>
      <c r="O180" s="121"/>
      <c r="P180" s="82"/>
      <c r="Q180" s="292"/>
      <c r="R180" s="132"/>
      <c r="S180" s="121"/>
      <c r="T180" s="82"/>
      <c r="U180" s="292"/>
      <c r="V180" s="132"/>
      <c r="W180" s="121"/>
      <c r="X180" s="82"/>
      <c r="Y180" s="292"/>
      <c r="Z180" s="300"/>
      <c r="AA180" s="301"/>
      <c r="AB180" s="80"/>
      <c r="AC180" s="292"/>
      <c r="AD180" s="132"/>
      <c r="AE180" s="254"/>
      <c r="AF180" s="294"/>
      <c r="AG180" s="292"/>
      <c r="AH180" s="295"/>
      <c r="AI180" s="296"/>
      <c r="AJ180" s="199"/>
      <c r="AK180" s="292"/>
      <c r="AL180" s="298"/>
      <c r="AM180" s="299"/>
      <c r="AN180" s="82"/>
      <c r="AO180" s="292"/>
      <c r="AP180" s="298"/>
      <c r="AQ180" s="299"/>
      <c r="AR180" s="82"/>
      <c r="AS180" s="292"/>
      <c r="AT180" s="298"/>
      <c r="AU180" s="299"/>
      <c r="AV180" s="82"/>
    </row>
    <row r="181">
      <c r="A181" s="292"/>
      <c r="B181" s="132"/>
      <c r="C181" s="121"/>
      <c r="D181" s="82"/>
      <c r="E181" s="292"/>
      <c r="F181" s="132"/>
      <c r="G181" s="121"/>
      <c r="H181" s="82"/>
      <c r="I181" s="292"/>
      <c r="J181" s="132"/>
      <c r="K181" s="121"/>
      <c r="L181" s="82"/>
      <c r="M181" s="292"/>
      <c r="N181" s="132"/>
      <c r="O181" s="121"/>
      <c r="P181" s="82"/>
      <c r="Q181" s="292"/>
      <c r="R181" s="132"/>
      <c r="S181" s="121"/>
      <c r="T181" s="82"/>
      <c r="U181" s="292"/>
      <c r="V181" s="132"/>
      <c r="W181" s="121"/>
      <c r="X181" s="82"/>
      <c r="Y181" s="292"/>
      <c r="Z181" s="300"/>
      <c r="AA181" s="301"/>
      <c r="AB181" s="80"/>
      <c r="AC181" s="292"/>
      <c r="AD181" s="132"/>
      <c r="AE181" s="254"/>
      <c r="AF181" s="294"/>
      <c r="AG181" s="292"/>
      <c r="AH181" s="295"/>
      <c r="AI181" s="296"/>
      <c r="AJ181" s="199"/>
      <c r="AK181" s="292"/>
      <c r="AL181" s="298"/>
      <c r="AM181" s="299"/>
      <c r="AN181" s="82"/>
      <c r="AO181" s="292"/>
      <c r="AP181" s="298"/>
      <c r="AQ181" s="299"/>
      <c r="AR181" s="82"/>
      <c r="AS181" s="292"/>
      <c r="AT181" s="298"/>
      <c r="AU181" s="299"/>
      <c r="AV181" s="82"/>
    </row>
    <row r="182">
      <c r="A182" s="292"/>
      <c r="B182" s="132"/>
      <c r="C182" s="121"/>
      <c r="D182" s="82"/>
      <c r="E182" s="292"/>
      <c r="F182" s="132"/>
      <c r="G182" s="121"/>
      <c r="H182" s="82"/>
      <c r="I182" s="292"/>
      <c r="J182" s="132"/>
      <c r="K182" s="121"/>
      <c r="L182" s="82"/>
      <c r="M182" s="292"/>
      <c r="N182" s="132"/>
      <c r="O182" s="121"/>
      <c r="P182" s="82"/>
      <c r="Q182" s="292"/>
      <c r="R182" s="132"/>
      <c r="S182" s="121"/>
      <c r="T182" s="82"/>
      <c r="U182" s="292"/>
      <c r="V182" s="132"/>
      <c r="W182" s="121"/>
      <c r="X182" s="82"/>
      <c r="Y182" s="292"/>
      <c r="Z182" s="300"/>
      <c r="AA182" s="301"/>
      <c r="AB182" s="80"/>
      <c r="AC182" s="292"/>
      <c r="AD182" s="132"/>
      <c r="AE182" s="254"/>
      <c r="AF182" s="294"/>
      <c r="AG182" s="292"/>
      <c r="AH182" s="295"/>
      <c r="AI182" s="296"/>
      <c r="AJ182" s="199"/>
      <c r="AK182" s="292"/>
      <c r="AL182" s="298"/>
      <c r="AM182" s="299"/>
      <c r="AN182" s="82"/>
      <c r="AO182" s="292"/>
      <c r="AP182" s="298"/>
      <c r="AQ182" s="299"/>
      <c r="AR182" s="82"/>
      <c r="AS182" s="292"/>
      <c r="AT182" s="298"/>
      <c r="AU182" s="299"/>
      <c r="AV182" s="82"/>
    </row>
    <row r="183">
      <c r="A183" s="292"/>
      <c r="B183" s="132"/>
      <c r="C183" s="121"/>
      <c r="D183" s="82"/>
      <c r="E183" s="292"/>
      <c r="F183" s="132"/>
      <c r="G183" s="121"/>
      <c r="H183" s="82"/>
      <c r="I183" s="292"/>
      <c r="J183" s="132"/>
      <c r="K183" s="121"/>
      <c r="L183" s="82"/>
      <c r="M183" s="292"/>
      <c r="N183" s="132"/>
      <c r="O183" s="121"/>
      <c r="P183" s="82"/>
      <c r="Q183" s="292"/>
      <c r="R183" s="132"/>
      <c r="S183" s="121"/>
      <c r="T183" s="82"/>
      <c r="U183" s="292"/>
      <c r="V183" s="132"/>
      <c r="W183" s="121"/>
      <c r="X183" s="82"/>
      <c r="Y183" s="292"/>
      <c r="Z183" s="300"/>
      <c r="AA183" s="301"/>
      <c r="AB183" s="80"/>
      <c r="AC183" s="292"/>
      <c r="AD183" s="132"/>
      <c r="AE183" s="254"/>
      <c r="AF183" s="294"/>
      <c r="AG183" s="292"/>
      <c r="AH183" s="295"/>
      <c r="AI183" s="296"/>
      <c r="AJ183" s="199"/>
      <c r="AK183" s="292"/>
      <c r="AL183" s="298"/>
      <c r="AM183" s="299"/>
      <c r="AN183" s="82"/>
      <c r="AO183" s="292"/>
      <c r="AP183" s="298"/>
      <c r="AQ183" s="299"/>
      <c r="AR183" s="82"/>
      <c r="AS183" s="292"/>
      <c r="AT183" s="298"/>
      <c r="AU183" s="299"/>
      <c r="AV183" s="82"/>
    </row>
    <row r="184">
      <c r="A184" s="292"/>
      <c r="B184" s="132"/>
      <c r="C184" s="121"/>
      <c r="D184" s="82"/>
      <c r="E184" s="292"/>
      <c r="F184" s="132"/>
      <c r="G184" s="121"/>
      <c r="H184" s="82"/>
      <c r="I184" s="292"/>
      <c r="J184" s="132"/>
      <c r="K184" s="121"/>
      <c r="L184" s="82"/>
      <c r="M184" s="292"/>
      <c r="N184" s="132"/>
      <c r="O184" s="121"/>
      <c r="P184" s="82"/>
      <c r="Q184" s="292"/>
      <c r="R184" s="132"/>
      <c r="S184" s="121"/>
      <c r="T184" s="82"/>
      <c r="U184" s="292"/>
      <c r="V184" s="132"/>
      <c r="W184" s="121"/>
      <c r="X184" s="82"/>
      <c r="Y184" s="292"/>
      <c r="Z184" s="300"/>
      <c r="AA184" s="301"/>
      <c r="AB184" s="80"/>
      <c r="AC184" s="292"/>
      <c r="AD184" s="132"/>
      <c r="AE184" s="254"/>
      <c r="AF184" s="294"/>
      <c r="AG184" s="292"/>
      <c r="AH184" s="295"/>
      <c r="AI184" s="296"/>
      <c r="AJ184" s="199"/>
      <c r="AK184" s="292"/>
      <c r="AL184" s="298"/>
      <c r="AM184" s="299"/>
      <c r="AN184" s="82"/>
      <c r="AO184" s="292"/>
      <c r="AP184" s="298"/>
      <c r="AQ184" s="299"/>
      <c r="AR184" s="82"/>
      <c r="AS184" s="292"/>
      <c r="AT184" s="298"/>
      <c r="AU184" s="299"/>
      <c r="AV184" s="82"/>
    </row>
    <row r="185">
      <c r="A185" s="292"/>
      <c r="B185" s="132"/>
      <c r="C185" s="121"/>
      <c r="D185" s="82"/>
      <c r="E185" s="292"/>
      <c r="F185" s="132"/>
      <c r="G185" s="121"/>
      <c r="H185" s="82"/>
      <c r="I185" s="292"/>
      <c r="J185" s="132"/>
      <c r="K185" s="121"/>
      <c r="L185" s="82"/>
      <c r="M185" s="292"/>
      <c r="N185" s="132"/>
      <c r="O185" s="121"/>
      <c r="P185" s="82"/>
      <c r="Q185" s="292"/>
      <c r="R185" s="132"/>
      <c r="S185" s="121"/>
      <c r="T185" s="82"/>
      <c r="U185" s="292"/>
      <c r="V185" s="132"/>
      <c r="W185" s="121"/>
      <c r="X185" s="82"/>
      <c r="Y185" s="292"/>
      <c r="Z185" s="300"/>
      <c r="AA185" s="301"/>
      <c r="AB185" s="80"/>
      <c r="AC185" s="292"/>
      <c r="AD185" s="132"/>
      <c r="AE185" s="254"/>
      <c r="AF185" s="294"/>
      <c r="AG185" s="292"/>
      <c r="AH185" s="295"/>
      <c r="AI185" s="296"/>
      <c r="AJ185" s="199"/>
      <c r="AK185" s="292"/>
      <c r="AL185" s="298"/>
      <c r="AM185" s="299"/>
      <c r="AN185" s="82"/>
      <c r="AO185" s="292"/>
      <c r="AP185" s="298"/>
      <c r="AQ185" s="299"/>
      <c r="AR185" s="82"/>
      <c r="AS185" s="292"/>
      <c r="AT185" s="298"/>
      <c r="AU185" s="299"/>
      <c r="AV185" s="82"/>
    </row>
    <row r="186">
      <c r="A186" s="292"/>
      <c r="B186" s="132"/>
      <c r="C186" s="121"/>
      <c r="D186" s="82"/>
      <c r="E186" s="292"/>
      <c r="F186" s="132"/>
      <c r="G186" s="121"/>
      <c r="H186" s="82"/>
      <c r="I186" s="292"/>
      <c r="J186" s="132"/>
      <c r="K186" s="121"/>
      <c r="L186" s="82"/>
      <c r="M186" s="292"/>
      <c r="N186" s="132"/>
      <c r="O186" s="121"/>
      <c r="P186" s="82"/>
      <c r="Q186" s="292"/>
      <c r="R186" s="132"/>
      <c r="S186" s="121"/>
      <c r="T186" s="82"/>
      <c r="U186" s="292"/>
      <c r="V186" s="132"/>
      <c r="W186" s="121"/>
      <c r="X186" s="82"/>
      <c r="Y186" s="292"/>
      <c r="Z186" s="300"/>
      <c r="AA186" s="301"/>
      <c r="AB186" s="80"/>
      <c r="AC186" s="292"/>
      <c r="AD186" s="132"/>
      <c r="AE186" s="254"/>
      <c r="AF186" s="294"/>
      <c r="AG186" s="292"/>
      <c r="AH186" s="295"/>
      <c r="AI186" s="296"/>
      <c r="AJ186" s="199"/>
      <c r="AK186" s="292"/>
      <c r="AL186" s="298"/>
      <c r="AM186" s="299"/>
      <c r="AN186" s="82"/>
      <c r="AO186" s="292"/>
      <c r="AP186" s="298"/>
      <c r="AQ186" s="299"/>
      <c r="AR186" s="82"/>
      <c r="AS186" s="292"/>
      <c r="AT186" s="298"/>
      <c r="AU186" s="299"/>
      <c r="AV186" s="82"/>
    </row>
    <row r="187">
      <c r="A187" s="292"/>
      <c r="B187" s="132"/>
      <c r="C187" s="121"/>
      <c r="D187" s="82"/>
      <c r="E187" s="292"/>
      <c r="F187" s="132"/>
      <c r="G187" s="121"/>
      <c r="H187" s="82"/>
      <c r="I187" s="292"/>
      <c r="J187" s="132"/>
      <c r="K187" s="121"/>
      <c r="L187" s="82"/>
      <c r="M187" s="292"/>
      <c r="N187" s="132"/>
      <c r="O187" s="121"/>
      <c r="P187" s="82"/>
      <c r="Q187" s="292"/>
      <c r="R187" s="132"/>
      <c r="S187" s="121"/>
      <c r="T187" s="82"/>
      <c r="U187" s="292"/>
      <c r="V187" s="132"/>
      <c r="W187" s="121"/>
      <c r="X187" s="82"/>
      <c r="Y187" s="292"/>
      <c r="Z187" s="300"/>
      <c r="AA187" s="301"/>
      <c r="AB187" s="80"/>
      <c r="AC187" s="292"/>
      <c r="AD187" s="132"/>
      <c r="AE187" s="254"/>
      <c r="AF187" s="294"/>
      <c r="AG187" s="292"/>
      <c r="AH187" s="295"/>
      <c r="AI187" s="296"/>
      <c r="AJ187" s="199"/>
      <c r="AK187" s="292"/>
      <c r="AL187" s="298"/>
      <c r="AM187" s="299"/>
      <c r="AN187" s="82"/>
      <c r="AO187" s="292"/>
      <c r="AP187" s="298"/>
      <c r="AQ187" s="299"/>
      <c r="AR187" s="82"/>
      <c r="AS187" s="292"/>
      <c r="AT187" s="298"/>
      <c r="AU187" s="299"/>
      <c r="AV187" s="82"/>
    </row>
    <row r="188">
      <c r="A188" s="292"/>
      <c r="B188" s="132"/>
      <c r="C188" s="121"/>
      <c r="D188" s="82"/>
      <c r="E188" s="292"/>
      <c r="F188" s="132"/>
      <c r="G188" s="121"/>
      <c r="H188" s="82"/>
      <c r="I188" s="292"/>
      <c r="J188" s="132"/>
      <c r="K188" s="121"/>
      <c r="L188" s="82"/>
      <c r="M188" s="292"/>
      <c r="N188" s="132"/>
      <c r="O188" s="121"/>
      <c r="P188" s="82"/>
      <c r="Q188" s="292"/>
      <c r="R188" s="132"/>
      <c r="S188" s="121"/>
      <c r="T188" s="82"/>
      <c r="U188" s="292"/>
      <c r="V188" s="132"/>
      <c r="W188" s="121"/>
      <c r="X188" s="82"/>
      <c r="Y188" s="292"/>
      <c r="Z188" s="300"/>
      <c r="AA188" s="301"/>
      <c r="AB188" s="80"/>
      <c r="AC188" s="292"/>
      <c r="AD188" s="132"/>
      <c r="AE188" s="254"/>
      <c r="AF188" s="294"/>
      <c r="AG188" s="292"/>
      <c r="AH188" s="295"/>
      <c r="AI188" s="296"/>
      <c r="AJ188" s="199"/>
      <c r="AK188" s="292"/>
      <c r="AL188" s="298"/>
      <c r="AM188" s="299"/>
      <c r="AN188" s="82"/>
      <c r="AO188" s="292"/>
      <c r="AP188" s="298"/>
      <c r="AQ188" s="299"/>
      <c r="AR188" s="82"/>
      <c r="AS188" s="292"/>
      <c r="AT188" s="298"/>
      <c r="AU188" s="299"/>
      <c r="AV188" s="82"/>
    </row>
    <row r="189">
      <c r="A189" s="292"/>
      <c r="B189" s="132"/>
      <c r="C189" s="121"/>
      <c r="D189" s="82"/>
      <c r="E189" s="292"/>
      <c r="F189" s="132"/>
      <c r="G189" s="121"/>
      <c r="H189" s="82"/>
      <c r="I189" s="292"/>
      <c r="J189" s="132"/>
      <c r="K189" s="121"/>
      <c r="L189" s="82"/>
      <c r="M189" s="292"/>
      <c r="N189" s="132"/>
      <c r="O189" s="121"/>
      <c r="P189" s="82"/>
      <c r="Q189" s="292"/>
      <c r="R189" s="132"/>
      <c r="S189" s="121"/>
      <c r="T189" s="82"/>
      <c r="U189" s="292"/>
      <c r="V189" s="132"/>
      <c r="W189" s="121"/>
      <c r="X189" s="82"/>
      <c r="Y189" s="292"/>
      <c r="Z189" s="300"/>
      <c r="AA189" s="301"/>
      <c r="AB189" s="80"/>
      <c r="AC189" s="292"/>
      <c r="AD189" s="132"/>
      <c r="AE189" s="254"/>
      <c r="AF189" s="294"/>
      <c r="AG189" s="292"/>
      <c r="AH189" s="295"/>
      <c r="AI189" s="296"/>
      <c r="AJ189" s="199"/>
      <c r="AK189" s="292"/>
      <c r="AL189" s="298"/>
      <c r="AM189" s="299"/>
      <c r="AN189" s="82"/>
      <c r="AO189" s="292"/>
      <c r="AP189" s="298"/>
      <c r="AQ189" s="299"/>
      <c r="AR189" s="82"/>
      <c r="AS189" s="292"/>
      <c r="AT189" s="298"/>
      <c r="AU189" s="299"/>
      <c r="AV189" s="82"/>
    </row>
    <row r="190">
      <c r="A190" s="292"/>
      <c r="B190" s="132"/>
      <c r="C190" s="121"/>
      <c r="D190" s="82"/>
      <c r="E190" s="292"/>
      <c r="F190" s="132"/>
      <c r="G190" s="121"/>
      <c r="H190" s="82"/>
      <c r="I190" s="292"/>
      <c r="J190" s="132"/>
      <c r="K190" s="121"/>
      <c r="L190" s="82"/>
      <c r="M190" s="292"/>
      <c r="N190" s="132"/>
      <c r="O190" s="121"/>
      <c r="P190" s="82"/>
      <c r="Q190" s="292"/>
      <c r="R190" s="132"/>
      <c r="S190" s="121"/>
      <c r="T190" s="82"/>
      <c r="U190" s="292"/>
      <c r="V190" s="132"/>
      <c r="W190" s="121"/>
      <c r="X190" s="82"/>
      <c r="Y190" s="292"/>
      <c r="Z190" s="300"/>
      <c r="AA190" s="301"/>
      <c r="AB190" s="80"/>
      <c r="AC190" s="292"/>
      <c r="AD190" s="132"/>
      <c r="AE190" s="254"/>
      <c r="AF190" s="294"/>
      <c r="AG190" s="292"/>
      <c r="AH190" s="295"/>
      <c r="AI190" s="296"/>
      <c r="AJ190" s="199"/>
      <c r="AK190" s="292"/>
      <c r="AL190" s="298"/>
      <c r="AM190" s="299"/>
      <c r="AN190" s="82"/>
      <c r="AO190" s="292"/>
      <c r="AP190" s="298"/>
      <c r="AQ190" s="299"/>
      <c r="AR190" s="82"/>
      <c r="AS190" s="292"/>
      <c r="AT190" s="298"/>
      <c r="AU190" s="299"/>
      <c r="AV190" s="82"/>
    </row>
    <row r="191">
      <c r="A191" s="292"/>
      <c r="B191" s="132"/>
      <c r="C191" s="121"/>
      <c r="D191" s="82"/>
      <c r="E191" s="292"/>
      <c r="F191" s="132"/>
      <c r="G191" s="121"/>
      <c r="H191" s="82"/>
      <c r="I191" s="292"/>
      <c r="J191" s="132"/>
      <c r="K191" s="121"/>
      <c r="L191" s="82"/>
      <c r="M191" s="292"/>
      <c r="N191" s="132"/>
      <c r="O191" s="121"/>
      <c r="P191" s="82"/>
      <c r="Q191" s="292"/>
      <c r="R191" s="132"/>
      <c r="S191" s="121"/>
      <c r="T191" s="82"/>
      <c r="U191" s="292"/>
      <c r="V191" s="132"/>
      <c r="W191" s="121"/>
      <c r="X191" s="82"/>
      <c r="Y191" s="292"/>
      <c r="Z191" s="300"/>
      <c r="AA191" s="301"/>
      <c r="AB191" s="80"/>
      <c r="AC191" s="292"/>
      <c r="AD191" s="132"/>
      <c r="AE191" s="254"/>
      <c r="AF191" s="294"/>
      <c r="AG191" s="292"/>
      <c r="AH191" s="295"/>
      <c r="AI191" s="296"/>
      <c r="AJ191" s="199"/>
      <c r="AK191" s="292"/>
      <c r="AL191" s="298"/>
      <c r="AM191" s="299"/>
      <c r="AN191" s="82"/>
      <c r="AO191" s="292"/>
      <c r="AP191" s="298"/>
      <c r="AQ191" s="299"/>
      <c r="AR191" s="82"/>
      <c r="AS191" s="292"/>
      <c r="AT191" s="298"/>
      <c r="AU191" s="299"/>
      <c r="AV191" s="82"/>
    </row>
    <row r="192">
      <c r="A192" s="292"/>
      <c r="B192" s="132"/>
      <c r="C192" s="121"/>
      <c r="D192" s="82"/>
      <c r="E192" s="292"/>
      <c r="F192" s="132"/>
      <c r="G192" s="121"/>
      <c r="H192" s="82"/>
      <c r="I192" s="292"/>
      <c r="J192" s="132"/>
      <c r="K192" s="121"/>
      <c r="L192" s="82"/>
      <c r="M192" s="292"/>
      <c r="N192" s="132"/>
      <c r="O192" s="121"/>
      <c r="P192" s="82"/>
      <c r="Q192" s="292"/>
      <c r="R192" s="132"/>
      <c r="S192" s="121"/>
      <c r="T192" s="82"/>
      <c r="U192" s="292"/>
      <c r="V192" s="132"/>
      <c r="W192" s="121"/>
      <c r="X192" s="82"/>
      <c r="Y192" s="292"/>
      <c r="Z192" s="300"/>
      <c r="AA192" s="301"/>
      <c r="AB192" s="80"/>
      <c r="AC192" s="292"/>
      <c r="AD192" s="132"/>
      <c r="AE192" s="254"/>
      <c r="AF192" s="294"/>
      <c r="AG192" s="292"/>
      <c r="AH192" s="295"/>
      <c r="AI192" s="296"/>
      <c r="AJ192" s="199"/>
      <c r="AK192" s="292"/>
      <c r="AL192" s="298"/>
      <c r="AM192" s="299"/>
      <c r="AN192" s="82"/>
      <c r="AO192" s="292"/>
      <c r="AP192" s="298"/>
      <c r="AQ192" s="299"/>
      <c r="AR192" s="82"/>
      <c r="AS192" s="292"/>
      <c r="AT192" s="298"/>
      <c r="AU192" s="299"/>
      <c r="AV192" s="82"/>
    </row>
    <row r="193">
      <c r="A193" s="292"/>
      <c r="B193" s="132"/>
      <c r="C193" s="121"/>
      <c r="D193" s="82"/>
      <c r="E193" s="292"/>
      <c r="F193" s="132"/>
      <c r="G193" s="121"/>
      <c r="H193" s="82"/>
      <c r="I193" s="292"/>
      <c r="J193" s="132"/>
      <c r="K193" s="121"/>
      <c r="L193" s="82"/>
      <c r="M193" s="292"/>
      <c r="N193" s="132"/>
      <c r="O193" s="121"/>
      <c r="P193" s="82"/>
      <c r="Q193" s="292"/>
      <c r="R193" s="132"/>
      <c r="S193" s="121"/>
      <c r="T193" s="82"/>
      <c r="U193" s="292"/>
      <c r="V193" s="132"/>
      <c r="W193" s="121"/>
      <c r="X193" s="82"/>
      <c r="Y193" s="292"/>
      <c r="Z193" s="300"/>
      <c r="AA193" s="301"/>
      <c r="AB193" s="80"/>
      <c r="AC193" s="292"/>
      <c r="AD193" s="132"/>
      <c r="AE193" s="254"/>
      <c r="AF193" s="294"/>
      <c r="AG193" s="292"/>
      <c r="AH193" s="295"/>
      <c r="AI193" s="296"/>
      <c r="AJ193" s="199"/>
      <c r="AK193" s="292"/>
      <c r="AL193" s="298"/>
      <c r="AM193" s="299"/>
      <c r="AN193" s="82"/>
      <c r="AO193" s="292"/>
      <c r="AP193" s="298"/>
      <c r="AQ193" s="299"/>
      <c r="AR193" s="82"/>
      <c r="AS193" s="292"/>
      <c r="AT193" s="298"/>
      <c r="AU193" s="299"/>
      <c r="AV193" s="82"/>
    </row>
    <row r="194">
      <c r="A194" s="292"/>
      <c r="B194" s="132"/>
      <c r="C194" s="121"/>
      <c r="D194" s="82"/>
      <c r="E194" s="292"/>
      <c r="F194" s="132"/>
      <c r="G194" s="121"/>
      <c r="H194" s="82"/>
      <c r="I194" s="292"/>
      <c r="J194" s="132"/>
      <c r="K194" s="121"/>
      <c r="L194" s="82"/>
      <c r="M194" s="292"/>
      <c r="N194" s="132"/>
      <c r="O194" s="121"/>
      <c r="P194" s="82"/>
      <c r="Q194" s="292"/>
      <c r="R194" s="132"/>
      <c r="S194" s="121"/>
      <c r="T194" s="82"/>
      <c r="U194" s="292"/>
      <c r="V194" s="132"/>
      <c r="W194" s="121"/>
      <c r="X194" s="82"/>
      <c r="Y194" s="292"/>
      <c r="Z194" s="300"/>
      <c r="AA194" s="301"/>
      <c r="AB194" s="80"/>
      <c r="AC194" s="292"/>
      <c r="AD194" s="132"/>
      <c r="AE194" s="254"/>
      <c r="AF194" s="294"/>
      <c r="AG194" s="292"/>
      <c r="AH194" s="295"/>
      <c r="AI194" s="296"/>
      <c r="AJ194" s="199"/>
      <c r="AK194" s="292"/>
      <c r="AL194" s="298"/>
      <c r="AM194" s="299"/>
      <c r="AN194" s="82"/>
      <c r="AO194" s="292"/>
      <c r="AP194" s="298"/>
      <c r="AQ194" s="299"/>
      <c r="AR194" s="82"/>
      <c r="AS194" s="292"/>
      <c r="AT194" s="298"/>
      <c r="AU194" s="299"/>
      <c r="AV194" s="82"/>
    </row>
    <row r="195">
      <c r="A195" s="292"/>
      <c r="B195" s="132"/>
      <c r="C195" s="121"/>
      <c r="D195" s="82"/>
      <c r="E195" s="292"/>
      <c r="F195" s="132"/>
      <c r="G195" s="121"/>
      <c r="H195" s="82"/>
      <c r="I195" s="292"/>
      <c r="J195" s="132"/>
      <c r="K195" s="121"/>
      <c r="L195" s="82"/>
      <c r="M195" s="292"/>
      <c r="N195" s="132"/>
      <c r="O195" s="121"/>
      <c r="P195" s="82"/>
      <c r="Q195" s="292"/>
      <c r="R195" s="132"/>
      <c r="S195" s="121"/>
      <c r="T195" s="82"/>
      <c r="U195" s="292"/>
      <c r="V195" s="132"/>
      <c r="W195" s="121"/>
      <c r="X195" s="82"/>
      <c r="Y195" s="292"/>
      <c r="Z195" s="300"/>
      <c r="AA195" s="301"/>
      <c r="AB195" s="80"/>
      <c r="AC195" s="292"/>
      <c r="AD195" s="132"/>
      <c r="AE195" s="254"/>
      <c r="AF195" s="294"/>
      <c r="AG195" s="292"/>
      <c r="AH195" s="295"/>
      <c r="AI195" s="296"/>
      <c r="AJ195" s="199"/>
      <c r="AK195" s="292"/>
      <c r="AL195" s="298"/>
      <c r="AM195" s="299"/>
      <c r="AN195" s="82"/>
      <c r="AO195" s="292"/>
      <c r="AP195" s="298"/>
      <c r="AQ195" s="299"/>
      <c r="AR195" s="82"/>
      <c r="AS195" s="292"/>
      <c r="AT195" s="298"/>
      <c r="AU195" s="299"/>
      <c r="AV195" s="82"/>
    </row>
    <row r="196">
      <c r="A196" s="292"/>
      <c r="B196" s="132"/>
      <c r="C196" s="121"/>
      <c r="D196" s="82"/>
      <c r="E196" s="292"/>
      <c r="F196" s="132"/>
      <c r="G196" s="121"/>
      <c r="H196" s="82"/>
      <c r="I196" s="292"/>
      <c r="J196" s="132"/>
      <c r="K196" s="121"/>
      <c r="L196" s="82"/>
      <c r="M196" s="292"/>
      <c r="N196" s="132"/>
      <c r="O196" s="121"/>
      <c r="P196" s="82"/>
      <c r="Q196" s="292"/>
      <c r="R196" s="132"/>
      <c r="S196" s="121"/>
      <c r="T196" s="82"/>
      <c r="U196" s="292"/>
      <c r="V196" s="132"/>
      <c r="W196" s="121"/>
      <c r="X196" s="82"/>
      <c r="Y196" s="292"/>
      <c r="Z196" s="300"/>
      <c r="AA196" s="301"/>
      <c r="AB196" s="80"/>
      <c r="AC196" s="292"/>
      <c r="AD196" s="132"/>
      <c r="AE196" s="254"/>
      <c r="AF196" s="294"/>
      <c r="AG196" s="292"/>
      <c r="AH196" s="295"/>
      <c r="AI196" s="296"/>
      <c r="AJ196" s="199"/>
      <c r="AK196" s="292"/>
      <c r="AL196" s="298"/>
      <c r="AM196" s="299"/>
      <c r="AN196" s="82"/>
      <c r="AO196" s="292"/>
      <c r="AP196" s="298"/>
      <c r="AQ196" s="299"/>
      <c r="AR196" s="82"/>
      <c r="AS196" s="292"/>
      <c r="AT196" s="298"/>
      <c r="AU196" s="299"/>
      <c r="AV196" s="82"/>
    </row>
    <row r="197">
      <c r="A197" s="292"/>
      <c r="B197" s="132"/>
      <c r="C197" s="121"/>
      <c r="D197" s="82"/>
      <c r="E197" s="292"/>
      <c r="F197" s="132"/>
      <c r="G197" s="121"/>
      <c r="H197" s="82"/>
      <c r="I197" s="292"/>
      <c r="J197" s="132"/>
      <c r="K197" s="121"/>
      <c r="L197" s="82"/>
      <c r="M197" s="292"/>
      <c r="N197" s="132"/>
      <c r="O197" s="121"/>
      <c r="P197" s="82"/>
      <c r="Q197" s="292"/>
      <c r="R197" s="132"/>
      <c r="S197" s="121"/>
      <c r="T197" s="82"/>
      <c r="U197" s="292"/>
      <c r="V197" s="132"/>
      <c r="W197" s="121"/>
      <c r="X197" s="82"/>
      <c r="Y197" s="292"/>
      <c r="Z197" s="300"/>
      <c r="AA197" s="301"/>
      <c r="AB197" s="80"/>
      <c r="AC197" s="292"/>
      <c r="AD197" s="132"/>
      <c r="AE197" s="254"/>
      <c r="AF197" s="294"/>
      <c r="AG197" s="292"/>
      <c r="AH197" s="295"/>
      <c r="AI197" s="296"/>
      <c r="AJ197" s="199"/>
      <c r="AK197" s="292"/>
      <c r="AL197" s="298"/>
      <c r="AM197" s="299"/>
      <c r="AN197" s="82"/>
      <c r="AO197" s="292"/>
      <c r="AP197" s="298"/>
      <c r="AQ197" s="299"/>
      <c r="AR197" s="82"/>
      <c r="AS197" s="292"/>
      <c r="AT197" s="298"/>
      <c r="AU197" s="299"/>
      <c r="AV197" s="82"/>
    </row>
    <row r="198">
      <c r="A198" s="292"/>
      <c r="B198" s="132"/>
      <c r="C198" s="121"/>
      <c r="D198" s="82"/>
      <c r="E198" s="292"/>
      <c r="F198" s="132"/>
      <c r="G198" s="121"/>
      <c r="H198" s="82"/>
      <c r="I198" s="292"/>
      <c r="J198" s="132"/>
      <c r="K198" s="121"/>
      <c r="L198" s="82"/>
      <c r="M198" s="292"/>
      <c r="N198" s="132"/>
      <c r="O198" s="121"/>
      <c r="P198" s="82"/>
      <c r="Q198" s="292"/>
      <c r="R198" s="132"/>
      <c r="S198" s="121"/>
      <c r="T198" s="82"/>
      <c r="U198" s="292"/>
      <c r="V198" s="132"/>
      <c r="W198" s="121"/>
      <c r="X198" s="82"/>
      <c r="Y198" s="292"/>
      <c r="Z198" s="300"/>
      <c r="AA198" s="301"/>
      <c r="AB198" s="80"/>
      <c r="AC198" s="292"/>
      <c r="AD198" s="132"/>
      <c r="AE198" s="254"/>
      <c r="AF198" s="294"/>
      <c r="AG198" s="292"/>
      <c r="AH198" s="295"/>
      <c r="AI198" s="296"/>
      <c r="AJ198" s="199"/>
      <c r="AK198" s="292"/>
      <c r="AL198" s="298"/>
      <c r="AM198" s="299"/>
      <c r="AN198" s="82"/>
      <c r="AO198" s="292"/>
      <c r="AP198" s="298"/>
      <c r="AQ198" s="299"/>
      <c r="AR198" s="82"/>
      <c r="AS198" s="292"/>
      <c r="AT198" s="298"/>
      <c r="AU198" s="299"/>
      <c r="AV198" s="82"/>
    </row>
    <row r="199">
      <c r="A199" s="292"/>
      <c r="B199" s="132"/>
      <c r="C199" s="121"/>
      <c r="D199" s="82"/>
      <c r="E199" s="292"/>
      <c r="F199" s="132"/>
      <c r="G199" s="121"/>
      <c r="H199" s="82"/>
      <c r="I199" s="292"/>
      <c r="J199" s="132"/>
      <c r="K199" s="121"/>
      <c r="L199" s="82"/>
      <c r="M199" s="292"/>
      <c r="N199" s="132"/>
      <c r="O199" s="121"/>
      <c r="P199" s="82"/>
      <c r="Q199" s="292"/>
      <c r="R199" s="132"/>
      <c r="S199" s="121"/>
      <c r="T199" s="82"/>
      <c r="U199" s="292"/>
      <c r="V199" s="132"/>
      <c r="W199" s="121"/>
      <c r="X199" s="82"/>
      <c r="Y199" s="292"/>
      <c r="Z199" s="300"/>
      <c r="AA199" s="301"/>
      <c r="AB199" s="80"/>
      <c r="AC199" s="292"/>
      <c r="AD199" s="132"/>
      <c r="AE199" s="254"/>
      <c r="AF199" s="294"/>
      <c r="AG199" s="292"/>
      <c r="AH199" s="295"/>
      <c r="AI199" s="296"/>
      <c r="AJ199" s="199"/>
      <c r="AK199" s="292"/>
      <c r="AL199" s="298"/>
      <c r="AM199" s="299"/>
      <c r="AN199" s="82"/>
      <c r="AO199" s="292"/>
      <c r="AP199" s="298"/>
      <c r="AQ199" s="299"/>
      <c r="AR199" s="82"/>
      <c r="AS199" s="292"/>
      <c r="AT199" s="298"/>
      <c r="AU199" s="299"/>
      <c r="AV199" s="82"/>
    </row>
    <row r="200">
      <c r="A200" s="292"/>
      <c r="B200" s="132"/>
      <c r="C200" s="121"/>
      <c r="D200" s="82"/>
      <c r="E200" s="292"/>
      <c r="F200" s="132"/>
      <c r="G200" s="121"/>
      <c r="H200" s="82"/>
      <c r="I200" s="292"/>
      <c r="J200" s="132"/>
      <c r="K200" s="121"/>
      <c r="L200" s="82"/>
      <c r="M200" s="292"/>
      <c r="N200" s="132"/>
      <c r="O200" s="121"/>
      <c r="P200" s="82"/>
      <c r="Q200" s="292"/>
      <c r="R200" s="132"/>
      <c r="S200" s="121"/>
      <c r="T200" s="82"/>
      <c r="U200" s="292"/>
      <c r="V200" s="132"/>
      <c r="W200" s="121"/>
      <c r="X200" s="82"/>
      <c r="Y200" s="292"/>
      <c r="Z200" s="300"/>
      <c r="AA200" s="301"/>
      <c r="AB200" s="80"/>
      <c r="AC200" s="292"/>
      <c r="AD200" s="132"/>
      <c r="AE200" s="254"/>
      <c r="AF200" s="294"/>
      <c r="AG200" s="292"/>
      <c r="AH200" s="295"/>
      <c r="AI200" s="296"/>
      <c r="AJ200" s="199"/>
      <c r="AK200" s="292"/>
      <c r="AL200" s="298"/>
      <c r="AM200" s="299"/>
      <c r="AN200" s="82"/>
      <c r="AO200" s="292"/>
      <c r="AP200" s="298"/>
      <c r="AQ200" s="299"/>
      <c r="AR200" s="82"/>
      <c r="AS200" s="292"/>
      <c r="AT200" s="298"/>
      <c r="AU200" s="299"/>
      <c r="AV200" s="82"/>
    </row>
    <row r="201">
      <c r="A201" s="292"/>
      <c r="B201" s="132"/>
      <c r="C201" s="121"/>
      <c r="D201" s="82"/>
      <c r="E201" s="292"/>
      <c r="F201" s="132"/>
      <c r="G201" s="121"/>
      <c r="H201" s="82"/>
      <c r="I201" s="292"/>
      <c r="J201" s="132"/>
      <c r="K201" s="121"/>
      <c r="L201" s="82"/>
      <c r="M201" s="292"/>
      <c r="N201" s="132"/>
      <c r="O201" s="121"/>
      <c r="P201" s="82"/>
      <c r="Q201" s="292"/>
      <c r="R201" s="132"/>
      <c r="S201" s="121"/>
      <c r="T201" s="82"/>
      <c r="U201" s="292"/>
      <c r="V201" s="132"/>
      <c r="W201" s="121"/>
      <c r="X201" s="82"/>
      <c r="Y201" s="292"/>
      <c r="Z201" s="300"/>
      <c r="AA201" s="301"/>
      <c r="AB201" s="80"/>
      <c r="AC201" s="292"/>
      <c r="AD201" s="132"/>
      <c r="AE201" s="254"/>
      <c r="AF201" s="294"/>
      <c r="AG201" s="292"/>
      <c r="AH201" s="295"/>
      <c r="AI201" s="296"/>
      <c r="AJ201" s="199"/>
      <c r="AK201" s="292"/>
      <c r="AL201" s="298"/>
      <c r="AM201" s="299"/>
      <c r="AN201" s="82"/>
      <c r="AO201" s="292"/>
      <c r="AP201" s="298"/>
      <c r="AQ201" s="299"/>
      <c r="AR201" s="82"/>
      <c r="AS201" s="292"/>
      <c r="AT201" s="298"/>
      <c r="AU201" s="299"/>
      <c r="AV201" s="82"/>
    </row>
    <row r="202">
      <c r="A202" s="292"/>
      <c r="B202" s="132"/>
      <c r="C202" s="121"/>
      <c r="D202" s="82"/>
      <c r="E202" s="292"/>
      <c r="F202" s="132"/>
      <c r="G202" s="121"/>
      <c r="H202" s="82"/>
      <c r="I202" s="292"/>
      <c r="J202" s="132"/>
      <c r="K202" s="121"/>
      <c r="L202" s="82"/>
      <c r="M202" s="292"/>
      <c r="N202" s="132"/>
      <c r="O202" s="121"/>
      <c r="P202" s="82"/>
      <c r="Q202" s="292"/>
      <c r="R202" s="132"/>
      <c r="S202" s="121"/>
      <c r="T202" s="82"/>
      <c r="U202" s="292"/>
      <c r="V202" s="132"/>
      <c r="W202" s="121"/>
      <c r="X202" s="82"/>
      <c r="Y202" s="292"/>
      <c r="Z202" s="300"/>
      <c r="AA202" s="301"/>
      <c r="AB202" s="80"/>
      <c r="AC202" s="292"/>
      <c r="AD202" s="132"/>
      <c r="AE202" s="254"/>
      <c r="AF202" s="294"/>
      <c r="AG202" s="292"/>
      <c r="AH202" s="295"/>
      <c r="AI202" s="296"/>
      <c r="AJ202" s="199"/>
      <c r="AK202" s="292"/>
      <c r="AL202" s="298"/>
      <c r="AM202" s="299"/>
      <c r="AN202" s="82"/>
      <c r="AO202" s="292"/>
      <c r="AP202" s="298"/>
      <c r="AQ202" s="299"/>
      <c r="AR202" s="82"/>
      <c r="AS202" s="292"/>
      <c r="AT202" s="298"/>
      <c r="AU202" s="299"/>
      <c r="AV202" s="82"/>
    </row>
    <row r="203">
      <c r="A203" s="292"/>
      <c r="B203" s="132"/>
      <c r="C203" s="121"/>
      <c r="D203" s="82"/>
      <c r="E203" s="292"/>
      <c r="F203" s="132"/>
      <c r="G203" s="121"/>
      <c r="H203" s="82"/>
      <c r="I203" s="292"/>
      <c r="J203" s="132"/>
      <c r="K203" s="121"/>
      <c r="L203" s="82"/>
      <c r="M203" s="292"/>
      <c r="N203" s="132"/>
      <c r="O203" s="121"/>
      <c r="P203" s="82"/>
      <c r="Q203" s="292"/>
      <c r="R203" s="132"/>
      <c r="S203" s="121"/>
      <c r="T203" s="82"/>
      <c r="U203" s="292"/>
      <c r="V203" s="132"/>
      <c r="W203" s="121"/>
      <c r="X203" s="82"/>
      <c r="Y203" s="292"/>
      <c r="Z203" s="300"/>
      <c r="AA203" s="301"/>
      <c r="AB203" s="80"/>
      <c r="AC203" s="292"/>
      <c r="AD203" s="132"/>
      <c r="AE203" s="254"/>
      <c r="AF203" s="294"/>
      <c r="AG203" s="292"/>
      <c r="AH203" s="295"/>
      <c r="AI203" s="296"/>
      <c r="AJ203" s="199"/>
      <c r="AK203" s="292"/>
      <c r="AL203" s="298"/>
      <c r="AM203" s="299"/>
      <c r="AN203" s="82"/>
      <c r="AO203" s="292"/>
      <c r="AP203" s="298"/>
      <c r="AQ203" s="299"/>
      <c r="AR203" s="82"/>
      <c r="AS203" s="292"/>
      <c r="AT203" s="298"/>
      <c r="AU203" s="299"/>
      <c r="AV203" s="82"/>
    </row>
    <row r="204">
      <c r="A204" s="292"/>
      <c r="B204" s="132"/>
      <c r="C204" s="121"/>
      <c r="D204" s="82"/>
      <c r="E204" s="292"/>
      <c r="F204" s="132"/>
      <c r="G204" s="121"/>
      <c r="H204" s="82"/>
      <c r="I204" s="292"/>
      <c r="J204" s="132"/>
      <c r="K204" s="121"/>
      <c r="L204" s="82"/>
      <c r="M204" s="292"/>
      <c r="N204" s="132"/>
      <c r="O204" s="121"/>
      <c r="P204" s="82"/>
      <c r="Q204" s="292"/>
      <c r="R204" s="132"/>
      <c r="S204" s="121"/>
      <c r="T204" s="82"/>
      <c r="U204" s="292"/>
      <c r="V204" s="132"/>
      <c r="W204" s="121"/>
      <c r="X204" s="82"/>
      <c r="Y204" s="292"/>
      <c r="Z204" s="300"/>
      <c r="AA204" s="301"/>
      <c r="AB204" s="80"/>
      <c r="AC204" s="292"/>
      <c r="AD204" s="132"/>
      <c r="AE204" s="254"/>
      <c r="AF204" s="294"/>
      <c r="AG204" s="292"/>
      <c r="AH204" s="295"/>
      <c r="AI204" s="296"/>
      <c r="AJ204" s="199"/>
      <c r="AK204" s="292"/>
      <c r="AL204" s="298"/>
      <c r="AM204" s="299"/>
      <c r="AN204" s="82"/>
      <c r="AO204" s="292"/>
      <c r="AP204" s="298"/>
      <c r="AQ204" s="299"/>
      <c r="AR204" s="82"/>
      <c r="AS204" s="292"/>
      <c r="AT204" s="298"/>
      <c r="AU204" s="299"/>
      <c r="AV204" s="82"/>
    </row>
    <row r="205">
      <c r="A205" s="292"/>
      <c r="B205" s="132"/>
      <c r="C205" s="121"/>
      <c r="D205" s="82"/>
      <c r="E205" s="292"/>
      <c r="F205" s="132"/>
      <c r="G205" s="121"/>
      <c r="H205" s="82"/>
      <c r="I205" s="292"/>
      <c r="J205" s="132"/>
      <c r="K205" s="121"/>
      <c r="L205" s="82"/>
      <c r="M205" s="292"/>
      <c r="N205" s="132"/>
      <c r="O205" s="121"/>
      <c r="P205" s="82"/>
      <c r="Q205" s="292"/>
      <c r="R205" s="132"/>
      <c r="S205" s="121"/>
      <c r="T205" s="82"/>
      <c r="U205" s="292"/>
      <c r="V205" s="132"/>
      <c r="W205" s="121"/>
      <c r="X205" s="82"/>
      <c r="Y205" s="292"/>
      <c r="Z205" s="300"/>
      <c r="AA205" s="301"/>
      <c r="AB205" s="80"/>
      <c r="AC205" s="292"/>
      <c r="AD205" s="132"/>
      <c r="AE205" s="254"/>
      <c r="AF205" s="294"/>
      <c r="AG205" s="292"/>
      <c r="AH205" s="295"/>
      <c r="AI205" s="296"/>
      <c r="AJ205" s="199"/>
      <c r="AK205" s="292"/>
      <c r="AL205" s="298"/>
      <c r="AM205" s="299"/>
      <c r="AN205" s="82"/>
      <c r="AO205" s="292"/>
      <c r="AP205" s="298"/>
      <c r="AQ205" s="299"/>
      <c r="AR205" s="82"/>
      <c r="AS205" s="292"/>
      <c r="AT205" s="298"/>
      <c r="AU205" s="299"/>
      <c r="AV205" s="82"/>
    </row>
    <row r="206">
      <c r="A206" s="292"/>
      <c r="B206" s="132"/>
      <c r="C206" s="121"/>
      <c r="D206" s="82"/>
      <c r="E206" s="292"/>
      <c r="F206" s="132"/>
      <c r="G206" s="121"/>
      <c r="H206" s="82"/>
      <c r="I206" s="292"/>
      <c r="J206" s="132"/>
      <c r="K206" s="121"/>
      <c r="L206" s="82"/>
      <c r="M206" s="292"/>
      <c r="N206" s="132"/>
      <c r="O206" s="121"/>
      <c r="P206" s="82"/>
      <c r="Q206" s="292"/>
      <c r="R206" s="132"/>
      <c r="S206" s="121"/>
      <c r="T206" s="82"/>
      <c r="U206" s="292"/>
      <c r="V206" s="132"/>
      <c r="W206" s="121"/>
      <c r="X206" s="82"/>
      <c r="Y206" s="292"/>
      <c r="Z206" s="300"/>
      <c r="AA206" s="301"/>
      <c r="AB206" s="80"/>
      <c r="AC206" s="292"/>
      <c r="AD206" s="132"/>
      <c r="AE206" s="254"/>
      <c r="AF206" s="294"/>
      <c r="AG206" s="292"/>
      <c r="AH206" s="295"/>
      <c r="AI206" s="296"/>
      <c r="AJ206" s="199"/>
      <c r="AK206" s="292"/>
      <c r="AL206" s="298"/>
      <c r="AM206" s="299"/>
      <c r="AN206" s="82"/>
      <c r="AO206" s="292"/>
      <c r="AP206" s="298"/>
      <c r="AQ206" s="299"/>
      <c r="AR206" s="82"/>
      <c r="AS206" s="292"/>
      <c r="AT206" s="298"/>
      <c r="AU206" s="299"/>
      <c r="AV206" s="82"/>
    </row>
    <row r="207">
      <c r="A207" s="292"/>
      <c r="B207" s="132"/>
      <c r="C207" s="121"/>
      <c r="D207" s="82"/>
      <c r="E207" s="292"/>
      <c r="F207" s="132"/>
      <c r="G207" s="121"/>
      <c r="H207" s="82"/>
      <c r="I207" s="292"/>
      <c r="J207" s="132"/>
      <c r="K207" s="121"/>
      <c r="L207" s="82"/>
      <c r="M207" s="292"/>
      <c r="N207" s="132"/>
      <c r="O207" s="121"/>
      <c r="P207" s="82"/>
      <c r="Q207" s="292"/>
      <c r="R207" s="132"/>
      <c r="S207" s="121"/>
      <c r="T207" s="82"/>
      <c r="U207" s="292"/>
      <c r="V207" s="132"/>
      <c r="W207" s="121"/>
      <c r="X207" s="82"/>
      <c r="Y207" s="292"/>
      <c r="Z207" s="300"/>
      <c r="AA207" s="301"/>
      <c r="AB207" s="80"/>
      <c r="AC207" s="292"/>
      <c r="AD207" s="132"/>
      <c r="AE207" s="254"/>
      <c r="AF207" s="294"/>
      <c r="AG207" s="292"/>
      <c r="AH207" s="295"/>
      <c r="AI207" s="296"/>
      <c r="AJ207" s="199"/>
      <c r="AK207" s="292"/>
      <c r="AL207" s="298"/>
      <c r="AM207" s="299"/>
      <c r="AN207" s="82"/>
      <c r="AO207" s="292"/>
      <c r="AP207" s="298"/>
      <c r="AQ207" s="299"/>
      <c r="AR207" s="82"/>
      <c r="AS207" s="292"/>
      <c r="AT207" s="298"/>
      <c r="AU207" s="299"/>
      <c r="AV207" s="82"/>
    </row>
    <row r="208">
      <c r="A208" s="292"/>
      <c r="B208" s="132"/>
      <c r="C208" s="121"/>
      <c r="D208" s="82"/>
      <c r="E208" s="292"/>
      <c r="F208" s="132"/>
      <c r="G208" s="121"/>
      <c r="H208" s="82"/>
      <c r="I208" s="292"/>
      <c r="J208" s="132"/>
      <c r="K208" s="121"/>
      <c r="L208" s="82"/>
      <c r="M208" s="292"/>
      <c r="N208" s="132"/>
      <c r="O208" s="121"/>
      <c r="P208" s="82"/>
      <c r="Q208" s="292"/>
      <c r="R208" s="132"/>
      <c r="S208" s="121"/>
      <c r="T208" s="82"/>
      <c r="U208" s="292"/>
      <c r="V208" s="132"/>
      <c r="W208" s="121"/>
      <c r="X208" s="82"/>
      <c r="Y208" s="292"/>
      <c r="Z208" s="300"/>
      <c r="AA208" s="301"/>
      <c r="AB208" s="80"/>
      <c r="AC208" s="292"/>
      <c r="AD208" s="132"/>
      <c r="AE208" s="254"/>
      <c r="AF208" s="294"/>
      <c r="AG208" s="292"/>
      <c r="AH208" s="295"/>
      <c r="AI208" s="296"/>
      <c r="AJ208" s="199"/>
      <c r="AK208" s="292"/>
      <c r="AL208" s="298"/>
      <c r="AM208" s="299"/>
      <c r="AN208" s="82"/>
      <c r="AO208" s="292"/>
      <c r="AP208" s="298"/>
      <c r="AQ208" s="299"/>
      <c r="AR208" s="82"/>
      <c r="AS208" s="292"/>
      <c r="AT208" s="298"/>
      <c r="AU208" s="299"/>
      <c r="AV208" s="82"/>
    </row>
    <row r="209">
      <c r="A209" s="292"/>
      <c r="B209" s="132"/>
      <c r="C209" s="121"/>
      <c r="D209" s="82"/>
      <c r="E209" s="292"/>
      <c r="F209" s="132"/>
      <c r="G209" s="121"/>
      <c r="H209" s="82"/>
      <c r="I209" s="292"/>
      <c r="J209" s="132"/>
      <c r="K209" s="121"/>
      <c r="L209" s="82"/>
      <c r="M209" s="292"/>
      <c r="N209" s="132"/>
      <c r="O209" s="121"/>
      <c r="P209" s="82"/>
      <c r="Q209" s="292"/>
      <c r="R209" s="132"/>
      <c r="S209" s="121"/>
      <c r="T209" s="82"/>
      <c r="U209" s="292"/>
      <c r="V209" s="132"/>
      <c r="W209" s="121"/>
      <c r="X209" s="82"/>
      <c r="Y209" s="292"/>
      <c r="Z209" s="300"/>
      <c r="AA209" s="301"/>
      <c r="AB209" s="80"/>
      <c r="AC209" s="292"/>
      <c r="AD209" s="132"/>
      <c r="AE209" s="254"/>
      <c r="AF209" s="294"/>
      <c r="AG209" s="292"/>
      <c r="AH209" s="295"/>
      <c r="AI209" s="296"/>
      <c r="AJ209" s="199"/>
      <c r="AK209" s="292"/>
      <c r="AL209" s="298"/>
      <c r="AM209" s="299"/>
      <c r="AN209" s="82"/>
      <c r="AO209" s="292"/>
      <c r="AP209" s="298"/>
      <c r="AQ209" s="299"/>
      <c r="AR209" s="82"/>
      <c r="AS209" s="292"/>
      <c r="AT209" s="298"/>
      <c r="AU209" s="299"/>
      <c r="AV209" s="82"/>
    </row>
    <row r="210">
      <c r="A210" s="292"/>
      <c r="B210" s="132"/>
      <c r="C210" s="121"/>
      <c r="D210" s="82"/>
      <c r="E210" s="292"/>
      <c r="F210" s="132"/>
      <c r="G210" s="121"/>
      <c r="H210" s="82"/>
      <c r="I210" s="292"/>
      <c r="J210" s="132"/>
      <c r="K210" s="121"/>
      <c r="L210" s="82"/>
      <c r="M210" s="292"/>
      <c r="N210" s="132"/>
      <c r="O210" s="121"/>
      <c r="P210" s="82"/>
      <c r="Q210" s="292"/>
      <c r="R210" s="132"/>
      <c r="S210" s="121"/>
      <c r="T210" s="82"/>
      <c r="U210" s="292"/>
      <c r="V210" s="132"/>
      <c r="W210" s="121"/>
      <c r="X210" s="82"/>
      <c r="Y210" s="292"/>
      <c r="Z210" s="300"/>
      <c r="AA210" s="301"/>
      <c r="AB210" s="80"/>
      <c r="AC210" s="292"/>
      <c r="AD210" s="132"/>
      <c r="AE210" s="254"/>
      <c r="AF210" s="294"/>
      <c r="AG210" s="292"/>
      <c r="AH210" s="295"/>
      <c r="AI210" s="296"/>
      <c r="AJ210" s="199"/>
      <c r="AK210" s="292"/>
      <c r="AL210" s="298"/>
      <c r="AM210" s="299"/>
      <c r="AN210" s="82"/>
      <c r="AO210" s="292"/>
      <c r="AP210" s="298"/>
      <c r="AQ210" s="299"/>
      <c r="AR210" s="82"/>
      <c r="AS210" s="292"/>
      <c r="AT210" s="298"/>
      <c r="AU210" s="299"/>
      <c r="AV210" s="82"/>
    </row>
    <row r="211">
      <c r="A211" s="292"/>
      <c r="B211" s="132"/>
      <c r="C211" s="121"/>
      <c r="D211" s="82"/>
      <c r="E211" s="292"/>
      <c r="F211" s="132"/>
      <c r="G211" s="121"/>
      <c r="H211" s="82"/>
      <c r="I211" s="292"/>
      <c r="J211" s="132"/>
      <c r="K211" s="121"/>
      <c r="L211" s="82"/>
      <c r="M211" s="292"/>
      <c r="N211" s="132"/>
      <c r="O211" s="121"/>
      <c r="P211" s="82"/>
      <c r="Q211" s="292"/>
      <c r="R211" s="132"/>
      <c r="S211" s="121"/>
      <c r="T211" s="82"/>
      <c r="U211" s="292"/>
      <c r="V211" s="132"/>
      <c r="W211" s="121"/>
      <c r="X211" s="82"/>
      <c r="Y211" s="292"/>
      <c r="Z211" s="300"/>
      <c r="AA211" s="301"/>
      <c r="AB211" s="80"/>
      <c r="AC211" s="292"/>
      <c r="AD211" s="132"/>
      <c r="AE211" s="254"/>
      <c r="AF211" s="294"/>
      <c r="AG211" s="292"/>
      <c r="AH211" s="295"/>
      <c r="AI211" s="296"/>
      <c r="AJ211" s="199"/>
      <c r="AK211" s="292"/>
      <c r="AL211" s="298"/>
      <c r="AM211" s="299"/>
      <c r="AN211" s="82"/>
      <c r="AO211" s="292"/>
      <c r="AP211" s="298"/>
      <c r="AQ211" s="299"/>
      <c r="AR211" s="82"/>
      <c r="AS211" s="292"/>
      <c r="AT211" s="298"/>
      <c r="AU211" s="299"/>
      <c r="AV211" s="82"/>
    </row>
    <row r="212">
      <c r="A212" s="292"/>
      <c r="B212" s="132"/>
      <c r="C212" s="121"/>
      <c r="D212" s="82"/>
      <c r="E212" s="292"/>
      <c r="F212" s="132"/>
      <c r="G212" s="121"/>
      <c r="H212" s="82"/>
      <c r="I212" s="292"/>
      <c r="J212" s="132"/>
      <c r="K212" s="121"/>
      <c r="L212" s="82"/>
      <c r="M212" s="292"/>
      <c r="N212" s="132"/>
      <c r="O212" s="121"/>
      <c r="P212" s="82"/>
      <c r="Q212" s="292"/>
      <c r="R212" s="132"/>
      <c r="S212" s="121"/>
      <c r="T212" s="82"/>
      <c r="U212" s="292"/>
      <c r="V212" s="132"/>
      <c r="W212" s="121"/>
      <c r="X212" s="82"/>
      <c r="Y212" s="292"/>
      <c r="Z212" s="300"/>
      <c r="AA212" s="301"/>
      <c r="AB212" s="80"/>
      <c r="AC212" s="292"/>
      <c r="AD212" s="132"/>
      <c r="AE212" s="254"/>
      <c r="AF212" s="294"/>
      <c r="AG212" s="292"/>
      <c r="AH212" s="295"/>
      <c r="AI212" s="296"/>
      <c r="AJ212" s="199"/>
      <c r="AK212" s="292"/>
      <c r="AL212" s="298"/>
      <c r="AM212" s="299"/>
      <c r="AN212" s="82"/>
      <c r="AO212" s="292"/>
      <c r="AP212" s="298"/>
      <c r="AQ212" s="299"/>
      <c r="AR212" s="82"/>
      <c r="AS212" s="292"/>
      <c r="AT212" s="298"/>
      <c r="AU212" s="299"/>
      <c r="AV212" s="82"/>
    </row>
    <row r="213">
      <c r="A213" s="292"/>
      <c r="B213" s="132"/>
      <c r="C213" s="121"/>
      <c r="D213" s="82"/>
      <c r="E213" s="292"/>
      <c r="F213" s="132"/>
      <c r="G213" s="121"/>
      <c r="H213" s="82"/>
      <c r="I213" s="292"/>
      <c r="J213" s="132"/>
      <c r="K213" s="121"/>
      <c r="L213" s="82"/>
      <c r="M213" s="292"/>
      <c r="N213" s="132"/>
      <c r="O213" s="121"/>
      <c r="P213" s="82"/>
      <c r="Q213" s="292"/>
      <c r="R213" s="132"/>
      <c r="S213" s="121"/>
      <c r="T213" s="82"/>
      <c r="U213" s="292"/>
      <c r="V213" s="132"/>
      <c r="W213" s="121"/>
      <c r="X213" s="82"/>
      <c r="Y213" s="292"/>
      <c r="Z213" s="300"/>
      <c r="AA213" s="301"/>
      <c r="AB213" s="80"/>
      <c r="AC213" s="292"/>
      <c r="AD213" s="132"/>
      <c r="AE213" s="254"/>
      <c r="AF213" s="294"/>
      <c r="AG213" s="292"/>
      <c r="AH213" s="295"/>
      <c r="AI213" s="296"/>
      <c r="AJ213" s="199"/>
      <c r="AK213" s="292"/>
      <c r="AL213" s="298"/>
      <c r="AM213" s="299"/>
      <c r="AN213" s="82"/>
      <c r="AO213" s="292"/>
      <c r="AP213" s="298"/>
      <c r="AQ213" s="299"/>
      <c r="AR213" s="82"/>
      <c r="AS213" s="292"/>
      <c r="AT213" s="298"/>
      <c r="AU213" s="299"/>
      <c r="AV213" s="82"/>
    </row>
    <row r="214">
      <c r="A214" s="292"/>
      <c r="B214" s="132"/>
      <c r="C214" s="121"/>
      <c r="D214" s="82"/>
      <c r="E214" s="292"/>
      <c r="F214" s="132"/>
      <c r="G214" s="121"/>
      <c r="H214" s="82"/>
      <c r="I214" s="292"/>
      <c r="J214" s="132"/>
      <c r="K214" s="121"/>
      <c r="L214" s="82"/>
      <c r="M214" s="292"/>
      <c r="N214" s="132"/>
      <c r="O214" s="121"/>
      <c r="P214" s="82"/>
      <c r="Q214" s="292"/>
      <c r="R214" s="132"/>
      <c r="S214" s="121"/>
      <c r="T214" s="82"/>
      <c r="U214" s="292"/>
      <c r="V214" s="132"/>
      <c r="W214" s="121"/>
      <c r="X214" s="82"/>
      <c r="Y214" s="292"/>
      <c r="Z214" s="300"/>
      <c r="AA214" s="301"/>
      <c r="AB214" s="80"/>
      <c r="AC214" s="292"/>
      <c r="AD214" s="132"/>
      <c r="AE214" s="254"/>
      <c r="AF214" s="294"/>
      <c r="AG214" s="292"/>
      <c r="AH214" s="295"/>
      <c r="AI214" s="296"/>
      <c r="AJ214" s="199"/>
      <c r="AK214" s="292"/>
      <c r="AL214" s="298"/>
      <c r="AM214" s="299"/>
      <c r="AN214" s="82"/>
      <c r="AO214" s="292"/>
      <c r="AP214" s="298"/>
      <c r="AQ214" s="299"/>
      <c r="AR214" s="82"/>
      <c r="AS214" s="292"/>
      <c r="AT214" s="298"/>
      <c r="AU214" s="299"/>
      <c r="AV214" s="82"/>
    </row>
    <row r="215">
      <c r="A215" s="292"/>
      <c r="B215" s="132"/>
      <c r="C215" s="121"/>
      <c r="D215" s="82"/>
      <c r="E215" s="292"/>
      <c r="F215" s="132"/>
      <c r="G215" s="121"/>
      <c r="H215" s="82"/>
      <c r="I215" s="292"/>
      <c r="J215" s="132"/>
      <c r="K215" s="121"/>
      <c r="L215" s="82"/>
      <c r="M215" s="292"/>
      <c r="N215" s="132"/>
      <c r="O215" s="121"/>
      <c r="P215" s="82"/>
      <c r="Q215" s="292"/>
      <c r="R215" s="132"/>
      <c r="S215" s="121"/>
      <c r="T215" s="82"/>
      <c r="U215" s="292"/>
      <c r="V215" s="132"/>
      <c r="W215" s="121"/>
      <c r="X215" s="82"/>
      <c r="Y215" s="292"/>
      <c r="Z215" s="300"/>
      <c r="AA215" s="301"/>
      <c r="AB215" s="80"/>
      <c r="AC215" s="292"/>
      <c r="AD215" s="132"/>
      <c r="AE215" s="254"/>
      <c r="AF215" s="294"/>
      <c r="AG215" s="292"/>
      <c r="AH215" s="295"/>
      <c r="AI215" s="296"/>
      <c r="AJ215" s="199"/>
      <c r="AK215" s="292"/>
      <c r="AL215" s="298"/>
      <c r="AM215" s="299"/>
      <c r="AN215" s="82"/>
      <c r="AO215" s="292"/>
      <c r="AP215" s="298"/>
      <c r="AQ215" s="299"/>
      <c r="AR215" s="82"/>
      <c r="AS215" s="292"/>
      <c r="AT215" s="298"/>
      <c r="AU215" s="299"/>
      <c r="AV215" s="82"/>
    </row>
    <row r="216">
      <c r="A216" s="292"/>
      <c r="B216" s="132"/>
      <c r="C216" s="121"/>
      <c r="D216" s="82"/>
      <c r="E216" s="292"/>
      <c r="F216" s="132"/>
      <c r="G216" s="121"/>
      <c r="H216" s="82"/>
      <c r="I216" s="292"/>
      <c r="J216" s="132"/>
      <c r="K216" s="121"/>
      <c r="L216" s="82"/>
      <c r="M216" s="292"/>
      <c r="N216" s="132"/>
      <c r="O216" s="121"/>
      <c r="P216" s="82"/>
      <c r="Q216" s="292"/>
      <c r="R216" s="132"/>
      <c r="S216" s="121"/>
      <c r="T216" s="82"/>
      <c r="U216" s="292"/>
      <c r="V216" s="132"/>
      <c r="W216" s="121"/>
      <c r="X216" s="82"/>
      <c r="Y216" s="292"/>
      <c r="Z216" s="300"/>
      <c r="AA216" s="301"/>
      <c r="AB216" s="80"/>
      <c r="AC216" s="292"/>
      <c r="AD216" s="132"/>
      <c r="AE216" s="254"/>
      <c r="AF216" s="294"/>
      <c r="AG216" s="292"/>
      <c r="AH216" s="295"/>
      <c r="AI216" s="296"/>
      <c r="AJ216" s="199"/>
      <c r="AK216" s="292"/>
      <c r="AL216" s="298"/>
      <c r="AM216" s="299"/>
      <c r="AN216" s="82"/>
      <c r="AO216" s="292"/>
      <c r="AP216" s="298"/>
      <c r="AQ216" s="299"/>
      <c r="AR216" s="82"/>
      <c r="AS216" s="292"/>
      <c r="AT216" s="298"/>
      <c r="AU216" s="299"/>
      <c r="AV216" s="82"/>
    </row>
    <row r="217">
      <c r="A217" s="292"/>
      <c r="B217" s="132"/>
      <c r="C217" s="121"/>
      <c r="D217" s="82"/>
      <c r="E217" s="292"/>
      <c r="F217" s="132"/>
      <c r="G217" s="121"/>
      <c r="H217" s="82"/>
      <c r="I217" s="292"/>
      <c r="J217" s="132"/>
      <c r="K217" s="121"/>
      <c r="L217" s="82"/>
      <c r="M217" s="292"/>
      <c r="N217" s="132"/>
      <c r="O217" s="121"/>
      <c r="P217" s="82"/>
      <c r="Q217" s="292"/>
      <c r="R217" s="132"/>
      <c r="S217" s="121"/>
      <c r="T217" s="82"/>
      <c r="U217" s="292"/>
      <c r="V217" s="132"/>
      <c r="W217" s="121"/>
      <c r="X217" s="82"/>
      <c r="Y217" s="292"/>
      <c r="Z217" s="300"/>
      <c r="AA217" s="301"/>
      <c r="AB217" s="80"/>
      <c r="AC217" s="292"/>
      <c r="AD217" s="132"/>
      <c r="AE217" s="254"/>
      <c r="AF217" s="294"/>
      <c r="AG217" s="292"/>
      <c r="AH217" s="295"/>
      <c r="AI217" s="296"/>
      <c r="AJ217" s="199"/>
      <c r="AK217" s="292"/>
      <c r="AL217" s="298"/>
      <c r="AM217" s="299"/>
      <c r="AN217" s="82"/>
      <c r="AO217" s="292"/>
      <c r="AP217" s="298"/>
      <c r="AQ217" s="299"/>
      <c r="AR217" s="82"/>
      <c r="AS217" s="292"/>
      <c r="AT217" s="298"/>
      <c r="AU217" s="299"/>
      <c r="AV217" s="82"/>
    </row>
    <row r="218">
      <c r="A218" s="292"/>
      <c r="B218" s="132"/>
      <c r="C218" s="121"/>
      <c r="D218" s="82"/>
      <c r="E218" s="292"/>
      <c r="F218" s="132"/>
      <c r="G218" s="121"/>
      <c r="H218" s="82"/>
      <c r="I218" s="292"/>
      <c r="J218" s="132"/>
      <c r="K218" s="121"/>
      <c r="L218" s="82"/>
      <c r="M218" s="292"/>
      <c r="N218" s="132"/>
      <c r="O218" s="121"/>
      <c r="P218" s="82"/>
      <c r="Q218" s="292"/>
      <c r="R218" s="132"/>
      <c r="S218" s="121"/>
      <c r="T218" s="82"/>
      <c r="U218" s="292"/>
      <c r="V218" s="132"/>
      <c r="W218" s="121"/>
      <c r="X218" s="82"/>
      <c r="Y218" s="292"/>
      <c r="Z218" s="300"/>
      <c r="AA218" s="301"/>
      <c r="AB218" s="80"/>
      <c r="AC218" s="292"/>
      <c r="AD218" s="132"/>
      <c r="AE218" s="254"/>
      <c r="AF218" s="294"/>
      <c r="AG218" s="292"/>
      <c r="AH218" s="295"/>
      <c r="AI218" s="296"/>
      <c r="AJ218" s="199"/>
      <c r="AK218" s="292"/>
      <c r="AL218" s="298"/>
      <c r="AM218" s="299"/>
      <c r="AN218" s="82"/>
      <c r="AO218" s="292"/>
      <c r="AP218" s="298"/>
      <c r="AQ218" s="299"/>
      <c r="AR218" s="82"/>
      <c r="AS218" s="292"/>
      <c r="AT218" s="298"/>
      <c r="AU218" s="299"/>
      <c r="AV218" s="82"/>
    </row>
    <row r="219">
      <c r="A219" s="292"/>
      <c r="B219" s="132"/>
      <c r="C219" s="121"/>
      <c r="D219" s="82"/>
      <c r="E219" s="292"/>
      <c r="F219" s="132"/>
      <c r="G219" s="121"/>
      <c r="H219" s="82"/>
      <c r="I219" s="292"/>
      <c r="J219" s="132"/>
      <c r="K219" s="121"/>
      <c r="L219" s="82"/>
      <c r="M219" s="292"/>
      <c r="N219" s="132"/>
      <c r="O219" s="121"/>
      <c r="P219" s="82"/>
      <c r="Q219" s="292"/>
      <c r="R219" s="132"/>
      <c r="S219" s="121"/>
      <c r="T219" s="82"/>
      <c r="U219" s="292"/>
      <c r="V219" s="132"/>
      <c r="W219" s="121"/>
      <c r="X219" s="82"/>
      <c r="Y219" s="292"/>
      <c r="Z219" s="300"/>
      <c r="AA219" s="301"/>
      <c r="AB219" s="80"/>
      <c r="AC219" s="292"/>
      <c r="AD219" s="132"/>
      <c r="AE219" s="254"/>
      <c r="AF219" s="294"/>
      <c r="AG219" s="292"/>
      <c r="AH219" s="295"/>
      <c r="AI219" s="296"/>
      <c r="AJ219" s="199"/>
      <c r="AK219" s="292"/>
      <c r="AL219" s="298"/>
      <c r="AM219" s="299"/>
      <c r="AN219" s="82"/>
      <c r="AO219" s="292"/>
      <c r="AP219" s="298"/>
      <c r="AQ219" s="299"/>
      <c r="AR219" s="82"/>
      <c r="AS219" s="292"/>
      <c r="AT219" s="298"/>
      <c r="AU219" s="299"/>
      <c r="AV219" s="82"/>
    </row>
    <row r="220">
      <c r="A220" s="292"/>
      <c r="B220" s="132"/>
      <c r="C220" s="121"/>
      <c r="D220" s="82"/>
      <c r="E220" s="292"/>
      <c r="F220" s="132"/>
      <c r="G220" s="121"/>
      <c r="H220" s="82"/>
      <c r="I220" s="292"/>
      <c r="J220" s="132"/>
      <c r="K220" s="121"/>
      <c r="L220" s="82"/>
      <c r="M220" s="292"/>
      <c r="N220" s="132"/>
      <c r="O220" s="121"/>
      <c r="P220" s="82"/>
      <c r="Q220" s="292"/>
      <c r="R220" s="132"/>
      <c r="S220" s="121"/>
      <c r="T220" s="82"/>
      <c r="U220" s="292"/>
      <c r="V220" s="132"/>
      <c r="W220" s="121"/>
      <c r="X220" s="82"/>
      <c r="Y220" s="292"/>
      <c r="Z220" s="300"/>
      <c r="AA220" s="301"/>
      <c r="AB220" s="80"/>
      <c r="AC220" s="292"/>
      <c r="AD220" s="132"/>
      <c r="AE220" s="254"/>
      <c r="AF220" s="294"/>
      <c r="AG220" s="292"/>
      <c r="AH220" s="295"/>
      <c r="AI220" s="296"/>
      <c r="AJ220" s="199"/>
      <c r="AK220" s="292"/>
      <c r="AL220" s="298"/>
      <c r="AM220" s="299"/>
      <c r="AN220" s="82"/>
      <c r="AO220" s="292"/>
      <c r="AP220" s="298"/>
      <c r="AQ220" s="299"/>
      <c r="AR220" s="82"/>
      <c r="AS220" s="292"/>
      <c r="AT220" s="298"/>
      <c r="AU220" s="299"/>
      <c r="AV220" s="82"/>
    </row>
    <row r="221">
      <c r="A221" s="292"/>
      <c r="B221" s="132"/>
      <c r="C221" s="121"/>
      <c r="D221" s="82"/>
      <c r="E221" s="292"/>
      <c r="F221" s="132"/>
      <c r="G221" s="121"/>
      <c r="H221" s="82"/>
      <c r="I221" s="292"/>
      <c r="J221" s="132"/>
      <c r="K221" s="121"/>
      <c r="L221" s="82"/>
      <c r="M221" s="292"/>
      <c r="N221" s="132"/>
      <c r="O221" s="121"/>
      <c r="P221" s="82"/>
      <c r="Q221" s="292"/>
      <c r="R221" s="132"/>
      <c r="S221" s="121"/>
      <c r="T221" s="82"/>
      <c r="U221" s="292"/>
      <c r="V221" s="132"/>
      <c r="W221" s="121"/>
      <c r="X221" s="82"/>
      <c r="Y221" s="292"/>
      <c r="Z221" s="300"/>
      <c r="AA221" s="301"/>
      <c r="AB221" s="80"/>
      <c r="AC221" s="292"/>
      <c r="AD221" s="132"/>
      <c r="AE221" s="254"/>
      <c r="AF221" s="294"/>
      <c r="AG221" s="292"/>
      <c r="AH221" s="295"/>
      <c r="AI221" s="296"/>
      <c r="AJ221" s="199"/>
      <c r="AK221" s="292"/>
      <c r="AL221" s="298"/>
      <c r="AM221" s="299"/>
      <c r="AN221" s="82"/>
      <c r="AO221" s="292"/>
      <c r="AP221" s="298"/>
      <c r="AQ221" s="299"/>
      <c r="AR221" s="82"/>
      <c r="AS221" s="292"/>
      <c r="AT221" s="298"/>
      <c r="AU221" s="299"/>
      <c r="AV221" s="82"/>
    </row>
    <row r="222">
      <c r="A222" s="292"/>
      <c r="B222" s="132"/>
      <c r="C222" s="121"/>
      <c r="D222" s="82"/>
      <c r="E222" s="292"/>
      <c r="F222" s="132"/>
      <c r="G222" s="121"/>
      <c r="H222" s="82"/>
      <c r="I222" s="292"/>
      <c r="J222" s="132"/>
      <c r="K222" s="121"/>
      <c r="L222" s="82"/>
      <c r="M222" s="292"/>
      <c r="N222" s="132"/>
      <c r="O222" s="121"/>
      <c r="P222" s="82"/>
      <c r="Q222" s="292"/>
      <c r="R222" s="132"/>
      <c r="S222" s="121"/>
      <c r="T222" s="82"/>
      <c r="U222" s="292"/>
      <c r="V222" s="132"/>
      <c r="W222" s="121"/>
      <c r="X222" s="82"/>
      <c r="Y222" s="292"/>
      <c r="Z222" s="300"/>
      <c r="AA222" s="301"/>
      <c r="AB222" s="80"/>
      <c r="AC222" s="292"/>
      <c r="AD222" s="132"/>
      <c r="AE222" s="254"/>
      <c r="AF222" s="294"/>
      <c r="AG222" s="292"/>
      <c r="AH222" s="295"/>
      <c r="AI222" s="296"/>
      <c r="AJ222" s="199"/>
      <c r="AK222" s="292"/>
      <c r="AL222" s="298"/>
      <c r="AM222" s="299"/>
      <c r="AN222" s="82"/>
      <c r="AO222" s="292"/>
      <c r="AP222" s="298"/>
      <c r="AQ222" s="299"/>
      <c r="AR222" s="82"/>
      <c r="AS222" s="292"/>
      <c r="AT222" s="298"/>
      <c r="AU222" s="299"/>
      <c r="AV222" s="82"/>
    </row>
    <row r="223">
      <c r="A223" s="292"/>
      <c r="B223" s="132"/>
      <c r="C223" s="121"/>
      <c r="D223" s="82"/>
      <c r="E223" s="292"/>
      <c r="F223" s="132"/>
      <c r="G223" s="121"/>
      <c r="H223" s="82"/>
      <c r="I223" s="292"/>
      <c r="J223" s="132"/>
      <c r="K223" s="121"/>
      <c r="L223" s="82"/>
      <c r="M223" s="292"/>
      <c r="N223" s="132"/>
      <c r="O223" s="121"/>
      <c r="P223" s="82"/>
      <c r="Q223" s="292"/>
      <c r="R223" s="132"/>
      <c r="S223" s="121"/>
      <c r="T223" s="82"/>
      <c r="U223" s="292"/>
      <c r="V223" s="132"/>
      <c r="W223" s="121"/>
      <c r="X223" s="82"/>
      <c r="Y223" s="292"/>
      <c r="Z223" s="300"/>
      <c r="AA223" s="301"/>
      <c r="AB223" s="80"/>
      <c r="AC223" s="292"/>
      <c r="AD223" s="132"/>
      <c r="AE223" s="254"/>
      <c r="AF223" s="294"/>
      <c r="AG223" s="292"/>
      <c r="AH223" s="295"/>
      <c r="AI223" s="296"/>
      <c r="AJ223" s="199"/>
      <c r="AK223" s="292"/>
      <c r="AL223" s="298"/>
      <c r="AM223" s="299"/>
      <c r="AN223" s="82"/>
      <c r="AO223" s="292"/>
      <c r="AP223" s="298"/>
      <c r="AQ223" s="299"/>
      <c r="AR223" s="82"/>
      <c r="AS223" s="292"/>
      <c r="AT223" s="298"/>
      <c r="AU223" s="299"/>
      <c r="AV223" s="82"/>
    </row>
    <row r="224">
      <c r="A224" s="292"/>
      <c r="B224" s="132"/>
      <c r="C224" s="121"/>
      <c r="D224" s="82"/>
      <c r="E224" s="292"/>
      <c r="F224" s="132"/>
      <c r="G224" s="121"/>
      <c r="H224" s="82"/>
      <c r="I224" s="292"/>
      <c r="J224" s="132"/>
      <c r="K224" s="121"/>
      <c r="L224" s="82"/>
      <c r="M224" s="292"/>
      <c r="N224" s="132"/>
      <c r="O224" s="121"/>
      <c r="P224" s="82"/>
      <c r="Q224" s="292"/>
      <c r="R224" s="132"/>
      <c r="S224" s="121"/>
      <c r="T224" s="82"/>
      <c r="U224" s="292"/>
      <c r="V224" s="132"/>
      <c r="W224" s="121"/>
      <c r="X224" s="82"/>
      <c r="Y224" s="292"/>
      <c r="Z224" s="300"/>
      <c r="AA224" s="301"/>
      <c r="AB224" s="80"/>
      <c r="AC224" s="292"/>
      <c r="AD224" s="132"/>
      <c r="AE224" s="254"/>
      <c r="AF224" s="294"/>
      <c r="AG224" s="292"/>
      <c r="AH224" s="295"/>
      <c r="AI224" s="296"/>
      <c r="AJ224" s="199"/>
      <c r="AK224" s="292"/>
      <c r="AL224" s="298"/>
      <c r="AM224" s="299"/>
      <c r="AN224" s="82"/>
      <c r="AO224" s="292"/>
      <c r="AP224" s="298"/>
      <c r="AQ224" s="299"/>
      <c r="AR224" s="82"/>
      <c r="AS224" s="292"/>
      <c r="AT224" s="298"/>
      <c r="AU224" s="299"/>
      <c r="AV224" s="82"/>
    </row>
    <row r="225">
      <c r="A225" s="292"/>
      <c r="B225" s="132"/>
      <c r="C225" s="121"/>
      <c r="D225" s="82"/>
      <c r="E225" s="292"/>
      <c r="F225" s="132"/>
      <c r="G225" s="121"/>
      <c r="H225" s="82"/>
      <c r="I225" s="292"/>
      <c r="J225" s="132"/>
      <c r="K225" s="121"/>
      <c r="L225" s="82"/>
      <c r="M225" s="292"/>
      <c r="N225" s="132"/>
      <c r="O225" s="121"/>
      <c r="P225" s="82"/>
      <c r="Q225" s="292"/>
      <c r="R225" s="132"/>
      <c r="S225" s="121"/>
      <c r="T225" s="82"/>
      <c r="U225" s="292"/>
      <c r="V225" s="132"/>
      <c r="W225" s="121"/>
      <c r="X225" s="82"/>
      <c r="Y225" s="292"/>
      <c r="Z225" s="300"/>
      <c r="AA225" s="301"/>
      <c r="AB225" s="80"/>
      <c r="AC225" s="292"/>
      <c r="AD225" s="132"/>
      <c r="AE225" s="254"/>
      <c r="AF225" s="294"/>
      <c r="AG225" s="292"/>
      <c r="AH225" s="295"/>
      <c r="AI225" s="296"/>
      <c r="AJ225" s="199"/>
      <c r="AK225" s="292"/>
      <c r="AL225" s="298"/>
      <c r="AM225" s="299"/>
      <c r="AN225" s="82"/>
      <c r="AO225" s="292"/>
      <c r="AP225" s="298"/>
      <c r="AQ225" s="299"/>
      <c r="AR225" s="82"/>
      <c r="AS225" s="292"/>
      <c r="AT225" s="298"/>
      <c r="AU225" s="299"/>
      <c r="AV225" s="82"/>
    </row>
    <row r="226">
      <c r="A226" s="292"/>
      <c r="B226" s="132"/>
      <c r="C226" s="121"/>
      <c r="D226" s="82"/>
      <c r="E226" s="292"/>
      <c r="F226" s="132"/>
      <c r="G226" s="121"/>
      <c r="H226" s="82"/>
      <c r="I226" s="292"/>
      <c r="J226" s="132"/>
      <c r="K226" s="121"/>
      <c r="L226" s="82"/>
      <c r="M226" s="292"/>
      <c r="N226" s="132"/>
      <c r="O226" s="121"/>
      <c r="P226" s="82"/>
      <c r="Q226" s="292"/>
      <c r="R226" s="132"/>
      <c r="S226" s="121"/>
      <c r="T226" s="82"/>
      <c r="U226" s="292"/>
      <c r="V226" s="132"/>
      <c r="W226" s="121"/>
      <c r="X226" s="82"/>
      <c r="Y226" s="292"/>
      <c r="Z226" s="300"/>
      <c r="AA226" s="301"/>
      <c r="AB226" s="80"/>
      <c r="AC226" s="292"/>
      <c r="AD226" s="132"/>
      <c r="AE226" s="254"/>
      <c r="AF226" s="294"/>
      <c r="AG226" s="292"/>
      <c r="AH226" s="295"/>
      <c r="AI226" s="296"/>
      <c r="AJ226" s="199"/>
      <c r="AK226" s="292"/>
      <c r="AL226" s="298"/>
      <c r="AM226" s="299"/>
      <c r="AN226" s="82"/>
      <c r="AO226" s="292"/>
      <c r="AP226" s="298"/>
      <c r="AQ226" s="299"/>
      <c r="AR226" s="82"/>
      <c r="AS226" s="292"/>
      <c r="AT226" s="298"/>
      <c r="AU226" s="299"/>
      <c r="AV226" s="82"/>
    </row>
    <row r="227">
      <c r="A227" s="292"/>
      <c r="B227" s="132"/>
      <c r="C227" s="121"/>
      <c r="D227" s="82"/>
      <c r="E227" s="292"/>
      <c r="F227" s="132"/>
      <c r="G227" s="121"/>
      <c r="H227" s="82"/>
      <c r="I227" s="292"/>
      <c r="J227" s="132"/>
      <c r="K227" s="121"/>
      <c r="L227" s="82"/>
      <c r="M227" s="292"/>
      <c r="N227" s="132"/>
      <c r="O227" s="121"/>
      <c r="P227" s="82"/>
      <c r="Q227" s="292"/>
      <c r="R227" s="132"/>
      <c r="S227" s="121"/>
      <c r="T227" s="82"/>
      <c r="U227" s="292"/>
      <c r="V227" s="132"/>
      <c r="W227" s="121"/>
      <c r="X227" s="82"/>
      <c r="Y227" s="292"/>
      <c r="Z227" s="300"/>
      <c r="AA227" s="301"/>
      <c r="AB227" s="80"/>
      <c r="AC227" s="292"/>
      <c r="AD227" s="132"/>
      <c r="AE227" s="254"/>
      <c r="AF227" s="294"/>
      <c r="AG227" s="292"/>
      <c r="AH227" s="295"/>
      <c r="AI227" s="296"/>
      <c r="AJ227" s="199"/>
      <c r="AK227" s="292"/>
      <c r="AL227" s="298"/>
      <c r="AM227" s="299"/>
      <c r="AN227" s="82"/>
      <c r="AO227" s="292"/>
      <c r="AP227" s="298"/>
      <c r="AQ227" s="299"/>
      <c r="AR227" s="82"/>
      <c r="AS227" s="292"/>
      <c r="AT227" s="298"/>
      <c r="AU227" s="299"/>
      <c r="AV227" s="82"/>
    </row>
    <row r="228">
      <c r="A228" s="292"/>
      <c r="B228" s="132"/>
      <c r="C228" s="121"/>
      <c r="D228" s="82"/>
      <c r="E228" s="292"/>
      <c r="F228" s="132"/>
      <c r="G228" s="121"/>
      <c r="H228" s="82"/>
      <c r="I228" s="292"/>
      <c r="J228" s="132"/>
      <c r="K228" s="121"/>
      <c r="L228" s="82"/>
      <c r="M228" s="292"/>
      <c r="N228" s="132"/>
      <c r="O228" s="121"/>
      <c r="P228" s="82"/>
      <c r="Q228" s="292"/>
      <c r="R228" s="132"/>
      <c r="S228" s="121"/>
      <c r="T228" s="82"/>
      <c r="U228" s="292"/>
      <c r="V228" s="132"/>
      <c r="W228" s="121"/>
      <c r="X228" s="82"/>
      <c r="Y228" s="292"/>
      <c r="Z228" s="300"/>
      <c r="AA228" s="301"/>
      <c r="AB228" s="80"/>
      <c r="AC228" s="292"/>
      <c r="AD228" s="132"/>
      <c r="AE228" s="254"/>
      <c r="AF228" s="294"/>
      <c r="AG228" s="292"/>
      <c r="AH228" s="295"/>
      <c r="AI228" s="296"/>
      <c r="AJ228" s="199"/>
      <c r="AK228" s="292"/>
      <c r="AL228" s="298"/>
      <c r="AM228" s="299"/>
      <c r="AN228" s="82"/>
      <c r="AO228" s="292"/>
      <c r="AP228" s="298"/>
      <c r="AQ228" s="299"/>
      <c r="AR228" s="82"/>
      <c r="AS228" s="292"/>
      <c r="AT228" s="298"/>
      <c r="AU228" s="299"/>
      <c r="AV228" s="82"/>
    </row>
    <row r="229">
      <c r="A229" s="292"/>
      <c r="B229" s="132"/>
      <c r="C229" s="121"/>
      <c r="D229" s="82"/>
      <c r="E229" s="292"/>
      <c r="F229" s="132"/>
      <c r="G229" s="121"/>
      <c r="H229" s="82"/>
      <c r="I229" s="292"/>
      <c r="J229" s="132"/>
      <c r="K229" s="121"/>
      <c r="L229" s="82"/>
      <c r="M229" s="292"/>
      <c r="N229" s="132"/>
      <c r="O229" s="121"/>
      <c r="P229" s="82"/>
      <c r="Q229" s="292"/>
      <c r="R229" s="132"/>
      <c r="S229" s="121"/>
      <c r="T229" s="82"/>
      <c r="U229" s="292"/>
      <c r="V229" s="132"/>
      <c r="W229" s="121"/>
      <c r="X229" s="82"/>
      <c r="Y229" s="292"/>
      <c r="Z229" s="300"/>
      <c r="AA229" s="301"/>
      <c r="AB229" s="80"/>
      <c r="AC229" s="292"/>
      <c r="AD229" s="132"/>
      <c r="AE229" s="254"/>
      <c r="AF229" s="294"/>
      <c r="AG229" s="292"/>
      <c r="AH229" s="295"/>
      <c r="AI229" s="296"/>
      <c r="AJ229" s="199"/>
      <c r="AK229" s="292"/>
      <c r="AL229" s="298"/>
      <c r="AM229" s="299"/>
      <c r="AN229" s="82"/>
      <c r="AO229" s="292"/>
      <c r="AP229" s="298"/>
      <c r="AQ229" s="299"/>
      <c r="AR229" s="82"/>
      <c r="AS229" s="292"/>
      <c r="AT229" s="298"/>
      <c r="AU229" s="299"/>
      <c r="AV229" s="82"/>
    </row>
    <row r="230">
      <c r="A230" s="292"/>
      <c r="B230" s="132"/>
      <c r="C230" s="121"/>
      <c r="D230" s="82"/>
      <c r="E230" s="292"/>
      <c r="F230" s="132"/>
      <c r="G230" s="121"/>
      <c r="H230" s="82"/>
      <c r="I230" s="292"/>
      <c r="J230" s="132"/>
      <c r="K230" s="121"/>
      <c r="L230" s="82"/>
      <c r="M230" s="292"/>
      <c r="N230" s="132"/>
      <c r="O230" s="121"/>
      <c r="P230" s="82"/>
      <c r="Q230" s="292"/>
      <c r="R230" s="132"/>
      <c r="S230" s="121"/>
      <c r="T230" s="82"/>
      <c r="U230" s="292"/>
      <c r="V230" s="132"/>
      <c r="W230" s="121"/>
      <c r="X230" s="82"/>
      <c r="Y230" s="292"/>
      <c r="Z230" s="300"/>
      <c r="AA230" s="301"/>
      <c r="AB230" s="80"/>
      <c r="AC230" s="292"/>
      <c r="AD230" s="132"/>
      <c r="AE230" s="254"/>
      <c r="AF230" s="294"/>
      <c r="AG230" s="292"/>
      <c r="AH230" s="295"/>
      <c r="AI230" s="296"/>
      <c r="AJ230" s="199"/>
      <c r="AK230" s="292"/>
      <c r="AL230" s="298"/>
      <c r="AM230" s="299"/>
      <c r="AN230" s="82"/>
      <c r="AO230" s="292"/>
      <c r="AP230" s="298"/>
      <c r="AQ230" s="299"/>
      <c r="AR230" s="82"/>
      <c r="AS230" s="292"/>
      <c r="AT230" s="298"/>
      <c r="AU230" s="299"/>
      <c r="AV230" s="82"/>
    </row>
    <row r="231">
      <c r="A231" s="292"/>
      <c r="B231" s="132"/>
      <c r="C231" s="121"/>
      <c r="D231" s="82"/>
      <c r="E231" s="292"/>
      <c r="F231" s="132"/>
      <c r="G231" s="121"/>
      <c r="H231" s="82"/>
      <c r="I231" s="292"/>
      <c r="J231" s="132"/>
      <c r="K231" s="121"/>
      <c r="L231" s="82"/>
      <c r="M231" s="292"/>
      <c r="N231" s="132"/>
      <c r="O231" s="121"/>
      <c r="P231" s="82"/>
      <c r="Q231" s="292"/>
      <c r="R231" s="132"/>
      <c r="S231" s="121"/>
      <c r="T231" s="82"/>
      <c r="U231" s="292"/>
      <c r="V231" s="132"/>
      <c r="W231" s="121"/>
      <c r="X231" s="82"/>
      <c r="Y231" s="292"/>
      <c r="Z231" s="300"/>
      <c r="AA231" s="301"/>
      <c r="AB231" s="80"/>
      <c r="AC231" s="292"/>
      <c r="AD231" s="132"/>
      <c r="AE231" s="254"/>
      <c r="AF231" s="294"/>
      <c r="AG231" s="292"/>
      <c r="AH231" s="295"/>
      <c r="AI231" s="296"/>
      <c r="AJ231" s="199"/>
      <c r="AK231" s="292"/>
      <c r="AL231" s="298"/>
      <c r="AM231" s="299"/>
      <c r="AN231" s="82"/>
      <c r="AO231" s="292"/>
      <c r="AP231" s="298"/>
      <c r="AQ231" s="299"/>
      <c r="AR231" s="82"/>
      <c r="AS231" s="292"/>
      <c r="AT231" s="298"/>
      <c r="AU231" s="299"/>
      <c r="AV231" s="82"/>
    </row>
    <row r="232">
      <c r="A232" s="292"/>
      <c r="B232" s="132"/>
      <c r="C232" s="121"/>
      <c r="D232" s="82"/>
      <c r="E232" s="292"/>
      <c r="F232" s="132"/>
      <c r="G232" s="121"/>
      <c r="H232" s="82"/>
      <c r="I232" s="292"/>
      <c r="J232" s="132"/>
      <c r="K232" s="121"/>
      <c r="L232" s="82"/>
      <c r="M232" s="292"/>
      <c r="N232" s="132"/>
      <c r="O232" s="121"/>
      <c r="P232" s="82"/>
      <c r="Q232" s="292"/>
      <c r="R232" s="132"/>
      <c r="S232" s="121"/>
      <c r="T232" s="82"/>
      <c r="U232" s="292"/>
      <c r="V232" s="132"/>
      <c r="W232" s="121"/>
      <c r="X232" s="82"/>
      <c r="Y232" s="292"/>
      <c r="Z232" s="300"/>
      <c r="AA232" s="301"/>
      <c r="AB232" s="80"/>
      <c r="AC232" s="292"/>
      <c r="AD232" s="132"/>
      <c r="AE232" s="254"/>
      <c r="AF232" s="294"/>
      <c r="AG232" s="292"/>
      <c r="AH232" s="295"/>
      <c r="AI232" s="296"/>
      <c r="AJ232" s="199"/>
      <c r="AK232" s="292"/>
      <c r="AL232" s="298"/>
      <c r="AM232" s="299"/>
      <c r="AN232" s="82"/>
      <c r="AO232" s="292"/>
      <c r="AP232" s="298"/>
      <c r="AQ232" s="299"/>
      <c r="AR232" s="82"/>
      <c r="AS232" s="292"/>
      <c r="AT232" s="298"/>
      <c r="AU232" s="299"/>
      <c r="AV232" s="82"/>
    </row>
    <row r="233">
      <c r="A233" s="292"/>
      <c r="B233" s="132"/>
      <c r="C233" s="121"/>
      <c r="D233" s="82"/>
      <c r="E233" s="292"/>
      <c r="F233" s="132"/>
      <c r="G233" s="121"/>
      <c r="H233" s="82"/>
      <c r="I233" s="292"/>
      <c r="J233" s="132"/>
      <c r="K233" s="121"/>
      <c r="L233" s="82"/>
      <c r="M233" s="292"/>
      <c r="N233" s="132"/>
      <c r="O233" s="121"/>
      <c r="P233" s="82"/>
      <c r="Q233" s="292"/>
      <c r="R233" s="132"/>
      <c r="S233" s="121"/>
      <c r="T233" s="82"/>
      <c r="U233" s="292"/>
      <c r="V233" s="132"/>
      <c r="W233" s="121"/>
      <c r="X233" s="82"/>
      <c r="Y233" s="292"/>
      <c r="Z233" s="300"/>
      <c r="AA233" s="301"/>
      <c r="AB233" s="80"/>
      <c r="AC233" s="292"/>
      <c r="AD233" s="132"/>
      <c r="AE233" s="254"/>
      <c r="AF233" s="294"/>
      <c r="AG233" s="292"/>
      <c r="AH233" s="295"/>
      <c r="AI233" s="296"/>
      <c r="AJ233" s="199"/>
      <c r="AK233" s="292"/>
      <c r="AL233" s="298"/>
      <c r="AM233" s="299"/>
      <c r="AN233" s="82"/>
      <c r="AO233" s="292"/>
      <c r="AP233" s="298"/>
      <c r="AQ233" s="299"/>
      <c r="AR233" s="82"/>
      <c r="AS233" s="292"/>
      <c r="AT233" s="298"/>
      <c r="AU233" s="299"/>
      <c r="AV233" s="82"/>
    </row>
    <row r="234">
      <c r="A234" s="292"/>
      <c r="B234" s="132"/>
      <c r="C234" s="121"/>
      <c r="D234" s="82"/>
      <c r="E234" s="292"/>
      <c r="F234" s="132"/>
      <c r="G234" s="121"/>
      <c r="H234" s="82"/>
      <c r="I234" s="292"/>
      <c r="J234" s="132"/>
      <c r="K234" s="121"/>
      <c r="L234" s="82"/>
      <c r="M234" s="292"/>
      <c r="N234" s="132"/>
      <c r="O234" s="121"/>
      <c r="P234" s="82"/>
      <c r="Q234" s="292"/>
      <c r="R234" s="132"/>
      <c r="S234" s="121"/>
      <c r="T234" s="82"/>
      <c r="U234" s="292"/>
      <c r="V234" s="132"/>
      <c r="W234" s="121"/>
      <c r="X234" s="82"/>
      <c r="Y234" s="292"/>
      <c r="Z234" s="300"/>
      <c r="AA234" s="301"/>
      <c r="AB234" s="80"/>
      <c r="AC234" s="292"/>
      <c r="AD234" s="132"/>
      <c r="AE234" s="254"/>
      <c r="AF234" s="294"/>
      <c r="AG234" s="292"/>
      <c r="AH234" s="295"/>
      <c r="AI234" s="296"/>
      <c r="AJ234" s="199"/>
      <c r="AK234" s="292"/>
      <c r="AL234" s="298"/>
      <c r="AM234" s="299"/>
      <c r="AN234" s="82"/>
      <c r="AO234" s="292"/>
      <c r="AP234" s="298"/>
      <c r="AQ234" s="299"/>
      <c r="AR234" s="82"/>
      <c r="AS234" s="292"/>
      <c r="AT234" s="298"/>
      <c r="AU234" s="299"/>
      <c r="AV234" s="82"/>
    </row>
    <row r="235">
      <c r="A235" s="292"/>
      <c r="B235" s="132"/>
      <c r="C235" s="121"/>
      <c r="D235" s="82"/>
      <c r="E235" s="292"/>
      <c r="F235" s="132"/>
      <c r="G235" s="121"/>
      <c r="H235" s="82"/>
      <c r="I235" s="292"/>
      <c r="J235" s="132"/>
      <c r="K235" s="121"/>
      <c r="L235" s="82"/>
      <c r="M235" s="292"/>
      <c r="N235" s="132"/>
      <c r="O235" s="121"/>
      <c r="P235" s="82"/>
      <c r="Q235" s="292"/>
      <c r="R235" s="132"/>
      <c r="S235" s="121"/>
      <c r="T235" s="82"/>
      <c r="U235" s="292"/>
      <c r="V235" s="132"/>
      <c r="W235" s="121"/>
      <c r="X235" s="82"/>
      <c r="Y235" s="292"/>
      <c r="Z235" s="300"/>
      <c r="AA235" s="301"/>
      <c r="AB235" s="80"/>
      <c r="AC235" s="292"/>
      <c r="AD235" s="132"/>
      <c r="AE235" s="254"/>
      <c r="AF235" s="294"/>
      <c r="AG235" s="292"/>
      <c r="AH235" s="295"/>
      <c r="AI235" s="296"/>
      <c r="AJ235" s="199"/>
      <c r="AK235" s="292"/>
      <c r="AL235" s="298"/>
      <c r="AM235" s="299"/>
      <c r="AN235" s="82"/>
      <c r="AO235" s="292"/>
      <c r="AP235" s="298"/>
      <c r="AQ235" s="299"/>
      <c r="AR235" s="82"/>
      <c r="AS235" s="292"/>
      <c r="AT235" s="298"/>
      <c r="AU235" s="299"/>
      <c r="AV235" s="82"/>
    </row>
    <row r="236">
      <c r="A236" s="292"/>
      <c r="B236" s="132"/>
      <c r="C236" s="121"/>
      <c r="D236" s="82"/>
      <c r="E236" s="292"/>
      <c r="F236" s="132"/>
      <c r="G236" s="121"/>
      <c r="H236" s="82"/>
      <c r="I236" s="292"/>
      <c r="J236" s="132"/>
      <c r="K236" s="121"/>
      <c r="L236" s="82"/>
      <c r="M236" s="292"/>
      <c r="N236" s="132"/>
      <c r="O236" s="121"/>
      <c r="P236" s="82"/>
      <c r="Q236" s="292"/>
      <c r="R236" s="132"/>
      <c r="S236" s="121"/>
      <c r="T236" s="82"/>
      <c r="U236" s="292"/>
      <c r="V236" s="132"/>
      <c r="W236" s="121"/>
      <c r="X236" s="82"/>
      <c r="Y236" s="292"/>
      <c r="Z236" s="300"/>
      <c r="AA236" s="301"/>
      <c r="AB236" s="80"/>
      <c r="AC236" s="292"/>
      <c r="AD236" s="132"/>
      <c r="AE236" s="254"/>
      <c r="AF236" s="294"/>
      <c r="AG236" s="292"/>
      <c r="AH236" s="295"/>
      <c r="AI236" s="296"/>
      <c r="AJ236" s="199"/>
      <c r="AK236" s="292"/>
      <c r="AL236" s="298"/>
      <c r="AM236" s="299"/>
      <c r="AN236" s="82"/>
      <c r="AO236" s="292"/>
      <c r="AP236" s="298"/>
      <c r="AQ236" s="299"/>
      <c r="AR236" s="82"/>
      <c r="AS236" s="292"/>
      <c r="AT236" s="298"/>
      <c r="AU236" s="299"/>
      <c r="AV236" s="82"/>
    </row>
    <row r="237">
      <c r="A237" s="292"/>
      <c r="B237" s="132"/>
      <c r="C237" s="121"/>
      <c r="D237" s="82"/>
      <c r="E237" s="292"/>
      <c r="F237" s="132"/>
      <c r="G237" s="121"/>
      <c r="H237" s="82"/>
      <c r="I237" s="292"/>
      <c r="J237" s="132"/>
      <c r="K237" s="121"/>
      <c r="L237" s="82"/>
      <c r="M237" s="292"/>
      <c r="N237" s="132"/>
      <c r="O237" s="121"/>
      <c r="P237" s="82"/>
      <c r="Q237" s="292"/>
      <c r="R237" s="132"/>
      <c r="S237" s="121"/>
      <c r="T237" s="82"/>
      <c r="U237" s="292"/>
      <c r="V237" s="132"/>
      <c r="W237" s="121"/>
      <c r="X237" s="82"/>
      <c r="Y237" s="292"/>
      <c r="Z237" s="300"/>
      <c r="AA237" s="301"/>
      <c r="AB237" s="80"/>
      <c r="AC237" s="292"/>
      <c r="AD237" s="132"/>
      <c r="AE237" s="254"/>
      <c r="AF237" s="294"/>
      <c r="AG237" s="292"/>
      <c r="AH237" s="295"/>
      <c r="AI237" s="296"/>
      <c r="AJ237" s="199"/>
      <c r="AK237" s="292"/>
      <c r="AL237" s="298"/>
      <c r="AM237" s="299"/>
      <c r="AN237" s="82"/>
      <c r="AO237" s="292"/>
      <c r="AP237" s="298"/>
      <c r="AQ237" s="299"/>
      <c r="AR237" s="82"/>
      <c r="AS237" s="292"/>
      <c r="AT237" s="298"/>
      <c r="AU237" s="299"/>
      <c r="AV237" s="82"/>
    </row>
    <row r="238">
      <c r="A238" s="292"/>
      <c r="B238" s="132"/>
      <c r="C238" s="121"/>
      <c r="D238" s="82"/>
      <c r="E238" s="292"/>
      <c r="F238" s="132"/>
      <c r="G238" s="121"/>
      <c r="H238" s="82"/>
      <c r="I238" s="292"/>
      <c r="J238" s="132"/>
      <c r="K238" s="121"/>
      <c r="L238" s="82"/>
      <c r="M238" s="292"/>
      <c r="N238" s="132"/>
      <c r="O238" s="121"/>
      <c r="P238" s="82"/>
      <c r="Q238" s="292"/>
      <c r="R238" s="132"/>
      <c r="S238" s="121"/>
      <c r="T238" s="82"/>
      <c r="U238" s="292"/>
      <c r="V238" s="132"/>
      <c r="W238" s="121"/>
      <c r="X238" s="82"/>
      <c r="Y238" s="292"/>
      <c r="Z238" s="300"/>
      <c r="AA238" s="301"/>
      <c r="AB238" s="80"/>
      <c r="AC238" s="292"/>
      <c r="AD238" s="132"/>
      <c r="AE238" s="254"/>
      <c r="AF238" s="294"/>
      <c r="AG238" s="292"/>
      <c r="AH238" s="295"/>
      <c r="AI238" s="296"/>
      <c r="AJ238" s="199"/>
      <c r="AK238" s="292"/>
      <c r="AL238" s="298"/>
      <c r="AM238" s="299"/>
      <c r="AN238" s="82"/>
      <c r="AO238" s="292"/>
      <c r="AP238" s="298"/>
      <c r="AQ238" s="299"/>
      <c r="AR238" s="82"/>
      <c r="AS238" s="292"/>
      <c r="AT238" s="298"/>
      <c r="AU238" s="299"/>
      <c r="AV238" s="82"/>
    </row>
    <row r="239">
      <c r="A239" s="292"/>
      <c r="B239" s="132"/>
      <c r="C239" s="121"/>
      <c r="D239" s="82"/>
      <c r="E239" s="292"/>
      <c r="F239" s="132"/>
      <c r="G239" s="121"/>
      <c r="H239" s="82"/>
      <c r="I239" s="292"/>
      <c r="J239" s="132"/>
      <c r="K239" s="121"/>
      <c r="L239" s="82"/>
      <c r="M239" s="292"/>
      <c r="N239" s="132"/>
      <c r="O239" s="121"/>
      <c r="P239" s="82"/>
      <c r="Q239" s="292"/>
      <c r="R239" s="132"/>
      <c r="S239" s="121"/>
      <c r="T239" s="82"/>
      <c r="U239" s="292"/>
      <c r="V239" s="132"/>
      <c r="W239" s="121"/>
      <c r="X239" s="82"/>
      <c r="Y239" s="292"/>
      <c r="Z239" s="300"/>
      <c r="AA239" s="301"/>
      <c r="AB239" s="80"/>
      <c r="AC239" s="292"/>
      <c r="AD239" s="132"/>
      <c r="AE239" s="254"/>
      <c r="AF239" s="294"/>
      <c r="AG239" s="292"/>
      <c r="AH239" s="295"/>
      <c r="AI239" s="296"/>
      <c r="AJ239" s="199"/>
      <c r="AK239" s="292"/>
      <c r="AL239" s="298"/>
      <c r="AM239" s="299"/>
      <c r="AN239" s="82"/>
      <c r="AO239" s="292"/>
      <c r="AP239" s="298"/>
      <c r="AQ239" s="299"/>
      <c r="AR239" s="82"/>
      <c r="AS239" s="292"/>
      <c r="AT239" s="298"/>
      <c r="AU239" s="299"/>
      <c r="AV239" s="82"/>
    </row>
    <row r="240">
      <c r="A240" s="292"/>
      <c r="B240" s="132"/>
      <c r="C240" s="121"/>
      <c r="D240" s="82"/>
      <c r="E240" s="292"/>
      <c r="F240" s="132"/>
      <c r="G240" s="121"/>
      <c r="H240" s="82"/>
      <c r="I240" s="292"/>
      <c r="J240" s="132"/>
      <c r="K240" s="121"/>
      <c r="L240" s="82"/>
      <c r="M240" s="292"/>
      <c r="N240" s="132"/>
      <c r="O240" s="121"/>
      <c r="P240" s="82"/>
      <c r="Q240" s="292"/>
      <c r="R240" s="132"/>
      <c r="S240" s="121"/>
      <c r="T240" s="82"/>
      <c r="U240" s="292"/>
      <c r="V240" s="132"/>
      <c r="W240" s="121"/>
      <c r="X240" s="82"/>
      <c r="Y240" s="292"/>
      <c r="Z240" s="300"/>
      <c r="AA240" s="301"/>
      <c r="AB240" s="80"/>
      <c r="AC240" s="292"/>
      <c r="AD240" s="132"/>
      <c r="AE240" s="254"/>
      <c r="AF240" s="294"/>
      <c r="AG240" s="292"/>
      <c r="AH240" s="295"/>
      <c r="AI240" s="296"/>
      <c r="AJ240" s="199"/>
      <c r="AK240" s="292"/>
      <c r="AL240" s="298"/>
      <c r="AM240" s="299"/>
      <c r="AN240" s="82"/>
      <c r="AO240" s="292"/>
      <c r="AP240" s="298"/>
      <c r="AQ240" s="299"/>
      <c r="AR240" s="82"/>
      <c r="AS240" s="292"/>
      <c r="AT240" s="298"/>
      <c r="AU240" s="299"/>
      <c r="AV240" s="82"/>
    </row>
    <row r="241">
      <c r="A241" s="292"/>
      <c r="B241" s="132"/>
      <c r="C241" s="121"/>
      <c r="D241" s="82"/>
      <c r="E241" s="292"/>
      <c r="F241" s="132"/>
      <c r="G241" s="121"/>
      <c r="H241" s="82"/>
      <c r="I241" s="292"/>
      <c r="J241" s="132"/>
      <c r="K241" s="121"/>
      <c r="L241" s="82"/>
      <c r="M241" s="292"/>
      <c r="N241" s="132"/>
      <c r="O241" s="121"/>
      <c r="P241" s="82"/>
      <c r="Q241" s="292"/>
      <c r="R241" s="132"/>
      <c r="S241" s="121"/>
      <c r="T241" s="82"/>
      <c r="U241" s="292"/>
      <c r="V241" s="132"/>
      <c r="W241" s="121"/>
      <c r="X241" s="82"/>
      <c r="Y241" s="292"/>
      <c r="Z241" s="300"/>
      <c r="AA241" s="301"/>
      <c r="AB241" s="80"/>
      <c r="AC241" s="292"/>
      <c r="AD241" s="132"/>
      <c r="AE241" s="254"/>
      <c r="AF241" s="294"/>
      <c r="AG241" s="292"/>
      <c r="AH241" s="295"/>
      <c r="AI241" s="296"/>
      <c r="AJ241" s="199"/>
      <c r="AK241" s="292"/>
      <c r="AL241" s="298"/>
      <c r="AM241" s="299"/>
      <c r="AN241" s="82"/>
      <c r="AO241" s="292"/>
      <c r="AP241" s="298"/>
      <c r="AQ241" s="299"/>
      <c r="AR241" s="82"/>
      <c r="AS241" s="292"/>
      <c r="AT241" s="298"/>
      <c r="AU241" s="299"/>
      <c r="AV241" s="82"/>
    </row>
    <row r="242">
      <c r="A242" s="292"/>
      <c r="B242" s="132"/>
      <c r="C242" s="121"/>
      <c r="D242" s="82"/>
      <c r="E242" s="292"/>
      <c r="F242" s="132"/>
      <c r="G242" s="121"/>
      <c r="H242" s="82"/>
      <c r="I242" s="292"/>
      <c r="J242" s="132"/>
      <c r="K242" s="121"/>
      <c r="L242" s="82"/>
      <c r="M242" s="292"/>
      <c r="N242" s="132"/>
      <c r="O242" s="121"/>
      <c r="P242" s="82"/>
      <c r="Q242" s="292"/>
      <c r="R242" s="132"/>
      <c r="S242" s="121"/>
      <c r="T242" s="82"/>
      <c r="U242" s="292"/>
      <c r="V242" s="132"/>
      <c r="W242" s="121"/>
      <c r="X242" s="82"/>
      <c r="Y242" s="292"/>
      <c r="Z242" s="300"/>
      <c r="AA242" s="301"/>
      <c r="AB242" s="80"/>
      <c r="AC242" s="292"/>
      <c r="AD242" s="132"/>
      <c r="AE242" s="254"/>
      <c r="AF242" s="294"/>
      <c r="AG242" s="292"/>
      <c r="AH242" s="295"/>
      <c r="AI242" s="296"/>
      <c r="AJ242" s="199"/>
      <c r="AK242" s="292"/>
      <c r="AL242" s="298"/>
      <c r="AM242" s="299"/>
      <c r="AN242" s="82"/>
      <c r="AO242" s="292"/>
      <c r="AP242" s="298"/>
      <c r="AQ242" s="299"/>
      <c r="AR242" s="82"/>
      <c r="AS242" s="292"/>
      <c r="AT242" s="298"/>
      <c r="AU242" s="299"/>
      <c r="AV242" s="82"/>
    </row>
    <row r="243">
      <c r="A243" s="292"/>
      <c r="B243" s="132"/>
      <c r="C243" s="121"/>
      <c r="D243" s="82"/>
      <c r="E243" s="292"/>
      <c r="F243" s="132"/>
      <c r="G243" s="121"/>
      <c r="H243" s="82"/>
      <c r="I243" s="292"/>
      <c r="J243" s="132"/>
      <c r="K243" s="121"/>
      <c r="L243" s="82"/>
      <c r="M243" s="292"/>
      <c r="N243" s="132"/>
      <c r="O243" s="121"/>
      <c r="P243" s="82"/>
      <c r="Q243" s="292"/>
      <c r="R243" s="132"/>
      <c r="S243" s="121"/>
      <c r="T243" s="82"/>
      <c r="U243" s="292"/>
      <c r="V243" s="132"/>
      <c r="W243" s="121"/>
      <c r="X243" s="82"/>
      <c r="Y243" s="292"/>
      <c r="Z243" s="300"/>
      <c r="AA243" s="301"/>
      <c r="AB243" s="80"/>
      <c r="AC243" s="292"/>
      <c r="AD243" s="132"/>
      <c r="AE243" s="254"/>
      <c r="AF243" s="294"/>
      <c r="AG243" s="292"/>
      <c r="AH243" s="295"/>
      <c r="AI243" s="296"/>
      <c r="AJ243" s="199"/>
      <c r="AK243" s="292"/>
      <c r="AL243" s="298"/>
      <c r="AM243" s="299"/>
      <c r="AN243" s="82"/>
      <c r="AO243" s="292"/>
      <c r="AP243" s="298"/>
      <c r="AQ243" s="299"/>
      <c r="AR243" s="82"/>
      <c r="AS243" s="292"/>
      <c r="AT243" s="298"/>
      <c r="AU243" s="299"/>
      <c r="AV243" s="82"/>
    </row>
    <row r="244">
      <c r="A244" s="292"/>
      <c r="B244" s="132"/>
      <c r="C244" s="121"/>
      <c r="D244" s="82"/>
      <c r="E244" s="292"/>
      <c r="F244" s="132"/>
      <c r="G244" s="121"/>
      <c r="H244" s="82"/>
      <c r="I244" s="292"/>
      <c r="J244" s="132"/>
      <c r="K244" s="121"/>
      <c r="L244" s="82"/>
      <c r="M244" s="292"/>
      <c r="N244" s="132"/>
      <c r="O244" s="121"/>
      <c r="P244" s="82"/>
      <c r="Q244" s="292"/>
      <c r="R244" s="132"/>
      <c r="S244" s="121"/>
      <c r="T244" s="82"/>
      <c r="U244" s="292"/>
      <c r="V244" s="132"/>
      <c r="W244" s="121"/>
      <c r="X244" s="82"/>
      <c r="Y244" s="292"/>
      <c r="Z244" s="300"/>
      <c r="AA244" s="301"/>
      <c r="AB244" s="80"/>
      <c r="AC244" s="292"/>
      <c r="AD244" s="132"/>
      <c r="AE244" s="254"/>
      <c r="AF244" s="294"/>
      <c r="AG244" s="292"/>
      <c r="AH244" s="295"/>
      <c r="AI244" s="296"/>
      <c r="AJ244" s="199"/>
      <c r="AK244" s="292"/>
      <c r="AL244" s="298"/>
      <c r="AM244" s="299"/>
      <c r="AN244" s="82"/>
      <c r="AO244" s="292"/>
      <c r="AP244" s="298"/>
      <c r="AQ244" s="299"/>
      <c r="AR244" s="82"/>
      <c r="AS244" s="292"/>
      <c r="AT244" s="298"/>
      <c r="AU244" s="299"/>
      <c r="AV244" s="82"/>
    </row>
    <row r="245">
      <c r="A245" s="292"/>
      <c r="B245" s="132"/>
      <c r="C245" s="121"/>
      <c r="D245" s="82"/>
      <c r="E245" s="292"/>
      <c r="F245" s="132"/>
      <c r="G245" s="121"/>
      <c r="H245" s="82"/>
      <c r="I245" s="292"/>
      <c r="J245" s="132"/>
      <c r="K245" s="121"/>
      <c r="L245" s="82"/>
      <c r="M245" s="292"/>
      <c r="N245" s="132"/>
      <c r="O245" s="121"/>
      <c r="P245" s="82"/>
      <c r="Q245" s="292"/>
      <c r="R245" s="132"/>
      <c r="S245" s="121"/>
      <c r="T245" s="82"/>
      <c r="U245" s="292"/>
      <c r="V245" s="132"/>
      <c r="W245" s="121"/>
      <c r="X245" s="82"/>
      <c r="Y245" s="292"/>
      <c r="Z245" s="300"/>
      <c r="AA245" s="301"/>
      <c r="AB245" s="80"/>
      <c r="AC245" s="292"/>
      <c r="AD245" s="132"/>
      <c r="AE245" s="254"/>
      <c r="AF245" s="294"/>
      <c r="AG245" s="292"/>
      <c r="AH245" s="295"/>
      <c r="AI245" s="296"/>
      <c r="AJ245" s="199"/>
      <c r="AK245" s="292"/>
      <c r="AL245" s="298"/>
      <c r="AM245" s="299"/>
      <c r="AN245" s="82"/>
      <c r="AO245" s="292"/>
      <c r="AP245" s="298"/>
      <c r="AQ245" s="299"/>
      <c r="AR245" s="82"/>
      <c r="AS245" s="292"/>
      <c r="AT245" s="298"/>
      <c r="AU245" s="299"/>
      <c r="AV245" s="82"/>
    </row>
    <row r="246">
      <c r="A246" s="292"/>
      <c r="B246" s="132"/>
      <c r="C246" s="121"/>
      <c r="D246" s="82"/>
      <c r="E246" s="292"/>
      <c r="F246" s="132"/>
      <c r="G246" s="121"/>
      <c r="H246" s="82"/>
      <c r="I246" s="292"/>
      <c r="J246" s="132"/>
      <c r="K246" s="121"/>
      <c r="L246" s="82"/>
      <c r="M246" s="292"/>
      <c r="N246" s="132"/>
      <c r="O246" s="121"/>
      <c r="P246" s="82"/>
      <c r="Q246" s="292"/>
      <c r="R246" s="132"/>
      <c r="S246" s="121"/>
      <c r="T246" s="82"/>
      <c r="U246" s="292"/>
      <c r="V246" s="132"/>
      <c r="W246" s="121"/>
      <c r="X246" s="82"/>
      <c r="Y246" s="292"/>
      <c r="Z246" s="300"/>
      <c r="AA246" s="301"/>
      <c r="AB246" s="80"/>
      <c r="AC246" s="292"/>
      <c r="AD246" s="132"/>
      <c r="AE246" s="254"/>
      <c r="AF246" s="294"/>
      <c r="AG246" s="292"/>
      <c r="AH246" s="295"/>
      <c r="AI246" s="296"/>
      <c r="AJ246" s="199"/>
      <c r="AK246" s="292"/>
      <c r="AL246" s="298"/>
      <c r="AM246" s="299"/>
      <c r="AN246" s="82"/>
      <c r="AO246" s="292"/>
      <c r="AP246" s="298"/>
      <c r="AQ246" s="299"/>
      <c r="AR246" s="82"/>
      <c r="AS246" s="292"/>
      <c r="AT246" s="298"/>
      <c r="AU246" s="299"/>
      <c r="AV246" s="82"/>
    </row>
    <row r="247">
      <c r="A247" s="292"/>
      <c r="B247" s="132"/>
      <c r="C247" s="121"/>
      <c r="D247" s="82"/>
      <c r="E247" s="292"/>
      <c r="F247" s="132"/>
      <c r="G247" s="121"/>
      <c r="H247" s="82"/>
      <c r="I247" s="292"/>
      <c r="J247" s="132"/>
      <c r="K247" s="121"/>
      <c r="L247" s="82"/>
      <c r="M247" s="292"/>
      <c r="N247" s="132"/>
      <c r="O247" s="121"/>
      <c r="P247" s="82"/>
      <c r="Q247" s="292"/>
      <c r="R247" s="132"/>
      <c r="S247" s="121"/>
      <c r="T247" s="82"/>
      <c r="U247" s="292"/>
      <c r="V247" s="132"/>
      <c r="W247" s="121"/>
      <c r="X247" s="82"/>
      <c r="Y247" s="292"/>
      <c r="Z247" s="300"/>
      <c r="AA247" s="301"/>
      <c r="AB247" s="80"/>
      <c r="AC247" s="292"/>
      <c r="AD247" s="132"/>
      <c r="AE247" s="254"/>
      <c r="AF247" s="294"/>
      <c r="AG247" s="292"/>
      <c r="AH247" s="295"/>
      <c r="AI247" s="296"/>
      <c r="AJ247" s="199"/>
      <c r="AK247" s="292"/>
      <c r="AL247" s="298"/>
      <c r="AM247" s="299"/>
      <c r="AN247" s="82"/>
      <c r="AO247" s="292"/>
      <c r="AP247" s="298"/>
      <c r="AQ247" s="299"/>
      <c r="AR247" s="82"/>
      <c r="AS247" s="292"/>
      <c r="AT247" s="298"/>
      <c r="AU247" s="299"/>
      <c r="AV247" s="82"/>
    </row>
    <row r="248">
      <c r="A248" s="292"/>
      <c r="B248" s="132"/>
      <c r="C248" s="121"/>
      <c r="D248" s="82"/>
      <c r="E248" s="292"/>
      <c r="F248" s="132"/>
      <c r="G248" s="121"/>
      <c r="H248" s="82"/>
      <c r="I248" s="292"/>
      <c r="J248" s="132"/>
      <c r="K248" s="121"/>
      <c r="L248" s="82"/>
      <c r="M248" s="292"/>
      <c r="N248" s="132"/>
      <c r="O248" s="121"/>
      <c r="P248" s="82"/>
      <c r="Q248" s="292"/>
      <c r="R248" s="132"/>
      <c r="S248" s="121"/>
      <c r="T248" s="82"/>
      <c r="U248" s="292"/>
      <c r="V248" s="132"/>
      <c r="W248" s="121"/>
      <c r="X248" s="82"/>
      <c r="Y248" s="292"/>
      <c r="Z248" s="300"/>
      <c r="AA248" s="301"/>
      <c r="AB248" s="80"/>
      <c r="AC248" s="292"/>
      <c r="AD248" s="132"/>
      <c r="AE248" s="254"/>
      <c r="AF248" s="294"/>
      <c r="AG248" s="292"/>
      <c r="AH248" s="302"/>
      <c r="AI248" s="302"/>
      <c r="AJ248" s="302"/>
      <c r="AK248" s="292"/>
      <c r="AL248" s="82"/>
      <c r="AM248" s="82"/>
      <c r="AN248" s="82"/>
      <c r="AO248" s="292"/>
      <c r="AP248" s="82"/>
      <c r="AQ248" s="82"/>
      <c r="AR248" s="82"/>
      <c r="AS248" s="292"/>
      <c r="AT248" s="82"/>
      <c r="AU248" s="82"/>
      <c r="AV248" s="82"/>
    </row>
    <row r="249">
      <c r="A249" s="292"/>
      <c r="B249" s="132"/>
      <c r="C249" s="121"/>
      <c r="D249" s="82"/>
      <c r="E249" s="292"/>
      <c r="F249" s="132"/>
      <c r="G249" s="121"/>
      <c r="H249" s="82"/>
      <c r="I249" s="292"/>
      <c r="J249" s="132"/>
      <c r="K249" s="121"/>
      <c r="L249" s="82"/>
      <c r="M249" s="292"/>
      <c r="N249" s="132"/>
      <c r="O249" s="121"/>
      <c r="P249" s="82"/>
      <c r="Q249" s="292"/>
      <c r="R249" s="132"/>
      <c r="S249" s="121"/>
      <c r="T249" s="82"/>
      <c r="U249" s="292"/>
      <c r="V249" s="132"/>
      <c r="W249" s="121"/>
      <c r="X249" s="82"/>
      <c r="Y249" s="292"/>
      <c r="Z249" s="300"/>
      <c r="AA249" s="301"/>
      <c r="AB249" s="80"/>
      <c r="AC249" s="292"/>
      <c r="AD249" s="132"/>
      <c r="AE249" s="254"/>
      <c r="AF249" s="294"/>
      <c r="AG249" s="292"/>
      <c r="AH249" s="302"/>
      <c r="AI249" s="302"/>
      <c r="AJ249" s="302"/>
      <c r="AK249" s="292"/>
      <c r="AL249" s="82"/>
      <c r="AM249" s="82"/>
      <c r="AN249" s="82"/>
      <c r="AO249" s="292"/>
      <c r="AP249" s="82"/>
      <c r="AQ249" s="82"/>
      <c r="AR249" s="82"/>
      <c r="AS249" s="292"/>
      <c r="AT249" s="82"/>
      <c r="AU249" s="82"/>
      <c r="AV249" s="82"/>
    </row>
    <row r="250">
      <c r="A250" s="292"/>
      <c r="B250" s="132"/>
      <c r="C250" s="121"/>
      <c r="D250" s="82"/>
      <c r="E250" s="292"/>
      <c r="F250" s="132"/>
      <c r="G250" s="121"/>
      <c r="H250" s="82"/>
      <c r="I250" s="292"/>
      <c r="J250" s="132"/>
      <c r="K250" s="121"/>
      <c r="L250" s="82"/>
      <c r="M250" s="292"/>
      <c r="N250" s="132"/>
      <c r="O250" s="121"/>
      <c r="P250" s="82"/>
      <c r="Q250" s="292"/>
      <c r="R250" s="132"/>
      <c r="S250" s="121"/>
      <c r="T250" s="82"/>
      <c r="U250" s="292"/>
      <c r="V250" s="132"/>
      <c r="W250" s="121"/>
      <c r="X250" s="82"/>
      <c r="Y250" s="292"/>
      <c r="Z250" s="300"/>
      <c r="AA250" s="301"/>
      <c r="AB250" s="80"/>
      <c r="AC250" s="292"/>
      <c r="AD250" s="132"/>
      <c r="AE250" s="254"/>
      <c r="AF250" s="294"/>
      <c r="AG250" s="292"/>
      <c r="AH250" s="302"/>
      <c r="AI250" s="302"/>
      <c r="AJ250" s="302"/>
      <c r="AK250" s="292"/>
      <c r="AL250" s="82"/>
      <c r="AM250" s="82"/>
      <c r="AN250" s="82"/>
      <c r="AO250" s="292"/>
      <c r="AP250" s="82"/>
      <c r="AQ250" s="82"/>
      <c r="AR250" s="82"/>
      <c r="AS250" s="292"/>
      <c r="AT250" s="82"/>
      <c r="AU250" s="82"/>
      <c r="AV250" s="82"/>
    </row>
    <row r="251">
      <c r="A251" s="292"/>
      <c r="B251" s="132"/>
      <c r="C251" s="121"/>
      <c r="D251" s="82"/>
      <c r="E251" s="292"/>
      <c r="F251" s="132"/>
      <c r="G251" s="121"/>
      <c r="H251" s="82"/>
      <c r="I251" s="292"/>
      <c r="J251" s="132"/>
      <c r="K251" s="121"/>
      <c r="L251" s="82"/>
      <c r="M251" s="292"/>
      <c r="N251" s="132"/>
      <c r="O251" s="121"/>
      <c r="P251" s="82"/>
      <c r="Q251" s="292"/>
      <c r="R251" s="132"/>
      <c r="S251" s="121"/>
      <c r="T251" s="82"/>
      <c r="U251" s="292"/>
      <c r="V251" s="132"/>
      <c r="W251" s="121"/>
      <c r="X251" s="82"/>
      <c r="Y251" s="292"/>
      <c r="Z251" s="300"/>
      <c r="AA251" s="301"/>
      <c r="AB251" s="80"/>
      <c r="AC251" s="292"/>
      <c r="AD251" s="132"/>
      <c r="AE251" s="254"/>
      <c r="AF251" s="294"/>
      <c r="AG251" s="292"/>
      <c r="AH251" s="302"/>
      <c r="AI251" s="302"/>
      <c r="AJ251" s="302"/>
      <c r="AK251" s="292"/>
      <c r="AL251" s="82"/>
      <c r="AM251" s="82"/>
      <c r="AN251" s="82"/>
      <c r="AO251" s="292"/>
      <c r="AP251" s="82"/>
      <c r="AQ251" s="82"/>
      <c r="AR251" s="82"/>
      <c r="AS251" s="292"/>
      <c r="AT251" s="82"/>
      <c r="AU251" s="82"/>
      <c r="AV251" s="82"/>
    </row>
    <row r="252">
      <c r="A252" s="292"/>
      <c r="B252" s="132"/>
      <c r="C252" s="121"/>
      <c r="D252" s="82"/>
      <c r="E252" s="292"/>
      <c r="F252" s="132"/>
      <c r="G252" s="121"/>
      <c r="H252" s="82"/>
      <c r="I252" s="292"/>
      <c r="J252" s="132"/>
      <c r="K252" s="121"/>
      <c r="L252" s="82"/>
      <c r="M252" s="292"/>
      <c r="N252" s="132"/>
      <c r="O252" s="121"/>
      <c r="P252" s="82"/>
      <c r="Q252" s="292"/>
      <c r="R252" s="132"/>
      <c r="S252" s="121"/>
      <c r="T252" s="82"/>
      <c r="U252" s="292"/>
      <c r="V252" s="132"/>
      <c r="W252" s="121"/>
      <c r="X252" s="82"/>
      <c r="Y252" s="292"/>
      <c r="Z252" s="300"/>
      <c r="AA252" s="301"/>
      <c r="AB252" s="80"/>
      <c r="AC252" s="292"/>
      <c r="AD252" s="132"/>
      <c r="AE252" s="254"/>
      <c r="AF252" s="294"/>
      <c r="AG252" s="292"/>
      <c r="AH252" s="302"/>
      <c r="AI252" s="302"/>
      <c r="AJ252" s="302"/>
      <c r="AK252" s="292"/>
      <c r="AL252" s="82"/>
      <c r="AM252" s="82"/>
      <c r="AN252" s="82"/>
      <c r="AO252" s="292"/>
      <c r="AP252" s="82"/>
      <c r="AQ252" s="82"/>
      <c r="AR252" s="82"/>
      <c r="AS252" s="292"/>
      <c r="AT252" s="82"/>
      <c r="AU252" s="82"/>
      <c r="AV252" s="82"/>
    </row>
    <row r="253">
      <c r="A253" s="292"/>
      <c r="B253" s="132"/>
      <c r="C253" s="121"/>
      <c r="D253" s="82"/>
      <c r="E253" s="292"/>
      <c r="F253" s="132"/>
      <c r="G253" s="121"/>
      <c r="H253" s="82"/>
      <c r="I253" s="292"/>
      <c r="J253" s="132"/>
      <c r="K253" s="121"/>
      <c r="L253" s="82"/>
      <c r="M253" s="292"/>
      <c r="N253" s="132"/>
      <c r="O253" s="121"/>
      <c r="P253" s="82"/>
      <c r="Q253" s="292"/>
      <c r="R253" s="132"/>
      <c r="S253" s="121"/>
      <c r="T253" s="82"/>
      <c r="U253" s="292"/>
      <c r="V253" s="132"/>
      <c r="W253" s="121"/>
      <c r="X253" s="82"/>
      <c r="Y253" s="292"/>
      <c r="Z253" s="300"/>
      <c r="AA253" s="301"/>
      <c r="AB253" s="80"/>
      <c r="AC253" s="292"/>
      <c r="AD253" s="132"/>
      <c r="AE253" s="254"/>
      <c r="AF253" s="294"/>
      <c r="AG253" s="292"/>
      <c r="AH253" s="302"/>
      <c r="AI253" s="302"/>
      <c r="AJ253" s="302"/>
      <c r="AK253" s="292"/>
      <c r="AL253" s="82"/>
      <c r="AM253" s="82"/>
      <c r="AN253" s="82"/>
      <c r="AO253" s="292"/>
      <c r="AP253" s="82"/>
      <c r="AQ253" s="82"/>
      <c r="AR253" s="82"/>
      <c r="AS253" s="292"/>
      <c r="AT253" s="82"/>
      <c r="AU253" s="82"/>
      <c r="AV253" s="82"/>
    </row>
    <row r="254">
      <c r="A254" s="292"/>
      <c r="B254" s="132"/>
      <c r="C254" s="121"/>
      <c r="D254" s="82"/>
      <c r="E254" s="292"/>
      <c r="F254" s="132"/>
      <c r="G254" s="121"/>
      <c r="H254" s="82"/>
      <c r="I254" s="292"/>
      <c r="J254" s="132"/>
      <c r="K254" s="121"/>
      <c r="L254" s="82"/>
      <c r="M254" s="292"/>
      <c r="N254" s="132"/>
      <c r="O254" s="121"/>
      <c r="P254" s="82"/>
      <c r="Q254" s="292"/>
      <c r="R254" s="132"/>
      <c r="S254" s="121"/>
      <c r="T254" s="82"/>
      <c r="U254" s="292"/>
      <c r="V254" s="132"/>
      <c r="W254" s="121"/>
      <c r="X254" s="82"/>
      <c r="Y254" s="292"/>
      <c r="Z254" s="300"/>
      <c r="AA254" s="301"/>
      <c r="AB254" s="80"/>
      <c r="AC254" s="292"/>
      <c r="AD254" s="132"/>
      <c r="AE254" s="254"/>
      <c r="AF254" s="294"/>
      <c r="AG254" s="292"/>
      <c r="AH254" s="302"/>
      <c r="AI254" s="302"/>
      <c r="AJ254" s="302"/>
      <c r="AK254" s="292"/>
      <c r="AL254" s="82"/>
      <c r="AM254" s="82"/>
      <c r="AN254" s="82"/>
      <c r="AO254" s="292"/>
      <c r="AP254" s="82"/>
      <c r="AQ254" s="82"/>
      <c r="AR254" s="82"/>
      <c r="AS254" s="292"/>
      <c r="AT254" s="82"/>
      <c r="AU254" s="82"/>
      <c r="AV254" s="82"/>
    </row>
    <row r="255">
      <c r="A255" s="292"/>
      <c r="B255" s="132"/>
      <c r="C255" s="121"/>
      <c r="D255" s="82"/>
      <c r="E255" s="292"/>
      <c r="F255" s="132"/>
      <c r="G255" s="121"/>
      <c r="H255" s="82"/>
      <c r="I255" s="292"/>
      <c r="J255" s="132"/>
      <c r="K255" s="121"/>
      <c r="L255" s="82"/>
      <c r="M255" s="292"/>
      <c r="N255" s="132"/>
      <c r="O255" s="121"/>
      <c r="P255" s="82"/>
      <c r="Q255" s="292"/>
      <c r="R255" s="132"/>
      <c r="S255" s="121"/>
      <c r="T255" s="82"/>
      <c r="U255" s="292"/>
      <c r="V255" s="132"/>
      <c r="W255" s="121"/>
      <c r="X255" s="82"/>
      <c r="Y255" s="292"/>
      <c r="Z255" s="300"/>
      <c r="AA255" s="301"/>
      <c r="AB255" s="80"/>
      <c r="AC255" s="292"/>
      <c r="AD255" s="132"/>
      <c r="AE255" s="254"/>
      <c r="AF255" s="294"/>
      <c r="AG255" s="292"/>
      <c r="AH255" s="302"/>
      <c r="AI255" s="302"/>
      <c r="AJ255" s="302"/>
      <c r="AK255" s="292"/>
      <c r="AL255" s="82"/>
      <c r="AM255" s="82"/>
      <c r="AN255" s="82"/>
      <c r="AO255" s="292"/>
      <c r="AP255" s="82"/>
      <c r="AQ255" s="82"/>
      <c r="AR255" s="82"/>
      <c r="AS255" s="292"/>
      <c r="AT255" s="82"/>
      <c r="AU255" s="82"/>
      <c r="AV255" s="82"/>
    </row>
    <row r="256">
      <c r="A256" s="292"/>
      <c r="B256" s="132"/>
      <c r="C256" s="121"/>
      <c r="D256" s="82"/>
      <c r="E256" s="292"/>
      <c r="F256" s="132"/>
      <c r="G256" s="121"/>
      <c r="H256" s="82"/>
      <c r="I256" s="292"/>
      <c r="J256" s="132"/>
      <c r="K256" s="121"/>
      <c r="L256" s="82"/>
      <c r="M256" s="292"/>
      <c r="N256" s="132"/>
      <c r="O256" s="121"/>
      <c r="P256" s="82"/>
      <c r="Q256" s="292"/>
      <c r="R256" s="132"/>
      <c r="S256" s="121"/>
      <c r="T256" s="82"/>
      <c r="U256" s="292"/>
      <c r="V256" s="132"/>
      <c r="W256" s="121"/>
      <c r="X256" s="82"/>
      <c r="Y256" s="292"/>
      <c r="Z256" s="300"/>
      <c r="AA256" s="301"/>
      <c r="AB256" s="80"/>
      <c r="AC256" s="292"/>
      <c r="AD256" s="132"/>
      <c r="AE256" s="254"/>
      <c r="AF256" s="294"/>
      <c r="AG256" s="292"/>
      <c r="AH256" s="302"/>
      <c r="AI256" s="302"/>
      <c r="AJ256" s="302"/>
      <c r="AK256" s="292"/>
      <c r="AL256" s="82"/>
      <c r="AM256" s="82"/>
      <c r="AN256" s="82"/>
      <c r="AO256" s="292"/>
      <c r="AP256" s="82"/>
      <c r="AQ256" s="82"/>
      <c r="AR256" s="82"/>
      <c r="AS256" s="292"/>
      <c r="AT256" s="82"/>
      <c r="AU256" s="82"/>
      <c r="AV256" s="82"/>
    </row>
    <row r="257">
      <c r="A257" s="292"/>
      <c r="B257" s="132"/>
      <c r="C257" s="121"/>
      <c r="D257" s="82"/>
      <c r="E257" s="292"/>
      <c r="F257" s="132"/>
      <c r="G257" s="121"/>
      <c r="H257" s="82"/>
      <c r="I257" s="292"/>
      <c r="J257" s="132"/>
      <c r="K257" s="121"/>
      <c r="L257" s="82"/>
      <c r="M257" s="292"/>
      <c r="N257" s="132"/>
      <c r="O257" s="121"/>
      <c r="P257" s="82"/>
      <c r="Q257" s="292"/>
      <c r="R257" s="132"/>
      <c r="S257" s="121"/>
      <c r="T257" s="82"/>
      <c r="U257" s="292"/>
      <c r="V257" s="132"/>
      <c r="W257" s="121"/>
      <c r="X257" s="82"/>
      <c r="Y257" s="292"/>
      <c r="Z257" s="300"/>
      <c r="AA257" s="301"/>
      <c r="AB257" s="80"/>
      <c r="AC257" s="292"/>
      <c r="AD257" s="132"/>
      <c r="AE257" s="254"/>
      <c r="AF257" s="294"/>
      <c r="AG257" s="292"/>
      <c r="AH257" s="302"/>
      <c r="AI257" s="302"/>
      <c r="AJ257" s="302"/>
      <c r="AK257" s="292"/>
      <c r="AL257" s="82"/>
      <c r="AM257" s="82"/>
      <c r="AN257" s="82"/>
      <c r="AO257" s="292"/>
      <c r="AP257" s="82"/>
      <c r="AQ257" s="82"/>
      <c r="AR257" s="82"/>
      <c r="AS257" s="292"/>
      <c r="AT257" s="82"/>
      <c r="AU257" s="82"/>
      <c r="AV257" s="82"/>
    </row>
    <row r="258">
      <c r="A258" s="292"/>
      <c r="B258" s="132"/>
      <c r="C258" s="121"/>
      <c r="D258" s="82"/>
      <c r="E258" s="292"/>
      <c r="F258" s="132"/>
      <c r="G258" s="121"/>
      <c r="H258" s="82"/>
      <c r="I258" s="292"/>
      <c r="J258" s="132"/>
      <c r="K258" s="121"/>
      <c r="L258" s="82"/>
      <c r="M258" s="292"/>
      <c r="N258" s="132"/>
      <c r="O258" s="121"/>
      <c r="P258" s="82"/>
      <c r="Q258" s="292"/>
      <c r="R258" s="132"/>
      <c r="S258" s="121"/>
      <c r="T258" s="82"/>
      <c r="U258" s="292"/>
      <c r="V258" s="132"/>
      <c r="W258" s="121"/>
      <c r="X258" s="82"/>
      <c r="Y258" s="292"/>
      <c r="Z258" s="300"/>
      <c r="AA258" s="301"/>
      <c r="AB258" s="80"/>
      <c r="AC258" s="292"/>
      <c r="AD258" s="132"/>
      <c r="AE258" s="254"/>
      <c r="AF258" s="294"/>
      <c r="AG258" s="292"/>
      <c r="AH258" s="302"/>
      <c r="AI258" s="302"/>
      <c r="AJ258" s="302"/>
      <c r="AK258" s="292"/>
      <c r="AL258" s="82"/>
      <c r="AM258" s="82"/>
      <c r="AN258" s="82"/>
      <c r="AO258" s="292"/>
      <c r="AP258" s="82"/>
      <c r="AQ258" s="82"/>
      <c r="AR258" s="82"/>
      <c r="AS258" s="292"/>
      <c r="AT258" s="82"/>
      <c r="AU258" s="82"/>
      <c r="AV258" s="82"/>
    </row>
    <row r="259">
      <c r="A259" s="292"/>
      <c r="B259" s="132"/>
      <c r="C259" s="121"/>
      <c r="D259" s="82"/>
      <c r="E259" s="292"/>
      <c r="F259" s="132"/>
      <c r="G259" s="121"/>
      <c r="H259" s="82"/>
      <c r="I259" s="292"/>
      <c r="J259" s="132"/>
      <c r="K259" s="121"/>
      <c r="L259" s="82"/>
      <c r="M259" s="292"/>
      <c r="N259" s="132"/>
      <c r="O259" s="121"/>
      <c r="P259" s="82"/>
      <c r="Q259" s="292"/>
      <c r="R259" s="132"/>
      <c r="S259" s="121"/>
      <c r="T259" s="82"/>
      <c r="U259" s="292"/>
      <c r="V259" s="132"/>
      <c r="W259" s="121"/>
      <c r="X259" s="82"/>
      <c r="Y259" s="292"/>
      <c r="Z259" s="300"/>
      <c r="AA259" s="301"/>
      <c r="AB259" s="80"/>
      <c r="AC259" s="292"/>
      <c r="AD259" s="132"/>
      <c r="AE259" s="254"/>
      <c r="AF259" s="294"/>
      <c r="AG259" s="292"/>
      <c r="AH259" s="302"/>
      <c r="AI259" s="302"/>
      <c r="AJ259" s="302"/>
      <c r="AK259" s="292"/>
      <c r="AL259" s="82"/>
      <c r="AM259" s="82"/>
      <c r="AN259" s="82"/>
      <c r="AO259" s="292"/>
      <c r="AP259" s="82"/>
      <c r="AQ259" s="82"/>
      <c r="AR259" s="82"/>
      <c r="AS259" s="292"/>
      <c r="AT259" s="82"/>
      <c r="AU259" s="82"/>
      <c r="AV259" s="82"/>
    </row>
    <row r="260">
      <c r="A260" s="292"/>
      <c r="B260" s="132"/>
      <c r="C260" s="121"/>
      <c r="D260" s="82"/>
      <c r="E260" s="292"/>
      <c r="F260" s="132"/>
      <c r="G260" s="121"/>
      <c r="H260" s="82"/>
      <c r="I260" s="292"/>
      <c r="J260" s="132"/>
      <c r="K260" s="121"/>
      <c r="L260" s="82"/>
      <c r="M260" s="292"/>
      <c r="N260" s="132"/>
      <c r="O260" s="121"/>
      <c r="P260" s="82"/>
      <c r="Q260" s="292"/>
      <c r="R260" s="132"/>
      <c r="S260" s="121"/>
      <c r="T260" s="82"/>
      <c r="U260" s="292"/>
      <c r="V260" s="132"/>
      <c r="W260" s="121"/>
      <c r="X260" s="82"/>
      <c r="Y260" s="292"/>
      <c r="Z260" s="300"/>
      <c r="AA260" s="301"/>
      <c r="AB260" s="80"/>
      <c r="AC260" s="292"/>
      <c r="AD260" s="132"/>
      <c r="AE260" s="254"/>
      <c r="AF260" s="294"/>
      <c r="AG260" s="292"/>
      <c r="AH260" s="302"/>
      <c r="AI260" s="302"/>
      <c r="AJ260" s="302"/>
      <c r="AK260" s="292"/>
      <c r="AL260" s="82"/>
      <c r="AM260" s="82"/>
      <c r="AN260" s="82"/>
      <c r="AO260" s="292"/>
      <c r="AP260" s="82"/>
      <c r="AQ260" s="82"/>
      <c r="AR260" s="82"/>
      <c r="AS260" s="292"/>
      <c r="AT260" s="82"/>
      <c r="AU260" s="82"/>
      <c r="AV260" s="82"/>
    </row>
    <row r="261">
      <c r="A261" s="292"/>
      <c r="B261" s="132"/>
      <c r="C261" s="121"/>
      <c r="D261" s="82"/>
      <c r="E261" s="292"/>
      <c r="F261" s="132"/>
      <c r="G261" s="121"/>
      <c r="H261" s="82"/>
      <c r="I261" s="292"/>
      <c r="J261" s="132"/>
      <c r="K261" s="121"/>
      <c r="L261" s="82"/>
      <c r="M261" s="292"/>
      <c r="N261" s="132"/>
      <c r="O261" s="121"/>
      <c r="P261" s="82"/>
      <c r="Q261" s="292"/>
      <c r="R261" s="132"/>
      <c r="S261" s="121"/>
      <c r="T261" s="82"/>
      <c r="U261" s="292"/>
      <c r="V261" s="132"/>
      <c r="W261" s="121"/>
      <c r="X261" s="82"/>
      <c r="Y261" s="292"/>
      <c r="Z261" s="300"/>
      <c r="AA261" s="301"/>
      <c r="AB261" s="80"/>
      <c r="AC261" s="292"/>
      <c r="AD261" s="132"/>
      <c r="AE261" s="254"/>
      <c r="AF261" s="294"/>
      <c r="AG261" s="292"/>
      <c r="AH261" s="302"/>
      <c r="AI261" s="302"/>
      <c r="AJ261" s="302"/>
      <c r="AK261" s="292"/>
      <c r="AL261" s="82"/>
      <c r="AM261" s="82"/>
      <c r="AN261" s="82"/>
      <c r="AO261" s="292"/>
      <c r="AP261" s="82"/>
      <c r="AQ261" s="82"/>
      <c r="AR261" s="82"/>
      <c r="AS261" s="292"/>
      <c r="AT261" s="82"/>
      <c r="AU261" s="82"/>
      <c r="AV261" s="82"/>
    </row>
    <row r="262">
      <c r="A262" s="292"/>
      <c r="B262" s="132"/>
      <c r="C262" s="121"/>
      <c r="D262" s="82"/>
      <c r="E262" s="292"/>
      <c r="F262" s="132"/>
      <c r="G262" s="121"/>
      <c r="H262" s="82"/>
      <c r="I262" s="292"/>
      <c r="J262" s="132"/>
      <c r="K262" s="121"/>
      <c r="L262" s="82"/>
      <c r="M262" s="292"/>
      <c r="N262" s="132"/>
      <c r="O262" s="121"/>
      <c r="P262" s="82"/>
      <c r="Q262" s="292"/>
      <c r="R262" s="132"/>
      <c r="S262" s="121"/>
      <c r="T262" s="82"/>
      <c r="U262" s="292"/>
      <c r="V262" s="132"/>
      <c r="W262" s="121"/>
      <c r="X262" s="82"/>
      <c r="Y262" s="292"/>
      <c r="Z262" s="300"/>
      <c r="AA262" s="301"/>
      <c r="AB262" s="80"/>
      <c r="AC262" s="292"/>
      <c r="AD262" s="132"/>
      <c r="AE262" s="254"/>
      <c r="AF262" s="294"/>
      <c r="AG262" s="292"/>
      <c r="AH262" s="302"/>
      <c r="AI262" s="302"/>
      <c r="AJ262" s="302"/>
      <c r="AK262" s="292"/>
      <c r="AL262" s="82"/>
      <c r="AM262" s="82"/>
      <c r="AN262" s="82"/>
      <c r="AO262" s="292"/>
      <c r="AP262" s="82"/>
      <c r="AQ262" s="82"/>
      <c r="AR262" s="82"/>
      <c r="AS262" s="292"/>
      <c r="AT262" s="82"/>
      <c r="AU262" s="82"/>
      <c r="AV262" s="82"/>
    </row>
    <row r="263">
      <c r="A263" s="292"/>
      <c r="B263" s="132"/>
      <c r="C263" s="121"/>
      <c r="D263" s="82"/>
      <c r="E263" s="292"/>
      <c r="F263" s="132"/>
      <c r="G263" s="121"/>
      <c r="H263" s="82"/>
      <c r="I263" s="292"/>
      <c r="J263" s="132"/>
      <c r="K263" s="121"/>
      <c r="L263" s="82"/>
      <c r="M263" s="292"/>
      <c r="N263" s="132"/>
      <c r="O263" s="121"/>
      <c r="P263" s="82"/>
      <c r="Q263" s="292"/>
      <c r="R263" s="132"/>
      <c r="S263" s="121"/>
      <c r="T263" s="82"/>
      <c r="U263" s="292"/>
      <c r="V263" s="132"/>
      <c r="W263" s="121"/>
      <c r="X263" s="82"/>
      <c r="Y263" s="292"/>
      <c r="Z263" s="300"/>
      <c r="AA263" s="301"/>
      <c r="AB263" s="80"/>
      <c r="AC263" s="292"/>
      <c r="AD263" s="132"/>
      <c r="AE263" s="254"/>
      <c r="AF263" s="294"/>
      <c r="AG263" s="292"/>
      <c r="AH263" s="302"/>
      <c r="AI263" s="302"/>
      <c r="AJ263" s="302"/>
      <c r="AK263" s="292"/>
      <c r="AL263" s="82"/>
      <c r="AM263" s="82"/>
      <c r="AN263" s="82"/>
      <c r="AO263" s="292"/>
      <c r="AP263" s="82"/>
      <c r="AQ263" s="82"/>
      <c r="AR263" s="82"/>
      <c r="AS263" s="292"/>
      <c r="AT263" s="82"/>
      <c r="AU263" s="82"/>
      <c r="AV263" s="82"/>
    </row>
    <row r="264">
      <c r="A264" s="292"/>
      <c r="B264" s="132"/>
      <c r="C264" s="121"/>
      <c r="D264" s="82"/>
      <c r="E264" s="292"/>
      <c r="F264" s="132"/>
      <c r="G264" s="121"/>
      <c r="H264" s="82"/>
      <c r="I264" s="292"/>
      <c r="J264" s="132"/>
      <c r="K264" s="121"/>
      <c r="L264" s="82"/>
      <c r="M264" s="292"/>
      <c r="N264" s="132"/>
      <c r="O264" s="121"/>
      <c r="P264" s="82"/>
      <c r="Q264" s="292"/>
      <c r="R264" s="132"/>
      <c r="S264" s="121"/>
      <c r="T264" s="82"/>
      <c r="U264" s="292"/>
      <c r="V264" s="132"/>
      <c r="W264" s="121"/>
      <c r="X264" s="82"/>
      <c r="Y264" s="292"/>
      <c r="Z264" s="300"/>
      <c r="AA264" s="301"/>
      <c r="AB264" s="80"/>
      <c r="AC264" s="292"/>
      <c r="AD264" s="132"/>
      <c r="AE264" s="254"/>
      <c r="AF264" s="294"/>
      <c r="AG264" s="292"/>
      <c r="AH264" s="302"/>
      <c r="AI264" s="302"/>
      <c r="AJ264" s="302"/>
      <c r="AK264" s="292"/>
      <c r="AL264" s="82"/>
      <c r="AM264" s="82"/>
      <c r="AN264" s="82"/>
      <c r="AO264" s="292"/>
      <c r="AP264" s="82"/>
      <c r="AQ264" s="82"/>
      <c r="AR264" s="82"/>
      <c r="AS264" s="292"/>
      <c r="AT264" s="82"/>
      <c r="AU264" s="82"/>
      <c r="AV264" s="82"/>
    </row>
    <row r="265">
      <c r="A265" s="292"/>
      <c r="B265" s="132"/>
      <c r="C265" s="121"/>
      <c r="D265" s="82"/>
      <c r="E265" s="292"/>
      <c r="F265" s="132"/>
      <c r="G265" s="121"/>
      <c r="H265" s="82"/>
      <c r="I265" s="292"/>
      <c r="J265" s="132"/>
      <c r="K265" s="121"/>
      <c r="L265" s="82"/>
      <c r="M265" s="292"/>
      <c r="N265" s="132"/>
      <c r="O265" s="121"/>
      <c r="P265" s="82"/>
      <c r="Q265" s="292"/>
      <c r="R265" s="132"/>
      <c r="S265" s="121"/>
      <c r="T265" s="82"/>
      <c r="U265" s="292"/>
      <c r="V265" s="132"/>
      <c r="W265" s="121"/>
      <c r="X265" s="82"/>
      <c r="Y265" s="292"/>
      <c r="Z265" s="300"/>
      <c r="AA265" s="301"/>
      <c r="AB265" s="80"/>
      <c r="AC265" s="292"/>
      <c r="AD265" s="132"/>
      <c r="AE265" s="254"/>
      <c r="AF265" s="294"/>
      <c r="AG265" s="292"/>
      <c r="AH265" s="302"/>
      <c r="AI265" s="302"/>
      <c r="AJ265" s="302"/>
      <c r="AK265" s="292"/>
      <c r="AL265" s="82"/>
      <c r="AM265" s="82"/>
      <c r="AN265" s="82"/>
      <c r="AO265" s="292"/>
      <c r="AP265" s="82"/>
      <c r="AQ265" s="82"/>
      <c r="AR265" s="82"/>
      <c r="AS265" s="292"/>
      <c r="AT265" s="82"/>
      <c r="AU265" s="82"/>
      <c r="AV265" s="82"/>
    </row>
    <row r="266">
      <c r="A266" s="292"/>
      <c r="B266" s="132"/>
      <c r="C266" s="121"/>
      <c r="D266" s="82"/>
      <c r="E266" s="292"/>
      <c r="F266" s="132"/>
      <c r="G266" s="121"/>
      <c r="H266" s="82"/>
      <c r="I266" s="292"/>
      <c r="J266" s="132"/>
      <c r="K266" s="121"/>
      <c r="L266" s="82"/>
      <c r="M266" s="292"/>
      <c r="N266" s="132"/>
      <c r="O266" s="121"/>
      <c r="P266" s="82"/>
      <c r="Q266" s="292"/>
      <c r="R266" s="132"/>
      <c r="S266" s="121"/>
      <c r="T266" s="82"/>
      <c r="U266" s="292"/>
      <c r="V266" s="132"/>
      <c r="W266" s="121"/>
      <c r="X266" s="82"/>
      <c r="Y266" s="292"/>
      <c r="Z266" s="300"/>
      <c r="AA266" s="301"/>
      <c r="AB266" s="80"/>
      <c r="AC266" s="292"/>
      <c r="AD266" s="132"/>
      <c r="AE266" s="254"/>
      <c r="AF266" s="294"/>
      <c r="AG266" s="292"/>
      <c r="AH266" s="302"/>
      <c r="AI266" s="302"/>
      <c r="AJ266" s="302"/>
      <c r="AK266" s="292"/>
      <c r="AL266" s="82"/>
      <c r="AM266" s="82"/>
      <c r="AN266" s="82"/>
      <c r="AO266" s="292"/>
      <c r="AP266" s="82"/>
      <c r="AQ266" s="82"/>
      <c r="AR266" s="82"/>
      <c r="AS266" s="292"/>
      <c r="AT266" s="82"/>
      <c r="AU266" s="82"/>
      <c r="AV266" s="82"/>
    </row>
    <row r="267">
      <c r="A267" s="292"/>
      <c r="B267" s="132"/>
      <c r="C267" s="121"/>
      <c r="D267" s="82"/>
      <c r="E267" s="292"/>
      <c r="F267" s="132"/>
      <c r="G267" s="121"/>
      <c r="H267" s="82"/>
      <c r="I267" s="292"/>
      <c r="J267" s="132"/>
      <c r="K267" s="121"/>
      <c r="L267" s="82"/>
      <c r="M267" s="292"/>
      <c r="N267" s="132"/>
      <c r="O267" s="121"/>
      <c r="P267" s="82"/>
      <c r="Q267" s="292"/>
      <c r="R267" s="132"/>
      <c r="S267" s="121"/>
      <c r="T267" s="82"/>
      <c r="U267" s="292"/>
      <c r="V267" s="132"/>
      <c r="W267" s="121"/>
      <c r="X267" s="82"/>
      <c r="Y267" s="292"/>
      <c r="Z267" s="300"/>
      <c r="AA267" s="301"/>
      <c r="AB267" s="80"/>
      <c r="AC267" s="292"/>
      <c r="AD267" s="132"/>
      <c r="AE267" s="254"/>
      <c r="AF267" s="294"/>
      <c r="AG267" s="292"/>
      <c r="AH267" s="302"/>
      <c r="AI267" s="302"/>
      <c r="AJ267" s="302"/>
      <c r="AK267" s="292"/>
      <c r="AL267" s="82"/>
      <c r="AM267" s="82"/>
      <c r="AN267" s="82"/>
      <c r="AO267" s="292"/>
      <c r="AP267" s="82"/>
      <c r="AQ267" s="82"/>
      <c r="AR267" s="82"/>
      <c r="AS267" s="292"/>
      <c r="AT267" s="82"/>
      <c r="AU267" s="82"/>
      <c r="AV267" s="82"/>
    </row>
    <row r="268">
      <c r="A268" s="292"/>
      <c r="B268" s="132"/>
      <c r="C268" s="121"/>
      <c r="D268" s="82"/>
      <c r="E268" s="292"/>
      <c r="F268" s="132"/>
      <c r="G268" s="121"/>
      <c r="H268" s="82"/>
      <c r="I268" s="292"/>
      <c r="J268" s="132"/>
      <c r="K268" s="121"/>
      <c r="L268" s="82"/>
      <c r="M268" s="292"/>
      <c r="N268" s="132"/>
      <c r="O268" s="121"/>
      <c r="P268" s="82"/>
      <c r="Q268" s="292"/>
      <c r="R268" s="132"/>
      <c r="S268" s="121"/>
      <c r="T268" s="82"/>
      <c r="U268" s="292"/>
      <c r="V268" s="132"/>
      <c r="W268" s="121"/>
      <c r="X268" s="82"/>
      <c r="Y268" s="292"/>
      <c r="Z268" s="300"/>
      <c r="AA268" s="301"/>
      <c r="AB268" s="80"/>
      <c r="AC268" s="292"/>
      <c r="AD268" s="132"/>
      <c r="AE268" s="254"/>
      <c r="AF268" s="294"/>
      <c r="AG268" s="292"/>
      <c r="AH268" s="302"/>
      <c r="AI268" s="302"/>
      <c r="AJ268" s="302"/>
      <c r="AK268" s="292"/>
      <c r="AL268" s="82"/>
      <c r="AM268" s="82"/>
      <c r="AN268" s="82"/>
      <c r="AO268" s="292"/>
      <c r="AP268" s="82"/>
      <c r="AQ268" s="82"/>
      <c r="AR268" s="82"/>
      <c r="AS268" s="292"/>
      <c r="AT268" s="82"/>
      <c r="AU268" s="82"/>
      <c r="AV268" s="82"/>
    </row>
    <row r="269">
      <c r="A269" s="292"/>
      <c r="B269" s="132"/>
      <c r="C269" s="121"/>
      <c r="D269" s="82"/>
      <c r="E269" s="292"/>
      <c r="F269" s="132"/>
      <c r="G269" s="121"/>
      <c r="H269" s="82"/>
      <c r="I269" s="292"/>
      <c r="J269" s="132"/>
      <c r="K269" s="121"/>
      <c r="L269" s="82"/>
      <c r="M269" s="292"/>
      <c r="N269" s="132"/>
      <c r="O269" s="121"/>
      <c r="P269" s="82"/>
      <c r="Q269" s="292"/>
      <c r="R269" s="132"/>
      <c r="S269" s="121"/>
      <c r="T269" s="82"/>
      <c r="U269" s="292"/>
      <c r="V269" s="132"/>
      <c r="W269" s="121"/>
      <c r="X269" s="82"/>
      <c r="Y269" s="292"/>
      <c r="Z269" s="300"/>
      <c r="AA269" s="301"/>
      <c r="AB269" s="80"/>
      <c r="AC269" s="292"/>
      <c r="AD269" s="132"/>
      <c r="AE269" s="254"/>
      <c r="AF269" s="294"/>
      <c r="AG269" s="292"/>
      <c r="AH269" s="302"/>
      <c r="AI269" s="302"/>
      <c r="AJ269" s="302"/>
      <c r="AK269" s="292"/>
      <c r="AL269" s="82"/>
      <c r="AM269" s="82"/>
      <c r="AN269" s="82"/>
      <c r="AO269" s="292"/>
      <c r="AP269" s="82"/>
      <c r="AQ269" s="82"/>
      <c r="AR269" s="82"/>
      <c r="AS269" s="292"/>
      <c r="AT269" s="82"/>
      <c r="AU269" s="82"/>
      <c r="AV269" s="82"/>
    </row>
    <row r="270">
      <c r="A270" s="292"/>
      <c r="B270" s="132"/>
      <c r="C270" s="121"/>
      <c r="D270" s="82"/>
      <c r="E270" s="292"/>
      <c r="F270" s="132"/>
      <c r="G270" s="121"/>
      <c r="H270" s="82"/>
      <c r="I270" s="292"/>
      <c r="J270" s="132"/>
      <c r="K270" s="121"/>
      <c r="L270" s="82"/>
      <c r="M270" s="292"/>
      <c r="N270" s="132"/>
      <c r="O270" s="121"/>
      <c r="P270" s="82"/>
      <c r="Q270" s="292"/>
      <c r="R270" s="132"/>
      <c r="S270" s="121"/>
      <c r="T270" s="82"/>
      <c r="U270" s="292"/>
      <c r="V270" s="132"/>
      <c r="W270" s="121"/>
      <c r="X270" s="82"/>
      <c r="Y270" s="292"/>
      <c r="Z270" s="300"/>
      <c r="AA270" s="301"/>
      <c r="AB270" s="80"/>
      <c r="AC270" s="292"/>
      <c r="AD270" s="132"/>
      <c r="AE270" s="254"/>
      <c r="AF270" s="294"/>
      <c r="AG270" s="292"/>
      <c r="AH270" s="302"/>
      <c r="AI270" s="302"/>
      <c r="AJ270" s="302"/>
      <c r="AK270" s="292"/>
      <c r="AL270" s="82"/>
      <c r="AM270" s="82"/>
      <c r="AN270" s="82"/>
      <c r="AO270" s="292"/>
      <c r="AP270" s="82"/>
      <c r="AQ270" s="82"/>
      <c r="AR270" s="82"/>
      <c r="AS270" s="292"/>
      <c r="AT270" s="82"/>
      <c r="AU270" s="82"/>
      <c r="AV270" s="82"/>
    </row>
    <row r="271">
      <c r="A271" s="292"/>
      <c r="B271" s="132"/>
      <c r="C271" s="121"/>
      <c r="D271" s="82"/>
      <c r="E271" s="292"/>
      <c r="F271" s="132"/>
      <c r="G271" s="121"/>
      <c r="H271" s="82"/>
      <c r="I271" s="292"/>
      <c r="J271" s="132"/>
      <c r="K271" s="121"/>
      <c r="L271" s="82"/>
      <c r="M271" s="292"/>
      <c r="N271" s="132"/>
      <c r="O271" s="121"/>
      <c r="P271" s="82"/>
      <c r="Q271" s="292"/>
      <c r="R271" s="132"/>
      <c r="S271" s="121"/>
      <c r="T271" s="82"/>
      <c r="U271" s="292"/>
      <c r="V271" s="132"/>
      <c r="W271" s="121"/>
      <c r="X271" s="82"/>
      <c r="Y271" s="292"/>
      <c r="Z271" s="300"/>
      <c r="AA271" s="301"/>
      <c r="AB271" s="80"/>
      <c r="AC271" s="292"/>
      <c r="AD271" s="132"/>
      <c r="AE271" s="254"/>
      <c r="AF271" s="294"/>
      <c r="AG271" s="292"/>
      <c r="AH271" s="302"/>
      <c r="AI271" s="302"/>
      <c r="AJ271" s="302"/>
      <c r="AK271" s="292"/>
      <c r="AL271" s="82"/>
      <c r="AM271" s="82"/>
      <c r="AN271" s="82"/>
      <c r="AO271" s="292"/>
      <c r="AP271" s="82"/>
      <c r="AQ271" s="82"/>
      <c r="AR271" s="82"/>
      <c r="AS271" s="292"/>
      <c r="AT271" s="82"/>
      <c r="AU271" s="82"/>
      <c r="AV271" s="82"/>
    </row>
    <row r="272">
      <c r="A272" s="292"/>
      <c r="B272" s="132"/>
      <c r="C272" s="121"/>
      <c r="D272" s="82"/>
      <c r="E272" s="292"/>
      <c r="F272" s="132"/>
      <c r="G272" s="121"/>
      <c r="H272" s="82"/>
      <c r="I272" s="292"/>
      <c r="J272" s="132"/>
      <c r="K272" s="121"/>
      <c r="L272" s="82"/>
      <c r="M272" s="292"/>
      <c r="N272" s="132"/>
      <c r="O272" s="121"/>
      <c r="P272" s="82"/>
      <c r="Q272" s="292"/>
      <c r="R272" s="132"/>
      <c r="S272" s="121"/>
      <c r="T272" s="82"/>
      <c r="U272" s="292"/>
      <c r="V272" s="132"/>
      <c r="W272" s="121"/>
      <c r="X272" s="82"/>
      <c r="Y272" s="292"/>
      <c r="Z272" s="300"/>
      <c r="AA272" s="301"/>
      <c r="AB272" s="80"/>
      <c r="AC272" s="292"/>
      <c r="AD272" s="132"/>
      <c r="AE272" s="254"/>
      <c r="AF272" s="294"/>
      <c r="AG272" s="292"/>
      <c r="AH272" s="302"/>
      <c r="AI272" s="302"/>
      <c r="AJ272" s="302"/>
      <c r="AK272" s="292"/>
      <c r="AL272" s="82"/>
      <c r="AM272" s="82"/>
      <c r="AN272" s="82"/>
      <c r="AO272" s="292"/>
      <c r="AP272" s="82"/>
      <c r="AQ272" s="82"/>
      <c r="AR272" s="82"/>
      <c r="AS272" s="292"/>
      <c r="AT272" s="82"/>
      <c r="AU272" s="82"/>
      <c r="AV272" s="82"/>
    </row>
    <row r="273">
      <c r="A273" s="292"/>
      <c r="B273" s="132"/>
      <c r="C273" s="121"/>
      <c r="D273" s="82"/>
      <c r="E273" s="292"/>
      <c r="F273" s="132"/>
      <c r="G273" s="121"/>
      <c r="H273" s="82"/>
      <c r="I273" s="292"/>
      <c r="J273" s="132"/>
      <c r="K273" s="121"/>
      <c r="L273" s="82"/>
      <c r="M273" s="292"/>
      <c r="N273" s="132"/>
      <c r="O273" s="121"/>
      <c r="P273" s="82"/>
      <c r="Q273" s="292"/>
      <c r="R273" s="132"/>
      <c r="S273" s="121"/>
      <c r="T273" s="82"/>
      <c r="U273" s="292"/>
      <c r="V273" s="132"/>
      <c r="W273" s="121"/>
      <c r="X273" s="82"/>
      <c r="Y273" s="292"/>
      <c r="Z273" s="300"/>
      <c r="AA273" s="301"/>
      <c r="AB273" s="80"/>
      <c r="AC273" s="292"/>
      <c r="AD273" s="132"/>
      <c r="AE273" s="254"/>
      <c r="AF273" s="294"/>
      <c r="AG273" s="292"/>
      <c r="AH273" s="302"/>
      <c r="AI273" s="302"/>
      <c r="AJ273" s="302"/>
      <c r="AK273" s="292"/>
      <c r="AL273" s="82"/>
      <c r="AM273" s="82"/>
      <c r="AN273" s="82"/>
      <c r="AO273" s="292"/>
      <c r="AP273" s="82"/>
      <c r="AQ273" s="82"/>
      <c r="AR273" s="82"/>
      <c r="AS273" s="292"/>
      <c r="AT273" s="82"/>
      <c r="AU273" s="82"/>
      <c r="AV273" s="82"/>
    </row>
    <row r="274">
      <c r="A274" s="292"/>
      <c r="B274" s="132"/>
      <c r="C274" s="121"/>
      <c r="D274" s="82"/>
      <c r="E274" s="292"/>
      <c r="F274" s="132"/>
      <c r="G274" s="121"/>
      <c r="H274" s="82"/>
      <c r="I274" s="292"/>
      <c r="J274" s="132"/>
      <c r="K274" s="121"/>
      <c r="L274" s="82"/>
      <c r="M274" s="292"/>
      <c r="N274" s="132"/>
      <c r="O274" s="121"/>
      <c r="P274" s="82"/>
      <c r="Q274" s="292"/>
      <c r="R274" s="132"/>
      <c r="S274" s="121"/>
      <c r="T274" s="82"/>
      <c r="U274" s="292"/>
      <c r="V274" s="132"/>
      <c r="W274" s="121"/>
      <c r="X274" s="82"/>
      <c r="Y274" s="292"/>
      <c r="Z274" s="300"/>
      <c r="AA274" s="301"/>
      <c r="AB274" s="80"/>
      <c r="AC274" s="292"/>
      <c r="AD274" s="132"/>
      <c r="AE274" s="254"/>
      <c r="AF274" s="294"/>
      <c r="AG274" s="292"/>
      <c r="AH274" s="302"/>
      <c r="AI274" s="302"/>
      <c r="AJ274" s="302"/>
      <c r="AK274" s="292"/>
      <c r="AL274" s="82"/>
      <c r="AM274" s="82"/>
      <c r="AN274" s="82"/>
      <c r="AO274" s="292"/>
      <c r="AP274" s="82"/>
      <c r="AQ274" s="82"/>
      <c r="AR274" s="82"/>
      <c r="AS274" s="292"/>
      <c r="AT274" s="82"/>
      <c r="AU274" s="82"/>
      <c r="AV274" s="82"/>
    </row>
    <row r="275">
      <c r="A275" s="292"/>
      <c r="B275" s="132"/>
      <c r="C275" s="121"/>
      <c r="D275" s="82"/>
      <c r="E275" s="292"/>
      <c r="F275" s="132"/>
      <c r="G275" s="121"/>
      <c r="H275" s="82"/>
      <c r="I275" s="292"/>
      <c r="J275" s="132"/>
      <c r="K275" s="121"/>
      <c r="L275" s="82"/>
      <c r="M275" s="292"/>
      <c r="N275" s="132"/>
      <c r="O275" s="121"/>
      <c r="P275" s="82"/>
      <c r="Q275" s="292"/>
      <c r="R275" s="132"/>
      <c r="S275" s="121"/>
      <c r="T275" s="82"/>
      <c r="U275" s="292"/>
      <c r="V275" s="132"/>
      <c r="W275" s="121"/>
      <c r="X275" s="82"/>
      <c r="Y275" s="292"/>
      <c r="Z275" s="300"/>
      <c r="AA275" s="301"/>
      <c r="AB275" s="80"/>
      <c r="AC275" s="292"/>
      <c r="AD275" s="132"/>
      <c r="AE275" s="254"/>
      <c r="AF275" s="294"/>
      <c r="AG275" s="292"/>
      <c r="AH275" s="302"/>
      <c r="AI275" s="302"/>
      <c r="AJ275" s="302"/>
      <c r="AK275" s="292"/>
      <c r="AL275" s="82"/>
      <c r="AM275" s="82"/>
      <c r="AN275" s="82"/>
      <c r="AO275" s="292"/>
      <c r="AP275" s="82"/>
      <c r="AQ275" s="82"/>
      <c r="AR275" s="82"/>
      <c r="AS275" s="292"/>
      <c r="AT275" s="82"/>
      <c r="AU275" s="82"/>
      <c r="AV275" s="82"/>
    </row>
    <row r="276">
      <c r="A276" s="292"/>
      <c r="B276" s="132"/>
      <c r="C276" s="121"/>
      <c r="D276" s="82"/>
      <c r="E276" s="292"/>
      <c r="F276" s="132"/>
      <c r="G276" s="121"/>
      <c r="H276" s="82"/>
      <c r="I276" s="292"/>
      <c r="J276" s="132"/>
      <c r="K276" s="121"/>
      <c r="L276" s="82"/>
      <c r="M276" s="292"/>
      <c r="N276" s="132"/>
      <c r="O276" s="121"/>
      <c r="P276" s="82"/>
      <c r="Q276" s="292"/>
      <c r="R276" s="132"/>
      <c r="S276" s="121"/>
      <c r="T276" s="82"/>
      <c r="U276" s="292"/>
      <c r="V276" s="132"/>
      <c r="W276" s="121"/>
      <c r="X276" s="82"/>
      <c r="Y276" s="292"/>
      <c r="Z276" s="300"/>
      <c r="AA276" s="301"/>
      <c r="AB276" s="80"/>
      <c r="AC276" s="292"/>
      <c r="AD276" s="132"/>
      <c r="AE276" s="254"/>
      <c r="AF276" s="294"/>
      <c r="AG276" s="292"/>
      <c r="AH276" s="302"/>
      <c r="AI276" s="302"/>
      <c r="AJ276" s="302"/>
      <c r="AK276" s="292"/>
      <c r="AL276" s="82"/>
      <c r="AM276" s="82"/>
      <c r="AN276" s="82"/>
      <c r="AO276" s="292"/>
      <c r="AP276" s="82"/>
      <c r="AQ276" s="82"/>
      <c r="AR276" s="82"/>
      <c r="AS276" s="292"/>
      <c r="AT276" s="82"/>
      <c r="AU276" s="82"/>
      <c r="AV276" s="82"/>
    </row>
    <row r="277">
      <c r="A277" s="292"/>
      <c r="B277" s="132"/>
      <c r="C277" s="121"/>
      <c r="D277" s="82"/>
      <c r="E277" s="292"/>
      <c r="F277" s="132"/>
      <c r="G277" s="121"/>
      <c r="H277" s="82"/>
      <c r="I277" s="292"/>
      <c r="J277" s="132"/>
      <c r="K277" s="121"/>
      <c r="L277" s="82"/>
      <c r="M277" s="292"/>
      <c r="N277" s="132"/>
      <c r="O277" s="121"/>
      <c r="P277" s="82"/>
      <c r="Q277" s="292"/>
      <c r="R277" s="132"/>
      <c r="S277" s="121"/>
      <c r="T277" s="82"/>
      <c r="U277" s="292"/>
      <c r="V277" s="132"/>
      <c r="W277" s="121"/>
      <c r="X277" s="82"/>
      <c r="Y277" s="292"/>
      <c r="Z277" s="300"/>
      <c r="AA277" s="301"/>
      <c r="AB277" s="80"/>
      <c r="AC277" s="292"/>
      <c r="AD277" s="132"/>
      <c r="AE277" s="254"/>
      <c r="AF277" s="294"/>
      <c r="AG277" s="292"/>
      <c r="AH277" s="302"/>
      <c r="AI277" s="302"/>
      <c r="AJ277" s="302"/>
      <c r="AK277" s="292"/>
      <c r="AL277" s="82"/>
      <c r="AM277" s="82"/>
      <c r="AN277" s="82"/>
      <c r="AO277" s="292"/>
      <c r="AP277" s="82"/>
      <c r="AQ277" s="82"/>
      <c r="AR277" s="82"/>
      <c r="AS277" s="292"/>
      <c r="AT277" s="82"/>
      <c r="AU277" s="82"/>
      <c r="AV277" s="82"/>
    </row>
    <row r="278">
      <c r="A278" s="292"/>
      <c r="B278" s="132"/>
      <c r="C278" s="121"/>
      <c r="D278" s="82"/>
      <c r="E278" s="292"/>
      <c r="F278" s="132"/>
      <c r="G278" s="121"/>
      <c r="H278" s="82"/>
      <c r="I278" s="292"/>
      <c r="J278" s="132"/>
      <c r="K278" s="121"/>
      <c r="L278" s="82"/>
      <c r="M278" s="292"/>
      <c r="N278" s="132"/>
      <c r="O278" s="121"/>
      <c r="P278" s="82"/>
      <c r="Q278" s="292"/>
      <c r="R278" s="132"/>
      <c r="S278" s="121"/>
      <c r="T278" s="82"/>
      <c r="U278" s="292"/>
      <c r="V278" s="132"/>
      <c r="W278" s="121"/>
      <c r="X278" s="82"/>
      <c r="Y278" s="292"/>
      <c r="Z278" s="300"/>
      <c r="AA278" s="301"/>
      <c r="AB278" s="80"/>
      <c r="AC278" s="292"/>
      <c r="AD278" s="132"/>
      <c r="AE278" s="254"/>
      <c r="AF278" s="294"/>
      <c r="AG278" s="292"/>
      <c r="AH278" s="302"/>
      <c r="AI278" s="302"/>
      <c r="AJ278" s="302"/>
      <c r="AK278" s="292"/>
      <c r="AL278" s="82"/>
      <c r="AM278" s="82"/>
      <c r="AN278" s="82"/>
      <c r="AO278" s="292"/>
      <c r="AP278" s="82"/>
      <c r="AQ278" s="82"/>
      <c r="AR278" s="82"/>
      <c r="AS278" s="292"/>
      <c r="AT278" s="82"/>
      <c r="AU278" s="82"/>
      <c r="AV278" s="82"/>
    </row>
    <row r="279">
      <c r="A279" s="292"/>
      <c r="B279" s="132"/>
      <c r="C279" s="121"/>
      <c r="D279" s="82"/>
      <c r="E279" s="292"/>
      <c r="F279" s="132"/>
      <c r="G279" s="121"/>
      <c r="H279" s="82"/>
      <c r="I279" s="292"/>
      <c r="J279" s="132"/>
      <c r="K279" s="121"/>
      <c r="L279" s="82"/>
      <c r="M279" s="292"/>
      <c r="N279" s="132"/>
      <c r="O279" s="121"/>
      <c r="P279" s="82"/>
      <c r="Q279" s="292"/>
      <c r="R279" s="132"/>
      <c r="S279" s="121"/>
      <c r="T279" s="82"/>
      <c r="U279" s="292"/>
      <c r="V279" s="132"/>
      <c r="W279" s="121"/>
      <c r="X279" s="82"/>
      <c r="Y279" s="292"/>
      <c r="Z279" s="300"/>
      <c r="AA279" s="301"/>
      <c r="AB279" s="80"/>
      <c r="AC279" s="292"/>
      <c r="AD279" s="132"/>
      <c r="AE279" s="254"/>
      <c r="AF279" s="294"/>
      <c r="AG279" s="292"/>
      <c r="AH279" s="302"/>
      <c r="AI279" s="302"/>
      <c r="AJ279" s="302"/>
      <c r="AK279" s="292"/>
      <c r="AL279" s="82"/>
      <c r="AM279" s="82"/>
      <c r="AN279" s="82"/>
      <c r="AO279" s="292"/>
      <c r="AP279" s="82"/>
      <c r="AQ279" s="82"/>
      <c r="AR279" s="82"/>
      <c r="AS279" s="292"/>
      <c r="AT279" s="82"/>
      <c r="AU279" s="82"/>
      <c r="AV279" s="82"/>
    </row>
    <row r="280">
      <c r="A280" s="292"/>
      <c r="B280" s="132"/>
      <c r="C280" s="121"/>
      <c r="D280" s="82"/>
      <c r="E280" s="292"/>
      <c r="F280" s="132"/>
      <c r="G280" s="121"/>
      <c r="H280" s="82"/>
      <c r="I280" s="292"/>
      <c r="J280" s="132"/>
      <c r="K280" s="121"/>
      <c r="L280" s="82"/>
      <c r="M280" s="292"/>
      <c r="N280" s="132"/>
      <c r="O280" s="121"/>
      <c r="P280" s="82"/>
      <c r="Q280" s="292"/>
      <c r="R280" s="132"/>
      <c r="S280" s="121"/>
      <c r="T280" s="82"/>
      <c r="U280" s="292"/>
      <c r="V280" s="132"/>
      <c r="W280" s="121"/>
      <c r="X280" s="82"/>
      <c r="Y280" s="292"/>
      <c r="Z280" s="300"/>
      <c r="AA280" s="301"/>
      <c r="AB280" s="80"/>
      <c r="AC280" s="292"/>
      <c r="AD280" s="132"/>
      <c r="AE280" s="254"/>
      <c r="AF280" s="294"/>
      <c r="AG280" s="292"/>
      <c r="AH280" s="302"/>
      <c r="AI280" s="302"/>
      <c r="AJ280" s="302"/>
      <c r="AK280" s="292"/>
      <c r="AL280" s="82"/>
      <c r="AM280" s="82"/>
      <c r="AN280" s="82"/>
      <c r="AO280" s="292"/>
      <c r="AP280" s="82"/>
      <c r="AQ280" s="82"/>
      <c r="AR280" s="82"/>
      <c r="AS280" s="292"/>
      <c r="AT280" s="82"/>
      <c r="AU280" s="82"/>
      <c r="AV280" s="82"/>
    </row>
    <row r="281">
      <c r="A281" s="292"/>
      <c r="B281" s="132"/>
      <c r="C281" s="121"/>
      <c r="D281" s="82"/>
      <c r="E281" s="292"/>
      <c r="F281" s="132"/>
      <c r="G281" s="121"/>
      <c r="H281" s="82"/>
      <c r="I281" s="292"/>
      <c r="J281" s="132"/>
      <c r="K281" s="121"/>
      <c r="L281" s="82"/>
      <c r="M281" s="292"/>
      <c r="N281" s="132"/>
      <c r="O281" s="121"/>
      <c r="P281" s="82"/>
      <c r="Q281" s="292"/>
      <c r="R281" s="132"/>
      <c r="S281" s="121"/>
      <c r="T281" s="82"/>
      <c r="U281" s="292"/>
      <c r="V281" s="132"/>
      <c r="W281" s="121"/>
      <c r="X281" s="82"/>
      <c r="Y281" s="292"/>
      <c r="Z281" s="300"/>
      <c r="AA281" s="301"/>
      <c r="AB281" s="80"/>
      <c r="AC281" s="292"/>
      <c r="AD281" s="132"/>
      <c r="AE281" s="254"/>
      <c r="AF281" s="294"/>
      <c r="AG281" s="292"/>
      <c r="AH281" s="302"/>
      <c r="AI281" s="302"/>
      <c r="AJ281" s="302"/>
      <c r="AK281" s="292"/>
      <c r="AL281" s="82"/>
      <c r="AM281" s="82"/>
      <c r="AN281" s="82"/>
      <c r="AO281" s="292"/>
      <c r="AP281" s="82"/>
      <c r="AQ281" s="82"/>
      <c r="AR281" s="82"/>
      <c r="AS281" s="292"/>
      <c r="AT281" s="82"/>
      <c r="AU281" s="82"/>
      <c r="AV281" s="82"/>
    </row>
    <row r="282">
      <c r="A282" s="292"/>
      <c r="B282" s="132"/>
      <c r="C282" s="121"/>
      <c r="D282" s="82"/>
      <c r="E282" s="292"/>
      <c r="F282" s="132"/>
      <c r="G282" s="121"/>
      <c r="H282" s="82"/>
      <c r="I282" s="292"/>
      <c r="J282" s="132"/>
      <c r="K282" s="121"/>
      <c r="L282" s="82"/>
      <c r="M282" s="292"/>
      <c r="N282" s="132"/>
      <c r="O282" s="121"/>
      <c r="P282" s="82"/>
      <c r="Q282" s="292"/>
      <c r="R282" s="132"/>
      <c r="S282" s="121"/>
      <c r="T282" s="82"/>
      <c r="U282" s="292"/>
      <c r="V282" s="132"/>
      <c r="W282" s="121"/>
      <c r="X282" s="82"/>
      <c r="Y282" s="292"/>
      <c r="Z282" s="300"/>
      <c r="AA282" s="301"/>
      <c r="AB282" s="80"/>
      <c r="AC282" s="292"/>
      <c r="AD282" s="132"/>
      <c r="AE282" s="254"/>
      <c r="AF282" s="294"/>
      <c r="AG282" s="292"/>
      <c r="AH282" s="302"/>
      <c r="AI282" s="302"/>
      <c r="AJ282" s="302"/>
      <c r="AK282" s="292"/>
      <c r="AL282" s="82"/>
      <c r="AM282" s="82"/>
      <c r="AN282" s="82"/>
      <c r="AO282" s="292"/>
      <c r="AP282" s="82"/>
      <c r="AQ282" s="82"/>
      <c r="AR282" s="82"/>
      <c r="AS282" s="292"/>
      <c r="AT282" s="82"/>
      <c r="AU282" s="82"/>
      <c r="AV282" s="82"/>
    </row>
    <row r="283">
      <c r="A283" s="292"/>
      <c r="B283" s="132"/>
      <c r="C283" s="121"/>
      <c r="D283" s="82"/>
      <c r="E283" s="292"/>
      <c r="F283" s="132"/>
      <c r="G283" s="121"/>
      <c r="H283" s="82"/>
      <c r="I283" s="292"/>
      <c r="J283" s="132"/>
      <c r="K283" s="121"/>
      <c r="L283" s="82"/>
      <c r="M283" s="292"/>
      <c r="N283" s="132"/>
      <c r="O283" s="121"/>
      <c r="P283" s="82"/>
      <c r="Q283" s="292"/>
      <c r="R283" s="132"/>
      <c r="S283" s="121"/>
      <c r="T283" s="82"/>
      <c r="U283" s="292"/>
      <c r="V283" s="132"/>
      <c r="W283" s="121"/>
      <c r="X283" s="82"/>
      <c r="Y283" s="292"/>
      <c r="Z283" s="300"/>
      <c r="AA283" s="301"/>
      <c r="AB283" s="80"/>
      <c r="AC283" s="292"/>
      <c r="AD283" s="132"/>
      <c r="AE283" s="254"/>
      <c r="AF283" s="294"/>
      <c r="AG283" s="292"/>
      <c r="AH283" s="302"/>
      <c r="AI283" s="302"/>
      <c r="AJ283" s="302"/>
      <c r="AK283" s="292"/>
      <c r="AL283" s="82"/>
      <c r="AM283" s="82"/>
      <c r="AN283" s="82"/>
      <c r="AO283" s="292"/>
      <c r="AP283" s="82"/>
      <c r="AQ283" s="82"/>
      <c r="AR283" s="82"/>
      <c r="AS283" s="292"/>
      <c r="AT283" s="82"/>
      <c r="AU283" s="82"/>
      <c r="AV283" s="82"/>
    </row>
    <row r="284">
      <c r="A284" s="292"/>
      <c r="B284" s="132"/>
      <c r="C284" s="121"/>
      <c r="D284" s="82"/>
      <c r="E284" s="292"/>
      <c r="F284" s="132"/>
      <c r="G284" s="121"/>
      <c r="H284" s="82"/>
      <c r="I284" s="292"/>
      <c r="J284" s="132"/>
      <c r="K284" s="121"/>
      <c r="L284" s="82"/>
      <c r="M284" s="292"/>
      <c r="N284" s="132"/>
      <c r="O284" s="121"/>
      <c r="P284" s="82"/>
      <c r="Q284" s="292"/>
      <c r="R284" s="132"/>
      <c r="S284" s="121"/>
      <c r="T284" s="82"/>
      <c r="U284" s="292"/>
      <c r="V284" s="132"/>
      <c r="W284" s="121"/>
      <c r="X284" s="82"/>
      <c r="Y284" s="292"/>
      <c r="Z284" s="300"/>
      <c r="AA284" s="301"/>
      <c r="AB284" s="80"/>
      <c r="AC284" s="292"/>
      <c r="AD284" s="132"/>
      <c r="AE284" s="254"/>
      <c r="AF284" s="294"/>
      <c r="AG284" s="292"/>
      <c r="AH284" s="302"/>
      <c r="AI284" s="302"/>
      <c r="AJ284" s="302"/>
      <c r="AK284" s="292"/>
      <c r="AL284" s="82"/>
      <c r="AM284" s="82"/>
      <c r="AN284" s="82"/>
      <c r="AO284" s="292"/>
      <c r="AP284" s="82"/>
      <c r="AQ284" s="82"/>
      <c r="AR284" s="82"/>
      <c r="AS284" s="292"/>
      <c r="AT284" s="82"/>
      <c r="AU284" s="82"/>
      <c r="AV284" s="82"/>
    </row>
    <row r="285">
      <c r="A285" s="292"/>
      <c r="B285" s="132"/>
      <c r="C285" s="121"/>
      <c r="D285" s="82"/>
      <c r="E285" s="292"/>
      <c r="F285" s="132"/>
      <c r="G285" s="121"/>
      <c r="H285" s="82"/>
      <c r="I285" s="292"/>
      <c r="J285" s="132"/>
      <c r="K285" s="121"/>
      <c r="L285" s="82"/>
      <c r="M285" s="292"/>
      <c r="N285" s="132"/>
      <c r="O285" s="121"/>
      <c r="P285" s="82"/>
      <c r="Q285" s="292"/>
      <c r="R285" s="132"/>
      <c r="S285" s="121"/>
      <c r="T285" s="82"/>
      <c r="U285" s="292"/>
      <c r="V285" s="132"/>
      <c r="W285" s="121"/>
      <c r="X285" s="82"/>
      <c r="Y285" s="292"/>
      <c r="Z285" s="300"/>
      <c r="AA285" s="301"/>
      <c r="AB285" s="80"/>
      <c r="AC285" s="292"/>
      <c r="AD285" s="132"/>
      <c r="AE285" s="254"/>
      <c r="AF285" s="294"/>
      <c r="AG285" s="292"/>
      <c r="AH285" s="302"/>
      <c r="AI285" s="302"/>
      <c r="AJ285" s="302"/>
      <c r="AK285" s="292"/>
      <c r="AL285" s="82"/>
      <c r="AM285" s="82"/>
      <c r="AN285" s="82"/>
      <c r="AO285" s="292"/>
      <c r="AP285" s="82"/>
      <c r="AQ285" s="82"/>
      <c r="AR285" s="82"/>
      <c r="AS285" s="292"/>
      <c r="AT285" s="82"/>
      <c r="AU285" s="82"/>
      <c r="AV285" s="82"/>
    </row>
    <row r="286">
      <c r="A286" s="292"/>
      <c r="B286" s="132"/>
      <c r="C286" s="121"/>
      <c r="D286" s="82"/>
      <c r="E286" s="292"/>
      <c r="F286" s="132"/>
      <c r="G286" s="121"/>
      <c r="H286" s="82"/>
      <c r="I286" s="292"/>
      <c r="J286" s="132"/>
      <c r="K286" s="121"/>
      <c r="L286" s="82"/>
      <c r="M286" s="292"/>
      <c r="N286" s="132"/>
      <c r="O286" s="121"/>
      <c r="P286" s="82"/>
      <c r="Q286" s="292"/>
      <c r="R286" s="132"/>
      <c r="S286" s="121"/>
      <c r="T286" s="82"/>
      <c r="U286" s="292"/>
      <c r="V286" s="132"/>
      <c r="W286" s="121"/>
      <c r="X286" s="82"/>
      <c r="Y286" s="292"/>
      <c r="Z286" s="300"/>
      <c r="AA286" s="301"/>
      <c r="AB286" s="80"/>
      <c r="AC286" s="292"/>
      <c r="AD286" s="132"/>
      <c r="AE286" s="254"/>
      <c r="AF286" s="294"/>
      <c r="AG286" s="292"/>
      <c r="AH286" s="302"/>
      <c r="AI286" s="302"/>
      <c r="AJ286" s="302"/>
      <c r="AK286" s="292"/>
      <c r="AL286" s="82"/>
      <c r="AM286" s="82"/>
      <c r="AN286" s="82"/>
      <c r="AO286" s="292"/>
      <c r="AP286" s="82"/>
      <c r="AQ286" s="82"/>
      <c r="AR286" s="82"/>
      <c r="AS286" s="292"/>
      <c r="AT286" s="82"/>
      <c r="AU286" s="82"/>
      <c r="AV286" s="82"/>
    </row>
    <row r="287">
      <c r="A287" s="292"/>
      <c r="B287" s="132"/>
      <c r="C287" s="121"/>
      <c r="D287" s="82"/>
      <c r="E287" s="292"/>
      <c r="F287" s="132"/>
      <c r="G287" s="121"/>
      <c r="H287" s="82"/>
      <c r="I287" s="292"/>
      <c r="J287" s="132"/>
      <c r="K287" s="121"/>
      <c r="L287" s="82"/>
      <c r="M287" s="292"/>
      <c r="N287" s="132"/>
      <c r="O287" s="121"/>
      <c r="P287" s="82"/>
      <c r="Q287" s="292"/>
      <c r="R287" s="132"/>
      <c r="S287" s="121"/>
      <c r="T287" s="82"/>
      <c r="U287" s="292"/>
      <c r="V287" s="132"/>
      <c r="W287" s="121"/>
      <c r="X287" s="82"/>
      <c r="Y287" s="292"/>
      <c r="Z287" s="300"/>
      <c r="AA287" s="301"/>
      <c r="AB287" s="80"/>
      <c r="AC287" s="292"/>
      <c r="AD287" s="132"/>
      <c r="AE287" s="254"/>
      <c r="AF287" s="294"/>
      <c r="AG287" s="292"/>
      <c r="AH287" s="302"/>
      <c r="AI287" s="302"/>
      <c r="AJ287" s="302"/>
      <c r="AK287" s="292"/>
      <c r="AL287" s="82"/>
      <c r="AM287" s="82"/>
      <c r="AN287" s="82"/>
      <c r="AO287" s="292"/>
      <c r="AP287" s="82"/>
      <c r="AQ287" s="82"/>
      <c r="AR287" s="82"/>
      <c r="AS287" s="292"/>
      <c r="AT287" s="82"/>
      <c r="AU287" s="82"/>
      <c r="AV287" s="82"/>
    </row>
    <row r="288">
      <c r="A288" s="292"/>
      <c r="B288" s="132"/>
      <c r="C288" s="121"/>
      <c r="D288" s="82"/>
      <c r="E288" s="292"/>
      <c r="F288" s="132"/>
      <c r="G288" s="121"/>
      <c r="H288" s="82"/>
      <c r="I288" s="292"/>
      <c r="J288" s="132"/>
      <c r="K288" s="121"/>
      <c r="L288" s="82"/>
      <c r="M288" s="292"/>
      <c r="N288" s="132"/>
      <c r="O288" s="121"/>
      <c r="P288" s="82"/>
      <c r="Q288" s="292"/>
      <c r="R288" s="132"/>
      <c r="S288" s="121"/>
      <c r="T288" s="82"/>
      <c r="U288" s="292"/>
      <c r="V288" s="132"/>
      <c r="W288" s="121"/>
      <c r="X288" s="82"/>
      <c r="Y288" s="292"/>
      <c r="Z288" s="300"/>
      <c r="AA288" s="301"/>
      <c r="AB288" s="80"/>
      <c r="AC288" s="292"/>
      <c r="AD288" s="132"/>
      <c r="AE288" s="254"/>
      <c r="AF288" s="294"/>
      <c r="AG288" s="292"/>
      <c r="AH288" s="302"/>
      <c r="AI288" s="302"/>
      <c r="AJ288" s="302"/>
      <c r="AK288" s="292"/>
      <c r="AL288" s="82"/>
      <c r="AM288" s="82"/>
      <c r="AN288" s="82"/>
      <c r="AO288" s="292"/>
      <c r="AP288" s="82"/>
      <c r="AQ288" s="82"/>
      <c r="AR288" s="82"/>
      <c r="AS288" s="292"/>
      <c r="AT288" s="82"/>
      <c r="AU288" s="82"/>
      <c r="AV288" s="82"/>
    </row>
    <row r="289">
      <c r="A289" s="292"/>
      <c r="B289" s="132"/>
      <c r="C289" s="121"/>
      <c r="D289" s="82"/>
      <c r="E289" s="292"/>
      <c r="F289" s="132"/>
      <c r="G289" s="121"/>
      <c r="H289" s="82"/>
      <c r="I289" s="292"/>
      <c r="J289" s="132"/>
      <c r="K289" s="121"/>
      <c r="L289" s="82"/>
      <c r="M289" s="292"/>
      <c r="N289" s="132"/>
      <c r="O289" s="121"/>
      <c r="P289" s="82"/>
      <c r="Q289" s="292"/>
      <c r="R289" s="132"/>
      <c r="S289" s="121"/>
      <c r="T289" s="82"/>
      <c r="U289" s="292"/>
      <c r="V289" s="132"/>
      <c r="W289" s="121"/>
      <c r="X289" s="82"/>
      <c r="Y289" s="292"/>
      <c r="Z289" s="300"/>
      <c r="AA289" s="301"/>
      <c r="AB289" s="80"/>
      <c r="AC289" s="292"/>
      <c r="AD289" s="132"/>
      <c r="AE289" s="254"/>
      <c r="AF289" s="294"/>
      <c r="AG289" s="292"/>
      <c r="AH289" s="302"/>
      <c r="AI289" s="302"/>
      <c r="AJ289" s="302"/>
      <c r="AK289" s="292"/>
      <c r="AL289" s="82"/>
      <c r="AM289" s="82"/>
      <c r="AN289" s="82"/>
      <c r="AO289" s="292"/>
      <c r="AP289" s="82"/>
      <c r="AQ289" s="82"/>
      <c r="AR289" s="82"/>
      <c r="AS289" s="292"/>
      <c r="AT289" s="82"/>
      <c r="AU289" s="82"/>
      <c r="AV289" s="82"/>
    </row>
    <row r="290">
      <c r="A290" s="292"/>
      <c r="B290" s="132"/>
      <c r="C290" s="121"/>
      <c r="D290" s="82"/>
      <c r="E290" s="292"/>
      <c r="F290" s="132"/>
      <c r="G290" s="121"/>
      <c r="H290" s="82"/>
      <c r="I290" s="292"/>
      <c r="J290" s="132"/>
      <c r="K290" s="121"/>
      <c r="L290" s="82"/>
      <c r="M290" s="292"/>
      <c r="N290" s="132"/>
      <c r="O290" s="121"/>
      <c r="P290" s="82"/>
      <c r="Q290" s="292"/>
      <c r="R290" s="132"/>
      <c r="S290" s="121"/>
      <c r="T290" s="82"/>
      <c r="U290" s="292"/>
      <c r="V290" s="132"/>
      <c r="W290" s="121"/>
      <c r="X290" s="82"/>
      <c r="Y290" s="292"/>
      <c r="Z290" s="300"/>
      <c r="AA290" s="301"/>
      <c r="AB290" s="80"/>
      <c r="AC290" s="292"/>
      <c r="AD290" s="132"/>
      <c r="AE290" s="254"/>
      <c r="AF290" s="294"/>
      <c r="AG290" s="292"/>
      <c r="AH290" s="302"/>
      <c r="AI290" s="302"/>
      <c r="AJ290" s="302"/>
      <c r="AK290" s="292"/>
      <c r="AL290" s="82"/>
      <c r="AM290" s="82"/>
      <c r="AN290" s="82"/>
      <c r="AO290" s="292"/>
      <c r="AP290" s="82"/>
      <c r="AQ290" s="82"/>
      <c r="AR290" s="82"/>
      <c r="AS290" s="292"/>
      <c r="AT290" s="82"/>
      <c r="AU290" s="82"/>
      <c r="AV290" s="82"/>
    </row>
    <row r="291">
      <c r="A291" s="292"/>
      <c r="B291" s="132"/>
      <c r="C291" s="121"/>
      <c r="D291" s="82"/>
      <c r="E291" s="292"/>
      <c r="F291" s="132"/>
      <c r="G291" s="121"/>
      <c r="H291" s="82"/>
      <c r="I291" s="292"/>
      <c r="J291" s="132"/>
      <c r="K291" s="121"/>
      <c r="L291" s="82"/>
      <c r="M291" s="292"/>
      <c r="N291" s="132"/>
      <c r="O291" s="121"/>
      <c r="P291" s="82"/>
      <c r="Q291" s="292"/>
      <c r="R291" s="132"/>
      <c r="S291" s="121"/>
      <c r="T291" s="82"/>
      <c r="U291" s="292"/>
      <c r="V291" s="132"/>
      <c r="W291" s="121"/>
      <c r="X291" s="82"/>
      <c r="Y291" s="292"/>
      <c r="Z291" s="300"/>
      <c r="AA291" s="301"/>
      <c r="AB291" s="80"/>
      <c r="AC291" s="292"/>
      <c r="AD291" s="132"/>
      <c r="AE291" s="254"/>
      <c r="AF291" s="294"/>
      <c r="AG291" s="292"/>
      <c r="AH291" s="302"/>
      <c r="AI291" s="302"/>
      <c r="AJ291" s="302"/>
      <c r="AK291" s="292"/>
      <c r="AL291" s="82"/>
      <c r="AM291" s="82"/>
      <c r="AN291" s="82"/>
      <c r="AO291" s="292"/>
      <c r="AP291" s="82"/>
      <c r="AQ291" s="82"/>
      <c r="AR291" s="82"/>
      <c r="AS291" s="292"/>
      <c r="AT291" s="82"/>
      <c r="AU291" s="82"/>
      <c r="AV291" s="82"/>
    </row>
    <row r="292">
      <c r="A292" s="292"/>
      <c r="B292" s="132"/>
      <c r="C292" s="121"/>
      <c r="D292" s="82"/>
      <c r="E292" s="292"/>
      <c r="F292" s="132"/>
      <c r="G292" s="121"/>
      <c r="H292" s="82"/>
      <c r="I292" s="292"/>
      <c r="J292" s="132"/>
      <c r="K292" s="121"/>
      <c r="L292" s="82"/>
      <c r="M292" s="292"/>
      <c r="N292" s="132"/>
      <c r="O292" s="121"/>
      <c r="P292" s="82"/>
      <c r="Q292" s="292"/>
      <c r="R292" s="132"/>
      <c r="S292" s="121"/>
      <c r="T292" s="82"/>
      <c r="U292" s="292"/>
      <c r="V292" s="132"/>
      <c r="W292" s="121"/>
      <c r="X292" s="82"/>
      <c r="Y292" s="292"/>
      <c r="Z292" s="300"/>
      <c r="AA292" s="301"/>
      <c r="AB292" s="80"/>
      <c r="AC292" s="292"/>
      <c r="AD292" s="132"/>
      <c r="AE292" s="254"/>
      <c r="AF292" s="294"/>
      <c r="AG292" s="292"/>
      <c r="AH292" s="302"/>
      <c r="AI292" s="302"/>
      <c r="AJ292" s="302"/>
      <c r="AK292" s="292"/>
      <c r="AL292" s="82"/>
      <c r="AM292" s="82"/>
      <c r="AN292" s="82"/>
      <c r="AO292" s="292"/>
      <c r="AP292" s="82"/>
      <c r="AQ292" s="82"/>
      <c r="AR292" s="82"/>
      <c r="AS292" s="292"/>
      <c r="AT292" s="82"/>
      <c r="AU292" s="82"/>
      <c r="AV292" s="82"/>
    </row>
    <row r="293">
      <c r="A293" s="292"/>
      <c r="B293" s="132"/>
      <c r="C293" s="121"/>
      <c r="D293" s="82"/>
      <c r="E293" s="292"/>
      <c r="F293" s="132"/>
      <c r="G293" s="121"/>
      <c r="H293" s="82"/>
      <c r="I293" s="292"/>
      <c r="J293" s="132"/>
      <c r="K293" s="121"/>
      <c r="L293" s="82"/>
      <c r="M293" s="292"/>
      <c r="N293" s="132"/>
      <c r="O293" s="121"/>
      <c r="P293" s="82"/>
      <c r="Q293" s="292"/>
      <c r="R293" s="132"/>
      <c r="S293" s="121"/>
      <c r="T293" s="82"/>
      <c r="U293" s="292"/>
      <c r="V293" s="132"/>
      <c r="W293" s="121"/>
      <c r="X293" s="82"/>
      <c r="Y293" s="292"/>
      <c r="Z293" s="300"/>
      <c r="AA293" s="301"/>
      <c r="AB293" s="80"/>
      <c r="AC293" s="292"/>
      <c r="AD293" s="132"/>
      <c r="AE293" s="254"/>
      <c r="AF293" s="294"/>
      <c r="AG293" s="292"/>
      <c r="AH293" s="302"/>
      <c r="AI293" s="302"/>
      <c r="AJ293" s="302"/>
      <c r="AK293" s="292"/>
      <c r="AL293" s="82"/>
      <c r="AM293" s="82"/>
      <c r="AN293" s="82"/>
      <c r="AO293" s="292"/>
      <c r="AP293" s="82"/>
      <c r="AQ293" s="82"/>
      <c r="AR293" s="82"/>
      <c r="AS293" s="292"/>
      <c r="AT293" s="82"/>
      <c r="AU293" s="82"/>
      <c r="AV293" s="82"/>
    </row>
    <row r="294">
      <c r="A294" s="292"/>
      <c r="B294" s="132"/>
      <c r="C294" s="121"/>
      <c r="D294" s="82"/>
      <c r="E294" s="292"/>
      <c r="F294" s="132"/>
      <c r="G294" s="121"/>
      <c r="H294" s="82"/>
      <c r="I294" s="292"/>
      <c r="J294" s="132"/>
      <c r="K294" s="121"/>
      <c r="L294" s="82"/>
      <c r="M294" s="292"/>
      <c r="N294" s="132"/>
      <c r="O294" s="121"/>
      <c r="P294" s="82"/>
      <c r="Q294" s="292"/>
      <c r="R294" s="132"/>
      <c r="S294" s="121"/>
      <c r="T294" s="82"/>
      <c r="U294" s="292"/>
      <c r="V294" s="132"/>
      <c r="W294" s="121"/>
      <c r="X294" s="82"/>
      <c r="Y294" s="292"/>
      <c r="Z294" s="300"/>
      <c r="AA294" s="301"/>
      <c r="AB294" s="80"/>
      <c r="AC294" s="292"/>
      <c r="AD294" s="132"/>
      <c r="AE294" s="254"/>
      <c r="AF294" s="294"/>
      <c r="AG294" s="292"/>
      <c r="AH294" s="302"/>
      <c r="AI294" s="302"/>
      <c r="AJ294" s="302"/>
      <c r="AK294" s="292"/>
      <c r="AL294" s="82"/>
      <c r="AM294" s="82"/>
      <c r="AN294" s="82"/>
      <c r="AO294" s="292"/>
      <c r="AP294" s="82"/>
      <c r="AQ294" s="82"/>
      <c r="AR294" s="82"/>
      <c r="AS294" s="292"/>
      <c r="AT294" s="82"/>
      <c r="AU294" s="82"/>
      <c r="AV294" s="82"/>
    </row>
    <row r="295">
      <c r="A295" s="292"/>
      <c r="B295" s="132"/>
      <c r="C295" s="121"/>
      <c r="D295" s="82"/>
      <c r="E295" s="292"/>
      <c r="F295" s="132"/>
      <c r="G295" s="121"/>
      <c r="H295" s="82"/>
      <c r="I295" s="292"/>
      <c r="J295" s="132"/>
      <c r="K295" s="121"/>
      <c r="L295" s="82"/>
      <c r="M295" s="292"/>
      <c r="N295" s="132"/>
      <c r="O295" s="121"/>
      <c r="P295" s="82"/>
      <c r="Q295" s="292"/>
      <c r="R295" s="132"/>
      <c r="S295" s="121"/>
      <c r="T295" s="82"/>
      <c r="U295" s="292"/>
      <c r="V295" s="132"/>
      <c r="W295" s="121"/>
      <c r="X295" s="82"/>
      <c r="Y295" s="292"/>
      <c r="Z295" s="300"/>
      <c r="AA295" s="301"/>
      <c r="AB295" s="80"/>
      <c r="AC295" s="292"/>
      <c r="AD295" s="132"/>
      <c r="AE295" s="254"/>
      <c r="AF295" s="294"/>
      <c r="AG295" s="292"/>
      <c r="AH295" s="302"/>
      <c r="AI295" s="302"/>
      <c r="AJ295" s="302"/>
      <c r="AK295" s="292"/>
      <c r="AL295" s="82"/>
      <c r="AM295" s="82"/>
      <c r="AN295" s="82"/>
      <c r="AO295" s="292"/>
      <c r="AP295" s="82"/>
      <c r="AQ295" s="82"/>
      <c r="AR295" s="82"/>
      <c r="AS295" s="292"/>
      <c r="AT295" s="82"/>
      <c r="AU295" s="82"/>
      <c r="AV295" s="82"/>
    </row>
    <row r="296">
      <c r="A296" s="292"/>
      <c r="B296" s="132"/>
      <c r="C296" s="121"/>
      <c r="D296" s="82"/>
      <c r="E296" s="292"/>
      <c r="F296" s="132"/>
      <c r="G296" s="121"/>
      <c r="H296" s="82"/>
      <c r="I296" s="292"/>
      <c r="J296" s="132"/>
      <c r="K296" s="121"/>
      <c r="L296" s="82"/>
      <c r="M296" s="292"/>
      <c r="N296" s="132"/>
      <c r="O296" s="121"/>
      <c r="P296" s="82"/>
      <c r="Q296" s="292"/>
      <c r="R296" s="132"/>
      <c r="S296" s="121"/>
      <c r="T296" s="82"/>
      <c r="U296" s="292"/>
      <c r="V296" s="132"/>
      <c r="W296" s="121"/>
      <c r="X296" s="82"/>
      <c r="Y296" s="292"/>
      <c r="Z296" s="300"/>
      <c r="AA296" s="301"/>
      <c r="AB296" s="80"/>
      <c r="AC296" s="292"/>
      <c r="AD296" s="132"/>
      <c r="AE296" s="254"/>
      <c r="AF296" s="294"/>
      <c r="AG296" s="292"/>
      <c r="AH296" s="302"/>
      <c r="AI296" s="302"/>
      <c r="AJ296" s="302"/>
      <c r="AK296" s="292"/>
      <c r="AL296" s="82"/>
      <c r="AM296" s="82"/>
      <c r="AN296" s="82"/>
      <c r="AO296" s="292"/>
      <c r="AP296" s="82"/>
      <c r="AQ296" s="82"/>
      <c r="AR296" s="82"/>
      <c r="AS296" s="292"/>
      <c r="AT296" s="82"/>
      <c r="AU296" s="82"/>
      <c r="AV296" s="82"/>
    </row>
    <row r="297">
      <c r="A297" s="292"/>
      <c r="B297" s="132"/>
      <c r="C297" s="121"/>
      <c r="D297" s="82"/>
      <c r="E297" s="292"/>
      <c r="F297" s="132"/>
      <c r="G297" s="121"/>
      <c r="H297" s="82"/>
      <c r="I297" s="292"/>
      <c r="J297" s="132"/>
      <c r="K297" s="121"/>
      <c r="L297" s="82"/>
      <c r="M297" s="292"/>
      <c r="N297" s="132"/>
      <c r="O297" s="121"/>
      <c r="P297" s="82"/>
      <c r="Q297" s="292"/>
      <c r="R297" s="132"/>
      <c r="S297" s="121"/>
      <c r="T297" s="82"/>
      <c r="U297" s="292"/>
      <c r="V297" s="132"/>
      <c r="W297" s="121"/>
      <c r="X297" s="82"/>
      <c r="Y297" s="292"/>
      <c r="Z297" s="300"/>
      <c r="AA297" s="301"/>
      <c r="AB297" s="80"/>
      <c r="AC297" s="292"/>
      <c r="AD297" s="132"/>
      <c r="AE297" s="254"/>
      <c r="AF297" s="294"/>
      <c r="AG297" s="292"/>
      <c r="AH297" s="302"/>
      <c r="AI297" s="302"/>
      <c r="AJ297" s="302"/>
      <c r="AK297" s="292"/>
      <c r="AL297" s="82"/>
      <c r="AM297" s="82"/>
      <c r="AN297" s="82"/>
      <c r="AO297" s="292"/>
      <c r="AP297" s="82"/>
      <c r="AQ297" s="82"/>
      <c r="AR297" s="82"/>
      <c r="AS297" s="292"/>
      <c r="AT297" s="82"/>
      <c r="AU297" s="82"/>
      <c r="AV297" s="82"/>
    </row>
    <row r="298">
      <c r="A298" s="292"/>
      <c r="B298" s="132"/>
      <c r="C298" s="121"/>
      <c r="D298" s="82"/>
      <c r="E298" s="292"/>
      <c r="F298" s="132"/>
      <c r="G298" s="121"/>
      <c r="H298" s="82"/>
      <c r="I298" s="292"/>
      <c r="J298" s="132"/>
      <c r="K298" s="121"/>
      <c r="L298" s="82"/>
      <c r="M298" s="292"/>
      <c r="N298" s="132"/>
      <c r="O298" s="121"/>
      <c r="P298" s="82"/>
      <c r="Q298" s="292"/>
      <c r="R298" s="132"/>
      <c r="S298" s="121"/>
      <c r="T298" s="82"/>
      <c r="U298" s="292"/>
      <c r="V298" s="132"/>
      <c r="W298" s="121"/>
      <c r="X298" s="82"/>
      <c r="Y298" s="292"/>
      <c r="Z298" s="300"/>
      <c r="AA298" s="301"/>
      <c r="AB298" s="80"/>
      <c r="AC298" s="292"/>
      <c r="AD298" s="132"/>
      <c r="AE298" s="254"/>
      <c r="AF298" s="294"/>
      <c r="AG298" s="292"/>
      <c r="AH298" s="302"/>
      <c r="AI298" s="302"/>
      <c r="AJ298" s="302"/>
      <c r="AK298" s="292"/>
      <c r="AL298" s="82"/>
      <c r="AM298" s="82"/>
      <c r="AN298" s="82"/>
      <c r="AO298" s="292"/>
      <c r="AP298" s="82"/>
      <c r="AQ298" s="82"/>
      <c r="AR298" s="82"/>
      <c r="AS298" s="292"/>
      <c r="AT298" s="82"/>
      <c r="AU298" s="82"/>
      <c r="AV298" s="82"/>
    </row>
    <row r="299">
      <c r="A299" s="292"/>
      <c r="B299" s="132"/>
      <c r="C299" s="121"/>
      <c r="D299" s="82"/>
      <c r="E299" s="292"/>
      <c r="F299" s="132"/>
      <c r="G299" s="121"/>
      <c r="H299" s="82"/>
      <c r="I299" s="292"/>
      <c r="J299" s="132"/>
      <c r="K299" s="121"/>
      <c r="L299" s="82"/>
      <c r="M299" s="292"/>
      <c r="N299" s="132"/>
      <c r="O299" s="121"/>
      <c r="P299" s="82"/>
      <c r="Q299" s="292"/>
      <c r="R299" s="132"/>
      <c r="S299" s="121"/>
      <c r="T299" s="82"/>
      <c r="U299" s="292"/>
      <c r="V299" s="132"/>
      <c r="W299" s="121"/>
      <c r="X299" s="82"/>
      <c r="Y299" s="292"/>
      <c r="Z299" s="300"/>
      <c r="AA299" s="301"/>
      <c r="AB299" s="80"/>
      <c r="AC299" s="292"/>
      <c r="AD299" s="132"/>
      <c r="AE299" s="254"/>
      <c r="AF299" s="294"/>
      <c r="AG299" s="292"/>
      <c r="AH299" s="302"/>
      <c r="AI299" s="302"/>
      <c r="AJ299" s="302"/>
      <c r="AK299" s="292"/>
      <c r="AL299" s="82"/>
      <c r="AM299" s="82"/>
      <c r="AN299" s="82"/>
      <c r="AO299" s="292"/>
      <c r="AP299" s="82"/>
      <c r="AQ299" s="82"/>
      <c r="AR299" s="82"/>
      <c r="AS299" s="292"/>
      <c r="AT299" s="82"/>
      <c r="AU299" s="82"/>
      <c r="AV299" s="82"/>
    </row>
    <row r="300">
      <c r="A300" s="292"/>
      <c r="B300" s="132"/>
      <c r="C300" s="121"/>
      <c r="D300" s="82"/>
      <c r="E300" s="292"/>
      <c r="F300" s="132"/>
      <c r="G300" s="121"/>
      <c r="H300" s="82"/>
      <c r="I300" s="292"/>
      <c r="J300" s="132"/>
      <c r="K300" s="121"/>
      <c r="L300" s="82"/>
      <c r="M300" s="292"/>
      <c r="N300" s="132"/>
      <c r="O300" s="121"/>
      <c r="P300" s="82"/>
      <c r="Q300" s="292"/>
      <c r="R300" s="132"/>
      <c r="S300" s="121"/>
      <c r="T300" s="82"/>
      <c r="U300" s="292"/>
      <c r="V300" s="132"/>
      <c r="W300" s="121"/>
      <c r="X300" s="82"/>
      <c r="Y300" s="292"/>
      <c r="Z300" s="300"/>
      <c r="AA300" s="301"/>
      <c r="AB300" s="80"/>
      <c r="AC300" s="292"/>
      <c r="AD300" s="132"/>
      <c r="AE300" s="254"/>
      <c r="AF300" s="294"/>
      <c r="AG300" s="292"/>
      <c r="AH300" s="302"/>
      <c r="AI300" s="302"/>
      <c r="AJ300" s="302"/>
      <c r="AK300" s="292"/>
      <c r="AL300" s="82"/>
      <c r="AM300" s="82"/>
      <c r="AN300" s="82"/>
      <c r="AO300" s="292"/>
      <c r="AP300" s="82"/>
      <c r="AQ300" s="82"/>
      <c r="AR300" s="82"/>
      <c r="AS300" s="292"/>
      <c r="AT300" s="82"/>
      <c r="AU300" s="82"/>
      <c r="AV300" s="82"/>
    </row>
    <row r="301">
      <c r="A301" s="292"/>
      <c r="B301" s="132"/>
      <c r="C301" s="121"/>
      <c r="D301" s="82"/>
      <c r="E301" s="292"/>
      <c r="F301" s="132"/>
      <c r="G301" s="121"/>
      <c r="H301" s="82"/>
      <c r="I301" s="292"/>
      <c r="J301" s="132"/>
      <c r="K301" s="121"/>
      <c r="L301" s="82"/>
      <c r="M301" s="292"/>
      <c r="N301" s="132"/>
      <c r="O301" s="121"/>
      <c r="P301" s="82"/>
      <c r="Q301" s="292"/>
      <c r="R301" s="132"/>
      <c r="S301" s="121"/>
      <c r="T301" s="82"/>
      <c r="U301" s="292"/>
      <c r="V301" s="132"/>
      <c r="W301" s="121"/>
      <c r="X301" s="82"/>
      <c r="Y301" s="292"/>
      <c r="Z301" s="300"/>
      <c r="AA301" s="301"/>
      <c r="AB301" s="80"/>
      <c r="AC301" s="292"/>
      <c r="AD301" s="132"/>
      <c r="AE301" s="254"/>
      <c r="AF301" s="294"/>
      <c r="AG301" s="292"/>
      <c r="AH301" s="302"/>
      <c r="AI301" s="302"/>
      <c r="AJ301" s="302"/>
      <c r="AK301" s="292"/>
      <c r="AL301" s="82"/>
      <c r="AM301" s="82"/>
      <c r="AN301" s="82"/>
      <c r="AO301" s="292"/>
      <c r="AP301" s="82"/>
      <c r="AQ301" s="82"/>
      <c r="AR301" s="82"/>
      <c r="AS301" s="292"/>
      <c r="AT301" s="82"/>
      <c r="AU301" s="82"/>
      <c r="AV301" s="82"/>
    </row>
    <row r="302">
      <c r="A302" s="292"/>
      <c r="B302" s="132"/>
      <c r="C302" s="121"/>
      <c r="D302" s="82"/>
      <c r="E302" s="292"/>
      <c r="F302" s="132"/>
      <c r="G302" s="121"/>
      <c r="H302" s="82"/>
      <c r="I302" s="292"/>
      <c r="J302" s="132"/>
      <c r="K302" s="121"/>
      <c r="L302" s="82"/>
      <c r="M302" s="292"/>
      <c r="N302" s="132"/>
      <c r="O302" s="121"/>
      <c r="P302" s="82"/>
      <c r="Q302" s="292"/>
      <c r="R302" s="132"/>
      <c r="S302" s="121"/>
      <c r="T302" s="82"/>
      <c r="U302" s="292"/>
      <c r="V302" s="132"/>
      <c r="W302" s="121"/>
      <c r="X302" s="82"/>
      <c r="Y302" s="292"/>
      <c r="Z302" s="300"/>
      <c r="AA302" s="301"/>
      <c r="AB302" s="80"/>
      <c r="AC302" s="292"/>
      <c r="AD302" s="132"/>
      <c r="AE302" s="254"/>
      <c r="AF302" s="294"/>
      <c r="AG302" s="292"/>
      <c r="AH302" s="302"/>
      <c r="AI302" s="302"/>
      <c r="AJ302" s="302"/>
      <c r="AK302" s="292"/>
      <c r="AL302" s="82"/>
      <c r="AM302" s="82"/>
      <c r="AN302" s="82"/>
      <c r="AO302" s="292"/>
      <c r="AP302" s="82"/>
      <c r="AQ302" s="82"/>
      <c r="AR302" s="82"/>
      <c r="AS302" s="292"/>
      <c r="AT302" s="82"/>
      <c r="AU302" s="82"/>
      <c r="AV302" s="82"/>
    </row>
    <row r="303">
      <c r="A303" s="292"/>
      <c r="B303" s="132"/>
      <c r="C303" s="121"/>
      <c r="D303" s="82"/>
      <c r="E303" s="292"/>
      <c r="F303" s="132"/>
      <c r="G303" s="121"/>
      <c r="H303" s="82"/>
      <c r="I303" s="292"/>
      <c r="J303" s="132"/>
      <c r="K303" s="121"/>
      <c r="L303" s="82"/>
      <c r="M303" s="292"/>
      <c r="N303" s="132"/>
      <c r="O303" s="121"/>
      <c r="P303" s="82"/>
      <c r="Q303" s="292"/>
      <c r="R303" s="132"/>
      <c r="S303" s="121"/>
      <c r="T303" s="82"/>
      <c r="U303" s="292"/>
      <c r="V303" s="132"/>
      <c r="W303" s="121"/>
      <c r="X303" s="82"/>
      <c r="Y303" s="292"/>
      <c r="Z303" s="300"/>
      <c r="AA303" s="301"/>
      <c r="AB303" s="80"/>
      <c r="AC303" s="292"/>
      <c r="AD303" s="132"/>
      <c r="AE303" s="254"/>
      <c r="AF303" s="294"/>
      <c r="AG303" s="292"/>
      <c r="AH303" s="302"/>
      <c r="AI303" s="302"/>
      <c r="AJ303" s="302"/>
      <c r="AK303" s="292"/>
      <c r="AL303" s="82"/>
      <c r="AM303" s="82"/>
      <c r="AN303" s="82"/>
      <c r="AO303" s="292"/>
      <c r="AP303" s="82"/>
      <c r="AQ303" s="82"/>
      <c r="AR303" s="82"/>
      <c r="AS303" s="292"/>
      <c r="AT303" s="82"/>
      <c r="AU303" s="82"/>
      <c r="AV303" s="82"/>
    </row>
    <row r="304">
      <c r="A304" s="292"/>
      <c r="B304" s="132"/>
      <c r="C304" s="121"/>
      <c r="D304" s="82"/>
      <c r="E304" s="292"/>
      <c r="F304" s="132"/>
      <c r="G304" s="121"/>
      <c r="H304" s="82"/>
      <c r="I304" s="292"/>
      <c r="J304" s="132"/>
      <c r="K304" s="121"/>
      <c r="L304" s="82"/>
      <c r="M304" s="292"/>
      <c r="N304" s="132"/>
      <c r="O304" s="121"/>
      <c r="P304" s="82"/>
      <c r="Q304" s="292"/>
      <c r="R304" s="132"/>
      <c r="S304" s="121"/>
      <c r="T304" s="82"/>
      <c r="U304" s="292"/>
      <c r="V304" s="132"/>
      <c r="W304" s="121"/>
      <c r="X304" s="82"/>
      <c r="Y304" s="292"/>
      <c r="Z304" s="300"/>
      <c r="AA304" s="301"/>
      <c r="AB304" s="80"/>
      <c r="AC304" s="292"/>
      <c r="AD304" s="132"/>
      <c r="AE304" s="254"/>
      <c r="AF304" s="294"/>
      <c r="AG304" s="292"/>
      <c r="AH304" s="302"/>
      <c r="AI304" s="302"/>
      <c r="AJ304" s="302"/>
      <c r="AK304" s="292"/>
      <c r="AL304" s="82"/>
      <c r="AM304" s="82"/>
      <c r="AN304" s="82"/>
      <c r="AO304" s="292"/>
      <c r="AP304" s="82"/>
      <c r="AQ304" s="82"/>
      <c r="AR304" s="82"/>
      <c r="AS304" s="292"/>
      <c r="AT304" s="82"/>
      <c r="AU304" s="82"/>
      <c r="AV304" s="82"/>
    </row>
    <row r="305">
      <c r="A305" s="292"/>
      <c r="B305" s="132"/>
      <c r="C305" s="121"/>
      <c r="D305" s="82"/>
      <c r="E305" s="292"/>
      <c r="F305" s="132"/>
      <c r="G305" s="121"/>
      <c r="H305" s="82"/>
      <c r="I305" s="292"/>
      <c r="J305" s="132"/>
      <c r="K305" s="121"/>
      <c r="L305" s="82"/>
      <c r="M305" s="292"/>
      <c r="N305" s="132"/>
      <c r="O305" s="121"/>
      <c r="P305" s="82"/>
      <c r="Q305" s="292"/>
      <c r="R305" s="132"/>
      <c r="S305" s="121"/>
      <c r="T305" s="82"/>
      <c r="U305" s="292"/>
      <c r="V305" s="132"/>
      <c r="W305" s="121"/>
      <c r="X305" s="82"/>
      <c r="Y305" s="292"/>
      <c r="Z305" s="300"/>
      <c r="AA305" s="301"/>
      <c r="AB305" s="80"/>
      <c r="AC305" s="292"/>
      <c r="AD305" s="132"/>
      <c r="AE305" s="254"/>
      <c r="AF305" s="294"/>
      <c r="AG305" s="292"/>
      <c r="AH305" s="302"/>
      <c r="AI305" s="302"/>
      <c r="AJ305" s="302"/>
      <c r="AK305" s="292"/>
      <c r="AL305" s="82"/>
      <c r="AM305" s="82"/>
      <c r="AN305" s="82"/>
      <c r="AO305" s="292"/>
      <c r="AP305" s="82"/>
      <c r="AQ305" s="82"/>
      <c r="AR305" s="82"/>
      <c r="AS305" s="292"/>
      <c r="AT305" s="82"/>
      <c r="AU305" s="82"/>
      <c r="AV305" s="82"/>
    </row>
    <row r="306">
      <c r="A306" s="292"/>
      <c r="B306" s="132"/>
      <c r="C306" s="121"/>
      <c r="D306" s="82"/>
      <c r="E306" s="292"/>
      <c r="F306" s="132"/>
      <c r="G306" s="121"/>
      <c r="H306" s="82"/>
      <c r="I306" s="292"/>
      <c r="J306" s="132"/>
      <c r="K306" s="121"/>
      <c r="L306" s="82"/>
      <c r="M306" s="292"/>
      <c r="N306" s="132"/>
      <c r="O306" s="121"/>
      <c r="P306" s="82"/>
      <c r="Q306" s="292"/>
      <c r="R306" s="132"/>
      <c r="S306" s="121"/>
      <c r="T306" s="82"/>
      <c r="U306" s="292"/>
      <c r="V306" s="132"/>
      <c r="W306" s="121"/>
      <c r="X306" s="82"/>
      <c r="Y306" s="292"/>
      <c r="Z306" s="300"/>
      <c r="AA306" s="301"/>
      <c r="AB306" s="80"/>
      <c r="AC306" s="292"/>
      <c r="AD306" s="132"/>
      <c r="AE306" s="254"/>
      <c r="AF306" s="294"/>
      <c r="AG306" s="292"/>
      <c r="AH306" s="302"/>
      <c r="AI306" s="302"/>
      <c r="AJ306" s="302"/>
      <c r="AK306" s="292"/>
      <c r="AL306" s="82"/>
      <c r="AM306" s="82"/>
      <c r="AN306" s="82"/>
      <c r="AO306" s="292"/>
      <c r="AP306" s="82"/>
      <c r="AQ306" s="82"/>
      <c r="AR306" s="82"/>
      <c r="AS306" s="292"/>
      <c r="AT306" s="82"/>
      <c r="AU306" s="82"/>
      <c r="AV306" s="82"/>
    </row>
    <row r="307">
      <c r="A307" s="292"/>
      <c r="B307" s="132"/>
      <c r="C307" s="121"/>
      <c r="D307" s="82"/>
      <c r="E307" s="292"/>
      <c r="F307" s="132"/>
      <c r="G307" s="121"/>
      <c r="H307" s="82"/>
      <c r="I307" s="292"/>
      <c r="J307" s="132"/>
      <c r="K307" s="121"/>
      <c r="L307" s="82"/>
      <c r="M307" s="292"/>
      <c r="N307" s="132"/>
      <c r="O307" s="121"/>
      <c r="P307" s="82"/>
      <c r="Q307" s="292"/>
      <c r="R307" s="132"/>
      <c r="S307" s="121"/>
      <c r="T307" s="82"/>
      <c r="U307" s="292"/>
      <c r="V307" s="132"/>
      <c r="W307" s="121"/>
      <c r="X307" s="82"/>
      <c r="Y307" s="292"/>
      <c r="Z307" s="300"/>
      <c r="AA307" s="301"/>
      <c r="AB307" s="80"/>
      <c r="AC307" s="292"/>
      <c r="AD307" s="132"/>
      <c r="AE307" s="254"/>
      <c r="AF307" s="294"/>
      <c r="AG307" s="292"/>
      <c r="AH307" s="302"/>
      <c r="AI307" s="302"/>
      <c r="AJ307" s="302"/>
      <c r="AK307" s="292"/>
      <c r="AL307" s="82"/>
      <c r="AM307" s="82"/>
      <c r="AN307" s="82"/>
      <c r="AO307" s="292"/>
      <c r="AP307" s="82"/>
      <c r="AQ307" s="82"/>
      <c r="AR307" s="82"/>
      <c r="AS307" s="292"/>
      <c r="AT307" s="82"/>
      <c r="AU307" s="82"/>
      <c r="AV307" s="82"/>
    </row>
    <row r="308">
      <c r="A308" s="292"/>
      <c r="B308" s="132"/>
      <c r="C308" s="121"/>
      <c r="D308" s="82"/>
      <c r="E308" s="292"/>
      <c r="F308" s="132"/>
      <c r="G308" s="121"/>
      <c r="H308" s="82"/>
      <c r="I308" s="292"/>
      <c r="J308" s="132"/>
      <c r="K308" s="121"/>
      <c r="L308" s="82"/>
      <c r="M308" s="292"/>
      <c r="N308" s="132"/>
      <c r="O308" s="121"/>
      <c r="P308" s="82"/>
      <c r="Q308" s="292"/>
      <c r="R308" s="132"/>
      <c r="S308" s="121"/>
      <c r="T308" s="82"/>
      <c r="U308" s="292"/>
      <c r="V308" s="132"/>
      <c r="W308" s="121"/>
      <c r="X308" s="82"/>
      <c r="Y308" s="292"/>
      <c r="Z308" s="300"/>
      <c r="AA308" s="301"/>
      <c r="AB308" s="80"/>
      <c r="AC308" s="292"/>
      <c r="AD308" s="132"/>
      <c r="AE308" s="254"/>
      <c r="AF308" s="294"/>
      <c r="AG308" s="292"/>
      <c r="AH308" s="302"/>
      <c r="AI308" s="302"/>
      <c r="AJ308" s="302"/>
      <c r="AK308" s="292"/>
      <c r="AL308" s="82"/>
      <c r="AM308" s="82"/>
      <c r="AN308" s="82"/>
      <c r="AO308" s="292"/>
      <c r="AP308" s="82"/>
      <c r="AQ308" s="82"/>
      <c r="AR308" s="82"/>
      <c r="AS308" s="292"/>
      <c r="AT308" s="82"/>
      <c r="AU308" s="82"/>
      <c r="AV308" s="82"/>
    </row>
    <row r="309">
      <c r="A309" s="292"/>
      <c r="B309" s="132"/>
      <c r="C309" s="121"/>
      <c r="D309" s="82"/>
      <c r="E309" s="292"/>
      <c r="F309" s="132"/>
      <c r="G309" s="121"/>
      <c r="H309" s="82"/>
      <c r="I309" s="292"/>
      <c r="J309" s="132"/>
      <c r="K309" s="121"/>
      <c r="L309" s="82"/>
      <c r="M309" s="292"/>
      <c r="N309" s="132"/>
      <c r="O309" s="121"/>
      <c r="P309" s="82"/>
      <c r="Q309" s="292"/>
      <c r="R309" s="132"/>
      <c r="S309" s="121"/>
      <c r="T309" s="82"/>
      <c r="U309" s="292"/>
      <c r="V309" s="132"/>
      <c r="W309" s="121"/>
      <c r="X309" s="82"/>
      <c r="Y309" s="292"/>
      <c r="Z309" s="300"/>
      <c r="AA309" s="301"/>
      <c r="AB309" s="80"/>
      <c r="AC309" s="292"/>
      <c r="AD309" s="132"/>
      <c r="AE309" s="254"/>
      <c r="AF309" s="294"/>
      <c r="AG309" s="292"/>
      <c r="AH309" s="302"/>
      <c r="AI309" s="302"/>
      <c r="AJ309" s="302"/>
      <c r="AK309" s="292"/>
      <c r="AL309" s="82"/>
      <c r="AM309" s="82"/>
      <c r="AN309" s="82"/>
      <c r="AO309" s="292"/>
      <c r="AP309" s="82"/>
      <c r="AQ309" s="82"/>
      <c r="AR309" s="82"/>
      <c r="AS309" s="292"/>
      <c r="AT309" s="82"/>
      <c r="AU309" s="82"/>
      <c r="AV309" s="82"/>
    </row>
    <row r="310">
      <c r="A310" s="292"/>
      <c r="B310" s="132"/>
      <c r="C310" s="121"/>
      <c r="D310" s="82"/>
      <c r="E310" s="292"/>
      <c r="F310" s="132"/>
      <c r="G310" s="121"/>
      <c r="H310" s="82"/>
      <c r="I310" s="292"/>
      <c r="J310" s="132"/>
      <c r="K310" s="121"/>
      <c r="L310" s="82"/>
      <c r="M310" s="292"/>
      <c r="N310" s="132"/>
      <c r="O310" s="121"/>
      <c r="P310" s="82"/>
      <c r="Q310" s="292"/>
      <c r="R310" s="132"/>
      <c r="S310" s="121"/>
      <c r="T310" s="82"/>
      <c r="U310" s="292"/>
      <c r="V310" s="132"/>
      <c r="W310" s="121"/>
      <c r="X310" s="82"/>
      <c r="Y310" s="292"/>
      <c r="Z310" s="300"/>
      <c r="AA310" s="301"/>
      <c r="AB310" s="80"/>
      <c r="AC310" s="292"/>
      <c r="AD310" s="132"/>
      <c r="AE310" s="254"/>
      <c r="AF310" s="294"/>
      <c r="AG310" s="292"/>
      <c r="AH310" s="302"/>
      <c r="AI310" s="302"/>
      <c r="AJ310" s="302"/>
      <c r="AK310" s="292"/>
      <c r="AL310" s="82"/>
      <c r="AM310" s="82"/>
      <c r="AN310" s="82"/>
      <c r="AO310" s="292"/>
      <c r="AP310" s="82"/>
      <c r="AQ310" s="82"/>
      <c r="AR310" s="82"/>
      <c r="AS310" s="292"/>
      <c r="AT310" s="82"/>
      <c r="AU310" s="82"/>
      <c r="AV310" s="82"/>
    </row>
    <row r="311">
      <c r="A311" s="292"/>
      <c r="B311" s="132"/>
      <c r="C311" s="121"/>
      <c r="D311" s="82"/>
      <c r="E311" s="292"/>
      <c r="F311" s="132"/>
      <c r="G311" s="121"/>
      <c r="H311" s="82"/>
      <c r="I311" s="292"/>
      <c r="J311" s="132"/>
      <c r="K311" s="121"/>
      <c r="L311" s="82"/>
      <c r="M311" s="292"/>
      <c r="N311" s="132"/>
      <c r="O311" s="121"/>
      <c r="P311" s="82"/>
      <c r="Q311" s="292"/>
      <c r="R311" s="132"/>
      <c r="S311" s="121"/>
      <c r="T311" s="82"/>
      <c r="U311" s="292"/>
      <c r="V311" s="132"/>
      <c r="W311" s="121"/>
      <c r="X311" s="82"/>
      <c r="Y311" s="292"/>
      <c r="Z311" s="300"/>
      <c r="AA311" s="301"/>
      <c r="AB311" s="80"/>
      <c r="AC311" s="292"/>
      <c r="AD311" s="132"/>
      <c r="AE311" s="254"/>
      <c r="AF311" s="294"/>
      <c r="AG311" s="292"/>
      <c r="AH311" s="302"/>
      <c r="AI311" s="302"/>
      <c r="AJ311" s="302"/>
      <c r="AK311" s="292"/>
      <c r="AL311" s="82"/>
      <c r="AM311" s="82"/>
      <c r="AN311" s="82"/>
      <c r="AO311" s="292"/>
      <c r="AP311" s="82"/>
      <c r="AQ311" s="82"/>
      <c r="AR311" s="82"/>
      <c r="AS311" s="292"/>
      <c r="AT311" s="82"/>
      <c r="AU311" s="82"/>
      <c r="AV311" s="82"/>
    </row>
    <row r="312">
      <c r="A312" s="292"/>
      <c r="B312" s="132"/>
      <c r="C312" s="121"/>
      <c r="D312" s="82"/>
      <c r="E312" s="292"/>
      <c r="F312" s="132"/>
      <c r="G312" s="121"/>
      <c r="H312" s="82"/>
      <c r="I312" s="292"/>
      <c r="J312" s="132"/>
      <c r="K312" s="121"/>
      <c r="L312" s="82"/>
      <c r="M312" s="292"/>
      <c r="N312" s="132"/>
      <c r="O312" s="121"/>
      <c r="P312" s="82"/>
      <c r="Q312" s="292"/>
      <c r="R312" s="132"/>
      <c r="S312" s="121"/>
      <c r="T312" s="82"/>
      <c r="U312" s="292"/>
      <c r="V312" s="132"/>
      <c r="W312" s="121"/>
      <c r="X312" s="82"/>
      <c r="Y312" s="292"/>
      <c r="Z312" s="300"/>
      <c r="AA312" s="301"/>
      <c r="AB312" s="80"/>
      <c r="AC312" s="292"/>
      <c r="AD312" s="132"/>
      <c r="AE312" s="254"/>
      <c r="AF312" s="294"/>
      <c r="AG312" s="292"/>
      <c r="AH312" s="302"/>
      <c r="AI312" s="302"/>
      <c r="AJ312" s="302"/>
      <c r="AK312" s="292"/>
      <c r="AL312" s="82"/>
      <c r="AM312" s="82"/>
      <c r="AN312" s="82"/>
      <c r="AO312" s="292"/>
      <c r="AP312" s="82"/>
      <c r="AQ312" s="82"/>
      <c r="AR312" s="82"/>
      <c r="AS312" s="292"/>
      <c r="AT312" s="82"/>
      <c r="AU312" s="82"/>
      <c r="AV312" s="82"/>
    </row>
    <row r="313">
      <c r="A313" s="292"/>
      <c r="B313" s="132"/>
      <c r="C313" s="121"/>
      <c r="D313" s="82"/>
      <c r="E313" s="292"/>
      <c r="F313" s="132"/>
      <c r="G313" s="121"/>
      <c r="H313" s="82"/>
      <c r="I313" s="292"/>
      <c r="J313" s="132"/>
      <c r="K313" s="121"/>
      <c r="L313" s="82"/>
      <c r="M313" s="292"/>
      <c r="N313" s="132"/>
      <c r="O313" s="121"/>
      <c r="P313" s="82"/>
      <c r="Q313" s="292"/>
      <c r="R313" s="132"/>
      <c r="S313" s="121"/>
      <c r="T313" s="82"/>
      <c r="U313" s="292"/>
      <c r="V313" s="132"/>
      <c r="W313" s="121"/>
      <c r="X313" s="82"/>
      <c r="Y313" s="292"/>
      <c r="Z313" s="300"/>
      <c r="AA313" s="301"/>
      <c r="AB313" s="80"/>
      <c r="AC313" s="292"/>
      <c r="AD313" s="132"/>
      <c r="AE313" s="254"/>
      <c r="AF313" s="294"/>
      <c r="AG313" s="292"/>
      <c r="AH313" s="302"/>
      <c r="AI313" s="302"/>
      <c r="AJ313" s="302"/>
      <c r="AK313" s="292"/>
      <c r="AL313" s="82"/>
      <c r="AM313" s="82"/>
      <c r="AN313" s="82"/>
      <c r="AO313" s="292"/>
      <c r="AP313" s="82"/>
      <c r="AQ313" s="82"/>
      <c r="AR313" s="82"/>
      <c r="AS313" s="292"/>
      <c r="AT313" s="82"/>
      <c r="AU313" s="82"/>
      <c r="AV313" s="82"/>
    </row>
    <row r="314">
      <c r="A314" s="292"/>
      <c r="B314" s="132"/>
      <c r="C314" s="121"/>
      <c r="D314" s="82"/>
      <c r="E314" s="292"/>
      <c r="F314" s="132"/>
      <c r="G314" s="121"/>
      <c r="H314" s="82"/>
      <c r="I314" s="292"/>
      <c r="J314" s="132"/>
      <c r="K314" s="121"/>
      <c r="L314" s="82"/>
      <c r="M314" s="292"/>
      <c r="N314" s="132"/>
      <c r="O314" s="121"/>
      <c r="P314" s="82"/>
      <c r="Q314" s="292"/>
      <c r="R314" s="132"/>
      <c r="S314" s="121"/>
      <c r="T314" s="82"/>
      <c r="U314" s="292"/>
      <c r="V314" s="132"/>
      <c r="W314" s="121"/>
      <c r="X314" s="82"/>
      <c r="Y314" s="292"/>
      <c r="Z314" s="300"/>
      <c r="AA314" s="301"/>
      <c r="AB314" s="80"/>
      <c r="AC314" s="292"/>
      <c r="AD314" s="132"/>
      <c r="AE314" s="254"/>
      <c r="AF314" s="294"/>
      <c r="AG314" s="292"/>
      <c r="AH314" s="302"/>
      <c r="AI314" s="302"/>
      <c r="AJ314" s="302"/>
      <c r="AK314" s="292"/>
      <c r="AL314" s="82"/>
      <c r="AM314" s="82"/>
      <c r="AN314" s="82"/>
      <c r="AO314" s="292"/>
      <c r="AP314" s="82"/>
      <c r="AQ314" s="82"/>
      <c r="AR314" s="82"/>
      <c r="AS314" s="292"/>
      <c r="AT314" s="82"/>
      <c r="AU314" s="82"/>
      <c r="AV314" s="82"/>
    </row>
    <row r="315">
      <c r="A315" s="292"/>
      <c r="B315" s="132"/>
      <c r="C315" s="121"/>
      <c r="D315" s="82"/>
      <c r="E315" s="292"/>
      <c r="F315" s="132"/>
      <c r="G315" s="121"/>
      <c r="H315" s="82"/>
      <c r="I315" s="292"/>
      <c r="J315" s="132"/>
      <c r="K315" s="121"/>
      <c r="L315" s="82"/>
      <c r="M315" s="292"/>
      <c r="N315" s="132"/>
      <c r="O315" s="121"/>
      <c r="P315" s="82"/>
      <c r="Q315" s="292"/>
      <c r="R315" s="132"/>
      <c r="S315" s="121"/>
      <c r="T315" s="82"/>
      <c r="U315" s="292"/>
      <c r="V315" s="132"/>
      <c r="W315" s="121"/>
      <c r="X315" s="82"/>
      <c r="Y315" s="292"/>
      <c r="Z315" s="300"/>
      <c r="AA315" s="301"/>
      <c r="AB315" s="80"/>
      <c r="AC315" s="292"/>
      <c r="AD315" s="132"/>
      <c r="AE315" s="254"/>
      <c r="AF315" s="294"/>
      <c r="AG315" s="292"/>
      <c r="AH315" s="302"/>
      <c r="AI315" s="302"/>
      <c r="AJ315" s="302"/>
      <c r="AK315" s="292"/>
      <c r="AL315" s="82"/>
      <c r="AM315" s="82"/>
      <c r="AN315" s="82"/>
      <c r="AO315" s="292"/>
      <c r="AP315" s="82"/>
      <c r="AQ315" s="82"/>
      <c r="AR315" s="82"/>
      <c r="AS315" s="292"/>
      <c r="AT315" s="82"/>
      <c r="AU315" s="82"/>
      <c r="AV315" s="82"/>
    </row>
    <row r="316">
      <c r="A316" s="292"/>
      <c r="B316" s="132"/>
      <c r="C316" s="121"/>
      <c r="D316" s="82"/>
      <c r="E316" s="292"/>
      <c r="F316" s="132"/>
      <c r="G316" s="121"/>
      <c r="H316" s="82"/>
      <c r="I316" s="292"/>
      <c r="J316" s="132"/>
      <c r="K316" s="121"/>
      <c r="L316" s="82"/>
      <c r="M316" s="292"/>
      <c r="N316" s="132"/>
      <c r="O316" s="121"/>
      <c r="P316" s="82"/>
      <c r="Q316" s="292"/>
      <c r="R316" s="132"/>
      <c r="S316" s="121"/>
      <c r="T316" s="82"/>
      <c r="U316" s="292"/>
      <c r="V316" s="132"/>
      <c r="W316" s="121"/>
      <c r="X316" s="82"/>
      <c r="Y316" s="292"/>
      <c r="Z316" s="300"/>
      <c r="AA316" s="301"/>
      <c r="AB316" s="80"/>
      <c r="AC316" s="292"/>
      <c r="AD316" s="132"/>
      <c r="AE316" s="254"/>
      <c r="AF316" s="294"/>
      <c r="AG316" s="292"/>
      <c r="AH316" s="302"/>
      <c r="AI316" s="302"/>
      <c r="AJ316" s="302"/>
      <c r="AK316" s="292"/>
      <c r="AL316" s="82"/>
      <c r="AM316" s="82"/>
      <c r="AN316" s="82"/>
      <c r="AO316" s="292"/>
      <c r="AP316" s="82"/>
      <c r="AQ316" s="82"/>
      <c r="AR316" s="82"/>
      <c r="AS316" s="292"/>
      <c r="AT316" s="82"/>
      <c r="AU316" s="82"/>
      <c r="AV316" s="82"/>
    </row>
    <row r="317">
      <c r="A317" s="292"/>
      <c r="B317" s="132"/>
      <c r="C317" s="121"/>
      <c r="D317" s="82"/>
      <c r="E317" s="292"/>
      <c r="F317" s="132"/>
      <c r="G317" s="121"/>
      <c r="H317" s="82"/>
      <c r="I317" s="292"/>
      <c r="J317" s="132"/>
      <c r="K317" s="121"/>
      <c r="L317" s="82"/>
      <c r="M317" s="292"/>
      <c r="N317" s="132"/>
      <c r="O317" s="121"/>
      <c r="P317" s="82"/>
      <c r="Q317" s="292"/>
      <c r="R317" s="132"/>
      <c r="S317" s="121"/>
      <c r="T317" s="82"/>
      <c r="U317" s="292"/>
      <c r="V317" s="132"/>
      <c r="W317" s="121"/>
      <c r="X317" s="82"/>
      <c r="Y317" s="292"/>
      <c r="Z317" s="300"/>
      <c r="AA317" s="301"/>
      <c r="AB317" s="80"/>
      <c r="AC317" s="292"/>
      <c r="AD317" s="132"/>
      <c r="AE317" s="254"/>
      <c r="AF317" s="294"/>
      <c r="AG317" s="292"/>
      <c r="AH317" s="302"/>
      <c r="AI317" s="302"/>
      <c r="AJ317" s="302"/>
      <c r="AK317" s="292"/>
      <c r="AL317" s="82"/>
      <c r="AM317" s="82"/>
      <c r="AN317" s="82"/>
      <c r="AO317" s="292"/>
      <c r="AP317" s="82"/>
      <c r="AQ317" s="82"/>
      <c r="AR317" s="82"/>
      <c r="AS317" s="292"/>
      <c r="AT317" s="82"/>
      <c r="AU317" s="82"/>
      <c r="AV317" s="82"/>
    </row>
    <row r="318">
      <c r="A318" s="292"/>
      <c r="B318" s="132"/>
      <c r="C318" s="121"/>
      <c r="D318" s="82"/>
      <c r="E318" s="292"/>
      <c r="F318" s="132"/>
      <c r="G318" s="121"/>
      <c r="H318" s="82"/>
      <c r="I318" s="292"/>
      <c r="J318" s="132"/>
      <c r="K318" s="121"/>
      <c r="L318" s="82"/>
      <c r="M318" s="292"/>
      <c r="N318" s="132"/>
      <c r="O318" s="121"/>
      <c r="P318" s="82"/>
      <c r="Q318" s="292"/>
      <c r="R318" s="132"/>
      <c r="S318" s="121"/>
      <c r="T318" s="82"/>
      <c r="U318" s="292"/>
      <c r="V318" s="132"/>
      <c r="W318" s="121"/>
      <c r="X318" s="82"/>
      <c r="Y318" s="292"/>
      <c r="Z318" s="300"/>
      <c r="AA318" s="301"/>
      <c r="AB318" s="80"/>
      <c r="AC318" s="292"/>
      <c r="AD318" s="132"/>
      <c r="AE318" s="254"/>
      <c r="AF318" s="294"/>
      <c r="AG318" s="292"/>
      <c r="AH318" s="302"/>
      <c r="AI318" s="302"/>
      <c r="AJ318" s="302"/>
      <c r="AK318" s="292"/>
      <c r="AL318" s="82"/>
      <c r="AM318" s="82"/>
      <c r="AN318" s="82"/>
      <c r="AO318" s="292"/>
      <c r="AP318" s="82"/>
      <c r="AQ318" s="82"/>
      <c r="AR318" s="82"/>
      <c r="AS318" s="292"/>
      <c r="AT318" s="82"/>
      <c r="AU318" s="82"/>
      <c r="AV318" s="82"/>
    </row>
    <row r="319">
      <c r="A319" s="292"/>
      <c r="B319" s="132"/>
      <c r="C319" s="121"/>
      <c r="D319" s="82"/>
      <c r="E319" s="292"/>
      <c r="F319" s="132"/>
      <c r="G319" s="121"/>
      <c r="H319" s="82"/>
      <c r="I319" s="292"/>
      <c r="J319" s="132"/>
      <c r="K319" s="121"/>
      <c r="L319" s="82"/>
      <c r="M319" s="292"/>
      <c r="N319" s="132"/>
      <c r="O319" s="121"/>
      <c r="P319" s="82"/>
      <c r="Q319" s="292"/>
      <c r="R319" s="132"/>
      <c r="S319" s="121"/>
      <c r="T319" s="82"/>
      <c r="U319" s="292"/>
      <c r="V319" s="132"/>
      <c r="W319" s="121"/>
      <c r="X319" s="82"/>
      <c r="Y319" s="292"/>
      <c r="Z319" s="300"/>
      <c r="AA319" s="301"/>
      <c r="AB319" s="80"/>
      <c r="AC319" s="292"/>
      <c r="AD319" s="132"/>
      <c r="AE319" s="254"/>
      <c r="AF319" s="294"/>
      <c r="AG319" s="292"/>
      <c r="AH319" s="302"/>
      <c r="AI319" s="302"/>
      <c r="AJ319" s="302"/>
      <c r="AK319" s="292"/>
      <c r="AL319" s="82"/>
      <c r="AM319" s="82"/>
      <c r="AN319" s="82"/>
      <c r="AO319" s="292"/>
      <c r="AP319" s="82"/>
      <c r="AQ319" s="82"/>
      <c r="AR319" s="82"/>
      <c r="AS319" s="292"/>
      <c r="AT319" s="82"/>
      <c r="AU319" s="82"/>
      <c r="AV319" s="82"/>
    </row>
    <row r="320">
      <c r="A320" s="292"/>
      <c r="B320" s="132"/>
      <c r="C320" s="121"/>
      <c r="D320" s="82"/>
      <c r="E320" s="292"/>
      <c r="F320" s="132"/>
      <c r="G320" s="121"/>
      <c r="H320" s="82"/>
      <c r="I320" s="292"/>
      <c r="J320" s="132"/>
      <c r="K320" s="121"/>
      <c r="L320" s="82"/>
      <c r="M320" s="292"/>
      <c r="N320" s="132"/>
      <c r="O320" s="121"/>
      <c r="P320" s="82"/>
      <c r="Q320" s="292"/>
      <c r="R320" s="132"/>
      <c r="S320" s="121"/>
      <c r="T320" s="82"/>
      <c r="U320" s="292"/>
      <c r="V320" s="132"/>
      <c r="W320" s="121"/>
      <c r="X320" s="82"/>
      <c r="Y320" s="292"/>
      <c r="Z320" s="300"/>
      <c r="AA320" s="301"/>
      <c r="AB320" s="80"/>
      <c r="AC320" s="292"/>
      <c r="AD320" s="132"/>
      <c r="AE320" s="254"/>
      <c r="AF320" s="294"/>
      <c r="AG320" s="292"/>
      <c r="AH320" s="302"/>
      <c r="AI320" s="302"/>
      <c r="AJ320" s="302"/>
      <c r="AK320" s="292"/>
      <c r="AL320" s="82"/>
      <c r="AM320" s="82"/>
      <c r="AN320" s="82"/>
      <c r="AO320" s="292"/>
      <c r="AP320" s="82"/>
      <c r="AQ320" s="82"/>
      <c r="AR320" s="82"/>
      <c r="AS320" s="292"/>
      <c r="AT320" s="82"/>
      <c r="AU320" s="82"/>
      <c r="AV320" s="82"/>
    </row>
    <row r="321">
      <c r="A321" s="292"/>
      <c r="B321" s="132"/>
      <c r="C321" s="121"/>
      <c r="D321" s="82"/>
      <c r="E321" s="292"/>
      <c r="F321" s="132"/>
      <c r="G321" s="121"/>
      <c r="H321" s="82"/>
      <c r="I321" s="292"/>
      <c r="J321" s="132"/>
      <c r="K321" s="121"/>
      <c r="L321" s="82"/>
      <c r="M321" s="292"/>
      <c r="N321" s="132"/>
      <c r="O321" s="121"/>
      <c r="P321" s="82"/>
      <c r="Q321" s="292"/>
      <c r="R321" s="132"/>
      <c r="S321" s="121"/>
      <c r="T321" s="82"/>
      <c r="U321" s="292"/>
      <c r="V321" s="132"/>
      <c r="W321" s="121"/>
      <c r="X321" s="82"/>
      <c r="Y321" s="292"/>
      <c r="Z321" s="300"/>
      <c r="AA321" s="301"/>
      <c r="AB321" s="80"/>
      <c r="AC321" s="292"/>
      <c r="AD321" s="132"/>
      <c r="AE321" s="254"/>
      <c r="AF321" s="294"/>
      <c r="AG321" s="292"/>
      <c r="AH321" s="302"/>
      <c r="AI321" s="302"/>
      <c r="AJ321" s="302"/>
      <c r="AK321" s="292"/>
      <c r="AL321" s="82"/>
      <c r="AM321" s="82"/>
      <c r="AN321" s="82"/>
      <c r="AO321" s="292"/>
      <c r="AP321" s="82"/>
      <c r="AQ321" s="82"/>
      <c r="AR321" s="82"/>
      <c r="AS321" s="292"/>
      <c r="AT321" s="82"/>
      <c r="AU321" s="82"/>
      <c r="AV321" s="82"/>
    </row>
    <row r="322">
      <c r="A322" s="292"/>
      <c r="B322" s="132"/>
      <c r="C322" s="121"/>
      <c r="D322" s="82"/>
      <c r="E322" s="292"/>
      <c r="F322" s="132"/>
      <c r="G322" s="121"/>
      <c r="H322" s="82"/>
      <c r="I322" s="292"/>
      <c r="J322" s="132"/>
      <c r="K322" s="121"/>
      <c r="L322" s="82"/>
      <c r="M322" s="292"/>
      <c r="N322" s="132"/>
      <c r="O322" s="121"/>
      <c r="P322" s="82"/>
      <c r="Q322" s="292"/>
      <c r="R322" s="132"/>
      <c r="S322" s="121"/>
      <c r="T322" s="82"/>
      <c r="U322" s="292"/>
      <c r="V322" s="132"/>
      <c r="W322" s="121"/>
      <c r="X322" s="82"/>
      <c r="Y322" s="292"/>
      <c r="Z322" s="300"/>
      <c r="AA322" s="301"/>
      <c r="AB322" s="80"/>
      <c r="AC322" s="292"/>
      <c r="AD322" s="132"/>
      <c r="AE322" s="254"/>
      <c r="AF322" s="294"/>
      <c r="AG322" s="292"/>
      <c r="AH322" s="302"/>
      <c r="AI322" s="302"/>
      <c r="AJ322" s="302"/>
      <c r="AK322" s="292"/>
      <c r="AL322" s="82"/>
      <c r="AM322" s="82"/>
      <c r="AN322" s="82"/>
      <c r="AO322" s="292"/>
      <c r="AP322" s="82"/>
      <c r="AQ322" s="82"/>
      <c r="AR322" s="82"/>
      <c r="AS322" s="292"/>
      <c r="AT322" s="82"/>
      <c r="AU322" s="82"/>
      <c r="AV322" s="82"/>
    </row>
    <row r="323">
      <c r="A323" s="292"/>
      <c r="B323" s="132"/>
      <c r="C323" s="121"/>
      <c r="D323" s="82"/>
      <c r="E323" s="292"/>
      <c r="F323" s="132"/>
      <c r="G323" s="121"/>
      <c r="H323" s="82"/>
      <c r="I323" s="292"/>
      <c r="J323" s="132"/>
      <c r="K323" s="121"/>
      <c r="L323" s="82"/>
      <c r="M323" s="292"/>
      <c r="N323" s="132"/>
      <c r="O323" s="121"/>
      <c r="P323" s="82"/>
      <c r="Q323" s="292"/>
      <c r="R323" s="132"/>
      <c r="S323" s="121"/>
      <c r="T323" s="82"/>
      <c r="U323" s="292"/>
      <c r="V323" s="132"/>
      <c r="W323" s="121"/>
      <c r="X323" s="82"/>
      <c r="Y323" s="292"/>
      <c r="Z323" s="300"/>
      <c r="AA323" s="301"/>
      <c r="AB323" s="80"/>
      <c r="AC323" s="292"/>
      <c r="AD323" s="132"/>
      <c r="AE323" s="254"/>
      <c r="AF323" s="294"/>
      <c r="AG323" s="292"/>
      <c r="AH323" s="302"/>
      <c r="AI323" s="302"/>
      <c r="AJ323" s="302"/>
      <c r="AK323" s="292"/>
      <c r="AL323" s="82"/>
      <c r="AM323" s="82"/>
      <c r="AN323" s="82"/>
      <c r="AO323" s="292"/>
      <c r="AP323" s="82"/>
      <c r="AQ323" s="82"/>
      <c r="AR323" s="82"/>
      <c r="AS323" s="292"/>
      <c r="AT323" s="82"/>
      <c r="AU323" s="82"/>
      <c r="AV323" s="82"/>
    </row>
    <row r="324">
      <c r="A324" s="292"/>
      <c r="B324" s="132"/>
      <c r="C324" s="121"/>
      <c r="D324" s="82"/>
      <c r="E324" s="292"/>
      <c r="F324" s="132"/>
      <c r="G324" s="121"/>
      <c r="H324" s="82"/>
      <c r="I324" s="292"/>
      <c r="J324" s="132"/>
      <c r="K324" s="121"/>
      <c r="L324" s="82"/>
      <c r="M324" s="292"/>
      <c r="N324" s="132"/>
      <c r="O324" s="121"/>
      <c r="P324" s="82"/>
      <c r="Q324" s="292"/>
      <c r="R324" s="132"/>
      <c r="S324" s="121"/>
      <c r="T324" s="82"/>
      <c r="U324" s="292"/>
      <c r="V324" s="132"/>
      <c r="W324" s="121"/>
      <c r="X324" s="82"/>
      <c r="Y324" s="292"/>
      <c r="Z324" s="300"/>
      <c r="AA324" s="301"/>
      <c r="AB324" s="80"/>
      <c r="AC324" s="292"/>
      <c r="AD324" s="132"/>
      <c r="AE324" s="254"/>
      <c r="AF324" s="294"/>
      <c r="AG324" s="292"/>
      <c r="AH324" s="302"/>
      <c r="AI324" s="302"/>
      <c r="AJ324" s="302"/>
      <c r="AK324" s="292"/>
      <c r="AL324" s="82"/>
      <c r="AM324" s="82"/>
      <c r="AN324" s="82"/>
      <c r="AO324" s="292"/>
      <c r="AP324" s="82"/>
      <c r="AQ324" s="82"/>
      <c r="AR324" s="82"/>
      <c r="AS324" s="292"/>
      <c r="AT324" s="82"/>
      <c r="AU324" s="82"/>
      <c r="AV324" s="82"/>
    </row>
    <row r="325">
      <c r="A325" s="292"/>
      <c r="B325" s="132"/>
      <c r="C325" s="121"/>
      <c r="D325" s="82"/>
      <c r="E325" s="292"/>
      <c r="F325" s="132"/>
      <c r="G325" s="121"/>
      <c r="H325" s="82"/>
      <c r="I325" s="292"/>
      <c r="J325" s="132"/>
      <c r="K325" s="121"/>
      <c r="L325" s="82"/>
      <c r="M325" s="292"/>
      <c r="N325" s="132"/>
      <c r="O325" s="121"/>
      <c r="P325" s="82"/>
      <c r="Q325" s="292"/>
      <c r="R325" s="132"/>
      <c r="S325" s="121"/>
      <c r="T325" s="82"/>
      <c r="U325" s="292"/>
      <c r="V325" s="132"/>
      <c r="W325" s="121"/>
      <c r="X325" s="82"/>
      <c r="Y325" s="292"/>
      <c r="Z325" s="300"/>
      <c r="AA325" s="301"/>
      <c r="AB325" s="80"/>
      <c r="AC325" s="292"/>
      <c r="AD325" s="132"/>
      <c r="AE325" s="254"/>
      <c r="AF325" s="294"/>
      <c r="AG325" s="292"/>
      <c r="AH325" s="302"/>
      <c r="AI325" s="302"/>
      <c r="AJ325" s="302"/>
      <c r="AK325" s="292"/>
      <c r="AL325" s="82"/>
      <c r="AM325" s="82"/>
      <c r="AN325" s="82"/>
      <c r="AO325" s="292"/>
      <c r="AP325" s="82"/>
      <c r="AQ325" s="82"/>
      <c r="AR325" s="82"/>
      <c r="AS325" s="292"/>
      <c r="AT325" s="82"/>
      <c r="AU325" s="82"/>
      <c r="AV325" s="82"/>
    </row>
    <row r="326">
      <c r="A326" s="292"/>
      <c r="B326" s="132"/>
      <c r="C326" s="121"/>
      <c r="D326" s="82"/>
      <c r="E326" s="292"/>
      <c r="F326" s="132"/>
      <c r="G326" s="121"/>
      <c r="H326" s="82"/>
      <c r="I326" s="292"/>
      <c r="J326" s="132"/>
      <c r="K326" s="121"/>
      <c r="L326" s="82"/>
      <c r="M326" s="292"/>
      <c r="N326" s="132"/>
      <c r="O326" s="121"/>
      <c r="P326" s="82"/>
      <c r="Q326" s="292"/>
      <c r="R326" s="132"/>
      <c r="S326" s="121"/>
      <c r="T326" s="82"/>
      <c r="U326" s="292"/>
      <c r="V326" s="132"/>
      <c r="W326" s="121"/>
      <c r="X326" s="82"/>
      <c r="Y326" s="292"/>
      <c r="Z326" s="300"/>
      <c r="AA326" s="301"/>
      <c r="AB326" s="80"/>
      <c r="AC326" s="292"/>
      <c r="AD326" s="132"/>
      <c r="AE326" s="254"/>
      <c r="AF326" s="294"/>
      <c r="AG326" s="292"/>
      <c r="AH326" s="302"/>
      <c r="AI326" s="302"/>
      <c r="AJ326" s="302"/>
      <c r="AK326" s="292"/>
      <c r="AL326" s="82"/>
      <c r="AM326" s="82"/>
      <c r="AN326" s="82"/>
      <c r="AO326" s="292"/>
      <c r="AP326" s="82"/>
      <c r="AQ326" s="82"/>
      <c r="AR326" s="82"/>
      <c r="AS326" s="292"/>
      <c r="AT326" s="82"/>
      <c r="AU326" s="82"/>
      <c r="AV326" s="82"/>
    </row>
    <row r="327">
      <c r="A327" s="292"/>
      <c r="B327" s="132"/>
      <c r="C327" s="121"/>
      <c r="D327" s="82"/>
      <c r="E327" s="292"/>
      <c r="F327" s="132"/>
      <c r="G327" s="121"/>
      <c r="H327" s="82"/>
      <c r="I327" s="292"/>
      <c r="J327" s="132"/>
      <c r="K327" s="121"/>
      <c r="L327" s="82"/>
      <c r="M327" s="292"/>
      <c r="N327" s="132"/>
      <c r="O327" s="121"/>
      <c r="P327" s="82"/>
      <c r="Q327" s="292"/>
      <c r="R327" s="132"/>
      <c r="S327" s="121"/>
      <c r="T327" s="82"/>
      <c r="U327" s="292"/>
      <c r="V327" s="132"/>
      <c r="W327" s="121"/>
      <c r="X327" s="82"/>
      <c r="Y327" s="292"/>
      <c r="Z327" s="300"/>
      <c r="AA327" s="301"/>
      <c r="AB327" s="80"/>
      <c r="AC327" s="292"/>
      <c r="AD327" s="132"/>
      <c r="AE327" s="254"/>
      <c r="AF327" s="294"/>
      <c r="AG327" s="292"/>
      <c r="AH327" s="302"/>
      <c r="AI327" s="302"/>
      <c r="AJ327" s="302"/>
      <c r="AK327" s="292"/>
      <c r="AL327" s="82"/>
      <c r="AM327" s="82"/>
      <c r="AN327" s="82"/>
      <c r="AO327" s="292"/>
      <c r="AP327" s="82"/>
      <c r="AQ327" s="82"/>
      <c r="AR327" s="82"/>
      <c r="AS327" s="292"/>
      <c r="AT327" s="82"/>
      <c r="AU327" s="82"/>
      <c r="AV327" s="82"/>
    </row>
    <row r="328">
      <c r="A328" s="292"/>
      <c r="B328" s="132"/>
      <c r="C328" s="121"/>
      <c r="D328" s="82"/>
      <c r="E328" s="292"/>
      <c r="F328" s="132"/>
      <c r="G328" s="121"/>
      <c r="H328" s="82"/>
      <c r="I328" s="292"/>
      <c r="J328" s="132"/>
      <c r="K328" s="121"/>
      <c r="L328" s="82"/>
      <c r="M328" s="292"/>
      <c r="N328" s="132"/>
      <c r="O328" s="121"/>
      <c r="P328" s="82"/>
      <c r="Q328" s="292"/>
      <c r="R328" s="132"/>
      <c r="S328" s="121"/>
      <c r="T328" s="82"/>
      <c r="U328" s="292"/>
      <c r="V328" s="132"/>
      <c r="W328" s="121"/>
      <c r="X328" s="82"/>
      <c r="Y328" s="292"/>
      <c r="Z328" s="300"/>
      <c r="AA328" s="301"/>
      <c r="AB328" s="80"/>
      <c r="AC328" s="292"/>
      <c r="AD328" s="132"/>
      <c r="AE328" s="254"/>
      <c r="AF328" s="294"/>
      <c r="AG328" s="292"/>
      <c r="AH328" s="302"/>
      <c r="AI328" s="302"/>
      <c r="AJ328" s="302"/>
      <c r="AK328" s="292"/>
      <c r="AL328" s="82"/>
      <c r="AM328" s="82"/>
      <c r="AN328" s="82"/>
      <c r="AO328" s="292"/>
      <c r="AP328" s="82"/>
      <c r="AQ328" s="82"/>
      <c r="AR328" s="82"/>
      <c r="AS328" s="292"/>
      <c r="AT328" s="82"/>
      <c r="AU328" s="82"/>
      <c r="AV328" s="82"/>
    </row>
    <row r="329">
      <c r="A329" s="292"/>
      <c r="B329" s="132"/>
      <c r="C329" s="121"/>
      <c r="D329" s="82"/>
      <c r="E329" s="292"/>
      <c r="F329" s="132"/>
      <c r="G329" s="121"/>
      <c r="H329" s="82"/>
      <c r="I329" s="292"/>
      <c r="J329" s="132"/>
      <c r="K329" s="121"/>
      <c r="L329" s="82"/>
      <c r="M329" s="292"/>
      <c r="N329" s="132"/>
      <c r="O329" s="121"/>
      <c r="P329" s="82"/>
      <c r="Q329" s="292"/>
      <c r="R329" s="132"/>
      <c r="S329" s="121"/>
      <c r="T329" s="82"/>
      <c r="U329" s="292"/>
      <c r="V329" s="132"/>
      <c r="W329" s="121"/>
      <c r="X329" s="82"/>
      <c r="Y329" s="292"/>
      <c r="Z329" s="300"/>
      <c r="AA329" s="301"/>
      <c r="AB329" s="80"/>
      <c r="AC329" s="292"/>
      <c r="AD329" s="132"/>
      <c r="AE329" s="254"/>
      <c r="AF329" s="294"/>
      <c r="AG329" s="292"/>
      <c r="AH329" s="302"/>
      <c r="AI329" s="302"/>
      <c r="AJ329" s="302"/>
      <c r="AK329" s="292"/>
      <c r="AL329" s="82"/>
      <c r="AM329" s="82"/>
      <c r="AN329" s="82"/>
      <c r="AO329" s="292"/>
      <c r="AP329" s="82"/>
      <c r="AQ329" s="82"/>
      <c r="AR329" s="82"/>
      <c r="AS329" s="292"/>
      <c r="AT329" s="82"/>
      <c r="AU329" s="82"/>
      <c r="AV329" s="82"/>
    </row>
    <row r="330">
      <c r="A330" s="292"/>
      <c r="B330" s="132"/>
      <c r="C330" s="121"/>
      <c r="D330" s="82"/>
      <c r="E330" s="292"/>
      <c r="F330" s="132"/>
      <c r="G330" s="121"/>
      <c r="H330" s="82"/>
      <c r="I330" s="292"/>
      <c r="J330" s="132"/>
      <c r="K330" s="121"/>
      <c r="L330" s="82"/>
      <c r="M330" s="292"/>
      <c r="N330" s="132"/>
      <c r="O330" s="121"/>
      <c r="P330" s="82"/>
      <c r="Q330" s="292"/>
      <c r="R330" s="132"/>
      <c r="S330" s="121"/>
      <c r="T330" s="82"/>
      <c r="U330" s="292"/>
      <c r="V330" s="132"/>
      <c r="W330" s="121"/>
      <c r="X330" s="82"/>
      <c r="Y330" s="292"/>
      <c r="Z330" s="300"/>
      <c r="AA330" s="301"/>
      <c r="AB330" s="80"/>
      <c r="AC330" s="292"/>
      <c r="AD330" s="132"/>
      <c r="AE330" s="254"/>
      <c r="AF330" s="294"/>
      <c r="AG330" s="292"/>
      <c r="AH330" s="302"/>
      <c r="AI330" s="302"/>
      <c r="AJ330" s="302"/>
      <c r="AK330" s="292"/>
      <c r="AL330" s="82"/>
      <c r="AM330" s="82"/>
      <c r="AN330" s="82"/>
      <c r="AO330" s="292"/>
      <c r="AP330" s="82"/>
      <c r="AQ330" s="82"/>
      <c r="AR330" s="82"/>
      <c r="AS330" s="292"/>
      <c r="AT330" s="82"/>
      <c r="AU330" s="82"/>
      <c r="AV330" s="82"/>
    </row>
    <row r="331">
      <c r="A331" s="292"/>
      <c r="B331" s="132"/>
      <c r="C331" s="121"/>
      <c r="D331" s="82"/>
      <c r="E331" s="292"/>
      <c r="F331" s="132"/>
      <c r="G331" s="121"/>
      <c r="H331" s="82"/>
      <c r="I331" s="292"/>
      <c r="J331" s="132"/>
      <c r="K331" s="121"/>
      <c r="L331" s="82"/>
      <c r="M331" s="292"/>
      <c r="N331" s="132"/>
      <c r="O331" s="121"/>
      <c r="P331" s="82"/>
      <c r="Q331" s="292"/>
      <c r="R331" s="132"/>
      <c r="S331" s="121"/>
      <c r="T331" s="82"/>
      <c r="U331" s="292"/>
      <c r="V331" s="132"/>
      <c r="W331" s="121"/>
      <c r="X331" s="82"/>
      <c r="Y331" s="292"/>
      <c r="Z331" s="300"/>
      <c r="AA331" s="301"/>
      <c r="AB331" s="80"/>
      <c r="AC331" s="292"/>
      <c r="AD331" s="132"/>
      <c r="AE331" s="254"/>
      <c r="AF331" s="294"/>
      <c r="AG331" s="292"/>
      <c r="AH331" s="302"/>
      <c r="AI331" s="302"/>
      <c r="AJ331" s="302"/>
      <c r="AK331" s="292"/>
      <c r="AL331" s="82"/>
      <c r="AM331" s="82"/>
      <c r="AN331" s="82"/>
      <c r="AO331" s="292"/>
      <c r="AP331" s="82"/>
      <c r="AQ331" s="82"/>
      <c r="AR331" s="82"/>
      <c r="AS331" s="292"/>
      <c r="AT331" s="82"/>
      <c r="AU331" s="82"/>
      <c r="AV331" s="82"/>
    </row>
    <row r="332">
      <c r="A332" s="292"/>
      <c r="B332" s="132"/>
      <c r="C332" s="121"/>
      <c r="D332" s="82"/>
      <c r="E332" s="292"/>
      <c r="F332" s="132"/>
      <c r="G332" s="121"/>
      <c r="H332" s="82"/>
      <c r="I332" s="292"/>
      <c r="J332" s="132"/>
      <c r="K332" s="121"/>
      <c r="L332" s="82"/>
      <c r="M332" s="292"/>
      <c r="N332" s="132"/>
      <c r="O332" s="121"/>
      <c r="P332" s="82"/>
      <c r="Q332" s="292"/>
      <c r="R332" s="132"/>
      <c r="S332" s="121"/>
      <c r="T332" s="82"/>
      <c r="U332" s="292"/>
      <c r="V332" s="132"/>
      <c r="W332" s="121"/>
      <c r="X332" s="82"/>
      <c r="Y332" s="292"/>
      <c r="Z332" s="300"/>
      <c r="AA332" s="301"/>
      <c r="AB332" s="80"/>
      <c r="AC332" s="292"/>
      <c r="AD332" s="132"/>
      <c r="AE332" s="254"/>
      <c r="AF332" s="294"/>
      <c r="AG332" s="292"/>
      <c r="AH332" s="302"/>
      <c r="AI332" s="302"/>
      <c r="AJ332" s="302"/>
      <c r="AK332" s="292"/>
      <c r="AL332" s="82"/>
      <c r="AM332" s="82"/>
      <c r="AN332" s="82"/>
      <c r="AO332" s="292"/>
      <c r="AP332" s="82"/>
      <c r="AQ332" s="82"/>
      <c r="AR332" s="82"/>
      <c r="AS332" s="292"/>
      <c r="AT332" s="82"/>
      <c r="AU332" s="82"/>
      <c r="AV332" s="82"/>
    </row>
    <row r="333">
      <c r="A333" s="292"/>
      <c r="B333" s="132"/>
      <c r="C333" s="121"/>
      <c r="D333" s="82"/>
      <c r="E333" s="292"/>
      <c r="F333" s="132"/>
      <c r="G333" s="121"/>
      <c r="H333" s="82"/>
      <c r="I333" s="292"/>
      <c r="J333" s="132"/>
      <c r="K333" s="121"/>
      <c r="L333" s="82"/>
      <c r="M333" s="292"/>
      <c r="N333" s="132"/>
      <c r="O333" s="121"/>
      <c r="P333" s="82"/>
      <c r="Q333" s="292"/>
      <c r="R333" s="132"/>
      <c r="S333" s="121"/>
      <c r="T333" s="82"/>
      <c r="U333" s="292"/>
      <c r="V333" s="132"/>
      <c r="W333" s="121"/>
      <c r="X333" s="82"/>
      <c r="Y333" s="292"/>
      <c r="Z333" s="300"/>
      <c r="AA333" s="301"/>
      <c r="AB333" s="80"/>
      <c r="AC333" s="292"/>
      <c r="AD333" s="132"/>
      <c r="AE333" s="254"/>
      <c r="AF333" s="294"/>
      <c r="AG333" s="292"/>
      <c r="AH333" s="302"/>
      <c r="AI333" s="302"/>
      <c r="AJ333" s="302"/>
      <c r="AK333" s="292"/>
      <c r="AL333" s="82"/>
      <c r="AM333" s="82"/>
      <c r="AN333" s="82"/>
      <c r="AO333" s="292"/>
      <c r="AP333" s="82"/>
      <c r="AQ333" s="82"/>
      <c r="AR333" s="82"/>
      <c r="AS333" s="292"/>
      <c r="AT333" s="82"/>
      <c r="AU333" s="82"/>
      <c r="AV333" s="82"/>
    </row>
    <row r="334">
      <c r="A334" s="292"/>
      <c r="B334" s="132"/>
      <c r="C334" s="121"/>
      <c r="D334" s="82"/>
      <c r="E334" s="292"/>
      <c r="F334" s="132"/>
      <c r="G334" s="121"/>
      <c r="H334" s="82"/>
      <c r="I334" s="292"/>
      <c r="J334" s="132"/>
      <c r="K334" s="121"/>
      <c r="L334" s="82"/>
      <c r="M334" s="292"/>
      <c r="N334" s="132"/>
      <c r="O334" s="121"/>
      <c r="P334" s="82"/>
      <c r="Q334" s="292"/>
      <c r="R334" s="132"/>
      <c r="S334" s="121"/>
      <c r="T334" s="82"/>
      <c r="U334" s="292"/>
      <c r="V334" s="132"/>
      <c r="W334" s="121"/>
      <c r="X334" s="82"/>
      <c r="Y334" s="292"/>
      <c r="Z334" s="300"/>
      <c r="AA334" s="301"/>
      <c r="AB334" s="80"/>
      <c r="AC334" s="292"/>
      <c r="AD334" s="132"/>
      <c r="AE334" s="254"/>
      <c r="AF334" s="294"/>
      <c r="AG334" s="292"/>
      <c r="AH334" s="302"/>
      <c r="AI334" s="302"/>
      <c r="AJ334" s="302"/>
      <c r="AK334" s="292"/>
      <c r="AL334" s="82"/>
      <c r="AM334" s="82"/>
      <c r="AN334" s="82"/>
      <c r="AO334" s="292"/>
      <c r="AP334" s="82"/>
      <c r="AQ334" s="82"/>
      <c r="AR334" s="82"/>
      <c r="AS334" s="292"/>
      <c r="AT334" s="82"/>
      <c r="AU334" s="82"/>
      <c r="AV334" s="82"/>
    </row>
    <row r="335">
      <c r="A335" s="292"/>
      <c r="B335" s="132"/>
      <c r="C335" s="121"/>
      <c r="D335" s="82"/>
      <c r="E335" s="292"/>
      <c r="F335" s="132"/>
      <c r="G335" s="121"/>
      <c r="H335" s="82"/>
      <c r="I335" s="292"/>
      <c r="J335" s="132"/>
      <c r="K335" s="121"/>
      <c r="L335" s="82"/>
      <c r="M335" s="292"/>
      <c r="N335" s="132"/>
      <c r="O335" s="121"/>
      <c r="P335" s="82"/>
      <c r="Q335" s="292"/>
      <c r="R335" s="132"/>
      <c r="S335" s="121"/>
      <c r="T335" s="82"/>
      <c r="U335" s="292"/>
      <c r="V335" s="132"/>
      <c r="W335" s="121"/>
      <c r="X335" s="82"/>
      <c r="Y335" s="292"/>
      <c r="Z335" s="300"/>
      <c r="AA335" s="301"/>
      <c r="AB335" s="80"/>
      <c r="AC335" s="292"/>
      <c r="AD335" s="132"/>
      <c r="AE335" s="254"/>
      <c r="AF335" s="294"/>
      <c r="AG335" s="292"/>
      <c r="AH335" s="302"/>
      <c r="AI335" s="302"/>
      <c r="AJ335" s="302"/>
      <c r="AK335" s="292"/>
      <c r="AL335" s="82"/>
      <c r="AM335" s="82"/>
      <c r="AN335" s="82"/>
      <c r="AO335" s="292"/>
      <c r="AP335" s="82"/>
      <c r="AQ335" s="82"/>
      <c r="AR335" s="82"/>
      <c r="AS335" s="292"/>
      <c r="AT335" s="82"/>
      <c r="AU335" s="82"/>
      <c r="AV335" s="82"/>
    </row>
    <row r="336">
      <c r="A336" s="292"/>
      <c r="B336" s="132"/>
      <c r="C336" s="121"/>
      <c r="D336" s="82"/>
      <c r="E336" s="292"/>
      <c r="F336" s="132"/>
      <c r="G336" s="121"/>
      <c r="H336" s="82"/>
      <c r="I336" s="292"/>
      <c r="J336" s="132"/>
      <c r="K336" s="121"/>
      <c r="L336" s="82"/>
      <c r="M336" s="292"/>
      <c r="N336" s="132"/>
      <c r="O336" s="121"/>
      <c r="P336" s="82"/>
      <c r="Q336" s="292"/>
      <c r="R336" s="132"/>
      <c r="S336" s="121"/>
      <c r="T336" s="82"/>
      <c r="U336" s="292"/>
      <c r="V336" s="132"/>
      <c r="W336" s="121"/>
      <c r="X336" s="82"/>
      <c r="Y336" s="292"/>
      <c r="Z336" s="300"/>
      <c r="AA336" s="301"/>
      <c r="AB336" s="80"/>
      <c r="AC336" s="292"/>
      <c r="AD336" s="132"/>
      <c r="AE336" s="254"/>
      <c r="AF336" s="294"/>
      <c r="AG336" s="292"/>
      <c r="AH336" s="302"/>
      <c r="AI336" s="302"/>
      <c r="AJ336" s="302"/>
      <c r="AK336" s="292"/>
      <c r="AL336" s="82"/>
      <c r="AM336" s="82"/>
      <c r="AN336" s="82"/>
      <c r="AO336" s="292"/>
      <c r="AP336" s="82"/>
      <c r="AQ336" s="82"/>
      <c r="AR336" s="82"/>
      <c r="AS336" s="292"/>
      <c r="AT336" s="82"/>
      <c r="AU336" s="82"/>
      <c r="AV336" s="82"/>
    </row>
    <row r="337">
      <c r="A337" s="292"/>
      <c r="B337" s="132"/>
      <c r="C337" s="121"/>
      <c r="D337" s="82"/>
      <c r="E337" s="292"/>
      <c r="F337" s="132"/>
      <c r="G337" s="121"/>
      <c r="H337" s="82"/>
      <c r="I337" s="292"/>
      <c r="J337" s="132"/>
      <c r="K337" s="121"/>
      <c r="L337" s="82"/>
      <c r="M337" s="292"/>
      <c r="N337" s="132"/>
      <c r="O337" s="121"/>
      <c r="P337" s="82"/>
      <c r="Q337" s="292"/>
      <c r="R337" s="132"/>
      <c r="S337" s="121"/>
      <c r="T337" s="82"/>
      <c r="U337" s="292"/>
      <c r="V337" s="132"/>
      <c r="W337" s="121"/>
      <c r="X337" s="82"/>
      <c r="Y337" s="292"/>
      <c r="Z337" s="300"/>
      <c r="AA337" s="301"/>
      <c r="AB337" s="80"/>
      <c r="AC337" s="292"/>
      <c r="AD337" s="132"/>
      <c r="AE337" s="254"/>
      <c r="AF337" s="294"/>
      <c r="AG337" s="292"/>
      <c r="AH337" s="302"/>
      <c r="AI337" s="302"/>
      <c r="AJ337" s="302"/>
      <c r="AK337" s="292"/>
      <c r="AL337" s="82"/>
      <c r="AM337" s="82"/>
      <c r="AN337" s="82"/>
      <c r="AO337" s="292"/>
      <c r="AP337" s="82"/>
      <c r="AQ337" s="82"/>
      <c r="AR337" s="82"/>
      <c r="AS337" s="292"/>
      <c r="AT337" s="82"/>
      <c r="AU337" s="82"/>
      <c r="AV337" s="82"/>
    </row>
    <row r="338">
      <c r="A338" s="292"/>
      <c r="B338" s="132"/>
      <c r="C338" s="121"/>
      <c r="D338" s="82"/>
      <c r="E338" s="292"/>
      <c r="F338" s="132"/>
      <c r="G338" s="121"/>
      <c r="H338" s="82"/>
      <c r="I338" s="292"/>
      <c r="J338" s="132"/>
      <c r="K338" s="121"/>
      <c r="L338" s="82"/>
      <c r="M338" s="292"/>
      <c r="N338" s="132"/>
      <c r="O338" s="121"/>
      <c r="P338" s="82"/>
      <c r="Q338" s="292"/>
      <c r="R338" s="132"/>
      <c r="S338" s="121"/>
      <c r="T338" s="82"/>
      <c r="U338" s="292"/>
      <c r="V338" s="132"/>
      <c r="W338" s="121"/>
      <c r="X338" s="82"/>
      <c r="Y338" s="292"/>
      <c r="Z338" s="300"/>
      <c r="AA338" s="301"/>
      <c r="AB338" s="80"/>
      <c r="AC338" s="292"/>
      <c r="AD338" s="132"/>
      <c r="AE338" s="254"/>
      <c r="AF338" s="294"/>
      <c r="AG338" s="292"/>
      <c r="AH338" s="302"/>
      <c r="AI338" s="302"/>
      <c r="AJ338" s="302"/>
      <c r="AK338" s="292"/>
      <c r="AL338" s="82"/>
      <c r="AM338" s="82"/>
      <c r="AN338" s="82"/>
      <c r="AO338" s="292"/>
      <c r="AP338" s="82"/>
      <c r="AQ338" s="82"/>
      <c r="AR338" s="82"/>
      <c r="AS338" s="292"/>
      <c r="AT338" s="82"/>
      <c r="AU338" s="82"/>
      <c r="AV338" s="82"/>
    </row>
    <row r="339">
      <c r="A339" s="292"/>
      <c r="B339" s="132"/>
      <c r="C339" s="121"/>
      <c r="D339" s="82"/>
      <c r="E339" s="292"/>
      <c r="F339" s="132"/>
      <c r="G339" s="121"/>
      <c r="H339" s="82"/>
      <c r="I339" s="292"/>
      <c r="J339" s="132"/>
      <c r="K339" s="121"/>
      <c r="L339" s="82"/>
      <c r="M339" s="292"/>
      <c r="N339" s="132"/>
      <c r="O339" s="121"/>
      <c r="P339" s="82"/>
      <c r="Q339" s="292"/>
      <c r="R339" s="132"/>
      <c r="S339" s="121"/>
      <c r="T339" s="82"/>
      <c r="U339" s="292"/>
      <c r="V339" s="132"/>
      <c r="W339" s="121"/>
      <c r="X339" s="82"/>
      <c r="Y339" s="292"/>
      <c r="Z339" s="300"/>
      <c r="AA339" s="301"/>
      <c r="AB339" s="80"/>
      <c r="AC339" s="292"/>
      <c r="AD339" s="132"/>
      <c r="AE339" s="254"/>
      <c r="AF339" s="294"/>
      <c r="AG339" s="292"/>
      <c r="AH339" s="302"/>
      <c r="AI339" s="302"/>
      <c r="AJ339" s="302"/>
      <c r="AK339" s="292"/>
      <c r="AL339" s="82"/>
      <c r="AM339" s="82"/>
      <c r="AN339" s="82"/>
      <c r="AO339" s="292"/>
      <c r="AP339" s="82"/>
      <c r="AQ339" s="82"/>
      <c r="AR339" s="82"/>
      <c r="AS339" s="292"/>
      <c r="AT339" s="82"/>
      <c r="AU339" s="82"/>
      <c r="AV339" s="82"/>
    </row>
    <row r="340">
      <c r="A340" s="292"/>
      <c r="B340" s="132"/>
      <c r="C340" s="121"/>
      <c r="D340" s="82"/>
      <c r="E340" s="292"/>
      <c r="F340" s="132"/>
      <c r="G340" s="121"/>
      <c r="H340" s="82"/>
      <c r="I340" s="292"/>
      <c r="J340" s="132"/>
      <c r="K340" s="121"/>
      <c r="L340" s="82"/>
      <c r="M340" s="292"/>
      <c r="N340" s="132"/>
      <c r="O340" s="121"/>
      <c r="P340" s="82"/>
      <c r="Q340" s="292"/>
      <c r="R340" s="132"/>
      <c r="S340" s="121"/>
      <c r="T340" s="82"/>
      <c r="U340" s="292"/>
      <c r="V340" s="132"/>
      <c r="W340" s="121"/>
      <c r="X340" s="82"/>
      <c r="Y340" s="292"/>
      <c r="Z340" s="300"/>
      <c r="AA340" s="301"/>
      <c r="AB340" s="80"/>
      <c r="AC340" s="292"/>
      <c r="AD340" s="132"/>
      <c r="AE340" s="254"/>
      <c r="AF340" s="294"/>
      <c r="AG340" s="292"/>
      <c r="AH340" s="302"/>
      <c r="AI340" s="302"/>
      <c r="AJ340" s="302"/>
      <c r="AK340" s="292"/>
      <c r="AL340" s="82"/>
      <c r="AM340" s="82"/>
      <c r="AN340" s="82"/>
      <c r="AO340" s="292"/>
      <c r="AP340" s="82"/>
      <c r="AQ340" s="82"/>
      <c r="AR340" s="82"/>
      <c r="AS340" s="292"/>
      <c r="AT340" s="82"/>
      <c r="AU340" s="82"/>
      <c r="AV340" s="82"/>
    </row>
    <row r="341">
      <c r="A341" s="292"/>
      <c r="B341" s="132"/>
      <c r="C341" s="121"/>
      <c r="D341" s="82"/>
      <c r="E341" s="292"/>
      <c r="F341" s="132"/>
      <c r="G341" s="121"/>
      <c r="H341" s="82"/>
      <c r="I341" s="292"/>
      <c r="J341" s="132"/>
      <c r="K341" s="121"/>
      <c r="L341" s="82"/>
      <c r="M341" s="292"/>
      <c r="N341" s="132"/>
      <c r="O341" s="121"/>
      <c r="P341" s="82"/>
      <c r="Q341" s="292"/>
      <c r="R341" s="132"/>
      <c r="S341" s="121"/>
      <c r="T341" s="82"/>
      <c r="U341" s="292"/>
      <c r="V341" s="132"/>
      <c r="W341" s="121"/>
      <c r="X341" s="82"/>
      <c r="Y341" s="292"/>
      <c r="Z341" s="300"/>
      <c r="AA341" s="301"/>
      <c r="AB341" s="80"/>
      <c r="AC341" s="292"/>
      <c r="AD341" s="132"/>
      <c r="AE341" s="254"/>
      <c r="AF341" s="294"/>
      <c r="AG341" s="292"/>
      <c r="AH341" s="302"/>
      <c r="AI341" s="302"/>
      <c r="AJ341" s="302"/>
      <c r="AK341" s="292"/>
      <c r="AL341" s="82"/>
      <c r="AM341" s="82"/>
      <c r="AN341" s="82"/>
      <c r="AO341" s="292"/>
      <c r="AP341" s="82"/>
      <c r="AQ341" s="82"/>
      <c r="AR341" s="82"/>
      <c r="AS341" s="292"/>
      <c r="AT341" s="82"/>
      <c r="AU341" s="82"/>
      <c r="AV341" s="82"/>
    </row>
    <row r="342">
      <c r="A342" s="292"/>
      <c r="B342" s="132"/>
      <c r="C342" s="121"/>
      <c r="D342" s="82"/>
      <c r="E342" s="292"/>
      <c r="F342" s="132"/>
      <c r="G342" s="121"/>
      <c r="H342" s="82"/>
      <c r="I342" s="292"/>
      <c r="J342" s="132"/>
      <c r="K342" s="121"/>
      <c r="L342" s="82"/>
      <c r="M342" s="292"/>
      <c r="N342" s="132"/>
      <c r="O342" s="121"/>
      <c r="P342" s="82"/>
      <c r="Q342" s="292"/>
      <c r="R342" s="132"/>
      <c r="S342" s="121"/>
      <c r="T342" s="82"/>
      <c r="U342" s="292"/>
      <c r="V342" s="132"/>
      <c r="W342" s="121"/>
      <c r="X342" s="82"/>
      <c r="Y342" s="292"/>
      <c r="Z342" s="300"/>
      <c r="AA342" s="301"/>
      <c r="AB342" s="80"/>
      <c r="AC342" s="292"/>
      <c r="AD342" s="132"/>
      <c r="AE342" s="254"/>
      <c r="AF342" s="294"/>
      <c r="AG342" s="292"/>
      <c r="AH342" s="302"/>
      <c r="AI342" s="302"/>
      <c r="AJ342" s="302"/>
      <c r="AK342" s="292"/>
      <c r="AL342" s="82"/>
      <c r="AM342" s="82"/>
      <c r="AN342" s="82"/>
      <c r="AO342" s="292"/>
      <c r="AP342" s="82"/>
      <c r="AQ342" s="82"/>
      <c r="AR342" s="82"/>
      <c r="AS342" s="292"/>
      <c r="AT342" s="82"/>
      <c r="AU342" s="82"/>
      <c r="AV342" s="82"/>
    </row>
    <row r="343">
      <c r="A343" s="292"/>
      <c r="B343" s="132"/>
      <c r="C343" s="121"/>
      <c r="D343" s="82"/>
      <c r="E343" s="292"/>
      <c r="F343" s="132"/>
      <c r="G343" s="121"/>
      <c r="H343" s="82"/>
      <c r="I343" s="292"/>
      <c r="J343" s="132"/>
      <c r="K343" s="121"/>
      <c r="L343" s="82"/>
      <c r="M343" s="292"/>
      <c r="N343" s="132"/>
      <c r="O343" s="121"/>
      <c r="P343" s="82"/>
      <c r="Q343" s="292"/>
      <c r="R343" s="132"/>
      <c r="S343" s="121"/>
      <c r="T343" s="82"/>
      <c r="U343" s="292"/>
      <c r="V343" s="132"/>
      <c r="W343" s="121"/>
      <c r="X343" s="82"/>
      <c r="Y343" s="292"/>
      <c r="Z343" s="300"/>
      <c r="AA343" s="301"/>
      <c r="AB343" s="80"/>
      <c r="AC343" s="292"/>
      <c r="AD343" s="132"/>
      <c r="AE343" s="254"/>
      <c r="AF343" s="294"/>
      <c r="AG343" s="292"/>
      <c r="AH343" s="302"/>
      <c r="AI343" s="302"/>
      <c r="AJ343" s="302"/>
      <c r="AK343" s="292"/>
      <c r="AL343" s="82"/>
      <c r="AM343" s="82"/>
      <c r="AN343" s="82"/>
      <c r="AO343" s="292"/>
      <c r="AP343" s="82"/>
      <c r="AQ343" s="82"/>
      <c r="AR343" s="82"/>
      <c r="AS343" s="292"/>
      <c r="AT343" s="82"/>
      <c r="AU343" s="82"/>
      <c r="AV343" s="82"/>
    </row>
    <row r="344">
      <c r="A344" s="292"/>
      <c r="B344" s="132"/>
      <c r="C344" s="121"/>
      <c r="D344" s="82"/>
      <c r="E344" s="292"/>
      <c r="F344" s="132"/>
      <c r="G344" s="121"/>
      <c r="H344" s="82"/>
      <c r="I344" s="292"/>
      <c r="J344" s="132"/>
      <c r="K344" s="121"/>
      <c r="L344" s="82"/>
      <c r="M344" s="292"/>
      <c r="N344" s="132"/>
      <c r="O344" s="121"/>
      <c r="P344" s="82"/>
      <c r="Q344" s="292"/>
      <c r="R344" s="132"/>
      <c r="S344" s="121"/>
      <c r="T344" s="82"/>
      <c r="U344" s="292"/>
      <c r="V344" s="132"/>
      <c r="W344" s="121"/>
      <c r="X344" s="82"/>
      <c r="Y344" s="292"/>
      <c r="Z344" s="300"/>
      <c r="AA344" s="301"/>
      <c r="AB344" s="80"/>
      <c r="AC344" s="292"/>
      <c r="AD344" s="132"/>
      <c r="AE344" s="254"/>
      <c r="AF344" s="294"/>
      <c r="AG344" s="292"/>
      <c r="AH344" s="302"/>
      <c r="AI344" s="302"/>
      <c r="AJ344" s="302"/>
      <c r="AK344" s="292"/>
      <c r="AL344" s="82"/>
      <c r="AM344" s="82"/>
      <c r="AN344" s="82"/>
      <c r="AO344" s="292"/>
      <c r="AP344" s="82"/>
      <c r="AQ344" s="82"/>
      <c r="AR344" s="82"/>
      <c r="AS344" s="292"/>
      <c r="AT344" s="82"/>
      <c r="AU344" s="82"/>
      <c r="AV344" s="82"/>
    </row>
    <row r="345">
      <c r="A345" s="292"/>
      <c r="B345" s="132"/>
      <c r="C345" s="121"/>
      <c r="D345" s="82"/>
      <c r="E345" s="292"/>
      <c r="F345" s="132"/>
      <c r="G345" s="121"/>
      <c r="H345" s="82"/>
      <c r="I345" s="292"/>
      <c r="J345" s="132"/>
      <c r="K345" s="121"/>
      <c r="L345" s="82"/>
      <c r="M345" s="292"/>
      <c r="N345" s="132"/>
      <c r="O345" s="121"/>
      <c r="P345" s="82"/>
      <c r="Q345" s="292"/>
      <c r="R345" s="132"/>
      <c r="S345" s="121"/>
      <c r="T345" s="82"/>
      <c r="U345" s="292"/>
      <c r="V345" s="132"/>
      <c r="W345" s="121"/>
      <c r="X345" s="82"/>
      <c r="Y345" s="292"/>
      <c r="Z345" s="300"/>
      <c r="AA345" s="301"/>
      <c r="AB345" s="80"/>
      <c r="AC345" s="292"/>
      <c r="AD345" s="132"/>
      <c r="AE345" s="254"/>
      <c r="AF345" s="294"/>
      <c r="AG345" s="292"/>
      <c r="AH345" s="302"/>
      <c r="AI345" s="302"/>
      <c r="AJ345" s="302"/>
      <c r="AK345" s="292"/>
      <c r="AL345" s="82"/>
      <c r="AM345" s="82"/>
      <c r="AN345" s="82"/>
      <c r="AO345" s="292"/>
      <c r="AP345" s="82"/>
      <c r="AQ345" s="82"/>
      <c r="AR345" s="82"/>
      <c r="AS345" s="292"/>
      <c r="AT345" s="82"/>
      <c r="AU345" s="82"/>
      <c r="AV345" s="82"/>
    </row>
    <row r="346">
      <c r="A346" s="292"/>
      <c r="B346" s="132"/>
      <c r="C346" s="121"/>
      <c r="D346" s="82"/>
      <c r="E346" s="292"/>
      <c r="F346" s="132"/>
      <c r="G346" s="121"/>
      <c r="H346" s="82"/>
      <c r="I346" s="292"/>
      <c r="J346" s="132"/>
      <c r="K346" s="121"/>
      <c r="L346" s="82"/>
      <c r="M346" s="292"/>
      <c r="N346" s="132"/>
      <c r="O346" s="121"/>
      <c r="P346" s="82"/>
      <c r="Q346" s="292"/>
      <c r="R346" s="132"/>
      <c r="S346" s="121"/>
      <c r="T346" s="82"/>
      <c r="U346" s="292"/>
      <c r="V346" s="132"/>
      <c r="W346" s="121"/>
      <c r="X346" s="82"/>
      <c r="Y346" s="292"/>
      <c r="Z346" s="300"/>
      <c r="AA346" s="301"/>
      <c r="AB346" s="80"/>
      <c r="AC346" s="292"/>
      <c r="AD346" s="132"/>
      <c r="AE346" s="254"/>
      <c r="AF346" s="294"/>
      <c r="AG346" s="292"/>
      <c r="AH346" s="302"/>
      <c r="AI346" s="302"/>
      <c r="AJ346" s="302"/>
      <c r="AK346" s="292"/>
      <c r="AL346" s="82"/>
      <c r="AM346" s="82"/>
      <c r="AN346" s="82"/>
      <c r="AO346" s="292"/>
      <c r="AP346" s="82"/>
      <c r="AQ346" s="82"/>
      <c r="AR346" s="82"/>
      <c r="AS346" s="292"/>
      <c r="AT346" s="82"/>
      <c r="AU346" s="82"/>
      <c r="AV346" s="82"/>
    </row>
    <row r="347">
      <c r="A347" s="292"/>
      <c r="B347" s="132"/>
      <c r="C347" s="121"/>
      <c r="D347" s="82"/>
      <c r="E347" s="292"/>
      <c r="F347" s="132"/>
      <c r="G347" s="121"/>
      <c r="H347" s="82"/>
      <c r="I347" s="292"/>
      <c r="J347" s="132"/>
      <c r="K347" s="121"/>
      <c r="L347" s="82"/>
      <c r="M347" s="292"/>
      <c r="N347" s="132"/>
      <c r="O347" s="121"/>
      <c r="P347" s="82"/>
      <c r="Q347" s="292"/>
      <c r="R347" s="132"/>
      <c r="S347" s="121"/>
      <c r="T347" s="82"/>
      <c r="U347" s="292"/>
      <c r="V347" s="132"/>
      <c r="W347" s="121"/>
      <c r="X347" s="82"/>
      <c r="Y347" s="292"/>
      <c r="Z347" s="300"/>
      <c r="AA347" s="301"/>
      <c r="AB347" s="80"/>
      <c r="AC347" s="292"/>
      <c r="AD347" s="132"/>
      <c r="AE347" s="254"/>
      <c r="AF347" s="294"/>
      <c r="AG347" s="292"/>
      <c r="AH347" s="302"/>
      <c r="AI347" s="302"/>
      <c r="AJ347" s="302"/>
      <c r="AK347" s="292"/>
      <c r="AL347" s="82"/>
      <c r="AM347" s="82"/>
      <c r="AN347" s="82"/>
      <c r="AO347" s="292"/>
      <c r="AP347" s="82"/>
      <c r="AQ347" s="82"/>
      <c r="AR347" s="82"/>
      <c r="AS347" s="292"/>
      <c r="AT347" s="82"/>
      <c r="AU347" s="82"/>
      <c r="AV347" s="82"/>
    </row>
    <row r="348">
      <c r="A348" s="292"/>
      <c r="B348" s="132"/>
      <c r="C348" s="121"/>
      <c r="D348" s="82"/>
      <c r="E348" s="292"/>
      <c r="F348" s="132"/>
      <c r="G348" s="121"/>
      <c r="H348" s="82"/>
      <c r="I348" s="292"/>
      <c r="J348" s="132"/>
      <c r="K348" s="121"/>
      <c r="L348" s="82"/>
      <c r="M348" s="292"/>
      <c r="N348" s="132"/>
      <c r="O348" s="121"/>
      <c r="P348" s="82"/>
      <c r="Q348" s="292"/>
      <c r="R348" s="132"/>
      <c r="S348" s="121"/>
      <c r="T348" s="82"/>
      <c r="U348" s="292"/>
      <c r="V348" s="132"/>
      <c r="W348" s="121"/>
      <c r="X348" s="82"/>
      <c r="Y348" s="292"/>
      <c r="Z348" s="300"/>
      <c r="AA348" s="301"/>
      <c r="AB348" s="80"/>
      <c r="AC348" s="292"/>
      <c r="AD348" s="132"/>
      <c r="AE348" s="254"/>
      <c r="AF348" s="294"/>
      <c r="AG348" s="292"/>
      <c r="AH348" s="302"/>
      <c r="AI348" s="302"/>
      <c r="AJ348" s="302"/>
      <c r="AK348" s="292"/>
      <c r="AL348" s="82"/>
      <c r="AM348" s="82"/>
      <c r="AN348" s="82"/>
      <c r="AO348" s="292"/>
      <c r="AP348" s="82"/>
      <c r="AQ348" s="82"/>
      <c r="AR348" s="82"/>
      <c r="AS348" s="292"/>
      <c r="AT348" s="82"/>
      <c r="AU348" s="82"/>
      <c r="AV348" s="82"/>
    </row>
    <row r="349">
      <c r="A349" s="292"/>
      <c r="B349" s="132"/>
      <c r="C349" s="121"/>
      <c r="D349" s="82"/>
      <c r="E349" s="292"/>
      <c r="F349" s="132"/>
      <c r="G349" s="121"/>
      <c r="H349" s="82"/>
      <c r="I349" s="292"/>
      <c r="J349" s="132"/>
      <c r="K349" s="121"/>
      <c r="L349" s="82"/>
      <c r="M349" s="292"/>
      <c r="N349" s="132"/>
      <c r="O349" s="121"/>
      <c r="P349" s="82"/>
      <c r="Q349" s="292"/>
      <c r="R349" s="132"/>
      <c r="S349" s="121"/>
      <c r="T349" s="82"/>
      <c r="U349" s="292"/>
      <c r="V349" s="132"/>
      <c r="W349" s="121"/>
      <c r="X349" s="82"/>
      <c r="Y349" s="292"/>
      <c r="Z349" s="300"/>
      <c r="AA349" s="301"/>
      <c r="AB349" s="80"/>
      <c r="AC349" s="292"/>
      <c r="AD349" s="132"/>
      <c r="AE349" s="254"/>
      <c r="AF349" s="294"/>
      <c r="AG349" s="292"/>
      <c r="AH349" s="302"/>
      <c r="AI349" s="302"/>
      <c r="AJ349" s="302"/>
      <c r="AK349" s="292"/>
      <c r="AL349" s="82"/>
      <c r="AM349" s="82"/>
      <c r="AN349" s="82"/>
      <c r="AO349" s="292"/>
      <c r="AP349" s="82"/>
      <c r="AQ349" s="82"/>
      <c r="AR349" s="82"/>
      <c r="AS349" s="292"/>
      <c r="AT349" s="82"/>
      <c r="AU349" s="82"/>
      <c r="AV349" s="82"/>
    </row>
    <row r="350">
      <c r="A350" s="292"/>
      <c r="B350" s="132"/>
      <c r="C350" s="121"/>
      <c r="D350" s="82"/>
      <c r="E350" s="292"/>
      <c r="F350" s="132"/>
      <c r="G350" s="121"/>
      <c r="H350" s="82"/>
      <c r="I350" s="292"/>
      <c r="J350" s="132"/>
      <c r="K350" s="121"/>
      <c r="L350" s="82"/>
      <c r="M350" s="292"/>
      <c r="N350" s="132"/>
      <c r="O350" s="121"/>
      <c r="P350" s="82"/>
      <c r="Q350" s="292"/>
      <c r="R350" s="132"/>
      <c r="S350" s="121"/>
      <c r="T350" s="82"/>
      <c r="U350" s="292"/>
      <c r="V350" s="132"/>
      <c r="W350" s="121"/>
      <c r="X350" s="82"/>
      <c r="Y350" s="292"/>
      <c r="Z350" s="300"/>
      <c r="AA350" s="301"/>
      <c r="AB350" s="80"/>
      <c r="AC350" s="292"/>
      <c r="AD350" s="132"/>
      <c r="AE350" s="254"/>
      <c r="AF350" s="294"/>
      <c r="AG350" s="292"/>
      <c r="AH350" s="302"/>
      <c r="AI350" s="302"/>
      <c r="AJ350" s="302"/>
      <c r="AK350" s="292"/>
      <c r="AL350" s="82"/>
      <c r="AM350" s="82"/>
      <c r="AN350" s="82"/>
      <c r="AO350" s="292"/>
      <c r="AP350" s="82"/>
      <c r="AQ350" s="82"/>
      <c r="AR350" s="82"/>
      <c r="AS350" s="292"/>
      <c r="AT350" s="82"/>
      <c r="AU350" s="82"/>
      <c r="AV350" s="82"/>
    </row>
    <row r="351">
      <c r="A351" s="292"/>
      <c r="B351" s="132"/>
      <c r="C351" s="121"/>
      <c r="D351" s="82"/>
      <c r="E351" s="292"/>
      <c r="F351" s="132"/>
      <c r="G351" s="121"/>
      <c r="H351" s="82"/>
      <c r="I351" s="292"/>
      <c r="J351" s="132"/>
      <c r="K351" s="121"/>
      <c r="L351" s="82"/>
      <c r="M351" s="292"/>
      <c r="N351" s="132"/>
      <c r="O351" s="121"/>
      <c r="P351" s="82"/>
      <c r="Q351" s="292"/>
      <c r="R351" s="132"/>
      <c r="S351" s="121"/>
      <c r="T351" s="82"/>
      <c r="U351" s="292"/>
      <c r="V351" s="132"/>
      <c r="W351" s="121"/>
      <c r="X351" s="82"/>
      <c r="Y351" s="292"/>
      <c r="Z351" s="300"/>
      <c r="AA351" s="301"/>
      <c r="AB351" s="80"/>
      <c r="AC351" s="292"/>
      <c r="AD351" s="132"/>
      <c r="AE351" s="254"/>
      <c r="AF351" s="294"/>
      <c r="AG351" s="292"/>
      <c r="AH351" s="302"/>
      <c r="AI351" s="302"/>
      <c r="AJ351" s="302"/>
      <c r="AK351" s="292"/>
      <c r="AL351" s="82"/>
      <c r="AM351" s="82"/>
      <c r="AN351" s="82"/>
      <c r="AO351" s="292"/>
      <c r="AP351" s="82"/>
      <c r="AQ351" s="82"/>
      <c r="AR351" s="82"/>
      <c r="AS351" s="292"/>
      <c r="AT351" s="82"/>
      <c r="AU351" s="82"/>
      <c r="AV351" s="82"/>
    </row>
    <row r="352">
      <c r="A352" s="292"/>
      <c r="B352" s="132"/>
      <c r="C352" s="121"/>
      <c r="D352" s="82"/>
      <c r="E352" s="292"/>
      <c r="F352" s="132"/>
      <c r="G352" s="121"/>
      <c r="H352" s="82"/>
      <c r="I352" s="292"/>
      <c r="J352" s="132"/>
      <c r="K352" s="121"/>
      <c r="L352" s="82"/>
      <c r="M352" s="292"/>
      <c r="N352" s="132"/>
      <c r="O352" s="121"/>
      <c r="P352" s="82"/>
      <c r="Q352" s="292"/>
      <c r="R352" s="132"/>
      <c r="S352" s="121"/>
      <c r="T352" s="82"/>
      <c r="U352" s="292"/>
      <c r="V352" s="132"/>
      <c r="W352" s="121"/>
      <c r="X352" s="82"/>
      <c r="Y352" s="292"/>
      <c r="Z352" s="300"/>
      <c r="AA352" s="301"/>
      <c r="AB352" s="80"/>
      <c r="AC352" s="292"/>
      <c r="AD352" s="132"/>
      <c r="AE352" s="254"/>
      <c r="AF352" s="294"/>
      <c r="AG352" s="292"/>
      <c r="AH352" s="302"/>
      <c r="AI352" s="302"/>
      <c r="AJ352" s="302"/>
      <c r="AK352" s="292"/>
      <c r="AL352" s="82"/>
      <c r="AM352" s="82"/>
      <c r="AN352" s="82"/>
      <c r="AO352" s="292"/>
      <c r="AP352" s="82"/>
      <c r="AQ352" s="82"/>
      <c r="AR352" s="82"/>
      <c r="AS352" s="292"/>
      <c r="AT352" s="82"/>
      <c r="AU352" s="82"/>
      <c r="AV352" s="82"/>
    </row>
    <row r="353">
      <c r="A353" s="292"/>
      <c r="B353" s="132"/>
      <c r="C353" s="121"/>
      <c r="D353" s="82"/>
      <c r="E353" s="292"/>
      <c r="F353" s="132"/>
      <c r="G353" s="121"/>
      <c r="H353" s="82"/>
      <c r="I353" s="292"/>
      <c r="J353" s="132"/>
      <c r="K353" s="121"/>
      <c r="L353" s="82"/>
      <c r="M353" s="292"/>
      <c r="N353" s="132"/>
      <c r="O353" s="121"/>
      <c r="P353" s="82"/>
      <c r="Q353" s="292"/>
      <c r="R353" s="132"/>
      <c r="S353" s="121"/>
      <c r="T353" s="82"/>
      <c r="U353" s="292"/>
      <c r="V353" s="132"/>
      <c r="W353" s="121"/>
      <c r="X353" s="82"/>
      <c r="Y353" s="292"/>
      <c r="Z353" s="300"/>
      <c r="AA353" s="301"/>
      <c r="AB353" s="80"/>
      <c r="AC353" s="292"/>
      <c r="AD353" s="132"/>
      <c r="AE353" s="254"/>
      <c r="AF353" s="294"/>
      <c r="AG353" s="292"/>
      <c r="AH353" s="302"/>
      <c r="AI353" s="302"/>
      <c r="AJ353" s="302"/>
      <c r="AK353" s="292"/>
      <c r="AL353" s="82"/>
      <c r="AM353" s="82"/>
      <c r="AN353" s="82"/>
      <c r="AO353" s="292"/>
      <c r="AP353" s="82"/>
      <c r="AQ353" s="82"/>
      <c r="AR353" s="82"/>
      <c r="AS353" s="292"/>
      <c r="AT353" s="82"/>
      <c r="AU353" s="82"/>
      <c r="AV353" s="82"/>
    </row>
    <row r="354">
      <c r="A354" s="292"/>
      <c r="B354" s="132"/>
      <c r="C354" s="121"/>
      <c r="D354" s="82"/>
      <c r="E354" s="292"/>
      <c r="F354" s="132"/>
      <c r="G354" s="121"/>
      <c r="H354" s="82"/>
      <c r="I354" s="292"/>
      <c r="J354" s="132"/>
      <c r="K354" s="121"/>
      <c r="L354" s="82"/>
      <c r="M354" s="292"/>
      <c r="N354" s="132"/>
      <c r="O354" s="121"/>
      <c r="P354" s="82"/>
      <c r="Q354" s="292"/>
      <c r="R354" s="132"/>
      <c r="S354" s="121"/>
      <c r="T354" s="82"/>
      <c r="U354" s="292"/>
      <c r="V354" s="132"/>
      <c r="W354" s="121"/>
      <c r="X354" s="82"/>
      <c r="Y354" s="292"/>
      <c r="Z354" s="300"/>
      <c r="AA354" s="301"/>
      <c r="AB354" s="80"/>
      <c r="AC354" s="292"/>
      <c r="AD354" s="132"/>
      <c r="AE354" s="254"/>
      <c r="AF354" s="294"/>
      <c r="AG354" s="292"/>
      <c r="AH354" s="302"/>
      <c r="AI354" s="302"/>
      <c r="AJ354" s="302"/>
      <c r="AK354" s="292"/>
      <c r="AL354" s="82"/>
      <c r="AM354" s="82"/>
      <c r="AN354" s="82"/>
      <c r="AO354" s="292"/>
      <c r="AP354" s="82"/>
      <c r="AQ354" s="82"/>
      <c r="AR354" s="82"/>
      <c r="AS354" s="292"/>
      <c r="AT354" s="82"/>
      <c r="AU354" s="82"/>
      <c r="AV354" s="82"/>
    </row>
    <row r="355">
      <c r="A355" s="292"/>
      <c r="B355" s="132"/>
      <c r="C355" s="121"/>
      <c r="D355" s="82"/>
      <c r="E355" s="292"/>
      <c r="F355" s="132"/>
      <c r="G355" s="121"/>
      <c r="H355" s="82"/>
      <c r="I355" s="292"/>
      <c r="J355" s="132"/>
      <c r="K355" s="121"/>
      <c r="L355" s="82"/>
      <c r="M355" s="292"/>
      <c r="N355" s="132"/>
      <c r="O355" s="121"/>
      <c r="P355" s="82"/>
      <c r="Q355" s="292"/>
      <c r="R355" s="132"/>
      <c r="S355" s="121"/>
      <c r="T355" s="82"/>
      <c r="U355" s="292"/>
      <c r="V355" s="132"/>
      <c r="W355" s="121"/>
      <c r="X355" s="82"/>
      <c r="Y355" s="292"/>
      <c r="Z355" s="300"/>
      <c r="AA355" s="301"/>
      <c r="AB355" s="80"/>
      <c r="AC355" s="292"/>
      <c r="AD355" s="132"/>
      <c r="AE355" s="254"/>
      <c r="AF355" s="294"/>
      <c r="AG355" s="292"/>
      <c r="AH355" s="302"/>
      <c r="AI355" s="302"/>
      <c r="AJ355" s="302"/>
      <c r="AK355" s="292"/>
      <c r="AL355" s="82"/>
      <c r="AM355" s="82"/>
      <c r="AN355" s="82"/>
      <c r="AO355" s="292"/>
      <c r="AP355" s="82"/>
      <c r="AQ355" s="82"/>
      <c r="AR355" s="82"/>
      <c r="AS355" s="292"/>
      <c r="AT355" s="82"/>
      <c r="AU355" s="82"/>
      <c r="AV355" s="82"/>
    </row>
    <row r="356">
      <c r="A356" s="292"/>
      <c r="B356" s="132"/>
      <c r="C356" s="121"/>
      <c r="D356" s="82"/>
      <c r="E356" s="292"/>
      <c r="F356" s="132"/>
      <c r="G356" s="121"/>
      <c r="H356" s="82"/>
      <c r="I356" s="292"/>
      <c r="J356" s="132"/>
      <c r="K356" s="121"/>
      <c r="L356" s="82"/>
      <c r="M356" s="292"/>
      <c r="N356" s="132"/>
      <c r="O356" s="121"/>
      <c r="P356" s="82"/>
      <c r="Q356" s="292"/>
      <c r="R356" s="132"/>
      <c r="S356" s="121"/>
      <c r="T356" s="82"/>
      <c r="U356" s="292"/>
      <c r="V356" s="132"/>
      <c r="W356" s="121"/>
      <c r="X356" s="82"/>
      <c r="Y356" s="292"/>
      <c r="Z356" s="300"/>
      <c r="AA356" s="301"/>
      <c r="AB356" s="80"/>
      <c r="AC356" s="292"/>
      <c r="AD356" s="132"/>
      <c r="AE356" s="254"/>
      <c r="AF356" s="294"/>
      <c r="AG356" s="292"/>
      <c r="AH356" s="302"/>
      <c r="AI356" s="302"/>
      <c r="AJ356" s="302"/>
      <c r="AK356" s="292"/>
      <c r="AL356" s="82"/>
      <c r="AM356" s="82"/>
      <c r="AN356" s="82"/>
      <c r="AO356" s="292"/>
      <c r="AP356" s="82"/>
      <c r="AQ356" s="82"/>
      <c r="AR356" s="82"/>
      <c r="AS356" s="292"/>
      <c r="AT356" s="82"/>
      <c r="AU356" s="82"/>
      <c r="AV356" s="82"/>
    </row>
    <row r="357">
      <c r="A357" s="292"/>
      <c r="B357" s="132"/>
      <c r="C357" s="121"/>
      <c r="D357" s="82"/>
      <c r="E357" s="292"/>
      <c r="F357" s="132"/>
      <c r="G357" s="121"/>
      <c r="H357" s="82"/>
      <c r="I357" s="292"/>
      <c r="J357" s="132"/>
      <c r="K357" s="121"/>
      <c r="L357" s="82"/>
      <c r="M357" s="292"/>
      <c r="N357" s="132"/>
      <c r="O357" s="121"/>
      <c r="P357" s="82"/>
      <c r="Q357" s="292"/>
      <c r="R357" s="132"/>
      <c r="S357" s="121"/>
      <c r="T357" s="82"/>
      <c r="U357" s="292"/>
      <c r="V357" s="132"/>
      <c r="W357" s="121"/>
      <c r="X357" s="82"/>
      <c r="Y357" s="292"/>
      <c r="Z357" s="300"/>
      <c r="AA357" s="301"/>
      <c r="AB357" s="80"/>
      <c r="AC357" s="292"/>
      <c r="AD357" s="132"/>
      <c r="AE357" s="254"/>
      <c r="AF357" s="294"/>
      <c r="AG357" s="292"/>
      <c r="AH357" s="302"/>
      <c r="AI357" s="302"/>
      <c r="AJ357" s="302"/>
      <c r="AK357" s="292"/>
      <c r="AL357" s="82"/>
      <c r="AM357" s="82"/>
      <c r="AN357" s="82"/>
      <c r="AO357" s="292"/>
      <c r="AP357" s="82"/>
      <c r="AQ357" s="82"/>
      <c r="AR357" s="82"/>
      <c r="AS357" s="292"/>
      <c r="AT357" s="82"/>
      <c r="AU357" s="82"/>
      <c r="AV357" s="82"/>
    </row>
    <row r="358">
      <c r="A358" s="292"/>
      <c r="B358" s="132"/>
      <c r="C358" s="121"/>
      <c r="D358" s="82"/>
      <c r="E358" s="292"/>
      <c r="F358" s="132"/>
      <c r="G358" s="121"/>
      <c r="H358" s="82"/>
      <c r="I358" s="292"/>
      <c r="J358" s="132"/>
      <c r="K358" s="121"/>
      <c r="L358" s="82"/>
      <c r="M358" s="292"/>
      <c r="N358" s="132"/>
      <c r="O358" s="121"/>
      <c r="P358" s="82"/>
      <c r="Q358" s="292"/>
      <c r="R358" s="132"/>
      <c r="S358" s="121"/>
      <c r="T358" s="82"/>
      <c r="U358" s="292"/>
      <c r="V358" s="132"/>
      <c r="W358" s="121"/>
      <c r="X358" s="82"/>
      <c r="Y358" s="292"/>
      <c r="Z358" s="300"/>
      <c r="AA358" s="301"/>
      <c r="AB358" s="80"/>
      <c r="AC358" s="292"/>
      <c r="AD358" s="132"/>
      <c r="AE358" s="254"/>
      <c r="AF358" s="294"/>
      <c r="AG358" s="292"/>
      <c r="AH358" s="302"/>
      <c r="AI358" s="302"/>
      <c r="AJ358" s="302"/>
      <c r="AK358" s="292"/>
      <c r="AL358" s="82"/>
      <c r="AM358" s="82"/>
      <c r="AN358" s="82"/>
      <c r="AO358" s="292"/>
      <c r="AP358" s="82"/>
      <c r="AQ358" s="82"/>
      <c r="AR358" s="82"/>
      <c r="AS358" s="292"/>
      <c r="AT358" s="82"/>
      <c r="AU358" s="82"/>
      <c r="AV358" s="82"/>
    </row>
    <row r="359">
      <c r="A359" s="292"/>
      <c r="B359" s="132"/>
      <c r="C359" s="121"/>
      <c r="D359" s="82"/>
      <c r="E359" s="292"/>
      <c r="F359" s="132"/>
      <c r="G359" s="121"/>
      <c r="H359" s="82"/>
      <c r="I359" s="292"/>
      <c r="J359" s="132"/>
      <c r="K359" s="121"/>
      <c r="L359" s="82"/>
      <c r="M359" s="292"/>
      <c r="N359" s="132"/>
      <c r="O359" s="121"/>
      <c r="P359" s="82"/>
      <c r="Q359" s="292"/>
      <c r="R359" s="132"/>
      <c r="S359" s="121"/>
      <c r="T359" s="82"/>
      <c r="U359" s="292"/>
      <c r="V359" s="132"/>
      <c r="W359" s="121"/>
      <c r="X359" s="82"/>
      <c r="Y359" s="292"/>
      <c r="Z359" s="300"/>
      <c r="AA359" s="301"/>
      <c r="AB359" s="80"/>
      <c r="AC359" s="292"/>
      <c r="AD359" s="132"/>
      <c r="AE359" s="254"/>
      <c r="AF359" s="294"/>
      <c r="AG359" s="292"/>
      <c r="AH359" s="302"/>
      <c r="AI359" s="302"/>
      <c r="AJ359" s="302"/>
      <c r="AK359" s="292"/>
      <c r="AL359" s="82"/>
      <c r="AM359" s="82"/>
      <c r="AN359" s="82"/>
      <c r="AO359" s="292"/>
      <c r="AP359" s="82"/>
      <c r="AQ359" s="82"/>
      <c r="AR359" s="82"/>
      <c r="AS359" s="292"/>
      <c r="AT359" s="82"/>
      <c r="AU359" s="82"/>
      <c r="AV359" s="82"/>
    </row>
    <row r="360">
      <c r="A360" s="292"/>
      <c r="B360" s="132"/>
      <c r="C360" s="121"/>
      <c r="D360" s="82"/>
      <c r="E360" s="292"/>
      <c r="F360" s="132"/>
      <c r="G360" s="121"/>
      <c r="H360" s="82"/>
      <c r="I360" s="292"/>
      <c r="J360" s="132"/>
      <c r="K360" s="121"/>
      <c r="L360" s="82"/>
      <c r="M360" s="292"/>
      <c r="N360" s="132"/>
      <c r="O360" s="121"/>
      <c r="P360" s="82"/>
      <c r="Q360" s="292"/>
      <c r="R360" s="132"/>
      <c r="S360" s="121"/>
      <c r="T360" s="82"/>
      <c r="U360" s="292"/>
      <c r="V360" s="132"/>
      <c r="W360" s="121"/>
      <c r="X360" s="82"/>
      <c r="Y360" s="292"/>
      <c r="Z360" s="300"/>
      <c r="AA360" s="301"/>
      <c r="AB360" s="80"/>
      <c r="AC360" s="292"/>
      <c r="AD360" s="132"/>
      <c r="AE360" s="254"/>
      <c r="AF360" s="294"/>
      <c r="AG360" s="292"/>
      <c r="AH360" s="302"/>
      <c r="AI360" s="302"/>
      <c r="AJ360" s="302"/>
      <c r="AK360" s="292"/>
      <c r="AL360" s="82"/>
      <c r="AM360" s="82"/>
      <c r="AN360" s="82"/>
      <c r="AO360" s="292"/>
      <c r="AP360" s="82"/>
      <c r="AQ360" s="82"/>
      <c r="AR360" s="82"/>
      <c r="AS360" s="292"/>
      <c r="AT360" s="82"/>
      <c r="AU360" s="82"/>
      <c r="AV360" s="82"/>
    </row>
    <row r="361">
      <c r="A361" s="292"/>
      <c r="B361" s="132"/>
      <c r="C361" s="121"/>
      <c r="D361" s="82"/>
      <c r="E361" s="292"/>
      <c r="F361" s="132"/>
      <c r="G361" s="121"/>
      <c r="H361" s="82"/>
      <c r="I361" s="292"/>
      <c r="J361" s="132"/>
      <c r="K361" s="121"/>
      <c r="L361" s="82"/>
      <c r="M361" s="292"/>
      <c r="N361" s="132"/>
      <c r="O361" s="121"/>
      <c r="P361" s="82"/>
      <c r="Q361" s="292"/>
      <c r="R361" s="132"/>
      <c r="S361" s="121"/>
      <c r="T361" s="82"/>
      <c r="U361" s="292"/>
      <c r="V361" s="132"/>
      <c r="W361" s="121"/>
      <c r="X361" s="82"/>
      <c r="Y361" s="292"/>
      <c r="Z361" s="300"/>
      <c r="AA361" s="301"/>
      <c r="AB361" s="80"/>
      <c r="AC361" s="292"/>
      <c r="AD361" s="132"/>
      <c r="AE361" s="254"/>
      <c r="AF361" s="294"/>
      <c r="AG361" s="292"/>
      <c r="AH361" s="302"/>
      <c r="AI361" s="302"/>
      <c r="AJ361" s="302"/>
      <c r="AK361" s="292"/>
      <c r="AL361" s="82"/>
      <c r="AM361" s="82"/>
      <c r="AN361" s="82"/>
      <c r="AO361" s="292"/>
      <c r="AP361" s="82"/>
      <c r="AQ361" s="82"/>
      <c r="AR361" s="82"/>
      <c r="AS361" s="292"/>
      <c r="AT361" s="82"/>
      <c r="AU361" s="82"/>
      <c r="AV361" s="82"/>
    </row>
    <row r="362">
      <c r="A362" s="292"/>
      <c r="B362" s="132"/>
      <c r="C362" s="121"/>
      <c r="D362" s="82"/>
      <c r="E362" s="292"/>
      <c r="F362" s="132"/>
      <c r="G362" s="121"/>
      <c r="H362" s="82"/>
      <c r="I362" s="292"/>
      <c r="J362" s="132"/>
      <c r="K362" s="121"/>
      <c r="L362" s="82"/>
      <c r="M362" s="292"/>
      <c r="N362" s="132"/>
      <c r="O362" s="121"/>
      <c r="P362" s="82"/>
      <c r="Q362" s="292"/>
      <c r="R362" s="132"/>
      <c r="S362" s="121"/>
      <c r="T362" s="82"/>
      <c r="U362" s="292"/>
      <c r="V362" s="132"/>
      <c r="W362" s="121"/>
      <c r="X362" s="82"/>
      <c r="Y362" s="292"/>
      <c r="Z362" s="300"/>
      <c r="AA362" s="301"/>
      <c r="AB362" s="80"/>
      <c r="AC362" s="292"/>
      <c r="AD362" s="132"/>
      <c r="AE362" s="254"/>
      <c r="AF362" s="294"/>
      <c r="AG362" s="292"/>
      <c r="AH362" s="302"/>
      <c r="AI362" s="302"/>
      <c r="AJ362" s="302"/>
      <c r="AK362" s="292"/>
      <c r="AL362" s="82"/>
      <c r="AM362" s="82"/>
      <c r="AN362" s="82"/>
      <c r="AO362" s="292"/>
      <c r="AP362" s="82"/>
      <c r="AQ362" s="82"/>
      <c r="AR362" s="82"/>
      <c r="AS362" s="292"/>
      <c r="AT362" s="82"/>
      <c r="AU362" s="82"/>
      <c r="AV362" s="82"/>
    </row>
    <row r="363">
      <c r="A363" s="292"/>
      <c r="B363" s="132"/>
      <c r="C363" s="121"/>
      <c r="D363" s="82"/>
      <c r="E363" s="292"/>
      <c r="F363" s="132"/>
      <c r="G363" s="121"/>
      <c r="H363" s="82"/>
      <c r="I363" s="292"/>
      <c r="J363" s="132"/>
      <c r="K363" s="121"/>
      <c r="L363" s="82"/>
      <c r="M363" s="292"/>
      <c r="N363" s="132"/>
      <c r="O363" s="121"/>
      <c r="P363" s="82"/>
      <c r="Q363" s="292"/>
      <c r="R363" s="132"/>
      <c r="S363" s="121"/>
      <c r="T363" s="82"/>
      <c r="U363" s="292"/>
      <c r="V363" s="132"/>
      <c r="W363" s="121"/>
      <c r="X363" s="82"/>
      <c r="Y363" s="292"/>
      <c r="Z363" s="300"/>
      <c r="AA363" s="301"/>
      <c r="AB363" s="80"/>
      <c r="AC363" s="292"/>
      <c r="AD363" s="132"/>
      <c r="AE363" s="254"/>
      <c r="AF363" s="294"/>
      <c r="AG363" s="292"/>
      <c r="AH363" s="302"/>
      <c r="AI363" s="302"/>
      <c r="AJ363" s="302"/>
      <c r="AK363" s="292"/>
      <c r="AL363" s="82"/>
      <c r="AM363" s="82"/>
      <c r="AN363" s="82"/>
      <c r="AO363" s="292"/>
      <c r="AP363" s="82"/>
      <c r="AQ363" s="82"/>
      <c r="AR363" s="82"/>
      <c r="AS363" s="292"/>
      <c r="AT363" s="82"/>
      <c r="AU363" s="82"/>
      <c r="AV363" s="82"/>
    </row>
    <row r="364">
      <c r="A364" s="292"/>
      <c r="B364" s="132"/>
      <c r="C364" s="121"/>
      <c r="D364" s="82"/>
      <c r="E364" s="292"/>
      <c r="F364" s="132"/>
      <c r="G364" s="121"/>
      <c r="H364" s="82"/>
      <c r="I364" s="292"/>
      <c r="J364" s="132"/>
      <c r="K364" s="121"/>
      <c r="L364" s="82"/>
      <c r="M364" s="292"/>
      <c r="N364" s="132"/>
      <c r="O364" s="121"/>
      <c r="P364" s="82"/>
      <c r="Q364" s="292"/>
      <c r="R364" s="132"/>
      <c r="S364" s="121"/>
      <c r="T364" s="82"/>
      <c r="U364" s="292"/>
      <c r="V364" s="132"/>
      <c r="W364" s="121"/>
      <c r="X364" s="82"/>
      <c r="Y364" s="292"/>
      <c r="Z364" s="300"/>
      <c r="AA364" s="301"/>
      <c r="AB364" s="80"/>
      <c r="AC364" s="292"/>
      <c r="AD364" s="132"/>
      <c r="AE364" s="254"/>
      <c r="AF364" s="294"/>
      <c r="AG364" s="292"/>
      <c r="AH364" s="302"/>
      <c r="AI364" s="302"/>
      <c r="AJ364" s="302"/>
      <c r="AK364" s="292"/>
      <c r="AL364" s="82"/>
      <c r="AM364" s="82"/>
      <c r="AN364" s="82"/>
      <c r="AO364" s="292"/>
      <c r="AP364" s="82"/>
      <c r="AQ364" s="82"/>
      <c r="AR364" s="82"/>
      <c r="AS364" s="292"/>
      <c r="AT364" s="82"/>
      <c r="AU364" s="82"/>
      <c r="AV364" s="82"/>
    </row>
    <row r="365">
      <c r="A365" s="292"/>
      <c r="B365" s="132"/>
      <c r="C365" s="121"/>
      <c r="D365" s="82"/>
      <c r="E365" s="292"/>
      <c r="F365" s="132"/>
      <c r="G365" s="121"/>
      <c r="H365" s="82"/>
      <c r="I365" s="292"/>
      <c r="J365" s="132"/>
      <c r="K365" s="121"/>
      <c r="L365" s="82"/>
      <c r="M365" s="292"/>
      <c r="N365" s="132"/>
      <c r="O365" s="121"/>
      <c r="P365" s="82"/>
      <c r="Q365" s="292"/>
      <c r="R365" s="132"/>
      <c r="S365" s="121"/>
      <c r="T365" s="82"/>
      <c r="U365" s="292"/>
      <c r="V365" s="132"/>
      <c r="W365" s="121"/>
      <c r="X365" s="82"/>
      <c r="Y365" s="292"/>
      <c r="Z365" s="300"/>
      <c r="AA365" s="301"/>
      <c r="AB365" s="80"/>
      <c r="AC365" s="292"/>
      <c r="AD365" s="132"/>
      <c r="AE365" s="254"/>
      <c r="AF365" s="294"/>
      <c r="AG365" s="292"/>
      <c r="AH365" s="302"/>
      <c r="AI365" s="302"/>
      <c r="AJ365" s="302"/>
      <c r="AK365" s="292"/>
      <c r="AL365" s="82"/>
      <c r="AM365" s="82"/>
      <c r="AN365" s="82"/>
      <c r="AO365" s="292"/>
      <c r="AP365" s="82"/>
      <c r="AQ365" s="82"/>
      <c r="AR365" s="82"/>
      <c r="AS365" s="292"/>
      <c r="AT365" s="82"/>
      <c r="AU365" s="82"/>
      <c r="AV365" s="82"/>
    </row>
    <row r="366">
      <c r="A366" s="292"/>
      <c r="B366" s="132"/>
      <c r="C366" s="121"/>
      <c r="D366" s="82"/>
      <c r="E366" s="292"/>
      <c r="F366" s="132"/>
      <c r="G366" s="121"/>
      <c r="H366" s="82"/>
      <c r="I366" s="292"/>
      <c r="J366" s="132"/>
      <c r="K366" s="121"/>
      <c r="L366" s="82"/>
      <c r="M366" s="292"/>
      <c r="N366" s="132"/>
      <c r="O366" s="121"/>
      <c r="P366" s="82"/>
      <c r="Q366" s="292"/>
      <c r="R366" s="132"/>
      <c r="S366" s="121"/>
      <c r="T366" s="82"/>
      <c r="U366" s="292"/>
      <c r="V366" s="132"/>
      <c r="W366" s="121"/>
      <c r="X366" s="82"/>
      <c r="Y366" s="292"/>
      <c r="Z366" s="300"/>
      <c r="AA366" s="301"/>
      <c r="AB366" s="80"/>
      <c r="AC366" s="292"/>
      <c r="AD366" s="132"/>
      <c r="AE366" s="254"/>
      <c r="AF366" s="294"/>
      <c r="AG366" s="292"/>
      <c r="AH366" s="302"/>
      <c r="AI366" s="302"/>
      <c r="AJ366" s="302"/>
      <c r="AK366" s="292"/>
      <c r="AL366" s="82"/>
      <c r="AM366" s="82"/>
      <c r="AN366" s="82"/>
      <c r="AO366" s="292"/>
      <c r="AP366" s="82"/>
      <c r="AQ366" s="82"/>
      <c r="AR366" s="82"/>
      <c r="AS366" s="292"/>
      <c r="AT366" s="82"/>
      <c r="AU366" s="82"/>
      <c r="AV366" s="82"/>
    </row>
    <row r="367">
      <c r="A367" s="292"/>
      <c r="B367" s="132"/>
      <c r="C367" s="121"/>
      <c r="D367" s="82"/>
      <c r="E367" s="292"/>
      <c r="F367" s="132"/>
      <c r="G367" s="121"/>
      <c r="H367" s="82"/>
      <c r="I367" s="292"/>
      <c r="J367" s="132"/>
      <c r="K367" s="121"/>
      <c r="L367" s="82"/>
      <c r="M367" s="292"/>
      <c r="N367" s="132"/>
      <c r="O367" s="121"/>
      <c r="P367" s="82"/>
      <c r="Q367" s="292"/>
      <c r="R367" s="132"/>
      <c r="S367" s="121"/>
      <c r="T367" s="82"/>
      <c r="U367" s="292"/>
      <c r="V367" s="132"/>
      <c r="W367" s="121"/>
      <c r="X367" s="82"/>
      <c r="Y367" s="292"/>
      <c r="Z367" s="300"/>
      <c r="AA367" s="301"/>
      <c r="AB367" s="80"/>
      <c r="AC367" s="292"/>
      <c r="AD367" s="132"/>
      <c r="AE367" s="254"/>
      <c r="AF367" s="294"/>
      <c r="AG367" s="292"/>
      <c r="AH367" s="302"/>
      <c r="AI367" s="302"/>
      <c r="AJ367" s="302"/>
      <c r="AK367" s="292"/>
      <c r="AL367" s="82"/>
      <c r="AM367" s="82"/>
      <c r="AN367" s="82"/>
      <c r="AO367" s="292"/>
      <c r="AP367" s="82"/>
      <c r="AQ367" s="82"/>
      <c r="AR367" s="82"/>
      <c r="AS367" s="292"/>
      <c r="AT367" s="82"/>
      <c r="AU367" s="82"/>
      <c r="AV367" s="82"/>
    </row>
    <row r="368">
      <c r="A368" s="292"/>
      <c r="B368" s="132"/>
      <c r="C368" s="121"/>
      <c r="D368" s="82"/>
      <c r="E368" s="292"/>
      <c r="F368" s="132"/>
      <c r="G368" s="121"/>
      <c r="H368" s="82"/>
      <c r="I368" s="292"/>
      <c r="J368" s="132"/>
      <c r="K368" s="121"/>
      <c r="L368" s="82"/>
      <c r="M368" s="292"/>
      <c r="N368" s="132"/>
      <c r="O368" s="121"/>
      <c r="P368" s="82"/>
      <c r="Q368" s="292"/>
      <c r="R368" s="132"/>
      <c r="S368" s="121"/>
      <c r="T368" s="82"/>
      <c r="U368" s="292"/>
      <c r="V368" s="132"/>
      <c r="W368" s="121"/>
      <c r="X368" s="82"/>
      <c r="Y368" s="292"/>
      <c r="Z368" s="300"/>
      <c r="AA368" s="301"/>
      <c r="AB368" s="80"/>
      <c r="AC368" s="292"/>
      <c r="AD368" s="132"/>
      <c r="AE368" s="254"/>
      <c r="AF368" s="294"/>
      <c r="AG368" s="292"/>
      <c r="AH368" s="302"/>
      <c r="AI368" s="302"/>
      <c r="AJ368" s="302"/>
      <c r="AK368" s="292"/>
      <c r="AL368" s="82"/>
      <c r="AM368" s="82"/>
      <c r="AN368" s="82"/>
      <c r="AO368" s="292"/>
      <c r="AP368" s="82"/>
      <c r="AQ368" s="82"/>
      <c r="AR368" s="82"/>
      <c r="AS368" s="292"/>
      <c r="AT368" s="82"/>
      <c r="AU368" s="82"/>
      <c r="AV368" s="82"/>
    </row>
    <row r="369">
      <c r="A369" s="292"/>
      <c r="B369" s="132"/>
      <c r="C369" s="121"/>
      <c r="D369" s="82"/>
      <c r="E369" s="292"/>
      <c r="F369" s="132"/>
      <c r="G369" s="121"/>
      <c r="H369" s="82"/>
      <c r="I369" s="292"/>
      <c r="J369" s="132"/>
      <c r="K369" s="121"/>
      <c r="L369" s="82"/>
      <c r="M369" s="292"/>
      <c r="N369" s="132"/>
      <c r="O369" s="121"/>
      <c r="P369" s="82"/>
      <c r="Q369" s="292"/>
      <c r="R369" s="132"/>
      <c r="S369" s="121"/>
      <c r="T369" s="82"/>
      <c r="U369" s="292"/>
      <c r="V369" s="132"/>
      <c r="W369" s="121"/>
      <c r="X369" s="82"/>
      <c r="Y369" s="292"/>
      <c r="Z369" s="300"/>
      <c r="AA369" s="301"/>
      <c r="AB369" s="80"/>
      <c r="AC369" s="292"/>
      <c r="AD369" s="132"/>
      <c r="AE369" s="254"/>
      <c r="AF369" s="294"/>
      <c r="AG369" s="292"/>
      <c r="AH369" s="302"/>
      <c r="AI369" s="302"/>
      <c r="AJ369" s="302"/>
      <c r="AK369" s="292"/>
      <c r="AL369" s="82"/>
      <c r="AM369" s="82"/>
      <c r="AN369" s="82"/>
      <c r="AO369" s="292"/>
      <c r="AP369" s="82"/>
      <c r="AQ369" s="82"/>
      <c r="AR369" s="82"/>
      <c r="AS369" s="292"/>
      <c r="AT369" s="82"/>
      <c r="AU369" s="82"/>
      <c r="AV369" s="82"/>
    </row>
    <row r="370">
      <c r="A370" s="292"/>
      <c r="B370" s="132"/>
      <c r="C370" s="121"/>
      <c r="D370" s="82"/>
      <c r="E370" s="292"/>
      <c r="F370" s="132"/>
      <c r="G370" s="121"/>
      <c r="H370" s="82"/>
      <c r="I370" s="292"/>
      <c r="J370" s="132"/>
      <c r="K370" s="121"/>
      <c r="L370" s="82"/>
      <c r="M370" s="292"/>
      <c r="N370" s="132"/>
      <c r="O370" s="121"/>
      <c r="P370" s="82"/>
      <c r="Q370" s="292"/>
      <c r="R370" s="132"/>
      <c r="S370" s="121"/>
      <c r="T370" s="82"/>
      <c r="U370" s="292"/>
      <c r="V370" s="132"/>
      <c r="W370" s="121"/>
      <c r="X370" s="82"/>
      <c r="Y370" s="292"/>
      <c r="Z370" s="300"/>
      <c r="AA370" s="301"/>
      <c r="AB370" s="80"/>
      <c r="AC370" s="292"/>
      <c r="AD370" s="132"/>
      <c r="AE370" s="254"/>
      <c r="AF370" s="294"/>
      <c r="AG370" s="292"/>
      <c r="AH370" s="302"/>
      <c r="AI370" s="302"/>
      <c r="AJ370" s="302"/>
      <c r="AK370" s="292"/>
      <c r="AL370" s="82"/>
      <c r="AM370" s="82"/>
      <c r="AN370" s="82"/>
      <c r="AO370" s="292"/>
      <c r="AP370" s="82"/>
      <c r="AQ370" s="82"/>
      <c r="AR370" s="82"/>
      <c r="AS370" s="292"/>
      <c r="AT370" s="82"/>
      <c r="AU370" s="82"/>
      <c r="AV370" s="82"/>
    </row>
    <row r="371">
      <c r="A371" s="292"/>
      <c r="B371" s="132"/>
      <c r="C371" s="121"/>
      <c r="D371" s="82"/>
      <c r="E371" s="292"/>
      <c r="F371" s="132"/>
      <c r="G371" s="121"/>
      <c r="H371" s="82"/>
      <c r="I371" s="292"/>
      <c r="J371" s="132"/>
      <c r="K371" s="121"/>
      <c r="L371" s="82"/>
      <c r="M371" s="292"/>
      <c r="N371" s="132"/>
      <c r="O371" s="121"/>
      <c r="P371" s="82"/>
      <c r="Q371" s="292"/>
      <c r="R371" s="132"/>
      <c r="S371" s="121"/>
      <c r="T371" s="82"/>
      <c r="U371" s="292"/>
      <c r="V371" s="132"/>
      <c r="W371" s="121"/>
      <c r="X371" s="82"/>
      <c r="Y371" s="292"/>
      <c r="Z371" s="300"/>
      <c r="AA371" s="301"/>
      <c r="AB371" s="80"/>
      <c r="AC371" s="292"/>
      <c r="AD371" s="132"/>
      <c r="AE371" s="254"/>
      <c r="AF371" s="294"/>
      <c r="AG371" s="292"/>
      <c r="AH371" s="302"/>
      <c r="AI371" s="302"/>
      <c r="AJ371" s="302"/>
      <c r="AK371" s="292"/>
      <c r="AL371" s="82"/>
      <c r="AM371" s="82"/>
      <c r="AN371" s="82"/>
      <c r="AO371" s="292"/>
      <c r="AP371" s="82"/>
      <c r="AQ371" s="82"/>
      <c r="AR371" s="82"/>
      <c r="AS371" s="292"/>
      <c r="AT371" s="82"/>
      <c r="AU371" s="82"/>
      <c r="AV371" s="82"/>
    </row>
    <row r="372">
      <c r="A372" s="292"/>
      <c r="B372" s="132"/>
      <c r="C372" s="121"/>
      <c r="D372" s="82"/>
      <c r="E372" s="292"/>
      <c r="F372" s="132"/>
      <c r="G372" s="121"/>
      <c r="H372" s="82"/>
      <c r="I372" s="292"/>
      <c r="J372" s="132"/>
      <c r="K372" s="121"/>
      <c r="L372" s="82"/>
      <c r="M372" s="292"/>
      <c r="N372" s="132"/>
      <c r="O372" s="121"/>
      <c r="P372" s="82"/>
      <c r="Q372" s="292"/>
      <c r="R372" s="132"/>
      <c r="S372" s="121"/>
      <c r="T372" s="82"/>
      <c r="U372" s="292"/>
      <c r="V372" s="132"/>
      <c r="W372" s="121"/>
      <c r="X372" s="82"/>
      <c r="Y372" s="292"/>
      <c r="Z372" s="300"/>
      <c r="AA372" s="301"/>
      <c r="AB372" s="80"/>
      <c r="AC372" s="292"/>
      <c r="AD372" s="132"/>
      <c r="AE372" s="254"/>
      <c r="AF372" s="294"/>
      <c r="AG372" s="292"/>
      <c r="AH372" s="302"/>
      <c r="AI372" s="302"/>
      <c r="AJ372" s="302"/>
      <c r="AK372" s="292"/>
      <c r="AL372" s="82"/>
      <c r="AM372" s="82"/>
      <c r="AN372" s="82"/>
      <c r="AO372" s="292"/>
      <c r="AP372" s="82"/>
      <c r="AQ372" s="82"/>
      <c r="AR372" s="82"/>
      <c r="AS372" s="292"/>
      <c r="AT372" s="82"/>
      <c r="AU372" s="82"/>
      <c r="AV372" s="82"/>
    </row>
    <row r="373">
      <c r="A373" s="292"/>
      <c r="B373" s="132"/>
      <c r="C373" s="121"/>
      <c r="D373" s="82"/>
      <c r="E373" s="292"/>
      <c r="F373" s="132"/>
      <c r="G373" s="121"/>
      <c r="H373" s="82"/>
      <c r="I373" s="292"/>
      <c r="J373" s="132"/>
      <c r="K373" s="121"/>
      <c r="L373" s="82"/>
      <c r="M373" s="292"/>
      <c r="N373" s="132"/>
      <c r="O373" s="121"/>
      <c r="P373" s="82"/>
      <c r="Q373" s="292"/>
      <c r="R373" s="132"/>
      <c r="S373" s="121"/>
      <c r="T373" s="82"/>
      <c r="U373" s="292"/>
      <c r="V373" s="132"/>
      <c r="W373" s="121"/>
      <c r="X373" s="82"/>
      <c r="Y373" s="292"/>
      <c r="Z373" s="300"/>
      <c r="AA373" s="301"/>
      <c r="AB373" s="80"/>
      <c r="AC373" s="292"/>
      <c r="AD373" s="132"/>
      <c r="AE373" s="254"/>
      <c r="AF373" s="294"/>
      <c r="AG373" s="292"/>
      <c r="AH373" s="302"/>
      <c r="AI373" s="302"/>
      <c r="AJ373" s="302"/>
      <c r="AK373" s="292"/>
      <c r="AL373" s="82"/>
      <c r="AM373" s="82"/>
      <c r="AN373" s="82"/>
      <c r="AO373" s="292"/>
      <c r="AP373" s="82"/>
      <c r="AQ373" s="82"/>
      <c r="AR373" s="82"/>
      <c r="AS373" s="292"/>
      <c r="AT373" s="82"/>
      <c r="AU373" s="82"/>
      <c r="AV373" s="82"/>
    </row>
    <row r="374">
      <c r="A374" s="292"/>
      <c r="B374" s="132"/>
      <c r="C374" s="121"/>
      <c r="D374" s="82"/>
      <c r="E374" s="292"/>
      <c r="F374" s="132"/>
      <c r="G374" s="121"/>
      <c r="H374" s="82"/>
      <c r="I374" s="292"/>
      <c r="J374" s="132"/>
      <c r="K374" s="121"/>
      <c r="L374" s="82"/>
      <c r="M374" s="292"/>
      <c r="N374" s="132"/>
      <c r="O374" s="121"/>
      <c r="P374" s="82"/>
      <c r="Q374" s="292"/>
      <c r="R374" s="132"/>
      <c r="S374" s="121"/>
      <c r="T374" s="82"/>
      <c r="U374" s="292"/>
      <c r="V374" s="132"/>
      <c r="W374" s="121"/>
      <c r="X374" s="82"/>
      <c r="Y374" s="292"/>
      <c r="Z374" s="300"/>
      <c r="AA374" s="301"/>
      <c r="AB374" s="80"/>
      <c r="AC374" s="292"/>
      <c r="AD374" s="132"/>
      <c r="AE374" s="254"/>
      <c r="AF374" s="294"/>
      <c r="AG374" s="292"/>
      <c r="AH374" s="302"/>
      <c r="AI374" s="302"/>
      <c r="AJ374" s="302"/>
      <c r="AK374" s="292"/>
      <c r="AL374" s="82"/>
      <c r="AM374" s="82"/>
      <c r="AN374" s="82"/>
      <c r="AO374" s="292"/>
      <c r="AP374" s="82"/>
      <c r="AQ374" s="82"/>
      <c r="AR374" s="82"/>
      <c r="AS374" s="292"/>
      <c r="AT374" s="82"/>
      <c r="AU374" s="82"/>
      <c r="AV374" s="82"/>
    </row>
    <row r="375">
      <c r="A375" s="292"/>
      <c r="B375" s="132"/>
      <c r="C375" s="121"/>
      <c r="D375" s="82"/>
      <c r="E375" s="292"/>
      <c r="F375" s="132"/>
      <c r="G375" s="121"/>
      <c r="H375" s="82"/>
      <c r="I375" s="292"/>
      <c r="J375" s="132"/>
      <c r="K375" s="121"/>
      <c r="L375" s="82"/>
      <c r="M375" s="292"/>
      <c r="N375" s="132"/>
      <c r="O375" s="121"/>
      <c r="P375" s="82"/>
      <c r="Q375" s="292"/>
      <c r="R375" s="132"/>
      <c r="S375" s="121"/>
      <c r="T375" s="82"/>
      <c r="U375" s="292"/>
      <c r="V375" s="132"/>
      <c r="W375" s="121"/>
      <c r="X375" s="82"/>
      <c r="Y375" s="292"/>
      <c r="Z375" s="300"/>
      <c r="AA375" s="301"/>
      <c r="AB375" s="80"/>
      <c r="AC375" s="292"/>
      <c r="AD375" s="132"/>
      <c r="AE375" s="254"/>
      <c r="AF375" s="294"/>
      <c r="AG375" s="292"/>
      <c r="AH375" s="302"/>
      <c r="AI375" s="302"/>
      <c r="AJ375" s="302"/>
      <c r="AK375" s="292"/>
      <c r="AL375" s="82"/>
      <c r="AM375" s="82"/>
      <c r="AN375" s="82"/>
      <c r="AO375" s="292"/>
      <c r="AP375" s="82"/>
      <c r="AQ375" s="82"/>
      <c r="AR375" s="82"/>
      <c r="AS375" s="292"/>
      <c r="AT375" s="82"/>
      <c r="AU375" s="82"/>
      <c r="AV375" s="82"/>
    </row>
    <row r="376">
      <c r="A376" s="292"/>
      <c r="B376" s="132"/>
      <c r="C376" s="121"/>
      <c r="D376" s="82"/>
      <c r="E376" s="292"/>
      <c r="F376" s="132"/>
      <c r="G376" s="121"/>
      <c r="H376" s="82"/>
      <c r="I376" s="292"/>
      <c r="J376" s="132"/>
      <c r="K376" s="121"/>
      <c r="L376" s="82"/>
      <c r="M376" s="292"/>
      <c r="N376" s="132"/>
      <c r="O376" s="121"/>
      <c r="P376" s="82"/>
      <c r="Q376" s="292"/>
      <c r="R376" s="132"/>
      <c r="S376" s="121"/>
      <c r="T376" s="82"/>
      <c r="U376" s="292"/>
      <c r="V376" s="132"/>
      <c r="W376" s="121"/>
      <c r="X376" s="82"/>
      <c r="Y376" s="292"/>
      <c r="Z376" s="300"/>
      <c r="AA376" s="301"/>
      <c r="AB376" s="80"/>
      <c r="AC376" s="292"/>
      <c r="AD376" s="132"/>
      <c r="AE376" s="254"/>
      <c r="AF376" s="294"/>
      <c r="AG376" s="292"/>
      <c r="AH376" s="302"/>
      <c r="AI376" s="302"/>
      <c r="AJ376" s="302"/>
      <c r="AK376" s="292"/>
      <c r="AL376" s="82"/>
      <c r="AM376" s="82"/>
      <c r="AN376" s="82"/>
      <c r="AO376" s="292"/>
      <c r="AP376" s="82"/>
      <c r="AQ376" s="82"/>
      <c r="AR376" s="82"/>
      <c r="AS376" s="292"/>
      <c r="AT376" s="82"/>
      <c r="AU376" s="82"/>
      <c r="AV376" s="82"/>
    </row>
    <row r="377">
      <c r="A377" s="292"/>
      <c r="B377" s="132"/>
      <c r="C377" s="121"/>
      <c r="D377" s="82"/>
      <c r="E377" s="292"/>
      <c r="F377" s="132"/>
      <c r="G377" s="121"/>
      <c r="H377" s="82"/>
      <c r="I377" s="292"/>
      <c r="J377" s="132"/>
      <c r="K377" s="121"/>
      <c r="L377" s="82"/>
      <c r="M377" s="292"/>
      <c r="N377" s="132"/>
      <c r="O377" s="121"/>
      <c r="P377" s="82"/>
      <c r="Q377" s="292"/>
      <c r="R377" s="132"/>
      <c r="S377" s="121"/>
      <c r="T377" s="82"/>
      <c r="U377" s="292"/>
      <c r="V377" s="132"/>
      <c r="W377" s="121"/>
      <c r="X377" s="82"/>
      <c r="Y377" s="292"/>
      <c r="Z377" s="300"/>
      <c r="AA377" s="301"/>
      <c r="AB377" s="80"/>
      <c r="AC377" s="292"/>
      <c r="AD377" s="132"/>
      <c r="AE377" s="254"/>
      <c r="AF377" s="294"/>
      <c r="AG377" s="292"/>
      <c r="AH377" s="302"/>
      <c r="AI377" s="302"/>
      <c r="AJ377" s="302"/>
      <c r="AK377" s="292"/>
      <c r="AL377" s="82"/>
      <c r="AM377" s="82"/>
      <c r="AN377" s="82"/>
      <c r="AO377" s="292"/>
      <c r="AP377" s="82"/>
      <c r="AQ377" s="82"/>
      <c r="AR377" s="82"/>
      <c r="AS377" s="292"/>
      <c r="AT377" s="82"/>
      <c r="AU377" s="82"/>
      <c r="AV377" s="82"/>
    </row>
    <row r="378">
      <c r="A378" s="292"/>
      <c r="B378" s="132"/>
      <c r="C378" s="121"/>
      <c r="D378" s="82"/>
      <c r="E378" s="292"/>
      <c r="F378" s="132"/>
      <c r="G378" s="121"/>
      <c r="H378" s="82"/>
      <c r="I378" s="292"/>
      <c r="J378" s="132"/>
      <c r="K378" s="121"/>
      <c r="L378" s="82"/>
      <c r="M378" s="292"/>
      <c r="N378" s="132"/>
      <c r="O378" s="121"/>
      <c r="P378" s="82"/>
      <c r="Q378" s="292"/>
      <c r="R378" s="132"/>
      <c r="S378" s="121"/>
      <c r="T378" s="82"/>
      <c r="U378" s="292"/>
      <c r="V378" s="132"/>
      <c r="W378" s="121"/>
      <c r="X378" s="82"/>
      <c r="Y378" s="292"/>
      <c r="Z378" s="300"/>
      <c r="AA378" s="301"/>
      <c r="AB378" s="80"/>
      <c r="AC378" s="292"/>
      <c r="AD378" s="132"/>
      <c r="AE378" s="254"/>
      <c r="AF378" s="294"/>
      <c r="AG378" s="292"/>
      <c r="AH378" s="302"/>
      <c r="AI378" s="302"/>
      <c r="AJ378" s="302"/>
      <c r="AK378" s="292"/>
      <c r="AL378" s="82"/>
      <c r="AM378" s="82"/>
      <c r="AN378" s="82"/>
      <c r="AO378" s="292"/>
      <c r="AP378" s="82"/>
      <c r="AQ378" s="82"/>
      <c r="AR378" s="82"/>
      <c r="AS378" s="292"/>
      <c r="AT378" s="82"/>
      <c r="AU378" s="82"/>
      <c r="AV378" s="82"/>
    </row>
    <row r="379">
      <c r="A379" s="292"/>
      <c r="B379" s="132"/>
      <c r="C379" s="121"/>
      <c r="D379" s="82"/>
      <c r="E379" s="292"/>
      <c r="F379" s="132"/>
      <c r="G379" s="121"/>
      <c r="H379" s="82"/>
      <c r="I379" s="292"/>
      <c r="J379" s="132"/>
      <c r="K379" s="121"/>
      <c r="L379" s="82"/>
      <c r="M379" s="292"/>
      <c r="N379" s="132"/>
      <c r="O379" s="121"/>
      <c r="P379" s="82"/>
      <c r="Q379" s="292"/>
      <c r="R379" s="132"/>
      <c r="S379" s="121"/>
      <c r="T379" s="82"/>
      <c r="U379" s="292"/>
      <c r="V379" s="132"/>
      <c r="W379" s="121"/>
      <c r="X379" s="82"/>
      <c r="Y379" s="292"/>
      <c r="Z379" s="300"/>
      <c r="AA379" s="301"/>
      <c r="AB379" s="80"/>
      <c r="AC379" s="292"/>
      <c r="AD379" s="132"/>
      <c r="AE379" s="254"/>
      <c r="AF379" s="294"/>
      <c r="AG379" s="292"/>
      <c r="AH379" s="302"/>
      <c r="AI379" s="302"/>
      <c r="AJ379" s="302"/>
      <c r="AK379" s="292"/>
      <c r="AL379" s="82"/>
      <c r="AM379" s="82"/>
      <c r="AN379" s="82"/>
      <c r="AO379" s="292"/>
      <c r="AP379" s="82"/>
      <c r="AQ379" s="82"/>
      <c r="AR379" s="82"/>
      <c r="AS379" s="292"/>
      <c r="AT379" s="82"/>
      <c r="AU379" s="82"/>
      <c r="AV379" s="82"/>
    </row>
    <row r="380">
      <c r="A380" s="292"/>
      <c r="B380" s="132"/>
      <c r="C380" s="121"/>
      <c r="D380" s="82"/>
      <c r="E380" s="292"/>
      <c r="F380" s="132"/>
      <c r="G380" s="121"/>
      <c r="H380" s="82"/>
      <c r="I380" s="292"/>
      <c r="J380" s="132"/>
      <c r="K380" s="121"/>
      <c r="L380" s="82"/>
      <c r="M380" s="292"/>
      <c r="N380" s="132"/>
      <c r="O380" s="121"/>
      <c r="P380" s="82"/>
      <c r="Q380" s="292"/>
      <c r="R380" s="132"/>
      <c r="S380" s="121"/>
      <c r="T380" s="82"/>
      <c r="U380" s="292"/>
      <c r="V380" s="132"/>
      <c r="W380" s="121"/>
      <c r="X380" s="82"/>
      <c r="Y380" s="292"/>
      <c r="Z380" s="300"/>
      <c r="AA380" s="301"/>
      <c r="AB380" s="80"/>
      <c r="AC380" s="292"/>
      <c r="AD380" s="132"/>
      <c r="AE380" s="254"/>
      <c r="AF380" s="294"/>
      <c r="AG380" s="292"/>
      <c r="AH380" s="302"/>
      <c r="AI380" s="302"/>
      <c r="AJ380" s="302"/>
      <c r="AK380" s="292"/>
      <c r="AL380" s="82"/>
      <c r="AM380" s="82"/>
      <c r="AN380" s="82"/>
      <c r="AO380" s="292"/>
      <c r="AP380" s="82"/>
      <c r="AQ380" s="82"/>
      <c r="AR380" s="82"/>
      <c r="AS380" s="292"/>
      <c r="AT380" s="82"/>
      <c r="AU380" s="82"/>
      <c r="AV380" s="82"/>
    </row>
    <row r="381">
      <c r="A381" s="292"/>
      <c r="B381" s="132"/>
      <c r="C381" s="121"/>
      <c r="D381" s="82"/>
      <c r="E381" s="292"/>
      <c r="F381" s="132"/>
      <c r="G381" s="121"/>
      <c r="H381" s="82"/>
      <c r="I381" s="292"/>
      <c r="J381" s="132"/>
      <c r="K381" s="121"/>
      <c r="L381" s="82"/>
      <c r="M381" s="292"/>
      <c r="N381" s="132"/>
      <c r="O381" s="121"/>
      <c r="P381" s="82"/>
      <c r="Q381" s="292"/>
      <c r="R381" s="132"/>
      <c r="S381" s="121"/>
      <c r="T381" s="82"/>
      <c r="U381" s="292"/>
      <c r="V381" s="132"/>
      <c r="W381" s="121"/>
      <c r="X381" s="82"/>
      <c r="Y381" s="292"/>
      <c r="Z381" s="300"/>
      <c r="AA381" s="301"/>
      <c r="AB381" s="80"/>
      <c r="AC381" s="292"/>
      <c r="AD381" s="132"/>
      <c r="AE381" s="254"/>
      <c r="AF381" s="294"/>
      <c r="AG381" s="292"/>
      <c r="AH381" s="302"/>
      <c r="AI381" s="302"/>
      <c r="AJ381" s="302"/>
      <c r="AK381" s="292"/>
      <c r="AL381" s="82"/>
      <c r="AM381" s="82"/>
      <c r="AN381" s="82"/>
      <c r="AO381" s="292"/>
      <c r="AP381" s="82"/>
      <c r="AQ381" s="82"/>
      <c r="AR381" s="82"/>
      <c r="AS381" s="292"/>
      <c r="AT381" s="82"/>
      <c r="AU381" s="82"/>
      <c r="AV381" s="82"/>
    </row>
    <row r="382">
      <c r="A382" s="292"/>
      <c r="B382" s="132"/>
      <c r="C382" s="121"/>
      <c r="D382" s="82"/>
      <c r="E382" s="292"/>
      <c r="F382" s="132"/>
      <c r="G382" s="121"/>
      <c r="H382" s="82"/>
      <c r="I382" s="292"/>
      <c r="J382" s="132"/>
      <c r="K382" s="121"/>
      <c r="L382" s="82"/>
      <c r="M382" s="292"/>
      <c r="N382" s="132"/>
      <c r="O382" s="121"/>
      <c r="P382" s="82"/>
      <c r="Q382" s="292"/>
      <c r="R382" s="132"/>
      <c r="S382" s="121"/>
      <c r="T382" s="82"/>
      <c r="U382" s="292"/>
      <c r="V382" s="132"/>
      <c r="W382" s="121"/>
      <c r="X382" s="82"/>
      <c r="Y382" s="292"/>
      <c r="Z382" s="300"/>
      <c r="AA382" s="301"/>
      <c r="AB382" s="80"/>
      <c r="AC382" s="292"/>
      <c r="AD382" s="132"/>
      <c r="AE382" s="254"/>
      <c r="AF382" s="294"/>
      <c r="AG382" s="292"/>
      <c r="AH382" s="302"/>
      <c r="AI382" s="302"/>
      <c r="AJ382" s="302"/>
      <c r="AK382" s="292"/>
      <c r="AL382" s="82"/>
      <c r="AM382" s="82"/>
      <c r="AN382" s="82"/>
      <c r="AO382" s="292"/>
      <c r="AP382" s="82"/>
      <c r="AQ382" s="82"/>
      <c r="AR382" s="82"/>
      <c r="AS382" s="292"/>
      <c r="AT382" s="82"/>
      <c r="AU382" s="82"/>
      <c r="AV382" s="82"/>
    </row>
    <row r="383">
      <c r="A383" s="292"/>
      <c r="B383" s="132"/>
      <c r="C383" s="121"/>
      <c r="D383" s="82"/>
      <c r="E383" s="292"/>
      <c r="F383" s="132"/>
      <c r="G383" s="121"/>
      <c r="H383" s="82"/>
      <c r="I383" s="292"/>
      <c r="J383" s="132"/>
      <c r="K383" s="121"/>
      <c r="L383" s="82"/>
      <c r="M383" s="292"/>
      <c r="N383" s="132"/>
      <c r="O383" s="121"/>
      <c r="P383" s="82"/>
      <c r="Q383" s="292"/>
      <c r="R383" s="132"/>
      <c r="S383" s="121"/>
      <c r="T383" s="82"/>
      <c r="U383" s="292"/>
      <c r="V383" s="132"/>
      <c r="W383" s="121"/>
      <c r="X383" s="82"/>
      <c r="Y383" s="292"/>
      <c r="Z383" s="300"/>
      <c r="AA383" s="301"/>
      <c r="AB383" s="80"/>
      <c r="AC383" s="292"/>
      <c r="AD383" s="132"/>
      <c r="AE383" s="254"/>
      <c r="AF383" s="294"/>
      <c r="AG383" s="292"/>
      <c r="AH383" s="302"/>
      <c r="AI383" s="302"/>
      <c r="AJ383" s="302"/>
      <c r="AK383" s="292"/>
      <c r="AL383" s="82"/>
      <c r="AM383" s="82"/>
      <c r="AN383" s="82"/>
      <c r="AO383" s="292"/>
      <c r="AP383" s="82"/>
      <c r="AQ383" s="82"/>
      <c r="AR383" s="82"/>
      <c r="AS383" s="292"/>
      <c r="AT383" s="82"/>
      <c r="AU383" s="82"/>
      <c r="AV383" s="82"/>
    </row>
    <row r="384">
      <c r="A384" s="292"/>
      <c r="B384" s="132"/>
      <c r="C384" s="121"/>
      <c r="D384" s="82"/>
      <c r="E384" s="292"/>
      <c r="F384" s="132"/>
      <c r="G384" s="121"/>
      <c r="H384" s="82"/>
      <c r="I384" s="292"/>
      <c r="J384" s="132"/>
      <c r="K384" s="121"/>
      <c r="L384" s="82"/>
      <c r="M384" s="292"/>
      <c r="N384" s="132"/>
      <c r="O384" s="121"/>
      <c r="P384" s="82"/>
      <c r="Q384" s="292"/>
      <c r="R384" s="132"/>
      <c r="S384" s="121"/>
      <c r="T384" s="82"/>
      <c r="U384" s="292"/>
      <c r="V384" s="132"/>
      <c r="W384" s="121"/>
      <c r="X384" s="82"/>
      <c r="Y384" s="292"/>
      <c r="Z384" s="300"/>
      <c r="AA384" s="301"/>
      <c r="AB384" s="80"/>
      <c r="AC384" s="292"/>
      <c r="AD384" s="132"/>
      <c r="AE384" s="254"/>
      <c r="AF384" s="294"/>
      <c r="AG384" s="292"/>
      <c r="AH384" s="302"/>
      <c r="AI384" s="302"/>
      <c r="AJ384" s="302"/>
      <c r="AK384" s="292"/>
      <c r="AL384" s="82"/>
      <c r="AM384" s="82"/>
      <c r="AN384" s="82"/>
      <c r="AO384" s="292"/>
      <c r="AP384" s="82"/>
      <c r="AQ384" s="82"/>
      <c r="AR384" s="82"/>
      <c r="AS384" s="292"/>
      <c r="AT384" s="82"/>
      <c r="AU384" s="82"/>
      <c r="AV384" s="82"/>
    </row>
    <row r="385">
      <c r="A385" s="292"/>
      <c r="B385" s="132"/>
      <c r="C385" s="121"/>
      <c r="D385" s="82"/>
      <c r="E385" s="292"/>
      <c r="F385" s="132"/>
      <c r="G385" s="121"/>
      <c r="H385" s="82"/>
      <c r="I385" s="292"/>
      <c r="J385" s="132"/>
      <c r="K385" s="121"/>
      <c r="L385" s="82"/>
      <c r="M385" s="292"/>
      <c r="N385" s="132"/>
      <c r="O385" s="121"/>
      <c r="P385" s="82"/>
      <c r="Q385" s="292"/>
      <c r="R385" s="132"/>
      <c r="S385" s="121"/>
      <c r="T385" s="82"/>
      <c r="U385" s="292"/>
      <c r="V385" s="132"/>
      <c r="W385" s="121"/>
      <c r="X385" s="82"/>
      <c r="Y385" s="292"/>
      <c r="Z385" s="300"/>
      <c r="AA385" s="301"/>
      <c r="AB385" s="80"/>
      <c r="AC385" s="292"/>
      <c r="AD385" s="132"/>
      <c r="AE385" s="254"/>
      <c r="AF385" s="294"/>
      <c r="AG385" s="292"/>
      <c r="AH385" s="302"/>
      <c r="AI385" s="302"/>
      <c r="AJ385" s="302"/>
      <c r="AK385" s="292"/>
      <c r="AL385" s="82"/>
      <c r="AM385" s="82"/>
      <c r="AN385" s="82"/>
      <c r="AO385" s="292"/>
      <c r="AP385" s="82"/>
      <c r="AQ385" s="82"/>
      <c r="AR385" s="82"/>
      <c r="AS385" s="292"/>
      <c r="AT385" s="82"/>
      <c r="AU385" s="82"/>
      <c r="AV385" s="82"/>
    </row>
    <row r="386">
      <c r="A386" s="292"/>
      <c r="B386" s="132"/>
      <c r="C386" s="121"/>
      <c r="D386" s="82"/>
      <c r="E386" s="292"/>
      <c r="F386" s="132"/>
      <c r="G386" s="121"/>
      <c r="H386" s="82"/>
      <c r="I386" s="292"/>
      <c r="J386" s="132"/>
      <c r="K386" s="121"/>
      <c r="L386" s="82"/>
      <c r="M386" s="292"/>
      <c r="N386" s="132"/>
      <c r="O386" s="121"/>
      <c r="P386" s="82"/>
      <c r="Q386" s="292"/>
      <c r="R386" s="132"/>
      <c r="S386" s="121"/>
      <c r="T386" s="82"/>
      <c r="U386" s="292"/>
      <c r="V386" s="132"/>
      <c r="W386" s="121"/>
      <c r="X386" s="82"/>
      <c r="Y386" s="292"/>
      <c r="Z386" s="300"/>
      <c r="AA386" s="301"/>
      <c r="AB386" s="80"/>
      <c r="AC386" s="292"/>
      <c r="AD386" s="132"/>
      <c r="AE386" s="254"/>
      <c r="AF386" s="294"/>
      <c r="AG386" s="292"/>
      <c r="AH386" s="302"/>
      <c r="AI386" s="302"/>
      <c r="AJ386" s="302"/>
      <c r="AK386" s="292"/>
      <c r="AL386" s="82"/>
      <c r="AM386" s="82"/>
      <c r="AN386" s="82"/>
      <c r="AO386" s="292"/>
      <c r="AP386" s="82"/>
      <c r="AQ386" s="82"/>
      <c r="AR386" s="82"/>
      <c r="AS386" s="292"/>
      <c r="AT386" s="82"/>
      <c r="AU386" s="82"/>
      <c r="AV386" s="82"/>
    </row>
    <row r="387">
      <c r="A387" s="292"/>
      <c r="B387" s="132"/>
      <c r="C387" s="121"/>
      <c r="D387" s="82"/>
      <c r="E387" s="292"/>
      <c r="F387" s="132"/>
      <c r="G387" s="121"/>
      <c r="H387" s="82"/>
      <c r="I387" s="292"/>
      <c r="J387" s="132"/>
      <c r="K387" s="121"/>
      <c r="L387" s="82"/>
      <c r="M387" s="292"/>
      <c r="N387" s="132"/>
      <c r="O387" s="121"/>
      <c r="P387" s="82"/>
      <c r="Q387" s="292"/>
      <c r="R387" s="132"/>
      <c r="S387" s="121"/>
      <c r="T387" s="82"/>
      <c r="U387" s="292"/>
      <c r="V387" s="132"/>
      <c r="W387" s="121"/>
      <c r="X387" s="82"/>
      <c r="Y387" s="292"/>
      <c r="Z387" s="300"/>
      <c r="AA387" s="301"/>
      <c r="AB387" s="80"/>
      <c r="AC387" s="292"/>
      <c r="AD387" s="132"/>
      <c r="AE387" s="254"/>
      <c r="AF387" s="294"/>
      <c r="AG387" s="292"/>
      <c r="AH387" s="302"/>
      <c r="AI387" s="302"/>
      <c r="AJ387" s="302"/>
      <c r="AK387" s="292"/>
      <c r="AL387" s="82"/>
      <c r="AM387" s="82"/>
      <c r="AN387" s="82"/>
      <c r="AO387" s="292"/>
      <c r="AP387" s="82"/>
      <c r="AQ387" s="82"/>
      <c r="AR387" s="82"/>
      <c r="AS387" s="292"/>
      <c r="AT387" s="82"/>
      <c r="AU387" s="82"/>
      <c r="AV387" s="82"/>
    </row>
    <row r="388">
      <c r="A388" s="292"/>
      <c r="B388" s="132"/>
      <c r="C388" s="121"/>
      <c r="D388" s="82"/>
      <c r="E388" s="292"/>
      <c r="F388" s="132"/>
      <c r="G388" s="121"/>
      <c r="H388" s="82"/>
      <c r="I388" s="292"/>
      <c r="J388" s="132"/>
      <c r="K388" s="121"/>
      <c r="L388" s="82"/>
      <c r="M388" s="292"/>
      <c r="N388" s="132"/>
      <c r="O388" s="121"/>
      <c r="P388" s="82"/>
      <c r="Q388" s="292"/>
      <c r="R388" s="132"/>
      <c r="S388" s="121"/>
      <c r="T388" s="82"/>
      <c r="U388" s="292"/>
      <c r="V388" s="132"/>
      <c r="W388" s="121"/>
      <c r="X388" s="82"/>
      <c r="Y388" s="292"/>
      <c r="Z388" s="300"/>
      <c r="AA388" s="301"/>
      <c r="AB388" s="80"/>
      <c r="AC388" s="292"/>
      <c r="AD388" s="132"/>
      <c r="AE388" s="254"/>
      <c r="AF388" s="294"/>
      <c r="AG388" s="292"/>
      <c r="AH388" s="302"/>
      <c r="AI388" s="302"/>
      <c r="AJ388" s="302"/>
      <c r="AK388" s="292"/>
      <c r="AL388" s="82"/>
      <c r="AM388" s="82"/>
      <c r="AN388" s="82"/>
      <c r="AO388" s="292"/>
      <c r="AP388" s="82"/>
      <c r="AQ388" s="82"/>
      <c r="AR388" s="82"/>
      <c r="AS388" s="292"/>
      <c r="AT388" s="82"/>
      <c r="AU388" s="82"/>
      <c r="AV388" s="82"/>
    </row>
    <row r="389">
      <c r="A389" s="292"/>
      <c r="B389" s="132"/>
      <c r="C389" s="121"/>
      <c r="D389" s="82"/>
      <c r="E389" s="292"/>
      <c r="F389" s="132"/>
      <c r="G389" s="121"/>
      <c r="H389" s="82"/>
      <c r="I389" s="292"/>
      <c r="J389" s="132"/>
      <c r="K389" s="121"/>
      <c r="L389" s="82"/>
      <c r="M389" s="292"/>
      <c r="N389" s="132"/>
      <c r="O389" s="121"/>
      <c r="P389" s="82"/>
      <c r="Q389" s="292"/>
      <c r="R389" s="132"/>
      <c r="S389" s="121"/>
      <c r="T389" s="82"/>
      <c r="U389" s="292"/>
      <c r="V389" s="132"/>
      <c r="W389" s="121"/>
      <c r="X389" s="82"/>
      <c r="Y389" s="292"/>
      <c r="Z389" s="300"/>
      <c r="AA389" s="301"/>
      <c r="AB389" s="80"/>
      <c r="AC389" s="292"/>
      <c r="AD389" s="132"/>
      <c r="AE389" s="254"/>
      <c r="AF389" s="294"/>
      <c r="AG389" s="292"/>
      <c r="AH389" s="302"/>
      <c r="AI389" s="302"/>
      <c r="AJ389" s="302"/>
      <c r="AK389" s="292"/>
      <c r="AL389" s="82"/>
      <c r="AM389" s="82"/>
      <c r="AN389" s="82"/>
      <c r="AO389" s="292"/>
      <c r="AP389" s="82"/>
      <c r="AQ389" s="82"/>
      <c r="AR389" s="82"/>
      <c r="AS389" s="292"/>
      <c r="AT389" s="82"/>
      <c r="AU389" s="82"/>
      <c r="AV389" s="82"/>
    </row>
    <row r="390">
      <c r="A390" s="292"/>
      <c r="B390" s="132"/>
      <c r="C390" s="121"/>
      <c r="D390" s="82"/>
      <c r="E390" s="292"/>
      <c r="F390" s="132"/>
      <c r="G390" s="121"/>
      <c r="H390" s="82"/>
      <c r="I390" s="292"/>
      <c r="J390" s="132"/>
      <c r="K390" s="121"/>
      <c r="L390" s="82"/>
      <c r="M390" s="292"/>
      <c r="N390" s="132"/>
      <c r="O390" s="121"/>
      <c r="P390" s="82"/>
      <c r="Q390" s="292"/>
      <c r="R390" s="132"/>
      <c r="S390" s="121"/>
      <c r="T390" s="82"/>
      <c r="U390" s="292"/>
      <c r="V390" s="132"/>
      <c r="W390" s="121"/>
      <c r="X390" s="82"/>
      <c r="Y390" s="292"/>
      <c r="Z390" s="300"/>
      <c r="AA390" s="301"/>
      <c r="AB390" s="80"/>
      <c r="AC390" s="292"/>
      <c r="AD390" s="132"/>
      <c r="AE390" s="254"/>
      <c r="AF390" s="294"/>
      <c r="AG390" s="292"/>
      <c r="AH390" s="302"/>
      <c r="AI390" s="302"/>
      <c r="AJ390" s="302"/>
      <c r="AK390" s="292"/>
      <c r="AL390" s="82"/>
      <c r="AM390" s="82"/>
      <c r="AN390" s="82"/>
      <c r="AO390" s="292"/>
      <c r="AP390" s="82"/>
      <c r="AQ390" s="82"/>
      <c r="AR390" s="82"/>
      <c r="AS390" s="292"/>
      <c r="AT390" s="82"/>
      <c r="AU390" s="82"/>
      <c r="AV390" s="82"/>
    </row>
    <row r="391">
      <c r="A391" s="292"/>
      <c r="B391" s="132"/>
      <c r="C391" s="121"/>
      <c r="D391" s="82"/>
      <c r="E391" s="292"/>
      <c r="F391" s="132"/>
      <c r="G391" s="121"/>
      <c r="H391" s="82"/>
      <c r="I391" s="292"/>
      <c r="J391" s="132"/>
      <c r="K391" s="121"/>
      <c r="L391" s="82"/>
      <c r="M391" s="292"/>
      <c r="N391" s="132"/>
      <c r="O391" s="121"/>
      <c r="P391" s="82"/>
      <c r="Q391" s="292"/>
      <c r="R391" s="132"/>
      <c r="S391" s="121"/>
      <c r="T391" s="82"/>
      <c r="U391" s="292"/>
      <c r="V391" s="132"/>
      <c r="W391" s="121"/>
      <c r="X391" s="82"/>
      <c r="Y391" s="292"/>
      <c r="Z391" s="300"/>
      <c r="AA391" s="301"/>
      <c r="AB391" s="80"/>
      <c r="AC391" s="292"/>
      <c r="AD391" s="132"/>
      <c r="AE391" s="254"/>
      <c r="AF391" s="294"/>
      <c r="AG391" s="292"/>
      <c r="AH391" s="302"/>
      <c r="AI391" s="302"/>
      <c r="AJ391" s="302"/>
      <c r="AK391" s="292"/>
      <c r="AL391" s="82"/>
      <c r="AM391" s="82"/>
      <c r="AN391" s="82"/>
      <c r="AO391" s="292"/>
      <c r="AP391" s="82"/>
      <c r="AQ391" s="82"/>
      <c r="AR391" s="82"/>
      <c r="AS391" s="292"/>
      <c r="AT391" s="82"/>
      <c r="AU391" s="82"/>
      <c r="AV391" s="82"/>
    </row>
    <row r="392">
      <c r="A392" s="292"/>
      <c r="B392" s="132"/>
      <c r="C392" s="121"/>
      <c r="D392" s="82"/>
      <c r="E392" s="292"/>
      <c r="F392" s="132"/>
      <c r="G392" s="121"/>
      <c r="H392" s="82"/>
      <c r="I392" s="292"/>
      <c r="J392" s="132"/>
      <c r="K392" s="121"/>
      <c r="L392" s="82"/>
      <c r="M392" s="292"/>
      <c r="N392" s="132"/>
      <c r="O392" s="121"/>
      <c r="P392" s="82"/>
      <c r="Q392" s="292"/>
      <c r="R392" s="132"/>
      <c r="S392" s="121"/>
      <c r="T392" s="82"/>
      <c r="U392" s="292"/>
      <c r="V392" s="132"/>
      <c r="W392" s="121"/>
      <c r="X392" s="82"/>
      <c r="Y392" s="292"/>
      <c r="Z392" s="300"/>
      <c r="AA392" s="301"/>
      <c r="AB392" s="80"/>
      <c r="AC392" s="292"/>
      <c r="AD392" s="132"/>
      <c r="AE392" s="254"/>
      <c r="AF392" s="294"/>
      <c r="AG392" s="292"/>
      <c r="AH392" s="302"/>
      <c r="AI392" s="302"/>
      <c r="AJ392" s="302"/>
      <c r="AK392" s="292"/>
      <c r="AL392" s="82"/>
      <c r="AM392" s="82"/>
      <c r="AN392" s="82"/>
      <c r="AO392" s="292"/>
      <c r="AP392" s="82"/>
      <c r="AQ392" s="82"/>
      <c r="AR392" s="82"/>
      <c r="AS392" s="292"/>
      <c r="AT392" s="82"/>
      <c r="AU392" s="82"/>
      <c r="AV392" s="82"/>
    </row>
    <row r="393">
      <c r="A393" s="292"/>
      <c r="B393" s="132"/>
      <c r="C393" s="121"/>
      <c r="D393" s="82"/>
      <c r="E393" s="292"/>
      <c r="F393" s="132"/>
      <c r="G393" s="121"/>
      <c r="H393" s="82"/>
      <c r="I393" s="292"/>
      <c r="J393" s="132"/>
      <c r="K393" s="121"/>
      <c r="L393" s="82"/>
      <c r="M393" s="292"/>
      <c r="N393" s="132"/>
      <c r="O393" s="121"/>
      <c r="P393" s="82"/>
      <c r="Q393" s="292"/>
      <c r="R393" s="132"/>
      <c r="S393" s="121"/>
      <c r="T393" s="82"/>
      <c r="U393" s="292"/>
      <c r="V393" s="132"/>
      <c r="W393" s="121"/>
      <c r="X393" s="82"/>
      <c r="Y393" s="292"/>
      <c r="Z393" s="300"/>
      <c r="AA393" s="301"/>
      <c r="AB393" s="80"/>
      <c r="AC393" s="292"/>
      <c r="AD393" s="132"/>
      <c r="AE393" s="254"/>
      <c r="AF393" s="294"/>
      <c r="AG393" s="292"/>
      <c r="AH393" s="302"/>
      <c r="AI393" s="302"/>
      <c r="AJ393" s="302"/>
      <c r="AK393" s="292"/>
      <c r="AL393" s="82"/>
      <c r="AM393" s="82"/>
      <c r="AN393" s="82"/>
      <c r="AO393" s="292"/>
      <c r="AP393" s="82"/>
      <c r="AQ393" s="82"/>
      <c r="AR393" s="82"/>
      <c r="AS393" s="292"/>
      <c r="AT393" s="82"/>
      <c r="AU393" s="82"/>
      <c r="AV393" s="82"/>
    </row>
    <row r="394">
      <c r="A394" s="292"/>
      <c r="B394" s="132"/>
      <c r="C394" s="121"/>
      <c r="D394" s="82"/>
      <c r="E394" s="292"/>
      <c r="F394" s="132"/>
      <c r="G394" s="121"/>
      <c r="H394" s="82"/>
      <c r="I394" s="292"/>
      <c r="J394" s="132"/>
      <c r="K394" s="121"/>
      <c r="L394" s="82"/>
      <c r="M394" s="292"/>
      <c r="N394" s="132"/>
      <c r="O394" s="121"/>
      <c r="P394" s="82"/>
      <c r="Q394" s="292"/>
      <c r="R394" s="132"/>
      <c r="S394" s="121"/>
      <c r="T394" s="82"/>
      <c r="U394" s="292"/>
      <c r="V394" s="132"/>
      <c r="W394" s="121"/>
      <c r="X394" s="82"/>
      <c r="Y394" s="292"/>
      <c r="Z394" s="300"/>
      <c r="AA394" s="301"/>
      <c r="AB394" s="80"/>
      <c r="AC394" s="292"/>
      <c r="AD394" s="132"/>
      <c r="AE394" s="254"/>
      <c r="AF394" s="294"/>
      <c r="AG394" s="292"/>
      <c r="AH394" s="302"/>
      <c r="AI394" s="302"/>
      <c r="AJ394" s="302"/>
      <c r="AK394" s="292"/>
      <c r="AL394" s="82"/>
      <c r="AM394" s="82"/>
      <c r="AN394" s="82"/>
      <c r="AO394" s="292"/>
      <c r="AP394" s="82"/>
      <c r="AQ394" s="82"/>
      <c r="AR394" s="82"/>
      <c r="AS394" s="292"/>
      <c r="AT394" s="82"/>
      <c r="AU394" s="82"/>
      <c r="AV394" s="82"/>
    </row>
    <row r="395">
      <c r="A395" s="292"/>
      <c r="B395" s="132"/>
      <c r="C395" s="121"/>
      <c r="D395" s="82"/>
      <c r="E395" s="292"/>
      <c r="F395" s="132"/>
      <c r="G395" s="121"/>
      <c r="H395" s="82"/>
      <c r="I395" s="292"/>
      <c r="J395" s="132"/>
      <c r="K395" s="121"/>
      <c r="L395" s="82"/>
      <c r="M395" s="292"/>
      <c r="N395" s="132"/>
      <c r="O395" s="121"/>
      <c r="P395" s="82"/>
      <c r="Q395" s="292"/>
      <c r="R395" s="132"/>
      <c r="S395" s="121"/>
      <c r="T395" s="82"/>
      <c r="U395" s="292"/>
      <c r="V395" s="132"/>
      <c r="W395" s="121"/>
      <c r="X395" s="82"/>
      <c r="Y395" s="292"/>
      <c r="Z395" s="300"/>
      <c r="AA395" s="301"/>
      <c r="AB395" s="80"/>
      <c r="AC395" s="292"/>
      <c r="AD395" s="132"/>
      <c r="AE395" s="254"/>
      <c r="AF395" s="294"/>
      <c r="AG395" s="292"/>
      <c r="AH395" s="302"/>
      <c r="AI395" s="302"/>
      <c r="AJ395" s="302"/>
      <c r="AK395" s="292"/>
      <c r="AL395" s="82"/>
      <c r="AM395" s="82"/>
      <c r="AN395" s="82"/>
      <c r="AO395" s="292"/>
      <c r="AP395" s="82"/>
      <c r="AQ395" s="82"/>
      <c r="AR395" s="82"/>
      <c r="AS395" s="292"/>
      <c r="AT395" s="82"/>
      <c r="AU395" s="82"/>
      <c r="AV395" s="82"/>
    </row>
    <row r="396">
      <c r="A396" s="292"/>
      <c r="B396" s="132"/>
      <c r="C396" s="121"/>
      <c r="D396" s="82"/>
      <c r="E396" s="292"/>
      <c r="F396" s="132"/>
      <c r="G396" s="121"/>
      <c r="H396" s="82"/>
      <c r="I396" s="292"/>
      <c r="J396" s="132"/>
      <c r="K396" s="121"/>
      <c r="L396" s="82"/>
      <c r="M396" s="292"/>
      <c r="N396" s="132"/>
      <c r="O396" s="121"/>
      <c r="P396" s="82"/>
      <c r="Q396" s="292"/>
      <c r="R396" s="132"/>
      <c r="S396" s="121"/>
      <c r="T396" s="82"/>
      <c r="U396" s="292"/>
      <c r="V396" s="132"/>
      <c r="W396" s="121"/>
      <c r="X396" s="82"/>
      <c r="Y396" s="292"/>
      <c r="Z396" s="300"/>
      <c r="AA396" s="301"/>
      <c r="AB396" s="80"/>
      <c r="AC396" s="292"/>
      <c r="AD396" s="132"/>
      <c r="AE396" s="254"/>
      <c r="AF396" s="294"/>
      <c r="AG396" s="292"/>
      <c r="AH396" s="302"/>
      <c r="AI396" s="302"/>
      <c r="AJ396" s="302"/>
      <c r="AK396" s="292"/>
      <c r="AL396" s="82"/>
      <c r="AM396" s="82"/>
      <c r="AN396" s="82"/>
      <c r="AO396" s="292"/>
      <c r="AP396" s="82"/>
      <c r="AQ396" s="82"/>
      <c r="AR396" s="82"/>
      <c r="AS396" s="292"/>
      <c r="AT396" s="82"/>
      <c r="AU396" s="82"/>
      <c r="AV396" s="82"/>
    </row>
    <row r="397">
      <c r="A397" s="292"/>
      <c r="B397" s="132"/>
      <c r="C397" s="121"/>
      <c r="D397" s="82"/>
      <c r="E397" s="292"/>
      <c r="F397" s="132"/>
      <c r="G397" s="121"/>
      <c r="H397" s="82"/>
      <c r="I397" s="292"/>
      <c r="J397" s="132"/>
      <c r="K397" s="121"/>
      <c r="L397" s="82"/>
      <c r="M397" s="292"/>
      <c r="N397" s="132"/>
      <c r="O397" s="121"/>
      <c r="P397" s="82"/>
      <c r="Q397" s="292"/>
      <c r="R397" s="132"/>
      <c r="S397" s="121"/>
      <c r="T397" s="82"/>
      <c r="U397" s="292"/>
      <c r="V397" s="132"/>
      <c r="W397" s="121"/>
      <c r="X397" s="82"/>
      <c r="Y397" s="292"/>
      <c r="Z397" s="300"/>
      <c r="AA397" s="301"/>
      <c r="AB397" s="80"/>
      <c r="AC397" s="292"/>
      <c r="AD397" s="132"/>
      <c r="AE397" s="254"/>
      <c r="AF397" s="294"/>
      <c r="AG397" s="292"/>
      <c r="AH397" s="302"/>
      <c r="AI397" s="302"/>
      <c r="AJ397" s="302"/>
      <c r="AK397" s="292"/>
      <c r="AL397" s="82"/>
      <c r="AM397" s="82"/>
      <c r="AN397" s="82"/>
      <c r="AO397" s="292"/>
      <c r="AP397" s="82"/>
      <c r="AQ397" s="82"/>
      <c r="AR397" s="82"/>
      <c r="AS397" s="292"/>
      <c r="AT397" s="82"/>
      <c r="AU397" s="82"/>
      <c r="AV397" s="82"/>
    </row>
    <row r="398">
      <c r="A398" s="292"/>
      <c r="B398" s="132"/>
      <c r="C398" s="121"/>
      <c r="D398" s="82"/>
      <c r="E398" s="292"/>
      <c r="F398" s="132"/>
      <c r="G398" s="121"/>
      <c r="H398" s="82"/>
      <c r="I398" s="292"/>
      <c r="J398" s="132"/>
      <c r="K398" s="121"/>
      <c r="L398" s="82"/>
      <c r="M398" s="292"/>
      <c r="N398" s="132"/>
      <c r="O398" s="121"/>
      <c r="P398" s="82"/>
      <c r="Q398" s="292"/>
      <c r="R398" s="132"/>
      <c r="S398" s="121"/>
      <c r="T398" s="82"/>
      <c r="U398" s="292"/>
      <c r="V398" s="132"/>
      <c r="W398" s="121"/>
      <c r="X398" s="82"/>
      <c r="Y398" s="292"/>
      <c r="Z398" s="300"/>
      <c r="AA398" s="301"/>
      <c r="AB398" s="80"/>
      <c r="AC398" s="292"/>
      <c r="AD398" s="132"/>
      <c r="AE398" s="254"/>
      <c r="AF398" s="294"/>
      <c r="AG398" s="292"/>
      <c r="AH398" s="302"/>
      <c r="AI398" s="302"/>
      <c r="AJ398" s="302"/>
      <c r="AK398" s="292"/>
      <c r="AL398" s="82"/>
      <c r="AM398" s="82"/>
      <c r="AN398" s="82"/>
      <c r="AO398" s="292"/>
      <c r="AP398" s="82"/>
      <c r="AQ398" s="82"/>
      <c r="AR398" s="82"/>
      <c r="AS398" s="292"/>
      <c r="AT398" s="82"/>
      <c r="AU398" s="82"/>
      <c r="AV398" s="82"/>
    </row>
    <row r="399">
      <c r="A399" s="292"/>
      <c r="B399" s="132"/>
      <c r="C399" s="121"/>
      <c r="D399" s="82"/>
      <c r="E399" s="292"/>
      <c r="F399" s="132"/>
      <c r="G399" s="121"/>
      <c r="H399" s="82"/>
      <c r="I399" s="292"/>
      <c r="J399" s="132"/>
      <c r="K399" s="121"/>
      <c r="L399" s="82"/>
      <c r="M399" s="292"/>
      <c r="N399" s="132"/>
      <c r="O399" s="121"/>
      <c r="P399" s="82"/>
      <c r="Q399" s="292"/>
      <c r="R399" s="132"/>
      <c r="S399" s="121"/>
      <c r="T399" s="82"/>
      <c r="U399" s="292"/>
      <c r="V399" s="132"/>
      <c r="W399" s="121"/>
      <c r="X399" s="82"/>
      <c r="Y399" s="292"/>
      <c r="Z399" s="300"/>
      <c r="AA399" s="301"/>
      <c r="AB399" s="80"/>
      <c r="AC399" s="292"/>
      <c r="AD399" s="132"/>
      <c r="AE399" s="254"/>
      <c r="AF399" s="294"/>
      <c r="AG399" s="292"/>
      <c r="AH399" s="302"/>
      <c r="AI399" s="302"/>
      <c r="AJ399" s="302"/>
      <c r="AK399" s="292"/>
      <c r="AL399" s="82"/>
      <c r="AM399" s="82"/>
      <c r="AN399" s="82"/>
      <c r="AO399" s="292"/>
      <c r="AP399" s="82"/>
      <c r="AQ399" s="82"/>
      <c r="AR399" s="82"/>
      <c r="AS399" s="292"/>
      <c r="AT399" s="82"/>
      <c r="AU399" s="82"/>
      <c r="AV399" s="82"/>
    </row>
    <row r="400">
      <c r="A400" s="292"/>
      <c r="B400" s="132"/>
      <c r="C400" s="121"/>
      <c r="D400" s="82"/>
      <c r="E400" s="292"/>
      <c r="F400" s="132"/>
      <c r="G400" s="121"/>
      <c r="H400" s="82"/>
      <c r="I400" s="292"/>
      <c r="J400" s="132"/>
      <c r="K400" s="121"/>
      <c r="L400" s="82"/>
      <c r="M400" s="292"/>
      <c r="N400" s="132"/>
      <c r="O400" s="121"/>
      <c r="P400" s="82"/>
      <c r="Q400" s="292"/>
      <c r="R400" s="132"/>
      <c r="S400" s="121"/>
      <c r="T400" s="82"/>
      <c r="U400" s="292"/>
      <c r="V400" s="132"/>
      <c r="W400" s="121"/>
      <c r="X400" s="82"/>
      <c r="Y400" s="292"/>
      <c r="Z400" s="300"/>
      <c r="AA400" s="301"/>
      <c r="AB400" s="80"/>
      <c r="AC400" s="292"/>
      <c r="AD400" s="132"/>
      <c r="AE400" s="254"/>
      <c r="AF400" s="294"/>
      <c r="AG400" s="292"/>
      <c r="AH400" s="302"/>
      <c r="AI400" s="302"/>
      <c r="AJ400" s="302"/>
      <c r="AK400" s="292"/>
      <c r="AL400" s="82"/>
      <c r="AM400" s="82"/>
      <c r="AN400" s="82"/>
      <c r="AO400" s="292"/>
      <c r="AP400" s="82"/>
      <c r="AQ400" s="82"/>
      <c r="AR400" s="82"/>
      <c r="AS400" s="292"/>
      <c r="AT400" s="82"/>
      <c r="AU400" s="82"/>
      <c r="AV400" s="82"/>
    </row>
    <row r="401">
      <c r="A401" s="292"/>
      <c r="B401" s="132"/>
      <c r="C401" s="121"/>
      <c r="D401" s="82"/>
      <c r="E401" s="292"/>
      <c r="F401" s="132"/>
      <c r="G401" s="121"/>
      <c r="H401" s="82"/>
      <c r="I401" s="292"/>
      <c r="J401" s="132"/>
      <c r="K401" s="121"/>
      <c r="L401" s="82"/>
      <c r="M401" s="292"/>
      <c r="N401" s="132"/>
      <c r="O401" s="121"/>
      <c r="P401" s="82"/>
      <c r="Q401" s="292"/>
      <c r="R401" s="132"/>
      <c r="S401" s="121"/>
      <c r="T401" s="82"/>
      <c r="U401" s="292"/>
      <c r="V401" s="132"/>
      <c r="W401" s="121"/>
      <c r="X401" s="82"/>
      <c r="Y401" s="292"/>
      <c r="Z401" s="300"/>
      <c r="AA401" s="301"/>
      <c r="AB401" s="80"/>
      <c r="AC401" s="292"/>
      <c r="AD401" s="132"/>
      <c r="AE401" s="254"/>
      <c r="AF401" s="294"/>
      <c r="AG401" s="292"/>
      <c r="AH401" s="302"/>
      <c r="AI401" s="302"/>
      <c r="AJ401" s="302"/>
      <c r="AK401" s="292"/>
      <c r="AL401" s="82"/>
      <c r="AM401" s="82"/>
      <c r="AN401" s="82"/>
      <c r="AO401" s="292"/>
      <c r="AP401" s="82"/>
      <c r="AQ401" s="82"/>
      <c r="AR401" s="82"/>
      <c r="AS401" s="292"/>
      <c r="AT401" s="82"/>
      <c r="AU401" s="82"/>
      <c r="AV401" s="82"/>
    </row>
    <row r="402">
      <c r="A402" s="292"/>
      <c r="B402" s="132"/>
      <c r="C402" s="121"/>
      <c r="D402" s="82"/>
      <c r="E402" s="292"/>
      <c r="F402" s="132"/>
      <c r="G402" s="121"/>
      <c r="H402" s="82"/>
      <c r="I402" s="292"/>
      <c r="J402" s="132"/>
      <c r="K402" s="121"/>
      <c r="L402" s="82"/>
      <c r="M402" s="292"/>
      <c r="N402" s="132"/>
      <c r="O402" s="121"/>
      <c r="P402" s="82"/>
      <c r="Q402" s="292"/>
      <c r="R402" s="132"/>
      <c r="S402" s="121"/>
      <c r="T402" s="82"/>
      <c r="U402" s="292"/>
      <c r="V402" s="132"/>
      <c r="W402" s="121"/>
      <c r="X402" s="82"/>
      <c r="Y402" s="292"/>
      <c r="Z402" s="300"/>
      <c r="AA402" s="301"/>
      <c r="AB402" s="80"/>
      <c r="AC402" s="292"/>
      <c r="AD402" s="132"/>
      <c r="AE402" s="254"/>
      <c r="AF402" s="294"/>
      <c r="AG402" s="292"/>
      <c r="AH402" s="302"/>
      <c r="AI402" s="302"/>
      <c r="AJ402" s="302"/>
      <c r="AK402" s="292"/>
      <c r="AL402" s="82"/>
      <c r="AM402" s="82"/>
      <c r="AN402" s="82"/>
      <c r="AO402" s="292"/>
      <c r="AP402" s="82"/>
      <c r="AQ402" s="82"/>
      <c r="AR402" s="82"/>
      <c r="AS402" s="292"/>
      <c r="AT402" s="82"/>
      <c r="AU402" s="82"/>
      <c r="AV402" s="82"/>
    </row>
    <row r="403">
      <c r="A403" s="292"/>
      <c r="B403" s="132"/>
      <c r="C403" s="121"/>
      <c r="D403" s="82"/>
      <c r="E403" s="292"/>
      <c r="F403" s="132"/>
      <c r="G403" s="121"/>
      <c r="H403" s="82"/>
      <c r="I403" s="292"/>
      <c r="J403" s="132"/>
      <c r="K403" s="121"/>
      <c r="L403" s="82"/>
      <c r="M403" s="292"/>
      <c r="N403" s="132"/>
      <c r="O403" s="121"/>
      <c r="P403" s="82"/>
      <c r="Q403" s="292"/>
      <c r="R403" s="132"/>
      <c r="S403" s="121"/>
      <c r="T403" s="82"/>
      <c r="U403" s="292"/>
      <c r="V403" s="132"/>
      <c r="W403" s="121"/>
      <c r="X403" s="82"/>
      <c r="Y403" s="292"/>
      <c r="Z403" s="300"/>
      <c r="AA403" s="301"/>
      <c r="AB403" s="80"/>
      <c r="AC403" s="292"/>
      <c r="AD403" s="132"/>
      <c r="AE403" s="254"/>
      <c r="AF403" s="294"/>
      <c r="AG403" s="292"/>
      <c r="AH403" s="302"/>
      <c r="AI403" s="302"/>
      <c r="AJ403" s="302"/>
      <c r="AK403" s="292"/>
      <c r="AL403" s="82"/>
      <c r="AM403" s="82"/>
      <c r="AN403" s="82"/>
      <c r="AO403" s="292"/>
      <c r="AP403" s="82"/>
      <c r="AQ403" s="82"/>
      <c r="AR403" s="82"/>
      <c r="AS403" s="292"/>
      <c r="AT403" s="82"/>
      <c r="AU403" s="82"/>
      <c r="AV403" s="82"/>
    </row>
    <row r="404">
      <c r="A404" s="292"/>
      <c r="B404" s="132"/>
      <c r="C404" s="121"/>
      <c r="D404" s="82"/>
      <c r="E404" s="292"/>
      <c r="F404" s="132"/>
      <c r="G404" s="121"/>
      <c r="H404" s="82"/>
      <c r="I404" s="292"/>
      <c r="J404" s="132"/>
      <c r="K404" s="121"/>
      <c r="L404" s="82"/>
      <c r="M404" s="292"/>
      <c r="N404" s="132"/>
      <c r="O404" s="121"/>
      <c r="P404" s="82"/>
      <c r="Q404" s="292"/>
      <c r="R404" s="132"/>
      <c r="S404" s="121"/>
      <c r="T404" s="82"/>
      <c r="U404" s="292"/>
      <c r="V404" s="132"/>
      <c r="W404" s="121"/>
      <c r="X404" s="82"/>
      <c r="Y404" s="292"/>
      <c r="Z404" s="300"/>
      <c r="AA404" s="301"/>
      <c r="AB404" s="80"/>
      <c r="AC404" s="292"/>
      <c r="AD404" s="132"/>
      <c r="AE404" s="254"/>
      <c r="AF404" s="294"/>
      <c r="AG404" s="292"/>
      <c r="AH404" s="302"/>
      <c r="AI404" s="302"/>
      <c r="AJ404" s="302"/>
      <c r="AK404" s="292"/>
      <c r="AL404" s="82"/>
      <c r="AM404" s="82"/>
      <c r="AN404" s="82"/>
      <c r="AO404" s="292"/>
      <c r="AP404" s="82"/>
      <c r="AQ404" s="82"/>
      <c r="AR404" s="82"/>
      <c r="AS404" s="292"/>
      <c r="AT404" s="82"/>
      <c r="AU404" s="82"/>
      <c r="AV404" s="82"/>
    </row>
    <row r="405">
      <c r="A405" s="292"/>
      <c r="B405" s="132"/>
      <c r="C405" s="121"/>
      <c r="D405" s="82"/>
      <c r="E405" s="292"/>
      <c r="F405" s="132"/>
      <c r="G405" s="121"/>
      <c r="H405" s="82"/>
      <c r="I405" s="292"/>
      <c r="J405" s="132"/>
      <c r="K405" s="121"/>
      <c r="L405" s="82"/>
      <c r="M405" s="292"/>
      <c r="N405" s="132"/>
      <c r="O405" s="121"/>
      <c r="P405" s="82"/>
      <c r="Q405" s="292"/>
      <c r="R405" s="132"/>
      <c r="S405" s="121"/>
      <c r="T405" s="82"/>
      <c r="U405" s="292"/>
      <c r="V405" s="132"/>
      <c r="W405" s="121"/>
      <c r="X405" s="82"/>
      <c r="Y405" s="292"/>
      <c r="Z405" s="300"/>
      <c r="AA405" s="301"/>
      <c r="AB405" s="80"/>
      <c r="AC405" s="292"/>
      <c r="AD405" s="132"/>
      <c r="AE405" s="254"/>
      <c r="AF405" s="294"/>
      <c r="AG405" s="292"/>
      <c r="AH405" s="302"/>
      <c r="AI405" s="302"/>
      <c r="AJ405" s="302"/>
      <c r="AK405" s="292"/>
      <c r="AL405" s="82"/>
      <c r="AM405" s="82"/>
      <c r="AN405" s="82"/>
      <c r="AO405" s="292"/>
      <c r="AP405" s="82"/>
      <c r="AQ405" s="82"/>
      <c r="AR405" s="82"/>
      <c r="AS405" s="292"/>
      <c r="AT405" s="82"/>
      <c r="AU405" s="82"/>
      <c r="AV405" s="82"/>
    </row>
    <row r="406">
      <c r="A406" s="292"/>
      <c r="B406" s="132"/>
      <c r="C406" s="121"/>
      <c r="D406" s="82"/>
      <c r="E406" s="292"/>
      <c r="F406" s="132"/>
      <c r="G406" s="121"/>
      <c r="H406" s="82"/>
      <c r="I406" s="292"/>
      <c r="J406" s="132"/>
      <c r="K406" s="121"/>
      <c r="L406" s="82"/>
      <c r="M406" s="292"/>
      <c r="N406" s="132"/>
      <c r="O406" s="121"/>
      <c r="P406" s="82"/>
      <c r="Q406" s="292"/>
      <c r="R406" s="132"/>
      <c r="S406" s="121"/>
      <c r="T406" s="82"/>
      <c r="U406" s="292"/>
      <c r="V406" s="132"/>
      <c r="W406" s="121"/>
      <c r="X406" s="82"/>
      <c r="Y406" s="292"/>
      <c r="Z406" s="300"/>
      <c r="AA406" s="301"/>
      <c r="AB406" s="80"/>
      <c r="AC406" s="292"/>
      <c r="AD406" s="132"/>
      <c r="AE406" s="254"/>
      <c r="AF406" s="294"/>
      <c r="AG406" s="292"/>
      <c r="AH406" s="302"/>
      <c r="AI406" s="302"/>
      <c r="AJ406" s="302"/>
      <c r="AK406" s="292"/>
      <c r="AL406" s="82"/>
      <c r="AM406" s="82"/>
      <c r="AN406" s="82"/>
      <c r="AO406" s="292"/>
      <c r="AP406" s="82"/>
      <c r="AQ406" s="82"/>
      <c r="AR406" s="82"/>
      <c r="AS406" s="292"/>
      <c r="AT406" s="82"/>
      <c r="AU406" s="82"/>
      <c r="AV406" s="82"/>
    </row>
    <row r="407">
      <c r="A407" s="292"/>
      <c r="B407" s="132"/>
      <c r="C407" s="121"/>
      <c r="D407" s="82"/>
      <c r="E407" s="292"/>
      <c r="F407" s="132"/>
      <c r="G407" s="121"/>
      <c r="H407" s="82"/>
      <c r="I407" s="292"/>
      <c r="J407" s="132"/>
      <c r="K407" s="121"/>
      <c r="L407" s="82"/>
      <c r="M407" s="292"/>
      <c r="N407" s="132"/>
      <c r="O407" s="121"/>
      <c r="P407" s="82"/>
      <c r="Q407" s="292"/>
      <c r="R407" s="132"/>
      <c r="S407" s="121"/>
      <c r="T407" s="82"/>
      <c r="U407" s="292"/>
      <c r="V407" s="132"/>
      <c r="W407" s="121"/>
      <c r="X407" s="82"/>
      <c r="Y407" s="292"/>
      <c r="Z407" s="300"/>
      <c r="AA407" s="301"/>
      <c r="AB407" s="80"/>
      <c r="AC407" s="292"/>
      <c r="AD407" s="132"/>
      <c r="AE407" s="254"/>
      <c r="AF407" s="294"/>
      <c r="AG407" s="292"/>
      <c r="AH407" s="302"/>
      <c r="AI407" s="302"/>
      <c r="AJ407" s="302"/>
      <c r="AK407" s="292"/>
      <c r="AL407" s="82"/>
      <c r="AM407" s="82"/>
      <c r="AN407" s="82"/>
      <c r="AO407" s="292"/>
      <c r="AP407" s="82"/>
      <c r="AQ407" s="82"/>
      <c r="AR407" s="82"/>
      <c r="AS407" s="292"/>
      <c r="AT407" s="82"/>
      <c r="AU407" s="82"/>
      <c r="AV407" s="82"/>
    </row>
    <row r="408">
      <c r="A408" s="292"/>
      <c r="B408" s="132"/>
      <c r="C408" s="121"/>
      <c r="D408" s="82"/>
      <c r="E408" s="292"/>
      <c r="F408" s="132"/>
      <c r="G408" s="121"/>
      <c r="H408" s="82"/>
      <c r="I408" s="292"/>
      <c r="J408" s="132"/>
      <c r="K408" s="121"/>
      <c r="L408" s="82"/>
      <c r="M408" s="292"/>
      <c r="N408" s="132"/>
      <c r="O408" s="121"/>
      <c r="P408" s="82"/>
      <c r="Q408" s="292"/>
      <c r="R408" s="132"/>
      <c r="S408" s="121"/>
      <c r="T408" s="82"/>
      <c r="U408" s="292"/>
      <c r="V408" s="132"/>
      <c r="W408" s="121"/>
      <c r="X408" s="82"/>
      <c r="Y408" s="292"/>
      <c r="Z408" s="300"/>
      <c r="AA408" s="301"/>
      <c r="AB408" s="80"/>
      <c r="AC408" s="292"/>
      <c r="AD408" s="132"/>
      <c r="AE408" s="254"/>
      <c r="AF408" s="294"/>
      <c r="AG408" s="292"/>
      <c r="AH408" s="302"/>
      <c r="AI408" s="302"/>
      <c r="AJ408" s="302"/>
      <c r="AK408" s="292"/>
      <c r="AL408" s="82"/>
      <c r="AM408" s="82"/>
      <c r="AN408" s="82"/>
      <c r="AO408" s="292"/>
      <c r="AP408" s="82"/>
      <c r="AQ408" s="82"/>
      <c r="AR408" s="82"/>
      <c r="AS408" s="292"/>
      <c r="AT408" s="82"/>
      <c r="AU408" s="82"/>
      <c r="AV408" s="82"/>
    </row>
    <row r="409">
      <c r="A409" s="292"/>
      <c r="B409" s="132"/>
      <c r="C409" s="121"/>
      <c r="D409" s="82"/>
      <c r="E409" s="292"/>
      <c r="F409" s="132"/>
      <c r="G409" s="121"/>
      <c r="H409" s="82"/>
      <c r="I409" s="292"/>
      <c r="J409" s="132"/>
      <c r="K409" s="121"/>
      <c r="L409" s="82"/>
      <c r="M409" s="292"/>
      <c r="N409" s="132"/>
      <c r="O409" s="121"/>
      <c r="P409" s="82"/>
      <c r="Q409" s="292"/>
      <c r="R409" s="132"/>
      <c r="S409" s="121"/>
      <c r="T409" s="82"/>
      <c r="U409" s="292"/>
      <c r="V409" s="132"/>
      <c r="W409" s="121"/>
      <c r="X409" s="82"/>
      <c r="Y409" s="292"/>
      <c r="Z409" s="300"/>
      <c r="AA409" s="301"/>
      <c r="AB409" s="80"/>
      <c r="AC409" s="292"/>
      <c r="AD409" s="132"/>
      <c r="AE409" s="254"/>
      <c r="AF409" s="294"/>
      <c r="AG409" s="292"/>
      <c r="AH409" s="302"/>
      <c r="AI409" s="302"/>
      <c r="AJ409" s="302"/>
      <c r="AK409" s="292"/>
      <c r="AL409" s="82"/>
      <c r="AM409" s="82"/>
      <c r="AN409" s="82"/>
      <c r="AO409" s="292"/>
      <c r="AP409" s="82"/>
      <c r="AQ409" s="82"/>
      <c r="AR409" s="82"/>
      <c r="AS409" s="292"/>
      <c r="AT409" s="82"/>
      <c r="AU409" s="82"/>
      <c r="AV409" s="82"/>
    </row>
    <row r="410">
      <c r="A410" s="292"/>
      <c r="B410" s="132"/>
      <c r="C410" s="121"/>
      <c r="D410" s="82"/>
      <c r="E410" s="292"/>
      <c r="F410" s="132"/>
      <c r="G410" s="121"/>
      <c r="H410" s="82"/>
      <c r="I410" s="292"/>
      <c r="J410" s="132"/>
      <c r="K410" s="121"/>
      <c r="L410" s="82"/>
      <c r="M410" s="292"/>
      <c r="N410" s="132"/>
      <c r="O410" s="121"/>
      <c r="P410" s="82"/>
      <c r="Q410" s="292"/>
      <c r="R410" s="132"/>
      <c r="S410" s="121"/>
      <c r="T410" s="82"/>
      <c r="U410" s="292"/>
      <c r="V410" s="132"/>
      <c r="W410" s="121"/>
      <c r="X410" s="82"/>
      <c r="Y410" s="292"/>
      <c r="Z410" s="300"/>
      <c r="AA410" s="301"/>
      <c r="AB410" s="80"/>
      <c r="AC410" s="292"/>
      <c r="AD410" s="132"/>
      <c r="AE410" s="254"/>
      <c r="AF410" s="294"/>
      <c r="AG410" s="292"/>
      <c r="AH410" s="302"/>
      <c r="AI410" s="302"/>
      <c r="AJ410" s="302"/>
      <c r="AK410" s="292"/>
      <c r="AL410" s="82"/>
      <c r="AM410" s="82"/>
      <c r="AN410" s="82"/>
      <c r="AO410" s="292"/>
      <c r="AP410" s="82"/>
      <c r="AQ410" s="82"/>
      <c r="AR410" s="82"/>
      <c r="AS410" s="292"/>
      <c r="AT410" s="82"/>
      <c r="AU410" s="82"/>
      <c r="AV410" s="82"/>
    </row>
    <row r="411">
      <c r="A411" s="292"/>
      <c r="B411" s="132"/>
      <c r="C411" s="121"/>
      <c r="D411" s="82"/>
      <c r="E411" s="292"/>
      <c r="F411" s="132"/>
      <c r="G411" s="121"/>
      <c r="H411" s="82"/>
      <c r="I411" s="292"/>
      <c r="J411" s="132"/>
      <c r="K411" s="121"/>
      <c r="L411" s="82"/>
      <c r="M411" s="292"/>
      <c r="N411" s="132"/>
      <c r="O411" s="121"/>
      <c r="P411" s="82"/>
      <c r="Q411" s="292"/>
      <c r="R411" s="132"/>
      <c r="S411" s="121"/>
      <c r="T411" s="82"/>
      <c r="U411" s="292"/>
      <c r="V411" s="132"/>
      <c r="W411" s="121"/>
      <c r="X411" s="82"/>
      <c r="Y411" s="292"/>
      <c r="Z411" s="300"/>
      <c r="AA411" s="301"/>
      <c r="AB411" s="80"/>
      <c r="AC411" s="292"/>
      <c r="AD411" s="132"/>
      <c r="AE411" s="254"/>
      <c r="AF411" s="294"/>
      <c r="AG411" s="292"/>
      <c r="AH411" s="302"/>
      <c r="AI411" s="302"/>
      <c r="AJ411" s="302"/>
      <c r="AK411" s="292"/>
      <c r="AL411" s="82"/>
      <c r="AM411" s="82"/>
      <c r="AN411" s="82"/>
      <c r="AO411" s="292"/>
      <c r="AP411" s="82"/>
      <c r="AQ411" s="82"/>
      <c r="AR411" s="82"/>
      <c r="AS411" s="292"/>
      <c r="AT411" s="82"/>
      <c r="AU411" s="82"/>
      <c r="AV411" s="82"/>
    </row>
    <row r="412">
      <c r="A412" s="292"/>
      <c r="B412" s="132"/>
      <c r="C412" s="121"/>
      <c r="D412" s="82"/>
      <c r="E412" s="292"/>
      <c r="F412" s="132"/>
      <c r="G412" s="121"/>
      <c r="H412" s="82"/>
      <c r="I412" s="292"/>
      <c r="J412" s="132"/>
      <c r="K412" s="121"/>
      <c r="L412" s="82"/>
      <c r="M412" s="292"/>
      <c r="N412" s="132"/>
      <c r="O412" s="121"/>
      <c r="P412" s="82"/>
      <c r="Q412" s="292"/>
      <c r="R412" s="132"/>
      <c r="S412" s="121"/>
      <c r="T412" s="82"/>
      <c r="U412" s="292"/>
      <c r="V412" s="132"/>
      <c r="W412" s="121"/>
      <c r="X412" s="82"/>
      <c r="Y412" s="292"/>
      <c r="Z412" s="300"/>
      <c r="AA412" s="301"/>
      <c r="AB412" s="80"/>
      <c r="AC412" s="292"/>
      <c r="AD412" s="132"/>
      <c r="AE412" s="254"/>
      <c r="AF412" s="294"/>
      <c r="AG412" s="292"/>
      <c r="AH412" s="302"/>
      <c r="AI412" s="302"/>
      <c r="AJ412" s="302"/>
      <c r="AK412" s="292"/>
      <c r="AL412" s="82"/>
      <c r="AM412" s="82"/>
      <c r="AN412" s="82"/>
      <c r="AO412" s="292"/>
      <c r="AP412" s="82"/>
      <c r="AQ412" s="82"/>
      <c r="AR412" s="82"/>
      <c r="AS412" s="292"/>
      <c r="AT412" s="82"/>
      <c r="AU412" s="82"/>
      <c r="AV412" s="82"/>
    </row>
    <row r="413">
      <c r="A413" s="292"/>
      <c r="B413" s="132"/>
      <c r="C413" s="121"/>
      <c r="D413" s="82"/>
      <c r="E413" s="292"/>
      <c r="F413" s="132"/>
      <c r="G413" s="121"/>
      <c r="H413" s="82"/>
      <c r="I413" s="292"/>
      <c r="J413" s="132"/>
      <c r="K413" s="121"/>
      <c r="L413" s="82"/>
      <c r="M413" s="292"/>
      <c r="N413" s="132"/>
      <c r="O413" s="121"/>
      <c r="P413" s="82"/>
      <c r="Q413" s="292"/>
      <c r="R413" s="132"/>
      <c r="S413" s="121"/>
      <c r="T413" s="82"/>
      <c r="U413" s="292"/>
      <c r="V413" s="132"/>
      <c r="W413" s="121"/>
      <c r="X413" s="82"/>
      <c r="Y413" s="292"/>
      <c r="Z413" s="300"/>
      <c r="AA413" s="301"/>
      <c r="AB413" s="80"/>
      <c r="AC413" s="292"/>
      <c r="AD413" s="132"/>
      <c r="AE413" s="254"/>
      <c r="AF413" s="294"/>
      <c r="AG413" s="292"/>
      <c r="AH413" s="302"/>
      <c r="AI413" s="302"/>
      <c r="AJ413" s="302"/>
      <c r="AK413" s="292"/>
      <c r="AL413" s="82"/>
      <c r="AM413" s="82"/>
      <c r="AN413" s="82"/>
      <c r="AO413" s="292"/>
      <c r="AP413" s="82"/>
      <c r="AQ413" s="82"/>
      <c r="AR413" s="82"/>
      <c r="AS413" s="292"/>
      <c r="AT413" s="82"/>
      <c r="AU413" s="82"/>
      <c r="AV413" s="82"/>
    </row>
    <row r="414">
      <c r="A414" s="292"/>
      <c r="B414" s="132"/>
      <c r="C414" s="121"/>
      <c r="D414" s="82"/>
      <c r="E414" s="292"/>
      <c r="F414" s="132"/>
      <c r="G414" s="121"/>
      <c r="H414" s="82"/>
      <c r="I414" s="292"/>
      <c r="J414" s="132"/>
      <c r="K414" s="121"/>
      <c r="L414" s="82"/>
      <c r="M414" s="292"/>
      <c r="N414" s="132"/>
      <c r="O414" s="121"/>
      <c r="P414" s="82"/>
      <c r="Q414" s="292"/>
      <c r="R414" s="132"/>
      <c r="S414" s="121"/>
      <c r="T414" s="82"/>
      <c r="U414" s="292"/>
      <c r="V414" s="132"/>
      <c r="W414" s="121"/>
      <c r="X414" s="82"/>
      <c r="Y414" s="292"/>
      <c r="Z414" s="300"/>
      <c r="AA414" s="301"/>
      <c r="AB414" s="80"/>
      <c r="AC414" s="292"/>
      <c r="AD414" s="132"/>
      <c r="AE414" s="254"/>
      <c r="AF414" s="294"/>
      <c r="AG414" s="292"/>
      <c r="AH414" s="302"/>
      <c r="AI414" s="302"/>
      <c r="AJ414" s="302"/>
      <c r="AK414" s="292"/>
      <c r="AL414" s="82"/>
      <c r="AM414" s="82"/>
      <c r="AN414" s="82"/>
      <c r="AO414" s="292"/>
      <c r="AP414" s="82"/>
      <c r="AQ414" s="82"/>
      <c r="AR414" s="82"/>
      <c r="AS414" s="292"/>
      <c r="AT414" s="82"/>
      <c r="AU414" s="82"/>
      <c r="AV414" s="82"/>
    </row>
    <row r="415">
      <c r="A415" s="292"/>
      <c r="B415" s="132"/>
      <c r="C415" s="121"/>
      <c r="D415" s="82"/>
      <c r="E415" s="292"/>
      <c r="F415" s="132"/>
      <c r="G415" s="121"/>
      <c r="H415" s="82"/>
      <c r="I415" s="292"/>
      <c r="J415" s="132"/>
      <c r="K415" s="121"/>
      <c r="L415" s="82"/>
      <c r="M415" s="292"/>
      <c r="N415" s="132"/>
      <c r="O415" s="121"/>
      <c r="P415" s="82"/>
      <c r="Q415" s="292"/>
      <c r="R415" s="132"/>
      <c r="S415" s="121"/>
      <c r="T415" s="82"/>
      <c r="U415" s="292"/>
      <c r="V415" s="132"/>
      <c r="W415" s="121"/>
      <c r="X415" s="82"/>
      <c r="Y415" s="292"/>
      <c r="Z415" s="300"/>
      <c r="AA415" s="301"/>
      <c r="AB415" s="80"/>
      <c r="AC415" s="292"/>
      <c r="AD415" s="132"/>
      <c r="AE415" s="254"/>
      <c r="AF415" s="294"/>
      <c r="AG415" s="292"/>
      <c r="AH415" s="302"/>
      <c r="AI415" s="302"/>
      <c r="AJ415" s="302"/>
      <c r="AK415" s="292"/>
      <c r="AL415" s="82"/>
      <c r="AM415" s="82"/>
      <c r="AN415" s="82"/>
      <c r="AO415" s="292"/>
      <c r="AP415" s="82"/>
      <c r="AQ415" s="82"/>
      <c r="AR415" s="82"/>
      <c r="AS415" s="292"/>
      <c r="AT415" s="82"/>
      <c r="AU415" s="82"/>
      <c r="AV415" s="82"/>
    </row>
    <row r="416">
      <c r="A416" s="292"/>
      <c r="B416" s="132"/>
      <c r="C416" s="121"/>
      <c r="D416" s="82"/>
      <c r="E416" s="292"/>
      <c r="F416" s="132"/>
      <c r="G416" s="121"/>
      <c r="H416" s="82"/>
      <c r="I416" s="292"/>
      <c r="J416" s="132"/>
      <c r="K416" s="121"/>
      <c r="L416" s="82"/>
      <c r="M416" s="292"/>
      <c r="N416" s="132"/>
      <c r="O416" s="121"/>
      <c r="P416" s="82"/>
      <c r="Q416" s="292"/>
      <c r="R416" s="132"/>
      <c r="S416" s="121"/>
      <c r="T416" s="82"/>
      <c r="U416" s="292"/>
      <c r="V416" s="132"/>
      <c r="W416" s="121"/>
      <c r="X416" s="82"/>
      <c r="Y416" s="292"/>
      <c r="Z416" s="300"/>
      <c r="AA416" s="301"/>
      <c r="AB416" s="80"/>
      <c r="AC416" s="292"/>
      <c r="AD416" s="132"/>
      <c r="AE416" s="254"/>
      <c r="AF416" s="294"/>
      <c r="AG416" s="292"/>
      <c r="AH416" s="302"/>
      <c r="AI416" s="302"/>
      <c r="AJ416" s="302"/>
      <c r="AK416" s="292"/>
      <c r="AL416" s="82"/>
      <c r="AM416" s="82"/>
      <c r="AN416" s="82"/>
      <c r="AO416" s="292"/>
      <c r="AP416" s="82"/>
      <c r="AQ416" s="82"/>
      <c r="AR416" s="82"/>
      <c r="AS416" s="292"/>
      <c r="AT416" s="82"/>
      <c r="AU416" s="82"/>
      <c r="AV416" s="82"/>
    </row>
    <row r="417">
      <c r="A417" s="292"/>
      <c r="B417" s="132"/>
      <c r="C417" s="121"/>
      <c r="D417" s="82"/>
      <c r="E417" s="292"/>
      <c r="F417" s="132"/>
      <c r="G417" s="121"/>
      <c r="H417" s="82"/>
      <c r="I417" s="292"/>
      <c r="J417" s="132"/>
      <c r="K417" s="121"/>
      <c r="L417" s="82"/>
      <c r="M417" s="292"/>
      <c r="N417" s="132"/>
      <c r="O417" s="121"/>
      <c r="P417" s="82"/>
      <c r="Q417" s="292"/>
      <c r="R417" s="132"/>
      <c r="S417" s="121"/>
      <c r="T417" s="82"/>
      <c r="U417" s="292"/>
      <c r="V417" s="132"/>
      <c r="W417" s="121"/>
      <c r="X417" s="82"/>
      <c r="Y417" s="292"/>
      <c r="Z417" s="300"/>
      <c r="AA417" s="301"/>
      <c r="AB417" s="80"/>
      <c r="AC417" s="292"/>
      <c r="AD417" s="132"/>
      <c r="AE417" s="254"/>
      <c r="AF417" s="294"/>
      <c r="AG417" s="292"/>
      <c r="AH417" s="302"/>
      <c r="AI417" s="302"/>
      <c r="AJ417" s="302"/>
      <c r="AK417" s="292"/>
      <c r="AL417" s="82"/>
      <c r="AM417" s="82"/>
      <c r="AN417" s="82"/>
      <c r="AO417" s="292"/>
      <c r="AP417" s="82"/>
      <c r="AQ417" s="82"/>
      <c r="AR417" s="82"/>
      <c r="AS417" s="292"/>
      <c r="AT417" s="82"/>
      <c r="AU417" s="82"/>
      <c r="AV417" s="82"/>
    </row>
    <row r="418">
      <c r="A418" s="292"/>
      <c r="B418" s="132"/>
      <c r="C418" s="121"/>
      <c r="D418" s="82"/>
      <c r="E418" s="292"/>
      <c r="F418" s="132"/>
      <c r="G418" s="121"/>
      <c r="H418" s="82"/>
      <c r="I418" s="292"/>
      <c r="J418" s="132"/>
      <c r="K418" s="121"/>
      <c r="L418" s="82"/>
      <c r="M418" s="292"/>
      <c r="N418" s="132"/>
      <c r="O418" s="121"/>
      <c r="P418" s="82"/>
      <c r="Q418" s="292"/>
      <c r="R418" s="132"/>
      <c r="S418" s="121"/>
      <c r="T418" s="82"/>
      <c r="U418" s="292"/>
      <c r="V418" s="132"/>
      <c r="W418" s="121"/>
      <c r="X418" s="82"/>
      <c r="Y418" s="292"/>
      <c r="Z418" s="300"/>
      <c r="AA418" s="301"/>
      <c r="AB418" s="80"/>
      <c r="AC418" s="292"/>
      <c r="AD418" s="132"/>
      <c r="AE418" s="254"/>
      <c r="AF418" s="294"/>
      <c r="AG418" s="292"/>
      <c r="AH418" s="302"/>
      <c r="AI418" s="302"/>
      <c r="AJ418" s="302"/>
      <c r="AK418" s="292"/>
      <c r="AL418" s="82"/>
      <c r="AM418" s="82"/>
      <c r="AN418" s="82"/>
      <c r="AO418" s="292"/>
      <c r="AP418" s="82"/>
      <c r="AQ418" s="82"/>
      <c r="AR418" s="82"/>
      <c r="AS418" s="292"/>
      <c r="AT418" s="82"/>
      <c r="AU418" s="82"/>
      <c r="AV418" s="82"/>
    </row>
    <row r="419">
      <c r="A419" s="292"/>
      <c r="B419" s="132"/>
      <c r="C419" s="121"/>
      <c r="D419" s="82"/>
      <c r="E419" s="292"/>
      <c r="F419" s="132"/>
      <c r="G419" s="121"/>
      <c r="H419" s="82"/>
      <c r="I419" s="292"/>
      <c r="J419" s="132"/>
      <c r="K419" s="121"/>
      <c r="L419" s="82"/>
      <c r="M419" s="292"/>
      <c r="N419" s="132"/>
      <c r="O419" s="121"/>
      <c r="P419" s="82"/>
      <c r="Q419" s="292"/>
      <c r="R419" s="132"/>
      <c r="S419" s="121"/>
      <c r="T419" s="82"/>
      <c r="U419" s="292"/>
      <c r="V419" s="132"/>
      <c r="W419" s="121"/>
      <c r="X419" s="82"/>
      <c r="Y419" s="292"/>
      <c r="Z419" s="300"/>
      <c r="AA419" s="301"/>
      <c r="AB419" s="80"/>
      <c r="AC419" s="292"/>
      <c r="AD419" s="132"/>
      <c r="AE419" s="254"/>
      <c r="AF419" s="294"/>
      <c r="AG419" s="292"/>
      <c r="AH419" s="302"/>
      <c r="AI419" s="302"/>
      <c r="AJ419" s="302"/>
      <c r="AK419" s="292"/>
      <c r="AL419" s="82"/>
      <c r="AM419" s="82"/>
      <c r="AN419" s="82"/>
      <c r="AO419" s="292"/>
      <c r="AP419" s="82"/>
      <c r="AQ419" s="82"/>
      <c r="AR419" s="82"/>
      <c r="AS419" s="292"/>
      <c r="AT419" s="82"/>
      <c r="AU419" s="82"/>
      <c r="AV419" s="82"/>
    </row>
    <row r="420">
      <c r="A420" s="292"/>
      <c r="B420" s="132"/>
      <c r="C420" s="121"/>
      <c r="D420" s="82"/>
      <c r="E420" s="292"/>
      <c r="F420" s="132"/>
      <c r="G420" s="121"/>
      <c r="H420" s="82"/>
      <c r="I420" s="292"/>
      <c r="J420" s="132"/>
      <c r="K420" s="121"/>
      <c r="L420" s="82"/>
      <c r="M420" s="292"/>
      <c r="N420" s="132"/>
      <c r="O420" s="121"/>
      <c r="P420" s="82"/>
      <c r="Q420" s="292"/>
      <c r="R420" s="132"/>
      <c r="S420" s="121"/>
      <c r="T420" s="82"/>
      <c r="U420" s="292"/>
      <c r="V420" s="132"/>
      <c r="W420" s="121"/>
      <c r="X420" s="82"/>
      <c r="Y420" s="292"/>
      <c r="Z420" s="300"/>
      <c r="AA420" s="301"/>
      <c r="AB420" s="80"/>
      <c r="AC420" s="292"/>
      <c r="AD420" s="132"/>
      <c r="AE420" s="254"/>
      <c r="AF420" s="294"/>
      <c r="AG420" s="292"/>
      <c r="AH420" s="302"/>
      <c r="AI420" s="302"/>
      <c r="AJ420" s="302"/>
      <c r="AK420" s="292"/>
      <c r="AL420" s="82"/>
      <c r="AM420" s="82"/>
      <c r="AN420" s="82"/>
      <c r="AO420" s="292"/>
      <c r="AP420" s="82"/>
      <c r="AQ420" s="82"/>
      <c r="AR420" s="82"/>
      <c r="AS420" s="292"/>
      <c r="AT420" s="82"/>
      <c r="AU420" s="82"/>
      <c r="AV420" s="82"/>
    </row>
    <row r="421">
      <c r="A421" s="292"/>
      <c r="B421" s="132"/>
      <c r="C421" s="121"/>
      <c r="D421" s="82"/>
      <c r="E421" s="292"/>
      <c r="F421" s="132"/>
      <c r="G421" s="121"/>
      <c r="H421" s="82"/>
      <c r="I421" s="292"/>
      <c r="J421" s="132"/>
      <c r="K421" s="121"/>
      <c r="L421" s="82"/>
      <c r="M421" s="292"/>
      <c r="N421" s="132"/>
      <c r="O421" s="121"/>
      <c r="P421" s="82"/>
      <c r="Q421" s="292"/>
      <c r="R421" s="132"/>
      <c r="S421" s="121"/>
      <c r="T421" s="82"/>
      <c r="U421" s="292"/>
      <c r="V421" s="132"/>
      <c r="W421" s="121"/>
      <c r="X421" s="82"/>
      <c r="Y421" s="292"/>
      <c r="Z421" s="300"/>
      <c r="AA421" s="301"/>
      <c r="AB421" s="80"/>
      <c r="AC421" s="292"/>
      <c r="AD421" s="132"/>
      <c r="AE421" s="254"/>
      <c r="AF421" s="294"/>
      <c r="AG421" s="292"/>
      <c r="AH421" s="302"/>
      <c r="AI421" s="302"/>
      <c r="AJ421" s="302"/>
      <c r="AK421" s="292"/>
      <c r="AL421" s="82"/>
      <c r="AM421" s="82"/>
      <c r="AN421" s="82"/>
      <c r="AO421" s="292"/>
      <c r="AP421" s="82"/>
      <c r="AQ421" s="82"/>
      <c r="AR421" s="82"/>
      <c r="AS421" s="292"/>
      <c r="AT421" s="82"/>
      <c r="AU421" s="82"/>
      <c r="AV421" s="82"/>
    </row>
    <row r="422">
      <c r="A422" s="292"/>
      <c r="B422" s="132"/>
      <c r="C422" s="121"/>
      <c r="D422" s="82"/>
      <c r="E422" s="292"/>
      <c r="F422" s="132"/>
      <c r="G422" s="121"/>
      <c r="H422" s="82"/>
      <c r="I422" s="292"/>
      <c r="J422" s="132"/>
      <c r="K422" s="121"/>
      <c r="L422" s="82"/>
      <c r="M422" s="292"/>
      <c r="N422" s="132"/>
      <c r="O422" s="121"/>
      <c r="P422" s="82"/>
      <c r="Q422" s="292"/>
      <c r="R422" s="132"/>
      <c r="S422" s="121"/>
      <c r="T422" s="82"/>
      <c r="U422" s="292"/>
      <c r="V422" s="132"/>
      <c r="W422" s="121"/>
      <c r="X422" s="82"/>
      <c r="Y422" s="292"/>
      <c r="Z422" s="300"/>
      <c r="AA422" s="301"/>
      <c r="AB422" s="80"/>
      <c r="AC422" s="292"/>
      <c r="AD422" s="132"/>
      <c r="AE422" s="254"/>
      <c r="AF422" s="294"/>
      <c r="AG422" s="292"/>
      <c r="AH422" s="302"/>
      <c r="AI422" s="302"/>
      <c r="AJ422" s="302"/>
      <c r="AK422" s="292"/>
      <c r="AL422" s="82"/>
      <c r="AM422" s="82"/>
      <c r="AN422" s="82"/>
      <c r="AO422" s="292"/>
      <c r="AP422" s="82"/>
      <c r="AQ422" s="82"/>
      <c r="AR422" s="82"/>
      <c r="AS422" s="292"/>
      <c r="AT422" s="82"/>
      <c r="AU422" s="82"/>
      <c r="AV422" s="82"/>
    </row>
    <row r="423">
      <c r="A423" s="292"/>
      <c r="B423" s="132"/>
      <c r="C423" s="121"/>
      <c r="D423" s="82"/>
      <c r="E423" s="292"/>
      <c r="F423" s="132"/>
      <c r="G423" s="121"/>
      <c r="H423" s="82"/>
      <c r="I423" s="292"/>
      <c r="J423" s="132"/>
      <c r="K423" s="121"/>
      <c r="L423" s="82"/>
      <c r="M423" s="292"/>
      <c r="N423" s="132"/>
      <c r="O423" s="121"/>
      <c r="P423" s="82"/>
      <c r="Q423" s="292"/>
      <c r="R423" s="132"/>
      <c r="S423" s="121"/>
      <c r="T423" s="82"/>
      <c r="U423" s="292"/>
      <c r="V423" s="132"/>
      <c r="W423" s="121"/>
      <c r="X423" s="82"/>
      <c r="Y423" s="292"/>
      <c r="Z423" s="300"/>
      <c r="AA423" s="301"/>
      <c r="AB423" s="80"/>
      <c r="AC423" s="292"/>
      <c r="AD423" s="132"/>
      <c r="AE423" s="254"/>
      <c r="AF423" s="294"/>
      <c r="AG423" s="292"/>
      <c r="AH423" s="302"/>
      <c r="AI423" s="302"/>
      <c r="AJ423" s="302"/>
      <c r="AK423" s="292"/>
      <c r="AL423" s="82"/>
      <c r="AM423" s="82"/>
      <c r="AN423" s="82"/>
      <c r="AO423" s="292"/>
      <c r="AP423" s="82"/>
      <c r="AQ423" s="82"/>
      <c r="AR423" s="82"/>
      <c r="AS423" s="292"/>
      <c r="AT423" s="82"/>
      <c r="AU423" s="82"/>
      <c r="AV423" s="82"/>
    </row>
    <row r="424">
      <c r="A424" s="292"/>
      <c r="B424" s="132"/>
      <c r="C424" s="121"/>
      <c r="D424" s="82"/>
      <c r="E424" s="292"/>
      <c r="F424" s="132"/>
      <c r="G424" s="121"/>
      <c r="H424" s="82"/>
      <c r="I424" s="292"/>
      <c r="J424" s="132"/>
      <c r="K424" s="121"/>
      <c r="L424" s="82"/>
      <c r="M424" s="292"/>
      <c r="N424" s="132"/>
      <c r="O424" s="121"/>
      <c r="P424" s="82"/>
      <c r="Q424" s="292"/>
      <c r="R424" s="132"/>
      <c r="S424" s="121"/>
      <c r="T424" s="82"/>
      <c r="U424" s="292"/>
      <c r="V424" s="132"/>
      <c r="W424" s="121"/>
      <c r="X424" s="82"/>
      <c r="Y424" s="292"/>
      <c r="Z424" s="300"/>
      <c r="AA424" s="301"/>
      <c r="AB424" s="80"/>
      <c r="AC424" s="292"/>
      <c r="AD424" s="132"/>
      <c r="AE424" s="254"/>
      <c r="AF424" s="294"/>
      <c r="AG424" s="292"/>
      <c r="AH424" s="302"/>
      <c r="AI424" s="302"/>
      <c r="AJ424" s="302"/>
      <c r="AK424" s="292"/>
      <c r="AL424" s="82"/>
      <c r="AM424" s="82"/>
      <c r="AN424" s="82"/>
      <c r="AO424" s="292"/>
      <c r="AP424" s="82"/>
      <c r="AQ424" s="82"/>
      <c r="AR424" s="82"/>
      <c r="AS424" s="292"/>
      <c r="AT424" s="82"/>
      <c r="AU424" s="82"/>
      <c r="AV424" s="82"/>
    </row>
    <row r="425">
      <c r="A425" s="292"/>
      <c r="B425" s="132"/>
      <c r="C425" s="121"/>
      <c r="D425" s="82"/>
      <c r="E425" s="292"/>
      <c r="F425" s="132"/>
      <c r="G425" s="121"/>
      <c r="H425" s="82"/>
      <c r="I425" s="292"/>
      <c r="J425" s="132"/>
      <c r="K425" s="121"/>
      <c r="L425" s="82"/>
      <c r="M425" s="292"/>
      <c r="N425" s="132"/>
      <c r="O425" s="121"/>
      <c r="P425" s="82"/>
      <c r="Q425" s="292"/>
      <c r="R425" s="132"/>
      <c r="S425" s="121"/>
      <c r="T425" s="82"/>
      <c r="U425" s="292"/>
      <c r="V425" s="132"/>
      <c r="W425" s="121"/>
      <c r="X425" s="82"/>
      <c r="Y425" s="292"/>
      <c r="Z425" s="300"/>
      <c r="AA425" s="301"/>
      <c r="AB425" s="80"/>
      <c r="AC425" s="292"/>
      <c r="AD425" s="132"/>
      <c r="AE425" s="254"/>
      <c r="AF425" s="294"/>
      <c r="AG425" s="292"/>
      <c r="AH425" s="302"/>
      <c r="AI425" s="302"/>
      <c r="AJ425" s="302"/>
      <c r="AK425" s="292"/>
      <c r="AL425" s="82"/>
      <c r="AM425" s="82"/>
      <c r="AN425" s="82"/>
      <c r="AO425" s="292"/>
      <c r="AP425" s="82"/>
      <c r="AQ425" s="82"/>
      <c r="AR425" s="82"/>
      <c r="AS425" s="292"/>
      <c r="AT425" s="82"/>
      <c r="AU425" s="82"/>
      <c r="AV425" s="82"/>
    </row>
    <row r="426">
      <c r="A426" s="292"/>
      <c r="B426" s="132"/>
      <c r="C426" s="121"/>
      <c r="D426" s="82"/>
      <c r="E426" s="292"/>
      <c r="F426" s="132"/>
      <c r="G426" s="121"/>
      <c r="H426" s="82"/>
      <c r="I426" s="292"/>
      <c r="J426" s="132"/>
      <c r="K426" s="121"/>
      <c r="L426" s="82"/>
      <c r="M426" s="292"/>
      <c r="N426" s="132"/>
      <c r="O426" s="121"/>
      <c r="P426" s="82"/>
      <c r="Q426" s="292"/>
      <c r="R426" s="132"/>
      <c r="S426" s="121"/>
      <c r="T426" s="82"/>
      <c r="U426" s="292"/>
      <c r="V426" s="132"/>
      <c r="W426" s="121"/>
      <c r="X426" s="82"/>
      <c r="Y426" s="292"/>
      <c r="Z426" s="300"/>
      <c r="AA426" s="301"/>
      <c r="AB426" s="80"/>
      <c r="AC426" s="292"/>
      <c r="AD426" s="132"/>
      <c r="AE426" s="254"/>
      <c r="AF426" s="294"/>
      <c r="AG426" s="292"/>
      <c r="AH426" s="302"/>
      <c r="AI426" s="302"/>
      <c r="AJ426" s="302"/>
      <c r="AK426" s="292"/>
      <c r="AL426" s="82"/>
      <c r="AM426" s="82"/>
      <c r="AN426" s="82"/>
      <c r="AO426" s="292"/>
      <c r="AP426" s="82"/>
      <c r="AQ426" s="82"/>
      <c r="AR426" s="82"/>
      <c r="AS426" s="292"/>
      <c r="AT426" s="82"/>
      <c r="AU426" s="82"/>
      <c r="AV426" s="82"/>
    </row>
    <row r="427">
      <c r="A427" s="292"/>
      <c r="B427" s="132"/>
      <c r="C427" s="121"/>
      <c r="D427" s="82"/>
      <c r="E427" s="292"/>
      <c r="F427" s="132"/>
      <c r="G427" s="121"/>
      <c r="H427" s="82"/>
      <c r="I427" s="292"/>
      <c r="J427" s="132"/>
      <c r="K427" s="121"/>
      <c r="L427" s="82"/>
      <c r="M427" s="292"/>
      <c r="N427" s="132"/>
      <c r="O427" s="121"/>
      <c r="P427" s="82"/>
      <c r="Q427" s="292"/>
      <c r="R427" s="132"/>
      <c r="S427" s="121"/>
      <c r="T427" s="82"/>
      <c r="U427" s="292"/>
      <c r="V427" s="132"/>
      <c r="W427" s="121"/>
      <c r="X427" s="82"/>
      <c r="Y427" s="292"/>
      <c r="Z427" s="300"/>
      <c r="AA427" s="301"/>
      <c r="AB427" s="80"/>
      <c r="AC427" s="292"/>
      <c r="AD427" s="132"/>
      <c r="AE427" s="254"/>
      <c r="AF427" s="294"/>
      <c r="AG427" s="292"/>
      <c r="AH427" s="302"/>
      <c r="AI427" s="302"/>
      <c r="AJ427" s="302"/>
      <c r="AK427" s="292"/>
      <c r="AL427" s="82"/>
      <c r="AM427" s="82"/>
      <c r="AN427" s="82"/>
      <c r="AO427" s="292"/>
      <c r="AP427" s="82"/>
      <c r="AQ427" s="82"/>
      <c r="AR427" s="82"/>
      <c r="AS427" s="292"/>
      <c r="AT427" s="82"/>
      <c r="AU427" s="82"/>
      <c r="AV427" s="82"/>
    </row>
    <row r="428">
      <c r="A428" s="292"/>
      <c r="B428" s="132"/>
      <c r="C428" s="121"/>
      <c r="D428" s="82"/>
      <c r="E428" s="292"/>
      <c r="F428" s="132"/>
      <c r="G428" s="121"/>
      <c r="H428" s="82"/>
      <c r="I428" s="292"/>
      <c r="J428" s="132"/>
      <c r="K428" s="121"/>
      <c r="L428" s="82"/>
      <c r="M428" s="292"/>
      <c r="N428" s="132"/>
      <c r="O428" s="121"/>
      <c r="P428" s="82"/>
      <c r="Q428" s="292"/>
      <c r="R428" s="132"/>
      <c r="S428" s="121"/>
      <c r="T428" s="82"/>
      <c r="U428" s="292"/>
      <c r="V428" s="132"/>
      <c r="W428" s="121"/>
      <c r="X428" s="82"/>
      <c r="Y428" s="292"/>
      <c r="Z428" s="300"/>
      <c r="AA428" s="301"/>
      <c r="AB428" s="80"/>
      <c r="AC428" s="292"/>
      <c r="AD428" s="132"/>
      <c r="AE428" s="254"/>
      <c r="AF428" s="294"/>
      <c r="AG428" s="292"/>
      <c r="AH428" s="302"/>
      <c r="AI428" s="302"/>
      <c r="AJ428" s="302"/>
      <c r="AK428" s="292"/>
      <c r="AL428" s="82"/>
      <c r="AM428" s="82"/>
      <c r="AN428" s="82"/>
      <c r="AO428" s="292"/>
      <c r="AP428" s="82"/>
      <c r="AQ428" s="82"/>
      <c r="AR428" s="82"/>
      <c r="AS428" s="292"/>
      <c r="AT428" s="82"/>
      <c r="AU428" s="82"/>
      <c r="AV428" s="82"/>
    </row>
    <row r="429">
      <c r="A429" s="292"/>
      <c r="B429" s="132"/>
      <c r="C429" s="121"/>
      <c r="D429" s="82"/>
      <c r="E429" s="292"/>
      <c r="F429" s="132"/>
      <c r="G429" s="121"/>
      <c r="H429" s="82"/>
      <c r="I429" s="292"/>
      <c r="J429" s="132"/>
      <c r="K429" s="121"/>
      <c r="L429" s="82"/>
      <c r="M429" s="292"/>
      <c r="N429" s="132"/>
      <c r="O429" s="121"/>
      <c r="P429" s="82"/>
      <c r="Q429" s="292"/>
      <c r="R429" s="132"/>
      <c r="S429" s="121"/>
      <c r="T429" s="82"/>
      <c r="U429" s="292"/>
      <c r="V429" s="132"/>
      <c r="W429" s="121"/>
      <c r="X429" s="82"/>
      <c r="Y429" s="292"/>
      <c r="Z429" s="300"/>
      <c r="AA429" s="301"/>
      <c r="AB429" s="80"/>
      <c r="AC429" s="292"/>
      <c r="AD429" s="132"/>
      <c r="AE429" s="254"/>
      <c r="AF429" s="294"/>
      <c r="AG429" s="292"/>
      <c r="AH429" s="302"/>
      <c r="AI429" s="302"/>
      <c r="AJ429" s="302"/>
      <c r="AK429" s="292"/>
      <c r="AL429" s="82"/>
      <c r="AM429" s="82"/>
      <c r="AN429" s="82"/>
      <c r="AO429" s="292"/>
      <c r="AP429" s="82"/>
      <c r="AQ429" s="82"/>
      <c r="AR429" s="82"/>
      <c r="AS429" s="292"/>
      <c r="AT429" s="82"/>
      <c r="AU429" s="82"/>
      <c r="AV429" s="82"/>
    </row>
    <row r="430">
      <c r="A430" s="292"/>
      <c r="B430" s="132"/>
      <c r="C430" s="121"/>
      <c r="D430" s="82"/>
      <c r="E430" s="292"/>
      <c r="F430" s="132"/>
      <c r="G430" s="121"/>
      <c r="H430" s="82"/>
      <c r="I430" s="292"/>
      <c r="J430" s="132"/>
      <c r="K430" s="121"/>
      <c r="L430" s="82"/>
      <c r="M430" s="292"/>
      <c r="N430" s="132"/>
      <c r="O430" s="121"/>
      <c r="P430" s="82"/>
      <c r="Q430" s="292"/>
      <c r="R430" s="132"/>
      <c r="S430" s="121"/>
      <c r="T430" s="82"/>
      <c r="U430" s="292"/>
      <c r="V430" s="132"/>
      <c r="W430" s="121"/>
      <c r="X430" s="82"/>
      <c r="Y430" s="292"/>
      <c r="Z430" s="300"/>
      <c r="AA430" s="301"/>
      <c r="AB430" s="80"/>
      <c r="AC430" s="292"/>
      <c r="AD430" s="132"/>
      <c r="AE430" s="254"/>
      <c r="AF430" s="294"/>
      <c r="AG430" s="292"/>
      <c r="AH430" s="302"/>
      <c r="AI430" s="302"/>
      <c r="AJ430" s="302"/>
      <c r="AK430" s="292"/>
      <c r="AL430" s="82"/>
      <c r="AM430" s="82"/>
      <c r="AN430" s="82"/>
      <c r="AO430" s="292"/>
      <c r="AP430" s="82"/>
      <c r="AQ430" s="82"/>
      <c r="AR430" s="82"/>
      <c r="AS430" s="292"/>
      <c r="AT430" s="82"/>
      <c r="AU430" s="82"/>
      <c r="AV430" s="82"/>
    </row>
    <row r="431">
      <c r="A431" s="292"/>
      <c r="B431" s="132"/>
      <c r="C431" s="121"/>
      <c r="D431" s="82"/>
      <c r="E431" s="292"/>
      <c r="F431" s="132"/>
      <c r="G431" s="121"/>
      <c r="H431" s="82"/>
      <c r="I431" s="292"/>
      <c r="J431" s="132"/>
      <c r="K431" s="121"/>
      <c r="L431" s="82"/>
      <c r="M431" s="292"/>
      <c r="N431" s="132"/>
      <c r="O431" s="121"/>
      <c r="P431" s="82"/>
      <c r="Q431" s="292"/>
      <c r="R431" s="132"/>
      <c r="S431" s="121"/>
      <c r="T431" s="82"/>
      <c r="U431" s="292"/>
      <c r="V431" s="132"/>
      <c r="W431" s="121"/>
      <c r="X431" s="82"/>
      <c r="Y431" s="292"/>
      <c r="Z431" s="300"/>
      <c r="AA431" s="301"/>
      <c r="AB431" s="80"/>
      <c r="AC431" s="292"/>
      <c r="AD431" s="132"/>
      <c r="AE431" s="254"/>
      <c r="AF431" s="294"/>
      <c r="AG431" s="292"/>
      <c r="AH431" s="302"/>
      <c r="AI431" s="302"/>
      <c r="AJ431" s="302"/>
      <c r="AK431" s="292"/>
      <c r="AL431" s="82"/>
      <c r="AM431" s="82"/>
      <c r="AN431" s="82"/>
      <c r="AO431" s="292"/>
      <c r="AP431" s="82"/>
      <c r="AQ431" s="82"/>
      <c r="AR431" s="82"/>
      <c r="AS431" s="292"/>
      <c r="AT431" s="82"/>
      <c r="AU431" s="82"/>
      <c r="AV431" s="82"/>
    </row>
    <row r="432">
      <c r="A432" s="292"/>
      <c r="B432" s="132"/>
      <c r="C432" s="121"/>
      <c r="D432" s="82"/>
      <c r="E432" s="292"/>
      <c r="F432" s="132"/>
      <c r="G432" s="121"/>
      <c r="H432" s="82"/>
      <c r="I432" s="292"/>
      <c r="J432" s="132"/>
      <c r="K432" s="121"/>
      <c r="L432" s="82"/>
      <c r="M432" s="292"/>
      <c r="N432" s="132"/>
      <c r="O432" s="121"/>
      <c r="P432" s="82"/>
      <c r="Q432" s="292"/>
      <c r="R432" s="132"/>
      <c r="S432" s="121"/>
      <c r="T432" s="82"/>
      <c r="U432" s="292"/>
      <c r="V432" s="132"/>
      <c r="W432" s="121"/>
      <c r="X432" s="82"/>
      <c r="Y432" s="292"/>
      <c r="Z432" s="300"/>
      <c r="AA432" s="301"/>
      <c r="AB432" s="80"/>
      <c r="AC432" s="292"/>
      <c r="AD432" s="132"/>
      <c r="AE432" s="254"/>
      <c r="AF432" s="294"/>
      <c r="AG432" s="292"/>
      <c r="AH432" s="302"/>
      <c r="AI432" s="302"/>
      <c r="AJ432" s="302"/>
      <c r="AK432" s="292"/>
      <c r="AL432" s="82"/>
      <c r="AM432" s="82"/>
      <c r="AN432" s="82"/>
      <c r="AO432" s="292"/>
      <c r="AP432" s="82"/>
      <c r="AQ432" s="82"/>
      <c r="AR432" s="82"/>
      <c r="AS432" s="292"/>
      <c r="AT432" s="82"/>
      <c r="AU432" s="82"/>
      <c r="AV432" s="82"/>
    </row>
    <row r="433">
      <c r="A433" s="292"/>
      <c r="B433" s="132"/>
      <c r="C433" s="121"/>
      <c r="D433" s="82"/>
      <c r="E433" s="292"/>
      <c r="F433" s="132"/>
      <c r="G433" s="121"/>
      <c r="H433" s="82"/>
      <c r="I433" s="292"/>
      <c r="J433" s="132"/>
      <c r="K433" s="121"/>
      <c r="L433" s="82"/>
      <c r="M433" s="292"/>
      <c r="N433" s="132"/>
      <c r="O433" s="121"/>
      <c r="P433" s="82"/>
      <c r="Q433" s="292"/>
      <c r="R433" s="132"/>
      <c r="S433" s="121"/>
      <c r="T433" s="82"/>
      <c r="U433" s="292"/>
      <c r="V433" s="132"/>
      <c r="W433" s="121"/>
      <c r="X433" s="82"/>
      <c r="Y433" s="292"/>
      <c r="Z433" s="300"/>
      <c r="AA433" s="301"/>
      <c r="AB433" s="80"/>
      <c r="AC433" s="292"/>
      <c r="AD433" s="132"/>
      <c r="AE433" s="254"/>
      <c r="AF433" s="294"/>
      <c r="AG433" s="292"/>
      <c r="AH433" s="302"/>
      <c r="AI433" s="302"/>
      <c r="AJ433" s="302"/>
      <c r="AK433" s="292"/>
      <c r="AL433" s="82"/>
      <c r="AM433" s="82"/>
      <c r="AN433" s="82"/>
      <c r="AO433" s="292"/>
      <c r="AP433" s="82"/>
      <c r="AQ433" s="82"/>
      <c r="AR433" s="82"/>
      <c r="AS433" s="292"/>
      <c r="AT433" s="82"/>
      <c r="AU433" s="82"/>
      <c r="AV433" s="82"/>
    </row>
    <row r="434">
      <c r="A434" s="292"/>
      <c r="B434" s="132"/>
      <c r="C434" s="121"/>
      <c r="D434" s="82"/>
      <c r="E434" s="292"/>
      <c r="F434" s="132"/>
      <c r="G434" s="121"/>
      <c r="H434" s="82"/>
      <c r="I434" s="292"/>
      <c r="J434" s="132"/>
      <c r="K434" s="121"/>
      <c r="L434" s="82"/>
      <c r="M434" s="292"/>
      <c r="N434" s="132"/>
      <c r="O434" s="121"/>
      <c r="P434" s="82"/>
      <c r="Q434" s="292"/>
      <c r="R434" s="132"/>
      <c r="S434" s="121"/>
      <c r="T434" s="82"/>
      <c r="U434" s="292"/>
      <c r="V434" s="132"/>
      <c r="W434" s="121"/>
      <c r="X434" s="82"/>
      <c r="Y434" s="292"/>
      <c r="Z434" s="300"/>
      <c r="AA434" s="301"/>
      <c r="AB434" s="80"/>
      <c r="AC434" s="292"/>
      <c r="AD434" s="132"/>
      <c r="AE434" s="254"/>
      <c r="AF434" s="294"/>
      <c r="AG434" s="292"/>
      <c r="AH434" s="302"/>
      <c r="AI434" s="302"/>
      <c r="AJ434" s="302"/>
      <c r="AK434" s="292"/>
      <c r="AL434" s="82"/>
      <c r="AM434" s="82"/>
      <c r="AN434" s="82"/>
      <c r="AO434" s="292"/>
      <c r="AP434" s="82"/>
      <c r="AQ434" s="82"/>
      <c r="AR434" s="82"/>
      <c r="AS434" s="292"/>
      <c r="AT434" s="82"/>
      <c r="AU434" s="82"/>
      <c r="AV434" s="82"/>
    </row>
    <row r="435">
      <c r="A435" s="292"/>
      <c r="B435" s="132"/>
      <c r="C435" s="121"/>
      <c r="D435" s="82"/>
      <c r="E435" s="292"/>
      <c r="F435" s="132"/>
      <c r="G435" s="121"/>
      <c r="H435" s="82"/>
      <c r="I435" s="292"/>
      <c r="J435" s="132"/>
      <c r="K435" s="121"/>
      <c r="L435" s="82"/>
      <c r="M435" s="292"/>
      <c r="N435" s="132"/>
      <c r="O435" s="121"/>
      <c r="P435" s="82"/>
      <c r="Q435" s="292"/>
      <c r="R435" s="132"/>
      <c r="S435" s="121"/>
      <c r="T435" s="82"/>
      <c r="U435" s="292"/>
      <c r="V435" s="132"/>
      <c r="W435" s="121"/>
      <c r="X435" s="82"/>
      <c r="Y435" s="292"/>
      <c r="Z435" s="300"/>
      <c r="AA435" s="301"/>
      <c r="AB435" s="80"/>
      <c r="AC435" s="292"/>
      <c r="AD435" s="132"/>
      <c r="AE435" s="254"/>
      <c r="AF435" s="294"/>
      <c r="AG435" s="292"/>
      <c r="AH435" s="302"/>
      <c r="AI435" s="302"/>
      <c r="AJ435" s="302"/>
      <c r="AK435" s="292"/>
      <c r="AL435" s="82"/>
      <c r="AM435" s="82"/>
      <c r="AN435" s="82"/>
      <c r="AO435" s="292"/>
      <c r="AP435" s="82"/>
      <c r="AQ435" s="82"/>
      <c r="AR435" s="82"/>
      <c r="AS435" s="292"/>
      <c r="AT435" s="82"/>
      <c r="AU435" s="82"/>
      <c r="AV435" s="82"/>
    </row>
    <row r="436">
      <c r="A436" s="292"/>
      <c r="B436" s="132"/>
      <c r="C436" s="121"/>
      <c r="D436" s="82"/>
      <c r="E436" s="292"/>
      <c r="F436" s="132"/>
      <c r="G436" s="121"/>
      <c r="H436" s="82"/>
      <c r="I436" s="292"/>
      <c r="J436" s="132"/>
      <c r="K436" s="121"/>
      <c r="L436" s="82"/>
      <c r="M436" s="292"/>
      <c r="N436" s="132"/>
      <c r="O436" s="121"/>
      <c r="P436" s="82"/>
      <c r="Q436" s="292"/>
      <c r="R436" s="132"/>
      <c r="S436" s="121"/>
      <c r="T436" s="82"/>
      <c r="U436" s="292"/>
      <c r="V436" s="132"/>
      <c r="W436" s="121"/>
      <c r="X436" s="82"/>
      <c r="Y436" s="292"/>
      <c r="Z436" s="300"/>
      <c r="AA436" s="301"/>
      <c r="AB436" s="80"/>
      <c r="AC436" s="292"/>
      <c r="AD436" s="132"/>
      <c r="AE436" s="254"/>
      <c r="AF436" s="294"/>
      <c r="AG436" s="292"/>
      <c r="AH436" s="302"/>
      <c r="AI436" s="302"/>
      <c r="AJ436" s="302"/>
      <c r="AK436" s="292"/>
      <c r="AL436" s="82"/>
      <c r="AM436" s="82"/>
      <c r="AN436" s="82"/>
      <c r="AO436" s="292"/>
      <c r="AP436" s="82"/>
      <c r="AQ436" s="82"/>
      <c r="AR436" s="82"/>
      <c r="AS436" s="292"/>
      <c r="AT436" s="82"/>
      <c r="AU436" s="82"/>
      <c r="AV436" s="82"/>
    </row>
    <row r="437">
      <c r="A437" s="292"/>
      <c r="B437" s="132"/>
      <c r="C437" s="121"/>
      <c r="D437" s="82"/>
      <c r="E437" s="292"/>
      <c r="F437" s="132"/>
      <c r="G437" s="121"/>
      <c r="H437" s="82"/>
      <c r="I437" s="292"/>
      <c r="J437" s="132"/>
      <c r="K437" s="121"/>
      <c r="L437" s="82"/>
      <c r="M437" s="292"/>
      <c r="N437" s="132"/>
      <c r="O437" s="121"/>
      <c r="P437" s="82"/>
      <c r="Q437" s="292"/>
      <c r="R437" s="132"/>
      <c r="S437" s="121"/>
      <c r="T437" s="82"/>
      <c r="U437" s="292"/>
      <c r="V437" s="132"/>
      <c r="W437" s="121"/>
      <c r="X437" s="82"/>
      <c r="Y437" s="292"/>
      <c r="Z437" s="300"/>
      <c r="AA437" s="301"/>
      <c r="AB437" s="80"/>
      <c r="AC437" s="292"/>
      <c r="AD437" s="132"/>
      <c r="AE437" s="254"/>
      <c r="AF437" s="294"/>
      <c r="AG437" s="292"/>
      <c r="AH437" s="302"/>
      <c r="AI437" s="302"/>
      <c r="AJ437" s="302"/>
      <c r="AK437" s="292"/>
      <c r="AL437" s="82"/>
      <c r="AM437" s="82"/>
      <c r="AN437" s="82"/>
      <c r="AO437" s="292"/>
      <c r="AP437" s="82"/>
      <c r="AQ437" s="82"/>
      <c r="AR437" s="82"/>
      <c r="AS437" s="292"/>
      <c r="AT437" s="82"/>
      <c r="AU437" s="82"/>
      <c r="AV437" s="82"/>
    </row>
    <row r="438">
      <c r="A438" s="292"/>
      <c r="B438" s="132"/>
      <c r="C438" s="121"/>
      <c r="D438" s="82"/>
      <c r="E438" s="292"/>
      <c r="F438" s="132"/>
      <c r="G438" s="121"/>
      <c r="H438" s="82"/>
      <c r="I438" s="292"/>
      <c r="J438" s="132"/>
      <c r="K438" s="121"/>
      <c r="L438" s="82"/>
      <c r="M438" s="292"/>
      <c r="N438" s="132"/>
      <c r="O438" s="121"/>
      <c r="P438" s="82"/>
      <c r="Q438" s="292"/>
      <c r="R438" s="132"/>
      <c r="S438" s="121"/>
      <c r="T438" s="82"/>
      <c r="U438" s="292"/>
      <c r="V438" s="132"/>
      <c r="W438" s="121"/>
      <c r="X438" s="82"/>
      <c r="Y438" s="292"/>
      <c r="Z438" s="300"/>
      <c r="AA438" s="301"/>
      <c r="AB438" s="80"/>
      <c r="AC438" s="292"/>
      <c r="AD438" s="132"/>
      <c r="AE438" s="254"/>
      <c r="AF438" s="294"/>
      <c r="AG438" s="292"/>
      <c r="AH438" s="302"/>
      <c r="AI438" s="302"/>
      <c r="AJ438" s="302"/>
      <c r="AK438" s="292"/>
      <c r="AL438" s="82"/>
      <c r="AM438" s="82"/>
      <c r="AN438" s="82"/>
      <c r="AO438" s="292"/>
      <c r="AP438" s="82"/>
      <c r="AQ438" s="82"/>
      <c r="AR438" s="82"/>
      <c r="AS438" s="292"/>
      <c r="AT438" s="82"/>
      <c r="AU438" s="82"/>
      <c r="AV438" s="82"/>
    </row>
    <row r="439">
      <c r="A439" s="292"/>
      <c r="B439" s="132"/>
      <c r="C439" s="121"/>
      <c r="D439" s="82"/>
      <c r="E439" s="292"/>
      <c r="F439" s="132"/>
      <c r="G439" s="121"/>
      <c r="H439" s="82"/>
      <c r="I439" s="292"/>
      <c r="J439" s="132"/>
      <c r="K439" s="121"/>
      <c r="L439" s="82"/>
      <c r="M439" s="292"/>
      <c r="N439" s="132"/>
      <c r="O439" s="121"/>
      <c r="P439" s="82"/>
      <c r="Q439" s="292"/>
      <c r="R439" s="132"/>
      <c r="S439" s="121"/>
      <c r="T439" s="82"/>
      <c r="U439" s="292"/>
      <c r="V439" s="132"/>
      <c r="W439" s="121"/>
      <c r="X439" s="82"/>
      <c r="Y439" s="292"/>
      <c r="Z439" s="300"/>
      <c r="AA439" s="301"/>
      <c r="AB439" s="80"/>
      <c r="AC439" s="292"/>
      <c r="AD439" s="132"/>
      <c r="AE439" s="254"/>
      <c r="AF439" s="294"/>
      <c r="AG439" s="292"/>
      <c r="AH439" s="302"/>
      <c r="AI439" s="302"/>
      <c r="AJ439" s="302"/>
      <c r="AK439" s="292"/>
      <c r="AL439" s="82"/>
      <c r="AM439" s="82"/>
      <c r="AN439" s="82"/>
      <c r="AO439" s="292"/>
      <c r="AP439" s="82"/>
      <c r="AQ439" s="82"/>
      <c r="AR439" s="82"/>
      <c r="AS439" s="292"/>
      <c r="AT439" s="82"/>
      <c r="AU439" s="82"/>
      <c r="AV439" s="82"/>
    </row>
    <row r="440">
      <c r="A440" s="292"/>
      <c r="B440" s="132"/>
      <c r="C440" s="121"/>
      <c r="D440" s="82"/>
      <c r="E440" s="292"/>
      <c r="F440" s="132"/>
      <c r="G440" s="121"/>
      <c r="H440" s="82"/>
      <c r="I440" s="292"/>
      <c r="J440" s="132"/>
      <c r="K440" s="121"/>
      <c r="L440" s="82"/>
      <c r="M440" s="292"/>
      <c r="N440" s="132"/>
      <c r="O440" s="121"/>
      <c r="P440" s="82"/>
      <c r="Q440" s="292"/>
      <c r="R440" s="132"/>
      <c r="S440" s="121"/>
      <c r="T440" s="82"/>
      <c r="U440" s="292"/>
      <c r="V440" s="132"/>
      <c r="W440" s="121"/>
      <c r="X440" s="82"/>
      <c r="Y440" s="292"/>
      <c r="Z440" s="300"/>
      <c r="AA440" s="301"/>
      <c r="AB440" s="80"/>
      <c r="AC440" s="292"/>
      <c r="AD440" s="132"/>
      <c r="AE440" s="254"/>
      <c r="AF440" s="294"/>
      <c r="AG440" s="292"/>
      <c r="AH440" s="302"/>
      <c r="AI440" s="302"/>
      <c r="AJ440" s="302"/>
      <c r="AK440" s="292"/>
      <c r="AL440" s="82"/>
      <c r="AM440" s="82"/>
      <c r="AN440" s="82"/>
      <c r="AO440" s="292"/>
      <c r="AP440" s="82"/>
      <c r="AQ440" s="82"/>
      <c r="AR440" s="82"/>
      <c r="AS440" s="292"/>
      <c r="AT440" s="82"/>
      <c r="AU440" s="82"/>
      <c r="AV440" s="82"/>
    </row>
    <row r="441">
      <c r="A441" s="292"/>
      <c r="B441" s="132"/>
      <c r="C441" s="121"/>
      <c r="D441" s="82"/>
      <c r="E441" s="292"/>
      <c r="F441" s="132"/>
      <c r="G441" s="121"/>
      <c r="H441" s="82"/>
      <c r="I441" s="292"/>
      <c r="J441" s="132"/>
      <c r="K441" s="121"/>
      <c r="L441" s="82"/>
      <c r="M441" s="292"/>
      <c r="N441" s="132"/>
      <c r="O441" s="121"/>
      <c r="P441" s="82"/>
      <c r="Q441" s="292"/>
      <c r="R441" s="132"/>
      <c r="S441" s="121"/>
      <c r="T441" s="82"/>
      <c r="U441" s="292"/>
      <c r="V441" s="132"/>
      <c r="W441" s="121"/>
      <c r="X441" s="82"/>
      <c r="Y441" s="292"/>
      <c r="Z441" s="300"/>
      <c r="AA441" s="301"/>
      <c r="AB441" s="80"/>
      <c r="AC441" s="292"/>
      <c r="AD441" s="132"/>
      <c r="AE441" s="254"/>
      <c r="AF441" s="294"/>
      <c r="AG441" s="292"/>
      <c r="AH441" s="302"/>
      <c r="AI441" s="302"/>
      <c r="AJ441" s="302"/>
      <c r="AK441" s="292"/>
      <c r="AL441" s="82"/>
      <c r="AM441" s="82"/>
      <c r="AN441" s="82"/>
      <c r="AO441" s="292"/>
      <c r="AP441" s="82"/>
      <c r="AQ441" s="82"/>
      <c r="AR441" s="82"/>
      <c r="AS441" s="292"/>
      <c r="AT441" s="82"/>
      <c r="AU441" s="82"/>
      <c r="AV441" s="82"/>
    </row>
    <row r="442">
      <c r="A442" s="292"/>
      <c r="B442" s="132"/>
      <c r="C442" s="121"/>
      <c r="D442" s="82"/>
      <c r="E442" s="292"/>
      <c r="F442" s="132"/>
      <c r="G442" s="121"/>
      <c r="H442" s="82"/>
      <c r="I442" s="292"/>
      <c r="J442" s="132"/>
      <c r="K442" s="121"/>
      <c r="L442" s="82"/>
      <c r="M442" s="292"/>
      <c r="N442" s="132"/>
      <c r="O442" s="121"/>
      <c r="P442" s="82"/>
      <c r="Q442" s="292"/>
      <c r="R442" s="132"/>
      <c r="S442" s="121"/>
      <c r="T442" s="82"/>
      <c r="U442" s="292"/>
      <c r="V442" s="132"/>
      <c r="W442" s="121"/>
      <c r="X442" s="82"/>
      <c r="Y442" s="292"/>
      <c r="Z442" s="300"/>
      <c r="AA442" s="301"/>
      <c r="AB442" s="80"/>
      <c r="AC442" s="292"/>
      <c r="AD442" s="132"/>
      <c r="AE442" s="254"/>
      <c r="AF442" s="294"/>
      <c r="AG442" s="292"/>
      <c r="AH442" s="302"/>
      <c r="AI442" s="302"/>
      <c r="AJ442" s="302"/>
      <c r="AK442" s="292"/>
      <c r="AL442" s="82"/>
      <c r="AM442" s="82"/>
      <c r="AN442" s="82"/>
      <c r="AO442" s="292"/>
      <c r="AP442" s="82"/>
      <c r="AQ442" s="82"/>
      <c r="AR442" s="82"/>
      <c r="AS442" s="292"/>
      <c r="AT442" s="82"/>
      <c r="AU442" s="82"/>
      <c r="AV442" s="82"/>
    </row>
    <row r="443">
      <c r="A443" s="292"/>
      <c r="B443" s="132"/>
      <c r="C443" s="121"/>
      <c r="D443" s="82"/>
      <c r="E443" s="292"/>
      <c r="F443" s="132"/>
      <c r="G443" s="121"/>
      <c r="H443" s="82"/>
      <c r="I443" s="292"/>
      <c r="J443" s="132"/>
      <c r="K443" s="121"/>
      <c r="L443" s="82"/>
      <c r="M443" s="292"/>
      <c r="N443" s="132"/>
      <c r="O443" s="121"/>
      <c r="P443" s="82"/>
      <c r="Q443" s="292"/>
      <c r="R443" s="132"/>
      <c r="S443" s="121"/>
      <c r="T443" s="82"/>
      <c r="U443" s="292"/>
      <c r="V443" s="132"/>
      <c r="W443" s="121"/>
      <c r="X443" s="82"/>
      <c r="Y443" s="292"/>
      <c r="Z443" s="300"/>
      <c r="AA443" s="301"/>
      <c r="AB443" s="80"/>
      <c r="AC443" s="292"/>
      <c r="AD443" s="132"/>
      <c r="AE443" s="254"/>
      <c r="AF443" s="294"/>
      <c r="AG443" s="292"/>
      <c r="AH443" s="302"/>
      <c r="AI443" s="302"/>
      <c r="AJ443" s="302"/>
      <c r="AK443" s="292"/>
      <c r="AL443" s="82"/>
      <c r="AM443" s="82"/>
      <c r="AN443" s="82"/>
      <c r="AO443" s="292"/>
      <c r="AP443" s="82"/>
      <c r="AQ443" s="82"/>
      <c r="AR443" s="82"/>
      <c r="AS443" s="292"/>
      <c r="AT443" s="82"/>
      <c r="AU443" s="82"/>
      <c r="AV443" s="82"/>
    </row>
    <row r="444">
      <c r="A444" s="292"/>
      <c r="B444" s="132"/>
      <c r="C444" s="121"/>
      <c r="D444" s="82"/>
      <c r="E444" s="292"/>
      <c r="F444" s="132"/>
      <c r="G444" s="121"/>
      <c r="H444" s="82"/>
      <c r="I444" s="292"/>
      <c r="J444" s="132"/>
      <c r="K444" s="121"/>
      <c r="L444" s="82"/>
      <c r="M444" s="292"/>
      <c r="N444" s="132"/>
      <c r="O444" s="121"/>
      <c r="P444" s="82"/>
      <c r="Q444" s="292"/>
      <c r="R444" s="132"/>
      <c r="S444" s="121"/>
      <c r="T444" s="82"/>
      <c r="U444" s="292"/>
      <c r="V444" s="132"/>
      <c r="W444" s="121"/>
      <c r="X444" s="82"/>
      <c r="Y444" s="292"/>
      <c r="Z444" s="300"/>
      <c r="AA444" s="301"/>
      <c r="AB444" s="80"/>
      <c r="AC444" s="292"/>
      <c r="AD444" s="132"/>
      <c r="AE444" s="254"/>
      <c r="AF444" s="294"/>
      <c r="AG444" s="292"/>
      <c r="AH444" s="302"/>
      <c r="AI444" s="302"/>
      <c r="AJ444" s="302"/>
      <c r="AK444" s="292"/>
      <c r="AL444" s="82"/>
      <c r="AM444" s="82"/>
      <c r="AN444" s="82"/>
      <c r="AO444" s="292"/>
      <c r="AP444" s="82"/>
      <c r="AQ444" s="82"/>
      <c r="AR444" s="82"/>
      <c r="AS444" s="292"/>
      <c r="AT444" s="82"/>
      <c r="AU444" s="82"/>
      <c r="AV444" s="82"/>
    </row>
    <row r="445">
      <c r="A445" s="292"/>
      <c r="B445" s="132"/>
      <c r="C445" s="121"/>
      <c r="D445" s="82"/>
      <c r="E445" s="292"/>
      <c r="F445" s="132"/>
      <c r="G445" s="121"/>
      <c r="H445" s="82"/>
      <c r="I445" s="292"/>
      <c r="J445" s="132"/>
      <c r="K445" s="121"/>
      <c r="L445" s="82"/>
      <c r="M445" s="292"/>
      <c r="N445" s="132"/>
      <c r="O445" s="121"/>
      <c r="P445" s="82"/>
      <c r="Q445" s="292"/>
      <c r="R445" s="132"/>
      <c r="S445" s="121"/>
      <c r="T445" s="82"/>
      <c r="U445" s="292"/>
      <c r="V445" s="132"/>
      <c r="W445" s="121"/>
      <c r="X445" s="82"/>
      <c r="Y445" s="292"/>
      <c r="Z445" s="300"/>
      <c r="AA445" s="301"/>
      <c r="AB445" s="80"/>
      <c r="AC445" s="292"/>
      <c r="AD445" s="132"/>
      <c r="AE445" s="254"/>
      <c r="AF445" s="294"/>
      <c r="AG445" s="292"/>
      <c r="AH445" s="302"/>
      <c r="AI445" s="302"/>
      <c r="AJ445" s="302"/>
      <c r="AK445" s="292"/>
      <c r="AL445" s="82"/>
      <c r="AM445" s="82"/>
      <c r="AN445" s="82"/>
      <c r="AO445" s="292"/>
      <c r="AP445" s="82"/>
      <c r="AQ445" s="82"/>
      <c r="AR445" s="82"/>
      <c r="AS445" s="292"/>
      <c r="AT445" s="82"/>
      <c r="AU445" s="82"/>
      <c r="AV445" s="82"/>
    </row>
    <row r="446">
      <c r="A446" s="292"/>
      <c r="B446" s="132"/>
      <c r="C446" s="121"/>
      <c r="D446" s="82"/>
      <c r="E446" s="292"/>
      <c r="F446" s="132"/>
      <c r="G446" s="121"/>
      <c r="H446" s="82"/>
      <c r="I446" s="292"/>
      <c r="J446" s="132"/>
      <c r="K446" s="121"/>
      <c r="L446" s="82"/>
      <c r="M446" s="292"/>
      <c r="N446" s="132"/>
      <c r="O446" s="121"/>
      <c r="P446" s="82"/>
      <c r="Q446" s="292"/>
      <c r="R446" s="132"/>
      <c r="S446" s="121"/>
      <c r="T446" s="82"/>
      <c r="U446" s="292"/>
      <c r="V446" s="132"/>
      <c r="W446" s="121"/>
      <c r="X446" s="82"/>
      <c r="Y446" s="292"/>
      <c r="Z446" s="300"/>
      <c r="AA446" s="301"/>
      <c r="AB446" s="80"/>
      <c r="AC446" s="292"/>
      <c r="AD446" s="132"/>
      <c r="AE446" s="254"/>
      <c r="AF446" s="294"/>
      <c r="AG446" s="292"/>
      <c r="AH446" s="302"/>
      <c r="AI446" s="302"/>
      <c r="AJ446" s="302"/>
      <c r="AK446" s="292"/>
      <c r="AL446" s="82"/>
      <c r="AM446" s="82"/>
      <c r="AN446" s="82"/>
      <c r="AO446" s="292"/>
      <c r="AP446" s="82"/>
      <c r="AQ446" s="82"/>
      <c r="AR446" s="82"/>
      <c r="AS446" s="292"/>
      <c r="AT446" s="82"/>
      <c r="AU446" s="82"/>
      <c r="AV446" s="82"/>
    </row>
    <row r="447">
      <c r="A447" s="292"/>
      <c r="B447" s="132"/>
      <c r="C447" s="121"/>
      <c r="D447" s="82"/>
      <c r="E447" s="292"/>
      <c r="F447" s="132"/>
      <c r="G447" s="121"/>
      <c r="H447" s="82"/>
      <c r="I447" s="292"/>
      <c r="J447" s="132"/>
      <c r="K447" s="121"/>
      <c r="L447" s="82"/>
      <c r="M447" s="292"/>
      <c r="N447" s="132"/>
      <c r="O447" s="121"/>
      <c r="P447" s="82"/>
      <c r="Q447" s="292"/>
      <c r="R447" s="132"/>
      <c r="S447" s="121"/>
      <c r="T447" s="82"/>
      <c r="U447" s="292"/>
      <c r="V447" s="132"/>
      <c r="W447" s="121"/>
      <c r="X447" s="82"/>
      <c r="Y447" s="292"/>
      <c r="Z447" s="300"/>
      <c r="AA447" s="301"/>
      <c r="AB447" s="80"/>
      <c r="AC447" s="292"/>
      <c r="AD447" s="132"/>
      <c r="AE447" s="254"/>
      <c r="AF447" s="294"/>
      <c r="AG447" s="292"/>
      <c r="AH447" s="302"/>
      <c r="AI447" s="302"/>
      <c r="AJ447" s="302"/>
      <c r="AK447" s="292"/>
      <c r="AL447" s="82"/>
      <c r="AM447" s="82"/>
      <c r="AN447" s="82"/>
      <c r="AO447" s="292"/>
      <c r="AP447" s="82"/>
      <c r="AQ447" s="82"/>
      <c r="AR447" s="82"/>
      <c r="AS447" s="292"/>
      <c r="AT447" s="82"/>
      <c r="AU447" s="82"/>
      <c r="AV447" s="82"/>
    </row>
    <row r="448">
      <c r="A448" s="292"/>
      <c r="B448" s="132"/>
      <c r="C448" s="121"/>
      <c r="D448" s="82"/>
      <c r="E448" s="292"/>
      <c r="F448" s="132"/>
      <c r="G448" s="121"/>
      <c r="H448" s="82"/>
      <c r="I448" s="292"/>
      <c r="J448" s="132"/>
      <c r="K448" s="121"/>
      <c r="L448" s="82"/>
      <c r="M448" s="292"/>
      <c r="N448" s="132"/>
      <c r="O448" s="121"/>
      <c r="P448" s="82"/>
      <c r="Q448" s="292"/>
      <c r="R448" s="132"/>
      <c r="S448" s="121"/>
      <c r="T448" s="82"/>
      <c r="U448" s="292"/>
      <c r="V448" s="132"/>
      <c r="W448" s="121"/>
      <c r="X448" s="82"/>
      <c r="Y448" s="292"/>
      <c r="Z448" s="300"/>
      <c r="AA448" s="301"/>
      <c r="AB448" s="80"/>
      <c r="AC448" s="292"/>
      <c r="AD448" s="132"/>
      <c r="AE448" s="254"/>
      <c r="AF448" s="294"/>
      <c r="AG448" s="292"/>
      <c r="AH448" s="302"/>
      <c r="AI448" s="302"/>
      <c r="AJ448" s="302"/>
      <c r="AK448" s="292"/>
      <c r="AL448" s="82"/>
      <c r="AM448" s="82"/>
      <c r="AN448" s="82"/>
      <c r="AO448" s="292"/>
      <c r="AP448" s="82"/>
      <c r="AQ448" s="82"/>
      <c r="AR448" s="82"/>
      <c r="AS448" s="292"/>
      <c r="AT448" s="82"/>
      <c r="AU448" s="82"/>
      <c r="AV448" s="82"/>
    </row>
    <row r="449">
      <c r="A449" s="292"/>
      <c r="B449" s="132"/>
      <c r="C449" s="121"/>
      <c r="D449" s="82"/>
      <c r="E449" s="292"/>
      <c r="F449" s="132"/>
      <c r="G449" s="121"/>
      <c r="H449" s="82"/>
      <c r="I449" s="292"/>
      <c r="J449" s="132"/>
      <c r="K449" s="121"/>
      <c r="L449" s="82"/>
      <c r="M449" s="292"/>
      <c r="N449" s="132"/>
      <c r="O449" s="121"/>
      <c r="P449" s="82"/>
      <c r="Q449" s="292"/>
      <c r="R449" s="132"/>
      <c r="S449" s="121"/>
      <c r="T449" s="82"/>
      <c r="U449" s="292"/>
      <c r="V449" s="132"/>
      <c r="W449" s="121"/>
      <c r="X449" s="82"/>
      <c r="Y449" s="292"/>
      <c r="Z449" s="300"/>
      <c r="AA449" s="301"/>
      <c r="AB449" s="80"/>
      <c r="AC449" s="292"/>
      <c r="AD449" s="132"/>
      <c r="AE449" s="254"/>
      <c r="AF449" s="294"/>
      <c r="AG449" s="292"/>
      <c r="AH449" s="302"/>
      <c r="AI449" s="302"/>
      <c r="AJ449" s="302"/>
      <c r="AK449" s="292"/>
      <c r="AL449" s="82"/>
      <c r="AM449" s="82"/>
      <c r="AN449" s="82"/>
      <c r="AO449" s="292"/>
      <c r="AP449" s="82"/>
      <c r="AQ449" s="82"/>
      <c r="AR449" s="82"/>
      <c r="AS449" s="292"/>
      <c r="AT449" s="82"/>
      <c r="AU449" s="82"/>
      <c r="AV449" s="82"/>
    </row>
    <row r="450">
      <c r="A450" s="292"/>
      <c r="B450" s="132"/>
      <c r="C450" s="121"/>
      <c r="D450" s="82"/>
      <c r="E450" s="292"/>
      <c r="F450" s="132"/>
      <c r="G450" s="121"/>
      <c r="H450" s="82"/>
      <c r="I450" s="292"/>
      <c r="J450" s="132"/>
      <c r="K450" s="121"/>
      <c r="L450" s="82"/>
      <c r="M450" s="292"/>
      <c r="N450" s="132"/>
      <c r="O450" s="121"/>
      <c r="P450" s="82"/>
      <c r="Q450" s="292"/>
      <c r="R450" s="132"/>
      <c r="S450" s="121"/>
      <c r="T450" s="82"/>
      <c r="U450" s="292"/>
      <c r="V450" s="132"/>
      <c r="W450" s="121"/>
      <c r="X450" s="82"/>
      <c r="Y450" s="292"/>
      <c r="Z450" s="300"/>
      <c r="AA450" s="301"/>
      <c r="AB450" s="80"/>
      <c r="AC450" s="292"/>
      <c r="AD450" s="132"/>
      <c r="AE450" s="254"/>
      <c r="AF450" s="294"/>
      <c r="AG450" s="292"/>
      <c r="AH450" s="302"/>
      <c r="AI450" s="302"/>
      <c r="AJ450" s="302"/>
      <c r="AK450" s="292"/>
      <c r="AL450" s="82"/>
      <c r="AM450" s="82"/>
      <c r="AN450" s="82"/>
      <c r="AO450" s="292"/>
      <c r="AP450" s="82"/>
      <c r="AQ450" s="82"/>
      <c r="AR450" s="82"/>
      <c r="AS450" s="292"/>
      <c r="AT450" s="82"/>
      <c r="AU450" s="82"/>
      <c r="AV450" s="82"/>
    </row>
    <row r="451">
      <c r="A451" s="292"/>
      <c r="B451" s="132"/>
      <c r="C451" s="121"/>
      <c r="D451" s="82"/>
      <c r="E451" s="292"/>
      <c r="F451" s="132"/>
      <c r="G451" s="121"/>
      <c r="H451" s="82"/>
      <c r="I451" s="292"/>
      <c r="J451" s="132"/>
      <c r="K451" s="121"/>
      <c r="L451" s="82"/>
      <c r="M451" s="292"/>
      <c r="N451" s="132"/>
      <c r="O451" s="121"/>
      <c r="P451" s="82"/>
      <c r="Q451" s="292"/>
      <c r="R451" s="132"/>
      <c r="S451" s="121"/>
      <c r="T451" s="82"/>
      <c r="U451" s="292"/>
      <c r="V451" s="132"/>
      <c r="W451" s="121"/>
      <c r="X451" s="82"/>
      <c r="Y451" s="292"/>
      <c r="Z451" s="300"/>
      <c r="AA451" s="301"/>
      <c r="AB451" s="80"/>
      <c r="AC451" s="292"/>
      <c r="AD451" s="132"/>
      <c r="AE451" s="254"/>
      <c r="AF451" s="294"/>
      <c r="AG451" s="292"/>
      <c r="AH451" s="302"/>
      <c r="AI451" s="302"/>
      <c r="AJ451" s="302"/>
      <c r="AK451" s="292"/>
      <c r="AL451" s="82"/>
      <c r="AM451" s="82"/>
      <c r="AN451" s="82"/>
      <c r="AO451" s="292"/>
      <c r="AP451" s="82"/>
      <c r="AQ451" s="82"/>
      <c r="AR451" s="82"/>
      <c r="AS451" s="292"/>
      <c r="AT451" s="82"/>
      <c r="AU451" s="82"/>
      <c r="AV451" s="82"/>
    </row>
    <row r="452">
      <c r="A452" s="292"/>
      <c r="B452" s="132"/>
      <c r="C452" s="121"/>
      <c r="D452" s="82"/>
      <c r="E452" s="292"/>
      <c r="F452" s="132"/>
      <c r="G452" s="121"/>
      <c r="H452" s="82"/>
      <c r="I452" s="292"/>
      <c r="J452" s="132"/>
      <c r="K452" s="121"/>
      <c r="L452" s="82"/>
      <c r="M452" s="292"/>
      <c r="N452" s="132"/>
      <c r="O452" s="121"/>
      <c r="P452" s="82"/>
      <c r="Q452" s="292"/>
      <c r="R452" s="132"/>
      <c r="S452" s="121"/>
      <c r="T452" s="82"/>
      <c r="U452" s="292"/>
      <c r="V452" s="132"/>
      <c r="W452" s="121"/>
      <c r="X452" s="82"/>
      <c r="Y452" s="292"/>
      <c r="Z452" s="300"/>
      <c r="AA452" s="301"/>
      <c r="AB452" s="80"/>
      <c r="AC452" s="292"/>
      <c r="AD452" s="132"/>
      <c r="AE452" s="254"/>
      <c r="AF452" s="294"/>
      <c r="AG452" s="292"/>
      <c r="AH452" s="302"/>
      <c r="AI452" s="302"/>
      <c r="AJ452" s="302"/>
      <c r="AK452" s="292"/>
      <c r="AL452" s="82"/>
      <c r="AM452" s="82"/>
      <c r="AN452" s="82"/>
      <c r="AO452" s="292"/>
      <c r="AP452" s="82"/>
      <c r="AQ452" s="82"/>
      <c r="AR452" s="82"/>
      <c r="AS452" s="292"/>
      <c r="AT452" s="82"/>
      <c r="AU452" s="82"/>
      <c r="AV452" s="82"/>
    </row>
    <row r="453">
      <c r="A453" s="292"/>
      <c r="B453" s="132"/>
      <c r="C453" s="121"/>
      <c r="D453" s="82"/>
      <c r="E453" s="292"/>
      <c r="F453" s="132"/>
      <c r="G453" s="121"/>
      <c r="H453" s="82"/>
      <c r="I453" s="292"/>
      <c r="J453" s="132"/>
      <c r="K453" s="121"/>
      <c r="L453" s="82"/>
      <c r="M453" s="292"/>
      <c r="N453" s="132"/>
      <c r="O453" s="121"/>
      <c r="P453" s="82"/>
      <c r="Q453" s="292"/>
      <c r="R453" s="132"/>
      <c r="S453" s="121"/>
      <c r="T453" s="82"/>
      <c r="U453" s="292"/>
      <c r="V453" s="132"/>
      <c r="W453" s="121"/>
      <c r="X453" s="82"/>
      <c r="Y453" s="292"/>
      <c r="Z453" s="300"/>
      <c r="AA453" s="301"/>
      <c r="AB453" s="80"/>
      <c r="AC453" s="292"/>
      <c r="AD453" s="132"/>
      <c r="AE453" s="254"/>
      <c r="AF453" s="294"/>
      <c r="AG453" s="292"/>
      <c r="AH453" s="302"/>
      <c r="AI453" s="302"/>
      <c r="AJ453" s="302"/>
      <c r="AK453" s="292"/>
      <c r="AL453" s="82"/>
      <c r="AM453" s="82"/>
      <c r="AN453" s="82"/>
      <c r="AO453" s="292"/>
      <c r="AP453" s="82"/>
      <c r="AQ453" s="82"/>
      <c r="AR453" s="82"/>
      <c r="AS453" s="292"/>
      <c r="AT453" s="82"/>
      <c r="AU453" s="82"/>
      <c r="AV453" s="82"/>
    </row>
    <row r="454">
      <c r="A454" s="292"/>
      <c r="B454" s="132"/>
      <c r="C454" s="121"/>
      <c r="D454" s="82"/>
      <c r="E454" s="292"/>
      <c r="F454" s="132"/>
      <c r="G454" s="121"/>
      <c r="H454" s="82"/>
      <c r="I454" s="292"/>
      <c r="J454" s="132"/>
      <c r="K454" s="121"/>
      <c r="L454" s="82"/>
      <c r="M454" s="292"/>
      <c r="N454" s="132"/>
      <c r="O454" s="121"/>
      <c r="P454" s="82"/>
      <c r="Q454" s="292"/>
      <c r="R454" s="132"/>
      <c r="S454" s="121"/>
      <c r="T454" s="82"/>
      <c r="U454" s="292"/>
      <c r="V454" s="132"/>
      <c r="W454" s="121"/>
      <c r="X454" s="82"/>
      <c r="Y454" s="292"/>
      <c r="Z454" s="300"/>
      <c r="AA454" s="301"/>
      <c r="AB454" s="80"/>
      <c r="AC454" s="292"/>
      <c r="AD454" s="132"/>
      <c r="AE454" s="254"/>
      <c r="AF454" s="294"/>
      <c r="AG454" s="292"/>
      <c r="AH454" s="302"/>
      <c r="AI454" s="302"/>
      <c r="AJ454" s="302"/>
      <c r="AK454" s="292"/>
      <c r="AL454" s="82"/>
      <c r="AM454" s="82"/>
      <c r="AN454" s="82"/>
      <c r="AO454" s="292"/>
      <c r="AP454" s="82"/>
      <c r="AQ454" s="82"/>
      <c r="AR454" s="82"/>
      <c r="AS454" s="292"/>
      <c r="AT454" s="82"/>
      <c r="AU454" s="82"/>
      <c r="AV454" s="82"/>
    </row>
    <row r="455">
      <c r="A455" s="292"/>
      <c r="B455" s="132"/>
      <c r="C455" s="121"/>
      <c r="D455" s="82"/>
      <c r="E455" s="292"/>
      <c r="F455" s="132"/>
      <c r="G455" s="121"/>
      <c r="H455" s="82"/>
      <c r="I455" s="292"/>
      <c r="J455" s="132"/>
      <c r="K455" s="121"/>
      <c r="L455" s="82"/>
      <c r="M455" s="292"/>
      <c r="N455" s="132"/>
      <c r="O455" s="121"/>
      <c r="P455" s="82"/>
      <c r="Q455" s="292"/>
      <c r="R455" s="132"/>
      <c r="S455" s="121"/>
      <c r="T455" s="82"/>
      <c r="U455" s="292"/>
      <c r="V455" s="132"/>
      <c r="W455" s="121"/>
      <c r="X455" s="82"/>
      <c r="Y455" s="292"/>
      <c r="Z455" s="300"/>
      <c r="AA455" s="301"/>
      <c r="AB455" s="80"/>
      <c r="AC455" s="292"/>
      <c r="AD455" s="132"/>
      <c r="AE455" s="254"/>
      <c r="AF455" s="294"/>
      <c r="AG455" s="292"/>
      <c r="AH455" s="302"/>
      <c r="AI455" s="302"/>
      <c r="AJ455" s="302"/>
      <c r="AK455" s="292"/>
      <c r="AL455" s="82"/>
      <c r="AM455" s="82"/>
      <c r="AN455" s="82"/>
      <c r="AO455" s="292"/>
      <c r="AP455" s="82"/>
      <c r="AQ455" s="82"/>
      <c r="AR455" s="82"/>
      <c r="AS455" s="292"/>
      <c r="AT455" s="82"/>
      <c r="AU455" s="82"/>
      <c r="AV455" s="82"/>
    </row>
    <row r="456">
      <c r="A456" s="292"/>
      <c r="B456" s="132"/>
      <c r="C456" s="121"/>
      <c r="D456" s="82"/>
      <c r="E456" s="292"/>
      <c r="F456" s="132"/>
      <c r="G456" s="121"/>
      <c r="H456" s="82"/>
      <c r="I456" s="292"/>
      <c r="J456" s="132"/>
      <c r="K456" s="121"/>
      <c r="L456" s="82"/>
      <c r="M456" s="292"/>
      <c r="N456" s="132"/>
      <c r="O456" s="121"/>
      <c r="P456" s="82"/>
      <c r="Q456" s="292"/>
      <c r="R456" s="132"/>
      <c r="S456" s="121"/>
      <c r="T456" s="82"/>
      <c r="U456" s="292"/>
      <c r="V456" s="132"/>
      <c r="W456" s="121"/>
      <c r="X456" s="82"/>
      <c r="Y456" s="292"/>
      <c r="Z456" s="300"/>
      <c r="AA456" s="301"/>
      <c r="AB456" s="80"/>
      <c r="AC456" s="292"/>
      <c r="AD456" s="132"/>
      <c r="AE456" s="254"/>
      <c r="AF456" s="294"/>
      <c r="AG456" s="292"/>
      <c r="AH456" s="302"/>
      <c r="AI456" s="302"/>
      <c r="AJ456" s="302"/>
      <c r="AK456" s="292"/>
      <c r="AL456" s="82"/>
      <c r="AM456" s="82"/>
      <c r="AN456" s="82"/>
      <c r="AO456" s="292"/>
      <c r="AP456" s="82"/>
      <c r="AQ456" s="82"/>
      <c r="AR456" s="82"/>
      <c r="AS456" s="292"/>
      <c r="AT456" s="82"/>
      <c r="AU456" s="82"/>
      <c r="AV456" s="82"/>
    </row>
    <row r="457">
      <c r="A457" s="292"/>
      <c r="B457" s="132"/>
      <c r="C457" s="121"/>
      <c r="D457" s="82"/>
      <c r="E457" s="292"/>
      <c r="F457" s="132"/>
      <c r="G457" s="121"/>
      <c r="H457" s="82"/>
      <c r="I457" s="292"/>
      <c r="J457" s="132"/>
      <c r="K457" s="121"/>
      <c r="L457" s="82"/>
      <c r="M457" s="292"/>
      <c r="N457" s="132"/>
      <c r="O457" s="121"/>
      <c r="P457" s="82"/>
      <c r="Q457" s="292"/>
      <c r="R457" s="132"/>
      <c r="S457" s="121"/>
      <c r="T457" s="82"/>
      <c r="U457" s="292"/>
      <c r="V457" s="132"/>
      <c r="W457" s="121"/>
      <c r="X457" s="82"/>
      <c r="Y457" s="292"/>
      <c r="Z457" s="300"/>
      <c r="AA457" s="301"/>
      <c r="AB457" s="80"/>
      <c r="AC457" s="292"/>
      <c r="AD457" s="132"/>
      <c r="AE457" s="254"/>
      <c r="AF457" s="294"/>
      <c r="AG457" s="292"/>
      <c r="AH457" s="302"/>
      <c r="AI457" s="302"/>
      <c r="AJ457" s="302"/>
      <c r="AK457" s="292"/>
      <c r="AL457" s="82"/>
      <c r="AM457" s="82"/>
      <c r="AN457" s="82"/>
      <c r="AO457" s="292"/>
      <c r="AP457" s="82"/>
      <c r="AQ457" s="82"/>
      <c r="AR457" s="82"/>
      <c r="AS457" s="292"/>
      <c r="AT457" s="82"/>
      <c r="AU457" s="82"/>
      <c r="AV457" s="82"/>
    </row>
    <row r="458">
      <c r="A458" s="292"/>
      <c r="B458" s="132"/>
      <c r="C458" s="121"/>
      <c r="D458" s="82"/>
      <c r="E458" s="292"/>
      <c r="F458" s="132"/>
      <c r="G458" s="121"/>
      <c r="H458" s="82"/>
      <c r="I458" s="292"/>
      <c r="J458" s="132"/>
      <c r="K458" s="121"/>
      <c r="L458" s="82"/>
      <c r="M458" s="292"/>
      <c r="N458" s="132"/>
      <c r="O458" s="121"/>
      <c r="P458" s="82"/>
      <c r="Q458" s="292"/>
      <c r="R458" s="132"/>
      <c r="S458" s="121"/>
      <c r="T458" s="82"/>
      <c r="U458" s="292"/>
      <c r="V458" s="132"/>
      <c r="W458" s="121"/>
      <c r="X458" s="82"/>
      <c r="Y458" s="292"/>
      <c r="Z458" s="300"/>
      <c r="AA458" s="301"/>
      <c r="AB458" s="80"/>
      <c r="AC458" s="292"/>
      <c r="AD458" s="132"/>
      <c r="AE458" s="254"/>
      <c r="AF458" s="294"/>
      <c r="AG458" s="292"/>
      <c r="AH458" s="302"/>
      <c r="AI458" s="302"/>
      <c r="AJ458" s="302"/>
      <c r="AK458" s="292"/>
      <c r="AL458" s="82"/>
      <c r="AM458" s="82"/>
      <c r="AN458" s="82"/>
      <c r="AO458" s="292"/>
      <c r="AP458" s="82"/>
      <c r="AQ458" s="82"/>
      <c r="AR458" s="82"/>
      <c r="AS458" s="292"/>
      <c r="AT458" s="82"/>
      <c r="AU458" s="82"/>
      <c r="AV458" s="82"/>
    </row>
    <row r="459">
      <c r="A459" s="292"/>
      <c r="B459" s="132"/>
      <c r="C459" s="121"/>
      <c r="D459" s="82"/>
      <c r="E459" s="292"/>
      <c r="F459" s="132"/>
      <c r="G459" s="121"/>
      <c r="H459" s="82"/>
      <c r="I459" s="292"/>
      <c r="J459" s="132"/>
      <c r="K459" s="121"/>
      <c r="L459" s="82"/>
      <c r="M459" s="292"/>
      <c r="N459" s="132"/>
      <c r="O459" s="121"/>
      <c r="P459" s="82"/>
      <c r="Q459" s="292"/>
      <c r="R459" s="132"/>
      <c r="S459" s="121"/>
      <c r="T459" s="82"/>
      <c r="U459" s="292"/>
      <c r="V459" s="132"/>
      <c r="W459" s="121"/>
      <c r="X459" s="82"/>
      <c r="Y459" s="292"/>
      <c r="Z459" s="300"/>
      <c r="AA459" s="301"/>
      <c r="AB459" s="80"/>
      <c r="AC459" s="292"/>
      <c r="AD459" s="132"/>
      <c r="AE459" s="254"/>
      <c r="AF459" s="294"/>
      <c r="AG459" s="292"/>
      <c r="AH459" s="302"/>
      <c r="AI459" s="302"/>
      <c r="AJ459" s="302"/>
      <c r="AK459" s="292"/>
      <c r="AL459" s="82"/>
      <c r="AM459" s="82"/>
      <c r="AN459" s="82"/>
      <c r="AO459" s="292"/>
      <c r="AP459" s="82"/>
      <c r="AQ459" s="82"/>
      <c r="AR459" s="82"/>
      <c r="AS459" s="292"/>
      <c r="AT459" s="82"/>
      <c r="AU459" s="82"/>
      <c r="AV459" s="82"/>
    </row>
    <row r="460">
      <c r="A460" s="292"/>
      <c r="B460" s="132"/>
      <c r="C460" s="121"/>
      <c r="D460" s="82"/>
      <c r="E460" s="292"/>
      <c r="F460" s="132"/>
      <c r="G460" s="121"/>
      <c r="H460" s="82"/>
      <c r="I460" s="292"/>
      <c r="J460" s="132"/>
      <c r="K460" s="121"/>
      <c r="L460" s="82"/>
      <c r="M460" s="292"/>
      <c r="N460" s="132"/>
      <c r="O460" s="121"/>
      <c r="P460" s="82"/>
      <c r="Q460" s="292"/>
      <c r="R460" s="132"/>
      <c r="S460" s="121"/>
      <c r="T460" s="82"/>
      <c r="U460" s="292"/>
      <c r="V460" s="132"/>
      <c r="W460" s="121"/>
      <c r="X460" s="82"/>
      <c r="Y460" s="292"/>
      <c r="Z460" s="300"/>
      <c r="AA460" s="301"/>
      <c r="AB460" s="80"/>
      <c r="AC460" s="292"/>
      <c r="AD460" s="132"/>
      <c r="AE460" s="254"/>
      <c r="AF460" s="294"/>
      <c r="AG460" s="292"/>
      <c r="AH460" s="302"/>
      <c r="AI460" s="302"/>
      <c r="AJ460" s="302"/>
      <c r="AK460" s="292"/>
      <c r="AL460" s="82"/>
      <c r="AM460" s="82"/>
      <c r="AN460" s="82"/>
      <c r="AO460" s="292"/>
      <c r="AP460" s="82"/>
      <c r="AQ460" s="82"/>
      <c r="AR460" s="82"/>
      <c r="AS460" s="292"/>
      <c r="AT460" s="82"/>
      <c r="AU460" s="82"/>
      <c r="AV460" s="82"/>
    </row>
    <row r="461">
      <c r="A461" s="292"/>
      <c r="B461" s="132"/>
      <c r="C461" s="121"/>
      <c r="D461" s="82"/>
      <c r="E461" s="292"/>
      <c r="F461" s="132"/>
      <c r="G461" s="121"/>
      <c r="H461" s="82"/>
      <c r="I461" s="292"/>
      <c r="J461" s="132"/>
      <c r="K461" s="121"/>
      <c r="L461" s="82"/>
      <c r="M461" s="292"/>
      <c r="N461" s="132"/>
      <c r="O461" s="121"/>
      <c r="P461" s="82"/>
      <c r="Q461" s="292"/>
      <c r="R461" s="132"/>
      <c r="S461" s="121"/>
      <c r="T461" s="82"/>
      <c r="U461" s="292"/>
      <c r="V461" s="132"/>
      <c r="W461" s="121"/>
      <c r="X461" s="82"/>
      <c r="Y461" s="292"/>
      <c r="Z461" s="300"/>
      <c r="AA461" s="301"/>
      <c r="AB461" s="80"/>
      <c r="AC461" s="292"/>
      <c r="AD461" s="132"/>
      <c r="AE461" s="254"/>
      <c r="AF461" s="294"/>
      <c r="AG461" s="292"/>
      <c r="AH461" s="302"/>
      <c r="AI461" s="302"/>
      <c r="AJ461" s="302"/>
      <c r="AK461" s="292"/>
      <c r="AL461" s="82"/>
      <c r="AM461" s="82"/>
      <c r="AN461" s="82"/>
      <c r="AO461" s="292"/>
      <c r="AP461" s="82"/>
      <c r="AQ461" s="82"/>
      <c r="AR461" s="82"/>
      <c r="AS461" s="292"/>
      <c r="AT461" s="82"/>
      <c r="AU461" s="82"/>
      <c r="AV461" s="82"/>
    </row>
    <row r="462">
      <c r="A462" s="292"/>
      <c r="B462" s="132"/>
      <c r="C462" s="121"/>
      <c r="D462" s="82"/>
      <c r="E462" s="292"/>
      <c r="F462" s="132"/>
      <c r="G462" s="121"/>
      <c r="H462" s="82"/>
      <c r="I462" s="292"/>
      <c r="J462" s="132"/>
      <c r="K462" s="121"/>
      <c r="L462" s="82"/>
      <c r="M462" s="292"/>
      <c r="N462" s="132"/>
      <c r="O462" s="121"/>
      <c r="P462" s="82"/>
      <c r="Q462" s="292"/>
      <c r="R462" s="132"/>
      <c r="S462" s="121"/>
      <c r="T462" s="82"/>
      <c r="U462" s="292"/>
      <c r="V462" s="132"/>
      <c r="W462" s="121"/>
      <c r="X462" s="82"/>
      <c r="Y462" s="292"/>
      <c r="Z462" s="300"/>
      <c r="AA462" s="301"/>
      <c r="AB462" s="80"/>
      <c r="AC462" s="292"/>
      <c r="AD462" s="132"/>
      <c r="AE462" s="254"/>
      <c r="AF462" s="294"/>
      <c r="AG462" s="292"/>
      <c r="AH462" s="302"/>
      <c r="AI462" s="302"/>
      <c r="AJ462" s="302"/>
      <c r="AK462" s="292"/>
      <c r="AL462" s="82"/>
      <c r="AM462" s="82"/>
      <c r="AN462" s="82"/>
      <c r="AO462" s="292"/>
      <c r="AP462" s="82"/>
      <c r="AQ462" s="82"/>
      <c r="AR462" s="82"/>
      <c r="AS462" s="292"/>
      <c r="AT462" s="82"/>
      <c r="AU462" s="82"/>
      <c r="AV462" s="82"/>
    </row>
    <row r="463">
      <c r="A463" s="292"/>
      <c r="B463" s="132"/>
      <c r="C463" s="121"/>
      <c r="D463" s="82"/>
      <c r="E463" s="292"/>
      <c r="F463" s="132"/>
      <c r="G463" s="121"/>
      <c r="H463" s="82"/>
      <c r="I463" s="292"/>
      <c r="J463" s="132"/>
      <c r="K463" s="121"/>
      <c r="L463" s="82"/>
      <c r="M463" s="292"/>
      <c r="N463" s="132"/>
      <c r="O463" s="121"/>
      <c r="P463" s="82"/>
      <c r="Q463" s="292"/>
      <c r="R463" s="132"/>
      <c r="S463" s="121"/>
      <c r="T463" s="82"/>
      <c r="U463" s="292"/>
      <c r="V463" s="132"/>
      <c r="W463" s="121"/>
      <c r="X463" s="82"/>
      <c r="Y463" s="292"/>
      <c r="Z463" s="300"/>
      <c r="AA463" s="301"/>
      <c r="AB463" s="80"/>
      <c r="AC463" s="292"/>
      <c r="AD463" s="132"/>
      <c r="AE463" s="254"/>
      <c r="AF463" s="294"/>
      <c r="AG463" s="292"/>
      <c r="AH463" s="302"/>
      <c r="AI463" s="302"/>
      <c r="AJ463" s="302"/>
      <c r="AK463" s="292"/>
      <c r="AL463" s="82"/>
      <c r="AM463" s="82"/>
      <c r="AN463" s="82"/>
      <c r="AO463" s="292"/>
      <c r="AP463" s="82"/>
      <c r="AQ463" s="82"/>
      <c r="AR463" s="82"/>
      <c r="AS463" s="292"/>
      <c r="AT463" s="82"/>
      <c r="AU463" s="82"/>
      <c r="AV463" s="82"/>
    </row>
    <row r="464">
      <c r="A464" s="292"/>
      <c r="B464" s="132"/>
      <c r="C464" s="121"/>
      <c r="D464" s="82"/>
      <c r="E464" s="292"/>
      <c r="F464" s="132"/>
      <c r="G464" s="121"/>
      <c r="H464" s="82"/>
      <c r="I464" s="292"/>
      <c r="J464" s="132"/>
      <c r="K464" s="121"/>
      <c r="L464" s="82"/>
      <c r="M464" s="292"/>
      <c r="N464" s="132"/>
      <c r="O464" s="121"/>
      <c r="P464" s="82"/>
      <c r="Q464" s="292"/>
      <c r="R464" s="132"/>
      <c r="S464" s="121"/>
      <c r="T464" s="82"/>
      <c r="U464" s="292"/>
      <c r="V464" s="132"/>
      <c r="W464" s="121"/>
      <c r="X464" s="82"/>
      <c r="Y464" s="292"/>
      <c r="Z464" s="300"/>
      <c r="AA464" s="301"/>
      <c r="AB464" s="80"/>
      <c r="AC464" s="292"/>
      <c r="AD464" s="132"/>
      <c r="AE464" s="254"/>
      <c r="AF464" s="294"/>
      <c r="AG464" s="292"/>
      <c r="AH464" s="302"/>
      <c r="AI464" s="302"/>
      <c r="AJ464" s="302"/>
      <c r="AK464" s="292"/>
      <c r="AL464" s="82"/>
      <c r="AM464" s="82"/>
      <c r="AN464" s="82"/>
      <c r="AO464" s="292"/>
      <c r="AP464" s="82"/>
      <c r="AQ464" s="82"/>
      <c r="AR464" s="82"/>
      <c r="AS464" s="292"/>
      <c r="AT464" s="82"/>
      <c r="AU464" s="82"/>
      <c r="AV464" s="82"/>
    </row>
    <row r="465">
      <c r="A465" s="292"/>
      <c r="B465" s="132"/>
      <c r="C465" s="121"/>
      <c r="D465" s="82"/>
      <c r="E465" s="292"/>
      <c r="F465" s="132"/>
      <c r="G465" s="121"/>
      <c r="H465" s="82"/>
      <c r="I465" s="292"/>
      <c r="J465" s="132"/>
      <c r="K465" s="121"/>
      <c r="L465" s="82"/>
      <c r="M465" s="292"/>
      <c r="N465" s="132"/>
      <c r="O465" s="121"/>
      <c r="P465" s="82"/>
      <c r="Q465" s="292"/>
      <c r="R465" s="132"/>
      <c r="S465" s="121"/>
      <c r="T465" s="82"/>
      <c r="U465" s="292"/>
      <c r="V465" s="132"/>
      <c r="W465" s="121"/>
      <c r="X465" s="82"/>
      <c r="Y465" s="292"/>
      <c r="Z465" s="300"/>
      <c r="AA465" s="301"/>
      <c r="AB465" s="80"/>
      <c r="AC465" s="292"/>
      <c r="AD465" s="132"/>
      <c r="AE465" s="254"/>
      <c r="AF465" s="294"/>
      <c r="AG465" s="292"/>
      <c r="AH465" s="302"/>
      <c r="AI465" s="302"/>
      <c r="AJ465" s="302"/>
      <c r="AK465" s="292"/>
      <c r="AL465" s="82"/>
      <c r="AM465" s="82"/>
      <c r="AN465" s="82"/>
      <c r="AO465" s="292"/>
      <c r="AP465" s="82"/>
      <c r="AQ465" s="82"/>
      <c r="AR465" s="82"/>
      <c r="AS465" s="292"/>
      <c r="AT465" s="82"/>
      <c r="AU465" s="82"/>
      <c r="AV465" s="82"/>
    </row>
    <row r="466">
      <c r="A466" s="292"/>
      <c r="B466" s="132"/>
      <c r="C466" s="121"/>
      <c r="D466" s="82"/>
      <c r="E466" s="292"/>
      <c r="F466" s="132"/>
      <c r="G466" s="121"/>
      <c r="H466" s="82"/>
      <c r="I466" s="292"/>
      <c r="J466" s="132"/>
      <c r="K466" s="121"/>
      <c r="L466" s="82"/>
      <c r="M466" s="292"/>
      <c r="N466" s="132"/>
      <c r="O466" s="121"/>
      <c r="P466" s="82"/>
      <c r="Q466" s="292"/>
      <c r="R466" s="132"/>
      <c r="S466" s="121"/>
      <c r="T466" s="82"/>
      <c r="U466" s="292"/>
      <c r="V466" s="132"/>
      <c r="W466" s="121"/>
      <c r="X466" s="82"/>
      <c r="Y466" s="292"/>
      <c r="Z466" s="300"/>
      <c r="AA466" s="301"/>
      <c r="AB466" s="80"/>
      <c r="AC466" s="292"/>
      <c r="AD466" s="132"/>
      <c r="AE466" s="254"/>
      <c r="AF466" s="294"/>
      <c r="AG466" s="292"/>
      <c r="AH466" s="302"/>
      <c r="AI466" s="302"/>
      <c r="AJ466" s="302"/>
      <c r="AK466" s="292"/>
      <c r="AL466" s="82"/>
      <c r="AM466" s="82"/>
      <c r="AN466" s="82"/>
      <c r="AO466" s="292"/>
      <c r="AP466" s="82"/>
      <c r="AQ466" s="82"/>
      <c r="AR466" s="82"/>
      <c r="AS466" s="292"/>
      <c r="AT466" s="82"/>
      <c r="AU466" s="82"/>
      <c r="AV466" s="82"/>
    </row>
    <row r="467">
      <c r="A467" s="292"/>
      <c r="B467" s="132"/>
      <c r="C467" s="121"/>
      <c r="D467" s="82"/>
      <c r="E467" s="292"/>
      <c r="F467" s="132"/>
      <c r="G467" s="121"/>
      <c r="H467" s="82"/>
      <c r="I467" s="292"/>
      <c r="J467" s="132"/>
      <c r="K467" s="121"/>
      <c r="L467" s="82"/>
      <c r="M467" s="292"/>
      <c r="N467" s="132"/>
      <c r="O467" s="121"/>
      <c r="P467" s="82"/>
      <c r="Q467" s="292"/>
      <c r="R467" s="132"/>
      <c r="S467" s="121"/>
      <c r="T467" s="82"/>
      <c r="U467" s="292"/>
      <c r="V467" s="132"/>
      <c r="W467" s="121"/>
      <c r="X467" s="82"/>
      <c r="Y467" s="292"/>
      <c r="Z467" s="300"/>
      <c r="AA467" s="301"/>
      <c r="AB467" s="80"/>
      <c r="AC467" s="292"/>
      <c r="AD467" s="132"/>
      <c r="AE467" s="254"/>
      <c r="AF467" s="294"/>
      <c r="AG467" s="292"/>
      <c r="AH467" s="302"/>
      <c r="AI467" s="302"/>
      <c r="AJ467" s="302"/>
      <c r="AK467" s="292"/>
      <c r="AL467" s="82"/>
      <c r="AM467" s="82"/>
      <c r="AN467" s="82"/>
      <c r="AO467" s="292"/>
      <c r="AP467" s="82"/>
      <c r="AQ467" s="82"/>
      <c r="AR467" s="82"/>
      <c r="AS467" s="292"/>
      <c r="AT467" s="82"/>
      <c r="AU467" s="82"/>
      <c r="AV467" s="82"/>
    </row>
    <row r="468">
      <c r="A468" s="292"/>
      <c r="B468" s="132"/>
      <c r="C468" s="121"/>
      <c r="D468" s="82"/>
      <c r="E468" s="292"/>
      <c r="F468" s="132"/>
      <c r="G468" s="121"/>
      <c r="H468" s="82"/>
      <c r="I468" s="292"/>
      <c r="J468" s="132"/>
      <c r="K468" s="121"/>
      <c r="L468" s="82"/>
      <c r="M468" s="292"/>
      <c r="N468" s="132"/>
      <c r="O468" s="121"/>
      <c r="P468" s="82"/>
      <c r="Q468" s="292"/>
      <c r="R468" s="132"/>
      <c r="S468" s="121"/>
      <c r="T468" s="82"/>
      <c r="U468" s="292"/>
      <c r="V468" s="132"/>
      <c r="W468" s="121"/>
      <c r="X468" s="82"/>
      <c r="Y468" s="292"/>
      <c r="Z468" s="300"/>
      <c r="AA468" s="301"/>
      <c r="AB468" s="80"/>
      <c r="AC468" s="292"/>
      <c r="AD468" s="132"/>
      <c r="AE468" s="254"/>
      <c r="AF468" s="294"/>
      <c r="AG468" s="292"/>
      <c r="AH468" s="302"/>
      <c r="AI468" s="302"/>
      <c r="AJ468" s="302"/>
      <c r="AK468" s="292"/>
      <c r="AL468" s="82"/>
      <c r="AM468" s="82"/>
      <c r="AN468" s="82"/>
      <c r="AO468" s="292"/>
      <c r="AP468" s="82"/>
      <c r="AQ468" s="82"/>
      <c r="AR468" s="82"/>
      <c r="AS468" s="292"/>
      <c r="AT468" s="82"/>
      <c r="AU468" s="82"/>
      <c r="AV468" s="82"/>
    </row>
    <row r="469">
      <c r="A469" s="292"/>
      <c r="B469" s="132"/>
      <c r="C469" s="121"/>
      <c r="D469" s="82"/>
      <c r="E469" s="292"/>
      <c r="F469" s="132"/>
      <c r="G469" s="121"/>
      <c r="H469" s="82"/>
      <c r="I469" s="292"/>
      <c r="J469" s="132"/>
      <c r="K469" s="121"/>
      <c r="L469" s="82"/>
      <c r="M469" s="292"/>
      <c r="N469" s="132"/>
      <c r="O469" s="121"/>
      <c r="P469" s="82"/>
      <c r="Q469" s="292"/>
      <c r="R469" s="132"/>
      <c r="S469" s="121"/>
      <c r="T469" s="82"/>
      <c r="U469" s="292"/>
      <c r="V469" s="132"/>
      <c r="W469" s="121"/>
      <c r="X469" s="82"/>
      <c r="Y469" s="292"/>
      <c r="Z469" s="300"/>
      <c r="AA469" s="301"/>
      <c r="AB469" s="80"/>
      <c r="AC469" s="292"/>
      <c r="AD469" s="132"/>
      <c r="AE469" s="254"/>
      <c r="AF469" s="294"/>
      <c r="AG469" s="292"/>
      <c r="AH469" s="302"/>
      <c r="AI469" s="302"/>
      <c r="AJ469" s="302"/>
      <c r="AK469" s="292"/>
      <c r="AL469" s="82"/>
      <c r="AM469" s="82"/>
      <c r="AN469" s="82"/>
      <c r="AO469" s="292"/>
      <c r="AP469" s="82"/>
      <c r="AQ469" s="82"/>
      <c r="AR469" s="82"/>
      <c r="AS469" s="292"/>
      <c r="AT469" s="82"/>
      <c r="AU469" s="82"/>
      <c r="AV469" s="82"/>
    </row>
    <row r="470">
      <c r="A470" s="292"/>
      <c r="B470" s="132"/>
      <c r="C470" s="121"/>
      <c r="D470" s="82"/>
      <c r="E470" s="292"/>
      <c r="F470" s="132"/>
      <c r="G470" s="121"/>
      <c r="H470" s="82"/>
      <c r="I470" s="292"/>
      <c r="J470" s="132"/>
      <c r="K470" s="121"/>
      <c r="L470" s="82"/>
      <c r="M470" s="292"/>
      <c r="N470" s="132"/>
      <c r="O470" s="121"/>
      <c r="P470" s="82"/>
      <c r="Q470" s="292"/>
      <c r="R470" s="132"/>
      <c r="S470" s="121"/>
      <c r="T470" s="82"/>
      <c r="U470" s="292"/>
      <c r="V470" s="132"/>
      <c r="W470" s="121"/>
      <c r="X470" s="82"/>
      <c r="Y470" s="292"/>
      <c r="Z470" s="300"/>
      <c r="AA470" s="301"/>
      <c r="AB470" s="80"/>
      <c r="AC470" s="292"/>
      <c r="AD470" s="132"/>
      <c r="AE470" s="254"/>
      <c r="AF470" s="294"/>
      <c r="AG470" s="292"/>
      <c r="AH470" s="302"/>
      <c r="AI470" s="302"/>
      <c r="AJ470" s="302"/>
      <c r="AK470" s="292"/>
      <c r="AL470" s="82"/>
      <c r="AM470" s="82"/>
      <c r="AN470" s="82"/>
      <c r="AO470" s="292"/>
      <c r="AP470" s="82"/>
      <c r="AQ470" s="82"/>
      <c r="AR470" s="82"/>
      <c r="AS470" s="292"/>
      <c r="AT470" s="82"/>
      <c r="AU470" s="82"/>
      <c r="AV470" s="82"/>
    </row>
    <row r="471">
      <c r="A471" s="292"/>
      <c r="B471" s="132"/>
      <c r="C471" s="121"/>
      <c r="D471" s="82"/>
      <c r="E471" s="292"/>
      <c r="F471" s="132"/>
      <c r="G471" s="121"/>
      <c r="H471" s="82"/>
      <c r="I471" s="292"/>
      <c r="J471" s="132"/>
      <c r="K471" s="121"/>
      <c r="L471" s="82"/>
      <c r="M471" s="292"/>
      <c r="N471" s="132"/>
      <c r="O471" s="121"/>
      <c r="P471" s="82"/>
      <c r="Q471" s="292"/>
      <c r="R471" s="132"/>
      <c r="S471" s="121"/>
      <c r="T471" s="82"/>
      <c r="U471" s="292"/>
      <c r="V471" s="132"/>
      <c r="W471" s="121"/>
      <c r="X471" s="82"/>
      <c r="Y471" s="292"/>
      <c r="Z471" s="300"/>
      <c r="AA471" s="301"/>
      <c r="AB471" s="80"/>
      <c r="AC471" s="292"/>
      <c r="AD471" s="132"/>
      <c r="AE471" s="254"/>
      <c r="AF471" s="294"/>
      <c r="AG471" s="292"/>
      <c r="AH471" s="302"/>
      <c r="AI471" s="302"/>
      <c r="AJ471" s="302"/>
      <c r="AK471" s="292"/>
      <c r="AL471" s="82"/>
      <c r="AM471" s="82"/>
      <c r="AN471" s="82"/>
      <c r="AO471" s="292"/>
      <c r="AP471" s="82"/>
      <c r="AQ471" s="82"/>
      <c r="AR471" s="82"/>
      <c r="AS471" s="292"/>
      <c r="AT471" s="82"/>
      <c r="AU471" s="82"/>
      <c r="AV471" s="82"/>
    </row>
    <row r="472">
      <c r="A472" s="292"/>
      <c r="B472" s="132"/>
      <c r="C472" s="121"/>
      <c r="D472" s="82"/>
      <c r="E472" s="292"/>
      <c r="F472" s="132"/>
      <c r="G472" s="121"/>
      <c r="H472" s="82"/>
      <c r="I472" s="292"/>
      <c r="J472" s="132"/>
      <c r="K472" s="121"/>
      <c r="L472" s="82"/>
      <c r="M472" s="292"/>
      <c r="N472" s="132"/>
      <c r="O472" s="121"/>
      <c r="P472" s="82"/>
      <c r="Q472" s="292"/>
      <c r="R472" s="132"/>
      <c r="S472" s="121"/>
      <c r="T472" s="82"/>
      <c r="U472" s="292"/>
      <c r="V472" s="132"/>
      <c r="W472" s="121"/>
      <c r="X472" s="82"/>
      <c r="Y472" s="292"/>
      <c r="Z472" s="300"/>
      <c r="AA472" s="301"/>
      <c r="AB472" s="80"/>
      <c r="AC472" s="292"/>
      <c r="AD472" s="132"/>
      <c r="AE472" s="254"/>
      <c r="AF472" s="294"/>
      <c r="AG472" s="292"/>
      <c r="AH472" s="302"/>
      <c r="AI472" s="302"/>
      <c r="AJ472" s="302"/>
      <c r="AK472" s="292"/>
      <c r="AL472" s="82"/>
      <c r="AM472" s="82"/>
      <c r="AN472" s="82"/>
      <c r="AO472" s="292"/>
      <c r="AP472" s="82"/>
      <c r="AQ472" s="82"/>
      <c r="AR472" s="82"/>
      <c r="AS472" s="292"/>
      <c r="AT472" s="82"/>
      <c r="AU472" s="82"/>
      <c r="AV472" s="82"/>
    </row>
    <row r="473">
      <c r="A473" s="292"/>
      <c r="B473" s="132"/>
      <c r="C473" s="121"/>
      <c r="D473" s="82"/>
      <c r="E473" s="292"/>
      <c r="F473" s="132"/>
      <c r="G473" s="121"/>
      <c r="H473" s="82"/>
      <c r="I473" s="292"/>
      <c r="J473" s="132"/>
      <c r="K473" s="121"/>
      <c r="L473" s="82"/>
      <c r="M473" s="292"/>
      <c r="N473" s="132"/>
      <c r="O473" s="121"/>
      <c r="P473" s="82"/>
      <c r="Q473" s="292"/>
      <c r="R473" s="132"/>
      <c r="S473" s="121"/>
      <c r="T473" s="82"/>
      <c r="U473" s="292"/>
      <c r="V473" s="132"/>
      <c r="W473" s="121"/>
      <c r="X473" s="82"/>
      <c r="Y473" s="292"/>
      <c r="Z473" s="300"/>
      <c r="AA473" s="301"/>
      <c r="AB473" s="80"/>
      <c r="AC473" s="292"/>
      <c r="AD473" s="132"/>
      <c r="AE473" s="254"/>
      <c r="AF473" s="294"/>
      <c r="AG473" s="292"/>
      <c r="AH473" s="302"/>
      <c r="AI473" s="302"/>
      <c r="AJ473" s="302"/>
      <c r="AK473" s="292"/>
      <c r="AL473" s="82"/>
      <c r="AM473" s="82"/>
      <c r="AN473" s="82"/>
      <c r="AO473" s="292"/>
      <c r="AP473" s="82"/>
      <c r="AQ473" s="82"/>
      <c r="AR473" s="82"/>
      <c r="AS473" s="292"/>
      <c r="AT473" s="82"/>
      <c r="AU473" s="82"/>
      <c r="AV473" s="82"/>
    </row>
    <row r="474">
      <c r="A474" s="292"/>
      <c r="B474" s="132"/>
      <c r="C474" s="121"/>
      <c r="D474" s="82"/>
      <c r="E474" s="292"/>
      <c r="F474" s="132"/>
      <c r="G474" s="121"/>
      <c r="H474" s="82"/>
      <c r="I474" s="292"/>
      <c r="J474" s="132"/>
      <c r="K474" s="121"/>
      <c r="L474" s="82"/>
      <c r="M474" s="292"/>
      <c r="N474" s="132"/>
      <c r="O474" s="121"/>
      <c r="P474" s="82"/>
      <c r="Q474" s="292"/>
      <c r="R474" s="132"/>
      <c r="S474" s="121"/>
      <c r="T474" s="82"/>
      <c r="U474" s="292"/>
      <c r="V474" s="132"/>
      <c r="W474" s="121"/>
      <c r="X474" s="82"/>
      <c r="Y474" s="292"/>
      <c r="Z474" s="300"/>
      <c r="AA474" s="301"/>
      <c r="AB474" s="80"/>
      <c r="AC474" s="292"/>
      <c r="AD474" s="132"/>
      <c r="AE474" s="254"/>
      <c r="AF474" s="294"/>
      <c r="AG474" s="292"/>
      <c r="AH474" s="302"/>
      <c r="AI474" s="302"/>
      <c r="AJ474" s="302"/>
      <c r="AK474" s="292"/>
      <c r="AL474" s="82"/>
      <c r="AM474" s="82"/>
      <c r="AN474" s="82"/>
      <c r="AO474" s="292"/>
      <c r="AP474" s="82"/>
      <c r="AQ474" s="82"/>
      <c r="AR474" s="82"/>
      <c r="AS474" s="292"/>
      <c r="AT474" s="82"/>
      <c r="AU474" s="82"/>
      <c r="AV474" s="82"/>
    </row>
    <row r="475">
      <c r="A475" s="292"/>
      <c r="B475" s="132"/>
      <c r="C475" s="121"/>
      <c r="D475" s="82"/>
      <c r="E475" s="292"/>
      <c r="F475" s="132"/>
      <c r="G475" s="121"/>
      <c r="H475" s="82"/>
      <c r="I475" s="292"/>
      <c r="J475" s="132"/>
      <c r="K475" s="121"/>
      <c r="L475" s="82"/>
      <c r="M475" s="292"/>
      <c r="N475" s="132"/>
      <c r="O475" s="121"/>
      <c r="P475" s="82"/>
      <c r="Q475" s="292"/>
      <c r="R475" s="132"/>
      <c r="S475" s="121"/>
      <c r="T475" s="82"/>
      <c r="U475" s="292"/>
      <c r="V475" s="132"/>
      <c r="W475" s="121"/>
      <c r="X475" s="82"/>
      <c r="Y475" s="292"/>
      <c r="Z475" s="300"/>
      <c r="AA475" s="301"/>
      <c r="AB475" s="80"/>
      <c r="AC475" s="292"/>
      <c r="AD475" s="132"/>
      <c r="AE475" s="254"/>
      <c r="AF475" s="294"/>
      <c r="AG475" s="292"/>
      <c r="AH475" s="302"/>
      <c r="AI475" s="302"/>
      <c r="AJ475" s="302"/>
      <c r="AK475" s="292"/>
      <c r="AL475" s="82"/>
      <c r="AM475" s="82"/>
      <c r="AN475" s="82"/>
      <c r="AO475" s="292"/>
      <c r="AP475" s="82"/>
      <c r="AQ475" s="82"/>
      <c r="AR475" s="82"/>
      <c r="AS475" s="292"/>
      <c r="AT475" s="82"/>
      <c r="AU475" s="82"/>
      <c r="AV475" s="82"/>
    </row>
    <row r="476">
      <c r="A476" s="292"/>
      <c r="B476" s="132"/>
      <c r="C476" s="121"/>
      <c r="D476" s="82"/>
      <c r="E476" s="292"/>
      <c r="F476" s="132"/>
      <c r="G476" s="121"/>
      <c r="H476" s="82"/>
      <c r="I476" s="292"/>
      <c r="J476" s="132"/>
      <c r="K476" s="121"/>
      <c r="L476" s="82"/>
      <c r="M476" s="292"/>
      <c r="N476" s="132"/>
      <c r="O476" s="121"/>
      <c r="P476" s="82"/>
      <c r="Q476" s="292"/>
      <c r="R476" s="132"/>
      <c r="S476" s="121"/>
      <c r="T476" s="82"/>
      <c r="U476" s="292"/>
      <c r="V476" s="132"/>
      <c r="W476" s="121"/>
      <c r="X476" s="82"/>
      <c r="Y476" s="292"/>
      <c r="Z476" s="300"/>
      <c r="AA476" s="301"/>
      <c r="AB476" s="80"/>
      <c r="AC476" s="292"/>
      <c r="AD476" s="132"/>
      <c r="AE476" s="254"/>
      <c r="AF476" s="294"/>
      <c r="AG476" s="292"/>
      <c r="AH476" s="302"/>
      <c r="AI476" s="302"/>
      <c r="AJ476" s="302"/>
      <c r="AK476" s="292"/>
      <c r="AL476" s="82"/>
      <c r="AM476" s="82"/>
      <c r="AN476" s="82"/>
      <c r="AO476" s="292"/>
      <c r="AP476" s="82"/>
      <c r="AQ476" s="82"/>
      <c r="AR476" s="82"/>
      <c r="AS476" s="292"/>
      <c r="AT476" s="82"/>
      <c r="AU476" s="82"/>
      <c r="AV476" s="82"/>
    </row>
    <row r="477">
      <c r="A477" s="292"/>
      <c r="B477" s="132"/>
      <c r="C477" s="121"/>
      <c r="D477" s="82"/>
      <c r="E477" s="292"/>
      <c r="F477" s="132"/>
      <c r="G477" s="121"/>
      <c r="H477" s="82"/>
      <c r="I477" s="292"/>
      <c r="J477" s="132"/>
      <c r="K477" s="121"/>
      <c r="L477" s="82"/>
      <c r="M477" s="292"/>
      <c r="N477" s="132"/>
      <c r="O477" s="121"/>
      <c r="P477" s="82"/>
      <c r="Q477" s="292"/>
      <c r="R477" s="132"/>
      <c r="S477" s="121"/>
      <c r="T477" s="82"/>
      <c r="U477" s="292"/>
      <c r="V477" s="132"/>
      <c r="W477" s="121"/>
      <c r="X477" s="82"/>
      <c r="Y477" s="292"/>
      <c r="Z477" s="300"/>
      <c r="AA477" s="301"/>
      <c r="AB477" s="80"/>
      <c r="AC477" s="292"/>
      <c r="AD477" s="132"/>
      <c r="AE477" s="254"/>
      <c r="AF477" s="294"/>
      <c r="AG477" s="292"/>
      <c r="AH477" s="302"/>
      <c r="AI477" s="302"/>
      <c r="AJ477" s="302"/>
      <c r="AK477" s="292"/>
      <c r="AL477" s="82"/>
      <c r="AM477" s="82"/>
      <c r="AN477" s="82"/>
      <c r="AO477" s="292"/>
      <c r="AP477" s="82"/>
      <c r="AQ477" s="82"/>
      <c r="AR477" s="82"/>
      <c r="AS477" s="292"/>
      <c r="AT477" s="82"/>
      <c r="AU477" s="82"/>
      <c r="AV477" s="82"/>
    </row>
    <row r="478">
      <c r="A478" s="292"/>
      <c r="B478" s="132"/>
      <c r="C478" s="121"/>
      <c r="D478" s="82"/>
      <c r="E478" s="292"/>
      <c r="F478" s="132"/>
      <c r="G478" s="121"/>
      <c r="H478" s="82"/>
      <c r="I478" s="292"/>
      <c r="J478" s="132"/>
      <c r="K478" s="121"/>
      <c r="L478" s="82"/>
      <c r="M478" s="292"/>
      <c r="N478" s="132"/>
      <c r="O478" s="121"/>
      <c r="P478" s="82"/>
      <c r="Q478" s="292"/>
      <c r="R478" s="132"/>
      <c r="S478" s="121"/>
      <c r="T478" s="82"/>
      <c r="U478" s="292"/>
      <c r="V478" s="132"/>
      <c r="W478" s="121"/>
      <c r="X478" s="82"/>
      <c r="Y478" s="292"/>
      <c r="Z478" s="300"/>
      <c r="AA478" s="301"/>
      <c r="AB478" s="80"/>
      <c r="AC478" s="292"/>
      <c r="AD478" s="132"/>
      <c r="AE478" s="254"/>
      <c r="AF478" s="294"/>
      <c r="AG478" s="292"/>
      <c r="AH478" s="302"/>
      <c r="AI478" s="302"/>
      <c r="AJ478" s="302"/>
      <c r="AK478" s="292"/>
      <c r="AL478" s="82"/>
      <c r="AM478" s="82"/>
      <c r="AN478" s="82"/>
      <c r="AO478" s="292"/>
      <c r="AP478" s="82"/>
      <c r="AQ478" s="82"/>
      <c r="AR478" s="82"/>
      <c r="AS478" s="292"/>
      <c r="AT478" s="82"/>
      <c r="AU478" s="82"/>
      <c r="AV478" s="82"/>
    </row>
    <row r="479">
      <c r="A479" s="292"/>
      <c r="B479" s="132"/>
      <c r="C479" s="121"/>
      <c r="D479" s="82"/>
      <c r="E479" s="292"/>
      <c r="F479" s="132"/>
      <c r="G479" s="121"/>
      <c r="H479" s="82"/>
      <c r="I479" s="292"/>
      <c r="J479" s="132"/>
      <c r="K479" s="121"/>
      <c r="L479" s="82"/>
      <c r="M479" s="292"/>
      <c r="N479" s="132"/>
      <c r="O479" s="121"/>
      <c r="P479" s="82"/>
      <c r="Q479" s="292"/>
      <c r="R479" s="132"/>
      <c r="S479" s="121"/>
      <c r="T479" s="82"/>
      <c r="U479" s="292"/>
      <c r="V479" s="132"/>
      <c r="W479" s="121"/>
      <c r="X479" s="82"/>
      <c r="Y479" s="292"/>
      <c r="Z479" s="300"/>
      <c r="AA479" s="301"/>
      <c r="AB479" s="80"/>
      <c r="AC479" s="292"/>
      <c r="AD479" s="132"/>
      <c r="AE479" s="254"/>
      <c r="AF479" s="294"/>
      <c r="AG479" s="292"/>
      <c r="AH479" s="302"/>
      <c r="AI479" s="302"/>
      <c r="AJ479" s="302"/>
      <c r="AK479" s="292"/>
      <c r="AL479" s="82"/>
      <c r="AM479" s="82"/>
      <c r="AN479" s="82"/>
      <c r="AO479" s="292"/>
      <c r="AP479" s="82"/>
      <c r="AQ479" s="82"/>
      <c r="AR479" s="82"/>
      <c r="AS479" s="292"/>
      <c r="AT479" s="82"/>
      <c r="AU479" s="82"/>
      <c r="AV479" s="82"/>
    </row>
    <row r="480">
      <c r="A480" s="292"/>
      <c r="B480" s="132"/>
      <c r="C480" s="121"/>
      <c r="D480" s="82"/>
      <c r="E480" s="292"/>
      <c r="F480" s="132"/>
      <c r="G480" s="121"/>
      <c r="H480" s="82"/>
      <c r="I480" s="292"/>
      <c r="J480" s="132"/>
      <c r="K480" s="121"/>
      <c r="L480" s="82"/>
      <c r="M480" s="292"/>
      <c r="N480" s="132"/>
      <c r="O480" s="121"/>
      <c r="P480" s="82"/>
      <c r="Q480" s="292"/>
      <c r="R480" s="132"/>
      <c r="S480" s="121"/>
      <c r="T480" s="82"/>
      <c r="U480" s="292"/>
      <c r="V480" s="132"/>
      <c r="W480" s="121"/>
      <c r="X480" s="82"/>
      <c r="Y480" s="292"/>
      <c r="Z480" s="300"/>
      <c r="AA480" s="301"/>
      <c r="AB480" s="80"/>
      <c r="AC480" s="292"/>
      <c r="AD480" s="132"/>
      <c r="AE480" s="254"/>
      <c r="AF480" s="294"/>
      <c r="AG480" s="292"/>
      <c r="AH480" s="302"/>
      <c r="AI480" s="302"/>
      <c r="AJ480" s="302"/>
      <c r="AK480" s="292"/>
      <c r="AL480" s="82"/>
      <c r="AM480" s="82"/>
      <c r="AN480" s="82"/>
      <c r="AO480" s="292"/>
      <c r="AP480" s="82"/>
      <c r="AQ480" s="82"/>
      <c r="AR480" s="82"/>
      <c r="AS480" s="292"/>
      <c r="AT480" s="82"/>
      <c r="AU480" s="82"/>
      <c r="AV480" s="82"/>
    </row>
    <row r="481">
      <c r="A481" s="292"/>
      <c r="B481" s="132"/>
      <c r="C481" s="121"/>
      <c r="D481" s="82"/>
      <c r="E481" s="292"/>
      <c r="F481" s="132"/>
      <c r="G481" s="121"/>
      <c r="H481" s="82"/>
      <c r="I481" s="292"/>
      <c r="J481" s="132"/>
      <c r="K481" s="121"/>
      <c r="L481" s="82"/>
      <c r="M481" s="292"/>
      <c r="N481" s="132"/>
      <c r="O481" s="121"/>
      <c r="P481" s="82"/>
      <c r="Q481" s="292"/>
      <c r="R481" s="132"/>
      <c r="S481" s="121"/>
      <c r="T481" s="82"/>
      <c r="U481" s="292"/>
      <c r="V481" s="132"/>
      <c r="W481" s="121"/>
      <c r="X481" s="82"/>
      <c r="Y481" s="292"/>
      <c r="Z481" s="300"/>
      <c r="AA481" s="301"/>
      <c r="AB481" s="80"/>
      <c r="AC481" s="292"/>
      <c r="AD481" s="132"/>
      <c r="AE481" s="254"/>
      <c r="AF481" s="294"/>
      <c r="AG481" s="292"/>
      <c r="AH481" s="302"/>
      <c r="AI481" s="302"/>
      <c r="AJ481" s="302"/>
      <c r="AK481" s="292"/>
      <c r="AL481" s="82"/>
      <c r="AM481" s="82"/>
      <c r="AN481" s="82"/>
      <c r="AO481" s="292"/>
      <c r="AP481" s="82"/>
      <c r="AQ481" s="82"/>
      <c r="AR481" s="82"/>
      <c r="AS481" s="292"/>
      <c r="AT481" s="82"/>
      <c r="AU481" s="82"/>
      <c r="AV481" s="82"/>
    </row>
    <row r="482">
      <c r="A482" s="292"/>
      <c r="B482" s="132"/>
      <c r="C482" s="121"/>
      <c r="D482" s="82"/>
      <c r="E482" s="292"/>
      <c r="F482" s="132"/>
      <c r="G482" s="121"/>
      <c r="H482" s="82"/>
      <c r="I482" s="292"/>
      <c r="J482" s="132"/>
      <c r="K482" s="121"/>
      <c r="L482" s="82"/>
      <c r="M482" s="292"/>
      <c r="N482" s="132"/>
      <c r="O482" s="121"/>
      <c r="P482" s="82"/>
      <c r="Q482" s="292"/>
      <c r="R482" s="132"/>
      <c r="S482" s="121"/>
      <c r="T482" s="82"/>
      <c r="U482" s="292"/>
      <c r="V482" s="132"/>
      <c r="W482" s="121"/>
      <c r="X482" s="82"/>
      <c r="Y482" s="292"/>
      <c r="Z482" s="300"/>
      <c r="AA482" s="301"/>
      <c r="AB482" s="80"/>
      <c r="AC482" s="292"/>
      <c r="AD482" s="132"/>
      <c r="AE482" s="254"/>
      <c r="AF482" s="294"/>
      <c r="AG482" s="292"/>
      <c r="AH482" s="302"/>
      <c r="AI482" s="302"/>
      <c r="AJ482" s="302"/>
      <c r="AK482" s="292"/>
      <c r="AL482" s="82"/>
      <c r="AM482" s="82"/>
      <c r="AN482" s="82"/>
      <c r="AO482" s="292"/>
      <c r="AP482" s="82"/>
      <c r="AQ482" s="82"/>
      <c r="AR482" s="82"/>
      <c r="AS482" s="292"/>
      <c r="AT482" s="82"/>
      <c r="AU482" s="82"/>
      <c r="AV482" s="82"/>
    </row>
    <row r="483">
      <c r="A483" s="292"/>
      <c r="B483" s="132"/>
      <c r="C483" s="121"/>
      <c r="D483" s="82"/>
      <c r="E483" s="292"/>
      <c r="F483" s="132"/>
      <c r="G483" s="121"/>
      <c r="H483" s="82"/>
      <c r="I483" s="292"/>
      <c r="J483" s="132"/>
      <c r="K483" s="121"/>
      <c r="L483" s="82"/>
      <c r="M483" s="292"/>
      <c r="N483" s="132"/>
      <c r="O483" s="121"/>
      <c r="P483" s="82"/>
      <c r="Q483" s="292"/>
      <c r="R483" s="132"/>
      <c r="S483" s="121"/>
      <c r="T483" s="82"/>
      <c r="U483" s="292"/>
      <c r="V483" s="132"/>
      <c r="W483" s="121"/>
      <c r="X483" s="82"/>
      <c r="Y483" s="292"/>
      <c r="Z483" s="300"/>
      <c r="AA483" s="301"/>
      <c r="AB483" s="80"/>
      <c r="AC483" s="292"/>
      <c r="AD483" s="132"/>
      <c r="AE483" s="254"/>
      <c r="AF483" s="294"/>
      <c r="AG483" s="292"/>
      <c r="AH483" s="302"/>
      <c r="AI483" s="302"/>
      <c r="AJ483" s="302"/>
      <c r="AK483" s="292"/>
      <c r="AL483" s="82"/>
      <c r="AM483" s="82"/>
      <c r="AN483" s="82"/>
      <c r="AO483" s="292"/>
      <c r="AP483" s="82"/>
      <c r="AQ483" s="82"/>
      <c r="AR483" s="82"/>
      <c r="AS483" s="292"/>
      <c r="AT483" s="82"/>
      <c r="AU483" s="82"/>
      <c r="AV483" s="82"/>
    </row>
    <row r="484">
      <c r="A484" s="292"/>
      <c r="B484" s="132"/>
      <c r="C484" s="121"/>
      <c r="D484" s="82"/>
      <c r="E484" s="292"/>
      <c r="F484" s="132"/>
      <c r="G484" s="121"/>
      <c r="H484" s="82"/>
      <c r="I484" s="292"/>
      <c r="J484" s="132"/>
      <c r="K484" s="121"/>
      <c r="L484" s="82"/>
      <c r="M484" s="292"/>
      <c r="N484" s="132"/>
      <c r="O484" s="121"/>
      <c r="P484" s="82"/>
      <c r="Q484" s="292"/>
      <c r="R484" s="132"/>
      <c r="S484" s="121"/>
      <c r="T484" s="82"/>
      <c r="U484" s="292"/>
      <c r="V484" s="132"/>
      <c r="W484" s="121"/>
      <c r="X484" s="82"/>
      <c r="Y484" s="292"/>
      <c r="Z484" s="300"/>
      <c r="AA484" s="301"/>
      <c r="AB484" s="80"/>
      <c r="AC484" s="292"/>
      <c r="AD484" s="132"/>
      <c r="AE484" s="254"/>
      <c r="AF484" s="294"/>
      <c r="AG484" s="292"/>
      <c r="AH484" s="302"/>
      <c r="AI484" s="302"/>
      <c r="AJ484" s="302"/>
      <c r="AK484" s="292"/>
      <c r="AL484" s="82"/>
      <c r="AM484" s="82"/>
      <c r="AN484" s="82"/>
      <c r="AO484" s="292"/>
      <c r="AP484" s="82"/>
      <c r="AQ484" s="82"/>
      <c r="AR484" s="82"/>
      <c r="AS484" s="292"/>
      <c r="AT484" s="82"/>
      <c r="AU484" s="82"/>
      <c r="AV484" s="82"/>
    </row>
    <row r="485">
      <c r="A485" s="292"/>
      <c r="B485" s="132"/>
      <c r="C485" s="121"/>
      <c r="D485" s="82"/>
      <c r="E485" s="292"/>
      <c r="F485" s="132"/>
      <c r="G485" s="121"/>
      <c r="H485" s="82"/>
      <c r="I485" s="292"/>
      <c r="J485" s="132"/>
      <c r="K485" s="121"/>
      <c r="L485" s="82"/>
      <c r="M485" s="292"/>
      <c r="N485" s="132"/>
      <c r="O485" s="121"/>
      <c r="P485" s="82"/>
      <c r="Q485" s="292"/>
      <c r="R485" s="132"/>
      <c r="S485" s="121"/>
      <c r="T485" s="82"/>
      <c r="U485" s="292"/>
      <c r="V485" s="132"/>
      <c r="W485" s="121"/>
      <c r="X485" s="82"/>
      <c r="Y485" s="292"/>
      <c r="Z485" s="300"/>
      <c r="AA485" s="301"/>
      <c r="AB485" s="80"/>
      <c r="AC485" s="292"/>
      <c r="AD485" s="132"/>
      <c r="AE485" s="254"/>
      <c r="AF485" s="294"/>
      <c r="AG485" s="292"/>
      <c r="AH485" s="302"/>
      <c r="AI485" s="302"/>
      <c r="AJ485" s="302"/>
      <c r="AK485" s="292"/>
      <c r="AL485" s="82"/>
      <c r="AM485" s="82"/>
      <c r="AN485" s="82"/>
      <c r="AO485" s="292"/>
      <c r="AP485" s="82"/>
      <c r="AQ485" s="82"/>
      <c r="AR485" s="82"/>
      <c r="AS485" s="292"/>
      <c r="AT485" s="82"/>
      <c r="AU485" s="82"/>
      <c r="AV485" s="82"/>
    </row>
    <row r="486">
      <c r="A486" s="292"/>
      <c r="B486" s="132"/>
      <c r="C486" s="121"/>
      <c r="D486" s="82"/>
      <c r="E486" s="292"/>
      <c r="F486" s="132"/>
      <c r="G486" s="121"/>
      <c r="H486" s="82"/>
      <c r="I486" s="292"/>
      <c r="J486" s="132"/>
      <c r="K486" s="121"/>
      <c r="L486" s="82"/>
      <c r="M486" s="292"/>
      <c r="N486" s="132"/>
      <c r="O486" s="121"/>
      <c r="P486" s="82"/>
      <c r="Q486" s="292"/>
      <c r="R486" s="132"/>
      <c r="S486" s="121"/>
      <c r="T486" s="82"/>
      <c r="U486" s="292"/>
      <c r="V486" s="132"/>
      <c r="W486" s="121"/>
      <c r="X486" s="82"/>
      <c r="Y486" s="292"/>
      <c r="Z486" s="300"/>
      <c r="AA486" s="301"/>
      <c r="AB486" s="80"/>
      <c r="AC486" s="292"/>
      <c r="AD486" s="132"/>
      <c r="AE486" s="254"/>
      <c r="AF486" s="294"/>
      <c r="AG486" s="292"/>
      <c r="AH486" s="302"/>
      <c r="AI486" s="302"/>
      <c r="AJ486" s="302"/>
      <c r="AK486" s="292"/>
      <c r="AL486" s="82"/>
      <c r="AM486" s="82"/>
      <c r="AN486" s="82"/>
      <c r="AO486" s="292"/>
      <c r="AP486" s="82"/>
      <c r="AQ486" s="82"/>
      <c r="AR486" s="82"/>
      <c r="AS486" s="292"/>
      <c r="AT486" s="82"/>
      <c r="AU486" s="82"/>
      <c r="AV486" s="82"/>
    </row>
    <row r="487">
      <c r="A487" s="292"/>
      <c r="B487" s="132"/>
      <c r="C487" s="121"/>
      <c r="D487" s="82"/>
      <c r="E487" s="292"/>
      <c r="F487" s="132"/>
      <c r="G487" s="121"/>
      <c r="H487" s="82"/>
      <c r="I487" s="292"/>
      <c r="J487" s="132"/>
      <c r="K487" s="121"/>
      <c r="L487" s="82"/>
      <c r="M487" s="292"/>
      <c r="N487" s="132"/>
      <c r="O487" s="121"/>
      <c r="P487" s="82"/>
      <c r="Q487" s="292"/>
      <c r="R487" s="132"/>
      <c r="S487" s="121"/>
      <c r="T487" s="82"/>
      <c r="U487" s="292"/>
      <c r="V487" s="132"/>
      <c r="W487" s="121"/>
      <c r="X487" s="82"/>
      <c r="Y487" s="292"/>
      <c r="Z487" s="300"/>
      <c r="AA487" s="301"/>
      <c r="AB487" s="80"/>
      <c r="AC487" s="292"/>
      <c r="AD487" s="132"/>
      <c r="AE487" s="254"/>
      <c r="AF487" s="294"/>
      <c r="AG487" s="292"/>
      <c r="AH487" s="302"/>
      <c r="AI487" s="302"/>
      <c r="AJ487" s="302"/>
      <c r="AK487" s="292"/>
      <c r="AL487" s="82"/>
      <c r="AM487" s="82"/>
      <c r="AN487" s="82"/>
      <c r="AO487" s="292"/>
      <c r="AP487" s="82"/>
      <c r="AQ487" s="82"/>
      <c r="AR487" s="82"/>
      <c r="AS487" s="292"/>
      <c r="AT487" s="82"/>
      <c r="AU487" s="82"/>
      <c r="AV487" s="82"/>
    </row>
    <row r="488">
      <c r="A488" s="292"/>
      <c r="B488" s="132"/>
      <c r="C488" s="121"/>
      <c r="D488" s="82"/>
      <c r="E488" s="292"/>
      <c r="F488" s="132"/>
      <c r="G488" s="121"/>
      <c r="H488" s="82"/>
      <c r="I488" s="292"/>
      <c r="J488" s="132"/>
      <c r="K488" s="121"/>
      <c r="L488" s="82"/>
      <c r="M488" s="292"/>
      <c r="N488" s="132"/>
      <c r="O488" s="121"/>
      <c r="P488" s="82"/>
      <c r="Q488" s="292"/>
      <c r="R488" s="132"/>
      <c r="S488" s="121"/>
      <c r="T488" s="82"/>
      <c r="U488" s="292"/>
      <c r="V488" s="132"/>
      <c r="W488" s="121"/>
      <c r="X488" s="82"/>
      <c r="Y488" s="292"/>
      <c r="Z488" s="300"/>
      <c r="AA488" s="301"/>
      <c r="AB488" s="80"/>
      <c r="AC488" s="292"/>
      <c r="AD488" s="132"/>
      <c r="AE488" s="254"/>
      <c r="AF488" s="294"/>
      <c r="AG488" s="292"/>
      <c r="AH488" s="302"/>
      <c r="AI488" s="302"/>
      <c r="AJ488" s="302"/>
      <c r="AK488" s="292"/>
      <c r="AL488" s="82"/>
      <c r="AM488" s="82"/>
      <c r="AN488" s="82"/>
      <c r="AO488" s="292"/>
      <c r="AP488" s="82"/>
      <c r="AQ488" s="82"/>
      <c r="AR488" s="82"/>
      <c r="AS488" s="292"/>
      <c r="AT488" s="82"/>
      <c r="AU488" s="82"/>
      <c r="AV488" s="82"/>
    </row>
    <row r="489">
      <c r="A489" s="292"/>
      <c r="B489" s="132"/>
      <c r="C489" s="121"/>
      <c r="D489" s="82"/>
      <c r="E489" s="292"/>
      <c r="F489" s="132"/>
      <c r="G489" s="121"/>
      <c r="H489" s="82"/>
      <c r="I489" s="292"/>
      <c r="J489" s="132"/>
      <c r="K489" s="121"/>
      <c r="L489" s="82"/>
      <c r="M489" s="292"/>
      <c r="N489" s="132"/>
      <c r="O489" s="121"/>
      <c r="P489" s="82"/>
      <c r="Q489" s="292"/>
      <c r="R489" s="132"/>
      <c r="S489" s="121"/>
      <c r="T489" s="82"/>
      <c r="U489" s="292"/>
      <c r="V489" s="132"/>
      <c r="W489" s="121"/>
      <c r="X489" s="82"/>
      <c r="Y489" s="292"/>
      <c r="Z489" s="300"/>
      <c r="AA489" s="301"/>
      <c r="AB489" s="80"/>
      <c r="AC489" s="292"/>
      <c r="AD489" s="132"/>
      <c r="AE489" s="254"/>
      <c r="AF489" s="294"/>
      <c r="AG489" s="292"/>
      <c r="AH489" s="302"/>
      <c r="AI489" s="302"/>
      <c r="AJ489" s="302"/>
      <c r="AK489" s="292"/>
      <c r="AL489" s="82"/>
      <c r="AM489" s="82"/>
      <c r="AN489" s="82"/>
      <c r="AO489" s="292"/>
      <c r="AP489" s="82"/>
      <c r="AQ489" s="82"/>
      <c r="AR489" s="82"/>
      <c r="AS489" s="292"/>
      <c r="AT489" s="82"/>
      <c r="AU489" s="82"/>
      <c r="AV489" s="82"/>
    </row>
    <row r="490">
      <c r="A490" s="292"/>
      <c r="B490" s="132"/>
      <c r="C490" s="121"/>
      <c r="D490" s="82"/>
      <c r="E490" s="292"/>
      <c r="F490" s="132"/>
      <c r="G490" s="121"/>
      <c r="H490" s="82"/>
      <c r="I490" s="292"/>
      <c r="J490" s="132"/>
      <c r="K490" s="121"/>
      <c r="L490" s="82"/>
      <c r="M490" s="292"/>
      <c r="N490" s="132"/>
      <c r="O490" s="121"/>
      <c r="P490" s="82"/>
      <c r="Q490" s="292"/>
      <c r="R490" s="132"/>
      <c r="S490" s="121"/>
      <c r="T490" s="82"/>
      <c r="U490" s="292"/>
      <c r="V490" s="132"/>
      <c r="W490" s="121"/>
      <c r="X490" s="82"/>
      <c r="Y490" s="292"/>
      <c r="Z490" s="300"/>
      <c r="AA490" s="301"/>
      <c r="AB490" s="80"/>
      <c r="AC490" s="292"/>
      <c r="AD490" s="132"/>
      <c r="AE490" s="254"/>
      <c r="AF490" s="294"/>
      <c r="AG490" s="292"/>
      <c r="AH490" s="302"/>
      <c r="AI490" s="302"/>
      <c r="AJ490" s="302"/>
      <c r="AK490" s="292"/>
      <c r="AL490" s="82"/>
      <c r="AM490" s="82"/>
      <c r="AN490" s="82"/>
      <c r="AO490" s="292"/>
      <c r="AP490" s="82"/>
      <c r="AQ490" s="82"/>
      <c r="AR490" s="82"/>
      <c r="AS490" s="292"/>
      <c r="AT490" s="82"/>
      <c r="AU490" s="82"/>
      <c r="AV490" s="82"/>
    </row>
    <row r="491">
      <c r="A491" s="292"/>
      <c r="B491" s="132"/>
      <c r="C491" s="121"/>
      <c r="D491" s="82"/>
      <c r="E491" s="292"/>
      <c r="F491" s="132"/>
      <c r="G491" s="121"/>
      <c r="H491" s="82"/>
      <c r="I491" s="292"/>
      <c r="J491" s="132"/>
      <c r="K491" s="121"/>
      <c r="L491" s="82"/>
      <c r="M491" s="292"/>
      <c r="N491" s="132"/>
      <c r="O491" s="121"/>
      <c r="P491" s="82"/>
      <c r="Q491" s="292"/>
      <c r="R491" s="132"/>
      <c r="S491" s="121"/>
      <c r="T491" s="82"/>
      <c r="U491" s="292"/>
      <c r="V491" s="132"/>
      <c r="W491" s="121"/>
      <c r="X491" s="82"/>
      <c r="Y491" s="292"/>
      <c r="Z491" s="300"/>
      <c r="AA491" s="301"/>
      <c r="AB491" s="80"/>
      <c r="AC491" s="292"/>
      <c r="AD491" s="132"/>
      <c r="AE491" s="254"/>
      <c r="AF491" s="294"/>
      <c r="AG491" s="292"/>
      <c r="AH491" s="302"/>
      <c r="AI491" s="302"/>
      <c r="AJ491" s="302"/>
      <c r="AK491" s="292"/>
      <c r="AL491" s="82"/>
      <c r="AM491" s="82"/>
      <c r="AN491" s="82"/>
      <c r="AO491" s="292"/>
      <c r="AP491" s="82"/>
      <c r="AQ491" s="82"/>
      <c r="AR491" s="82"/>
      <c r="AS491" s="292"/>
      <c r="AT491" s="82"/>
      <c r="AU491" s="82"/>
      <c r="AV491" s="82"/>
    </row>
    <row r="492">
      <c r="A492" s="292"/>
      <c r="B492" s="132"/>
      <c r="C492" s="121"/>
      <c r="D492" s="82"/>
      <c r="E492" s="292"/>
      <c r="F492" s="132"/>
      <c r="G492" s="121"/>
      <c r="H492" s="82"/>
      <c r="I492" s="292"/>
      <c r="J492" s="132"/>
      <c r="K492" s="121"/>
      <c r="L492" s="82"/>
      <c r="M492" s="292"/>
      <c r="N492" s="132"/>
      <c r="O492" s="121"/>
      <c r="P492" s="82"/>
      <c r="Q492" s="292"/>
      <c r="R492" s="132"/>
      <c r="S492" s="121"/>
      <c r="T492" s="82"/>
      <c r="U492" s="292"/>
      <c r="V492" s="132"/>
      <c r="W492" s="121"/>
      <c r="X492" s="82"/>
      <c r="Y492" s="292"/>
      <c r="Z492" s="300"/>
      <c r="AA492" s="301"/>
      <c r="AB492" s="80"/>
      <c r="AC492" s="292"/>
      <c r="AD492" s="132"/>
      <c r="AE492" s="254"/>
      <c r="AF492" s="294"/>
      <c r="AG492" s="292"/>
      <c r="AH492" s="302"/>
      <c r="AI492" s="302"/>
      <c r="AJ492" s="302"/>
      <c r="AK492" s="292"/>
      <c r="AL492" s="82"/>
      <c r="AM492" s="82"/>
      <c r="AN492" s="82"/>
      <c r="AO492" s="292"/>
      <c r="AP492" s="82"/>
      <c r="AQ492" s="82"/>
      <c r="AR492" s="82"/>
      <c r="AS492" s="292"/>
      <c r="AT492" s="82"/>
      <c r="AU492" s="82"/>
      <c r="AV492" s="82"/>
    </row>
    <row r="493">
      <c r="A493" s="292"/>
      <c r="B493" s="132"/>
      <c r="C493" s="121"/>
      <c r="D493" s="82"/>
      <c r="E493" s="292"/>
      <c r="F493" s="132"/>
      <c r="G493" s="121"/>
      <c r="H493" s="82"/>
      <c r="I493" s="292"/>
      <c r="J493" s="132"/>
      <c r="K493" s="121"/>
      <c r="L493" s="82"/>
      <c r="M493" s="292"/>
      <c r="N493" s="132"/>
      <c r="O493" s="121"/>
      <c r="P493" s="82"/>
      <c r="Q493" s="292"/>
      <c r="R493" s="132"/>
      <c r="S493" s="121"/>
      <c r="T493" s="82"/>
      <c r="U493" s="292"/>
      <c r="V493" s="132"/>
      <c r="W493" s="121"/>
      <c r="X493" s="82"/>
      <c r="Y493" s="292"/>
      <c r="Z493" s="300"/>
      <c r="AA493" s="301"/>
      <c r="AB493" s="80"/>
      <c r="AC493" s="292"/>
      <c r="AD493" s="132"/>
      <c r="AE493" s="254"/>
      <c r="AF493" s="294"/>
      <c r="AG493" s="292"/>
      <c r="AH493" s="302"/>
      <c r="AI493" s="302"/>
      <c r="AJ493" s="302"/>
      <c r="AK493" s="292"/>
      <c r="AL493" s="82"/>
      <c r="AM493" s="82"/>
      <c r="AN493" s="82"/>
      <c r="AO493" s="292"/>
      <c r="AP493" s="82"/>
      <c r="AQ493" s="82"/>
      <c r="AR493" s="82"/>
      <c r="AS493" s="292"/>
      <c r="AT493" s="82"/>
      <c r="AU493" s="82"/>
      <c r="AV493" s="82"/>
    </row>
    <row r="494">
      <c r="A494" s="292"/>
      <c r="B494" s="132"/>
      <c r="C494" s="121"/>
      <c r="D494" s="82"/>
      <c r="E494" s="292"/>
      <c r="F494" s="132"/>
      <c r="G494" s="121"/>
      <c r="H494" s="82"/>
      <c r="I494" s="292"/>
      <c r="J494" s="132"/>
      <c r="K494" s="121"/>
      <c r="L494" s="82"/>
      <c r="M494" s="292"/>
      <c r="N494" s="132"/>
      <c r="O494" s="121"/>
      <c r="P494" s="82"/>
      <c r="Q494" s="292"/>
      <c r="R494" s="132"/>
      <c r="S494" s="121"/>
      <c r="T494" s="82"/>
      <c r="U494" s="292"/>
      <c r="V494" s="132"/>
      <c r="W494" s="121"/>
      <c r="X494" s="82"/>
      <c r="Y494" s="292"/>
      <c r="Z494" s="300"/>
      <c r="AA494" s="301"/>
      <c r="AB494" s="80"/>
      <c r="AC494" s="292"/>
      <c r="AD494" s="132"/>
      <c r="AE494" s="254"/>
      <c r="AF494" s="294"/>
      <c r="AG494" s="292"/>
      <c r="AH494" s="302"/>
      <c r="AI494" s="302"/>
      <c r="AJ494" s="302"/>
      <c r="AK494" s="292"/>
      <c r="AL494" s="82"/>
      <c r="AM494" s="82"/>
      <c r="AN494" s="82"/>
      <c r="AO494" s="292"/>
      <c r="AP494" s="82"/>
      <c r="AQ494" s="82"/>
      <c r="AR494" s="82"/>
      <c r="AS494" s="292"/>
      <c r="AT494" s="82"/>
      <c r="AU494" s="82"/>
      <c r="AV494" s="82"/>
    </row>
    <row r="495">
      <c r="A495" s="292"/>
      <c r="B495" s="132"/>
      <c r="C495" s="121"/>
      <c r="D495" s="82"/>
      <c r="E495" s="292"/>
      <c r="F495" s="132"/>
      <c r="G495" s="121"/>
      <c r="H495" s="82"/>
      <c r="I495" s="292"/>
      <c r="J495" s="132"/>
      <c r="K495" s="121"/>
      <c r="L495" s="82"/>
      <c r="M495" s="292"/>
      <c r="N495" s="132"/>
      <c r="O495" s="121"/>
      <c r="P495" s="82"/>
      <c r="Q495" s="292"/>
      <c r="R495" s="132"/>
      <c r="S495" s="121"/>
      <c r="T495" s="82"/>
      <c r="U495" s="292"/>
      <c r="V495" s="132"/>
      <c r="W495" s="121"/>
      <c r="X495" s="82"/>
      <c r="Y495" s="292"/>
      <c r="Z495" s="300"/>
      <c r="AA495" s="301"/>
      <c r="AB495" s="80"/>
      <c r="AC495" s="292"/>
      <c r="AD495" s="132"/>
      <c r="AE495" s="254"/>
      <c r="AF495" s="294"/>
      <c r="AG495" s="292"/>
      <c r="AH495" s="302"/>
      <c r="AI495" s="302"/>
      <c r="AJ495" s="302"/>
      <c r="AK495" s="292"/>
      <c r="AL495" s="82"/>
      <c r="AM495" s="82"/>
      <c r="AN495" s="82"/>
      <c r="AO495" s="292"/>
      <c r="AP495" s="82"/>
      <c r="AQ495" s="82"/>
      <c r="AR495" s="82"/>
      <c r="AS495" s="292"/>
      <c r="AT495" s="82"/>
      <c r="AU495" s="82"/>
      <c r="AV495" s="82"/>
    </row>
    <row r="496">
      <c r="A496" s="292"/>
      <c r="B496" s="132"/>
      <c r="C496" s="121"/>
      <c r="D496" s="82"/>
      <c r="E496" s="292"/>
      <c r="F496" s="132"/>
      <c r="G496" s="121"/>
      <c r="H496" s="82"/>
      <c r="I496" s="292"/>
      <c r="J496" s="132"/>
      <c r="K496" s="121"/>
      <c r="L496" s="82"/>
      <c r="M496" s="292"/>
      <c r="N496" s="132"/>
      <c r="O496" s="121"/>
      <c r="P496" s="82"/>
      <c r="Q496" s="292"/>
      <c r="R496" s="132"/>
      <c r="S496" s="121"/>
      <c r="T496" s="82"/>
      <c r="U496" s="292"/>
      <c r="V496" s="132"/>
      <c r="W496" s="121"/>
      <c r="X496" s="82"/>
      <c r="Y496" s="292"/>
      <c r="Z496" s="300"/>
      <c r="AA496" s="301"/>
      <c r="AB496" s="80"/>
      <c r="AC496" s="292"/>
      <c r="AD496" s="132"/>
      <c r="AE496" s="254"/>
      <c r="AF496" s="294"/>
      <c r="AG496" s="292"/>
      <c r="AH496" s="302"/>
      <c r="AI496" s="302"/>
      <c r="AJ496" s="302"/>
      <c r="AK496" s="292"/>
      <c r="AL496" s="82"/>
      <c r="AM496" s="82"/>
      <c r="AN496" s="82"/>
      <c r="AO496" s="292"/>
      <c r="AP496" s="82"/>
      <c r="AQ496" s="82"/>
      <c r="AR496" s="82"/>
      <c r="AS496" s="292"/>
      <c r="AT496" s="82"/>
      <c r="AU496" s="82"/>
      <c r="AV496" s="82"/>
    </row>
    <row r="497">
      <c r="A497" s="292"/>
      <c r="B497" s="132"/>
      <c r="C497" s="121"/>
      <c r="D497" s="82"/>
      <c r="E497" s="292"/>
      <c r="F497" s="132"/>
      <c r="G497" s="121"/>
      <c r="H497" s="82"/>
      <c r="I497" s="292"/>
      <c r="J497" s="132"/>
      <c r="K497" s="121"/>
      <c r="L497" s="82"/>
      <c r="M497" s="292"/>
      <c r="N497" s="132"/>
      <c r="O497" s="121"/>
      <c r="P497" s="82"/>
      <c r="Q497" s="292"/>
      <c r="R497" s="132"/>
      <c r="S497" s="121"/>
      <c r="T497" s="82"/>
      <c r="U497" s="292"/>
      <c r="V497" s="132"/>
      <c r="W497" s="121"/>
      <c r="X497" s="82"/>
      <c r="Y497" s="292"/>
      <c r="Z497" s="300"/>
      <c r="AA497" s="301"/>
      <c r="AB497" s="80"/>
      <c r="AC497" s="292"/>
      <c r="AD497" s="132"/>
      <c r="AE497" s="254"/>
      <c r="AF497" s="294"/>
      <c r="AG497" s="292"/>
      <c r="AH497" s="302"/>
      <c r="AI497" s="302"/>
      <c r="AJ497" s="302"/>
      <c r="AK497" s="292"/>
      <c r="AL497" s="82"/>
      <c r="AM497" s="82"/>
      <c r="AN497" s="82"/>
      <c r="AO497" s="292"/>
      <c r="AP497" s="82"/>
      <c r="AQ497" s="82"/>
      <c r="AR497" s="82"/>
      <c r="AS497" s="292"/>
      <c r="AT497" s="82"/>
      <c r="AU497" s="82"/>
      <c r="AV497" s="82"/>
    </row>
    <row r="498">
      <c r="A498" s="292"/>
      <c r="B498" s="132"/>
      <c r="C498" s="121"/>
      <c r="D498" s="82"/>
      <c r="E498" s="292"/>
      <c r="F498" s="132"/>
      <c r="G498" s="121"/>
      <c r="H498" s="82"/>
      <c r="I498" s="292"/>
      <c r="J498" s="132"/>
      <c r="K498" s="121"/>
      <c r="L498" s="82"/>
      <c r="M498" s="292"/>
      <c r="N498" s="132"/>
      <c r="O498" s="121"/>
      <c r="P498" s="82"/>
      <c r="Q498" s="292"/>
      <c r="R498" s="132"/>
      <c r="S498" s="121"/>
      <c r="T498" s="82"/>
      <c r="U498" s="292"/>
      <c r="V498" s="132"/>
      <c r="W498" s="121"/>
      <c r="X498" s="82"/>
      <c r="Y498" s="292"/>
      <c r="Z498" s="300"/>
      <c r="AA498" s="301"/>
      <c r="AB498" s="80"/>
      <c r="AC498" s="292"/>
      <c r="AD498" s="132"/>
      <c r="AE498" s="254"/>
      <c r="AF498" s="294"/>
      <c r="AG498" s="292"/>
      <c r="AH498" s="302"/>
      <c r="AI498" s="302"/>
      <c r="AJ498" s="302"/>
      <c r="AK498" s="292"/>
      <c r="AL498" s="82"/>
      <c r="AM498" s="82"/>
      <c r="AN498" s="82"/>
      <c r="AO498" s="292"/>
      <c r="AP498" s="82"/>
      <c r="AQ498" s="82"/>
      <c r="AR498" s="82"/>
      <c r="AS498" s="292"/>
      <c r="AT498" s="82"/>
      <c r="AU498" s="82"/>
      <c r="AV498" s="82"/>
    </row>
    <row r="499">
      <c r="A499" s="292"/>
      <c r="B499" s="132"/>
      <c r="C499" s="121"/>
      <c r="D499" s="82"/>
      <c r="E499" s="292"/>
      <c r="F499" s="132"/>
      <c r="G499" s="121"/>
      <c r="H499" s="82"/>
      <c r="I499" s="292"/>
      <c r="J499" s="132"/>
      <c r="K499" s="121"/>
      <c r="L499" s="82"/>
      <c r="M499" s="292"/>
      <c r="N499" s="132"/>
      <c r="O499" s="121"/>
      <c r="P499" s="82"/>
      <c r="Q499" s="292"/>
      <c r="R499" s="132"/>
      <c r="S499" s="121"/>
      <c r="T499" s="82"/>
      <c r="U499" s="292"/>
      <c r="V499" s="132"/>
      <c r="W499" s="121"/>
      <c r="X499" s="82"/>
      <c r="Y499" s="292"/>
      <c r="Z499" s="300"/>
      <c r="AA499" s="301"/>
      <c r="AB499" s="80"/>
      <c r="AC499" s="292"/>
      <c r="AD499" s="132"/>
      <c r="AE499" s="254"/>
      <c r="AF499" s="294"/>
      <c r="AG499" s="292"/>
      <c r="AH499" s="302"/>
      <c r="AI499" s="302"/>
      <c r="AJ499" s="302"/>
      <c r="AK499" s="292"/>
      <c r="AL499" s="82"/>
      <c r="AM499" s="82"/>
      <c r="AN499" s="82"/>
      <c r="AO499" s="292"/>
      <c r="AP499" s="82"/>
      <c r="AQ499" s="82"/>
      <c r="AR499" s="82"/>
      <c r="AS499" s="292"/>
      <c r="AT499" s="82"/>
      <c r="AU499" s="82"/>
      <c r="AV499" s="82"/>
    </row>
    <row r="500">
      <c r="A500" s="292"/>
      <c r="B500" s="132"/>
      <c r="C500" s="121"/>
      <c r="D500" s="82"/>
      <c r="E500" s="292"/>
      <c r="F500" s="132"/>
      <c r="G500" s="121"/>
      <c r="H500" s="82"/>
      <c r="I500" s="292"/>
      <c r="J500" s="132"/>
      <c r="K500" s="121"/>
      <c r="L500" s="82"/>
      <c r="M500" s="292"/>
      <c r="N500" s="132"/>
      <c r="O500" s="121"/>
      <c r="P500" s="82"/>
      <c r="Q500" s="292"/>
      <c r="R500" s="132"/>
      <c r="S500" s="121"/>
      <c r="T500" s="82"/>
      <c r="U500" s="292"/>
      <c r="V500" s="132"/>
      <c r="W500" s="121"/>
      <c r="X500" s="82"/>
      <c r="Y500" s="292"/>
      <c r="Z500" s="300"/>
      <c r="AA500" s="301"/>
      <c r="AB500" s="80"/>
      <c r="AC500" s="292"/>
      <c r="AD500" s="132"/>
      <c r="AE500" s="254"/>
      <c r="AF500" s="294"/>
      <c r="AG500" s="292"/>
      <c r="AH500" s="302"/>
      <c r="AI500" s="302"/>
      <c r="AJ500" s="302"/>
      <c r="AK500" s="292"/>
      <c r="AL500" s="82"/>
      <c r="AM500" s="82"/>
      <c r="AN500" s="82"/>
      <c r="AO500" s="292"/>
      <c r="AP500" s="82"/>
      <c r="AQ500" s="82"/>
      <c r="AR500" s="82"/>
      <c r="AS500" s="292"/>
      <c r="AT500" s="82"/>
      <c r="AU500" s="82"/>
      <c r="AV500" s="82"/>
    </row>
    <row r="501">
      <c r="A501" s="292"/>
      <c r="B501" s="132"/>
      <c r="C501" s="121"/>
      <c r="D501" s="82"/>
      <c r="E501" s="292"/>
      <c r="F501" s="132"/>
      <c r="G501" s="121"/>
      <c r="H501" s="82"/>
      <c r="I501" s="292"/>
      <c r="J501" s="132"/>
      <c r="K501" s="121"/>
      <c r="L501" s="82"/>
      <c r="M501" s="292"/>
      <c r="N501" s="132"/>
      <c r="O501" s="121"/>
      <c r="P501" s="82"/>
      <c r="Q501" s="292"/>
      <c r="R501" s="132"/>
      <c r="S501" s="121"/>
      <c r="T501" s="82"/>
      <c r="U501" s="292"/>
      <c r="V501" s="132"/>
      <c r="W501" s="121"/>
      <c r="X501" s="82"/>
      <c r="Y501" s="292"/>
      <c r="Z501" s="300"/>
      <c r="AA501" s="301"/>
      <c r="AB501" s="80"/>
      <c r="AC501" s="292"/>
      <c r="AD501" s="132"/>
      <c r="AE501" s="254"/>
      <c r="AF501" s="294"/>
      <c r="AG501" s="292"/>
      <c r="AH501" s="302"/>
      <c r="AI501" s="302"/>
      <c r="AJ501" s="302"/>
      <c r="AK501" s="292"/>
      <c r="AL501" s="82"/>
      <c r="AM501" s="82"/>
      <c r="AN501" s="82"/>
      <c r="AO501" s="292"/>
      <c r="AP501" s="82"/>
      <c r="AQ501" s="82"/>
      <c r="AR501" s="82"/>
      <c r="AS501" s="292"/>
      <c r="AT501" s="82"/>
      <c r="AU501" s="82"/>
      <c r="AV501" s="82"/>
    </row>
    <row r="502">
      <c r="A502" s="292"/>
      <c r="B502" s="132"/>
      <c r="C502" s="121"/>
      <c r="D502" s="82"/>
      <c r="E502" s="292"/>
      <c r="F502" s="132"/>
      <c r="G502" s="121"/>
      <c r="H502" s="82"/>
      <c r="I502" s="292"/>
      <c r="J502" s="132"/>
      <c r="K502" s="121"/>
      <c r="L502" s="82"/>
      <c r="M502" s="292"/>
      <c r="N502" s="132"/>
      <c r="O502" s="121"/>
      <c r="P502" s="82"/>
      <c r="Q502" s="292"/>
      <c r="R502" s="132"/>
      <c r="S502" s="121"/>
      <c r="T502" s="82"/>
      <c r="U502" s="292"/>
      <c r="V502" s="132"/>
      <c r="W502" s="121"/>
      <c r="X502" s="82"/>
      <c r="Y502" s="292"/>
      <c r="Z502" s="300"/>
      <c r="AA502" s="301"/>
      <c r="AB502" s="80"/>
      <c r="AC502" s="292"/>
      <c r="AD502" s="132"/>
      <c r="AE502" s="254"/>
      <c r="AF502" s="294"/>
      <c r="AG502" s="292"/>
      <c r="AH502" s="302"/>
      <c r="AI502" s="302"/>
      <c r="AJ502" s="302"/>
      <c r="AK502" s="292"/>
      <c r="AL502" s="82"/>
      <c r="AM502" s="82"/>
      <c r="AN502" s="82"/>
      <c r="AO502" s="292"/>
      <c r="AP502" s="82"/>
      <c r="AQ502" s="82"/>
      <c r="AR502" s="82"/>
      <c r="AS502" s="292"/>
      <c r="AT502" s="82"/>
      <c r="AU502" s="82"/>
      <c r="AV502" s="82"/>
    </row>
    <row r="503">
      <c r="A503" s="292"/>
      <c r="B503" s="132"/>
      <c r="C503" s="121"/>
      <c r="D503" s="82"/>
      <c r="E503" s="292"/>
      <c r="F503" s="132"/>
      <c r="G503" s="121"/>
      <c r="H503" s="82"/>
      <c r="I503" s="292"/>
      <c r="J503" s="132"/>
      <c r="K503" s="121"/>
      <c r="L503" s="82"/>
      <c r="M503" s="292"/>
      <c r="N503" s="132"/>
      <c r="O503" s="121"/>
      <c r="P503" s="82"/>
      <c r="Q503" s="292"/>
      <c r="R503" s="132"/>
      <c r="S503" s="121"/>
      <c r="T503" s="82"/>
      <c r="U503" s="292"/>
      <c r="V503" s="132"/>
      <c r="W503" s="121"/>
      <c r="X503" s="82"/>
      <c r="Y503" s="292"/>
      <c r="Z503" s="300"/>
      <c r="AA503" s="301"/>
      <c r="AB503" s="80"/>
      <c r="AC503" s="292"/>
      <c r="AD503" s="132"/>
      <c r="AE503" s="254"/>
      <c r="AF503" s="294"/>
      <c r="AG503" s="292"/>
      <c r="AH503" s="302"/>
      <c r="AI503" s="302"/>
      <c r="AJ503" s="302"/>
      <c r="AK503" s="292"/>
      <c r="AL503" s="82"/>
      <c r="AM503" s="82"/>
      <c r="AN503" s="82"/>
      <c r="AO503" s="292"/>
      <c r="AP503" s="82"/>
      <c r="AQ503" s="82"/>
      <c r="AR503" s="82"/>
      <c r="AS503" s="292"/>
      <c r="AT503" s="82"/>
      <c r="AU503" s="82"/>
      <c r="AV503" s="82"/>
    </row>
    <row r="504">
      <c r="A504" s="292"/>
      <c r="B504" s="132"/>
      <c r="C504" s="121"/>
      <c r="D504" s="82"/>
      <c r="E504" s="292"/>
      <c r="F504" s="132"/>
      <c r="G504" s="121"/>
      <c r="H504" s="82"/>
      <c r="I504" s="292"/>
      <c r="J504" s="132"/>
      <c r="K504" s="121"/>
      <c r="L504" s="82"/>
      <c r="M504" s="292"/>
      <c r="N504" s="132"/>
      <c r="O504" s="121"/>
      <c r="P504" s="82"/>
      <c r="Q504" s="292"/>
      <c r="R504" s="132"/>
      <c r="S504" s="121"/>
      <c r="T504" s="82"/>
      <c r="U504" s="292"/>
      <c r="V504" s="132"/>
      <c r="W504" s="121"/>
      <c r="X504" s="82"/>
      <c r="Y504" s="292"/>
      <c r="Z504" s="300"/>
      <c r="AA504" s="301"/>
      <c r="AB504" s="80"/>
      <c r="AC504" s="292"/>
      <c r="AD504" s="132"/>
      <c r="AE504" s="254"/>
      <c r="AF504" s="294"/>
      <c r="AG504" s="292"/>
      <c r="AH504" s="302"/>
      <c r="AI504" s="302"/>
      <c r="AJ504" s="302"/>
      <c r="AK504" s="292"/>
      <c r="AL504" s="82"/>
      <c r="AM504" s="82"/>
      <c r="AN504" s="82"/>
      <c r="AO504" s="292"/>
      <c r="AP504" s="82"/>
      <c r="AQ504" s="82"/>
      <c r="AR504" s="82"/>
      <c r="AS504" s="292"/>
      <c r="AT504" s="82"/>
      <c r="AU504" s="82"/>
      <c r="AV504" s="82"/>
    </row>
    <row r="505">
      <c r="A505" s="292"/>
      <c r="B505" s="132"/>
      <c r="C505" s="121"/>
      <c r="D505" s="82"/>
      <c r="E505" s="292"/>
      <c r="F505" s="132"/>
      <c r="G505" s="121"/>
      <c r="H505" s="82"/>
      <c r="I505" s="292"/>
      <c r="J505" s="132"/>
      <c r="K505" s="121"/>
      <c r="L505" s="82"/>
      <c r="M505" s="292"/>
      <c r="N505" s="132"/>
      <c r="O505" s="121"/>
      <c r="P505" s="82"/>
      <c r="Q505" s="292"/>
      <c r="R505" s="132"/>
      <c r="S505" s="121"/>
      <c r="T505" s="82"/>
      <c r="U505" s="292"/>
      <c r="V505" s="132"/>
      <c r="W505" s="121"/>
      <c r="X505" s="82"/>
      <c r="Y505" s="292"/>
      <c r="Z505" s="300"/>
      <c r="AA505" s="301"/>
      <c r="AB505" s="80"/>
      <c r="AC505" s="292"/>
      <c r="AD505" s="132"/>
      <c r="AE505" s="254"/>
      <c r="AF505" s="294"/>
      <c r="AG505" s="292"/>
      <c r="AH505" s="302"/>
      <c r="AI505" s="302"/>
      <c r="AJ505" s="302"/>
      <c r="AK505" s="292"/>
      <c r="AL505" s="82"/>
      <c r="AM505" s="82"/>
      <c r="AN505" s="82"/>
      <c r="AO505" s="292"/>
      <c r="AP505" s="82"/>
      <c r="AQ505" s="82"/>
      <c r="AR505" s="82"/>
      <c r="AS505" s="292"/>
      <c r="AT505" s="82"/>
      <c r="AU505" s="82"/>
      <c r="AV505" s="82"/>
    </row>
    <row r="506">
      <c r="A506" s="292"/>
      <c r="B506" s="132"/>
      <c r="C506" s="121"/>
      <c r="D506" s="82"/>
      <c r="E506" s="292"/>
      <c r="F506" s="132"/>
      <c r="G506" s="121"/>
      <c r="H506" s="82"/>
      <c r="I506" s="292"/>
      <c r="J506" s="132"/>
      <c r="K506" s="121"/>
      <c r="L506" s="82"/>
      <c r="M506" s="292"/>
      <c r="N506" s="132"/>
      <c r="O506" s="121"/>
      <c r="P506" s="82"/>
      <c r="Q506" s="292"/>
      <c r="R506" s="132"/>
      <c r="S506" s="121"/>
      <c r="T506" s="82"/>
      <c r="U506" s="292"/>
      <c r="V506" s="132"/>
      <c r="W506" s="121"/>
      <c r="X506" s="82"/>
      <c r="Y506" s="292"/>
      <c r="Z506" s="300"/>
      <c r="AA506" s="301"/>
      <c r="AB506" s="80"/>
      <c r="AC506" s="292"/>
      <c r="AD506" s="132"/>
      <c r="AE506" s="254"/>
      <c r="AF506" s="294"/>
      <c r="AG506" s="292"/>
      <c r="AH506" s="302"/>
      <c r="AI506" s="302"/>
      <c r="AJ506" s="302"/>
      <c r="AK506" s="292"/>
      <c r="AL506" s="82"/>
      <c r="AM506" s="82"/>
      <c r="AN506" s="82"/>
      <c r="AO506" s="292"/>
      <c r="AP506" s="82"/>
      <c r="AQ506" s="82"/>
      <c r="AR506" s="82"/>
      <c r="AS506" s="292"/>
      <c r="AT506" s="82"/>
      <c r="AU506" s="82"/>
      <c r="AV506" s="82"/>
    </row>
    <row r="507">
      <c r="A507" s="292"/>
      <c r="B507" s="132"/>
      <c r="C507" s="121"/>
      <c r="D507" s="82"/>
      <c r="E507" s="292"/>
      <c r="F507" s="132"/>
      <c r="G507" s="121"/>
      <c r="H507" s="82"/>
      <c r="I507" s="292"/>
      <c r="J507" s="132"/>
      <c r="K507" s="121"/>
      <c r="L507" s="82"/>
      <c r="M507" s="292"/>
      <c r="N507" s="132"/>
      <c r="O507" s="121"/>
      <c r="P507" s="82"/>
      <c r="Q507" s="292"/>
      <c r="R507" s="132"/>
      <c r="S507" s="121"/>
      <c r="T507" s="82"/>
      <c r="U507" s="292"/>
      <c r="V507" s="132"/>
      <c r="W507" s="121"/>
      <c r="X507" s="82"/>
      <c r="Y507" s="292"/>
      <c r="Z507" s="300"/>
      <c r="AA507" s="301"/>
      <c r="AB507" s="80"/>
      <c r="AC507" s="292"/>
      <c r="AD507" s="132"/>
      <c r="AE507" s="254"/>
      <c r="AF507" s="294"/>
      <c r="AG507" s="292"/>
      <c r="AH507" s="302"/>
      <c r="AI507" s="302"/>
      <c r="AJ507" s="302"/>
      <c r="AK507" s="292"/>
      <c r="AL507" s="82"/>
      <c r="AM507" s="82"/>
      <c r="AN507" s="82"/>
      <c r="AO507" s="292"/>
      <c r="AP507" s="82"/>
      <c r="AQ507" s="82"/>
      <c r="AR507" s="82"/>
      <c r="AS507" s="292"/>
      <c r="AT507" s="82"/>
      <c r="AU507" s="82"/>
      <c r="AV507" s="82"/>
    </row>
    <row r="508">
      <c r="A508" s="292"/>
      <c r="B508" s="132"/>
      <c r="C508" s="121"/>
      <c r="D508" s="82"/>
      <c r="E508" s="292"/>
      <c r="F508" s="132"/>
      <c r="G508" s="121"/>
      <c r="H508" s="82"/>
      <c r="I508" s="292"/>
      <c r="J508" s="132"/>
      <c r="K508" s="121"/>
      <c r="L508" s="82"/>
      <c r="M508" s="292"/>
      <c r="N508" s="132"/>
      <c r="O508" s="121"/>
      <c r="P508" s="82"/>
      <c r="Q508" s="292"/>
      <c r="R508" s="132"/>
      <c r="S508" s="121"/>
      <c r="T508" s="82"/>
      <c r="U508" s="292"/>
      <c r="V508" s="132"/>
      <c r="W508" s="121"/>
      <c r="X508" s="82"/>
      <c r="Y508" s="292"/>
      <c r="Z508" s="300"/>
      <c r="AA508" s="301"/>
      <c r="AB508" s="80"/>
      <c r="AC508" s="292"/>
      <c r="AD508" s="132"/>
      <c r="AE508" s="254"/>
      <c r="AF508" s="294"/>
      <c r="AG508" s="292"/>
      <c r="AH508" s="302"/>
      <c r="AI508" s="302"/>
      <c r="AJ508" s="302"/>
      <c r="AK508" s="292"/>
      <c r="AL508" s="82"/>
      <c r="AM508" s="82"/>
      <c r="AN508" s="82"/>
      <c r="AO508" s="292"/>
      <c r="AP508" s="82"/>
      <c r="AQ508" s="82"/>
      <c r="AR508" s="82"/>
      <c r="AS508" s="292"/>
      <c r="AT508" s="82"/>
      <c r="AU508" s="82"/>
      <c r="AV508" s="82"/>
    </row>
    <row r="509">
      <c r="A509" s="292"/>
      <c r="B509" s="132"/>
      <c r="C509" s="121"/>
      <c r="D509" s="82"/>
      <c r="E509" s="292"/>
      <c r="F509" s="132"/>
      <c r="G509" s="121"/>
      <c r="H509" s="82"/>
      <c r="I509" s="292"/>
      <c r="J509" s="132"/>
      <c r="K509" s="121"/>
      <c r="L509" s="82"/>
      <c r="M509" s="292"/>
      <c r="N509" s="132"/>
      <c r="O509" s="121"/>
      <c r="P509" s="82"/>
      <c r="Q509" s="292"/>
      <c r="R509" s="132"/>
      <c r="S509" s="121"/>
      <c r="T509" s="82"/>
      <c r="U509" s="292"/>
      <c r="V509" s="132"/>
      <c r="W509" s="121"/>
      <c r="X509" s="82"/>
      <c r="Y509" s="292"/>
      <c r="Z509" s="300"/>
      <c r="AA509" s="301"/>
      <c r="AB509" s="80"/>
      <c r="AC509" s="292"/>
      <c r="AD509" s="132"/>
      <c r="AE509" s="254"/>
      <c r="AF509" s="294"/>
      <c r="AG509" s="292"/>
      <c r="AH509" s="302"/>
      <c r="AI509" s="302"/>
      <c r="AJ509" s="302"/>
      <c r="AK509" s="292"/>
      <c r="AL509" s="82"/>
      <c r="AM509" s="82"/>
      <c r="AN509" s="82"/>
      <c r="AO509" s="292"/>
      <c r="AP509" s="82"/>
      <c r="AQ509" s="82"/>
      <c r="AR509" s="82"/>
      <c r="AS509" s="292"/>
      <c r="AT509" s="82"/>
      <c r="AU509" s="82"/>
      <c r="AV509" s="82"/>
    </row>
    <row r="510">
      <c r="A510" s="292"/>
      <c r="B510" s="132"/>
      <c r="C510" s="121"/>
      <c r="D510" s="82"/>
      <c r="E510" s="292"/>
      <c r="F510" s="132"/>
      <c r="G510" s="121"/>
      <c r="H510" s="82"/>
      <c r="I510" s="292"/>
      <c r="J510" s="132"/>
      <c r="K510" s="121"/>
      <c r="L510" s="82"/>
      <c r="M510" s="292"/>
      <c r="N510" s="132"/>
      <c r="O510" s="121"/>
      <c r="P510" s="82"/>
      <c r="Q510" s="292"/>
      <c r="R510" s="132"/>
      <c r="S510" s="121"/>
      <c r="T510" s="82"/>
      <c r="U510" s="292"/>
      <c r="V510" s="132"/>
      <c r="W510" s="121"/>
      <c r="X510" s="82"/>
      <c r="Y510" s="292"/>
      <c r="Z510" s="300"/>
      <c r="AA510" s="301"/>
      <c r="AB510" s="80"/>
      <c r="AC510" s="292"/>
      <c r="AD510" s="132"/>
      <c r="AE510" s="254"/>
      <c r="AF510" s="294"/>
      <c r="AG510" s="292"/>
      <c r="AH510" s="302"/>
      <c r="AI510" s="302"/>
      <c r="AJ510" s="302"/>
      <c r="AK510" s="292"/>
      <c r="AL510" s="82"/>
      <c r="AM510" s="82"/>
      <c r="AN510" s="82"/>
      <c r="AO510" s="292"/>
      <c r="AP510" s="82"/>
      <c r="AQ510" s="82"/>
      <c r="AR510" s="82"/>
      <c r="AS510" s="292"/>
      <c r="AT510" s="82"/>
      <c r="AU510" s="82"/>
      <c r="AV510" s="82"/>
    </row>
    <row r="511">
      <c r="A511" s="292"/>
      <c r="B511" s="132"/>
      <c r="C511" s="121"/>
      <c r="D511" s="82"/>
      <c r="E511" s="292"/>
      <c r="F511" s="132"/>
      <c r="G511" s="121"/>
      <c r="H511" s="82"/>
      <c r="I511" s="292"/>
      <c r="J511" s="132"/>
      <c r="K511" s="121"/>
      <c r="L511" s="82"/>
      <c r="M511" s="292"/>
      <c r="N511" s="132"/>
      <c r="O511" s="121"/>
      <c r="P511" s="82"/>
      <c r="Q511" s="292"/>
      <c r="R511" s="132"/>
      <c r="S511" s="121"/>
      <c r="T511" s="82"/>
      <c r="U511" s="292"/>
      <c r="V511" s="132"/>
      <c r="W511" s="121"/>
      <c r="X511" s="82"/>
      <c r="Y511" s="292"/>
      <c r="Z511" s="300"/>
      <c r="AA511" s="301"/>
      <c r="AB511" s="80"/>
      <c r="AC511" s="292"/>
      <c r="AD511" s="132"/>
      <c r="AE511" s="254"/>
      <c r="AF511" s="294"/>
      <c r="AG511" s="292"/>
      <c r="AH511" s="302"/>
      <c r="AI511" s="302"/>
      <c r="AJ511" s="302"/>
      <c r="AK511" s="292"/>
      <c r="AL511" s="82"/>
      <c r="AM511" s="82"/>
      <c r="AN511" s="82"/>
      <c r="AO511" s="292"/>
      <c r="AP511" s="82"/>
      <c r="AQ511" s="82"/>
      <c r="AR511" s="82"/>
      <c r="AS511" s="292"/>
      <c r="AT511" s="82"/>
      <c r="AU511" s="82"/>
      <c r="AV511" s="82"/>
    </row>
    <row r="512">
      <c r="A512" s="292"/>
      <c r="B512" s="132"/>
      <c r="C512" s="121"/>
      <c r="D512" s="82"/>
      <c r="E512" s="292"/>
      <c r="F512" s="132"/>
      <c r="G512" s="121"/>
      <c r="H512" s="82"/>
      <c r="I512" s="292"/>
      <c r="J512" s="132"/>
      <c r="K512" s="121"/>
      <c r="L512" s="82"/>
      <c r="M512" s="292"/>
      <c r="N512" s="132"/>
      <c r="O512" s="121"/>
      <c r="P512" s="82"/>
      <c r="Q512" s="292"/>
      <c r="R512" s="132"/>
      <c r="S512" s="121"/>
      <c r="T512" s="82"/>
      <c r="U512" s="292"/>
      <c r="V512" s="132"/>
      <c r="W512" s="121"/>
      <c r="X512" s="82"/>
      <c r="Y512" s="292"/>
      <c r="Z512" s="300"/>
      <c r="AA512" s="301"/>
      <c r="AB512" s="80"/>
      <c r="AC512" s="292"/>
      <c r="AD512" s="132"/>
      <c r="AE512" s="254"/>
      <c r="AF512" s="294"/>
      <c r="AG512" s="292"/>
      <c r="AH512" s="302"/>
      <c r="AI512" s="302"/>
      <c r="AJ512" s="302"/>
      <c r="AK512" s="292"/>
      <c r="AL512" s="82"/>
      <c r="AM512" s="82"/>
      <c r="AN512" s="82"/>
      <c r="AO512" s="292"/>
      <c r="AP512" s="82"/>
      <c r="AQ512" s="82"/>
      <c r="AR512" s="82"/>
      <c r="AS512" s="292"/>
      <c r="AT512" s="82"/>
      <c r="AU512" s="82"/>
      <c r="AV512" s="82"/>
    </row>
    <row r="513">
      <c r="A513" s="292"/>
      <c r="B513" s="132"/>
      <c r="C513" s="121"/>
      <c r="D513" s="82"/>
      <c r="E513" s="292"/>
      <c r="F513" s="132"/>
      <c r="G513" s="121"/>
      <c r="H513" s="82"/>
      <c r="I513" s="292"/>
      <c r="J513" s="132"/>
      <c r="K513" s="121"/>
      <c r="L513" s="82"/>
      <c r="M513" s="292"/>
      <c r="N513" s="132"/>
      <c r="O513" s="121"/>
      <c r="P513" s="82"/>
      <c r="Q513" s="292"/>
      <c r="R513" s="132"/>
      <c r="S513" s="121"/>
      <c r="T513" s="82"/>
      <c r="U513" s="292"/>
      <c r="V513" s="132"/>
      <c r="W513" s="121"/>
      <c r="X513" s="82"/>
      <c r="Y513" s="292"/>
      <c r="Z513" s="300"/>
      <c r="AA513" s="301"/>
      <c r="AB513" s="80"/>
      <c r="AC513" s="292"/>
      <c r="AD513" s="132"/>
      <c r="AE513" s="254"/>
      <c r="AF513" s="294"/>
      <c r="AG513" s="292"/>
      <c r="AH513" s="302"/>
      <c r="AI513" s="302"/>
      <c r="AJ513" s="302"/>
      <c r="AK513" s="292"/>
      <c r="AL513" s="82"/>
      <c r="AM513" s="82"/>
      <c r="AN513" s="82"/>
      <c r="AO513" s="292"/>
      <c r="AP513" s="82"/>
      <c r="AQ513" s="82"/>
      <c r="AR513" s="82"/>
      <c r="AS513" s="292"/>
      <c r="AT513" s="82"/>
      <c r="AU513" s="82"/>
      <c r="AV513" s="82"/>
    </row>
    <row r="514">
      <c r="A514" s="292"/>
      <c r="B514" s="132"/>
      <c r="C514" s="121"/>
      <c r="D514" s="82"/>
      <c r="E514" s="292"/>
      <c r="F514" s="132"/>
      <c r="G514" s="121"/>
      <c r="H514" s="82"/>
      <c r="I514" s="292"/>
      <c r="J514" s="132"/>
      <c r="K514" s="121"/>
      <c r="L514" s="82"/>
      <c r="M514" s="292"/>
      <c r="N514" s="132"/>
      <c r="O514" s="121"/>
      <c r="P514" s="82"/>
      <c r="Q514" s="292"/>
      <c r="R514" s="132"/>
      <c r="S514" s="121"/>
      <c r="T514" s="82"/>
      <c r="U514" s="292"/>
      <c r="V514" s="132"/>
      <c r="W514" s="121"/>
      <c r="X514" s="82"/>
      <c r="Y514" s="292"/>
      <c r="Z514" s="300"/>
      <c r="AA514" s="301"/>
      <c r="AB514" s="80"/>
      <c r="AC514" s="292"/>
      <c r="AD514" s="132"/>
      <c r="AE514" s="254"/>
      <c r="AF514" s="294"/>
      <c r="AG514" s="292"/>
      <c r="AH514" s="302"/>
      <c r="AI514" s="302"/>
      <c r="AJ514" s="302"/>
      <c r="AK514" s="292"/>
      <c r="AL514" s="82"/>
      <c r="AM514" s="82"/>
      <c r="AN514" s="82"/>
      <c r="AO514" s="292"/>
      <c r="AP514" s="82"/>
      <c r="AQ514" s="82"/>
      <c r="AR514" s="82"/>
      <c r="AS514" s="292"/>
      <c r="AT514" s="82"/>
      <c r="AU514" s="82"/>
      <c r="AV514" s="82"/>
    </row>
    <row r="515">
      <c r="A515" s="292"/>
      <c r="B515" s="132"/>
      <c r="C515" s="121"/>
      <c r="D515" s="82"/>
      <c r="E515" s="292"/>
      <c r="F515" s="132"/>
      <c r="G515" s="121"/>
      <c r="H515" s="82"/>
      <c r="I515" s="292"/>
      <c r="J515" s="132"/>
      <c r="K515" s="121"/>
      <c r="L515" s="82"/>
      <c r="M515" s="292"/>
      <c r="N515" s="132"/>
      <c r="O515" s="121"/>
      <c r="P515" s="82"/>
      <c r="Q515" s="292"/>
      <c r="R515" s="132"/>
      <c r="S515" s="121"/>
      <c r="T515" s="82"/>
      <c r="U515" s="292"/>
      <c r="V515" s="132"/>
      <c r="W515" s="121"/>
      <c r="X515" s="82"/>
      <c r="Y515" s="292"/>
      <c r="Z515" s="300"/>
      <c r="AA515" s="301"/>
      <c r="AB515" s="80"/>
      <c r="AC515" s="292"/>
      <c r="AD515" s="132"/>
      <c r="AE515" s="254"/>
      <c r="AF515" s="294"/>
      <c r="AG515" s="292"/>
      <c r="AH515" s="302"/>
      <c r="AI515" s="302"/>
      <c r="AJ515" s="302"/>
      <c r="AK515" s="292"/>
      <c r="AL515" s="82"/>
      <c r="AM515" s="82"/>
      <c r="AN515" s="82"/>
      <c r="AO515" s="292"/>
      <c r="AP515" s="82"/>
      <c r="AQ515" s="82"/>
      <c r="AR515" s="82"/>
      <c r="AS515" s="292"/>
      <c r="AT515" s="82"/>
      <c r="AU515" s="82"/>
      <c r="AV515" s="82"/>
    </row>
    <row r="516">
      <c r="A516" s="292"/>
      <c r="B516" s="132"/>
      <c r="C516" s="121"/>
      <c r="D516" s="82"/>
      <c r="E516" s="292"/>
      <c r="F516" s="132"/>
      <c r="G516" s="121"/>
      <c r="H516" s="82"/>
      <c r="I516" s="292"/>
      <c r="J516" s="132"/>
      <c r="K516" s="121"/>
      <c r="L516" s="82"/>
      <c r="M516" s="292"/>
      <c r="N516" s="132"/>
      <c r="O516" s="121"/>
      <c r="P516" s="82"/>
      <c r="Q516" s="292"/>
      <c r="R516" s="132"/>
      <c r="S516" s="121"/>
      <c r="T516" s="82"/>
      <c r="U516" s="292"/>
      <c r="V516" s="132"/>
      <c r="W516" s="121"/>
      <c r="X516" s="82"/>
      <c r="Y516" s="292"/>
      <c r="Z516" s="300"/>
      <c r="AA516" s="301"/>
      <c r="AB516" s="80"/>
      <c r="AC516" s="292"/>
      <c r="AD516" s="132"/>
      <c r="AE516" s="254"/>
      <c r="AF516" s="294"/>
      <c r="AG516" s="292"/>
      <c r="AH516" s="302"/>
      <c r="AI516" s="302"/>
      <c r="AJ516" s="302"/>
      <c r="AK516" s="292"/>
      <c r="AL516" s="82"/>
      <c r="AM516" s="82"/>
      <c r="AN516" s="82"/>
      <c r="AO516" s="292"/>
      <c r="AP516" s="82"/>
      <c r="AQ516" s="82"/>
      <c r="AR516" s="82"/>
      <c r="AS516" s="292"/>
      <c r="AT516" s="82"/>
      <c r="AU516" s="82"/>
      <c r="AV516" s="82"/>
    </row>
    <row r="517">
      <c r="A517" s="292"/>
      <c r="B517" s="132"/>
      <c r="C517" s="121"/>
      <c r="D517" s="82"/>
      <c r="E517" s="292"/>
      <c r="F517" s="132"/>
      <c r="G517" s="121"/>
      <c r="H517" s="82"/>
      <c r="I517" s="292"/>
      <c r="J517" s="132"/>
      <c r="K517" s="121"/>
      <c r="L517" s="82"/>
      <c r="M517" s="292"/>
      <c r="N517" s="132"/>
      <c r="O517" s="121"/>
      <c r="P517" s="82"/>
      <c r="Q517" s="292"/>
      <c r="R517" s="132"/>
      <c r="S517" s="121"/>
      <c r="T517" s="82"/>
      <c r="U517" s="292"/>
      <c r="V517" s="132"/>
      <c r="W517" s="121"/>
      <c r="X517" s="82"/>
      <c r="Y517" s="292"/>
      <c r="Z517" s="300"/>
      <c r="AA517" s="301"/>
      <c r="AB517" s="80"/>
      <c r="AC517" s="292"/>
      <c r="AD517" s="132"/>
      <c r="AE517" s="254"/>
      <c r="AF517" s="294"/>
      <c r="AG517" s="292"/>
      <c r="AH517" s="302"/>
      <c r="AI517" s="302"/>
      <c r="AJ517" s="302"/>
      <c r="AK517" s="292"/>
      <c r="AL517" s="82"/>
      <c r="AM517" s="82"/>
      <c r="AN517" s="82"/>
      <c r="AO517" s="292"/>
      <c r="AP517" s="82"/>
      <c r="AQ517" s="82"/>
      <c r="AR517" s="82"/>
      <c r="AS517" s="292"/>
      <c r="AT517" s="82"/>
      <c r="AU517" s="82"/>
      <c r="AV517" s="82"/>
    </row>
    <row r="518">
      <c r="A518" s="292"/>
      <c r="B518" s="132"/>
      <c r="C518" s="121"/>
      <c r="D518" s="82"/>
      <c r="E518" s="292"/>
      <c r="F518" s="132"/>
      <c r="G518" s="121"/>
      <c r="H518" s="82"/>
      <c r="I518" s="292"/>
      <c r="J518" s="132"/>
      <c r="K518" s="121"/>
      <c r="L518" s="82"/>
      <c r="M518" s="292"/>
      <c r="N518" s="132"/>
      <c r="O518" s="121"/>
      <c r="P518" s="82"/>
      <c r="Q518" s="292"/>
      <c r="R518" s="132"/>
      <c r="S518" s="121"/>
      <c r="T518" s="82"/>
      <c r="U518" s="292"/>
      <c r="V518" s="132"/>
      <c r="W518" s="121"/>
      <c r="X518" s="82"/>
      <c r="Y518" s="292"/>
      <c r="Z518" s="300"/>
      <c r="AA518" s="301"/>
      <c r="AB518" s="80"/>
      <c r="AC518" s="292"/>
      <c r="AD518" s="132"/>
      <c r="AE518" s="254"/>
      <c r="AF518" s="294"/>
      <c r="AG518" s="292"/>
      <c r="AH518" s="302"/>
      <c r="AI518" s="302"/>
      <c r="AJ518" s="302"/>
      <c r="AK518" s="292"/>
      <c r="AL518" s="82"/>
      <c r="AM518" s="82"/>
      <c r="AN518" s="82"/>
      <c r="AO518" s="292"/>
      <c r="AP518" s="82"/>
      <c r="AQ518" s="82"/>
      <c r="AR518" s="82"/>
      <c r="AS518" s="292"/>
      <c r="AT518" s="82"/>
      <c r="AU518" s="82"/>
      <c r="AV518" s="82"/>
    </row>
    <row r="519">
      <c r="A519" s="292"/>
      <c r="B519" s="132"/>
      <c r="C519" s="121"/>
      <c r="D519" s="82"/>
      <c r="E519" s="292"/>
      <c r="F519" s="132"/>
      <c r="G519" s="121"/>
      <c r="H519" s="82"/>
      <c r="I519" s="292"/>
      <c r="J519" s="132"/>
      <c r="K519" s="121"/>
      <c r="L519" s="82"/>
      <c r="M519" s="292"/>
      <c r="N519" s="132"/>
      <c r="O519" s="121"/>
      <c r="P519" s="82"/>
      <c r="Q519" s="292"/>
      <c r="R519" s="132"/>
      <c r="S519" s="121"/>
      <c r="T519" s="82"/>
      <c r="U519" s="292"/>
      <c r="V519" s="132"/>
      <c r="W519" s="121"/>
      <c r="X519" s="82"/>
      <c r="Y519" s="292"/>
      <c r="Z519" s="300"/>
      <c r="AA519" s="301"/>
      <c r="AB519" s="80"/>
      <c r="AC519" s="292"/>
      <c r="AD519" s="132"/>
      <c r="AE519" s="254"/>
      <c r="AF519" s="294"/>
      <c r="AG519" s="292"/>
      <c r="AH519" s="302"/>
      <c r="AI519" s="302"/>
      <c r="AJ519" s="302"/>
      <c r="AK519" s="292"/>
      <c r="AL519" s="82"/>
      <c r="AM519" s="82"/>
      <c r="AN519" s="82"/>
      <c r="AO519" s="292"/>
      <c r="AP519" s="82"/>
      <c r="AQ519" s="82"/>
      <c r="AR519" s="82"/>
      <c r="AS519" s="292"/>
      <c r="AT519" s="82"/>
      <c r="AU519" s="82"/>
      <c r="AV519" s="82"/>
    </row>
    <row r="520">
      <c r="A520" s="292"/>
      <c r="B520" s="132"/>
      <c r="C520" s="121"/>
      <c r="D520" s="82"/>
      <c r="E520" s="292"/>
      <c r="F520" s="132"/>
      <c r="G520" s="121"/>
      <c r="H520" s="82"/>
      <c r="I520" s="292"/>
      <c r="J520" s="132"/>
      <c r="K520" s="121"/>
      <c r="L520" s="82"/>
      <c r="M520" s="292"/>
      <c r="N520" s="132"/>
      <c r="O520" s="121"/>
      <c r="P520" s="82"/>
      <c r="Q520" s="292"/>
      <c r="R520" s="132"/>
      <c r="S520" s="121"/>
      <c r="T520" s="82"/>
      <c r="U520" s="292"/>
      <c r="V520" s="132"/>
      <c r="W520" s="121"/>
      <c r="X520" s="82"/>
      <c r="Y520" s="292"/>
      <c r="Z520" s="300"/>
      <c r="AA520" s="301"/>
      <c r="AB520" s="80"/>
      <c r="AC520" s="292"/>
      <c r="AD520" s="132"/>
      <c r="AE520" s="254"/>
      <c r="AF520" s="294"/>
      <c r="AG520" s="292"/>
      <c r="AH520" s="302"/>
      <c r="AI520" s="302"/>
      <c r="AJ520" s="302"/>
      <c r="AK520" s="292"/>
      <c r="AL520" s="82"/>
      <c r="AM520" s="82"/>
      <c r="AN520" s="82"/>
      <c r="AO520" s="292"/>
      <c r="AP520" s="82"/>
      <c r="AQ520" s="82"/>
      <c r="AR520" s="82"/>
      <c r="AS520" s="292"/>
      <c r="AT520" s="82"/>
      <c r="AU520" s="82"/>
      <c r="AV520" s="82"/>
    </row>
    <row r="521">
      <c r="A521" s="292"/>
      <c r="B521" s="132"/>
      <c r="C521" s="121"/>
      <c r="D521" s="82"/>
      <c r="E521" s="292"/>
      <c r="F521" s="132"/>
      <c r="G521" s="121"/>
      <c r="H521" s="82"/>
      <c r="I521" s="292"/>
      <c r="J521" s="132"/>
      <c r="K521" s="121"/>
      <c r="L521" s="82"/>
      <c r="M521" s="292"/>
      <c r="N521" s="132"/>
      <c r="O521" s="121"/>
      <c r="P521" s="82"/>
      <c r="Q521" s="292"/>
      <c r="R521" s="132"/>
      <c r="S521" s="121"/>
      <c r="T521" s="82"/>
      <c r="U521" s="292"/>
      <c r="V521" s="132"/>
      <c r="W521" s="121"/>
      <c r="X521" s="82"/>
      <c r="Y521" s="292"/>
      <c r="Z521" s="300"/>
      <c r="AA521" s="301"/>
      <c r="AB521" s="80"/>
      <c r="AC521" s="292"/>
      <c r="AD521" s="132"/>
      <c r="AE521" s="254"/>
      <c r="AF521" s="294"/>
      <c r="AG521" s="292"/>
      <c r="AH521" s="302"/>
      <c r="AI521" s="302"/>
      <c r="AJ521" s="302"/>
      <c r="AK521" s="292"/>
      <c r="AL521" s="82"/>
      <c r="AM521" s="82"/>
      <c r="AN521" s="82"/>
      <c r="AO521" s="292"/>
      <c r="AP521" s="82"/>
      <c r="AQ521" s="82"/>
      <c r="AR521" s="82"/>
      <c r="AS521" s="292"/>
      <c r="AT521" s="82"/>
      <c r="AU521" s="82"/>
      <c r="AV521" s="82"/>
    </row>
    <row r="522">
      <c r="A522" s="292"/>
      <c r="B522" s="132"/>
      <c r="C522" s="121"/>
      <c r="D522" s="82"/>
      <c r="E522" s="292"/>
      <c r="F522" s="132"/>
      <c r="G522" s="121"/>
      <c r="H522" s="82"/>
      <c r="I522" s="292"/>
      <c r="J522" s="132"/>
      <c r="K522" s="121"/>
      <c r="L522" s="82"/>
      <c r="M522" s="292"/>
      <c r="N522" s="132"/>
      <c r="O522" s="121"/>
      <c r="P522" s="82"/>
      <c r="Q522" s="292"/>
      <c r="R522" s="132"/>
      <c r="S522" s="121"/>
      <c r="T522" s="82"/>
      <c r="U522" s="292"/>
      <c r="V522" s="132"/>
      <c r="W522" s="121"/>
      <c r="X522" s="82"/>
      <c r="Y522" s="292"/>
      <c r="Z522" s="300"/>
      <c r="AA522" s="301"/>
      <c r="AB522" s="80"/>
      <c r="AC522" s="292"/>
      <c r="AD522" s="132"/>
      <c r="AE522" s="254"/>
      <c r="AF522" s="294"/>
      <c r="AG522" s="292"/>
      <c r="AH522" s="302"/>
      <c r="AI522" s="302"/>
      <c r="AJ522" s="302"/>
      <c r="AK522" s="292"/>
      <c r="AL522" s="82"/>
      <c r="AM522" s="82"/>
      <c r="AN522" s="82"/>
      <c r="AO522" s="292"/>
      <c r="AP522" s="82"/>
      <c r="AQ522" s="82"/>
      <c r="AR522" s="82"/>
      <c r="AS522" s="292"/>
      <c r="AT522" s="82"/>
      <c r="AU522" s="82"/>
      <c r="AV522" s="82"/>
    </row>
    <row r="523">
      <c r="A523" s="292"/>
      <c r="B523" s="132"/>
      <c r="C523" s="121"/>
      <c r="D523" s="82"/>
      <c r="E523" s="292"/>
      <c r="F523" s="132"/>
      <c r="G523" s="121"/>
      <c r="H523" s="82"/>
      <c r="I523" s="292"/>
      <c r="J523" s="132"/>
      <c r="K523" s="121"/>
      <c r="L523" s="82"/>
      <c r="M523" s="292"/>
      <c r="N523" s="132"/>
      <c r="O523" s="121"/>
      <c r="P523" s="82"/>
      <c r="Q523" s="292"/>
      <c r="R523" s="132"/>
      <c r="S523" s="121"/>
      <c r="T523" s="82"/>
      <c r="U523" s="292"/>
      <c r="V523" s="132"/>
      <c r="W523" s="121"/>
      <c r="X523" s="82"/>
      <c r="Y523" s="292"/>
      <c r="Z523" s="300"/>
      <c r="AA523" s="301"/>
      <c r="AB523" s="80"/>
      <c r="AC523" s="292"/>
      <c r="AD523" s="132"/>
      <c r="AE523" s="254"/>
      <c r="AF523" s="294"/>
      <c r="AG523" s="292"/>
      <c r="AH523" s="302"/>
      <c r="AI523" s="302"/>
      <c r="AJ523" s="302"/>
      <c r="AK523" s="292"/>
      <c r="AL523" s="82"/>
      <c r="AM523" s="82"/>
      <c r="AN523" s="82"/>
      <c r="AO523" s="292"/>
      <c r="AP523" s="82"/>
      <c r="AQ523" s="82"/>
      <c r="AR523" s="82"/>
      <c r="AS523" s="292"/>
      <c r="AT523" s="82"/>
      <c r="AU523" s="82"/>
      <c r="AV523" s="82"/>
    </row>
    <row r="524">
      <c r="A524" s="292"/>
      <c r="B524" s="132"/>
      <c r="C524" s="121"/>
      <c r="D524" s="82"/>
      <c r="E524" s="292"/>
      <c r="F524" s="132"/>
      <c r="G524" s="121"/>
      <c r="H524" s="82"/>
      <c r="I524" s="292"/>
      <c r="J524" s="132"/>
      <c r="K524" s="121"/>
      <c r="L524" s="82"/>
      <c r="M524" s="292"/>
      <c r="N524" s="132"/>
      <c r="O524" s="121"/>
      <c r="P524" s="82"/>
      <c r="Q524" s="292"/>
      <c r="R524" s="132"/>
      <c r="S524" s="121"/>
      <c r="T524" s="82"/>
      <c r="U524" s="292"/>
      <c r="V524" s="132"/>
      <c r="W524" s="121"/>
      <c r="X524" s="82"/>
      <c r="Y524" s="292"/>
      <c r="Z524" s="300"/>
      <c r="AA524" s="301"/>
      <c r="AB524" s="80"/>
      <c r="AC524" s="292"/>
      <c r="AD524" s="132"/>
      <c r="AE524" s="254"/>
      <c r="AF524" s="294"/>
      <c r="AG524" s="292"/>
      <c r="AH524" s="302"/>
      <c r="AI524" s="302"/>
      <c r="AJ524" s="302"/>
      <c r="AK524" s="292"/>
      <c r="AL524" s="82"/>
      <c r="AM524" s="82"/>
      <c r="AN524" s="82"/>
      <c r="AO524" s="292"/>
      <c r="AP524" s="82"/>
      <c r="AQ524" s="82"/>
      <c r="AR524" s="82"/>
      <c r="AS524" s="292"/>
      <c r="AT524" s="82"/>
      <c r="AU524" s="82"/>
      <c r="AV524" s="82"/>
    </row>
    <row r="525">
      <c r="A525" s="292"/>
      <c r="B525" s="132"/>
      <c r="C525" s="121"/>
      <c r="D525" s="82"/>
      <c r="E525" s="292"/>
      <c r="F525" s="132"/>
      <c r="G525" s="121"/>
      <c r="H525" s="82"/>
      <c r="I525" s="292"/>
      <c r="J525" s="132"/>
      <c r="K525" s="121"/>
      <c r="L525" s="82"/>
      <c r="M525" s="292"/>
      <c r="N525" s="132"/>
      <c r="O525" s="121"/>
      <c r="P525" s="82"/>
      <c r="Q525" s="292"/>
      <c r="R525" s="132"/>
      <c r="S525" s="121"/>
      <c r="T525" s="82"/>
      <c r="U525" s="292"/>
      <c r="V525" s="132"/>
      <c r="W525" s="121"/>
      <c r="X525" s="82"/>
      <c r="Y525" s="292"/>
      <c r="Z525" s="300"/>
      <c r="AA525" s="301"/>
      <c r="AB525" s="80"/>
      <c r="AC525" s="292"/>
      <c r="AD525" s="132"/>
      <c r="AE525" s="254"/>
      <c r="AF525" s="294"/>
      <c r="AG525" s="292"/>
      <c r="AH525" s="302"/>
      <c r="AI525" s="302"/>
      <c r="AJ525" s="302"/>
      <c r="AK525" s="292"/>
      <c r="AL525" s="82"/>
      <c r="AM525" s="82"/>
      <c r="AN525" s="82"/>
      <c r="AO525" s="292"/>
      <c r="AP525" s="82"/>
      <c r="AQ525" s="82"/>
      <c r="AR525" s="82"/>
      <c r="AS525" s="292"/>
      <c r="AT525" s="82"/>
      <c r="AU525" s="82"/>
      <c r="AV525" s="82"/>
    </row>
    <row r="526">
      <c r="A526" s="292"/>
      <c r="B526" s="132"/>
      <c r="C526" s="121"/>
      <c r="D526" s="82"/>
      <c r="E526" s="292"/>
      <c r="F526" s="132"/>
      <c r="G526" s="121"/>
      <c r="H526" s="82"/>
      <c r="I526" s="292"/>
      <c r="J526" s="132"/>
      <c r="K526" s="121"/>
      <c r="L526" s="82"/>
      <c r="M526" s="292"/>
      <c r="N526" s="132"/>
      <c r="O526" s="121"/>
      <c r="P526" s="82"/>
      <c r="Q526" s="292"/>
      <c r="R526" s="132"/>
      <c r="S526" s="121"/>
      <c r="T526" s="82"/>
      <c r="U526" s="292"/>
      <c r="V526" s="132"/>
      <c r="W526" s="121"/>
      <c r="X526" s="82"/>
      <c r="Y526" s="292"/>
      <c r="Z526" s="300"/>
      <c r="AA526" s="301"/>
      <c r="AB526" s="80"/>
      <c r="AC526" s="292"/>
      <c r="AD526" s="132"/>
      <c r="AE526" s="254"/>
      <c r="AF526" s="294"/>
      <c r="AG526" s="292"/>
      <c r="AH526" s="302"/>
      <c r="AI526" s="302"/>
      <c r="AJ526" s="302"/>
      <c r="AK526" s="292"/>
      <c r="AL526" s="82"/>
      <c r="AM526" s="82"/>
      <c r="AN526" s="82"/>
      <c r="AO526" s="292"/>
      <c r="AP526" s="82"/>
      <c r="AQ526" s="82"/>
      <c r="AR526" s="82"/>
      <c r="AS526" s="292"/>
      <c r="AT526" s="82"/>
      <c r="AU526" s="82"/>
      <c r="AV526" s="82"/>
    </row>
    <row r="527">
      <c r="A527" s="292"/>
      <c r="B527" s="132"/>
      <c r="C527" s="121"/>
      <c r="D527" s="82"/>
      <c r="E527" s="292"/>
      <c r="F527" s="132"/>
      <c r="G527" s="121"/>
      <c r="H527" s="82"/>
      <c r="I527" s="292"/>
      <c r="J527" s="132"/>
      <c r="K527" s="121"/>
      <c r="L527" s="82"/>
      <c r="M527" s="292"/>
      <c r="N527" s="132"/>
      <c r="O527" s="121"/>
      <c r="P527" s="82"/>
      <c r="Q527" s="292"/>
      <c r="R527" s="132"/>
      <c r="S527" s="121"/>
      <c r="T527" s="82"/>
      <c r="U527" s="292"/>
      <c r="V527" s="132"/>
      <c r="W527" s="121"/>
      <c r="X527" s="82"/>
      <c r="Y527" s="292"/>
      <c r="Z527" s="300"/>
      <c r="AA527" s="301"/>
      <c r="AB527" s="80"/>
      <c r="AC527" s="292"/>
      <c r="AD527" s="132"/>
      <c r="AE527" s="254"/>
      <c r="AF527" s="294"/>
      <c r="AG527" s="292"/>
      <c r="AH527" s="302"/>
      <c r="AI527" s="302"/>
      <c r="AJ527" s="302"/>
      <c r="AK527" s="292"/>
      <c r="AL527" s="82"/>
      <c r="AM527" s="82"/>
      <c r="AN527" s="82"/>
      <c r="AO527" s="292"/>
      <c r="AP527" s="82"/>
      <c r="AQ527" s="82"/>
      <c r="AR527" s="82"/>
      <c r="AS527" s="292"/>
      <c r="AT527" s="82"/>
      <c r="AU527" s="82"/>
      <c r="AV527" s="82"/>
    </row>
    <row r="528">
      <c r="A528" s="292"/>
      <c r="B528" s="132"/>
      <c r="C528" s="121"/>
      <c r="D528" s="82"/>
      <c r="E528" s="292"/>
      <c r="F528" s="132"/>
      <c r="G528" s="121"/>
      <c r="H528" s="82"/>
      <c r="I528" s="292"/>
      <c r="J528" s="132"/>
      <c r="K528" s="121"/>
      <c r="L528" s="82"/>
      <c r="M528" s="292"/>
      <c r="N528" s="132"/>
      <c r="O528" s="121"/>
      <c r="P528" s="82"/>
      <c r="Q528" s="292"/>
      <c r="R528" s="132"/>
      <c r="S528" s="121"/>
      <c r="T528" s="82"/>
      <c r="U528" s="292"/>
      <c r="V528" s="132"/>
      <c r="W528" s="121"/>
      <c r="X528" s="82"/>
      <c r="Y528" s="292"/>
      <c r="Z528" s="300"/>
      <c r="AA528" s="301"/>
      <c r="AB528" s="80"/>
      <c r="AC528" s="292"/>
      <c r="AD528" s="132"/>
      <c r="AE528" s="254"/>
      <c r="AF528" s="294"/>
      <c r="AG528" s="292"/>
      <c r="AH528" s="302"/>
      <c r="AI528" s="302"/>
      <c r="AJ528" s="302"/>
      <c r="AK528" s="292"/>
      <c r="AL528" s="82"/>
      <c r="AM528" s="82"/>
      <c r="AN528" s="82"/>
      <c r="AO528" s="292"/>
      <c r="AP528" s="82"/>
      <c r="AQ528" s="82"/>
      <c r="AR528" s="82"/>
      <c r="AS528" s="292"/>
      <c r="AT528" s="82"/>
      <c r="AU528" s="82"/>
      <c r="AV528" s="82"/>
    </row>
    <row r="529">
      <c r="A529" s="292"/>
      <c r="B529" s="132"/>
      <c r="C529" s="121"/>
      <c r="D529" s="82"/>
      <c r="E529" s="292"/>
      <c r="F529" s="132"/>
      <c r="G529" s="121"/>
      <c r="H529" s="82"/>
      <c r="I529" s="292"/>
      <c r="J529" s="132"/>
      <c r="K529" s="121"/>
      <c r="L529" s="82"/>
      <c r="M529" s="292"/>
      <c r="N529" s="132"/>
      <c r="O529" s="121"/>
      <c r="P529" s="82"/>
      <c r="Q529" s="292"/>
      <c r="R529" s="132"/>
      <c r="S529" s="121"/>
      <c r="T529" s="82"/>
      <c r="U529" s="292"/>
      <c r="V529" s="132"/>
      <c r="W529" s="121"/>
      <c r="X529" s="82"/>
      <c r="Y529" s="292"/>
      <c r="Z529" s="300"/>
      <c r="AA529" s="301"/>
      <c r="AB529" s="80"/>
      <c r="AC529" s="292"/>
      <c r="AD529" s="132"/>
      <c r="AE529" s="254"/>
      <c r="AF529" s="294"/>
      <c r="AG529" s="292"/>
      <c r="AH529" s="302"/>
      <c r="AI529" s="302"/>
      <c r="AJ529" s="302"/>
      <c r="AK529" s="292"/>
      <c r="AL529" s="82"/>
      <c r="AM529" s="82"/>
      <c r="AN529" s="82"/>
      <c r="AO529" s="292"/>
      <c r="AP529" s="82"/>
      <c r="AQ529" s="82"/>
      <c r="AR529" s="82"/>
      <c r="AS529" s="292"/>
      <c r="AT529" s="82"/>
      <c r="AU529" s="82"/>
      <c r="AV529" s="82"/>
    </row>
    <row r="530">
      <c r="A530" s="292"/>
      <c r="B530" s="132"/>
      <c r="C530" s="121"/>
      <c r="D530" s="82"/>
      <c r="E530" s="292"/>
      <c r="F530" s="132"/>
      <c r="G530" s="121"/>
      <c r="H530" s="82"/>
      <c r="I530" s="292"/>
      <c r="J530" s="132"/>
      <c r="K530" s="121"/>
      <c r="L530" s="82"/>
      <c r="M530" s="292"/>
      <c r="N530" s="132"/>
      <c r="O530" s="121"/>
      <c r="P530" s="82"/>
      <c r="Q530" s="292"/>
      <c r="R530" s="132"/>
      <c r="S530" s="121"/>
      <c r="T530" s="82"/>
      <c r="U530" s="292"/>
      <c r="V530" s="132"/>
      <c r="W530" s="121"/>
      <c r="X530" s="82"/>
      <c r="Y530" s="292"/>
      <c r="Z530" s="300"/>
      <c r="AA530" s="301"/>
      <c r="AB530" s="80"/>
      <c r="AC530" s="292"/>
      <c r="AD530" s="132"/>
      <c r="AE530" s="254"/>
      <c r="AF530" s="294"/>
      <c r="AG530" s="292"/>
      <c r="AH530" s="302"/>
      <c r="AI530" s="302"/>
      <c r="AJ530" s="302"/>
      <c r="AK530" s="292"/>
      <c r="AL530" s="82"/>
      <c r="AM530" s="82"/>
      <c r="AN530" s="82"/>
      <c r="AO530" s="292"/>
      <c r="AP530" s="82"/>
      <c r="AQ530" s="82"/>
      <c r="AR530" s="82"/>
      <c r="AS530" s="292"/>
      <c r="AT530" s="82"/>
      <c r="AU530" s="82"/>
      <c r="AV530" s="82"/>
    </row>
    <row r="531">
      <c r="A531" s="292"/>
      <c r="B531" s="132"/>
      <c r="C531" s="121"/>
      <c r="D531" s="82"/>
      <c r="E531" s="292"/>
      <c r="F531" s="132"/>
      <c r="G531" s="121"/>
      <c r="H531" s="82"/>
      <c r="I531" s="292"/>
      <c r="J531" s="132"/>
      <c r="K531" s="121"/>
      <c r="L531" s="82"/>
      <c r="M531" s="292"/>
      <c r="N531" s="132"/>
      <c r="O531" s="121"/>
      <c r="P531" s="82"/>
      <c r="Q531" s="292"/>
      <c r="R531" s="132"/>
      <c r="S531" s="121"/>
      <c r="T531" s="82"/>
      <c r="U531" s="292"/>
      <c r="V531" s="132"/>
      <c r="W531" s="121"/>
      <c r="X531" s="82"/>
      <c r="Y531" s="292"/>
      <c r="Z531" s="300"/>
      <c r="AA531" s="301"/>
      <c r="AB531" s="80"/>
      <c r="AC531" s="292"/>
      <c r="AD531" s="132"/>
      <c r="AE531" s="254"/>
      <c r="AF531" s="294"/>
      <c r="AG531" s="292"/>
      <c r="AH531" s="302"/>
      <c r="AI531" s="302"/>
      <c r="AJ531" s="302"/>
      <c r="AK531" s="292"/>
      <c r="AL531" s="82"/>
      <c r="AM531" s="82"/>
      <c r="AN531" s="82"/>
      <c r="AO531" s="292"/>
      <c r="AP531" s="82"/>
      <c r="AQ531" s="82"/>
      <c r="AR531" s="82"/>
      <c r="AS531" s="292"/>
      <c r="AT531" s="82"/>
      <c r="AU531" s="82"/>
      <c r="AV531" s="82"/>
    </row>
    <row r="532">
      <c r="A532" s="292"/>
      <c r="B532" s="132"/>
      <c r="C532" s="121"/>
      <c r="D532" s="82"/>
      <c r="E532" s="292"/>
      <c r="F532" s="132"/>
      <c r="G532" s="121"/>
      <c r="H532" s="82"/>
      <c r="I532" s="292"/>
      <c r="J532" s="132"/>
      <c r="K532" s="121"/>
      <c r="L532" s="82"/>
      <c r="M532" s="292"/>
      <c r="N532" s="132"/>
      <c r="O532" s="121"/>
      <c r="P532" s="82"/>
      <c r="Q532" s="292"/>
      <c r="R532" s="132"/>
      <c r="S532" s="121"/>
      <c r="T532" s="82"/>
      <c r="U532" s="292"/>
      <c r="V532" s="132"/>
      <c r="W532" s="121"/>
      <c r="X532" s="82"/>
      <c r="Y532" s="292"/>
      <c r="Z532" s="300"/>
      <c r="AA532" s="301"/>
      <c r="AB532" s="80"/>
      <c r="AC532" s="292"/>
      <c r="AD532" s="132"/>
      <c r="AE532" s="254"/>
      <c r="AF532" s="294"/>
      <c r="AG532" s="292"/>
      <c r="AH532" s="302"/>
      <c r="AI532" s="302"/>
      <c r="AJ532" s="302"/>
      <c r="AK532" s="292"/>
      <c r="AL532" s="82"/>
      <c r="AM532" s="82"/>
      <c r="AN532" s="82"/>
      <c r="AO532" s="292"/>
      <c r="AP532" s="82"/>
      <c r="AQ532" s="82"/>
      <c r="AR532" s="82"/>
      <c r="AS532" s="292"/>
      <c r="AT532" s="82"/>
      <c r="AU532" s="82"/>
      <c r="AV532" s="82"/>
    </row>
    <row r="533">
      <c r="A533" s="292"/>
      <c r="B533" s="132"/>
      <c r="C533" s="121"/>
      <c r="D533" s="82"/>
      <c r="E533" s="292"/>
      <c r="F533" s="132"/>
      <c r="G533" s="121"/>
      <c r="H533" s="82"/>
      <c r="I533" s="292"/>
      <c r="J533" s="132"/>
      <c r="K533" s="121"/>
      <c r="L533" s="82"/>
      <c r="M533" s="292"/>
      <c r="N533" s="132"/>
      <c r="O533" s="121"/>
      <c r="P533" s="82"/>
      <c r="Q533" s="292"/>
      <c r="R533" s="132"/>
      <c r="S533" s="121"/>
      <c r="T533" s="82"/>
      <c r="U533" s="292"/>
      <c r="V533" s="132"/>
      <c r="W533" s="121"/>
      <c r="X533" s="82"/>
      <c r="Y533" s="292"/>
      <c r="Z533" s="300"/>
      <c r="AA533" s="301"/>
      <c r="AB533" s="80"/>
      <c r="AC533" s="292"/>
      <c r="AD533" s="132"/>
      <c r="AE533" s="254"/>
      <c r="AF533" s="294"/>
      <c r="AG533" s="292"/>
      <c r="AH533" s="302"/>
      <c r="AI533" s="302"/>
      <c r="AJ533" s="302"/>
      <c r="AK533" s="292"/>
      <c r="AL533" s="82"/>
      <c r="AM533" s="82"/>
      <c r="AN533" s="82"/>
      <c r="AO533" s="292"/>
      <c r="AP533" s="82"/>
      <c r="AQ533" s="82"/>
      <c r="AR533" s="82"/>
      <c r="AS533" s="292"/>
      <c r="AT533" s="82"/>
      <c r="AU533" s="82"/>
      <c r="AV533" s="82"/>
    </row>
    <row r="534">
      <c r="A534" s="292"/>
      <c r="B534" s="132"/>
      <c r="C534" s="121"/>
      <c r="D534" s="82"/>
      <c r="E534" s="292"/>
      <c r="F534" s="132"/>
      <c r="G534" s="121"/>
      <c r="H534" s="82"/>
      <c r="I534" s="292"/>
      <c r="J534" s="132"/>
      <c r="K534" s="121"/>
      <c r="L534" s="82"/>
      <c r="M534" s="292"/>
      <c r="N534" s="132"/>
      <c r="O534" s="121"/>
      <c r="P534" s="82"/>
      <c r="Q534" s="292"/>
      <c r="R534" s="132"/>
      <c r="S534" s="121"/>
      <c r="T534" s="82"/>
      <c r="U534" s="292"/>
      <c r="V534" s="132"/>
      <c r="W534" s="121"/>
      <c r="X534" s="82"/>
      <c r="Y534" s="292"/>
      <c r="Z534" s="300"/>
      <c r="AA534" s="301"/>
      <c r="AB534" s="80"/>
      <c r="AC534" s="292"/>
      <c r="AD534" s="132"/>
      <c r="AE534" s="254"/>
      <c r="AF534" s="294"/>
      <c r="AG534" s="292"/>
      <c r="AH534" s="302"/>
      <c r="AI534" s="302"/>
      <c r="AJ534" s="302"/>
      <c r="AK534" s="292"/>
      <c r="AL534" s="82"/>
      <c r="AM534" s="82"/>
      <c r="AN534" s="82"/>
      <c r="AO534" s="292"/>
      <c r="AP534" s="82"/>
      <c r="AQ534" s="82"/>
      <c r="AR534" s="82"/>
      <c r="AS534" s="292"/>
      <c r="AT534" s="82"/>
      <c r="AU534" s="82"/>
      <c r="AV534" s="82"/>
    </row>
    <row r="535">
      <c r="A535" s="292"/>
      <c r="B535" s="132"/>
      <c r="C535" s="121"/>
      <c r="D535" s="82"/>
      <c r="E535" s="292"/>
      <c r="F535" s="132"/>
      <c r="G535" s="121"/>
      <c r="H535" s="82"/>
      <c r="I535" s="292"/>
      <c r="J535" s="132"/>
      <c r="K535" s="121"/>
      <c r="L535" s="82"/>
      <c r="M535" s="292"/>
      <c r="N535" s="132"/>
      <c r="O535" s="121"/>
      <c r="P535" s="82"/>
      <c r="Q535" s="292"/>
      <c r="R535" s="132"/>
      <c r="S535" s="121"/>
      <c r="T535" s="82"/>
      <c r="U535" s="292"/>
      <c r="V535" s="132"/>
      <c r="W535" s="121"/>
      <c r="X535" s="82"/>
      <c r="Y535" s="292"/>
      <c r="Z535" s="300"/>
      <c r="AA535" s="301"/>
      <c r="AB535" s="80"/>
      <c r="AC535" s="292"/>
      <c r="AD535" s="132"/>
      <c r="AE535" s="254"/>
      <c r="AF535" s="294"/>
      <c r="AG535" s="292"/>
      <c r="AH535" s="302"/>
      <c r="AI535" s="302"/>
      <c r="AJ535" s="302"/>
      <c r="AK535" s="292"/>
      <c r="AL535" s="82"/>
      <c r="AM535" s="82"/>
      <c r="AN535" s="82"/>
      <c r="AO535" s="292"/>
      <c r="AP535" s="82"/>
      <c r="AQ535" s="82"/>
      <c r="AR535" s="82"/>
      <c r="AS535" s="292"/>
      <c r="AT535" s="82"/>
      <c r="AU535" s="82"/>
      <c r="AV535" s="82"/>
    </row>
    <row r="536">
      <c r="A536" s="292"/>
      <c r="B536" s="132"/>
      <c r="C536" s="121"/>
      <c r="D536" s="82"/>
      <c r="E536" s="292"/>
      <c r="F536" s="132"/>
      <c r="G536" s="121"/>
      <c r="H536" s="82"/>
      <c r="I536" s="292"/>
      <c r="J536" s="132"/>
      <c r="K536" s="121"/>
      <c r="L536" s="82"/>
      <c r="M536" s="292"/>
      <c r="N536" s="132"/>
      <c r="O536" s="121"/>
      <c r="P536" s="82"/>
      <c r="Q536" s="292"/>
      <c r="R536" s="132"/>
      <c r="S536" s="121"/>
      <c r="T536" s="82"/>
      <c r="U536" s="292"/>
      <c r="V536" s="132"/>
      <c r="W536" s="121"/>
      <c r="X536" s="82"/>
      <c r="Y536" s="292"/>
      <c r="Z536" s="300"/>
      <c r="AA536" s="301"/>
      <c r="AB536" s="80"/>
      <c r="AC536" s="292"/>
      <c r="AD536" s="132"/>
      <c r="AE536" s="254"/>
      <c r="AF536" s="294"/>
      <c r="AG536" s="292"/>
      <c r="AH536" s="302"/>
      <c r="AI536" s="302"/>
      <c r="AJ536" s="302"/>
      <c r="AK536" s="292"/>
      <c r="AL536" s="82"/>
      <c r="AM536" s="82"/>
      <c r="AN536" s="82"/>
      <c r="AO536" s="292"/>
      <c r="AP536" s="82"/>
      <c r="AQ536" s="82"/>
      <c r="AR536" s="82"/>
      <c r="AS536" s="292"/>
      <c r="AT536" s="82"/>
      <c r="AU536" s="82"/>
      <c r="AV536" s="82"/>
    </row>
    <row r="537">
      <c r="A537" s="292"/>
      <c r="B537" s="132"/>
      <c r="C537" s="121"/>
      <c r="D537" s="82"/>
      <c r="E537" s="292"/>
      <c r="F537" s="132"/>
      <c r="G537" s="121"/>
      <c r="H537" s="82"/>
      <c r="I537" s="292"/>
      <c r="J537" s="132"/>
      <c r="K537" s="121"/>
      <c r="L537" s="82"/>
      <c r="M537" s="292"/>
      <c r="N537" s="132"/>
      <c r="O537" s="121"/>
      <c r="P537" s="82"/>
      <c r="Q537" s="292"/>
      <c r="R537" s="132"/>
      <c r="S537" s="121"/>
      <c r="T537" s="82"/>
      <c r="U537" s="292"/>
      <c r="V537" s="132"/>
      <c r="W537" s="121"/>
      <c r="X537" s="82"/>
      <c r="Y537" s="292"/>
      <c r="Z537" s="300"/>
      <c r="AA537" s="301"/>
      <c r="AB537" s="80"/>
      <c r="AC537" s="292"/>
      <c r="AD537" s="132"/>
      <c r="AE537" s="254"/>
      <c r="AF537" s="294"/>
      <c r="AG537" s="292"/>
      <c r="AH537" s="302"/>
      <c r="AI537" s="302"/>
      <c r="AJ537" s="302"/>
      <c r="AK537" s="292"/>
      <c r="AL537" s="82"/>
      <c r="AM537" s="82"/>
      <c r="AN537" s="82"/>
      <c r="AO537" s="292"/>
      <c r="AP537" s="82"/>
      <c r="AQ537" s="82"/>
      <c r="AR537" s="82"/>
      <c r="AS537" s="292"/>
      <c r="AT537" s="82"/>
      <c r="AU537" s="82"/>
      <c r="AV537" s="82"/>
    </row>
    <row r="538">
      <c r="A538" s="292"/>
      <c r="B538" s="132"/>
      <c r="C538" s="121"/>
      <c r="D538" s="82"/>
      <c r="E538" s="292"/>
      <c r="F538" s="132"/>
      <c r="G538" s="121"/>
      <c r="H538" s="82"/>
      <c r="I538" s="292"/>
      <c r="J538" s="132"/>
      <c r="K538" s="121"/>
      <c r="L538" s="82"/>
      <c r="M538" s="292"/>
      <c r="N538" s="132"/>
      <c r="O538" s="121"/>
      <c r="P538" s="82"/>
      <c r="Q538" s="292"/>
      <c r="R538" s="132"/>
      <c r="S538" s="121"/>
      <c r="T538" s="82"/>
      <c r="U538" s="292"/>
      <c r="V538" s="132"/>
      <c r="W538" s="121"/>
      <c r="X538" s="82"/>
      <c r="Y538" s="292"/>
      <c r="Z538" s="300"/>
      <c r="AA538" s="301"/>
      <c r="AB538" s="80"/>
      <c r="AC538" s="292"/>
      <c r="AD538" s="132"/>
      <c r="AE538" s="254"/>
      <c r="AF538" s="294"/>
      <c r="AG538" s="292"/>
      <c r="AH538" s="302"/>
      <c r="AI538" s="302"/>
      <c r="AJ538" s="302"/>
      <c r="AK538" s="292"/>
      <c r="AL538" s="82"/>
      <c r="AM538" s="82"/>
      <c r="AN538" s="82"/>
      <c r="AO538" s="292"/>
      <c r="AP538" s="82"/>
      <c r="AQ538" s="82"/>
      <c r="AR538" s="82"/>
      <c r="AS538" s="292"/>
      <c r="AT538" s="82"/>
      <c r="AU538" s="82"/>
      <c r="AV538" s="82"/>
    </row>
    <row r="539">
      <c r="A539" s="292"/>
      <c r="B539" s="132"/>
      <c r="C539" s="121"/>
      <c r="D539" s="82"/>
      <c r="E539" s="292"/>
      <c r="F539" s="132"/>
      <c r="G539" s="121"/>
      <c r="H539" s="82"/>
      <c r="I539" s="292"/>
      <c r="J539" s="132"/>
      <c r="K539" s="121"/>
      <c r="L539" s="82"/>
      <c r="M539" s="292"/>
      <c r="N539" s="132"/>
      <c r="O539" s="121"/>
      <c r="P539" s="82"/>
      <c r="Q539" s="292"/>
      <c r="R539" s="132"/>
      <c r="S539" s="121"/>
      <c r="T539" s="82"/>
      <c r="U539" s="292"/>
      <c r="V539" s="132"/>
      <c r="W539" s="121"/>
      <c r="X539" s="82"/>
      <c r="Y539" s="292"/>
      <c r="Z539" s="300"/>
      <c r="AA539" s="301"/>
      <c r="AB539" s="80"/>
      <c r="AC539" s="292"/>
      <c r="AD539" s="132"/>
      <c r="AE539" s="254"/>
      <c r="AF539" s="294"/>
      <c r="AG539" s="292"/>
      <c r="AH539" s="302"/>
      <c r="AI539" s="302"/>
      <c r="AJ539" s="302"/>
      <c r="AK539" s="292"/>
      <c r="AL539" s="82"/>
      <c r="AM539" s="82"/>
      <c r="AN539" s="82"/>
      <c r="AO539" s="292"/>
      <c r="AP539" s="82"/>
      <c r="AQ539" s="82"/>
      <c r="AR539" s="82"/>
      <c r="AS539" s="292"/>
      <c r="AT539" s="82"/>
      <c r="AU539" s="82"/>
      <c r="AV539" s="82"/>
    </row>
    <row r="540">
      <c r="A540" s="292"/>
      <c r="B540" s="132"/>
      <c r="C540" s="121"/>
      <c r="D540" s="82"/>
      <c r="E540" s="292"/>
      <c r="F540" s="132"/>
      <c r="G540" s="121"/>
      <c r="H540" s="82"/>
      <c r="I540" s="292"/>
      <c r="J540" s="132"/>
      <c r="K540" s="121"/>
      <c r="L540" s="82"/>
      <c r="M540" s="292"/>
      <c r="N540" s="132"/>
      <c r="O540" s="121"/>
      <c r="P540" s="82"/>
      <c r="Q540" s="292"/>
      <c r="R540" s="132"/>
      <c r="S540" s="121"/>
      <c r="T540" s="82"/>
      <c r="U540" s="292"/>
      <c r="V540" s="132"/>
      <c r="W540" s="121"/>
      <c r="X540" s="82"/>
      <c r="Y540" s="292"/>
      <c r="Z540" s="300"/>
      <c r="AA540" s="301"/>
      <c r="AB540" s="80"/>
      <c r="AC540" s="292"/>
      <c r="AD540" s="132"/>
      <c r="AE540" s="254"/>
      <c r="AF540" s="294"/>
      <c r="AG540" s="292"/>
      <c r="AH540" s="302"/>
      <c r="AI540" s="302"/>
      <c r="AJ540" s="302"/>
      <c r="AK540" s="292"/>
      <c r="AL540" s="82"/>
      <c r="AM540" s="82"/>
      <c r="AN540" s="82"/>
      <c r="AO540" s="292"/>
      <c r="AP540" s="82"/>
      <c r="AQ540" s="82"/>
      <c r="AR540" s="82"/>
      <c r="AS540" s="292"/>
      <c r="AT540" s="82"/>
      <c r="AU540" s="82"/>
      <c r="AV540" s="82"/>
    </row>
    <row r="541">
      <c r="A541" s="292"/>
      <c r="B541" s="132"/>
      <c r="C541" s="121"/>
      <c r="D541" s="82"/>
      <c r="E541" s="292"/>
      <c r="F541" s="132"/>
      <c r="G541" s="121"/>
      <c r="H541" s="82"/>
      <c r="I541" s="292"/>
      <c r="J541" s="132"/>
      <c r="K541" s="121"/>
      <c r="L541" s="82"/>
      <c r="M541" s="292"/>
      <c r="N541" s="132"/>
      <c r="O541" s="121"/>
      <c r="P541" s="82"/>
      <c r="Q541" s="292"/>
      <c r="R541" s="132"/>
      <c r="S541" s="121"/>
      <c r="T541" s="82"/>
      <c r="U541" s="292"/>
      <c r="V541" s="132"/>
      <c r="W541" s="121"/>
      <c r="X541" s="82"/>
      <c r="Y541" s="292"/>
      <c r="Z541" s="300"/>
      <c r="AA541" s="301"/>
      <c r="AB541" s="80"/>
      <c r="AC541" s="292"/>
      <c r="AD541" s="132"/>
      <c r="AE541" s="254"/>
      <c r="AF541" s="294"/>
      <c r="AG541" s="292"/>
      <c r="AH541" s="302"/>
      <c r="AI541" s="302"/>
      <c r="AJ541" s="302"/>
      <c r="AK541" s="292"/>
      <c r="AL541" s="82"/>
      <c r="AM541" s="82"/>
      <c r="AN541" s="82"/>
      <c r="AO541" s="292"/>
      <c r="AP541" s="82"/>
      <c r="AQ541" s="82"/>
      <c r="AR541" s="82"/>
      <c r="AS541" s="292"/>
      <c r="AT541" s="82"/>
      <c r="AU541" s="82"/>
      <c r="AV541" s="82"/>
    </row>
    <row r="542">
      <c r="A542" s="292"/>
      <c r="B542" s="132"/>
      <c r="C542" s="121"/>
      <c r="D542" s="82"/>
      <c r="E542" s="292"/>
      <c r="F542" s="132"/>
      <c r="G542" s="121"/>
      <c r="H542" s="82"/>
      <c r="I542" s="292"/>
      <c r="J542" s="132"/>
      <c r="K542" s="121"/>
      <c r="L542" s="82"/>
      <c r="M542" s="292"/>
      <c r="N542" s="132"/>
      <c r="O542" s="121"/>
      <c r="P542" s="82"/>
      <c r="Q542" s="292"/>
      <c r="R542" s="132"/>
      <c r="S542" s="121"/>
      <c r="T542" s="82"/>
      <c r="U542" s="292"/>
      <c r="V542" s="132"/>
      <c r="W542" s="121"/>
      <c r="X542" s="82"/>
      <c r="Y542" s="292"/>
      <c r="Z542" s="300"/>
      <c r="AA542" s="301"/>
      <c r="AB542" s="80"/>
      <c r="AC542" s="292"/>
      <c r="AD542" s="132"/>
      <c r="AE542" s="254"/>
      <c r="AF542" s="294"/>
      <c r="AG542" s="292"/>
      <c r="AH542" s="302"/>
      <c r="AI542" s="302"/>
      <c r="AJ542" s="302"/>
      <c r="AK542" s="292"/>
      <c r="AL542" s="82"/>
      <c r="AM542" s="82"/>
      <c r="AN542" s="82"/>
      <c r="AO542" s="292"/>
      <c r="AP542" s="82"/>
      <c r="AQ542" s="82"/>
      <c r="AR542" s="82"/>
      <c r="AS542" s="292"/>
      <c r="AT542" s="82"/>
      <c r="AU542" s="82"/>
      <c r="AV542" s="82"/>
    </row>
    <row r="543">
      <c r="A543" s="292"/>
      <c r="B543" s="132"/>
      <c r="C543" s="121"/>
      <c r="D543" s="82"/>
      <c r="E543" s="292"/>
      <c r="F543" s="132"/>
      <c r="G543" s="121"/>
      <c r="H543" s="82"/>
      <c r="I543" s="292"/>
      <c r="J543" s="132"/>
      <c r="K543" s="121"/>
      <c r="L543" s="82"/>
      <c r="M543" s="292"/>
      <c r="N543" s="132"/>
      <c r="O543" s="121"/>
      <c r="P543" s="82"/>
      <c r="Q543" s="292"/>
      <c r="R543" s="132"/>
      <c r="S543" s="121"/>
      <c r="T543" s="82"/>
      <c r="U543" s="292"/>
      <c r="V543" s="132"/>
      <c r="W543" s="121"/>
      <c r="X543" s="82"/>
      <c r="Y543" s="292"/>
      <c r="Z543" s="300"/>
      <c r="AA543" s="301"/>
      <c r="AB543" s="80"/>
      <c r="AC543" s="292"/>
      <c r="AD543" s="132"/>
      <c r="AE543" s="254"/>
      <c r="AF543" s="294"/>
      <c r="AG543" s="292"/>
      <c r="AH543" s="302"/>
      <c r="AI543" s="302"/>
      <c r="AJ543" s="302"/>
      <c r="AK543" s="292"/>
      <c r="AL543" s="82"/>
      <c r="AM543" s="82"/>
      <c r="AN543" s="82"/>
      <c r="AO543" s="292"/>
      <c r="AP543" s="82"/>
      <c r="AQ543" s="82"/>
      <c r="AR543" s="82"/>
      <c r="AS543" s="292"/>
      <c r="AT543" s="82"/>
      <c r="AU543" s="82"/>
      <c r="AV543" s="82"/>
    </row>
    <row r="544">
      <c r="A544" s="292"/>
      <c r="B544" s="132"/>
      <c r="C544" s="121"/>
      <c r="D544" s="82"/>
      <c r="E544" s="292"/>
      <c r="F544" s="132"/>
      <c r="G544" s="121"/>
      <c r="H544" s="82"/>
      <c r="I544" s="292"/>
      <c r="J544" s="132"/>
      <c r="K544" s="121"/>
      <c r="L544" s="82"/>
      <c r="M544" s="292"/>
      <c r="N544" s="132"/>
      <c r="O544" s="121"/>
      <c r="P544" s="82"/>
      <c r="Q544" s="292"/>
      <c r="R544" s="132"/>
      <c r="S544" s="121"/>
      <c r="T544" s="82"/>
      <c r="U544" s="292"/>
      <c r="V544" s="132"/>
      <c r="W544" s="121"/>
      <c r="X544" s="82"/>
      <c r="Y544" s="292"/>
      <c r="Z544" s="300"/>
      <c r="AA544" s="301"/>
      <c r="AB544" s="80"/>
      <c r="AC544" s="292"/>
      <c r="AD544" s="132"/>
      <c r="AE544" s="254"/>
      <c r="AF544" s="294"/>
      <c r="AG544" s="292"/>
      <c r="AH544" s="302"/>
      <c r="AI544" s="302"/>
      <c r="AJ544" s="302"/>
      <c r="AK544" s="292"/>
      <c r="AL544" s="82"/>
      <c r="AM544" s="82"/>
      <c r="AN544" s="82"/>
      <c r="AO544" s="292"/>
      <c r="AP544" s="82"/>
      <c r="AQ544" s="82"/>
      <c r="AR544" s="82"/>
      <c r="AS544" s="292"/>
      <c r="AT544" s="82"/>
      <c r="AU544" s="82"/>
      <c r="AV544" s="82"/>
    </row>
    <row r="545">
      <c r="A545" s="292"/>
      <c r="B545" s="132"/>
      <c r="C545" s="121"/>
      <c r="D545" s="82"/>
      <c r="E545" s="292"/>
      <c r="F545" s="132"/>
      <c r="G545" s="121"/>
      <c r="H545" s="82"/>
      <c r="I545" s="292"/>
      <c r="J545" s="132"/>
      <c r="K545" s="121"/>
      <c r="L545" s="82"/>
      <c r="M545" s="292"/>
      <c r="N545" s="132"/>
      <c r="O545" s="121"/>
      <c r="P545" s="82"/>
      <c r="Q545" s="292"/>
      <c r="R545" s="132"/>
      <c r="S545" s="121"/>
      <c r="T545" s="82"/>
      <c r="U545" s="292"/>
      <c r="V545" s="132"/>
      <c r="W545" s="121"/>
      <c r="X545" s="82"/>
      <c r="Y545" s="292"/>
      <c r="Z545" s="300"/>
      <c r="AA545" s="301"/>
      <c r="AB545" s="80"/>
      <c r="AC545" s="292"/>
      <c r="AD545" s="132"/>
      <c r="AE545" s="254"/>
      <c r="AF545" s="294"/>
      <c r="AG545" s="292"/>
      <c r="AH545" s="302"/>
      <c r="AI545" s="302"/>
      <c r="AJ545" s="302"/>
      <c r="AK545" s="292"/>
      <c r="AL545" s="82"/>
      <c r="AM545" s="82"/>
      <c r="AN545" s="82"/>
      <c r="AO545" s="292"/>
      <c r="AP545" s="82"/>
      <c r="AQ545" s="82"/>
      <c r="AR545" s="82"/>
      <c r="AS545" s="292"/>
      <c r="AT545" s="82"/>
      <c r="AU545" s="82"/>
      <c r="AV545" s="82"/>
    </row>
    <row r="546">
      <c r="A546" s="292"/>
      <c r="B546" s="132"/>
      <c r="C546" s="121"/>
      <c r="D546" s="82"/>
      <c r="E546" s="292"/>
      <c r="F546" s="132"/>
      <c r="G546" s="121"/>
      <c r="H546" s="82"/>
      <c r="I546" s="292"/>
      <c r="J546" s="132"/>
      <c r="K546" s="121"/>
      <c r="L546" s="82"/>
      <c r="M546" s="292"/>
      <c r="N546" s="132"/>
      <c r="O546" s="121"/>
      <c r="P546" s="82"/>
      <c r="Q546" s="292"/>
      <c r="R546" s="132"/>
      <c r="S546" s="121"/>
      <c r="T546" s="82"/>
      <c r="U546" s="292"/>
      <c r="V546" s="132"/>
      <c r="W546" s="121"/>
      <c r="X546" s="82"/>
      <c r="Y546" s="292"/>
      <c r="Z546" s="300"/>
      <c r="AA546" s="301"/>
      <c r="AB546" s="80"/>
      <c r="AC546" s="292"/>
      <c r="AD546" s="132"/>
      <c r="AE546" s="254"/>
      <c r="AF546" s="294"/>
      <c r="AG546" s="292"/>
      <c r="AH546" s="302"/>
      <c r="AI546" s="302"/>
      <c r="AJ546" s="302"/>
      <c r="AK546" s="292"/>
      <c r="AL546" s="82"/>
      <c r="AM546" s="82"/>
      <c r="AN546" s="82"/>
      <c r="AO546" s="292"/>
      <c r="AP546" s="82"/>
      <c r="AQ546" s="82"/>
      <c r="AR546" s="82"/>
      <c r="AS546" s="292"/>
      <c r="AT546" s="82"/>
      <c r="AU546" s="82"/>
      <c r="AV546" s="82"/>
    </row>
    <row r="547">
      <c r="A547" s="292"/>
      <c r="B547" s="132"/>
      <c r="C547" s="121"/>
      <c r="D547" s="82"/>
      <c r="E547" s="292"/>
      <c r="F547" s="132"/>
      <c r="G547" s="121"/>
      <c r="H547" s="82"/>
      <c r="I547" s="292"/>
      <c r="J547" s="132"/>
      <c r="K547" s="121"/>
      <c r="L547" s="82"/>
      <c r="M547" s="292"/>
      <c r="N547" s="132"/>
      <c r="O547" s="121"/>
      <c r="P547" s="82"/>
      <c r="Q547" s="292"/>
      <c r="R547" s="132"/>
      <c r="S547" s="121"/>
      <c r="T547" s="82"/>
      <c r="U547" s="292"/>
      <c r="V547" s="132"/>
      <c r="W547" s="121"/>
      <c r="X547" s="82"/>
      <c r="Y547" s="292"/>
      <c r="Z547" s="300"/>
      <c r="AA547" s="301"/>
      <c r="AB547" s="80"/>
      <c r="AC547" s="292"/>
      <c r="AD547" s="132"/>
      <c r="AE547" s="254"/>
      <c r="AF547" s="294"/>
      <c r="AG547" s="292"/>
      <c r="AH547" s="302"/>
      <c r="AI547" s="302"/>
      <c r="AJ547" s="302"/>
      <c r="AK547" s="292"/>
      <c r="AL547" s="82"/>
      <c r="AM547" s="82"/>
      <c r="AN547" s="82"/>
      <c r="AO547" s="292"/>
      <c r="AP547" s="82"/>
      <c r="AQ547" s="82"/>
      <c r="AR547" s="82"/>
      <c r="AS547" s="292"/>
      <c r="AT547" s="82"/>
      <c r="AU547" s="82"/>
      <c r="AV547" s="82"/>
    </row>
    <row r="548">
      <c r="A548" s="292"/>
      <c r="B548" s="132"/>
      <c r="C548" s="121"/>
      <c r="D548" s="82"/>
      <c r="E548" s="292"/>
      <c r="F548" s="132"/>
      <c r="G548" s="121"/>
      <c r="H548" s="82"/>
      <c r="I548" s="292"/>
      <c r="J548" s="132"/>
      <c r="K548" s="121"/>
      <c r="L548" s="82"/>
      <c r="M548" s="292"/>
      <c r="N548" s="132"/>
      <c r="O548" s="121"/>
      <c r="P548" s="82"/>
      <c r="Q548" s="292"/>
      <c r="R548" s="132"/>
      <c r="S548" s="121"/>
      <c r="T548" s="82"/>
      <c r="U548" s="292"/>
      <c r="V548" s="132"/>
      <c r="W548" s="121"/>
      <c r="X548" s="82"/>
      <c r="Y548" s="292"/>
      <c r="Z548" s="300"/>
      <c r="AA548" s="301"/>
      <c r="AB548" s="80"/>
      <c r="AC548" s="292"/>
      <c r="AD548" s="132"/>
      <c r="AE548" s="254"/>
      <c r="AF548" s="294"/>
      <c r="AG548" s="292"/>
      <c r="AH548" s="302"/>
      <c r="AI548" s="302"/>
      <c r="AJ548" s="302"/>
      <c r="AK548" s="292"/>
      <c r="AL548" s="82"/>
      <c r="AM548" s="82"/>
      <c r="AN548" s="82"/>
      <c r="AO548" s="292"/>
      <c r="AP548" s="82"/>
      <c r="AQ548" s="82"/>
      <c r="AR548" s="82"/>
      <c r="AS548" s="292"/>
      <c r="AT548" s="82"/>
      <c r="AU548" s="82"/>
      <c r="AV548" s="82"/>
    </row>
    <row r="549">
      <c r="A549" s="292"/>
      <c r="B549" s="132"/>
      <c r="C549" s="121"/>
      <c r="D549" s="82"/>
      <c r="E549" s="292"/>
      <c r="F549" s="132"/>
      <c r="G549" s="121"/>
      <c r="H549" s="82"/>
      <c r="I549" s="292"/>
      <c r="J549" s="132"/>
      <c r="K549" s="121"/>
      <c r="L549" s="82"/>
      <c r="M549" s="292"/>
      <c r="N549" s="132"/>
      <c r="O549" s="121"/>
      <c r="P549" s="82"/>
      <c r="Q549" s="292"/>
      <c r="R549" s="132"/>
      <c r="S549" s="121"/>
      <c r="T549" s="82"/>
      <c r="U549" s="292"/>
      <c r="V549" s="132"/>
      <c r="W549" s="121"/>
      <c r="X549" s="82"/>
      <c r="Y549" s="292"/>
      <c r="Z549" s="300"/>
      <c r="AA549" s="301"/>
      <c r="AB549" s="80"/>
      <c r="AC549" s="292"/>
      <c r="AD549" s="132"/>
      <c r="AE549" s="254"/>
      <c r="AF549" s="294"/>
      <c r="AG549" s="292"/>
      <c r="AH549" s="302"/>
      <c r="AI549" s="302"/>
      <c r="AJ549" s="302"/>
      <c r="AK549" s="292"/>
      <c r="AL549" s="82"/>
      <c r="AM549" s="82"/>
      <c r="AN549" s="82"/>
      <c r="AO549" s="292"/>
      <c r="AP549" s="82"/>
      <c r="AQ549" s="82"/>
      <c r="AR549" s="82"/>
      <c r="AS549" s="292"/>
      <c r="AT549" s="82"/>
      <c r="AU549" s="82"/>
      <c r="AV549" s="82"/>
    </row>
    <row r="550">
      <c r="A550" s="292"/>
      <c r="B550" s="132"/>
      <c r="C550" s="121"/>
      <c r="D550" s="82"/>
      <c r="E550" s="292"/>
      <c r="F550" s="132"/>
      <c r="G550" s="121"/>
      <c r="H550" s="82"/>
      <c r="I550" s="292"/>
      <c r="J550" s="132"/>
      <c r="K550" s="121"/>
      <c r="L550" s="82"/>
      <c r="M550" s="292"/>
      <c r="N550" s="132"/>
      <c r="O550" s="121"/>
      <c r="P550" s="82"/>
      <c r="Q550" s="292"/>
      <c r="R550" s="132"/>
      <c r="S550" s="121"/>
      <c r="T550" s="82"/>
      <c r="U550" s="292"/>
      <c r="V550" s="132"/>
      <c r="W550" s="121"/>
      <c r="X550" s="82"/>
      <c r="Y550" s="292"/>
      <c r="Z550" s="300"/>
      <c r="AA550" s="301"/>
      <c r="AB550" s="80"/>
      <c r="AC550" s="292"/>
      <c r="AD550" s="132"/>
      <c r="AE550" s="254"/>
      <c r="AF550" s="294"/>
      <c r="AG550" s="292"/>
      <c r="AH550" s="302"/>
      <c r="AI550" s="302"/>
      <c r="AJ550" s="302"/>
      <c r="AK550" s="292"/>
      <c r="AL550" s="82"/>
      <c r="AM550" s="82"/>
      <c r="AN550" s="82"/>
      <c r="AO550" s="292"/>
      <c r="AP550" s="82"/>
      <c r="AQ550" s="82"/>
      <c r="AR550" s="82"/>
      <c r="AS550" s="292"/>
      <c r="AT550" s="82"/>
      <c r="AU550" s="82"/>
      <c r="AV550" s="82"/>
    </row>
    <row r="551">
      <c r="A551" s="292"/>
      <c r="B551" s="132"/>
      <c r="C551" s="121"/>
      <c r="D551" s="82"/>
      <c r="E551" s="292"/>
      <c r="F551" s="132"/>
      <c r="G551" s="121"/>
      <c r="H551" s="82"/>
      <c r="I551" s="292"/>
      <c r="J551" s="132"/>
      <c r="K551" s="121"/>
      <c r="L551" s="82"/>
      <c r="M551" s="292"/>
      <c r="N551" s="132"/>
      <c r="O551" s="121"/>
      <c r="P551" s="82"/>
      <c r="Q551" s="292"/>
      <c r="R551" s="132"/>
      <c r="S551" s="121"/>
      <c r="T551" s="82"/>
      <c r="U551" s="292"/>
      <c r="V551" s="132"/>
      <c r="W551" s="121"/>
      <c r="X551" s="82"/>
      <c r="Y551" s="292"/>
      <c r="Z551" s="300"/>
      <c r="AA551" s="301"/>
      <c r="AB551" s="80"/>
      <c r="AC551" s="292"/>
      <c r="AD551" s="132"/>
      <c r="AE551" s="254"/>
      <c r="AF551" s="294"/>
      <c r="AG551" s="292"/>
      <c r="AH551" s="302"/>
      <c r="AI551" s="302"/>
      <c r="AJ551" s="302"/>
      <c r="AK551" s="292"/>
      <c r="AL551" s="82"/>
      <c r="AM551" s="82"/>
      <c r="AN551" s="82"/>
      <c r="AO551" s="292"/>
      <c r="AP551" s="82"/>
      <c r="AQ551" s="82"/>
      <c r="AR551" s="82"/>
      <c r="AS551" s="292"/>
      <c r="AT551" s="82"/>
      <c r="AU551" s="82"/>
      <c r="AV551" s="82"/>
    </row>
    <row r="552">
      <c r="A552" s="292"/>
      <c r="B552" s="132"/>
      <c r="C552" s="121"/>
      <c r="D552" s="82"/>
      <c r="E552" s="292"/>
      <c r="F552" s="132"/>
      <c r="G552" s="121"/>
      <c r="H552" s="82"/>
      <c r="I552" s="292"/>
      <c r="J552" s="132"/>
      <c r="K552" s="121"/>
      <c r="L552" s="82"/>
      <c r="M552" s="292"/>
      <c r="N552" s="132"/>
      <c r="O552" s="121"/>
      <c r="P552" s="82"/>
      <c r="Q552" s="292"/>
      <c r="R552" s="132"/>
      <c r="S552" s="121"/>
      <c r="T552" s="82"/>
      <c r="U552" s="292"/>
      <c r="V552" s="132"/>
      <c r="W552" s="121"/>
      <c r="X552" s="82"/>
      <c r="Y552" s="292"/>
      <c r="Z552" s="300"/>
      <c r="AA552" s="301"/>
      <c r="AB552" s="80"/>
      <c r="AC552" s="292"/>
      <c r="AD552" s="132"/>
      <c r="AE552" s="254"/>
      <c r="AF552" s="294"/>
      <c r="AG552" s="292"/>
      <c r="AH552" s="302"/>
      <c r="AI552" s="302"/>
      <c r="AJ552" s="302"/>
      <c r="AK552" s="292"/>
      <c r="AL552" s="82"/>
      <c r="AM552" s="82"/>
      <c r="AN552" s="82"/>
      <c r="AO552" s="292"/>
      <c r="AP552" s="82"/>
      <c r="AQ552" s="82"/>
      <c r="AR552" s="82"/>
      <c r="AS552" s="292"/>
      <c r="AT552" s="82"/>
      <c r="AU552" s="82"/>
      <c r="AV552" s="82"/>
    </row>
    <row r="553">
      <c r="A553" s="292"/>
      <c r="B553" s="132"/>
      <c r="C553" s="121"/>
      <c r="D553" s="82"/>
      <c r="E553" s="292"/>
      <c r="F553" s="132"/>
      <c r="G553" s="121"/>
      <c r="H553" s="82"/>
      <c r="I553" s="292"/>
      <c r="J553" s="132"/>
      <c r="K553" s="121"/>
      <c r="L553" s="82"/>
      <c r="M553" s="292"/>
      <c r="N553" s="132"/>
      <c r="O553" s="121"/>
      <c r="P553" s="82"/>
      <c r="Q553" s="292"/>
      <c r="R553" s="132"/>
      <c r="S553" s="121"/>
      <c r="T553" s="82"/>
      <c r="U553" s="292"/>
      <c r="V553" s="132"/>
      <c r="W553" s="121"/>
      <c r="X553" s="82"/>
      <c r="Y553" s="292"/>
      <c r="Z553" s="300"/>
      <c r="AA553" s="301"/>
      <c r="AB553" s="80"/>
      <c r="AC553" s="292"/>
      <c r="AD553" s="132"/>
      <c r="AE553" s="254"/>
      <c r="AF553" s="294"/>
      <c r="AG553" s="292"/>
      <c r="AH553" s="302"/>
      <c r="AI553" s="302"/>
      <c r="AJ553" s="302"/>
      <c r="AK553" s="292"/>
      <c r="AL553" s="82"/>
      <c r="AM553" s="82"/>
      <c r="AN553" s="82"/>
      <c r="AO553" s="292"/>
      <c r="AP553" s="82"/>
      <c r="AQ553" s="82"/>
      <c r="AR553" s="82"/>
      <c r="AS553" s="292"/>
      <c r="AT553" s="82"/>
      <c r="AU553" s="82"/>
      <c r="AV553" s="82"/>
    </row>
    <row r="554">
      <c r="A554" s="292"/>
      <c r="B554" s="132"/>
      <c r="C554" s="121"/>
      <c r="D554" s="82"/>
      <c r="E554" s="292"/>
      <c r="F554" s="132"/>
      <c r="G554" s="121"/>
      <c r="H554" s="82"/>
      <c r="I554" s="292"/>
      <c r="J554" s="132"/>
      <c r="K554" s="121"/>
      <c r="L554" s="82"/>
      <c r="M554" s="292"/>
      <c r="N554" s="132"/>
      <c r="O554" s="121"/>
      <c r="P554" s="82"/>
      <c r="Q554" s="292"/>
      <c r="R554" s="132"/>
      <c r="S554" s="121"/>
      <c r="T554" s="82"/>
      <c r="U554" s="292"/>
      <c r="V554" s="132"/>
      <c r="W554" s="121"/>
      <c r="X554" s="82"/>
      <c r="Y554" s="292"/>
      <c r="Z554" s="300"/>
      <c r="AA554" s="301"/>
      <c r="AB554" s="80"/>
      <c r="AC554" s="292"/>
      <c r="AD554" s="132"/>
      <c r="AE554" s="254"/>
      <c r="AF554" s="294"/>
      <c r="AG554" s="292"/>
      <c r="AH554" s="302"/>
      <c r="AI554" s="302"/>
      <c r="AJ554" s="302"/>
      <c r="AK554" s="292"/>
      <c r="AL554" s="82"/>
      <c r="AM554" s="82"/>
      <c r="AN554" s="82"/>
      <c r="AO554" s="292"/>
      <c r="AP554" s="82"/>
      <c r="AQ554" s="82"/>
      <c r="AR554" s="82"/>
      <c r="AS554" s="292"/>
      <c r="AT554" s="82"/>
      <c r="AU554" s="82"/>
      <c r="AV554" s="82"/>
    </row>
    <row r="555">
      <c r="A555" s="292"/>
      <c r="B555" s="132"/>
      <c r="C555" s="121"/>
      <c r="D555" s="82"/>
      <c r="E555" s="292"/>
      <c r="F555" s="132"/>
      <c r="G555" s="121"/>
      <c r="H555" s="82"/>
      <c r="I555" s="292"/>
      <c r="J555" s="132"/>
      <c r="K555" s="121"/>
      <c r="L555" s="82"/>
      <c r="M555" s="292"/>
      <c r="N555" s="132"/>
      <c r="O555" s="121"/>
      <c r="P555" s="82"/>
      <c r="Q555" s="292"/>
      <c r="R555" s="132"/>
      <c r="S555" s="121"/>
      <c r="T555" s="82"/>
      <c r="U555" s="292"/>
      <c r="V555" s="132"/>
      <c r="W555" s="121"/>
      <c r="X555" s="82"/>
      <c r="Y555" s="292"/>
      <c r="Z555" s="300"/>
      <c r="AA555" s="301"/>
      <c r="AB555" s="80"/>
      <c r="AC555" s="292"/>
      <c r="AD555" s="132"/>
      <c r="AE555" s="254"/>
      <c r="AF555" s="294"/>
      <c r="AG555" s="292"/>
      <c r="AH555" s="302"/>
      <c r="AI555" s="302"/>
      <c r="AJ555" s="302"/>
      <c r="AK555" s="292"/>
      <c r="AL555" s="82"/>
      <c r="AM555" s="82"/>
      <c r="AN555" s="82"/>
      <c r="AO555" s="292"/>
      <c r="AP555" s="82"/>
      <c r="AQ555" s="82"/>
      <c r="AR555" s="82"/>
      <c r="AS555" s="292"/>
      <c r="AT555" s="82"/>
      <c r="AU555" s="82"/>
      <c r="AV555" s="82"/>
    </row>
    <row r="556">
      <c r="A556" s="292"/>
      <c r="B556" s="132"/>
      <c r="C556" s="121"/>
      <c r="D556" s="82"/>
      <c r="E556" s="292"/>
      <c r="F556" s="132"/>
      <c r="G556" s="121"/>
      <c r="H556" s="82"/>
      <c r="I556" s="292"/>
      <c r="J556" s="132"/>
      <c r="K556" s="121"/>
      <c r="L556" s="82"/>
      <c r="M556" s="292"/>
      <c r="N556" s="132"/>
      <c r="O556" s="121"/>
      <c r="P556" s="82"/>
      <c r="Q556" s="292"/>
      <c r="R556" s="132"/>
      <c r="S556" s="121"/>
      <c r="T556" s="82"/>
      <c r="U556" s="292"/>
      <c r="V556" s="132"/>
      <c r="W556" s="121"/>
      <c r="X556" s="82"/>
      <c r="Y556" s="292"/>
      <c r="Z556" s="300"/>
      <c r="AA556" s="301"/>
      <c r="AB556" s="80"/>
      <c r="AC556" s="292"/>
      <c r="AD556" s="132"/>
      <c r="AE556" s="254"/>
      <c r="AF556" s="294"/>
      <c r="AG556" s="292"/>
      <c r="AH556" s="302"/>
      <c r="AI556" s="302"/>
      <c r="AJ556" s="302"/>
      <c r="AK556" s="292"/>
      <c r="AL556" s="82"/>
      <c r="AM556" s="82"/>
      <c r="AN556" s="82"/>
      <c r="AO556" s="292"/>
      <c r="AP556" s="82"/>
      <c r="AQ556" s="82"/>
      <c r="AR556" s="82"/>
      <c r="AS556" s="292"/>
      <c r="AT556" s="82"/>
      <c r="AU556" s="82"/>
      <c r="AV556" s="82"/>
    </row>
    <row r="557">
      <c r="A557" s="292"/>
      <c r="B557" s="132"/>
      <c r="C557" s="121"/>
      <c r="D557" s="82"/>
      <c r="E557" s="292"/>
      <c r="F557" s="132"/>
      <c r="G557" s="121"/>
      <c r="H557" s="82"/>
      <c r="I557" s="292"/>
      <c r="J557" s="132"/>
      <c r="K557" s="121"/>
      <c r="L557" s="82"/>
      <c r="M557" s="292"/>
      <c r="N557" s="132"/>
      <c r="O557" s="121"/>
      <c r="P557" s="82"/>
      <c r="Q557" s="292"/>
      <c r="R557" s="132"/>
      <c r="S557" s="121"/>
      <c r="T557" s="82"/>
      <c r="U557" s="292"/>
      <c r="V557" s="132"/>
      <c r="W557" s="121"/>
      <c r="X557" s="82"/>
      <c r="Y557" s="292"/>
      <c r="Z557" s="300"/>
      <c r="AA557" s="301"/>
      <c r="AB557" s="80"/>
      <c r="AC557" s="292"/>
      <c r="AD557" s="132"/>
      <c r="AE557" s="254"/>
      <c r="AF557" s="294"/>
      <c r="AG557" s="292"/>
      <c r="AH557" s="302"/>
      <c r="AI557" s="302"/>
      <c r="AJ557" s="302"/>
      <c r="AK557" s="292"/>
      <c r="AL557" s="82"/>
      <c r="AM557" s="82"/>
      <c r="AN557" s="82"/>
      <c r="AO557" s="292"/>
      <c r="AP557" s="82"/>
      <c r="AQ557" s="82"/>
      <c r="AR557" s="82"/>
      <c r="AS557" s="292"/>
      <c r="AT557" s="82"/>
      <c r="AU557" s="82"/>
      <c r="AV557" s="82"/>
    </row>
    <row r="558">
      <c r="A558" s="292"/>
      <c r="B558" s="132"/>
      <c r="C558" s="121"/>
      <c r="D558" s="82"/>
      <c r="E558" s="292"/>
      <c r="F558" s="132"/>
      <c r="G558" s="121"/>
      <c r="H558" s="82"/>
      <c r="I558" s="292"/>
      <c r="J558" s="132"/>
      <c r="K558" s="121"/>
      <c r="L558" s="82"/>
      <c r="M558" s="292"/>
      <c r="N558" s="132"/>
      <c r="O558" s="121"/>
      <c r="P558" s="82"/>
      <c r="Q558" s="292"/>
      <c r="R558" s="132"/>
      <c r="S558" s="121"/>
      <c r="T558" s="82"/>
      <c r="U558" s="292"/>
      <c r="V558" s="132"/>
      <c r="W558" s="121"/>
      <c r="X558" s="82"/>
      <c r="Y558" s="292"/>
      <c r="Z558" s="300"/>
      <c r="AA558" s="301"/>
      <c r="AB558" s="80"/>
      <c r="AC558" s="292"/>
      <c r="AD558" s="132"/>
      <c r="AE558" s="254"/>
      <c r="AF558" s="294"/>
      <c r="AG558" s="292"/>
      <c r="AH558" s="302"/>
      <c r="AI558" s="302"/>
      <c r="AJ558" s="302"/>
      <c r="AK558" s="292"/>
      <c r="AL558" s="82"/>
      <c r="AM558" s="82"/>
      <c r="AN558" s="82"/>
      <c r="AO558" s="292"/>
      <c r="AP558" s="82"/>
      <c r="AQ558" s="82"/>
      <c r="AR558" s="82"/>
      <c r="AS558" s="292"/>
      <c r="AT558" s="82"/>
      <c r="AU558" s="82"/>
      <c r="AV558" s="82"/>
    </row>
    <row r="559">
      <c r="A559" s="292"/>
      <c r="B559" s="132"/>
      <c r="C559" s="121"/>
      <c r="D559" s="82"/>
      <c r="E559" s="292"/>
      <c r="F559" s="132"/>
      <c r="G559" s="121"/>
      <c r="H559" s="82"/>
      <c r="I559" s="292"/>
      <c r="J559" s="132"/>
      <c r="K559" s="121"/>
      <c r="L559" s="82"/>
      <c r="M559" s="292"/>
      <c r="N559" s="132"/>
      <c r="O559" s="121"/>
      <c r="P559" s="82"/>
      <c r="Q559" s="292"/>
      <c r="R559" s="132"/>
      <c r="S559" s="121"/>
      <c r="T559" s="82"/>
      <c r="U559" s="292"/>
      <c r="V559" s="132"/>
      <c r="W559" s="121"/>
      <c r="X559" s="82"/>
      <c r="Y559" s="292"/>
      <c r="Z559" s="300"/>
      <c r="AA559" s="301"/>
      <c r="AB559" s="80"/>
      <c r="AC559" s="292"/>
      <c r="AD559" s="132"/>
      <c r="AE559" s="254"/>
      <c r="AF559" s="294"/>
      <c r="AG559" s="292"/>
      <c r="AH559" s="302"/>
      <c r="AI559" s="302"/>
      <c r="AJ559" s="302"/>
      <c r="AK559" s="292"/>
      <c r="AL559" s="82"/>
      <c r="AM559" s="82"/>
      <c r="AN559" s="82"/>
      <c r="AO559" s="292"/>
      <c r="AP559" s="82"/>
      <c r="AQ559" s="82"/>
      <c r="AR559" s="82"/>
      <c r="AS559" s="292"/>
      <c r="AT559" s="82"/>
      <c r="AU559" s="82"/>
      <c r="AV559" s="82"/>
    </row>
    <row r="560">
      <c r="A560" s="292"/>
      <c r="B560" s="132"/>
      <c r="C560" s="121"/>
      <c r="D560" s="82"/>
      <c r="E560" s="292"/>
      <c r="F560" s="132"/>
      <c r="G560" s="121"/>
      <c r="H560" s="82"/>
      <c r="I560" s="292"/>
      <c r="J560" s="132"/>
      <c r="K560" s="121"/>
      <c r="L560" s="82"/>
      <c r="M560" s="292"/>
      <c r="N560" s="132"/>
      <c r="O560" s="121"/>
      <c r="P560" s="82"/>
      <c r="Q560" s="292"/>
      <c r="R560" s="132"/>
      <c r="S560" s="121"/>
      <c r="T560" s="82"/>
      <c r="U560" s="292"/>
      <c r="V560" s="132"/>
      <c r="W560" s="121"/>
      <c r="X560" s="82"/>
      <c r="Y560" s="292"/>
      <c r="Z560" s="300"/>
      <c r="AA560" s="301"/>
      <c r="AB560" s="80"/>
      <c r="AC560" s="292"/>
      <c r="AD560" s="132"/>
      <c r="AE560" s="254"/>
      <c r="AF560" s="294"/>
      <c r="AG560" s="292"/>
      <c r="AH560" s="302"/>
      <c r="AI560" s="302"/>
      <c r="AJ560" s="302"/>
      <c r="AK560" s="292"/>
      <c r="AL560" s="82"/>
      <c r="AM560" s="82"/>
      <c r="AN560" s="82"/>
      <c r="AO560" s="292"/>
      <c r="AP560" s="82"/>
      <c r="AQ560" s="82"/>
      <c r="AR560" s="82"/>
      <c r="AS560" s="292"/>
      <c r="AT560" s="82"/>
      <c r="AU560" s="82"/>
      <c r="AV560" s="82"/>
    </row>
    <row r="561">
      <c r="A561" s="292"/>
      <c r="B561" s="132"/>
      <c r="C561" s="121"/>
      <c r="D561" s="82"/>
      <c r="E561" s="292"/>
      <c r="F561" s="132"/>
      <c r="G561" s="121"/>
      <c r="H561" s="82"/>
      <c r="I561" s="292"/>
      <c r="J561" s="132"/>
      <c r="K561" s="121"/>
      <c r="L561" s="82"/>
      <c r="M561" s="292"/>
      <c r="N561" s="132"/>
      <c r="O561" s="121"/>
      <c r="P561" s="82"/>
      <c r="Q561" s="292"/>
      <c r="R561" s="132"/>
      <c r="S561" s="121"/>
      <c r="T561" s="82"/>
      <c r="U561" s="292"/>
      <c r="V561" s="132"/>
      <c r="W561" s="121"/>
      <c r="X561" s="82"/>
      <c r="Y561" s="292"/>
      <c r="Z561" s="300"/>
      <c r="AA561" s="301"/>
      <c r="AB561" s="80"/>
      <c r="AC561" s="292"/>
      <c r="AD561" s="132"/>
      <c r="AE561" s="254"/>
      <c r="AF561" s="294"/>
      <c r="AG561" s="292"/>
      <c r="AH561" s="302"/>
      <c r="AI561" s="302"/>
      <c r="AJ561" s="302"/>
      <c r="AK561" s="292"/>
      <c r="AL561" s="82"/>
      <c r="AM561" s="82"/>
      <c r="AN561" s="82"/>
      <c r="AO561" s="292"/>
      <c r="AP561" s="82"/>
      <c r="AQ561" s="82"/>
      <c r="AR561" s="82"/>
      <c r="AS561" s="292"/>
      <c r="AT561" s="82"/>
      <c r="AU561" s="82"/>
      <c r="AV561" s="82"/>
    </row>
    <row r="562">
      <c r="A562" s="292"/>
      <c r="B562" s="132"/>
      <c r="C562" s="121"/>
      <c r="D562" s="82"/>
      <c r="E562" s="292"/>
      <c r="F562" s="132"/>
      <c r="G562" s="121"/>
      <c r="H562" s="82"/>
      <c r="I562" s="292"/>
      <c r="J562" s="132"/>
      <c r="K562" s="121"/>
      <c r="L562" s="82"/>
      <c r="M562" s="292"/>
      <c r="N562" s="132"/>
      <c r="O562" s="121"/>
      <c r="P562" s="82"/>
      <c r="Q562" s="292"/>
      <c r="R562" s="132"/>
      <c r="S562" s="121"/>
      <c r="T562" s="82"/>
      <c r="U562" s="292"/>
      <c r="V562" s="132"/>
      <c r="W562" s="121"/>
      <c r="X562" s="82"/>
      <c r="Y562" s="292"/>
      <c r="Z562" s="300"/>
      <c r="AA562" s="301"/>
      <c r="AB562" s="80"/>
      <c r="AC562" s="292"/>
      <c r="AD562" s="132"/>
      <c r="AE562" s="254"/>
      <c r="AF562" s="294"/>
      <c r="AG562" s="292"/>
      <c r="AH562" s="302"/>
      <c r="AI562" s="302"/>
      <c r="AJ562" s="302"/>
      <c r="AK562" s="292"/>
      <c r="AL562" s="82"/>
      <c r="AM562" s="82"/>
      <c r="AN562" s="82"/>
      <c r="AO562" s="292"/>
      <c r="AP562" s="82"/>
      <c r="AQ562" s="82"/>
      <c r="AR562" s="82"/>
      <c r="AS562" s="292"/>
      <c r="AT562" s="82"/>
      <c r="AU562" s="82"/>
      <c r="AV562" s="82"/>
    </row>
    <row r="563">
      <c r="A563" s="292"/>
      <c r="B563" s="132"/>
      <c r="C563" s="121"/>
      <c r="D563" s="82"/>
      <c r="E563" s="292"/>
      <c r="F563" s="132"/>
      <c r="G563" s="121"/>
      <c r="H563" s="82"/>
      <c r="I563" s="292"/>
      <c r="J563" s="132"/>
      <c r="K563" s="121"/>
      <c r="L563" s="82"/>
      <c r="M563" s="292"/>
      <c r="N563" s="132"/>
      <c r="O563" s="121"/>
      <c r="P563" s="82"/>
      <c r="Q563" s="292"/>
      <c r="R563" s="132"/>
      <c r="S563" s="121"/>
      <c r="T563" s="82"/>
      <c r="U563" s="292"/>
      <c r="V563" s="132"/>
      <c r="W563" s="121"/>
      <c r="X563" s="82"/>
      <c r="Y563" s="292"/>
      <c r="Z563" s="300"/>
      <c r="AA563" s="301"/>
      <c r="AB563" s="80"/>
      <c r="AC563" s="292"/>
      <c r="AD563" s="132"/>
      <c r="AE563" s="254"/>
      <c r="AF563" s="294"/>
      <c r="AG563" s="292"/>
      <c r="AH563" s="302"/>
      <c r="AI563" s="302"/>
      <c r="AJ563" s="302"/>
      <c r="AK563" s="292"/>
      <c r="AL563" s="82"/>
      <c r="AM563" s="82"/>
      <c r="AN563" s="82"/>
      <c r="AO563" s="292"/>
      <c r="AP563" s="82"/>
      <c r="AQ563" s="82"/>
      <c r="AR563" s="82"/>
      <c r="AS563" s="292"/>
      <c r="AT563" s="82"/>
      <c r="AU563" s="82"/>
      <c r="AV563" s="82"/>
    </row>
    <row r="564">
      <c r="A564" s="292"/>
      <c r="B564" s="132"/>
      <c r="C564" s="121"/>
      <c r="D564" s="82"/>
      <c r="E564" s="292"/>
      <c r="F564" s="132"/>
      <c r="G564" s="121"/>
      <c r="H564" s="82"/>
      <c r="I564" s="292"/>
      <c r="J564" s="132"/>
      <c r="K564" s="121"/>
      <c r="L564" s="82"/>
      <c r="M564" s="292"/>
      <c r="N564" s="132"/>
      <c r="O564" s="121"/>
      <c r="P564" s="82"/>
      <c r="Q564" s="292"/>
      <c r="R564" s="132"/>
      <c r="S564" s="121"/>
      <c r="T564" s="82"/>
      <c r="U564" s="292"/>
      <c r="V564" s="132"/>
      <c r="W564" s="121"/>
      <c r="X564" s="82"/>
      <c r="Y564" s="292"/>
      <c r="Z564" s="300"/>
      <c r="AA564" s="301"/>
      <c r="AB564" s="80"/>
      <c r="AC564" s="292"/>
      <c r="AD564" s="132"/>
      <c r="AE564" s="254"/>
      <c r="AF564" s="294"/>
      <c r="AG564" s="292"/>
      <c r="AH564" s="302"/>
      <c r="AI564" s="302"/>
      <c r="AJ564" s="302"/>
      <c r="AK564" s="292"/>
      <c r="AL564" s="82"/>
      <c r="AM564" s="82"/>
      <c r="AN564" s="82"/>
      <c r="AO564" s="292"/>
      <c r="AP564" s="82"/>
      <c r="AQ564" s="82"/>
      <c r="AR564" s="82"/>
      <c r="AS564" s="292"/>
      <c r="AT564" s="82"/>
      <c r="AU564" s="82"/>
      <c r="AV564" s="82"/>
    </row>
    <row r="565">
      <c r="A565" s="292"/>
      <c r="B565" s="132"/>
      <c r="C565" s="121"/>
      <c r="D565" s="82"/>
      <c r="E565" s="292"/>
      <c r="F565" s="132"/>
      <c r="G565" s="121"/>
      <c r="H565" s="82"/>
      <c r="I565" s="292"/>
      <c r="J565" s="132"/>
      <c r="K565" s="121"/>
      <c r="L565" s="82"/>
      <c r="M565" s="292"/>
      <c r="N565" s="132"/>
      <c r="O565" s="121"/>
      <c r="P565" s="82"/>
      <c r="Q565" s="292"/>
      <c r="R565" s="132"/>
      <c r="S565" s="121"/>
      <c r="T565" s="82"/>
      <c r="U565" s="292"/>
      <c r="V565" s="132"/>
      <c r="W565" s="121"/>
      <c r="X565" s="82"/>
      <c r="Y565" s="292"/>
      <c r="Z565" s="300"/>
      <c r="AA565" s="301"/>
      <c r="AB565" s="80"/>
      <c r="AC565" s="292"/>
      <c r="AD565" s="132"/>
      <c r="AE565" s="254"/>
      <c r="AF565" s="294"/>
      <c r="AG565" s="292"/>
      <c r="AH565" s="302"/>
      <c r="AI565" s="302"/>
      <c r="AJ565" s="302"/>
      <c r="AK565" s="292"/>
      <c r="AL565" s="82"/>
      <c r="AM565" s="82"/>
      <c r="AN565" s="82"/>
      <c r="AO565" s="292"/>
      <c r="AP565" s="82"/>
      <c r="AQ565" s="82"/>
      <c r="AR565" s="82"/>
      <c r="AS565" s="292"/>
      <c r="AT565" s="82"/>
      <c r="AU565" s="82"/>
      <c r="AV565" s="82"/>
    </row>
    <row r="566">
      <c r="A566" s="292"/>
      <c r="B566" s="132"/>
      <c r="C566" s="121"/>
      <c r="D566" s="82"/>
      <c r="E566" s="292"/>
      <c r="F566" s="132"/>
      <c r="G566" s="121"/>
      <c r="H566" s="82"/>
      <c r="I566" s="292"/>
      <c r="J566" s="132"/>
      <c r="K566" s="121"/>
      <c r="L566" s="82"/>
      <c r="M566" s="292"/>
      <c r="N566" s="132"/>
      <c r="O566" s="121"/>
      <c r="P566" s="82"/>
      <c r="Q566" s="292"/>
      <c r="R566" s="132"/>
      <c r="S566" s="121"/>
      <c r="T566" s="82"/>
      <c r="U566" s="292"/>
      <c r="V566" s="132"/>
      <c r="W566" s="121"/>
      <c r="X566" s="82"/>
      <c r="Y566" s="292"/>
      <c r="Z566" s="300"/>
      <c r="AA566" s="301"/>
      <c r="AB566" s="80"/>
      <c r="AC566" s="292"/>
      <c r="AD566" s="132"/>
      <c r="AE566" s="254"/>
      <c r="AF566" s="294"/>
      <c r="AG566" s="292"/>
      <c r="AH566" s="302"/>
      <c r="AI566" s="302"/>
      <c r="AJ566" s="302"/>
      <c r="AK566" s="292"/>
      <c r="AL566" s="82"/>
      <c r="AM566" s="82"/>
      <c r="AN566" s="82"/>
      <c r="AO566" s="292"/>
      <c r="AP566" s="82"/>
      <c r="AQ566" s="82"/>
      <c r="AR566" s="82"/>
      <c r="AS566" s="292"/>
      <c r="AT566" s="82"/>
      <c r="AU566" s="82"/>
      <c r="AV566" s="82"/>
    </row>
    <row r="567">
      <c r="A567" s="292"/>
      <c r="B567" s="132"/>
      <c r="C567" s="121"/>
      <c r="D567" s="82"/>
      <c r="E567" s="292"/>
      <c r="F567" s="132"/>
      <c r="G567" s="121"/>
      <c r="H567" s="82"/>
      <c r="I567" s="292"/>
      <c r="J567" s="132"/>
      <c r="K567" s="121"/>
      <c r="L567" s="82"/>
      <c r="M567" s="292"/>
      <c r="N567" s="132"/>
      <c r="O567" s="121"/>
      <c r="P567" s="82"/>
      <c r="Q567" s="292"/>
      <c r="R567" s="132"/>
      <c r="S567" s="121"/>
      <c r="T567" s="82"/>
      <c r="U567" s="292"/>
      <c r="V567" s="132"/>
      <c r="W567" s="121"/>
      <c r="X567" s="82"/>
      <c r="Y567" s="292"/>
      <c r="Z567" s="300"/>
      <c r="AA567" s="301"/>
      <c r="AB567" s="80"/>
      <c r="AC567" s="292"/>
      <c r="AD567" s="132"/>
      <c r="AE567" s="254"/>
      <c r="AF567" s="294"/>
      <c r="AG567" s="292"/>
      <c r="AH567" s="302"/>
      <c r="AI567" s="302"/>
      <c r="AJ567" s="302"/>
      <c r="AK567" s="292"/>
      <c r="AL567" s="82"/>
      <c r="AM567" s="82"/>
      <c r="AN567" s="82"/>
      <c r="AO567" s="292"/>
      <c r="AP567" s="82"/>
      <c r="AQ567" s="82"/>
      <c r="AR567" s="82"/>
      <c r="AS567" s="292"/>
      <c r="AT567" s="82"/>
      <c r="AU567" s="82"/>
      <c r="AV567" s="82"/>
    </row>
    <row r="568">
      <c r="A568" s="292"/>
      <c r="B568" s="132"/>
      <c r="C568" s="121"/>
      <c r="D568" s="82"/>
      <c r="E568" s="292"/>
      <c r="F568" s="132"/>
      <c r="G568" s="121"/>
      <c r="H568" s="82"/>
      <c r="I568" s="292"/>
      <c r="J568" s="132"/>
      <c r="K568" s="121"/>
      <c r="L568" s="82"/>
      <c r="M568" s="292"/>
      <c r="N568" s="132"/>
      <c r="O568" s="121"/>
      <c r="P568" s="82"/>
      <c r="Q568" s="292"/>
      <c r="R568" s="132"/>
      <c r="S568" s="121"/>
      <c r="T568" s="82"/>
      <c r="U568" s="292"/>
      <c r="V568" s="132"/>
      <c r="W568" s="121"/>
      <c r="X568" s="82"/>
      <c r="Y568" s="292"/>
      <c r="Z568" s="300"/>
      <c r="AA568" s="301"/>
      <c r="AB568" s="80"/>
      <c r="AC568" s="292"/>
      <c r="AD568" s="132"/>
      <c r="AE568" s="254"/>
      <c r="AF568" s="294"/>
      <c r="AG568" s="292"/>
      <c r="AH568" s="302"/>
      <c r="AI568" s="302"/>
      <c r="AJ568" s="302"/>
      <c r="AK568" s="292"/>
      <c r="AL568" s="82"/>
      <c r="AM568" s="82"/>
      <c r="AN568" s="82"/>
      <c r="AO568" s="292"/>
      <c r="AP568" s="82"/>
      <c r="AQ568" s="82"/>
      <c r="AR568" s="82"/>
      <c r="AS568" s="292"/>
      <c r="AT568" s="82"/>
      <c r="AU568" s="82"/>
      <c r="AV568" s="82"/>
    </row>
    <row r="569">
      <c r="A569" s="292"/>
      <c r="B569" s="132"/>
      <c r="C569" s="121"/>
      <c r="D569" s="82"/>
      <c r="E569" s="292"/>
      <c r="F569" s="132"/>
      <c r="G569" s="121"/>
      <c r="H569" s="82"/>
      <c r="I569" s="292"/>
      <c r="J569" s="132"/>
      <c r="K569" s="121"/>
      <c r="L569" s="82"/>
      <c r="M569" s="292"/>
      <c r="N569" s="132"/>
      <c r="O569" s="121"/>
      <c r="P569" s="82"/>
      <c r="Q569" s="292"/>
      <c r="R569" s="132"/>
      <c r="S569" s="121"/>
      <c r="T569" s="82"/>
      <c r="U569" s="292"/>
      <c r="V569" s="132"/>
      <c r="W569" s="121"/>
      <c r="X569" s="82"/>
      <c r="Y569" s="292"/>
      <c r="Z569" s="300"/>
      <c r="AA569" s="301"/>
      <c r="AB569" s="80"/>
      <c r="AC569" s="292"/>
      <c r="AD569" s="132"/>
      <c r="AE569" s="254"/>
      <c r="AF569" s="294"/>
      <c r="AG569" s="292"/>
      <c r="AH569" s="302"/>
      <c r="AI569" s="302"/>
      <c r="AJ569" s="302"/>
      <c r="AK569" s="292"/>
      <c r="AL569" s="82"/>
      <c r="AM569" s="82"/>
      <c r="AN569" s="82"/>
      <c r="AO569" s="292"/>
      <c r="AP569" s="82"/>
      <c r="AQ569" s="82"/>
      <c r="AR569" s="82"/>
      <c r="AS569" s="292"/>
      <c r="AT569" s="82"/>
      <c r="AU569" s="82"/>
      <c r="AV569" s="82"/>
    </row>
    <row r="570">
      <c r="A570" s="292"/>
      <c r="B570" s="132"/>
      <c r="C570" s="121"/>
      <c r="D570" s="82"/>
      <c r="E570" s="292"/>
      <c r="F570" s="132"/>
      <c r="G570" s="121"/>
      <c r="H570" s="82"/>
      <c r="I570" s="292"/>
      <c r="J570" s="132"/>
      <c r="K570" s="121"/>
      <c r="L570" s="82"/>
      <c r="M570" s="292"/>
      <c r="N570" s="132"/>
      <c r="O570" s="121"/>
      <c r="P570" s="82"/>
      <c r="Q570" s="292"/>
      <c r="R570" s="132"/>
      <c r="S570" s="121"/>
      <c r="T570" s="82"/>
      <c r="U570" s="292"/>
      <c r="V570" s="132"/>
      <c r="W570" s="121"/>
      <c r="X570" s="82"/>
      <c r="Y570" s="292"/>
      <c r="Z570" s="300"/>
      <c r="AA570" s="301"/>
      <c r="AB570" s="80"/>
      <c r="AC570" s="292"/>
      <c r="AD570" s="132"/>
      <c r="AE570" s="254"/>
      <c r="AF570" s="294"/>
      <c r="AG570" s="292"/>
      <c r="AH570" s="302"/>
      <c r="AI570" s="302"/>
      <c r="AJ570" s="302"/>
      <c r="AK570" s="292"/>
      <c r="AL570" s="82"/>
      <c r="AM570" s="82"/>
      <c r="AN570" s="82"/>
      <c r="AO570" s="292"/>
      <c r="AP570" s="82"/>
      <c r="AQ570" s="82"/>
      <c r="AR570" s="82"/>
      <c r="AS570" s="292"/>
      <c r="AT570" s="82"/>
      <c r="AU570" s="82"/>
      <c r="AV570" s="82"/>
    </row>
    <row r="571">
      <c r="A571" s="292"/>
      <c r="B571" s="132"/>
      <c r="C571" s="121"/>
      <c r="D571" s="82"/>
      <c r="E571" s="292"/>
      <c r="F571" s="132"/>
      <c r="G571" s="121"/>
      <c r="H571" s="82"/>
      <c r="I571" s="292"/>
      <c r="J571" s="132"/>
      <c r="K571" s="121"/>
      <c r="L571" s="82"/>
      <c r="M571" s="292"/>
      <c r="N571" s="132"/>
      <c r="O571" s="121"/>
      <c r="P571" s="82"/>
      <c r="Q571" s="292"/>
      <c r="R571" s="132"/>
      <c r="S571" s="121"/>
      <c r="T571" s="82"/>
      <c r="U571" s="292"/>
      <c r="V571" s="132"/>
      <c r="W571" s="121"/>
      <c r="X571" s="82"/>
      <c r="Y571" s="292"/>
      <c r="Z571" s="300"/>
      <c r="AA571" s="301"/>
      <c r="AB571" s="80"/>
      <c r="AC571" s="292"/>
      <c r="AD571" s="132"/>
      <c r="AE571" s="254"/>
      <c r="AF571" s="294"/>
      <c r="AG571" s="292"/>
      <c r="AH571" s="302"/>
      <c r="AI571" s="302"/>
      <c r="AJ571" s="302"/>
      <c r="AK571" s="292"/>
      <c r="AL571" s="82"/>
      <c r="AM571" s="82"/>
      <c r="AN571" s="82"/>
      <c r="AO571" s="292"/>
      <c r="AP571" s="82"/>
      <c r="AQ571" s="82"/>
      <c r="AR571" s="82"/>
      <c r="AS571" s="292"/>
      <c r="AT571" s="82"/>
      <c r="AU571" s="82"/>
      <c r="AV571" s="82"/>
    </row>
    <row r="572">
      <c r="A572" s="292"/>
      <c r="B572" s="132"/>
      <c r="C572" s="121"/>
      <c r="D572" s="82"/>
      <c r="E572" s="292"/>
      <c r="F572" s="132"/>
      <c r="G572" s="121"/>
      <c r="H572" s="82"/>
      <c r="I572" s="292"/>
      <c r="J572" s="132"/>
      <c r="K572" s="121"/>
      <c r="L572" s="82"/>
      <c r="M572" s="292"/>
      <c r="N572" s="132"/>
      <c r="O572" s="121"/>
      <c r="P572" s="82"/>
      <c r="Q572" s="292"/>
      <c r="R572" s="132"/>
      <c r="S572" s="121"/>
      <c r="T572" s="82"/>
      <c r="U572" s="292"/>
      <c r="V572" s="132"/>
      <c r="W572" s="121"/>
      <c r="X572" s="82"/>
      <c r="Y572" s="292"/>
      <c r="Z572" s="300"/>
      <c r="AA572" s="301"/>
      <c r="AB572" s="80"/>
      <c r="AC572" s="292"/>
      <c r="AD572" s="132"/>
      <c r="AE572" s="254"/>
      <c r="AF572" s="294"/>
      <c r="AG572" s="292"/>
      <c r="AH572" s="302"/>
      <c r="AI572" s="302"/>
      <c r="AJ572" s="302"/>
      <c r="AK572" s="292"/>
      <c r="AL572" s="82"/>
      <c r="AM572" s="82"/>
      <c r="AN572" s="82"/>
      <c r="AO572" s="292"/>
      <c r="AP572" s="82"/>
      <c r="AQ572" s="82"/>
      <c r="AR572" s="82"/>
      <c r="AS572" s="292"/>
      <c r="AT572" s="82"/>
      <c r="AU572" s="82"/>
      <c r="AV572" s="82"/>
    </row>
    <row r="573">
      <c r="A573" s="292"/>
      <c r="B573" s="132"/>
      <c r="C573" s="121"/>
      <c r="D573" s="82"/>
      <c r="E573" s="292"/>
      <c r="F573" s="132"/>
      <c r="G573" s="121"/>
      <c r="H573" s="82"/>
      <c r="I573" s="292"/>
      <c r="J573" s="132"/>
      <c r="K573" s="121"/>
      <c r="L573" s="82"/>
      <c r="M573" s="292"/>
      <c r="N573" s="132"/>
      <c r="O573" s="121"/>
      <c r="P573" s="82"/>
      <c r="Q573" s="292"/>
      <c r="R573" s="132"/>
      <c r="S573" s="121"/>
      <c r="T573" s="82"/>
      <c r="U573" s="292"/>
      <c r="V573" s="132"/>
      <c r="W573" s="121"/>
      <c r="X573" s="82"/>
      <c r="Y573" s="292"/>
      <c r="Z573" s="300"/>
      <c r="AA573" s="301"/>
      <c r="AB573" s="80"/>
      <c r="AC573" s="292"/>
      <c r="AD573" s="132"/>
      <c r="AE573" s="254"/>
      <c r="AF573" s="294"/>
      <c r="AG573" s="292"/>
      <c r="AH573" s="302"/>
      <c r="AI573" s="302"/>
      <c r="AJ573" s="302"/>
      <c r="AK573" s="292"/>
      <c r="AL573" s="82"/>
      <c r="AM573" s="82"/>
      <c r="AN573" s="82"/>
      <c r="AO573" s="292"/>
      <c r="AP573" s="82"/>
      <c r="AQ573" s="82"/>
      <c r="AR573" s="82"/>
      <c r="AS573" s="292"/>
      <c r="AT573" s="82"/>
      <c r="AU573" s="82"/>
      <c r="AV573" s="82"/>
    </row>
    <row r="574">
      <c r="A574" s="292"/>
      <c r="B574" s="132"/>
      <c r="C574" s="121"/>
      <c r="D574" s="82"/>
      <c r="E574" s="292"/>
      <c r="F574" s="132"/>
      <c r="G574" s="121"/>
      <c r="H574" s="82"/>
      <c r="I574" s="292"/>
      <c r="J574" s="132"/>
      <c r="K574" s="121"/>
      <c r="L574" s="82"/>
      <c r="M574" s="292"/>
      <c r="N574" s="132"/>
      <c r="O574" s="121"/>
      <c r="P574" s="82"/>
      <c r="Q574" s="292"/>
      <c r="R574" s="132"/>
      <c r="S574" s="121"/>
      <c r="T574" s="82"/>
      <c r="U574" s="292"/>
      <c r="V574" s="132"/>
      <c r="W574" s="121"/>
      <c r="X574" s="82"/>
      <c r="Y574" s="292"/>
      <c r="Z574" s="300"/>
      <c r="AA574" s="301"/>
      <c r="AB574" s="80"/>
      <c r="AC574" s="292"/>
      <c r="AD574" s="132"/>
      <c r="AE574" s="254"/>
      <c r="AF574" s="294"/>
      <c r="AG574" s="292"/>
      <c r="AH574" s="302"/>
      <c r="AI574" s="302"/>
      <c r="AJ574" s="302"/>
      <c r="AK574" s="292"/>
      <c r="AL574" s="82"/>
      <c r="AM574" s="82"/>
      <c r="AN574" s="82"/>
      <c r="AO574" s="292"/>
      <c r="AP574" s="82"/>
      <c r="AQ574" s="82"/>
      <c r="AR574" s="82"/>
      <c r="AS574" s="292"/>
      <c r="AT574" s="82"/>
      <c r="AU574" s="82"/>
      <c r="AV574" s="82"/>
    </row>
    <row r="575">
      <c r="A575" s="292"/>
      <c r="B575" s="132"/>
      <c r="C575" s="121"/>
      <c r="D575" s="82"/>
      <c r="E575" s="292"/>
      <c r="F575" s="132"/>
      <c r="G575" s="121"/>
      <c r="H575" s="82"/>
      <c r="I575" s="292"/>
      <c r="J575" s="132"/>
      <c r="K575" s="121"/>
      <c r="L575" s="82"/>
      <c r="M575" s="292"/>
      <c r="N575" s="132"/>
      <c r="O575" s="121"/>
      <c r="P575" s="82"/>
      <c r="Q575" s="292"/>
      <c r="R575" s="132"/>
      <c r="S575" s="121"/>
      <c r="T575" s="82"/>
      <c r="U575" s="292"/>
      <c r="V575" s="132"/>
      <c r="W575" s="121"/>
      <c r="X575" s="82"/>
      <c r="Y575" s="292"/>
      <c r="Z575" s="300"/>
      <c r="AA575" s="301"/>
      <c r="AB575" s="80"/>
      <c r="AC575" s="292"/>
      <c r="AD575" s="132"/>
      <c r="AE575" s="254"/>
      <c r="AF575" s="294"/>
      <c r="AG575" s="292"/>
      <c r="AH575" s="302"/>
      <c r="AI575" s="302"/>
      <c r="AJ575" s="302"/>
      <c r="AK575" s="292"/>
      <c r="AL575" s="82"/>
      <c r="AM575" s="82"/>
      <c r="AN575" s="82"/>
      <c r="AO575" s="292"/>
      <c r="AP575" s="82"/>
      <c r="AQ575" s="82"/>
      <c r="AR575" s="82"/>
      <c r="AS575" s="292"/>
      <c r="AT575" s="82"/>
      <c r="AU575" s="82"/>
      <c r="AV575" s="82"/>
    </row>
    <row r="576">
      <c r="A576" s="292"/>
      <c r="B576" s="132"/>
      <c r="C576" s="121"/>
      <c r="D576" s="82"/>
      <c r="E576" s="292"/>
      <c r="F576" s="132"/>
      <c r="G576" s="121"/>
      <c r="H576" s="82"/>
      <c r="I576" s="292"/>
      <c r="J576" s="132"/>
      <c r="K576" s="121"/>
      <c r="L576" s="82"/>
      <c r="M576" s="292"/>
      <c r="N576" s="132"/>
      <c r="O576" s="121"/>
      <c r="P576" s="82"/>
      <c r="Q576" s="292"/>
      <c r="R576" s="132"/>
      <c r="S576" s="121"/>
      <c r="T576" s="82"/>
      <c r="U576" s="292"/>
      <c r="V576" s="132"/>
      <c r="W576" s="121"/>
      <c r="X576" s="82"/>
      <c r="Y576" s="292"/>
      <c r="Z576" s="300"/>
      <c r="AA576" s="301"/>
      <c r="AB576" s="80"/>
      <c r="AC576" s="292"/>
      <c r="AD576" s="132"/>
      <c r="AE576" s="254"/>
      <c r="AF576" s="294"/>
      <c r="AG576" s="292"/>
      <c r="AH576" s="302"/>
      <c r="AI576" s="302"/>
      <c r="AJ576" s="302"/>
      <c r="AK576" s="292"/>
      <c r="AL576" s="82"/>
      <c r="AM576" s="82"/>
      <c r="AN576" s="82"/>
      <c r="AO576" s="292"/>
      <c r="AP576" s="82"/>
      <c r="AQ576" s="82"/>
      <c r="AR576" s="82"/>
      <c r="AS576" s="292"/>
      <c r="AT576" s="82"/>
      <c r="AU576" s="82"/>
      <c r="AV576" s="82"/>
    </row>
    <row r="577">
      <c r="A577" s="292"/>
      <c r="B577" s="132"/>
      <c r="C577" s="121"/>
      <c r="D577" s="82"/>
      <c r="E577" s="292"/>
      <c r="F577" s="132"/>
      <c r="G577" s="121"/>
      <c r="H577" s="82"/>
      <c r="I577" s="292"/>
      <c r="J577" s="132"/>
      <c r="K577" s="121"/>
      <c r="L577" s="82"/>
      <c r="M577" s="292"/>
      <c r="N577" s="132"/>
      <c r="O577" s="121"/>
      <c r="P577" s="82"/>
      <c r="Q577" s="292"/>
      <c r="R577" s="132"/>
      <c r="S577" s="121"/>
      <c r="T577" s="82"/>
      <c r="U577" s="292"/>
      <c r="V577" s="132"/>
      <c r="W577" s="121"/>
      <c r="X577" s="82"/>
      <c r="Y577" s="292"/>
      <c r="Z577" s="300"/>
      <c r="AA577" s="301"/>
      <c r="AB577" s="80"/>
      <c r="AC577" s="292"/>
      <c r="AD577" s="132"/>
      <c r="AE577" s="254"/>
      <c r="AF577" s="294"/>
      <c r="AG577" s="292"/>
      <c r="AH577" s="302"/>
      <c r="AI577" s="302"/>
      <c r="AJ577" s="302"/>
      <c r="AK577" s="292"/>
      <c r="AL577" s="82"/>
      <c r="AM577" s="82"/>
      <c r="AN577" s="82"/>
      <c r="AO577" s="292"/>
      <c r="AP577" s="82"/>
      <c r="AQ577" s="82"/>
      <c r="AR577" s="82"/>
      <c r="AS577" s="292"/>
      <c r="AT577" s="82"/>
      <c r="AU577" s="82"/>
      <c r="AV577" s="82"/>
    </row>
    <row r="578">
      <c r="A578" s="292"/>
      <c r="B578" s="132"/>
      <c r="C578" s="121"/>
      <c r="D578" s="82"/>
      <c r="E578" s="292"/>
      <c r="F578" s="132"/>
      <c r="G578" s="121"/>
      <c r="H578" s="82"/>
      <c r="I578" s="292"/>
      <c r="J578" s="132"/>
      <c r="K578" s="121"/>
      <c r="L578" s="82"/>
      <c r="M578" s="292"/>
      <c r="N578" s="132"/>
      <c r="O578" s="121"/>
      <c r="P578" s="82"/>
      <c r="Q578" s="292"/>
      <c r="R578" s="132"/>
      <c r="S578" s="121"/>
      <c r="T578" s="82"/>
      <c r="U578" s="292"/>
      <c r="V578" s="132"/>
      <c r="W578" s="121"/>
      <c r="X578" s="82"/>
      <c r="Y578" s="292"/>
      <c r="Z578" s="300"/>
      <c r="AA578" s="301"/>
      <c r="AB578" s="80"/>
      <c r="AC578" s="292"/>
      <c r="AD578" s="132"/>
      <c r="AE578" s="254"/>
      <c r="AF578" s="294"/>
      <c r="AG578" s="292"/>
      <c r="AH578" s="302"/>
      <c r="AI578" s="302"/>
      <c r="AJ578" s="302"/>
      <c r="AK578" s="292"/>
      <c r="AL578" s="82"/>
      <c r="AM578" s="82"/>
      <c r="AN578" s="82"/>
      <c r="AO578" s="292"/>
      <c r="AP578" s="82"/>
      <c r="AQ578" s="82"/>
      <c r="AR578" s="82"/>
      <c r="AS578" s="292"/>
      <c r="AT578" s="82"/>
      <c r="AU578" s="82"/>
      <c r="AV578" s="82"/>
    </row>
    <row r="579">
      <c r="A579" s="292"/>
      <c r="B579" s="132"/>
      <c r="C579" s="121"/>
      <c r="D579" s="82"/>
      <c r="E579" s="292"/>
      <c r="F579" s="132"/>
      <c r="G579" s="121"/>
      <c r="H579" s="82"/>
      <c r="I579" s="292"/>
      <c r="J579" s="132"/>
      <c r="K579" s="121"/>
      <c r="L579" s="82"/>
      <c r="M579" s="292"/>
      <c r="N579" s="132"/>
      <c r="O579" s="121"/>
      <c r="P579" s="82"/>
      <c r="Q579" s="292"/>
      <c r="R579" s="132"/>
      <c r="S579" s="121"/>
      <c r="T579" s="82"/>
      <c r="U579" s="292"/>
      <c r="V579" s="132"/>
      <c r="W579" s="121"/>
      <c r="X579" s="82"/>
      <c r="Y579" s="292"/>
      <c r="Z579" s="300"/>
      <c r="AA579" s="301"/>
      <c r="AB579" s="80"/>
      <c r="AC579" s="292"/>
      <c r="AD579" s="132"/>
      <c r="AE579" s="254"/>
      <c r="AF579" s="294"/>
      <c r="AG579" s="292"/>
      <c r="AH579" s="302"/>
      <c r="AI579" s="302"/>
      <c r="AJ579" s="302"/>
      <c r="AK579" s="292"/>
      <c r="AL579" s="82"/>
      <c r="AM579" s="82"/>
      <c r="AN579" s="82"/>
      <c r="AO579" s="292"/>
      <c r="AP579" s="82"/>
      <c r="AQ579" s="82"/>
      <c r="AR579" s="82"/>
      <c r="AS579" s="292"/>
      <c r="AT579" s="82"/>
      <c r="AU579" s="82"/>
      <c r="AV579" s="82"/>
    </row>
    <row r="580">
      <c r="A580" s="292"/>
      <c r="B580" s="132"/>
      <c r="C580" s="121"/>
      <c r="D580" s="82"/>
      <c r="E580" s="292"/>
      <c r="F580" s="132"/>
      <c r="G580" s="121"/>
      <c r="H580" s="82"/>
      <c r="I580" s="292"/>
      <c r="J580" s="132"/>
      <c r="K580" s="121"/>
      <c r="L580" s="82"/>
      <c r="M580" s="292"/>
      <c r="N580" s="132"/>
      <c r="O580" s="121"/>
      <c r="P580" s="82"/>
      <c r="Q580" s="292"/>
      <c r="R580" s="132"/>
      <c r="S580" s="121"/>
      <c r="T580" s="82"/>
      <c r="U580" s="292"/>
      <c r="V580" s="132"/>
      <c r="W580" s="121"/>
      <c r="X580" s="82"/>
      <c r="Y580" s="292"/>
      <c r="Z580" s="300"/>
      <c r="AA580" s="301"/>
      <c r="AB580" s="80"/>
      <c r="AC580" s="292"/>
      <c r="AD580" s="132"/>
      <c r="AE580" s="254"/>
      <c r="AF580" s="294"/>
      <c r="AG580" s="292"/>
      <c r="AH580" s="302"/>
      <c r="AI580" s="302"/>
      <c r="AJ580" s="302"/>
      <c r="AK580" s="292"/>
      <c r="AL580" s="82"/>
      <c r="AM580" s="82"/>
      <c r="AN580" s="82"/>
      <c r="AO580" s="292"/>
      <c r="AP580" s="82"/>
      <c r="AQ580" s="82"/>
      <c r="AR580" s="82"/>
      <c r="AS580" s="292"/>
      <c r="AT580" s="82"/>
      <c r="AU580" s="82"/>
      <c r="AV580" s="82"/>
    </row>
    <row r="581">
      <c r="A581" s="292"/>
      <c r="B581" s="132"/>
      <c r="C581" s="121"/>
      <c r="D581" s="82"/>
      <c r="E581" s="292"/>
      <c r="F581" s="132"/>
      <c r="G581" s="121"/>
      <c r="H581" s="82"/>
      <c r="I581" s="292"/>
      <c r="J581" s="132"/>
      <c r="K581" s="121"/>
      <c r="L581" s="82"/>
      <c r="M581" s="292"/>
      <c r="N581" s="132"/>
      <c r="O581" s="121"/>
      <c r="P581" s="82"/>
      <c r="Q581" s="292"/>
      <c r="R581" s="132"/>
      <c r="S581" s="121"/>
      <c r="T581" s="82"/>
      <c r="U581" s="292"/>
      <c r="V581" s="132"/>
      <c r="W581" s="121"/>
      <c r="X581" s="82"/>
      <c r="Y581" s="292"/>
      <c r="Z581" s="300"/>
      <c r="AA581" s="301"/>
      <c r="AB581" s="80"/>
      <c r="AC581" s="292"/>
      <c r="AD581" s="132"/>
      <c r="AE581" s="254"/>
      <c r="AF581" s="294"/>
      <c r="AG581" s="292"/>
      <c r="AH581" s="302"/>
      <c r="AI581" s="302"/>
      <c r="AJ581" s="302"/>
      <c r="AK581" s="292"/>
      <c r="AL581" s="82"/>
      <c r="AM581" s="82"/>
      <c r="AN581" s="82"/>
      <c r="AO581" s="292"/>
      <c r="AP581" s="82"/>
      <c r="AQ581" s="82"/>
      <c r="AR581" s="82"/>
      <c r="AS581" s="292"/>
      <c r="AT581" s="82"/>
      <c r="AU581" s="82"/>
      <c r="AV581" s="82"/>
    </row>
    <row r="582">
      <c r="A582" s="292"/>
      <c r="B582" s="132"/>
      <c r="C582" s="121"/>
      <c r="D582" s="82"/>
      <c r="E582" s="292"/>
      <c r="F582" s="132"/>
      <c r="G582" s="121"/>
      <c r="H582" s="82"/>
      <c r="I582" s="292"/>
      <c r="J582" s="132"/>
      <c r="K582" s="121"/>
      <c r="L582" s="82"/>
      <c r="M582" s="292"/>
      <c r="N582" s="132"/>
      <c r="O582" s="121"/>
      <c r="P582" s="82"/>
      <c r="Q582" s="292"/>
      <c r="R582" s="132"/>
      <c r="S582" s="121"/>
      <c r="T582" s="82"/>
      <c r="U582" s="292"/>
      <c r="V582" s="132"/>
      <c r="W582" s="121"/>
      <c r="X582" s="82"/>
      <c r="Y582" s="292"/>
      <c r="Z582" s="300"/>
      <c r="AA582" s="301"/>
      <c r="AB582" s="80"/>
      <c r="AC582" s="292"/>
      <c r="AD582" s="132"/>
      <c r="AE582" s="254"/>
      <c r="AF582" s="294"/>
      <c r="AG582" s="292"/>
      <c r="AH582" s="302"/>
      <c r="AI582" s="302"/>
      <c r="AJ582" s="302"/>
      <c r="AK582" s="292"/>
      <c r="AL582" s="82"/>
      <c r="AM582" s="82"/>
      <c r="AN582" s="82"/>
      <c r="AO582" s="292"/>
      <c r="AP582" s="82"/>
      <c r="AQ582" s="82"/>
      <c r="AR582" s="82"/>
      <c r="AS582" s="292"/>
      <c r="AT582" s="82"/>
      <c r="AU582" s="82"/>
      <c r="AV582" s="82"/>
    </row>
    <row r="583">
      <c r="A583" s="292"/>
      <c r="B583" s="132"/>
      <c r="C583" s="121"/>
      <c r="D583" s="82"/>
      <c r="E583" s="292"/>
      <c r="F583" s="132"/>
      <c r="G583" s="121"/>
      <c r="H583" s="82"/>
      <c r="I583" s="292"/>
      <c r="J583" s="132"/>
      <c r="K583" s="121"/>
      <c r="L583" s="82"/>
      <c r="M583" s="292"/>
      <c r="N583" s="132"/>
      <c r="O583" s="121"/>
      <c r="P583" s="82"/>
      <c r="Q583" s="292"/>
      <c r="R583" s="132"/>
      <c r="S583" s="121"/>
      <c r="T583" s="82"/>
      <c r="U583" s="292"/>
      <c r="V583" s="132"/>
      <c r="W583" s="121"/>
      <c r="X583" s="82"/>
      <c r="Y583" s="292"/>
      <c r="Z583" s="300"/>
      <c r="AA583" s="301"/>
      <c r="AB583" s="80"/>
      <c r="AC583" s="292"/>
      <c r="AD583" s="132"/>
      <c r="AE583" s="254"/>
      <c r="AF583" s="294"/>
      <c r="AG583" s="292"/>
      <c r="AH583" s="302"/>
      <c r="AI583" s="302"/>
      <c r="AJ583" s="302"/>
      <c r="AK583" s="292"/>
      <c r="AL583" s="82"/>
      <c r="AM583" s="82"/>
      <c r="AN583" s="82"/>
      <c r="AO583" s="292"/>
      <c r="AP583" s="82"/>
      <c r="AQ583" s="82"/>
      <c r="AR583" s="82"/>
      <c r="AS583" s="292"/>
      <c r="AT583" s="82"/>
      <c r="AU583" s="82"/>
      <c r="AV583" s="82"/>
    </row>
    <row r="584">
      <c r="A584" s="292"/>
      <c r="B584" s="132"/>
      <c r="C584" s="121"/>
      <c r="D584" s="82"/>
      <c r="E584" s="292"/>
      <c r="F584" s="132"/>
      <c r="G584" s="121"/>
      <c r="H584" s="82"/>
      <c r="I584" s="292"/>
      <c r="J584" s="132"/>
      <c r="K584" s="121"/>
      <c r="L584" s="82"/>
      <c r="M584" s="292"/>
      <c r="N584" s="132"/>
      <c r="O584" s="121"/>
      <c r="P584" s="82"/>
      <c r="Q584" s="292"/>
      <c r="R584" s="132"/>
      <c r="S584" s="121"/>
      <c r="T584" s="82"/>
      <c r="U584" s="292"/>
      <c r="V584" s="132"/>
      <c r="W584" s="121"/>
      <c r="X584" s="82"/>
      <c r="Y584" s="292"/>
      <c r="Z584" s="300"/>
      <c r="AA584" s="301"/>
      <c r="AB584" s="80"/>
      <c r="AC584" s="292"/>
      <c r="AD584" s="132"/>
      <c r="AE584" s="254"/>
      <c r="AF584" s="294"/>
      <c r="AG584" s="292"/>
      <c r="AH584" s="302"/>
      <c r="AI584" s="302"/>
      <c r="AJ584" s="302"/>
      <c r="AK584" s="292"/>
      <c r="AL584" s="82"/>
      <c r="AM584" s="82"/>
      <c r="AN584" s="82"/>
      <c r="AO584" s="292"/>
      <c r="AP584" s="82"/>
      <c r="AQ584" s="82"/>
      <c r="AR584" s="82"/>
      <c r="AS584" s="292"/>
      <c r="AT584" s="82"/>
      <c r="AU584" s="82"/>
      <c r="AV584" s="82"/>
    </row>
    <row r="585">
      <c r="A585" s="292"/>
      <c r="B585" s="132"/>
      <c r="C585" s="121"/>
      <c r="D585" s="82"/>
      <c r="E585" s="292"/>
      <c r="F585" s="132"/>
      <c r="G585" s="121"/>
      <c r="H585" s="82"/>
      <c r="I585" s="292"/>
      <c r="J585" s="132"/>
      <c r="K585" s="121"/>
      <c r="L585" s="82"/>
      <c r="M585" s="292"/>
      <c r="N585" s="132"/>
      <c r="O585" s="121"/>
      <c r="P585" s="82"/>
      <c r="Q585" s="292"/>
      <c r="R585" s="132"/>
      <c r="S585" s="121"/>
      <c r="T585" s="82"/>
      <c r="U585" s="292"/>
      <c r="V585" s="132"/>
      <c r="W585" s="121"/>
      <c r="X585" s="82"/>
      <c r="Y585" s="292"/>
      <c r="Z585" s="300"/>
      <c r="AA585" s="301"/>
      <c r="AB585" s="80"/>
      <c r="AC585" s="292"/>
      <c r="AD585" s="132"/>
      <c r="AE585" s="254"/>
      <c r="AF585" s="294"/>
      <c r="AG585" s="292"/>
      <c r="AH585" s="302"/>
      <c r="AI585" s="302"/>
      <c r="AJ585" s="302"/>
      <c r="AK585" s="292"/>
      <c r="AL585" s="82"/>
      <c r="AM585" s="82"/>
      <c r="AN585" s="82"/>
      <c r="AO585" s="292"/>
      <c r="AP585" s="82"/>
      <c r="AQ585" s="82"/>
      <c r="AR585" s="82"/>
      <c r="AS585" s="292"/>
      <c r="AT585" s="82"/>
      <c r="AU585" s="82"/>
      <c r="AV585" s="82"/>
    </row>
    <row r="586">
      <c r="A586" s="292"/>
      <c r="B586" s="132"/>
      <c r="C586" s="121"/>
      <c r="D586" s="82"/>
      <c r="E586" s="292"/>
      <c r="F586" s="132"/>
      <c r="G586" s="121"/>
      <c r="H586" s="82"/>
      <c r="I586" s="292"/>
      <c r="J586" s="132"/>
      <c r="K586" s="121"/>
      <c r="L586" s="82"/>
      <c r="M586" s="292"/>
      <c r="N586" s="132"/>
      <c r="O586" s="121"/>
      <c r="P586" s="82"/>
      <c r="Q586" s="292"/>
      <c r="R586" s="132"/>
      <c r="S586" s="121"/>
      <c r="T586" s="82"/>
      <c r="U586" s="292"/>
      <c r="V586" s="132"/>
      <c r="W586" s="121"/>
      <c r="X586" s="82"/>
      <c r="Y586" s="292"/>
      <c r="Z586" s="300"/>
      <c r="AA586" s="301"/>
      <c r="AB586" s="80"/>
      <c r="AC586" s="292"/>
      <c r="AD586" s="132"/>
      <c r="AE586" s="254"/>
      <c r="AF586" s="294"/>
      <c r="AG586" s="292"/>
      <c r="AH586" s="302"/>
      <c r="AI586" s="302"/>
      <c r="AJ586" s="302"/>
      <c r="AK586" s="292"/>
      <c r="AL586" s="82"/>
      <c r="AM586" s="82"/>
      <c r="AN586" s="82"/>
      <c r="AO586" s="292"/>
      <c r="AP586" s="82"/>
      <c r="AQ586" s="82"/>
      <c r="AR586" s="82"/>
      <c r="AS586" s="292"/>
      <c r="AT586" s="82"/>
      <c r="AU586" s="82"/>
      <c r="AV586" s="82"/>
    </row>
    <row r="587">
      <c r="A587" s="292"/>
      <c r="B587" s="132"/>
      <c r="C587" s="121"/>
      <c r="D587" s="82"/>
      <c r="E587" s="292"/>
      <c r="F587" s="132"/>
      <c r="G587" s="121"/>
      <c r="H587" s="82"/>
      <c r="I587" s="292"/>
      <c r="J587" s="132"/>
      <c r="K587" s="121"/>
      <c r="L587" s="82"/>
      <c r="M587" s="292"/>
      <c r="N587" s="132"/>
      <c r="O587" s="121"/>
      <c r="P587" s="82"/>
      <c r="Q587" s="292"/>
      <c r="R587" s="132"/>
      <c r="S587" s="121"/>
      <c r="T587" s="82"/>
      <c r="U587" s="292"/>
      <c r="V587" s="132"/>
      <c r="W587" s="121"/>
      <c r="X587" s="82"/>
      <c r="Y587" s="292"/>
      <c r="Z587" s="300"/>
      <c r="AA587" s="301"/>
      <c r="AB587" s="80"/>
      <c r="AC587" s="292"/>
      <c r="AD587" s="132"/>
      <c r="AE587" s="254"/>
      <c r="AF587" s="294"/>
      <c r="AG587" s="292"/>
      <c r="AH587" s="302"/>
      <c r="AI587" s="302"/>
      <c r="AJ587" s="302"/>
      <c r="AK587" s="292"/>
      <c r="AL587" s="82"/>
      <c r="AM587" s="82"/>
      <c r="AN587" s="82"/>
      <c r="AO587" s="292"/>
      <c r="AP587" s="82"/>
      <c r="AQ587" s="82"/>
      <c r="AR587" s="82"/>
      <c r="AS587" s="292"/>
      <c r="AT587" s="82"/>
      <c r="AU587" s="82"/>
      <c r="AV587" s="82"/>
    </row>
    <row r="588">
      <c r="A588" s="292"/>
      <c r="B588" s="132"/>
      <c r="C588" s="121"/>
      <c r="D588" s="82"/>
      <c r="E588" s="292"/>
      <c r="F588" s="132"/>
      <c r="G588" s="121"/>
      <c r="H588" s="82"/>
      <c r="I588" s="292"/>
      <c r="J588" s="132"/>
      <c r="K588" s="121"/>
      <c r="L588" s="82"/>
      <c r="M588" s="292"/>
      <c r="N588" s="132"/>
      <c r="O588" s="121"/>
      <c r="P588" s="82"/>
      <c r="Q588" s="292"/>
      <c r="R588" s="132"/>
      <c r="S588" s="121"/>
      <c r="T588" s="82"/>
      <c r="U588" s="292"/>
      <c r="V588" s="132"/>
      <c r="W588" s="121"/>
      <c r="X588" s="82"/>
      <c r="Y588" s="292"/>
      <c r="Z588" s="300"/>
      <c r="AA588" s="301"/>
      <c r="AB588" s="80"/>
      <c r="AC588" s="292"/>
      <c r="AD588" s="132"/>
      <c r="AE588" s="254"/>
      <c r="AF588" s="294"/>
      <c r="AG588" s="292"/>
      <c r="AH588" s="302"/>
      <c r="AI588" s="302"/>
      <c r="AJ588" s="302"/>
      <c r="AK588" s="292"/>
      <c r="AL588" s="82"/>
      <c r="AM588" s="82"/>
      <c r="AN588" s="82"/>
      <c r="AO588" s="292"/>
      <c r="AP588" s="82"/>
      <c r="AQ588" s="82"/>
      <c r="AR588" s="82"/>
      <c r="AS588" s="292"/>
      <c r="AT588" s="82"/>
      <c r="AU588" s="82"/>
      <c r="AV588" s="82"/>
    </row>
    <row r="589">
      <c r="A589" s="292"/>
      <c r="B589" s="132"/>
      <c r="C589" s="121"/>
      <c r="D589" s="82"/>
      <c r="E589" s="292"/>
      <c r="F589" s="132"/>
      <c r="G589" s="121"/>
      <c r="H589" s="82"/>
      <c r="I589" s="292"/>
      <c r="J589" s="132"/>
      <c r="K589" s="121"/>
      <c r="L589" s="82"/>
      <c r="M589" s="292"/>
      <c r="N589" s="132"/>
      <c r="O589" s="121"/>
      <c r="P589" s="82"/>
      <c r="Q589" s="292"/>
      <c r="R589" s="132"/>
      <c r="S589" s="121"/>
      <c r="T589" s="82"/>
      <c r="U589" s="292"/>
      <c r="V589" s="132"/>
      <c r="W589" s="121"/>
      <c r="X589" s="82"/>
      <c r="Y589" s="292"/>
      <c r="Z589" s="300"/>
      <c r="AA589" s="301"/>
      <c r="AB589" s="80"/>
      <c r="AC589" s="292"/>
      <c r="AD589" s="132"/>
      <c r="AE589" s="254"/>
      <c r="AF589" s="294"/>
      <c r="AG589" s="292"/>
      <c r="AH589" s="302"/>
      <c r="AI589" s="302"/>
      <c r="AJ589" s="302"/>
      <c r="AK589" s="292"/>
      <c r="AL589" s="82"/>
      <c r="AM589" s="82"/>
      <c r="AN589" s="82"/>
      <c r="AO589" s="292"/>
      <c r="AP589" s="82"/>
      <c r="AQ589" s="82"/>
      <c r="AR589" s="82"/>
      <c r="AS589" s="292"/>
      <c r="AT589" s="82"/>
      <c r="AU589" s="82"/>
      <c r="AV589" s="82"/>
    </row>
    <row r="590">
      <c r="A590" s="292"/>
      <c r="B590" s="132"/>
      <c r="C590" s="121"/>
      <c r="D590" s="82"/>
      <c r="E590" s="292"/>
      <c r="F590" s="132"/>
      <c r="G590" s="121"/>
      <c r="H590" s="82"/>
      <c r="I590" s="292"/>
      <c r="J590" s="132"/>
      <c r="K590" s="121"/>
      <c r="L590" s="82"/>
      <c r="M590" s="292"/>
      <c r="N590" s="132"/>
      <c r="O590" s="121"/>
      <c r="P590" s="82"/>
      <c r="Q590" s="292"/>
      <c r="R590" s="132"/>
      <c r="S590" s="121"/>
      <c r="T590" s="82"/>
      <c r="U590" s="292"/>
      <c r="V590" s="132"/>
      <c r="W590" s="121"/>
      <c r="X590" s="82"/>
      <c r="Y590" s="292"/>
      <c r="Z590" s="300"/>
      <c r="AA590" s="301"/>
      <c r="AB590" s="80"/>
      <c r="AC590" s="292"/>
      <c r="AD590" s="132"/>
      <c r="AE590" s="254"/>
      <c r="AF590" s="294"/>
      <c r="AG590" s="292"/>
      <c r="AH590" s="302"/>
      <c r="AI590" s="302"/>
      <c r="AJ590" s="302"/>
      <c r="AK590" s="292"/>
      <c r="AL590" s="82"/>
      <c r="AM590" s="82"/>
      <c r="AN590" s="82"/>
      <c r="AO590" s="292"/>
      <c r="AP590" s="82"/>
      <c r="AQ590" s="82"/>
      <c r="AR590" s="82"/>
      <c r="AS590" s="292"/>
      <c r="AT590" s="82"/>
      <c r="AU590" s="82"/>
      <c r="AV590" s="82"/>
    </row>
    <row r="591">
      <c r="A591" s="292"/>
      <c r="B591" s="132"/>
      <c r="C591" s="121"/>
      <c r="D591" s="82"/>
      <c r="E591" s="292"/>
      <c r="F591" s="132"/>
      <c r="G591" s="121"/>
      <c r="H591" s="82"/>
      <c r="I591" s="292"/>
      <c r="J591" s="132"/>
      <c r="K591" s="121"/>
      <c r="L591" s="82"/>
      <c r="M591" s="292"/>
      <c r="N591" s="132"/>
      <c r="O591" s="121"/>
      <c r="P591" s="82"/>
      <c r="Q591" s="292"/>
      <c r="R591" s="132"/>
      <c r="S591" s="121"/>
      <c r="T591" s="82"/>
      <c r="U591" s="292"/>
      <c r="V591" s="132"/>
      <c r="W591" s="121"/>
      <c r="X591" s="82"/>
      <c r="Y591" s="292"/>
      <c r="Z591" s="300"/>
      <c r="AA591" s="301"/>
      <c r="AB591" s="80"/>
      <c r="AC591" s="292"/>
      <c r="AD591" s="132"/>
      <c r="AE591" s="254"/>
      <c r="AF591" s="294"/>
      <c r="AG591" s="292"/>
      <c r="AH591" s="302"/>
      <c r="AI591" s="302"/>
      <c r="AJ591" s="302"/>
      <c r="AK591" s="292"/>
      <c r="AL591" s="82"/>
      <c r="AM591" s="82"/>
      <c r="AN591" s="82"/>
      <c r="AO591" s="292"/>
      <c r="AP591" s="82"/>
      <c r="AQ591" s="82"/>
      <c r="AR591" s="82"/>
      <c r="AS591" s="292"/>
      <c r="AT591" s="82"/>
      <c r="AU591" s="82"/>
      <c r="AV591" s="82"/>
    </row>
    <row r="592">
      <c r="A592" s="292"/>
      <c r="B592" s="132"/>
      <c r="C592" s="121"/>
      <c r="D592" s="82"/>
      <c r="E592" s="292"/>
      <c r="F592" s="132"/>
      <c r="G592" s="121"/>
      <c r="H592" s="82"/>
      <c r="I592" s="292"/>
      <c r="J592" s="132"/>
      <c r="K592" s="121"/>
      <c r="L592" s="82"/>
      <c r="M592" s="292"/>
      <c r="N592" s="132"/>
      <c r="O592" s="121"/>
      <c r="P592" s="82"/>
      <c r="Q592" s="292"/>
      <c r="R592" s="132"/>
      <c r="S592" s="121"/>
      <c r="T592" s="82"/>
      <c r="U592" s="292"/>
      <c r="V592" s="132"/>
      <c r="W592" s="121"/>
      <c r="X592" s="82"/>
      <c r="Y592" s="292"/>
      <c r="Z592" s="300"/>
      <c r="AA592" s="301"/>
      <c r="AB592" s="80"/>
      <c r="AC592" s="292"/>
      <c r="AD592" s="132"/>
      <c r="AE592" s="254"/>
      <c r="AF592" s="294"/>
      <c r="AG592" s="292"/>
      <c r="AH592" s="302"/>
      <c r="AI592" s="302"/>
      <c r="AJ592" s="302"/>
      <c r="AK592" s="292"/>
      <c r="AL592" s="82"/>
      <c r="AM592" s="82"/>
      <c r="AN592" s="82"/>
      <c r="AO592" s="292"/>
      <c r="AP592" s="82"/>
      <c r="AQ592" s="82"/>
      <c r="AR592" s="82"/>
      <c r="AS592" s="292"/>
      <c r="AT592" s="82"/>
      <c r="AU592" s="82"/>
      <c r="AV592" s="82"/>
    </row>
    <row r="593">
      <c r="A593" s="292"/>
      <c r="B593" s="132"/>
      <c r="C593" s="121"/>
      <c r="D593" s="82"/>
      <c r="E593" s="292"/>
      <c r="F593" s="132"/>
      <c r="G593" s="121"/>
      <c r="H593" s="82"/>
      <c r="I593" s="292"/>
      <c r="J593" s="132"/>
      <c r="K593" s="121"/>
      <c r="L593" s="82"/>
      <c r="M593" s="292"/>
      <c r="N593" s="132"/>
      <c r="O593" s="121"/>
      <c r="P593" s="82"/>
      <c r="Q593" s="292"/>
      <c r="R593" s="132"/>
      <c r="S593" s="121"/>
      <c r="T593" s="82"/>
      <c r="U593" s="292"/>
      <c r="V593" s="132"/>
      <c r="W593" s="121"/>
      <c r="X593" s="82"/>
      <c r="Y593" s="292"/>
      <c r="Z593" s="300"/>
      <c r="AA593" s="301"/>
      <c r="AB593" s="80"/>
      <c r="AC593" s="292"/>
      <c r="AD593" s="132"/>
      <c r="AE593" s="254"/>
      <c r="AF593" s="294"/>
      <c r="AG593" s="292"/>
      <c r="AH593" s="302"/>
      <c r="AI593" s="302"/>
      <c r="AJ593" s="302"/>
      <c r="AK593" s="292"/>
      <c r="AL593" s="82"/>
      <c r="AM593" s="82"/>
      <c r="AN593" s="82"/>
      <c r="AO593" s="292"/>
      <c r="AP593" s="82"/>
      <c r="AQ593" s="82"/>
      <c r="AR593" s="82"/>
      <c r="AS593" s="292"/>
      <c r="AT593" s="82"/>
      <c r="AU593" s="82"/>
      <c r="AV593" s="82"/>
    </row>
    <row r="594">
      <c r="A594" s="292"/>
      <c r="B594" s="132"/>
      <c r="C594" s="121"/>
      <c r="D594" s="82"/>
      <c r="E594" s="292"/>
      <c r="F594" s="132"/>
      <c r="G594" s="121"/>
      <c r="H594" s="82"/>
      <c r="I594" s="292"/>
      <c r="J594" s="132"/>
      <c r="K594" s="121"/>
      <c r="L594" s="82"/>
      <c r="M594" s="292"/>
      <c r="N594" s="132"/>
      <c r="O594" s="121"/>
      <c r="P594" s="82"/>
      <c r="Q594" s="292"/>
      <c r="R594" s="132"/>
      <c r="S594" s="121"/>
      <c r="T594" s="82"/>
      <c r="U594" s="292"/>
      <c r="V594" s="132"/>
      <c r="W594" s="121"/>
      <c r="X594" s="82"/>
      <c r="Y594" s="292"/>
      <c r="Z594" s="300"/>
      <c r="AA594" s="301"/>
      <c r="AB594" s="80"/>
      <c r="AC594" s="292"/>
      <c r="AD594" s="132"/>
      <c r="AE594" s="254"/>
      <c r="AF594" s="294"/>
      <c r="AG594" s="292"/>
      <c r="AH594" s="302"/>
      <c r="AI594" s="302"/>
      <c r="AJ594" s="302"/>
      <c r="AK594" s="292"/>
      <c r="AL594" s="82"/>
      <c r="AM594" s="82"/>
      <c r="AN594" s="82"/>
      <c r="AO594" s="292"/>
      <c r="AP594" s="82"/>
      <c r="AQ594" s="82"/>
      <c r="AR594" s="82"/>
      <c r="AS594" s="292"/>
      <c r="AT594" s="82"/>
      <c r="AU594" s="82"/>
      <c r="AV594" s="82"/>
    </row>
    <row r="595">
      <c r="A595" s="292"/>
      <c r="B595" s="132"/>
      <c r="C595" s="121"/>
      <c r="D595" s="82"/>
      <c r="E595" s="292"/>
      <c r="F595" s="132"/>
      <c r="G595" s="121"/>
      <c r="H595" s="82"/>
      <c r="I595" s="292"/>
      <c r="J595" s="132"/>
      <c r="K595" s="121"/>
      <c r="L595" s="82"/>
      <c r="M595" s="292"/>
      <c r="N595" s="132"/>
      <c r="O595" s="121"/>
      <c r="P595" s="82"/>
      <c r="Q595" s="292"/>
      <c r="R595" s="132"/>
      <c r="S595" s="121"/>
      <c r="T595" s="82"/>
      <c r="U595" s="292"/>
      <c r="V595" s="132"/>
      <c r="W595" s="121"/>
      <c r="X595" s="82"/>
      <c r="Y595" s="292"/>
      <c r="Z595" s="300"/>
      <c r="AA595" s="301"/>
      <c r="AB595" s="80"/>
      <c r="AC595" s="292"/>
      <c r="AD595" s="132"/>
      <c r="AE595" s="254"/>
      <c r="AF595" s="294"/>
      <c r="AG595" s="292"/>
      <c r="AH595" s="302"/>
      <c r="AI595" s="302"/>
      <c r="AJ595" s="302"/>
      <c r="AK595" s="292"/>
      <c r="AL595" s="82"/>
      <c r="AM595" s="82"/>
      <c r="AN595" s="82"/>
      <c r="AO595" s="292"/>
      <c r="AP595" s="82"/>
      <c r="AQ595" s="82"/>
      <c r="AR595" s="82"/>
      <c r="AS595" s="292"/>
      <c r="AT595" s="82"/>
      <c r="AU595" s="82"/>
      <c r="AV595" s="82"/>
    </row>
    <row r="596">
      <c r="A596" s="292"/>
      <c r="B596" s="132"/>
      <c r="C596" s="121"/>
      <c r="D596" s="82"/>
      <c r="E596" s="292"/>
      <c r="F596" s="132"/>
      <c r="G596" s="121"/>
      <c r="H596" s="82"/>
      <c r="I596" s="292"/>
      <c r="J596" s="132"/>
      <c r="K596" s="121"/>
      <c r="L596" s="82"/>
      <c r="M596" s="292"/>
      <c r="N596" s="132"/>
      <c r="O596" s="121"/>
      <c r="P596" s="82"/>
      <c r="Q596" s="292"/>
      <c r="R596" s="132"/>
      <c r="S596" s="121"/>
      <c r="T596" s="82"/>
      <c r="U596" s="292"/>
      <c r="V596" s="132"/>
      <c r="W596" s="121"/>
      <c r="X596" s="82"/>
      <c r="Y596" s="292"/>
      <c r="Z596" s="300"/>
      <c r="AA596" s="301"/>
      <c r="AB596" s="80"/>
      <c r="AC596" s="292"/>
      <c r="AD596" s="132"/>
      <c r="AE596" s="254"/>
      <c r="AF596" s="294"/>
      <c r="AG596" s="292"/>
      <c r="AH596" s="302"/>
      <c r="AI596" s="302"/>
      <c r="AJ596" s="302"/>
      <c r="AK596" s="292"/>
      <c r="AL596" s="82"/>
      <c r="AM596" s="82"/>
      <c r="AN596" s="82"/>
      <c r="AO596" s="292"/>
      <c r="AP596" s="82"/>
      <c r="AQ596" s="82"/>
      <c r="AR596" s="82"/>
      <c r="AS596" s="292"/>
      <c r="AT596" s="82"/>
      <c r="AU596" s="82"/>
      <c r="AV596" s="82"/>
    </row>
    <row r="597">
      <c r="A597" s="292"/>
      <c r="B597" s="132"/>
      <c r="C597" s="121"/>
      <c r="D597" s="82"/>
      <c r="E597" s="292"/>
      <c r="F597" s="132"/>
      <c r="G597" s="121"/>
      <c r="H597" s="82"/>
      <c r="I597" s="292"/>
      <c r="J597" s="132"/>
      <c r="K597" s="121"/>
      <c r="L597" s="82"/>
      <c r="M597" s="292"/>
      <c r="N597" s="132"/>
      <c r="O597" s="121"/>
      <c r="P597" s="82"/>
      <c r="Q597" s="292"/>
      <c r="R597" s="132"/>
      <c r="S597" s="121"/>
      <c r="T597" s="82"/>
      <c r="U597" s="292"/>
      <c r="V597" s="132"/>
      <c r="W597" s="121"/>
      <c r="X597" s="82"/>
      <c r="Y597" s="292"/>
      <c r="Z597" s="300"/>
      <c r="AA597" s="301"/>
      <c r="AB597" s="80"/>
      <c r="AC597" s="292"/>
      <c r="AD597" s="132"/>
      <c r="AE597" s="254"/>
      <c r="AF597" s="294"/>
      <c r="AG597" s="292"/>
      <c r="AH597" s="302"/>
      <c r="AI597" s="302"/>
      <c r="AJ597" s="302"/>
      <c r="AK597" s="292"/>
      <c r="AL597" s="82"/>
      <c r="AM597" s="82"/>
      <c r="AN597" s="82"/>
      <c r="AO597" s="292"/>
      <c r="AP597" s="82"/>
      <c r="AQ597" s="82"/>
      <c r="AR597" s="82"/>
      <c r="AS597" s="292"/>
      <c r="AT597" s="82"/>
      <c r="AU597" s="82"/>
      <c r="AV597" s="82"/>
    </row>
    <row r="598">
      <c r="A598" s="292"/>
      <c r="B598" s="132"/>
      <c r="C598" s="121"/>
      <c r="D598" s="82"/>
      <c r="E598" s="292"/>
      <c r="F598" s="132"/>
      <c r="G598" s="121"/>
      <c r="H598" s="82"/>
      <c r="I598" s="292"/>
      <c r="J598" s="132"/>
      <c r="K598" s="121"/>
      <c r="L598" s="82"/>
      <c r="M598" s="292"/>
      <c r="N598" s="132"/>
      <c r="O598" s="121"/>
      <c r="P598" s="82"/>
      <c r="Q598" s="292"/>
      <c r="R598" s="132"/>
      <c r="S598" s="121"/>
      <c r="T598" s="82"/>
      <c r="U598" s="292"/>
      <c r="V598" s="132"/>
      <c r="W598" s="121"/>
      <c r="X598" s="82"/>
      <c r="Y598" s="292"/>
      <c r="Z598" s="300"/>
      <c r="AA598" s="301"/>
      <c r="AB598" s="80"/>
      <c r="AC598" s="292"/>
      <c r="AD598" s="132"/>
      <c r="AE598" s="254"/>
      <c r="AF598" s="294"/>
      <c r="AG598" s="292"/>
      <c r="AH598" s="302"/>
      <c r="AI598" s="302"/>
      <c r="AJ598" s="302"/>
      <c r="AK598" s="292"/>
      <c r="AL598" s="82"/>
      <c r="AM598" s="82"/>
      <c r="AN598" s="82"/>
      <c r="AO598" s="292"/>
      <c r="AP598" s="82"/>
      <c r="AQ598" s="82"/>
      <c r="AR598" s="82"/>
      <c r="AS598" s="292"/>
      <c r="AT598" s="82"/>
      <c r="AU598" s="82"/>
      <c r="AV598" s="82"/>
    </row>
    <row r="599">
      <c r="A599" s="292"/>
      <c r="B599" s="132"/>
      <c r="C599" s="121"/>
      <c r="D599" s="82"/>
      <c r="E599" s="292"/>
      <c r="F599" s="132"/>
      <c r="G599" s="121"/>
      <c r="H599" s="82"/>
      <c r="I599" s="292"/>
      <c r="J599" s="132"/>
      <c r="K599" s="121"/>
      <c r="L599" s="82"/>
      <c r="M599" s="292"/>
      <c r="N599" s="132"/>
      <c r="O599" s="121"/>
      <c r="P599" s="82"/>
      <c r="Q599" s="292"/>
      <c r="R599" s="132"/>
      <c r="S599" s="121"/>
      <c r="T599" s="82"/>
      <c r="U599" s="292"/>
      <c r="V599" s="132"/>
      <c r="W599" s="121"/>
      <c r="X599" s="82"/>
      <c r="Y599" s="292"/>
      <c r="Z599" s="300"/>
      <c r="AA599" s="301"/>
      <c r="AB599" s="80"/>
      <c r="AC599" s="292"/>
      <c r="AD599" s="132"/>
      <c r="AE599" s="254"/>
      <c r="AF599" s="294"/>
      <c r="AG599" s="292"/>
      <c r="AH599" s="302"/>
      <c r="AI599" s="302"/>
      <c r="AJ599" s="302"/>
      <c r="AK599" s="292"/>
      <c r="AL599" s="82"/>
      <c r="AM599" s="82"/>
      <c r="AN599" s="82"/>
      <c r="AO599" s="292"/>
      <c r="AP599" s="82"/>
      <c r="AQ599" s="82"/>
      <c r="AR599" s="82"/>
      <c r="AS599" s="292"/>
      <c r="AT599" s="82"/>
      <c r="AU599" s="82"/>
      <c r="AV599" s="82"/>
    </row>
    <row r="600">
      <c r="A600" s="292"/>
      <c r="B600" s="132"/>
      <c r="C600" s="121"/>
      <c r="D600" s="82"/>
      <c r="E600" s="292"/>
      <c r="F600" s="132"/>
      <c r="G600" s="121"/>
      <c r="H600" s="82"/>
      <c r="I600" s="292"/>
      <c r="J600" s="132"/>
      <c r="K600" s="121"/>
      <c r="L600" s="82"/>
      <c r="M600" s="292"/>
      <c r="N600" s="132"/>
      <c r="O600" s="121"/>
      <c r="P600" s="82"/>
      <c r="Q600" s="292"/>
      <c r="R600" s="132"/>
      <c r="S600" s="121"/>
      <c r="T600" s="82"/>
      <c r="U600" s="292"/>
      <c r="V600" s="132"/>
      <c r="W600" s="121"/>
      <c r="X600" s="82"/>
      <c r="Y600" s="292"/>
      <c r="Z600" s="300"/>
      <c r="AA600" s="301"/>
      <c r="AB600" s="80"/>
      <c r="AC600" s="292"/>
      <c r="AD600" s="132"/>
      <c r="AE600" s="254"/>
      <c r="AF600" s="294"/>
      <c r="AG600" s="292"/>
      <c r="AH600" s="302"/>
      <c r="AI600" s="302"/>
      <c r="AJ600" s="302"/>
      <c r="AK600" s="292"/>
      <c r="AL600" s="82"/>
      <c r="AM600" s="82"/>
      <c r="AN600" s="82"/>
      <c r="AO600" s="292"/>
      <c r="AP600" s="82"/>
      <c r="AQ600" s="82"/>
      <c r="AR600" s="82"/>
      <c r="AS600" s="292"/>
      <c r="AT600" s="82"/>
      <c r="AU600" s="82"/>
      <c r="AV600" s="82"/>
    </row>
    <row r="601">
      <c r="A601" s="292"/>
      <c r="B601" s="132"/>
      <c r="C601" s="121"/>
      <c r="D601" s="82"/>
      <c r="E601" s="292"/>
      <c r="F601" s="132"/>
      <c r="G601" s="121"/>
      <c r="H601" s="82"/>
      <c r="I601" s="292"/>
      <c r="J601" s="132"/>
      <c r="K601" s="121"/>
      <c r="L601" s="82"/>
      <c r="M601" s="292"/>
      <c r="N601" s="132"/>
      <c r="O601" s="121"/>
      <c r="P601" s="82"/>
      <c r="Q601" s="292"/>
      <c r="R601" s="132"/>
      <c r="S601" s="121"/>
      <c r="T601" s="82"/>
      <c r="U601" s="292"/>
      <c r="V601" s="132"/>
      <c r="W601" s="121"/>
      <c r="X601" s="82"/>
      <c r="Y601" s="292"/>
      <c r="Z601" s="300"/>
      <c r="AA601" s="301"/>
      <c r="AB601" s="80"/>
      <c r="AC601" s="292"/>
      <c r="AD601" s="132"/>
      <c r="AE601" s="254"/>
      <c r="AF601" s="294"/>
      <c r="AG601" s="292"/>
      <c r="AH601" s="302"/>
      <c r="AI601" s="302"/>
      <c r="AJ601" s="302"/>
      <c r="AK601" s="292"/>
      <c r="AL601" s="82"/>
      <c r="AM601" s="82"/>
      <c r="AN601" s="82"/>
      <c r="AO601" s="292"/>
      <c r="AP601" s="82"/>
      <c r="AQ601" s="82"/>
      <c r="AR601" s="82"/>
      <c r="AS601" s="292"/>
      <c r="AT601" s="82"/>
      <c r="AU601" s="82"/>
      <c r="AV601" s="82"/>
    </row>
    <row r="602">
      <c r="A602" s="292"/>
      <c r="B602" s="132"/>
      <c r="C602" s="121"/>
      <c r="D602" s="82"/>
      <c r="E602" s="292"/>
      <c r="F602" s="132"/>
      <c r="G602" s="121"/>
      <c r="H602" s="82"/>
      <c r="I602" s="292"/>
      <c r="J602" s="132"/>
      <c r="K602" s="121"/>
      <c r="L602" s="82"/>
      <c r="M602" s="292"/>
      <c r="N602" s="132"/>
      <c r="O602" s="121"/>
      <c r="P602" s="82"/>
      <c r="Q602" s="292"/>
      <c r="R602" s="132"/>
      <c r="S602" s="121"/>
      <c r="T602" s="82"/>
      <c r="U602" s="292"/>
      <c r="V602" s="132"/>
      <c r="W602" s="121"/>
      <c r="X602" s="82"/>
      <c r="Y602" s="292"/>
      <c r="Z602" s="300"/>
      <c r="AA602" s="301"/>
      <c r="AB602" s="80"/>
      <c r="AC602" s="292"/>
      <c r="AD602" s="132"/>
      <c r="AE602" s="254"/>
      <c r="AF602" s="294"/>
      <c r="AG602" s="292"/>
      <c r="AH602" s="302"/>
      <c r="AI602" s="302"/>
      <c r="AJ602" s="302"/>
      <c r="AK602" s="292"/>
      <c r="AL602" s="82"/>
      <c r="AM602" s="82"/>
      <c r="AN602" s="82"/>
      <c r="AO602" s="292"/>
      <c r="AP602" s="82"/>
      <c r="AQ602" s="82"/>
      <c r="AR602" s="82"/>
      <c r="AS602" s="292"/>
      <c r="AT602" s="82"/>
      <c r="AU602" s="82"/>
      <c r="AV602" s="82"/>
    </row>
    <row r="603">
      <c r="A603" s="292"/>
      <c r="B603" s="132"/>
      <c r="C603" s="121"/>
      <c r="D603" s="82"/>
      <c r="E603" s="292"/>
      <c r="F603" s="132"/>
      <c r="G603" s="121"/>
      <c r="H603" s="82"/>
      <c r="I603" s="292"/>
      <c r="J603" s="132"/>
      <c r="K603" s="121"/>
      <c r="L603" s="82"/>
      <c r="M603" s="292"/>
      <c r="N603" s="132"/>
      <c r="O603" s="121"/>
      <c r="P603" s="82"/>
      <c r="Q603" s="292"/>
      <c r="R603" s="132"/>
      <c r="S603" s="121"/>
      <c r="T603" s="82"/>
      <c r="U603" s="292"/>
      <c r="V603" s="132"/>
      <c r="W603" s="121"/>
      <c r="X603" s="82"/>
      <c r="Y603" s="292"/>
      <c r="Z603" s="300"/>
      <c r="AA603" s="301"/>
      <c r="AB603" s="80"/>
      <c r="AC603" s="292"/>
      <c r="AD603" s="132"/>
      <c r="AE603" s="254"/>
      <c r="AF603" s="294"/>
      <c r="AG603" s="292"/>
      <c r="AH603" s="302"/>
      <c r="AI603" s="302"/>
      <c r="AJ603" s="302"/>
      <c r="AK603" s="292"/>
      <c r="AL603" s="82"/>
      <c r="AM603" s="82"/>
      <c r="AN603" s="82"/>
      <c r="AO603" s="292"/>
      <c r="AP603" s="82"/>
      <c r="AQ603" s="82"/>
      <c r="AR603" s="82"/>
      <c r="AS603" s="292"/>
      <c r="AT603" s="82"/>
      <c r="AU603" s="82"/>
      <c r="AV603" s="82"/>
    </row>
    <row r="604">
      <c r="A604" s="292"/>
      <c r="B604" s="132"/>
      <c r="C604" s="121"/>
      <c r="D604" s="82"/>
      <c r="E604" s="292"/>
      <c r="F604" s="132"/>
      <c r="G604" s="121"/>
      <c r="H604" s="82"/>
      <c r="I604" s="292"/>
      <c r="J604" s="132"/>
      <c r="K604" s="121"/>
      <c r="L604" s="82"/>
      <c r="M604" s="292"/>
      <c r="N604" s="132"/>
      <c r="O604" s="121"/>
      <c r="P604" s="82"/>
      <c r="Q604" s="292"/>
      <c r="R604" s="132"/>
      <c r="S604" s="121"/>
      <c r="T604" s="82"/>
      <c r="U604" s="292"/>
      <c r="V604" s="132"/>
      <c r="W604" s="121"/>
      <c r="X604" s="82"/>
      <c r="Y604" s="292"/>
      <c r="Z604" s="300"/>
      <c r="AA604" s="301"/>
      <c r="AB604" s="80"/>
      <c r="AC604" s="292"/>
      <c r="AD604" s="132"/>
      <c r="AE604" s="254"/>
      <c r="AF604" s="294"/>
      <c r="AG604" s="292"/>
      <c r="AH604" s="302"/>
      <c r="AI604" s="302"/>
      <c r="AJ604" s="302"/>
      <c r="AK604" s="292"/>
      <c r="AL604" s="82"/>
      <c r="AM604" s="82"/>
      <c r="AN604" s="82"/>
      <c r="AO604" s="292"/>
      <c r="AP604" s="82"/>
      <c r="AQ604" s="82"/>
      <c r="AR604" s="82"/>
      <c r="AS604" s="292"/>
      <c r="AT604" s="82"/>
      <c r="AU604" s="82"/>
      <c r="AV604" s="82"/>
    </row>
    <row r="605">
      <c r="A605" s="292"/>
      <c r="B605" s="132"/>
      <c r="C605" s="121"/>
      <c r="D605" s="82"/>
      <c r="E605" s="292"/>
      <c r="F605" s="132"/>
      <c r="G605" s="121"/>
      <c r="H605" s="82"/>
      <c r="I605" s="292"/>
      <c r="J605" s="132"/>
      <c r="K605" s="121"/>
      <c r="L605" s="82"/>
      <c r="M605" s="292"/>
      <c r="N605" s="132"/>
      <c r="O605" s="121"/>
      <c r="P605" s="82"/>
      <c r="Q605" s="292"/>
      <c r="R605" s="132"/>
      <c r="S605" s="121"/>
      <c r="T605" s="82"/>
      <c r="U605" s="292"/>
      <c r="V605" s="132"/>
      <c r="W605" s="121"/>
      <c r="X605" s="82"/>
      <c r="Y605" s="292"/>
      <c r="Z605" s="300"/>
      <c r="AA605" s="301"/>
      <c r="AB605" s="80"/>
      <c r="AC605" s="292"/>
      <c r="AD605" s="132"/>
      <c r="AE605" s="254"/>
      <c r="AF605" s="294"/>
      <c r="AG605" s="292"/>
      <c r="AH605" s="302"/>
      <c r="AI605" s="302"/>
      <c r="AJ605" s="302"/>
      <c r="AK605" s="292"/>
      <c r="AL605" s="82"/>
      <c r="AM605" s="82"/>
      <c r="AN605" s="82"/>
      <c r="AO605" s="292"/>
      <c r="AP605" s="82"/>
      <c r="AQ605" s="82"/>
      <c r="AR605" s="82"/>
      <c r="AS605" s="292"/>
      <c r="AT605" s="82"/>
      <c r="AU605" s="82"/>
      <c r="AV605" s="82"/>
    </row>
    <row r="606">
      <c r="A606" s="292"/>
      <c r="B606" s="132"/>
      <c r="C606" s="121"/>
      <c r="D606" s="82"/>
      <c r="E606" s="292"/>
      <c r="F606" s="132"/>
      <c r="G606" s="121"/>
      <c r="H606" s="82"/>
      <c r="I606" s="292"/>
      <c r="J606" s="132"/>
      <c r="K606" s="121"/>
      <c r="L606" s="82"/>
      <c r="M606" s="292"/>
      <c r="N606" s="132"/>
      <c r="O606" s="121"/>
      <c r="P606" s="82"/>
      <c r="Q606" s="292"/>
      <c r="R606" s="132"/>
      <c r="S606" s="121"/>
      <c r="T606" s="82"/>
      <c r="U606" s="292"/>
      <c r="V606" s="132"/>
      <c r="W606" s="121"/>
      <c r="X606" s="82"/>
      <c r="Y606" s="292"/>
      <c r="Z606" s="300"/>
      <c r="AA606" s="301"/>
      <c r="AB606" s="80"/>
      <c r="AC606" s="292"/>
      <c r="AD606" s="132"/>
      <c r="AE606" s="254"/>
      <c r="AF606" s="294"/>
      <c r="AG606" s="292"/>
      <c r="AH606" s="302"/>
      <c r="AI606" s="302"/>
      <c r="AJ606" s="302"/>
      <c r="AK606" s="292"/>
      <c r="AL606" s="82"/>
      <c r="AM606" s="82"/>
      <c r="AN606" s="82"/>
      <c r="AO606" s="292"/>
      <c r="AP606" s="82"/>
      <c r="AQ606" s="82"/>
      <c r="AR606" s="82"/>
      <c r="AS606" s="292"/>
      <c r="AT606" s="82"/>
      <c r="AU606" s="82"/>
      <c r="AV606" s="82"/>
    </row>
    <row r="607">
      <c r="A607" s="292"/>
      <c r="B607" s="132"/>
      <c r="C607" s="121"/>
      <c r="D607" s="82"/>
      <c r="E607" s="292"/>
      <c r="F607" s="132"/>
      <c r="G607" s="121"/>
      <c r="H607" s="82"/>
      <c r="I607" s="292"/>
      <c r="J607" s="132"/>
      <c r="K607" s="121"/>
      <c r="L607" s="82"/>
      <c r="M607" s="292"/>
      <c r="N607" s="132"/>
      <c r="O607" s="121"/>
      <c r="P607" s="82"/>
      <c r="Q607" s="292"/>
      <c r="R607" s="132"/>
      <c r="S607" s="121"/>
      <c r="T607" s="82"/>
      <c r="U607" s="292"/>
      <c r="V607" s="132"/>
      <c r="W607" s="121"/>
      <c r="X607" s="82"/>
      <c r="Y607" s="292"/>
      <c r="Z607" s="300"/>
      <c r="AA607" s="301"/>
      <c r="AB607" s="80"/>
      <c r="AC607" s="292"/>
      <c r="AD607" s="132"/>
      <c r="AE607" s="254"/>
      <c r="AF607" s="294"/>
      <c r="AG607" s="292"/>
      <c r="AH607" s="302"/>
      <c r="AI607" s="302"/>
      <c r="AJ607" s="302"/>
      <c r="AK607" s="292"/>
      <c r="AL607" s="82"/>
      <c r="AM607" s="82"/>
      <c r="AN607" s="82"/>
      <c r="AO607" s="292"/>
      <c r="AP607" s="82"/>
      <c r="AQ607" s="82"/>
      <c r="AR607" s="82"/>
      <c r="AS607" s="292"/>
      <c r="AT607" s="82"/>
      <c r="AU607" s="82"/>
      <c r="AV607" s="82"/>
    </row>
    <row r="608">
      <c r="A608" s="292"/>
      <c r="B608" s="132"/>
      <c r="C608" s="121"/>
      <c r="D608" s="82"/>
      <c r="E608" s="292"/>
      <c r="F608" s="132"/>
      <c r="G608" s="121"/>
      <c r="H608" s="82"/>
      <c r="I608" s="292"/>
      <c r="J608" s="132"/>
      <c r="K608" s="121"/>
      <c r="L608" s="82"/>
      <c r="M608" s="292"/>
      <c r="N608" s="132"/>
      <c r="O608" s="121"/>
      <c r="P608" s="82"/>
      <c r="Q608" s="292"/>
      <c r="R608" s="132"/>
      <c r="S608" s="121"/>
      <c r="T608" s="82"/>
      <c r="U608" s="292"/>
      <c r="V608" s="132"/>
      <c r="W608" s="121"/>
      <c r="X608" s="82"/>
      <c r="Y608" s="292"/>
      <c r="Z608" s="300"/>
      <c r="AA608" s="301"/>
      <c r="AB608" s="80"/>
      <c r="AC608" s="292"/>
      <c r="AD608" s="132"/>
      <c r="AE608" s="254"/>
      <c r="AF608" s="294"/>
      <c r="AG608" s="292"/>
      <c r="AH608" s="302"/>
      <c r="AI608" s="302"/>
      <c r="AJ608" s="302"/>
      <c r="AK608" s="292"/>
      <c r="AL608" s="82"/>
      <c r="AM608" s="82"/>
      <c r="AN608" s="82"/>
      <c r="AO608" s="292"/>
      <c r="AP608" s="82"/>
      <c r="AQ608" s="82"/>
      <c r="AR608" s="82"/>
      <c r="AS608" s="292"/>
      <c r="AT608" s="82"/>
      <c r="AU608" s="82"/>
      <c r="AV608" s="82"/>
    </row>
    <row r="609">
      <c r="A609" s="292"/>
      <c r="B609" s="132"/>
      <c r="C609" s="121"/>
      <c r="D609" s="82"/>
      <c r="E609" s="292"/>
      <c r="F609" s="132"/>
      <c r="G609" s="121"/>
      <c r="H609" s="82"/>
      <c r="I609" s="292"/>
      <c r="J609" s="132"/>
      <c r="K609" s="121"/>
      <c r="L609" s="82"/>
      <c r="M609" s="292"/>
      <c r="N609" s="132"/>
      <c r="O609" s="121"/>
      <c r="P609" s="82"/>
      <c r="Q609" s="292"/>
      <c r="R609" s="132"/>
      <c r="S609" s="121"/>
      <c r="T609" s="82"/>
      <c r="U609" s="292"/>
      <c r="V609" s="132"/>
      <c r="W609" s="121"/>
      <c r="X609" s="82"/>
      <c r="Y609" s="292"/>
      <c r="Z609" s="300"/>
      <c r="AA609" s="301"/>
      <c r="AB609" s="80"/>
      <c r="AC609" s="292"/>
      <c r="AD609" s="132"/>
      <c r="AE609" s="254"/>
      <c r="AF609" s="294"/>
      <c r="AG609" s="292"/>
      <c r="AH609" s="302"/>
      <c r="AI609" s="302"/>
      <c r="AJ609" s="302"/>
      <c r="AK609" s="292"/>
      <c r="AL609" s="82"/>
      <c r="AM609" s="82"/>
      <c r="AN609" s="82"/>
      <c r="AO609" s="292"/>
      <c r="AP609" s="82"/>
      <c r="AQ609" s="82"/>
      <c r="AR609" s="82"/>
      <c r="AS609" s="292"/>
      <c r="AT609" s="82"/>
      <c r="AU609" s="82"/>
      <c r="AV609" s="82"/>
    </row>
    <row r="610">
      <c r="A610" s="292"/>
      <c r="B610" s="132"/>
      <c r="C610" s="121"/>
      <c r="D610" s="82"/>
      <c r="E610" s="292"/>
      <c r="F610" s="132"/>
      <c r="G610" s="121"/>
      <c r="H610" s="82"/>
      <c r="I610" s="292"/>
      <c r="J610" s="132"/>
      <c r="K610" s="121"/>
      <c r="L610" s="82"/>
      <c r="M610" s="292"/>
      <c r="N610" s="132"/>
      <c r="O610" s="121"/>
      <c r="P610" s="82"/>
      <c r="Q610" s="292"/>
      <c r="R610" s="132"/>
      <c r="S610" s="121"/>
      <c r="T610" s="82"/>
      <c r="U610" s="292"/>
      <c r="V610" s="132"/>
      <c r="W610" s="121"/>
      <c r="X610" s="82"/>
      <c r="Y610" s="292"/>
      <c r="Z610" s="300"/>
      <c r="AA610" s="301"/>
      <c r="AB610" s="80"/>
      <c r="AC610" s="292"/>
      <c r="AD610" s="132"/>
      <c r="AE610" s="254"/>
      <c r="AF610" s="294"/>
      <c r="AG610" s="292"/>
      <c r="AH610" s="302"/>
      <c r="AI610" s="302"/>
      <c r="AJ610" s="302"/>
      <c r="AK610" s="292"/>
      <c r="AL610" s="82"/>
      <c r="AM610" s="82"/>
      <c r="AN610" s="82"/>
      <c r="AO610" s="292"/>
      <c r="AP610" s="82"/>
      <c r="AQ610" s="82"/>
      <c r="AR610" s="82"/>
      <c r="AS610" s="292"/>
      <c r="AT610" s="82"/>
      <c r="AU610" s="82"/>
      <c r="AV610" s="82"/>
    </row>
    <row r="611">
      <c r="A611" s="292"/>
      <c r="B611" s="132"/>
      <c r="C611" s="121"/>
      <c r="D611" s="82"/>
      <c r="E611" s="292"/>
      <c r="F611" s="132"/>
      <c r="G611" s="121"/>
      <c r="H611" s="82"/>
      <c r="I611" s="292"/>
      <c r="J611" s="132"/>
      <c r="K611" s="121"/>
      <c r="L611" s="82"/>
      <c r="M611" s="292"/>
      <c r="N611" s="132"/>
      <c r="O611" s="121"/>
      <c r="P611" s="82"/>
      <c r="Q611" s="292"/>
      <c r="R611" s="132"/>
      <c r="S611" s="121"/>
      <c r="T611" s="82"/>
      <c r="U611" s="292"/>
      <c r="V611" s="132"/>
      <c r="W611" s="121"/>
      <c r="X611" s="82"/>
      <c r="Y611" s="292"/>
      <c r="Z611" s="300"/>
      <c r="AA611" s="301"/>
      <c r="AB611" s="80"/>
      <c r="AC611" s="292"/>
      <c r="AD611" s="132"/>
      <c r="AE611" s="254"/>
      <c r="AF611" s="294"/>
      <c r="AG611" s="292"/>
      <c r="AH611" s="302"/>
      <c r="AI611" s="302"/>
      <c r="AJ611" s="302"/>
      <c r="AK611" s="292"/>
      <c r="AL611" s="82"/>
      <c r="AM611" s="82"/>
      <c r="AN611" s="82"/>
      <c r="AO611" s="292"/>
      <c r="AP611" s="82"/>
      <c r="AQ611" s="82"/>
      <c r="AR611" s="82"/>
      <c r="AS611" s="292"/>
      <c r="AT611" s="82"/>
      <c r="AU611" s="82"/>
      <c r="AV611" s="82"/>
    </row>
    <row r="612">
      <c r="A612" s="292"/>
      <c r="B612" s="132"/>
      <c r="C612" s="121"/>
      <c r="D612" s="82"/>
      <c r="E612" s="292"/>
      <c r="F612" s="132"/>
      <c r="G612" s="121"/>
      <c r="H612" s="82"/>
      <c r="I612" s="292"/>
      <c r="J612" s="132"/>
      <c r="K612" s="121"/>
      <c r="L612" s="82"/>
      <c r="M612" s="292"/>
      <c r="N612" s="132"/>
      <c r="O612" s="121"/>
      <c r="P612" s="82"/>
      <c r="Q612" s="292"/>
      <c r="R612" s="132"/>
      <c r="S612" s="121"/>
      <c r="T612" s="82"/>
      <c r="U612" s="292"/>
      <c r="V612" s="132"/>
      <c r="W612" s="121"/>
      <c r="X612" s="82"/>
      <c r="Y612" s="292"/>
      <c r="Z612" s="300"/>
      <c r="AA612" s="301"/>
      <c r="AB612" s="80"/>
      <c r="AC612" s="292"/>
      <c r="AD612" s="132"/>
      <c r="AE612" s="254"/>
      <c r="AF612" s="294"/>
      <c r="AG612" s="292"/>
      <c r="AH612" s="302"/>
      <c r="AI612" s="302"/>
      <c r="AJ612" s="302"/>
      <c r="AK612" s="292"/>
      <c r="AL612" s="82"/>
      <c r="AM612" s="82"/>
      <c r="AN612" s="82"/>
      <c r="AO612" s="292"/>
      <c r="AP612" s="82"/>
      <c r="AQ612" s="82"/>
      <c r="AR612" s="82"/>
      <c r="AS612" s="292"/>
      <c r="AT612" s="82"/>
      <c r="AU612" s="82"/>
      <c r="AV612" s="82"/>
    </row>
    <row r="613">
      <c r="A613" s="292"/>
      <c r="B613" s="132"/>
      <c r="C613" s="121"/>
      <c r="D613" s="82"/>
      <c r="E613" s="292"/>
      <c r="F613" s="132"/>
      <c r="G613" s="121"/>
      <c r="H613" s="82"/>
      <c r="I613" s="292"/>
      <c r="J613" s="132"/>
      <c r="K613" s="121"/>
      <c r="L613" s="82"/>
      <c r="M613" s="292"/>
      <c r="N613" s="132"/>
      <c r="O613" s="121"/>
      <c r="P613" s="82"/>
      <c r="Q613" s="292"/>
      <c r="R613" s="132"/>
      <c r="S613" s="121"/>
      <c r="T613" s="82"/>
      <c r="U613" s="292"/>
      <c r="V613" s="132"/>
      <c r="W613" s="121"/>
      <c r="X613" s="82"/>
      <c r="Y613" s="292"/>
      <c r="Z613" s="300"/>
      <c r="AA613" s="301"/>
      <c r="AB613" s="80"/>
      <c r="AC613" s="292"/>
      <c r="AD613" s="132"/>
      <c r="AE613" s="254"/>
      <c r="AF613" s="294"/>
      <c r="AG613" s="292"/>
      <c r="AH613" s="302"/>
      <c r="AI613" s="302"/>
      <c r="AJ613" s="302"/>
      <c r="AK613" s="292"/>
      <c r="AL613" s="82"/>
      <c r="AM613" s="82"/>
      <c r="AN613" s="82"/>
      <c r="AO613" s="292"/>
      <c r="AP613" s="82"/>
      <c r="AQ613" s="82"/>
      <c r="AR613" s="82"/>
      <c r="AS613" s="292"/>
      <c r="AT613" s="82"/>
      <c r="AU613" s="82"/>
      <c r="AV613" s="82"/>
    </row>
    <row r="614">
      <c r="A614" s="292"/>
      <c r="B614" s="132"/>
      <c r="C614" s="121"/>
      <c r="D614" s="82"/>
      <c r="E614" s="292"/>
      <c r="F614" s="132"/>
      <c r="G614" s="121"/>
      <c r="H614" s="82"/>
      <c r="I614" s="292"/>
      <c r="J614" s="132"/>
      <c r="K614" s="121"/>
      <c r="L614" s="82"/>
      <c r="M614" s="292"/>
      <c r="N614" s="132"/>
      <c r="O614" s="121"/>
      <c r="P614" s="82"/>
      <c r="Q614" s="292"/>
      <c r="R614" s="132"/>
      <c r="S614" s="121"/>
      <c r="T614" s="82"/>
      <c r="U614" s="292"/>
      <c r="V614" s="132"/>
      <c r="W614" s="121"/>
      <c r="X614" s="82"/>
      <c r="Y614" s="292"/>
      <c r="Z614" s="300"/>
      <c r="AA614" s="301"/>
      <c r="AB614" s="80"/>
      <c r="AC614" s="292"/>
      <c r="AD614" s="132"/>
      <c r="AE614" s="254"/>
      <c r="AF614" s="294"/>
      <c r="AG614" s="292"/>
      <c r="AH614" s="302"/>
      <c r="AI614" s="302"/>
      <c r="AJ614" s="302"/>
      <c r="AK614" s="292"/>
      <c r="AL614" s="82"/>
      <c r="AM614" s="82"/>
      <c r="AN614" s="82"/>
      <c r="AO614" s="292"/>
      <c r="AP614" s="82"/>
      <c r="AQ614" s="82"/>
      <c r="AR614" s="82"/>
      <c r="AS614" s="292"/>
      <c r="AT614" s="82"/>
      <c r="AU614" s="82"/>
      <c r="AV614" s="82"/>
    </row>
    <row r="615">
      <c r="A615" s="292"/>
      <c r="B615" s="132"/>
      <c r="C615" s="121"/>
      <c r="D615" s="82"/>
      <c r="E615" s="292"/>
      <c r="F615" s="132"/>
      <c r="G615" s="121"/>
      <c r="H615" s="82"/>
      <c r="I615" s="292"/>
      <c r="J615" s="132"/>
      <c r="K615" s="121"/>
      <c r="L615" s="82"/>
      <c r="M615" s="292"/>
      <c r="N615" s="132"/>
      <c r="O615" s="121"/>
      <c r="P615" s="82"/>
      <c r="Q615" s="292"/>
      <c r="R615" s="132"/>
      <c r="S615" s="121"/>
      <c r="T615" s="82"/>
      <c r="U615" s="292"/>
      <c r="V615" s="132"/>
      <c r="W615" s="121"/>
      <c r="X615" s="82"/>
      <c r="Y615" s="292"/>
      <c r="Z615" s="300"/>
      <c r="AA615" s="301"/>
      <c r="AB615" s="80"/>
      <c r="AC615" s="292"/>
      <c r="AD615" s="132"/>
      <c r="AE615" s="254"/>
      <c r="AF615" s="294"/>
      <c r="AG615" s="292"/>
      <c r="AH615" s="302"/>
      <c r="AI615" s="302"/>
      <c r="AJ615" s="302"/>
      <c r="AK615" s="292"/>
      <c r="AL615" s="82"/>
      <c r="AM615" s="82"/>
      <c r="AN615" s="82"/>
      <c r="AO615" s="292"/>
      <c r="AP615" s="82"/>
      <c r="AQ615" s="82"/>
      <c r="AR615" s="82"/>
      <c r="AS615" s="292"/>
      <c r="AT615" s="82"/>
      <c r="AU615" s="82"/>
      <c r="AV615" s="82"/>
    </row>
    <row r="616">
      <c r="A616" s="292"/>
      <c r="B616" s="132"/>
      <c r="C616" s="121"/>
      <c r="D616" s="82"/>
      <c r="E616" s="292"/>
      <c r="F616" s="132"/>
      <c r="G616" s="121"/>
      <c r="H616" s="82"/>
      <c r="I616" s="292"/>
      <c r="J616" s="132"/>
      <c r="K616" s="121"/>
      <c r="L616" s="82"/>
      <c r="M616" s="292"/>
      <c r="N616" s="132"/>
      <c r="O616" s="121"/>
      <c r="P616" s="82"/>
      <c r="Q616" s="292"/>
      <c r="R616" s="132"/>
      <c r="S616" s="121"/>
      <c r="T616" s="82"/>
      <c r="U616" s="292"/>
      <c r="V616" s="132"/>
      <c r="W616" s="121"/>
      <c r="X616" s="82"/>
      <c r="Y616" s="292"/>
      <c r="Z616" s="300"/>
      <c r="AA616" s="301"/>
      <c r="AB616" s="80"/>
      <c r="AC616" s="292"/>
      <c r="AD616" s="132"/>
      <c r="AE616" s="254"/>
      <c r="AF616" s="294"/>
      <c r="AG616" s="292"/>
      <c r="AH616" s="302"/>
      <c r="AI616" s="302"/>
      <c r="AJ616" s="302"/>
      <c r="AK616" s="292"/>
      <c r="AL616" s="82"/>
      <c r="AM616" s="82"/>
      <c r="AN616" s="82"/>
      <c r="AO616" s="292"/>
      <c r="AP616" s="82"/>
      <c r="AQ616" s="82"/>
      <c r="AR616" s="82"/>
      <c r="AS616" s="292"/>
      <c r="AT616" s="82"/>
      <c r="AU616" s="82"/>
      <c r="AV616" s="82"/>
    </row>
    <row r="617">
      <c r="A617" s="292"/>
      <c r="B617" s="132"/>
      <c r="C617" s="121"/>
      <c r="D617" s="82"/>
      <c r="E617" s="292"/>
      <c r="F617" s="132"/>
      <c r="G617" s="121"/>
      <c r="H617" s="82"/>
      <c r="I617" s="292"/>
      <c r="J617" s="132"/>
      <c r="K617" s="121"/>
      <c r="L617" s="82"/>
      <c r="M617" s="292"/>
      <c r="N617" s="132"/>
      <c r="O617" s="121"/>
      <c r="P617" s="82"/>
      <c r="Q617" s="292"/>
      <c r="R617" s="132"/>
      <c r="S617" s="121"/>
      <c r="T617" s="82"/>
      <c r="U617" s="292"/>
      <c r="V617" s="132"/>
      <c r="W617" s="121"/>
      <c r="X617" s="82"/>
      <c r="Y617" s="292"/>
      <c r="Z617" s="300"/>
      <c r="AA617" s="301"/>
      <c r="AB617" s="80"/>
      <c r="AC617" s="292"/>
      <c r="AD617" s="132"/>
      <c r="AE617" s="254"/>
      <c r="AF617" s="294"/>
      <c r="AG617" s="292"/>
      <c r="AH617" s="302"/>
      <c r="AI617" s="302"/>
      <c r="AJ617" s="302"/>
      <c r="AK617" s="292"/>
      <c r="AL617" s="82"/>
      <c r="AM617" s="82"/>
      <c r="AN617" s="82"/>
      <c r="AO617" s="292"/>
      <c r="AP617" s="82"/>
      <c r="AQ617" s="82"/>
      <c r="AR617" s="82"/>
      <c r="AS617" s="292"/>
      <c r="AT617" s="82"/>
      <c r="AU617" s="82"/>
      <c r="AV617" s="82"/>
    </row>
    <row r="618">
      <c r="A618" s="292"/>
      <c r="B618" s="132"/>
      <c r="C618" s="121"/>
      <c r="D618" s="82"/>
      <c r="E618" s="292"/>
      <c r="F618" s="132"/>
      <c r="G618" s="121"/>
      <c r="H618" s="82"/>
      <c r="I618" s="292"/>
      <c r="J618" s="132"/>
      <c r="K618" s="121"/>
      <c r="L618" s="82"/>
      <c r="M618" s="292"/>
      <c r="N618" s="132"/>
      <c r="O618" s="121"/>
      <c r="P618" s="82"/>
      <c r="Q618" s="292"/>
      <c r="R618" s="132"/>
      <c r="S618" s="121"/>
      <c r="T618" s="82"/>
      <c r="U618" s="292"/>
      <c r="V618" s="132"/>
      <c r="W618" s="121"/>
      <c r="X618" s="82"/>
      <c r="Y618" s="292"/>
      <c r="Z618" s="300"/>
      <c r="AA618" s="301"/>
      <c r="AB618" s="80"/>
      <c r="AC618" s="292"/>
      <c r="AD618" s="132"/>
      <c r="AE618" s="254"/>
      <c r="AF618" s="294"/>
      <c r="AG618" s="292"/>
      <c r="AH618" s="302"/>
      <c r="AI618" s="302"/>
      <c r="AJ618" s="302"/>
      <c r="AK618" s="292"/>
      <c r="AL618" s="82"/>
      <c r="AM618" s="82"/>
      <c r="AN618" s="82"/>
      <c r="AO618" s="292"/>
      <c r="AP618" s="82"/>
      <c r="AQ618" s="82"/>
      <c r="AR618" s="82"/>
      <c r="AS618" s="292"/>
      <c r="AT618" s="82"/>
      <c r="AU618" s="82"/>
      <c r="AV618" s="82"/>
    </row>
    <row r="619">
      <c r="A619" s="292"/>
      <c r="B619" s="132"/>
      <c r="C619" s="121"/>
      <c r="D619" s="82"/>
      <c r="E619" s="292"/>
      <c r="F619" s="132"/>
      <c r="G619" s="121"/>
      <c r="H619" s="82"/>
      <c r="I619" s="292"/>
      <c r="J619" s="132"/>
      <c r="K619" s="121"/>
      <c r="L619" s="82"/>
      <c r="M619" s="292"/>
      <c r="N619" s="132"/>
      <c r="O619" s="121"/>
      <c r="P619" s="82"/>
      <c r="Q619" s="292"/>
      <c r="R619" s="132"/>
      <c r="S619" s="121"/>
      <c r="T619" s="82"/>
      <c r="U619" s="292"/>
      <c r="V619" s="132"/>
      <c r="W619" s="121"/>
      <c r="X619" s="82"/>
      <c r="Y619" s="292"/>
      <c r="Z619" s="300"/>
      <c r="AA619" s="301"/>
      <c r="AB619" s="80"/>
      <c r="AC619" s="292"/>
      <c r="AD619" s="132"/>
      <c r="AE619" s="254"/>
      <c r="AF619" s="294"/>
      <c r="AG619" s="292"/>
      <c r="AH619" s="302"/>
      <c r="AI619" s="302"/>
      <c r="AJ619" s="302"/>
      <c r="AK619" s="292"/>
      <c r="AL619" s="82"/>
      <c r="AM619" s="82"/>
      <c r="AN619" s="82"/>
      <c r="AO619" s="292"/>
      <c r="AP619" s="82"/>
      <c r="AQ619" s="82"/>
      <c r="AR619" s="82"/>
      <c r="AS619" s="292"/>
      <c r="AT619" s="82"/>
      <c r="AU619" s="82"/>
      <c r="AV619" s="82"/>
    </row>
    <row r="620">
      <c r="A620" s="292"/>
      <c r="B620" s="132"/>
      <c r="C620" s="121"/>
      <c r="D620" s="82"/>
      <c r="E620" s="292"/>
      <c r="F620" s="132"/>
      <c r="G620" s="121"/>
      <c r="H620" s="82"/>
      <c r="I620" s="292"/>
      <c r="J620" s="132"/>
      <c r="K620" s="121"/>
      <c r="L620" s="82"/>
      <c r="M620" s="292"/>
      <c r="N620" s="132"/>
      <c r="O620" s="121"/>
      <c r="P620" s="82"/>
      <c r="Q620" s="292"/>
      <c r="R620" s="132"/>
      <c r="S620" s="121"/>
      <c r="T620" s="82"/>
      <c r="U620" s="292"/>
      <c r="V620" s="132"/>
      <c r="W620" s="121"/>
      <c r="X620" s="82"/>
      <c r="Y620" s="292"/>
      <c r="Z620" s="300"/>
      <c r="AA620" s="301"/>
      <c r="AB620" s="80"/>
      <c r="AC620" s="292"/>
      <c r="AD620" s="132"/>
      <c r="AE620" s="254"/>
      <c r="AF620" s="294"/>
      <c r="AG620" s="292"/>
      <c r="AH620" s="302"/>
      <c r="AI620" s="302"/>
      <c r="AJ620" s="302"/>
      <c r="AK620" s="292"/>
      <c r="AL620" s="82"/>
      <c r="AM620" s="82"/>
      <c r="AN620" s="82"/>
      <c r="AO620" s="292"/>
      <c r="AP620" s="82"/>
      <c r="AQ620" s="82"/>
      <c r="AR620" s="82"/>
      <c r="AS620" s="292"/>
      <c r="AT620" s="82"/>
      <c r="AU620" s="82"/>
      <c r="AV620" s="82"/>
    </row>
    <row r="621">
      <c r="A621" s="292"/>
      <c r="B621" s="132"/>
      <c r="C621" s="121"/>
      <c r="D621" s="82"/>
      <c r="E621" s="292"/>
      <c r="F621" s="132"/>
      <c r="G621" s="121"/>
      <c r="H621" s="82"/>
      <c r="I621" s="292"/>
      <c r="J621" s="132"/>
      <c r="K621" s="121"/>
      <c r="L621" s="82"/>
      <c r="M621" s="292"/>
      <c r="N621" s="132"/>
      <c r="O621" s="121"/>
      <c r="P621" s="82"/>
      <c r="Q621" s="292"/>
      <c r="R621" s="132"/>
      <c r="S621" s="121"/>
      <c r="T621" s="82"/>
      <c r="U621" s="292"/>
      <c r="V621" s="132"/>
      <c r="W621" s="121"/>
      <c r="X621" s="82"/>
      <c r="Y621" s="292"/>
      <c r="Z621" s="300"/>
      <c r="AA621" s="301"/>
      <c r="AB621" s="80"/>
      <c r="AC621" s="292"/>
      <c r="AD621" s="132"/>
      <c r="AE621" s="254"/>
      <c r="AF621" s="294"/>
      <c r="AG621" s="292"/>
      <c r="AH621" s="302"/>
      <c r="AI621" s="302"/>
      <c r="AJ621" s="302"/>
      <c r="AK621" s="292"/>
      <c r="AL621" s="82"/>
      <c r="AM621" s="82"/>
      <c r="AN621" s="82"/>
      <c r="AO621" s="292"/>
      <c r="AP621" s="82"/>
      <c r="AQ621" s="82"/>
      <c r="AR621" s="82"/>
      <c r="AS621" s="292"/>
      <c r="AT621" s="82"/>
      <c r="AU621" s="82"/>
      <c r="AV621" s="82"/>
    </row>
    <row r="622">
      <c r="A622" s="292"/>
      <c r="B622" s="132"/>
      <c r="C622" s="121"/>
      <c r="D622" s="82"/>
      <c r="E622" s="292"/>
      <c r="F622" s="132"/>
      <c r="G622" s="121"/>
      <c r="H622" s="82"/>
      <c r="I622" s="292"/>
      <c r="J622" s="132"/>
      <c r="K622" s="121"/>
      <c r="L622" s="82"/>
      <c r="M622" s="292"/>
      <c r="N622" s="132"/>
      <c r="O622" s="121"/>
      <c r="P622" s="82"/>
      <c r="Q622" s="292"/>
      <c r="R622" s="132"/>
      <c r="S622" s="121"/>
      <c r="T622" s="82"/>
      <c r="U622" s="292"/>
      <c r="V622" s="132"/>
      <c r="W622" s="121"/>
      <c r="X622" s="82"/>
      <c r="Y622" s="292"/>
      <c r="Z622" s="300"/>
      <c r="AA622" s="301"/>
      <c r="AB622" s="80"/>
      <c r="AC622" s="292"/>
      <c r="AD622" s="132"/>
      <c r="AE622" s="254"/>
      <c r="AF622" s="294"/>
      <c r="AG622" s="292"/>
      <c r="AH622" s="302"/>
      <c r="AI622" s="302"/>
      <c r="AJ622" s="302"/>
      <c r="AK622" s="292"/>
      <c r="AL622" s="82"/>
      <c r="AM622" s="82"/>
      <c r="AN622" s="82"/>
      <c r="AO622" s="292"/>
      <c r="AP622" s="82"/>
      <c r="AQ622" s="82"/>
      <c r="AR622" s="82"/>
      <c r="AS622" s="292"/>
      <c r="AT622" s="82"/>
      <c r="AU622" s="82"/>
      <c r="AV622" s="82"/>
    </row>
    <row r="623">
      <c r="A623" s="292"/>
      <c r="B623" s="132"/>
      <c r="C623" s="121"/>
      <c r="D623" s="82"/>
      <c r="E623" s="292"/>
      <c r="F623" s="132"/>
      <c r="G623" s="121"/>
      <c r="H623" s="82"/>
      <c r="I623" s="292"/>
      <c r="J623" s="132"/>
      <c r="K623" s="121"/>
      <c r="L623" s="82"/>
      <c r="M623" s="292"/>
      <c r="N623" s="132"/>
      <c r="O623" s="121"/>
      <c r="P623" s="82"/>
      <c r="Q623" s="292"/>
      <c r="R623" s="132"/>
      <c r="S623" s="121"/>
      <c r="T623" s="82"/>
      <c r="U623" s="292"/>
      <c r="V623" s="132"/>
      <c r="W623" s="121"/>
      <c r="X623" s="82"/>
      <c r="Y623" s="292"/>
      <c r="Z623" s="300"/>
      <c r="AA623" s="301"/>
      <c r="AB623" s="80"/>
      <c r="AC623" s="292"/>
      <c r="AD623" s="132"/>
      <c r="AE623" s="254"/>
      <c r="AF623" s="294"/>
      <c r="AG623" s="292"/>
      <c r="AH623" s="302"/>
      <c r="AI623" s="302"/>
      <c r="AJ623" s="302"/>
      <c r="AK623" s="292"/>
      <c r="AL623" s="82"/>
      <c r="AM623" s="82"/>
      <c r="AN623" s="82"/>
      <c r="AO623" s="292"/>
      <c r="AP623" s="82"/>
      <c r="AQ623" s="82"/>
      <c r="AR623" s="82"/>
      <c r="AS623" s="292"/>
      <c r="AT623" s="82"/>
      <c r="AU623" s="82"/>
      <c r="AV623" s="82"/>
    </row>
    <row r="624">
      <c r="A624" s="292"/>
      <c r="B624" s="132"/>
      <c r="C624" s="121"/>
      <c r="D624" s="82"/>
      <c r="E624" s="292"/>
      <c r="F624" s="132"/>
      <c r="G624" s="121"/>
      <c r="H624" s="82"/>
      <c r="I624" s="292"/>
      <c r="J624" s="132"/>
      <c r="K624" s="121"/>
      <c r="L624" s="82"/>
      <c r="M624" s="292"/>
      <c r="N624" s="132"/>
      <c r="O624" s="121"/>
      <c r="P624" s="82"/>
      <c r="Q624" s="292"/>
      <c r="R624" s="132"/>
      <c r="S624" s="121"/>
      <c r="T624" s="82"/>
      <c r="U624" s="292"/>
      <c r="V624" s="132"/>
      <c r="W624" s="121"/>
      <c r="X624" s="82"/>
      <c r="Y624" s="292"/>
      <c r="Z624" s="300"/>
      <c r="AA624" s="301"/>
      <c r="AB624" s="80"/>
      <c r="AC624" s="292"/>
      <c r="AD624" s="132"/>
      <c r="AE624" s="254"/>
      <c r="AF624" s="294"/>
      <c r="AG624" s="292"/>
      <c r="AH624" s="302"/>
      <c r="AI624" s="302"/>
      <c r="AJ624" s="302"/>
      <c r="AK624" s="292"/>
      <c r="AL624" s="82"/>
      <c r="AM624" s="82"/>
      <c r="AN624" s="82"/>
      <c r="AO624" s="292"/>
      <c r="AP624" s="82"/>
      <c r="AQ624" s="82"/>
      <c r="AR624" s="82"/>
      <c r="AS624" s="292"/>
      <c r="AT624" s="82"/>
      <c r="AU624" s="82"/>
      <c r="AV624" s="82"/>
    </row>
    <row r="625">
      <c r="A625" s="292"/>
      <c r="B625" s="132"/>
      <c r="C625" s="121"/>
      <c r="D625" s="82"/>
      <c r="E625" s="292"/>
      <c r="F625" s="132"/>
      <c r="G625" s="121"/>
      <c r="H625" s="82"/>
      <c r="I625" s="292"/>
      <c r="J625" s="132"/>
      <c r="K625" s="121"/>
      <c r="L625" s="82"/>
      <c r="M625" s="292"/>
      <c r="N625" s="132"/>
      <c r="O625" s="121"/>
      <c r="P625" s="82"/>
      <c r="Q625" s="292"/>
      <c r="R625" s="132"/>
      <c r="S625" s="121"/>
      <c r="T625" s="82"/>
      <c r="U625" s="292"/>
      <c r="V625" s="132"/>
      <c r="W625" s="121"/>
      <c r="X625" s="82"/>
      <c r="Y625" s="292"/>
      <c r="Z625" s="300"/>
      <c r="AA625" s="301"/>
      <c r="AB625" s="80"/>
      <c r="AC625" s="292"/>
      <c r="AD625" s="132"/>
      <c r="AE625" s="254"/>
      <c r="AF625" s="294"/>
      <c r="AG625" s="292"/>
      <c r="AH625" s="302"/>
      <c r="AI625" s="302"/>
      <c r="AJ625" s="302"/>
      <c r="AK625" s="292"/>
      <c r="AL625" s="82"/>
      <c r="AM625" s="82"/>
      <c r="AN625" s="82"/>
      <c r="AO625" s="292"/>
      <c r="AP625" s="82"/>
      <c r="AQ625" s="82"/>
      <c r="AR625" s="82"/>
      <c r="AS625" s="292"/>
      <c r="AT625" s="82"/>
      <c r="AU625" s="82"/>
      <c r="AV625" s="82"/>
    </row>
    <row r="626">
      <c r="A626" s="292"/>
      <c r="B626" s="132"/>
      <c r="C626" s="121"/>
      <c r="D626" s="82"/>
      <c r="E626" s="292"/>
      <c r="F626" s="132"/>
      <c r="G626" s="121"/>
      <c r="H626" s="82"/>
      <c r="I626" s="292"/>
      <c r="J626" s="132"/>
      <c r="K626" s="121"/>
      <c r="L626" s="82"/>
      <c r="M626" s="292"/>
      <c r="N626" s="132"/>
      <c r="O626" s="121"/>
      <c r="P626" s="82"/>
      <c r="Q626" s="292"/>
      <c r="R626" s="132"/>
      <c r="S626" s="121"/>
      <c r="T626" s="82"/>
      <c r="U626" s="292"/>
      <c r="V626" s="132"/>
      <c r="W626" s="121"/>
      <c r="X626" s="82"/>
      <c r="Y626" s="292"/>
      <c r="Z626" s="300"/>
      <c r="AA626" s="301"/>
      <c r="AB626" s="80"/>
      <c r="AC626" s="292"/>
      <c r="AD626" s="132"/>
      <c r="AE626" s="254"/>
      <c r="AF626" s="294"/>
      <c r="AG626" s="292"/>
      <c r="AH626" s="302"/>
      <c r="AI626" s="302"/>
      <c r="AJ626" s="302"/>
      <c r="AK626" s="292"/>
      <c r="AL626" s="82"/>
      <c r="AM626" s="82"/>
      <c r="AN626" s="82"/>
      <c r="AO626" s="292"/>
      <c r="AP626" s="82"/>
      <c r="AQ626" s="82"/>
      <c r="AR626" s="82"/>
      <c r="AS626" s="292"/>
      <c r="AT626" s="82"/>
      <c r="AU626" s="82"/>
      <c r="AV626" s="82"/>
    </row>
    <row r="627">
      <c r="A627" s="292"/>
      <c r="B627" s="132"/>
      <c r="C627" s="121"/>
      <c r="D627" s="82"/>
      <c r="E627" s="292"/>
      <c r="F627" s="132"/>
      <c r="G627" s="121"/>
      <c r="H627" s="82"/>
      <c r="I627" s="292"/>
      <c r="J627" s="132"/>
      <c r="K627" s="121"/>
      <c r="L627" s="82"/>
      <c r="M627" s="292"/>
      <c r="N627" s="132"/>
      <c r="O627" s="121"/>
      <c r="P627" s="82"/>
      <c r="Q627" s="292"/>
      <c r="R627" s="132"/>
      <c r="S627" s="121"/>
      <c r="T627" s="82"/>
      <c r="U627" s="292"/>
      <c r="V627" s="132"/>
      <c r="W627" s="121"/>
      <c r="X627" s="82"/>
      <c r="Y627" s="292"/>
      <c r="Z627" s="300"/>
      <c r="AA627" s="301"/>
      <c r="AB627" s="80"/>
      <c r="AC627" s="292"/>
      <c r="AD627" s="132"/>
      <c r="AE627" s="254"/>
      <c r="AF627" s="294"/>
      <c r="AG627" s="292"/>
      <c r="AH627" s="302"/>
      <c r="AI627" s="302"/>
      <c r="AJ627" s="302"/>
      <c r="AK627" s="292"/>
      <c r="AL627" s="82"/>
      <c r="AM627" s="82"/>
      <c r="AN627" s="82"/>
      <c r="AO627" s="292"/>
      <c r="AP627" s="82"/>
      <c r="AQ627" s="82"/>
      <c r="AR627" s="82"/>
      <c r="AS627" s="292"/>
      <c r="AT627" s="82"/>
      <c r="AU627" s="82"/>
      <c r="AV627" s="82"/>
    </row>
    <row r="628">
      <c r="A628" s="292"/>
      <c r="B628" s="132"/>
      <c r="C628" s="121"/>
      <c r="D628" s="82"/>
      <c r="E628" s="292"/>
      <c r="F628" s="132"/>
      <c r="G628" s="121"/>
      <c r="H628" s="82"/>
      <c r="I628" s="292"/>
      <c r="J628" s="132"/>
      <c r="K628" s="121"/>
      <c r="L628" s="82"/>
      <c r="M628" s="292"/>
      <c r="N628" s="132"/>
      <c r="O628" s="121"/>
      <c r="P628" s="82"/>
      <c r="Q628" s="292"/>
      <c r="R628" s="132"/>
      <c r="S628" s="121"/>
      <c r="T628" s="82"/>
      <c r="U628" s="292"/>
      <c r="V628" s="132"/>
      <c r="W628" s="121"/>
      <c r="X628" s="82"/>
      <c r="Y628" s="292"/>
      <c r="Z628" s="300"/>
      <c r="AA628" s="301"/>
      <c r="AB628" s="80"/>
      <c r="AC628" s="292"/>
      <c r="AD628" s="132"/>
      <c r="AE628" s="254"/>
      <c r="AF628" s="294"/>
      <c r="AG628" s="292"/>
      <c r="AH628" s="302"/>
      <c r="AI628" s="302"/>
      <c r="AJ628" s="302"/>
      <c r="AK628" s="292"/>
      <c r="AL628" s="82"/>
      <c r="AM628" s="82"/>
      <c r="AN628" s="82"/>
      <c r="AO628" s="292"/>
      <c r="AP628" s="82"/>
      <c r="AQ628" s="82"/>
      <c r="AR628" s="82"/>
      <c r="AS628" s="292"/>
      <c r="AT628" s="82"/>
      <c r="AU628" s="82"/>
      <c r="AV628" s="82"/>
    </row>
    <row r="629">
      <c r="A629" s="292"/>
      <c r="B629" s="132"/>
      <c r="C629" s="121"/>
      <c r="D629" s="82"/>
      <c r="E629" s="292"/>
      <c r="F629" s="132"/>
      <c r="G629" s="121"/>
      <c r="H629" s="82"/>
      <c r="I629" s="292"/>
      <c r="J629" s="132"/>
      <c r="K629" s="121"/>
      <c r="L629" s="82"/>
      <c r="M629" s="292"/>
      <c r="N629" s="132"/>
      <c r="O629" s="121"/>
      <c r="P629" s="82"/>
      <c r="Q629" s="292"/>
      <c r="R629" s="132"/>
      <c r="S629" s="121"/>
      <c r="T629" s="82"/>
      <c r="U629" s="292"/>
      <c r="V629" s="132"/>
      <c r="W629" s="121"/>
      <c r="X629" s="82"/>
      <c r="Y629" s="292"/>
      <c r="Z629" s="300"/>
      <c r="AA629" s="301"/>
      <c r="AB629" s="80"/>
      <c r="AC629" s="292"/>
      <c r="AD629" s="132"/>
      <c r="AE629" s="254"/>
      <c r="AF629" s="294"/>
      <c r="AG629" s="292"/>
      <c r="AH629" s="302"/>
      <c r="AI629" s="302"/>
      <c r="AJ629" s="302"/>
      <c r="AK629" s="292"/>
      <c r="AL629" s="82"/>
      <c r="AM629" s="82"/>
      <c r="AN629" s="82"/>
      <c r="AO629" s="292"/>
      <c r="AP629" s="82"/>
      <c r="AQ629" s="82"/>
      <c r="AR629" s="82"/>
      <c r="AS629" s="292"/>
      <c r="AT629" s="82"/>
      <c r="AU629" s="82"/>
      <c r="AV629" s="82"/>
    </row>
    <row r="630">
      <c r="A630" s="292"/>
      <c r="B630" s="132"/>
      <c r="C630" s="121"/>
      <c r="D630" s="82"/>
      <c r="E630" s="292"/>
      <c r="F630" s="132"/>
      <c r="G630" s="121"/>
      <c r="H630" s="82"/>
      <c r="I630" s="292"/>
      <c r="J630" s="132"/>
      <c r="K630" s="121"/>
      <c r="L630" s="82"/>
      <c r="M630" s="292"/>
      <c r="N630" s="132"/>
      <c r="O630" s="121"/>
      <c r="P630" s="82"/>
      <c r="Q630" s="292"/>
      <c r="R630" s="132"/>
      <c r="S630" s="121"/>
      <c r="T630" s="82"/>
      <c r="U630" s="292"/>
      <c r="V630" s="132"/>
      <c r="W630" s="121"/>
      <c r="X630" s="82"/>
      <c r="Y630" s="292"/>
      <c r="Z630" s="300"/>
      <c r="AA630" s="301"/>
      <c r="AB630" s="80"/>
      <c r="AC630" s="292"/>
      <c r="AD630" s="132"/>
      <c r="AE630" s="254"/>
      <c r="AF630" s="294"/>
      <c r="AG630" s="292"/>
      <c r="AH630" s="302"/>
      <c r="AI630" s="302"/>
      <c r="AJ630" s="302"/>
      <c r="AK630" s="292"/>
      <c r="AL630" s="82"/>
      <c r="AM630" s="82"/>
      <c r="AN630" s="82"/>
      <c r="AO630" s="292"/>
      <c r="AP630" s="82"/>
      <c r="AQ630" s="82"/>
      <c r="AR630" s="82"/>
      <c r="AS630" s="292"/>
      <c r="AT630" s="82"/>
      <c r="AU630" s="82"/>
      <c r="AV630" s="82"/>
    </row>
    <row r="631">
      <c r="A631" s="292"/>
      <c r="B631" s="132"/>
      <c r="C631" s="121"/>
      <c r="D631" s="82"/>
      <c r="E631" s="292"/>
      <c r="F631" s="132"/>
      <c r="G631" s="121"/>
      <c r="H631" s="82"/>
      <c r="I631" s="292"/>
      <c r="J631" s="132"/>
      <c r="K631" s="121"/>
      <c r="L631" s="82"/>
      <c r="M631" s="292"/>
      <c r="N631" s="132"/>
      <c r="O631" s="121"/>
      <c r="P631" s="82"/>
      <c r="Q631" s="292"/>
      <c r="R631" s="132"/>
      <c r="S631" s="121"/>
      <c r="T631" s="82"/>
      <c r="U631" s="292"/>
      <c r="V631" s="132"/>
      <c r="W631" s="121"/>
      <c r="X631" s="82"/>
      <c r="Y631" s="292"/>
      <c r="Z631" s="300"/>
      <c r="AA631" s="301"/>
      <c r="AB631" s="80"/>
      <c r="AC631" s="292"/>
      <c r="AD631" s="132"/>
      <c r="AE631" s="254"/>
      <c r="AF631" s="294"/>
      <c r="AG631" s="292"/>
      <c r="AH631" s="302"/>
      <c r="AI631" s="302"/>
      <c r="AJ631" s="302"/>
      <c r="AK631" s="292"/>
      <c r="AL631" s="82"/>
      <c r="AM631" s="82"/>
      <c r="AN631" s="82"/>
      <c r="AO631" s="292"/>
      <c r="AP631" s="82"/>
      <c r="AQ631" s="82"/>
      <c r="AR631" s="82"/>
      <c r="AS631" s="292"/>
      <c r="AT631" s="82"/>
      <c r="AU631" s="82"/>
      <c r="AV631" s="82"/>
    </row>
    <row r="632">
      <c r="A632" s="292"/>
      <c r="B632" s="132"/>
      <c r="C632" s="121"/>
      <c r="D632" s="82"/>
      <c r="E632" s="292"/>
      <c r="F632" s="132"/>
      <c r="G632" s="121"/>
      <c r="H632" s="82"/>
      <c r="I632" s="292"/>
      <c r="J632" s="132"/>
      <c r="K632" s="121"/>
      <c r="L632" s="82"/>
      <c r="M632" s="292"/>
      <c r="N632" s="132"/>
      <c r="O632" s="121"/>
      <c r="P632" s="82"/>
      <c r="Q632" s="292"/>
      <c r="R632" s="132"/>
      <c r="S632" s="121"/>
      <c r="T632" s="82"/>
      <c r="U632" s="292"/>
      <c r="V632" s="132"/>
      <c r="W632" s="121"/>
      <c r="X632" s="82"/>
      <c r="Y632" s="292"/>
      <c r="Z632" s="300"/>
      <c r="AA632" s="301"/>
      <c r="AB632" s="80"/>
      <c r="AC632" s="292"/>
      <c r="AD632" s="132"/>
      <c r="AE632" s="254"/>
      <c r="AF632" s="294"/>
      <c r="AG632" s="292"/>
      <c r="AH632" s="302"/>
      <c r="AI632" s="302"/>
      <c r="AJ632" s="302"/>
      <c r="AK632" s="292"/>
      <c r="AL632" s="82"/>
      <c r="AM632" s="82"/>
      <c r="AN632" s="82"/>
      <c r="AO632" s="292"/>
      <c r="AP632" s="82"/>
      <c r="AQ632" s="82"/>
      <c r="AR632" s="82"/>
      <c r="AS632" s="292"/>
      <c r="AT632" s="82"/>
      <c r="AU632" s="82"/>
      <c r="AV632" s="82"/>
    </row>
    <row r="633">
      <c r="A633" s="292"/>
      <c r="B633" s="132"/>
      <c r="C633" s="121"/>
      <c r="D633" s="82"/>
      <c r="E633" s="292"/>
      <c r="F633" s="132"/>
      <c r="G633" s="121"/>
      <c r="H633" s="82"/>
      <c r="I633" s="292"/>
      <c r="J633" s="132"/>
      <c r="K633" s="121"/>
      <c r="L633" s="82"/>
      <c r="M633" s="292"/>
      <c r="N633" s="132"/>
      <c r="O633" s="121"/>
      <c r="P633" s="82"/>
      <c r="Q633" s="292"/>
      <c r="R633" s="132"/>
      <c r="S633" s="121"/>
      <c r="T633" s="82"/>
      <c r="U633" s="292"/>
      <c r="V633" s="132"/>
      <c r="W633" s="121"/>
      <c r="X633" s="82"/>
      <c r="Y633" s="292"/>
      <c r="Z633" s="300"/>
      <c r="AA633" s="301"/>
      <c r="AB633" s="80"/>
      <c r="AC633" s="292"/>
      <c r="AD633" s="132"/>
      <c r="AE633" s="254"/>
      <c r="AF633" s="294"/>
      <c r="AG633" s="292"/>
      <c r="AH633" s="302"/>
      <c r="AI633" s="302"/>
      <c r="AJ633" s="302"/>
      <c r="AK633" s="292"/>
      <c r="AL633" s="82"/>
      <c r="AM633" s="82"/>
      <c r="AN633" s="82"/>
      <c r="AO633" s="292"/>
      <c r="AP633" s="82"/>
      <c r="AQ633" s="82"/>
      <c r="AR633" s="82"/>
      <c r="AS633" s="292"/>
      <c r="AT633" s="82"/>
      <c r="AU633" s="82"/>
      <c r="AV633" s="82"/>
    </row>
    <row r="634">
      <c r="A634" s="292"/>
      <c r="B634" s="132"/>
      <c r="C634" s="121"/>
      <c r="D634" s="82"/>
      <c r="E634" s="292"/>
      <c r="F634" s="132"/>
      <c r="G634" s="121"/>
      <c r="H634" s="82"/>
      <c r="I634" s="292"/>
      <c r="J634" s="132"/>
      <c r="K634" s="121"/>
      <c r="L634" s="82"/>
      <c r="M634" s="292"/>
      <c r="N634" s="132"/>
      <c r="O634" s="121"/>
      <c r="P634" s="82"/>
      <c r="Q634" s="292"/>
      <c r="R634" s="132"/>
      <c r="S634" s="121"/>
      <c r="T634" s="82"/>
      <c r="U634" s="292"/>
      <c r="V634" s="132"/>
      <c r="W634" s="121"/>
      <c r="X634" s="82"/>
      <c r="Y634" s="292"/>
      <c r="Z634" s="300"/>
      <c r="AA634" s="301"/>
      <c r="AB634" s="80"/>
      <c r="AC634" s="292"/>
      <c r="AD634" s="132"/>
      <c r="AE634" s="254"/>
      <c r="AF634" s="294"/>
      <c r="AG634" s="292"/>
      <c r="AH634" s="302"/>
      <c r="AI634" s="302"/>
      <c r="AJ634" s="302"/>
      <c r="AK634" s="292"/>
      <c r="AL634" s="82"/>
      <c r="AM634" s="82"/>
      <c r="AN634" s="82"/>
      <c r="AO634" s="292"/>
      <c r="AP634" s="82"/>
      <c r="AQ634" s="82"/>
      <c r="AR634" s="82"/>
      <c r="AS634" s="292"/>
      <c r="AT634" s="82"/>
      <c r="AU634" s="82"/>
      <c r="AV634" s="82"/>
    </row>
    <row r="635">
      <c r="A635" s="292"/>
      <c r="B635" s="132"/>
      <c r="C635" s="121"/>
      <c r="D635" s="82"/>
      <c r="E635" s="292"/>
      <c r="F635" s="132"/>
      <c r="G635" s="121"/>
      <c r="H635" s="82"/>
      <c r="I635" s="292"/>
      <c r="J635" s="132"/>
      <c r="K635" s="121"/>
      <c r="L635" s="82"/>
      <c r="M635" s="292"/>
      <c r="N635" s="132"/>
      <c r="O635" s="121"/>
      <c r="P635" s="82"/>
      <c r="Q635" s="292"/>
      <c r="R635" s="132"/>
      <c r="S635" s="121"/>
      <c r="T635" s="82"/>
      <c r="U635" s="292"/>
      <c r="V635" s="132"/>
      <c r="W635" s="121"/>
      <c r="X635" s="82"/>
      <c r="Y635" s="292"/>
      <c r="Z635" s="300"/>
      <c r="AA635" s="301"/>
      <c r="AB635" s="80"/>
      <c r="AC635" s="292"/>
      <c r="AD635" s="132"/>
      <c r="AE635" s="254"/>
      <c r="AF635" s="294"/>
      <c r="AG635" s="292"/>
      <c r="AH635" s="302"/>
      <c r="AI635" s="302"/>
      <c r="AJ635" s="302"/>
      <c r="AK635" s="292"/>
      <c r="AL635" s="82"/>
      <c r="AM635" s="82"/>
      <c r="AN635" s="82"/>
      <c r="AO635" s="292"/>
      <c r="AP635" s="82"/>
      <c r="AQ635" s="82"/>
      <c r="AR635" s="82"/>
      <c r="AS635" s="292"/>
      <c r="AT635" s="82"/>
      <c r="AU635" s="82"/>
      <c r="AV635" s="82"/>
    </row>
    <row r="636">
      <c r="A636" s="292"/>
      <c r="B636" s="132"/>
      <c r="C636" s="121"/>
      <c r="D636" s="82"/>
      <c r="E636" s="292"/>
      <c r="F636" s="132"/>
      <c r="G636" s="121"/>
      <c r="H636" s="82"/>
      <c r="I636" s="292"/>
      <c r="J636" s="132"/>
      <c r="K636" s="121"/>
      <c r="L636" s="82"/>
      <c r="M636" s="292"/>
      <c r="N636" s="132"/>
      <c r="O636" s="121"/>
      <c r="P636" s="82"/>
      <c r="Q636" s="292"/>
      <c r="R636" s="132"/>
      <c r="S636" s="121"/>
      <c r="T636" s="82"/>
      <c r="U636" s="292"/>
      <c r="V636" s="132"/>
      <c r="W636" s="121"/>
      <c r="X636" s="82"/>
      <c r="Y636" s="292"/>
      <c r="Z636" s="300"/>
      <c r="AA636" s="301"/>
      <c r="AB636" s="80"/>
      <c r="AC636" s="292"/>
      <c r="AD636" s="132"/>
      <c r="AE636" s="254"/>
      <c r="AF636" s="294"/>
      <c r="AG636" s="292"/>
      <c r="AH636" s="302"/>
      <c r="AI636" s="302"/>
      <c r="AJ636" s="302"/>
      <c r="AK636" s="292"/>
      <c r="AL636" s="82"/>
      <c r="AM636" s="82"/>
      <c r="AN636" s="82"/>
      <c r="AO636" s="292"/>
      <c r="AP636" s="82"/>
      <c r="AQ636" s="82"/>
      <c r="AR636" s="82"/>
      <c r="AS636" s="292"/>
      <c r="AT636" s="82"/>
      <c r="AU636" s="82"/>
      <c r="AV636" s="82"/>
    </row>
    <row r="637">
      <c r="A637" s="292"/>
      <c r="B637" s="132"/>
      <c r="C637" s="121"/>
      <c r="D637" s="82"/>
      <c r="E637" s="292"/>
      <c r="F637" s="132"/>
      <c r="G637" s="121"/>
      <c r="H637" s="82"/>
      <c r="I637" s="292"/>
      <c r="J637" s="132"/>
      <c r="K637" s="121"/>
      <c r="L637" s="82"/>
      <c r="M637" s="292"/>
      <c r="N637" s="132"/>
      <c r="O637" s="121"/>
      <c r="P637" s="82"/>
      <c r="Q637" s="292"/>
      <c r="R637" s="132"/>
      <c r="S637" s="121"/>
      <c r="T637" s="82"/>
      <c r="U637" s="292"/>
      <c r="V637" s="132"/>
      <c r="W637" s="121"/>
      <c r="X637" s="82"/>
      <c r="Y637" s="292"/>
      <c r="Z637" s="300"/>
      <c r="AA637" s="301"/>
      <c r="AB637" s="80"/>
      <c r="AC637" s="292"/>
      <c r="AD637" s="132"/>
      <c r="AE637" s="254"/>
      <c r="AF637" s="294"/>
      <c r="AG637" s="292"/>
      <c r="AH637" s="302"/>
      <c r="AI637" s="302"/>
      <c r="AJ637" s="302"/>
      <c r="AK637" s="292"/>
      <c r="AL637" s="82"/>
      <c r="AM637" s="82"/>
      <c r="AN637" s="82"/>
      <c r="AO637" s="292"/>
      <c r="AP637" s="82"/>
      <c r="AQ637" s="82"/>
      <c r="AR637" s="82"/>
      <c r="AS637" s="292"/>
      <c r="AT637" s="82"/>
      <c r="AU637" s="82"/>
      <c r="AV637" s="82"/>
    </row>
    <row r="638">
      <c r="A638" s="292"/>
      <c r="B638" s="132"/>
      <c r="C638" s="121"/>
      <c r="D638" s="82"/>
      <c r="E638" s="292"/>
      <c r="F638" s="132"/>
      <c r="G638" s="121"/>
      <c r="H638" s="82"/>
      <c r="I638" s="292"/>
      <c r="J638" s="132"/>
      <c r="K638" s="121"/>
      <c r="L638" s="82"/>
      <c r="M638" s="292"/>
      <c r="N638" s="132"/>
      <c r="O638" s="121"/>
      <c r="P638" s="82"/>
      <c r="Q638" s="292"/>
      <c r="R638" s="132"/>
      <c r="S638" s="121"/>
      <c r="T638" s="82"/>
      <c r="U638" s="292"/>
      <c r="V638" s="132"/>
      <c r="W638" s="121"/>
      <c r="X638" s="82"/>
      <c r="Y638" s="292"/>
      <c r="Z638" s="300"/>
      <c r="AA638" s="301"/>
      <c r="AB638" s="80"/>
      <c r="AC638" s="292"/>
      <c r="AD638" s="132"/>
      <c r="AE638" s="254"/>
      <c r="AF638" s="294"/>
      <c r="AG638" s="292"/>
      <c r="AH638" s="302"/>
      <c r="AI638" s="302"/>
      <c r="AJ638" s="302"/>
      <c r="AK638" s="292"/>
      <c r="AL638" s="82"/>
      <c r="AM638" s="82"/>
      <c r="AN638" s="82"/>
      <c r="AO638" s="292"/>
      <c r="AP638" s="82"/>
      <c r="AQ638" s="82"/>
      <c r="AR638" s="82"/>
      <c r="AS638" s="292"/>
      <c r="AT638" s="82"/>
      <c r="AU638" s="82"/>
      <c r="AV638" s="82"/>
    </row>
    <row r="639">
      <c r="A639" s="292"/>
      <c r="B639" s="132"/>
      <c r="C639" s="121"/>
      <c r="D639" s="82"/>
      <c r="E639" s="292"/>
      <c r="F639" s="132"/>
      <c r="G639" s="121"/>
      <c r="H639" s="82"/>
      <c r="I639" s="292"/>
      <c r="J639" s="132"/>
      <c r="K639" s="121"/>
      <c r="L639" s="82"/>
      <c r="M639" s="292"/>
      <c r="N639" s="132"/>
      <c r="O639" s="121"/>
      <c r="P639" s="82"/>
      <c r="Q639" s="292"/>
      <c r="R639" s="132"/>
      <c r="S639" s="121"/>
      <c r="T639" s="82"/>
      <c r="U639" s="292"/>
      <c r="V639" s="132"/>
      <c r="W639" s="121"/>
      <c r="X639" s="82"/>
      <c r="Y639" s="292"/>
      <c r="Z639" s="300"/>
      <c r="AA639" s="301"/>
      <c r="AB639" s="80"/>
      <c r="AC639" s="292"/>
      <c r="AD639" s="132"/>
      <c r="AE639" s="254"/>
      <c r="AF639" s="294"/>
      <c r="AG639" s="292"/>
      <c r="AH639" s="302"/>
      <c r="AI639" s="302"/>
      <c r="AJ639" s="302"/>
      <c r="AK639" s="292"/>
      <c r="AL639" s="82"/>
      <c r="AM639" s="82"/>
      <c r="AN639" s="82"/>
      <c r="AO639" s="292"/>
      <c r="AP639" s="82"/>
      <c r="AQ639" s="82"/>
      <c r="AR639" s="82"/>
      <c r="AS639" s="292"/>
      <c r="AT639" s="82"/>
      <c r="AU639" s="82"/>
      <c r="AV639" s="82"/>
    </row>
    <row r="640">
      <c r="A640" s="292"/>
      <c r="B640" s="132"/>
      <c r="C640" s="121"/>
      <c r="D640" s="82"/>
      <c r="E640" s="292"/>
      <c r="F640" s="132"/>
      <c r="G640" s="121"/>
      <c r="H640" s="82"/>
      <c r="I640" s="292"/>
      <c r="J640" s="132"/>
      <c r="K640" s="121"/>
      <c r="L640" s="82"/>
      <c r="M640" s="292"/>
      <c r="N640" s="132"/>
      <c r="O640" s="121"/>
      <c r="P640" s="82"/>
      <c r="Q640" s="292"/>
      <c r="R640" s="132"/>
      <c r="S640" s="121"/>
      <c r="T640" s="82"/>
      <c r="U640" s="292"/>
      <c r="V640" s="132"/>
      <c r="W640" s="121"/>
      <c r="X640" s="82"/>
      <c r="Y640" s="292"/>
      <c r="Z640" s="300"/>
      <c r="AA640" s="301"/>
      <c r="AB640" s="80"/>
      <c r="AC640" s="292"/>
      <c r="AD640" s="132"/>
      <c r="AE640" s="254"/>
      <c r="AF640" s="294"/>
      <c r="AG640" s="292"/>
      <c r="AH640" s="302"/>
      <c r="AI640" s="302"/>
      <c r="AJ640" s="302"/>
      <c r="AK640" s="292"/>
      <c r="AL640" s="82"/>
      <c r="AM640" s="82"/>
      <c r="AN640" s="82"/>
      <c r="AO640" s="292"/>
      <c r="AP640" s="82"/>
      <c r="AQ640" s="82"/>
      <c r="AR640" s="82"/>
      <c r="AS640" s="292"/>
      <c r="AT640" s="82"/>
      <c r="AU640" s="82"/>
      <c r="AV640" s="82"/>
    </row>
    <row r="641">
      <c r="A641" s="292"/>
      <c r="B641" s="132"/>
      <c r="C641" s="121"/>
      <c r="D641" s="82"/>
      <c r="E641" s="292"/>
      <c r="F641" s="132"/>
      <c r="G641" s="121"/>
      <c r="H641" s="82"/>
      <c r="I641" s="292"/>
      <c r="J641" s="132"/>
      <c r="K641" s="121"/>
      <c r="L641" s="82"/>
      <c r="M641" s="292"/>
      <c r="N641" s="132"/>
      <c r="O641" s="121"/>
      <c r="P641" s="82"/>
      <c r="Q641" s="292"/>
      <c r="R641" s="132"/>
      <c r="S641" s="121"/>
      <c r="T641" s="82"/>
      <c r="U641" s="292"/>
      <c r="V641" s="132"/>
      <c r="W641" s="121"/>
      <c r="X641" s="82"/>
      <c r="Y641" s="292"/>
      <c r="Z641" s="300"/>
      <c r="AA641" s="301"/>
      <c r="AB641" s="80"/>
      <c r="AC641" s="292"/>
      <c r="AD641" s="132"/>
      <c r="AE641" s="254"/>
      <c r="AF641" s="294"/>
      <c r="AG641" s="292"/>
      <c r="AH641" s="302"/>
      <c r="AI641" s="302"/>
      <c r="AJ641" s="302"/>
      <c r="AK641" s="292"/>
      <c r="AL641" s="82"/>
      <c r="AM641" s="82"/>
      <c r="AN641" s="82"/>
      <c r="AO641" s="292"/>
      <c r="AP641" s="82"/>
      <c r="AQ641" s="82"/>
      <c r="AR641" s="82"/>
      <c r="AS641" s="292"/>
      <c r="AT641" s="82"/>
      <c r="AU641" s="82"/>
      <c r="AV641" s="82"/>
    </row>
    <row r="642">
      <c r="A642" s="292"/>
      <c r="B642" s="132"/>
      <c r="C642" s="121"/>
      <c r="D642" s="82"/>
      <c r="E642" s="292"/>
      <c r="F642" s="132"/>
      <c r="G642" s="121"/>
      <c r="H642" s="82"/>
      <c r="I642" s="292"/>
      <c r="J642" s="132"/>
      <c r="K642" s="121"/>
      <c r="L642" s="82"/>
      <c r="M642" s="292"/>
      <c r="N642" s="132"/>
      <c r="O642" s="121"/>
      <c r="P642" s="82"/>
      <c r="Q642" s="292"/>
      <c r="R642" s="132"/>
      <c r="S642" s="121"/>
      <c r="T642" s="82"/>
      <c r="U642" s="292"/>
      <c r="V642" s="132"/>
      <c r="W642" s="121"/>
      <c r="X642" s="82"/>
      <c r="Y642" s="292"/>
      <c r="Z642" s="300"/>
      <c r="AA642" s="301"/>
      <c r="AB642" s="80"/>
      <c r="AC642" s="292"/>
      <c r="AD642" s="132"/>
      <c r="AE642" s="254"/>
      <c r="AF642" s="294"/>
      <c r="AG642" s="292"/>
      <c r="AH642" s="302"/>
      <c r="AI642" s="302"/>
      <c r="AJ642" s="302"/>
      <c r="AK642" s="292"/>
      <c r="AL642" s="82"/>
      <c r="AM642" s="82"/>
      <c r="AN642" s="82"/>
      <c r="AO642" s="292"/>
      <c r="AP642" s="82"/>
      <c r="AQ642" s="82"/>
      <c r="AR642" s="82"/>
      <c r="AS642" s="292"/>
      <c r="AT642" s="82"/>
      <c r="AU642" s="82"/>
      <c r="AV642" s="82"/>
    </row>
    <row r="643">
      <c r="A643" s="292"/>
      <c r="B643" s="132"/>
      <c r="C643" s="121"/>
      <c r="D643" s="82"/>
      <c r="E643" s="292"/>
      <c r="F643" s="132"/>
      <c r="G643" s="121"/>
      <c r="H643" s="82"/>
      <c r="I643" s="292"/>
      <c r="J643" s="132"/>
      <c r="K643" s="121"/>
      <c r="L643" s="82"/>
      <c r="M643" s="292"/>
      <c r="N643" s="132"/>
      <c r="O643" s="121"/>
      <c r="P643" s="82"/>
      <c r="Q643" s="292"/>
      <c r="R643" s="132"/>
      <c r="S643" s="121"/>
      <c r="T643" s="82"/>
      <c r="U643" s="292"/>
      <c r="V643" s="132"/>
      <c r="W643" s="121"/>
      <c r="X643" s="82"/>
      <c r="Y643" s="292"/>
      <c r="Z643" s="300"/>
      <c r="AA643" s="301"/>
      <c r="AB643" s="80"/>
      <c r="AC643" s="292"/>
      <c r="AD643" s="132"/>
      <c r="AE643" s="254"/>
      <c r="AF643" s="294"/>
      <c r="AG643" s="292"/>
      <c r="AH643" s="302"/>
      <c r="AI643" s="302"/>
      <c r="AJ643" s="302"/>
      <c r="AK643" s="292"/>
      <c r="AL643" s="82"/>
      <c r="AM643" s="82"/>
      <c r="AN643" s="82"/>
      <c r="AO643" s="292"/>
      <c r="AP643" s="82"/>
      <c r="AQ643" s="82"/>
      <c r="AR643" s="82"/>
      <c r="AS643" s="292"/>
      <c r="AT643" s="82"/>
      <c r="AU643" s="82"/>
      <c r="AV643" s="82"/>
    </row>
    <row r="644">
      <c r="A644" s="292"/>
      <c r="B644" s="132"/>
      <c r="C644" s="121"/>
      <c r="D644" s="82"/>
      <c r="E644" s="292"/>
      <c r="F644" s="132"/>
      <c r="G644" s="121"/>
      <c r="H644" s="82"/>
      <c r="I644" s="292"/>
      <c r="J644" s="132"/>
      <c r="K644" s="121"/>
      <c r="L644" s="82"/>
      <c r="M644" s="292"/>
      <c r="N644" s="132"/>
      <c r="O644" s="121"/>
      <c r="P644" s="82"/>
      <c r="Q644" s="292"/>
      <c r="R644" s="132"/>
      <c r="S644" s="121"/>
      <c r="T644" s="82"/>
      <c r="U644" s="292"/>
      <c r="V644" s="132"/>
      <c r="W644" s="121"/>
      <c r="X644" s="82"/>
      <c r="Y644" s="292"/>
      <c r="Z644" s="300"/>
      <c r="AA644" s="301"/>
      <c r="AB644" s="80"/>
      <c r="AC644" s="292"/>
      <c r="AD644" s="132"/>
      <c r="AE644" s="254"/>
      <c r="AF644" s="294"/>
      <c r="AG644" s="292"/>
      <c r="AH644" s="302"/>
      <c r="AI644" s="302"/>
      <c r="AJ644" s="302"/>
      <c r="AK644" s="292"/>
      <c r="AL644" s="82"/>
      <c r="AM644" s="82"/>
      <c r="AN644" s="82"/>
      <c r="AO644" s="292"/>
      <c r="AP644" s="82"/>
      <c r="AQ644" s="82"/>
      <c r="AR644" s="82"/>
      <c r="AS644" s="292"/>
      <c r="AT644" s="82"/>
      <c r="AU644" s="82"/>
      <c r="AV644" s="82"/>
    </row>
    <row r="645">
      <c r="A645" s="292"/>
      <c r="B645" s="132"/>
      <c r="C645" s="121"/>
      <c r="D645" s="82"/>
      <c r="E645" s="292"/>
      <c r="F645" s="132"/>
      <c r="G645" s="121"/>
      <c r="H645" s="82"/>
      <c r="I645" s="292"/>
      <c r="J645" s="132"/>
      <c r="K645" s="121"/>
      <c r="L645" s="82"/>
      <c r="M645" s="292"/>
      <c r="N645" s="132"/>
      <c r="O645" s="121"/>
      <c r="P645" s="82"/>
      <c r="Q645" s="292"/>
      <c r="R645" s="132"/>
      <c r="S645" s="121"/>
      <c r="T645" s="82"/>
      <c r="U645" s="292"/>
      <c r="V645" s="132"/>
      <c r="W645" s="121"/>
      <c r="X645" s="82"/>
      <c r="Y645" s="292"/>
      <c r="Z645" s="300"/>
      <c r="AA645" s="301"/>
      <c r="AB645" s="80"/>
      <c r="AC645" s="292"/>
      <c r="AD645" s="132"/>
      <c r="AE645" s="254"/>
      <c r="AF645" s="294"/>
      <c r="AG645" s="292"/>
      <c r="AH645" s="302"/>
      <c r="AI645" s="302"/>
      <c r="AJ645" s="302"/>
      <c r="AK645" s="292"/>
      <c r="AL645" s="82"/>
      <c r="AM645" s="82"/>
      <c r="AN645" s="82"/>
      <c r="AO645" s="292"/>
      <c r="AP645" s="82"/>
      <c r="AQ645" s="82"/>
      <c r="AR645" s="82"/>
      <c r="AS645" s="292"/>
      <c r="AT645" s="82"/>
      <c r="AU645" s="82"/>
      <c r="AV645" s="82"/>
    </row>
    <row r="646">
      <c r="A646" s="292"/>
      <c r="B646" s="132"/>
      <c r="C646" s="121"/>
      <c r="D646" s="82"/>
      <c r="E646" s="292"/>
      <c r="F646" s="132"/>
      <c r="G646" s="121"/>
      <c r="H646" s="82"/>
      <c r="I646" s="292"/>
      <c r="J646" s="132"/>
      <c r="K646" s="121"/>
      <c r="L646" s="82"/>
      <c r="M646" s="292"/>
      <c r="N646" s="132"/>
      <c r="O646" s="121"/>
      <c r="P646" s="82"/>
      <c r="Q646" s="292"/>
      <c r="R646" s="132"/>
      <c r="S646" s="121"/>
      <c r="T646" s="82"/>
      <c r="U646" s="292"/>
      <c r="V646" s="132"/>
      <c r="W646" s="121"/>
      <c r="X646" s="82"/>
      <c r="Y646" s="292"/>
      <c r="Z646" s="300"/>
      <c r="AA646" s="301"/>
      <c r="AB646" s="80"/>
      <c r="AC646" s="292"/>
      <c r="AD646" s="132"/>
      <c r="AE646" s="254"/>
      <c r="AF646" s="294"/>
      <c r="AG646" s="292"/>
      <c r="AH646" s="302"/>
      <c r="AI646" s="302"/>
      <c r="AJ646" s="302"/>
      <c r="AK646" s="292"/>
      <c r="AL646" s="82"/>
      <c r="AM646" s="82"/>
      <c r="AN646" s="82"/>
      <c r="AO646" s="292"/>
      <c r="AP646" s="82"/>
      <c r="AQ646" s="82"/>
      <c r="AR646" s="82"/>
      <c r="AS646" s="292"/>
      <c r="AT646" s="82"/>
      <c r="AU646" s="82"/>
      <c r="AV646" s="82"/>
    </row>
    <row r="647">
      <c r="A647" s="292"/>
      <c r="B647" s="132"/>
      <c r="C647" s="121"/>
      <c r="D647" s="82"/>
      <c r="E647" s="292"/>
      <c r="F647" s="132"/>
      <c r="G647" s="121"/>
      <c r="H647" s="82"/>
      <c r="I647" s="292"/>
      <c r="J647" s="132"/>
      <c r="K647" s="121"/>
      <c r="L647" s="82"/>
      <c r="M647" s="292"/>
      <c r="N647" s="132"/>
      <c r="O647" s="121"/>
      <c r="P647" s="82"/>
      <c r="Q647" s="292"/>
      <c r="R647" s="132"/>
      <c r="S647" s="121"/>
      <c r="T647" s="82"/>
      <c r="U647" s="292"/>
      <c r="V647" s="132"/>
      <c r="W647" s="121"/>
      <c r="X647" s="82"/>
      <c r="Y647" s="292"/>
      <c r="Z647" s="300"/>
      <c r="AA647" s="301"/>
      <c r="AB647" s="80"/>
      <c r="AC647" s="292"/>
      <c r="AD647" s="132"/>
      <c r="AE647" s="254"/>
      <c r="AF647" s="294"/>
      <c r="AG647" s="292"/>
      <c r="AH647" s="302"/>
      <c r="AI647" s="302"/>
      <c r="AJ647" s="302"/>
      <c r="AK647" s="292"/>
      <c r="AL647" s="82"/>
      <c r="AM647" s="82"/>
      <c r="AN647" s="82"/>
      <c r="AO647" s="292"/>
      <c r="AP647" s="82"/>
      <c r="AQ647" s="82"/>
      <c r="AR647" s="82"/>
      <c r="AS647" s="292"/>
      <c r="AT647" s="82"/>
      <c r="AU647" s="82"/>
      <c r="AV647" s="82"/>
    </row>
    <row r="648">
      <c r="A648" s="292"/>
      <c r="B648" s="132"/>
      <c r="C648" s="121"/>
      <c r="D648" s="82"/>
      <c r="E648" s="292"/>
      <c r="F648" s="132"/>
      <c r="G648" s="121"/>
      <c r="H648" s="82"/>
      <c r="I648" s="292"/>
      <c r="J648" s="132"/>
      <c r="K648" s="121"/>
      <c r="L648" s="82"/>
      <c r="M648" s="292"/>
      <c r="N648" s="132"/>
      <c r="O648" s="121"/>
      <c r="P648" s="82"/>
      <c r="Q648" s="292"/>
      <c r="R648" s="132"/>
      <c r="S648" s="121"/>
      <c r="T648" s="82"/>
      <c r="U648" s="292"/>
      <c r="V648" s="132"/>
      <c r="W648" s="121"/>
      <c r="X648" s="82"/>
      <c r="Y648" s="292"/>
      <c r="Z648" s="300"/>
      <c r="AA648" s="301"/>
      <c r="AB648" s="80"/>
      <c r="AC648" s="292"/>
      <c r="AD648" s="132"/>
      <c r="AE648" s="254"/>
      <c r="AF648" s="294"/>
      <c r="AG648" s="292"/>
      <c r="AH648" s="302"/>
      <c r="AI648" s="302"/>
      <c r="AJ648" s="302"/>
      <c r="AK648" s="292"/>
      <c r="AL648" s="82"/>
      <c r="AM648" s="82"/>
      <c r="AN648" s="82"/>
      <c r="AO648" s="292"/>
      <c r="AP648" s="82"/>
      <c r="AQ648" s="82"/>
      <c r="AR648" s="82"/>
      <c r="AS648" s="292"/>
      <c r="AT648" s="82"/>
      <c r="AU648" s="82"/>
      <c r="AV648" s="82"/>
    </row>
    <row r="649">
      <c r="A649" s="292"/>
      <c r="B649" s="132"/>
      <c r="C649" s="121"/>
      <c r="D649" s="82"/>
      <c r="E649" s="292"/>
      <c r="F649" s="132"/>
      <c r="G649" s="121"/>
      <c r="H649" s="82"/>
      <c r="I649" s="292"/>
      <c r="J649" s="132"/>
      <c r="K649" s="121"/>
      <c r="L649" s="82"/>
      <c r="M649" s="292"/>
      <c r="N649" s="132"/>
      <c r="O649" s="121"/>
      <c r="P649" s="82"/>
      <c r="Q649" s="292"/>
      <c r="R649" s="132"/>
      <c r="S649" s="121"/>
      <c r="T649" s="82"/>
      <c r="U649" s="292"/>
      <c r="V649" s="132"/>
      <c r="W649" s="121"/>
      <c r="X649" s="82"/>
      <c r="Y649" s="292"/>
      <c r="Z649" s="300"/>
      <c r="AA649" s="301"/>
      <c r="AB649" s="80"/>
      <c r="AC649" s="292"/>
      <c r="AD649" s="132"/>
      <c r="AE649" s="254"/>
      <c r="AF649" s="294"/>
      <c r="AG649" s="292"/>
      <c r="AH649" s="302"/>
      <c r="AI649" s="302"/>
      <c r="AJ649" s="302"/>
      <c r="AK649" s="292"/>
      <c r="AL649" s="82"/>
      <c r="AM649" s="82"/>
      <c r="AN649" s="82"/>
      <c r="AO649" s="292"/>
      <c r="AP649" s="82"/>
      <c r="AQ649" s="82"/>
      <c r="AR649" s="82"/>
      <c r="AS649" s="292"/>
      <c r="AT649" s="82"/>
      <c r="AU649" s="82"/>
      <c r="AV649" s="82"/>
    </row>
    <row r="650">
      <c r="A650" s="292"/>
      <c r="B650" s="132"/>
      <c r="C650" s="121"/>
      <c r="D650" s="82"/>
      <c r="E650" s="292"/>
      <c r="F650" s="132"/>
      <c r="G650" s="121"/>
      <c r="H650" s="82"/>
      <c r="I650" s="292"/>
      <c r="J650" s="132"/>
      <c r="K650" s="121"/>
      <c r="L650" s="82"/>
      <c r="M650" s="292"/>
      <c r="N650" s="132"/>
      <c r="O650" s="121"/>
      <c r="P650" s="82"/>
      <c r="Q650" s="292"/>
      <c r="R650" s="132"/>
      <c r="S650" s="121"/>
      <c r="T650" s="82"/>
      <c r="U650" s="292"/>
      <c r="V650" s="132"/>
      <c r="W650" s="121"/>
      <c r="X650" s="82"/>
      <c r="Y650" s="292"/>
      <c r="Z650" s="300"/>
      <c r="AA650" s="301"/>
      <c r="AB650" s="80"/>
      <c r="AC650" s="292"/>
      <c r="AD650" s="132"/>
      <c r="AE650" s="254"/>
      <c r="AF650" s="294"/>
      <c r="AG650" s="292"/>
      <c r="AH650" s="302"/>
      <c r="AI650" s="302"/>
      <c r="AJ650" s="302"/>
      <c r="AK650" s="292"/>
      <c r="AL650" s="82"/>
      <c r="AM650" s="82"/>
      <c r="AN650" s="82"/>
      <c r="AO650" s="292"/>
      <c r="AP650" s="82"/>
      <c r="AQ650" s="82"/>
      <c r="AR650" s="82"/>
      <c r="AS650" s="292"/>
      <c r="AT650" s="82"/>
      <c r="AU650" s="82"/>
      <c r="AV650" s="82"/>
    </row>
    <row r="651">
      <c r="A651" s="292"/>
      <c r="B651" s="132"/>
      <c r="C651" s="121"/>
      <c r="D651" s="82"/>
      <c r="E651" s="292"/>
      <c r="F651" s="132"/>
      <c r="G651" s="121"/>
      <c r="H651" s="82"/>
      <c r="I651" s="292"/>
      <c r="J651" s="132"/>
      <c r="K651" s="121"/>
      <c r="L651" s="82"/>
      <c r="M651" s="292"/>
      <c r="N651" s="132"/>
      <c r="O651" s="121"/>
      <c r="P651" s="82"/>
      <c r="Q651" s="292"/>
      <c r="R651" s="132"/>
      <c r="S651" s="121"/>
      <c r="T651" s="82"/>
      <c r="U651" s="292"/>
      <c r="V651" s="132"/>
      <c r="W651" s="121"/>
      <c r="X651" s="82"/>
      <c r="Y651" s="292"/>
      <c r="Z651" s="300"/>
      <c r="AA651" s="301"/>
      <c r="AB651" s="80"/>
      <c r="AC651" s="292"/>
      <c r="AD651" s="132"/>
      <c r="AE651" s="254"/>
      <c r="AF651" s="294"/>
      <c r="AG651" s="292"/>
      <c r="AH651" s="302"/>
      <c r="AI651" s="302"/>
      <c r="AJ651" s="302"/>
      <c r="AK651" s="292"/>
      <c r="AL651" s="82"/>
      <c r="AM651" s="82"/>
      <c r="AN651" s="82"/>
      <c r="AO651" s="292"/>
      <c r="AP651" s="82"/>
      <c r="AQ651" s="82"/>
      <c r="AR651" s="82"/>
      <c r="AS651" s="292"/>
      <c r="AT651" s="82"/>
      <c r="AU651" s="82"/>
      <c r="AV651" s="82"/>
    </row>
    <row r="652">
      <c r="A652" s="292"/>
      <c r="B652" s="132"/>
      <c r="C652" s="121"/>
      <c r="D652" s="82"/>
      <c r="E652" s="292"/>
      <c r="F652" s="132"/>
      <c r="G652" s="121"/>
      <c r="H652" s="82"/>
      <c r="I652" s="292"/>
      <c r="J652" s="132"/>
      <c r="K652" s="121"/>
      <c r="L652" s="82"/>
      <c r="M652" s="292"/>
      <c r="N652" s="132"/>
      <c r="O652" s="121"/>
      <c r="P652" s="82"/>
      <c r="Q652" s="292"/>
      <c r="R652" s="132"/>
      <c r="S652" s="121"/>
      <c r="T652" s="82"/>
      <c r="U652" s="292"/>
      <c r="V652" s="132"/>
      <c r="W652" s="121"/>
      <c r="X652" s="82"/>
      <c r="Y652" s="292"/>
      <c r="Z652" s="300"/>
      <c r="AA652" s="301"/>
      <c r="AB652" s="80"/>
      <c r="AC652" s="292"/>
      <c r="AD652" s="132"/>
      <c r="AE652" s="254"/>
      <c r="AF652" s="294"/>
      <c r="AG652" s="292"/>
      <c r="AH652" s="302"/>
      <c r="AI652" s="302"/>
      <c r="AJ652" s="302"/>
      <c r="AK652" s="292"/>
      <c r="AL652" s="82"/>
      <c r="AM652" s="82"/>
      <c r="AN652" s="82"/>
      <c r="AO652" s="292"/>
      <c r="AP652" s="82"/>
      <c r="AQ652" s="82"/>
      <c r="AR652" s="82"/>
      <c r="AS652" s="292"/>
      <c r="AT652" s="82"/>
      <c r="AU652" s="82"/>
      <c r="AV652" s="82"/>
    </row>
    <row r="653">
      <c r="A653" s="292"/>
      <c r="B653" s="132"/>
      <c r="C653" s="121"/>
      <c r="D653" s="82"/>
      <c r="E653" s="292"/>
      <c r="F653" s="132"/>
      <c r="G653" s="121"/>
      <c r="H653" s="82"/>
      <c r="I653" s="292"/>
      <c r="J653" s="132"/>
      <c r="K653" s="121"/>
      <c r="L653" s="82"/>
      <c r="M653" s="292"/>
      <c r="N653" s="132"/>
      <c r="O653" s="121"/>
      <c r="P653" s="82"/>
      <c r="Q653" s="292"/>
      <c r="R653" s="132"/>
      <c r="S653" s="121"/>
      <c r="T653" s="82"/>
      <c r="U653" s="292"/>
      <c r="V653" s="132"/>
      <c r="W653" s="121"/>
      <c r="X653" s="82"/>
      <c r="Y653" s="292"/>
      <c r="Z653" s="300"/>
      <c r="AA653" s="301"/>
      <c r="AB653" s="80"/>
      <c r="AC653" s="292"/>
      <c r="AD653" s="132"/>
      <c r="AE653" s="254"/>
      <c r="AF653" s="294"/>
      <c r="AG653" s="292"/>
      <c r="AH653" s="302"/>
      <c r="AI653" s="302"/>
      <c r="AJ653" s="302"/>
      <c r="AK653" s="292"/>
      <c r="AL653" s="82"/>
      <c r="AM653" s="82"/>
      <c r="AN653" s="82"/>
      <c r="AO653" s="292"/>
      <c r="AP653" s="82"/>
      <c r="AQ653" s="82"/>
      <c r="AR653" s="82"/>
      <c r="AS653" s="292"/>
      <c r="AT653" s="82"/>
      <c r="AU653" s="82"/>
      <c r="AV653" s="82"/>
    </row>
    <row r="654">
      <c r="A654" s="292"/>
      <c r="B654" s="132"/>
      <c r="C654" s="121"/>
      <c r="D654" s="82"/>
      <c r="E654" s="292"/>
      <c r="F654" s="132"/>
      <c r="G654" s="121"/>
      <c r="H654" s="82"/>
      <c r="I654" s="292"/>
      <c r="J654" s="132"/>
      <c r="K654" s="121"/>
      <c r="L654" s="82"/>
      <c r="M654" s="292"/>
      <c r="N654" s="132"/>
      <c r="O654" s="121"/>
      <c r="P654" s="82"/>
      <c r="Q654" s="292"/>
      <c r="R654" s="132"/>
      <c r="S654" s="121"/>
      <c r="T654" s="82"/>
      <c r="U654" s="292"/>
      <c r="V654" s="132"/>
      <c r="W654" s="121"/>
      <c r="X654" s="82"/>
      <c r="Y654" s="292"/>
      <c r="Z654" s="300"/>
      <c r="AA654" s="301"/>
      <c r="AB654" s="80"/>
      <c r="AC654" s="292"/>
      <c r="AD654" s="132"/>
      <c r="AE654" s="254"/>
      <c r="AF654" s="294"/>
      <c r="AG654" s="292"/>
      <c r="AH654" s="302"/>
      <c r="AI654" s="302"/>
      <c r="AJ654" s="302"/>
      <c r="AK654" s="292"/>
      <c r="AL654" s="82"/>
      <c r="AM654" s="82"/>
      <c r="AN654" s="82"/>
      <c r="AO654" s="292"/>
      <c r="AP654" s="82"/>
      <c r="AQ654" s="82"/>
      <c r="AR654" s="82"/>
      <c r="AS654" s="292"/>
      <c r="AT654" s="82"/>
      <c r="AU654" s="82"/>
      <c r="AV654" s="82"/>
    </row>
    <row r="655">
      <c r="A655" s="292"/>
      <c r="B655" s="132"/>
      <c r="C655" s="121"/>
      <c r="D655" s="82"/>
      <c r="E655" s="292"/>
      <c r="F655" s="132"/>
      <c r="G655" s="121"/>
      <c r="H655" s="82"/>
      <c r="I655" s="292"/>
      <c r="J655" s="132"/>
      <c r="K655" s="121"/>
      <c r="L655" s="82"/>
      <c r="M655" s="292"/>
      <c r="N655" s="132"/>
      <c r="O655" s="121"/>
      <c r="P655" s="82"/>
      <c r="Q655" s="292"/>
      <c r="R655" s="132"/>
      <c r="S655" s="121"/>
      <c r="T655" s="82"/>
      <c r="U655" s="292"/>
      <c r="V655" s="132"/>
      <c r="W655" s="121"/>
      <c r="X655" s="82"/>
      <c r="Y655" s="292"/>
      <c r="Z655" s="300"/>
      <c r="AA655" s="301"/>
      <c r="AB655" s="80"/>
      <c r="AC655" s="292"/>
      <c r="AD655" s="132"/>
      <c r="AE655" s="254"/>
      <c r="AF655" s="294"/>
      <c r="AG655" s="292"/>
      <c r="AH655" s="302"/>
      <c r="AI655" s="302"/>
      <c r="AJ655" s="302"/>
      <c r="AK655" s="292"/>
      <c r="AL655" s="82"/>
      <c r="AM655" s="82"/>
      <c r="AN655" s="82"/>
      <c r="AO655" s="292"/>
      <c r="AP655" s="82"/>
      <c r="AQ655" s="82"/>
      <c r="AR655" s="82"/>
      <c r="AS655" s="292"/>
      <c r="AT655" s="82"/>
      <c r="AU655" s="82"/>
      <c r="AV655" s="82"/>
    </row>
    <row r="656">
      <c r="A656" s="292"/>
      <c r="B656" s="132"/>
      <c r="C656" s="121"/>
      <c r="D656" s="82"/>
      <c r="E656" s="292"/>
      <c r="F656" s="132"/>
      <c r="G656" s="121"/>
      <c r="H656" s="82"/>
      <c r="I656" s="292"/>
      <c r="J656" s="132"/>
      <c r="K656" s="121"/>
      <c r="L656" s="82"/>
      <c r="M656" s="292"/>
      <c r="N656" s="132"/>
      <c r="O656" s="121"/>
      <c r="P656" s="82"/>
      <c r="Q656" s="292"/>
      <c r="R656" s="132"/>
      <c r="S656" s="121"/>
      <c r="T656" s="82"/>
      <c r="U656" s="292"/>
      <c r="V656" s="132"/>
      <c r="W656" s="121"/>
      <c r="X656" s="82"/>
      <c r="Y656" s="292"/>
      <c r="Z656" s="300"/>
      <c r="AA656" s="301"/>
      <c r="AB656" s="80"/>
      <c r="AC656" s="292"/>
      <c r="AD656" s="132"/>
      <c r="AE656" s="254"/>
      <c r="AF656" s="294"/>
      <c r="AG656" s="292"/>
      <c r="AH656" s="302"/>
      <c r="AI656" s="302"/>
      <c r="AJ656" s="302"/>
      <c r="AK656" s="292"/>
      <c r="AL656" s="82"/>
      <c r="AM656" s="82"/>
      <c r="AN656" s="82"/>
      <c r="AO656" s="292"/>
      <c r="AP656" s="82"/>
      <c r="AQ656" s="82"/>
      <c r="AR656" s="82"/>
      <c r="AS656" s="292"/>
      <c r="AT656" s="82"/>
      <c r="AU656" s="82"/>
      <c r="AV656" s="82"/>
    </row>
    <row r="657">
      <c r="A657" s="292"/>
      <c r="B657" s="132"/>
      <c r="C657" s="121"/>
      <c r="D657" s="82"/>
      <c r="E657" s="292"/>
      <c r="F657" s="132"/>
      <c r="G657" s="121"/>
      <c r="H657" s="82"/>
      <c r="I657" s="292"/>
      <c r="J657" s="132"/>
      <c r="K657" s="121"/>
      <c r="L657" s="82"/>
      <c r="M657" s="292"/>
      <c r="N657" s="132"/>
      <c r="O657" s="121"/>
      <c r="P657" s="82"/>
      <c r="Q657" s="292"/>
      <c r="R657" s="132"/>
      <c r="S657" s="121"/>
      <c r="T657" s="82"/>
      <c r="U657" s="292"/>
      <c r="V657" s="132"/>
      <c r="W657" s="121"/>
      <c r="X657" s="82"/>
      <c r="Y657" s="292"/>
      <c r="Z657" s="300"/>
      <c r="AA657" s="301"/>
      <c r="AB657" s="80"/>
      <c r="AC657" s="292"/>
      <c r="AD657" s="132"/>
      <c r="AE657" s="254"/>
      <c r="AF657" s="294"/>
      <c r="AG657" s="292"/>
      <c r="AH657" s="302"/>
      <c r="AI657" s="302"/>
      <c r="AJ657" s="302"/>
      <c r="AK657" s="292"/>
      <c r="AL657" s="82"/>
      <c r="AM657" s="82"/>
      <c r="AN657" s="82"/>
      <c r="AO657" s="292"/>
      <c r="AP657" s="82"/>
      <c r="AQ657" s="82"/>
      <c r="AR657" s="82"/>
      <c r="AS657" s="292"/>
      <c r="AT657" s="82"/>
      <c r="AU657" s="82"/>
      <c r="AV657" s="82"/>
    </row>
    <row r="658">
      <c r="A658" s="292"/>
      <c r="B658" s="132"/>
      <c r="C658" s="121"/>
      <c r="D658" s="82"/>
      <c r="E658" s="292"/>
      <c r="F658" s="132"/>
      <c r="G658" s="121"/>
      <c r="H658" s="82"/>
      <c r="I658" s="292"/>
      <c r="J658" s="132"/>
      <c r="K658" s="121"/>
      <c r="L658" s="82"/>
      <c r="M658" s="292"/>
      <c r="N658" s="132"/>
      <c r="O658" s="121"/>
      <c r="P658" s="82"/>
      <c r="Q658" s="292"/>
      <c r="R658" s="132"/>
      <c r="S658" s="121"/>
      <c r="T658" s="82"/>
      <c r="U658" s="292"/>
      <c r="V658" s="132"/>
      <c r="W658" s="121"/>
      <c r="X658" s="82"/>
      <c r="Y658" s="292"/>
      <c r="Z658" s="300"/>
      <c r="AA658" s="301"/>
      <c r="AB658" s="80"/>
      <c r="AC658" s="292"/>
      <c r="AD658" s="132"/>
      <c r="AE658" s="254"/>
      <c r="AF658" s="294"/>
      <c r="AG658" s="292"/>
      <c r="AH658" s="302"/>
      <c r="AI658" s="302"/>
      <c r="AJ658" s="302"/>
      <c r="AK658" s="292"/>
      <c r="AL658" s="82"/>
      <c r="AM658" s="82"/>
      <c r="AN658" s="82"/>
      <c r="AO658" s="292"/>
      <c r="AP658" s="82"/>
      <c r="AQ658" s="82"/>
      <c r="AR658" s="82"/>
      <c r="AS658" s="292"/>
      <c r="AT658" s="82"/>
      <c r="AU658" s="82"/>
      <c r="AV658" s="82"/>
    </row>
    <row r="659">
      <c r="A659" s="292"/>
      <c r="B659" s="132"/>
      <c r="C659" s="121"/>
      <c r="D659" s="82"/>
      <c r="E659" s="292"/>
      <c r="F659" s="132"/>
      <c r="G659" s="121"/>
      <c r="H659" s="82"/>
      <c r="I659" s="292"/>
      <c r="J659" s="132"/>
      <c r="K659" s="121"/>
      <c r="L659" s="82"/>
      <c r="M659" s="292"/>
      <c r="N659" s="132"/>
      <c r="O659" s="121"/>
      <c r="P659" s="82"/>
      <c r="Q659" s="292"/>
      <c r="R659" s="132"/>
      <c r="S659" s="121"/>
      <c r="T659" s="82"/>
      <c r="U659" s="292"/>
      <c r="V659" s="132"/>
      <c r="W659" s="121"/>
      <c r="X659" s="82"/>
      <c r="Y659" s="292"/>
      <c r="Z659" s="300"/>
      <c r="AA659" s="301"/>
      <c r="AB659" s="80"/>
      <c r="AC659" s="292"/>
      <c r="AD659" s="132"/>
      <c r="AE659" s="254"/>
      <c r="AF659" s="294"/>
      <c r="AG659" s="292"/>
      <c r="AH659" s="302"/>
      <c r="AI659" s="302"/>
      <c r="AJ659" s="302"/>
      <c r="AK659" s="292"/>
      <c r="AL659" s="82"/>
      <c r="AM659" s="82"/>
      <c r="AN659" s="82"/>
      <c r="AO659" s="292"/>
      <c r="AP659" s="82"/>
      <c r="AQ659" s="82"/>
      <c r="AR659" s="82"/>
      <c r="AS659" s="292"/>
      <c r="AT659" s="82"/>
      <c r="AU659" s="82"/>
      <c r="AV659" s="82"/>
    </row>
    <row r="660">
      <c r="A660" s="292"/>
      <c r="B660" s="132"/>
      <c r="C660" s="121"/>
      <c r="D660" s="82"/>
      <c r="E660" s="292"/>
      <c r="F660" s="132"/>
      <c r="G660" s="121"/>
      <c r="H660" s="82"/>
      <c r="I660" s="292"/>
      <c r="J660" s="132"/>
      <c r="K660" s="121"/>
      <c r="L660" s="82"/>
      <c r="M660" s="292"/>
      <c r="N660" s="132"/>
      <c r="O660" s="121"/>
      <c r="P660" s="82"/>
      <c r="Q660" s="292"/>
      <c r="R660" s="132"/>
      <c r="S660" s="121"/>
      <c r="T660" s="82"/>
      <c r="U660" s="292"/>
      <c r="V660" s="132"/>
      <c r="W660" s="121"/>
      <c r="X660" s="82"/>
      <c r="Y660" s="292"/>
      <c r="Z660" s="300"/>
      <c r="AA660" s="301"/>
      <c r="AB660" s="80"/>
      <c r="AC660" s="292"/>
      <c r="AD660" s="132"/>
      <c r="AE660" s="254"/>
      <c r="AF660" s="294"/>
      <c r="AG660" s="292"/>
      <c r="AH660" s="302"/>
      <c r="AI660" s="302"/>
      <c r="AJ660" s="302"/>
      <c r="AK660" s="292"/>
      <c r="AL660" s="82"/>
      <c r="AM660" s="82"/>
      <c r="AN660" s="82"/>
      <c r="AO660" s="292"/>
      <c r="AP660" s="82"/>
      <c r="AQ660" s="82"/>
      <c r="AR660" s="82"/>
      <c r="AS660" s="292"/>
      <c r="AT660" s="82"/>
      <c r="AU660" s="82"/>
      <c r="AV660" s="82"/>
    </row>
    <row r="661">
      <c r="A661" s="292"/>
      <c r="B661" s="132"/>
      <c r="C661" s="121"/>
      <c r="D661" s="82"/>
      <c r="E661" s="292"/>
      <c r="F661" s="132"/>
      <c r="G661" s="121"/>
      <c r="H661" s="82"/>
      <c r="I661" s="292"/>
      <c r="J661" s="132"/>
      <c r="K661" s="121"/>
      <c r="L661" s="82"/>
      <c r="M661" s="292"/>
      <c r="N661" s="132"/>
      <c r="O661" s="121"/>
      <c r="P661" s="82"/>
      <c r="Q661" s="292"/>
      <c r="R661" s="132"/>
      <c r="S661" s="121"/>
      <c r="T661" s="82"/>
      <c r="U661" s="292"/>
      <c r="V661" s="132"/>
      <c r="W661" s="121"/>
      <c r="X661" s="82"/>
      <c r="Y661" s="292"/>
      <c r="Z661" s="300"/>
      <c r="AA661" s="301"/>
      <c r="AB661" s="80"/>
      <c r="AC661" s="292"/>
      <c r="AD661" s="132"/>
      <c r="AE661" s="254"/>
      <c r="AF661" s="294"/>
      <c r="AG661" s="292"/>
      <c r="AH661" s="302"/>
      <c r="AI661" s="302"/>
      <c r="AJ661" s="302"/>
      <c r="AK661" s="292"/>
      <c r="AL661" s="82"/>
      <c r="AM661" s="82"/>
      <c r="AN661" s="82"/>
      <c r="AO661" s="292"/>
      <c r="AP661" s="82"/>
      <c r="AQ661" s="82"/>
      <c r="AR661" s="82"/>
      <c r="AS661" s="292"/>
      <c r="AT661" s="82"/>
      <c r="AU661" s="82"/>
      <c r="AV661" s="82"/>
    </row>
    <row r="662">
      <c r="A662" s="292"/>
      <c r="B662" s="132"/>
      <c r="C662" s="121"/>
      <c r="D662" s="82"/>
      <c r="E662" s="292"/>
      <c r="F662" s="132"/>
      <c r="G662" s="121"/>
      <c r="H662" s="82"/>
      <c r="I662" s="292"/>
      <c r="J662" s="132"/>
      <c r="K662" s="121"/>
      <c r="L662" s="82"/>
      <c r="M662" s="292"/>
      <c r="N662" s="132"/>
      <c r="O662" s="121"/>
      <c r="P662" s="82"/>
      <c r="Q662" s="292"/>
      <c r="R662" s="132"/>
      <c r="S662" s="121"/>
      <c r="T662" s="82"/>
      <c r="U662" s="292"/>
      <c r="V662" s="132"/>
      <c r="W662" s="121"/>
      <c r="X662" s="82"/>
      <c r="Y662" s="292"/>
      <c r="Z662" s="300"/>
      <c r="AA662" s="301"/>
      <c r="AB662" s="80"/>
      <c r="AC662" s="292"/>
      <c r="AD662" s="132"/>
      <c r="AE662" s="254"/>
      <c r="AF662" s="294"/>
      <c r="AG662" s="292"/>
      <c r="AH662" s="302"/>
      <c r="AI662" s="302"/>
      <c r="AJ662" s="302"/>
      <c r="AK662" s="292"/>
      <c r="AL662" s="82"/>
      <c r="AM662" s="82"/>
      <c r="AN662" s="82"/>
      <c r="AO662" s="292"/>
      <c r="AP662" s="82"/>
      <c r="AQ662" s="82"/>
      <c r="AR662" s="82"/>
      <c r="AS662" s="292"/>
      <c r="AT662" s="82"/>
      <c r="AU662" s="82"/>
      <c r="AV662" s="82"/>
    </row>
    <row r="663">
      <c r="A663" s="292"/>
      <c r="B663" s="132"/>
      <c r="C663" s="121"/>
      <c r="D663" s="82"/>
      <c r="E663" s="292"/>
      <c r="F663" s="132"/>
      <c r="G663" s="121"/>
      <c r="H663" s="82"/>
      <c r="I663" s="292"/>
      <c r="J663" s="132"/>
      <c r="K663" s="121"/>
      <c r="L663" s="82"/>
      <c r="M663" s="292"/>
      <c r="N663" s="132"/>
      <c r="O663" s="121"/>
      <c r="P663" s="82"/>
      <c r="Q663" s="292"/>
      <c r="R663" s="132"/>
      <c r="S663" s="121"/>
      <c r="T663" s="82"/>
      <c r="U663" s="292"/>
      <c r="V663" s="132"/>
      <c r="W663" s="121"/>
      <c r="X663" s="82"/>
      <c r="Y663" s="292"/>
      <c r="Z663" s="300"/>
      <c r="AA663" s="301"/>
      <c r="AB663" s="80"/>
      <c r="AC663" s="292"/>
      <c r="AD663" s="132"/>
      <c r="AE663" s="254"/>
      <c r="AF663" s="294"/>
      <c r="AG663" s="292"/>
      <c r="AH663" s="302"/>
      <c r="AI663" s="302"/>
      <c r="AJ663" s="302"/>
      <c r="AK663" s="292"/>
      <c r="AL663" s="82"/>
      <c r="AM663" s="82"/>
      <c r="AN663" s="82"/>
      <c r="AO663" s="292"/>
      <c r="AP663" s="82"/>
      <c r="AQ663" s="82"/>
      <c r="AR663" s="82"/>
      <c r="AS663" s="292"/>
      <c r="AT663" s="82"/>
      <c r="AU663" s="82"/>
      <c r="AV663" s="82"/>
    </row>
    <row r="664">
      <c r="A664" s="292"/>
      <c r="B664" s="132"/>
      <c r="C664" s="121"/>
      <c r="D664" s="82"/>
      <c r="E664" s="292"/>
      <c r="F664" s="132"/>
      <c r="G664" s="121"/>
      <c r="H664" s="82"/>
      <c r="I664" s="292"/>
      <c r="J664" s="132"/>
      <c r="K664" s="121"/>
      <c r="L664" s="82"/>
      <c r="M664" s="292"/>
      <c r="N664" s="132"/>
      <c r="O664" s="121"/>
      <c r="P664" s="82"/>
      <c r="Q664" s="292"/>
      <c r="R664" s="132"/>
      <c r="S664" s="121"/>
      <c r="T664" s="82"/>
      <c r="U664" s="292"/>
      <c r="V664" s="132"/>
      <c r="W664" s="121"/>
      <c r="X664" s="82"/>
      <c r="Y664" s="292"/>
      <c r="Z664" s="300"/>
      <c r="AA664" s="301"/>
      <c r="AB664" s="80"/>
      <c r="AC664" s="292"/>
      <c r="AD664" s="132"/>
      <c r="AE664" s="254"/>
      <c r="AF664" s="294"/>
      <c r="AG664" s="292"/>
      <c r="AH664" s="302"/>
      <c r="AI664" s="302"/>
      <c r="AJ664" s="302"/>
      <c r="AK664" s="292"/>
      <c r="AL664" s="82"/>
      <c r="AM664" s="82"/>
      <c r="AN664" s="82"/>
      <c r="AO664" s="292"/>
      <c r="AP664" s="82"/>
      <c r="AQ664" s="82"/>
      <c r="AR664" s="82"/>
      <c r="AS664" s="292"/>
      <c r="AT664" s="82"/>
      <c r="AU664" s="82"/>
      <c r="AV664" s="82"/>
    </row>
    <row r="665">
      <c r="A665" s="292"/>
      <c r="B665" s="132"/>
      <c r="C665" s="121"/>
      <c r="D665" s="82"/>
      <c r="E665" s="292"/>
      <c r="F665" s="132"/>
      <c r="G665" s="121"/>
      <c r="H665" s="82"/>
      <c r="I665" s="292"/>
      <c r="J665" s="132"/>
      <c r="K665" s="121"/>
      <c r="L665" s="82"/>
      <c r="M665" s="292"/>
      <c r="N665" s="132"/>
      <c r="O665" s="121"/>
      <c r="P665" s="82"/>
      <c r="Q665" s="292"/>
      <c r="R665" s="132"/>
      <c r="S665" s="121"/>
      <c r="T665" s="82"/>
      <c r="U665" s="292"/>
      <c r="V665" s="132"/>
      <c r="W665" s="121"/>
      <c r="X665" s="82"/>
      <c r="Y665" s="292"/>
      <c r="Z665" s="300"/>
      <c r="AA665" s="301"/>
      <c r="AB665" s="80"/>
      <c r="AC665" s="292"/>
      <c r="AD665" s="132"/>
      <c r="AE665" s="254"/>
      <c r="AF665" s="294"/>
      <c r="AG665" s="292"/>
      <c r="AH665" s="302"/>
      <c r="AI665" s="302"/>
      <c r="AJ665" s="302"/>
      <c r="AK665" s="292"/>
      <c r="AL665" s="82"/>
      <c r="AM665" s="82"/>
      <c r="AN665" s="82"/>
      <c r="AO665" s="292"/>
      <c r="AP665" s="82"/>
      <c r="AQ665" s="82"/>
      <c r="AR665" s="82"/>
      <c r="AS665" s="292"/>
      <c r="AT665" s="82"/>
      <c r="AU665" s="82"/>
      <c r="AV665" s="82"/>
    </row>
    <row r="666">
      <c r="A666" s="292"/>
      <c r="B666" s="132"/>
      <c r="C666" s="121"/>
      <c r="D666" s="82"/>
      <c r="E666" s="292"/>
      <c r="F666" s="132"/>
      <c r="G666" s="121"/>
      <c r="H666" s="82"/>
      <c r="I666" s="292"/>
      <c r="J666" s="132"/>
      <c r="K666" s="121"/>
      <c r="L666" s="82"/>
      <c r="M666" s="292"/>
      <c r="N666" s="132"/>
      <c r="O666" s="121"/>
      <c r="P666" s="82"/>
      <c r="Q666" s="292"/>
      <c r="R666" s="132"/>
      <c r="S666" s="121"/>
      <c r="T666" s="82"/>
      <c r="U666" s="292"/>
      <c r="V666" s="132"/>
      <c r="W666" s="121"/>
      <c r="X666" s="82"/>
      <c r="Y666" s="292"/>
      <c r="Z666" s="300"/>
      <c r="AA666" s="301"/>
      <c r="AB666" s="80"/>
      <c r="AC666" s="292"/>
      <c r="AD666" s="132"/>
      <c r="AE666" s="254"/>
      <c r="AF666" s="294"/>
      <c r="AG666" s="292"/>
      <c r="AH666" s="302"/>
      <c r="AI666" s="302"/>
      <c r="AJ666" s="302"/>
      <c r="AK666" s="292"/>
      <c r="AL666" s="82"/>
      <c r="AM666" s="82"/>
      <c r="AN666" s="82"/>
      <c r="AO666" s="292"/>
      <c r="AP666" s="82"/>
      <c r="AQ666" s="82"/>
      <c r="AR666" s="82"/>
      <c r="AS666" s="292"/>
      <c r="AT666" s="82"/>
      <c r="AU666" s="82"/>
      <c r="AV666" s="82"/>
    </row>
    <row r="667">
      <c r="A667" s="292"/>
      <c r="B667" s="132"/>
      <c r="C667" s="121"/>
      <c r="D667" s="82"/>
      <c r="E667" s="292"/>
      <c r="F667" s="132"/>
      <c r="G667" s="121"/>
      <c r="H667" s="82"/>
      <c r="I667" s="292"/>
      <c r="J667" s="132"/>
      <c r="K667" s="121"/>
      <c r="L667" s="82"/>
      <c r="M667" s="292"/>
      <c r="N667" s="132"/>
      <c r="O667" s="121"/>
      <c r="P667" s="82"/>
      <c r="Q667" s="292"/>
      <c r="R667" s="132"/>
      <c r="S667" s="121"/>
      <c r="T667" s="82"/>
      <c r="U667" s="292"/>
      <c r="V667" s="132"/>
      <c r="W667" s="121"/>
      <c r="X667" s="82"/>
      <c r="Y667" s="292"/>
      <c r="Z667" s="300"/>
      <c r="AA667" s="301"/>
      <c r="AB667" s="80"/>
      <c r="AC667" s="292"/>
      <c r="AD667" s="132"/>
      <c r="AE667" s="254"/>
      <c r="AF667" s="294"/>
      <c r="AG667" s="292"/>
      <c r="AH667" s="302"/>
      <c r="AI667" s="302"/>
      <c r="AJ667" s="302"/>
      <c r="AK667" s="292"/>
      <c r="AL667" s="82"/>
      <c r="AM667" s="82"/>
      <c r="AN667" s="82"/>
      <c r="AO667" s="292"/>
      <c r="AP667" s="82"/>
      <c r="AQ667" s="82"/>
      <c r="AR667" s="82"/>
      <c r="AS667" s="292"/>
      <c r="AT667" s="82"/>
      <c r="AU667" s="82"/>
      <c r="AV667" s="82"/>
    </row>
    <row r="668">
      <c r="A668" s="292"/>
      <c r="B668" s="132"/>
      <c r="C668" s="121"/>
      <c r="D668" s="82"/>
      <c r="E668" s="292"/>
      <c r="F668" s="132"/>
      <c r="G668" s="121"/>
      <c r="H668" s="82"/>
      <c r="I668" s="292"/>
      <c r="J668" s="132"/>
      <c r="K668" s="121"/>
      <c r="L668" s="82"/>
      <c r="M668" s="292"/>
      <c r="N668" s="132"/>
      <c r="O668" s="121"/>
      <c r="P668" s="82"/>
      <c r="Q668" s="292"/>
      <c r="R668" s="132"/>
      <c r="S668" s="121"/>
      <c r="T668" s="82"/>
      <c r="U668" s="292"/>
      <c r="V668" s="132"/>
      <c r="W668" s="121"/>
      <c r="X668" s="82"/>
      <c r="Y668" s="292"/>
      <c r="Z668" s="300"/>
      <c r="AA668" s="301"/>
      <c r="AB668" s="80"/>
      <c r="AC668" s="292"/>
      <c r="AD668" s="132"/>
      <c r="AE668" s="254"/>
      <c r="AF668" s="294"/>
      <c r="AG668" s="292"/>
      <c r="AH668" s="302"/>
      <c r="AI668" s="302"/>
      <c r="AJ668" s="302"/>
      <c r="AK668" s="292"/>
      <c r="AL668" s="82"/>
      <c r="AM668" s="82"/>
      <c r="AN668" s="82"/>
      <c r="AO668" s="292"/>
      <c r="AP668" s="82"/>
      <c r="AQ668" s="82"/>
      <c r="AR668" s="82"/>
      <c r="AS668" s="292"/>
      <c r="AT668" s="82"/>
      <c r="AU668" s="82"/>
      <c r="AV668" s="82"/>
    </row>
    <row r="669">
      <c r="A669" s="292"/>
      <c r="B669" s="132"/>
      <c r="C669" s="121"/>
      <c r="D669" s="82"/>
      <c r="E669" s="292"/>
      <c r="F669" s="132"/>
      <c r="G669" s="121"/>
      <c r="H669" s="82"/>
      <c r="I669" s="292"/>
      <c r="J669" s="132"/>
      <c r="K669" s="121"/>
      <c r="L669" s="82"/>
      <c r="M669" s="292"/>
      <c r="N669" s="132"/>
      <c r="O669" s="121"/>
      <c r="P669" s="82"/>
      <c r="Q669" s="292"/>
      <c r="R669" s="132"/>
      <c r="S669" s="121"/>
      <c r="T669" s="82"/>
      <c r="U669" s="292"/>
      <c r="V669" s="132"/>
      <c r="W669" s="121"/>
      <c r="X669" s="82"/>
      <c r="Y669" s="292"/>
      <c r="Z669" s="300"/>
      <c r="AA669" s="301"/>
      <c r="AB669" s="80"/>
      <c r="AC669" s="292"/>
      <c r="AD669" s="132"/>
      <c r="AE669" s="254"/>
      <c r="AF669" s="294"/>
      <c r="AG669" s="292"/>
      <c r="AH669" s="302"/>
      <c r="AI669" s="302"/>
      <c r="AJ669" s="302"/>
      <c r="AK669" s="292"/>
      <c r="AL669" s="82"/>
      <c r="AM669" s="82"/>
      <c r="AN669" s="82"/>
      <c r="AO669" s="292"/>
      <c r="AP669" s="82"/>
      <c r="AQ669" s="82"/>
      <c r="AR669" s="82"/>
      <c r="AS669" s="292"/>
      <c r="AT669" s="82"/>
      <c r="AU669" s="82"/>
      <c r="AV669" s="82"/>
    </row>
    <row r="670">
      <c r="A670" s="292"/>
      <c r="B670" s="132"/>
      <c r="C670" s="121"/>
      <c r="D670" s="82"/>
      <c r="E670" s="292"/>
      <c r="F670" s="132"/>
      <c r="G670" s="121"/>
      <c r="H670" s="82"/>
      <c r="I670" s="292"/>
      <c r="J670" s="132"/>
      <c r="K670" s="121"/>
      <c r="L670" s="82"/>
      <c r="M670" s="292"/>
      <c r="N670" s="132"/>
      <c r="O670" s="121"/>
      <c r="P670" s="82"/>
      <c r="Q670" s="292"/>
      <c r="R670" s="132"/>
      <c r="S670" s="121"/>
      <c r="T670" s="82"/>
      <c r="U670" s="292"/>
      <c r="V670" s="132"/>
      <c r="W670" s="121"/>
      <c r="X670" s="82"/>
      <c r="Y670" s="292"/>
      <c r="Z670" s="300"/>
      <c r="AA670" s="301"/>
      <c r="AB670" s="80"/>
      <c r="AC670" s="292"/>
      <c r="AD670" s="132"/>
      <c r="AE670" s="254"/>
      <c r="AF670" s="294"/>
      <c r="AG670" s="292"/>
      <c r="AH670" s="302"/>
      <c r="AI670" s="302"/>
      <c r="AJ670" s="302"/>
      <c r="AK670" s="292"/>
      <c r="AL670" s="82"/>
      <c r="AM670" s="82"/>
      <c r="AN670" s="82"/>
      <c r="AO670" s="292"/>
      <c r="AP670" s="82"/>
      <c r="AQ670" s="82"/>
      <c r="AR670" s="82"/>
      <c r="AS670" s="292"/>
      <c r="AT670" s="82"/>
      <c r="AU670" s="82"/>
      <c r="AV670" s="82"/>
    </row>
    <row r="671">
      <c r="A671" s="292"/>
      <c r="B671" s="132"/>
      <c r="C671" s="121"/>
      <c r="D671" s="82"/>
      <c r="E671" s="292"/>
      <c r="F671" s="132"/>
      <c r="G671" s="121"/>
      <c r="H671" s="82"/>
      <c r="I671" s="292"/>
      <c r="J671" s="132"/>
      <c r="K671" s="121"/>
      <c r="L671" s="82"/>
      <c r="M671" s="292"/>
      <c r="N671" s="132"/>
      <c r="O671" s="121"/>
      <c r="P671" s="82"/>
      <c r="Q671" s="292"/>
      <c r="R671" s="132"/>
      <c r="S671" s="121"/>
      <c r="T671" s="82"/>
      <c r="U671" s="292"/>
      <c r="V671" s="132"/>
      <c r="W671" s="121"/>
      <c r="X671" s="82"/>
      <c r="Y671" s="292"/>
      <c r="Z671" s="300"/>
      <c r="AA671" s="301"/>
      <c r="AB671" s="80"/>
      <c r="AC671" s="292"/>
      <c r="AD671" s="132"/>
      <c r="AE671" s="254"/>
      <c r="AF671" s="294"/>
      <c r="AG671" s="292"/>
      <c r="AH671" s="302"/>
      <c r="AI671" s="302"/>
      <c r="AJ671" s="302"/>
      <c r="AK671" s="292"/>
      <c r="AL671" s="82"/>
      <c r="AM671" s="82"/>
      <c r="AN671" s="82"/>
      <c r="AO671" s="292"/>
      <c r="AP671" s="82"/>
      <c r="AQ671" s="82"/>
      <c r="AR671" s="82"/>
      <c r="AS671" s="292"/>
      <c r="AT671" s="82"/>
      <c r="AU671" s="82"/>
      <c r="AV671" s="82"/>
    </row>
    <row r="672">
      <c r="A672" s="292"/>
      <c r="B672" s="132"/>
      <c r="C672" s="121"/>
      <c r="D672" s="82"/>
      <c r="E672" s="292"/>
      <c r="F672" s="132"/>
      <c r="G672" s="121"/>
      <c r="H672" s="82"/>
      <c r="I672" s="292"/>
      <c r="J672" s="132"/>
      <c r="K672" s="121"/>
      <c r="L672" s="82"/>
      <c r="M672" s="292"/>
      <c r="N672" s="132"/>
      <c r="O672" s="121"/>
      <c r="P672" s="82"/>
      <c r="Q672" s="292"/>
      <c r="R672" s="132"/>
      <c r="S672" s="121"/>
      <c r="T672" s="82"/>
      <c r="U672" s="292"/>
      <c r="V672" s="132"/>
      <c r="W672" s="121"/>
      <c r="X672" s="82"/>
      <c r="Y672" s="292"/>
      <c r="Z672" s="300"/>
      <c r="AA672" s="301"/>
      <c r="AB672" s="80"/>
      <c r="AC672" s="292"/>
      <c r="AD672" s="132"/>
      <c r="AE672" s="254"/>
      <c r="AF672" s="294"/>
      <c r="AG672" s="292"/>
      <c r="AH672" s="302"/>
      <c r="AI672" s="302"/>
      <c r="AJ672" s="302"/>
      <c r="AK672" s="292"/>
      <c r="AL672" s="82"/>
      <c r="AM672" s="82"/>
      <c r="AN672" s="82"/>
      <c r="AO672" s="292"/>
      <c r="AP672" s="82"/>
      <c r="AQ672" s="82"/>
      <c r="AR672" s="82"/>
      <c r="AS672" s="292"/>
      <c r="AT672" s="82"/>
      <c r="AU672" s="82"/>
      <c r="AV672" s="82"/>
    </row>
    <row r="673">
      <c r="A673" s="292"/>
      <c r="B673" s="132"/>
      <c r="C673" s="121"/>
      <c r="D673" s="82"/>
      <c r="E673" s="292"/>
      <c r="F673" s="132"/>
      <c r="G673" s="121"/>
      <c r="H673" s="82"/>
      <c r="I673" s="292"/>
      <c r="J673" s="132"/>
      <c r="K673" s="121"/>
      <c r="L673" s="82"/>
      <c r="M673" s="292"/>
      <c r="N673" s="132"/>
      <c r="O673" s="121"/>
      <c r="P673" s="82"/>
      <c r="Q673" s="292"/>
      <c r="R673" s="132"/>
      <c r="S673" s="121"/>
      <c r="T673" s="82"/>
      <c r="U673" s="292"/>
      <c r="V673" s="132"/>
      <c r="W673" s="121"/>
      <c r="X673" s="82"/>
      <c r="Y673" s="292"/>
      <c r="Z673" s="300"/>
      <c r="AA673" s="301"/>
      <c r="AB673" s="80"/>
      <c r="AC673" s="292"/>
      <c r="AD673" s="132"/>
      <c r="AE673" s="254"/>
      <c r="AF673" s="294"/>
      <c r="AG673" s="292"/>
      <c r="AH673" s="302"/>
      <c r="AI673" s="302"/>
      <c r="AJ673" s="302"/>
      <c r="AK673" s="292"/>
      <c r="AL673" s="82"/>
      <c r="AM673" s="82"/>
      <c r="AN673" s="82"/>
      <c r="AO673" s="292"/>
      <c r="AP673" s="82"/>
      <c r="AQ673" s="82"/>
      <c r="AR673" s="82"/>
      <c r="AS673" s="292"/>
      <c r="AT673" s="82"/>
      <c r="AU673" s="82"/>
      <c r="AV673" s="82"/>
    </row>
    <row r="674">
      <c r="A674" s="292"/>
      <c r="B674" s="132"/>
      <c r="C674" s="121"/>
      <c r="D674" s="82"/>
      <c r="E674" s="292"/>
      <c r="F674" s="132"/>
      <c r="G674" s="121"/>
      <c r="H674" s="82"/>
      <c r="I674" s="292"/>
      <c r="J674" s="132"/>
      <c r="K674" s="121"/>
      <c r="L674" s="82"/>
      <c r="M674" s="292"/>
      <c r="N674" s="132"/>
      <c r="O674" s="121"/>
      <c r="P674" s="82"/>
      <c r="Q674" s="292"/>
      <c r="R674" s="132"/>
      <c r="S674" s="121"/>
      <c r="T674" s="82"/>
      <c r="U674" s="292"/>
      <c r="V674" s="132"/>
      <c r="W674" s="121"/>
      <c r="X674" s="82"/>
      <c r="Y674" s="292"/>
      <c r="Z674" s="300"/>
      <c r="AA674" s="301"/>
      <c r="AB674" s="80"/>
      <c r="AC674" s="292"/>
      <c r="AD674" s="132"/>
      <c r="AE674" s="254"/>
      <c r="AF674" s="294"/>
      <c r="AG674" s="292"/>
      <c r="AH674" s="302"/>
      <c r="AI674" s="302"/>
      <c r="AJ674" s="302"/>
      <c r="AK674" s="292"/>
      <c r="AL674" s="82"/>
      <c r="AM674" s="82"/>
      <c r="AN674" s="82"/>
      <c r="AO674" s="292"/>
      <c r="AP674" s="82"/>
      <c r="AQ674" s="82"/>
      <c r="AR674" s="82"/>
      <c r="AS674" s="292"/>
      <c r="AT674" s="82"/>
      <c r="AU674" s="82"/>
      <c r="AV674" s="82"/>
    </row>
    <row r="675">
      <c r="A675" s="292"/>
      <c r="B675" s="132"/>
      <c r="C675" s="121"/>
      <c r="D675" s="82"/>
      <c r="E675" s="292"/>
      <c r="F675" s="132"/>
      <c r="G675" s="121"/>
      <c r="H675" s="82"/>
      <c r="I675" s="292"/>
      <c r="J675" s="132"/>
      <c r="K675" s="121"/>
      <c r="L675" s="82"/>
      <c r="M675" s="292"/>
      <c r="N675" s="132"/>
      <c r="O675" s="121"/>
      <c r="P675" s="82"/>
      <c r="Q675" s="292"/>
      <c r="R675" s="132"/>
      <c r="S675" s="121"/>
      <c r="T675" s="82"/>
      <c r="U675" s="292"/>
      <c r="V675" s="132"/>
      <c r="W675" s="121"/>
      <c r="X675" s="82"/>
      <c r="Y675" s="292"/>
      <c r="Z675" s="300"/>
      <c r="AA675" s="301"/>
      <c r="AB675" s="80"/>
      <c r="AC675" s="292"/>
      <c r="AD675" s="132"/>
      <c r="AE675" s="254"/>
      <c r="AF675" s="294"/>
      <c r="AG675" s="292"/>
      <c r="AH675" s="302"/>
      <c r="AI675" s="302"/>
      <c r="AJ675" s="302"/>
      <c r="AK675" s="292"/>
      <c r="AL675" s="82"/>
      <c r="AM675" s="82"/>
      <c r="AN675" s="82"/>
      <c r="AO675" s="292"/>
      <c r="AP675" s="82"/>
      <c r="AQ675" s="82"/>
      <c r="AR675" s="82"/>
      <c r="AS675" s="292"/>
      <c r="AT675" s="82"/>
      <c r="AU675" s="82"/>
      <c r="AV675" s="82"/>
    </row>
    <row r="676">
      <c r="A676" s="292"/>
      <c r="B676" s="132"/>
      <c r="C676" s="121"/>
      <c r="D676" s="82"/>
      <c r="E676" s="292"/>
      <c r="F676" s="132"/>
      <c r="G676" s="121"/>
      <c r="H676" s="82"/>
      <c r="I676" s="292"/>
      <c r="J676" s="132"/>
      <c r="K676" s="121"/>
      <c r="L676" s="82"/>
      <c r="M676" s="292"/>
      <c r="N676" s="132"/>
      <c r="O676" s="121"/>
      <c r="P676" s="82"/>
      <c r="Q676" s="292"/>
      <c r="R676" s="132"/>
      <c r="S676" s="121"/>
      <c r="T676" s="82"/>
      <c r="U676" s="292"/>
      <c r="V676" s="132"/>
      <c r="W676" s="121"/>
      <c r="X676" s="82"/>
      <c r="Y676" s="292"/>
      <c r="Z676" s="300"/>
      <c r="AA676" s="301"/>
      <c r="AB676" s="80"/>
      <c r="AC676" s="292"/>
      <c r="AD676" s="132"/>
      <c r="AE676" s="254"/>
      <c r="AF676" s="294"/>
      <c r="AG676" s="292"/>
      <c r="AH676" s="302"/>
      <c r="AI676" s="302"/>
      <c r="AJ676" s="302"/>
      <c r="AK676" s="292"/>
      <c r="AL676" s="82"/>
      <c r="AM676" s="82"/>
      <c r="AN676" s="82"/>
      <c r="AO676" s="292"/>
      <c r="AP676" s="82"/>
      <c r="AQ676" s="82"/>
      <c r="AR676" s="82"/>
      <c r="AS676" s="292"/>
      <c r="AT676" s="82"/>
      <c r="AU676" s="82"/>
      <c r="AV676" s="82"/>
    </row>
    <row r="677">
      <c r="A677" s="292"/>
      <c r="B677" s="132"/>
      <c r="C677" s="121"/>
      <c r="D677" s="82"/>
      <c r="E677" s="292"/>
      <c r="F677" s="132"/>
      <c r="G677" s="121"/>
      <c r="H677" s="82"/>
      <c r="I677" s="292"/>
      <c r="J677" s="132"/>
      <c r="K677" s="121"/>
      <c r="L677" s="82"/>
      <c r="M677" s="292"/>
      <c r="N677" s="132"/>
      <c r="O677" s="121"/>
      <c r="P677" s="82"/>
      <c r="Q677" s="292"/>
      <c r="R677" s="132"/>
      <c r="S677" s="121"/>
      <c r="T677" s="82"/>
      <c r="U677" s="292"/>
      <c r="V677" s="132"/>
      <c r="W677" s="121"/>
      <c r="X677" s="82"/>
      <c r="Y677" s="292"/>
      <c r="Z677" s="300"/>
      <c r="AA677" s="301"/>
      <c r="AB677" s="80"/>
      <c r="AC677" s="292"/>
      <c r="AD677" s="132"/>
      <c r="AE677" s="254"/>
      <c r="AF677" s="294"/>
      <c r="AG677" s="292"/>
      <c r="AH677" s="302"/>
      <c r="AI677" s="302"/>
      <c r="AJ677" s="302"/>
      <c r="AK677" s="292"/>
      <c r="AL677" s="82"/>
      <c r="AM677" s="82"/>
      <c r="AN677" s="82"/>
      <c r="AO677" s="292"/>
      <c r="AP677" s="82"/>
      <c r="AQ677" s="82"/>
      <c r="AR677" s="82"/>
      <c r="AS677" s="292"/>
      <c r="AT677" s="82"/>
      <c r="AU677" s="82"/>
      <c r="AV677" s="82"/>
    </row>
    <row r="678">
      <c r="A678" s="292"/>
      <c r="B678" s="132"/>
      <c r="C678" s="121"/>
      <c r="D678" s="82"/>
      <c r="E678" s="292"/>
      <c r="F678" s="132"/>
      <c r="G678" s="121"/>
      <c r="H678" s="82"/>
      <c r="I678" s="292"/>
      <c r="J678" s="132"/>
      <c r="K678" s="121"/>
      <c r="L678" s="82"/>
      <c r="M678" s="292"/>
      <c r="N678" s="132"/>
      <c r="O678" s="121"/>
      <c r="P678" s="82"/>
      <c r="Q678" s="292"/>
      <c r="R678" s="132"/>
      <c r="S678" s="121"/>
      <c r="T678" s="82"/>
      <c r="U678" s="292"/>
      <c r="V678" s="132"/>
      <c r="W678" s="121"/>
      <c r="X678" s="82"/>
      <c r="Y678" s="292"/>
      <c r="Z678" s="300"/>
      <c r="AA678" s="301"/>
      <c r="AB678" s="80"/>
      <c r="AC678" s="292"/>
      <c r="AD678" s="132"/>
      <c r="AE678" s="254"/>
      <c r="AF678" s="294"/>
      <c r="AG678" s="292"/>
      <c r="AH678" s="302"/>
      <c r="AI678" s="302"/>
      <c r="AJ678" s="302"/>
      <c r="AK678" s="292"/>
      <c r="AL678" s="82"/>
      <c r="AM678" s="82"/>
      <c r="AN678" s="82"/>
      <c r="AO678" s="292"/>
      <c r="AP678" s="82"/>
      <c r="AQ678" s="82"/>
      <c r="AR678" s="82"/>
      <c r="AS678" s="292"/>
      <c r="AT678" s="82"/>
      <c r="AU678" s="82"/>
      <c r="AV678" s="82"/>
    </row>
    <row r="679">
      <c r="A679" s="292"/>
      <c r="B679" s="132"/>
      <c r="C679" s="121"/>
      <c r="D679" s="82"/>
      <c r="E679" s="292"/>
      <c r="F679" s="132"/>
      <c r="G679" s="121"/>
      <c r="H679" s="82"/>
      <c r="I679" s="292"/>
      <c r="J679" s="132"/>
      <c r="K679" s="121"/>
      <c r="L679" s="82"/>
      <c r="M679" s="292"/>
      <c r="N679" s="132"/>
      <c r="O679" s="121"/>
      <c r="P679" s="82"/>
      <c r="Q679" s="292"/>
      <c r="R679" s="132"/>
      <c r="S679" s="121"/>
      <c r="T679" s="82"/>
      <c r="U679" s="292"/>
      <c r="V679" s="132"/>
      <c r="W679" s="121"/>
      <c r="X679" s="82"/>
      <c r="Y679" s="292"/>
      <c r="Z679" s="300"/>
      <c r="AA679" s="301"/>
      <c r="AB679" s="80"/>
      <c r="AC679" s="292"/>
      <c r="AD679" s="132"/>
      <c r="AE679" s="254"/>
      <c r="AF679" s="294"/>
      <c r="AG679" s="292"/>
      <c r="AH679" s="302"/>
      <c r="AI679" s="302"/>
      <c r="AJ679" s="302"/>
      <c r="AK679" s="292"/>
      <c r="AL679" s="82"/>
      <c r="AM679" s="82"/>
      <c r="AN679" s="82"/>
      <c r="AO679" s="292"/>
      <c r="AP679" s="82"/>
      <c r="AQ679" s="82"/>
      <c r="AR679" s="82"/>
      <c r="AS679" s="292"/>
      <c r="AT679" s="82"/>
      <c r="AU679" s="82"/>
      <c r="AV679" s="82"/>
    </row>
    <row r="680">
      <c r="A680" s="292"/>
      <c r="B680" s="132"/>
      <c r="C680" s="121"/>
      <c r="D680" s="82"/>
      <c r="E680" s="292"/>
      <c r="F680" s="132"/>
      <c r="G680" s="121"/>
      <c r="H680" s="82"/>
      <c r="I680" s="292"/>
      <c r="J680" s="132"/>
      <c r="K680" s="121"/>
      <c r="L680" s="82"/>
      <c r="M680" s="292"/>
      <c r="N680" s="132"/>
      <c r="O680" s="121"/>
      <c r="P680" s="82"/>
      <c r="Q680" s="292"/>
      <c r="R680" s="132"/>
      <c r="S680" s="121"/>
      <c r="T680" s="82"/>
      <c r="U680" s="292"/>
      <c r="V680" s="132"/>
      <c r="W680" s="121"/>
      <c r="X680" s="82"/>
      <c r="Y680" s="292"/>
      <c r="Z680" s="300"/>
      <c r="AA680" s="301"/>
      <c r="AB680" s="80"/>
      <c r="AC680" s="292"/>
      <c r="AD680" s="132"/>
      <c r="AE680" s="254"/>
      <c r="AF680" s="294"/>
      <c r="AG680" s="292"/>
      <c r="AH680" s="302"/>
      <c r="AI680" s="302"/>
      <c r="AJ680" s="302"/>
      <c r="AK680" s="292"/>
      <c r="AL680" s="82"/>
      <c r="AM680" s="82"/>
      <c r="AN680" s="82"/>
      <c r="AO680" s="292"/>
      <c r="AP680" s="82"/>
      <c r="AQ680" s="82"/>
      <c r="AR680" s="82"/>
      <c r="AS680" s="292"/>
      <c r="AT680" s="82"/>
      <c r="AU680" s="82"/>
      <c r="AV680" s="82"/>
    </row>
    <row r="681">
      <c r="A681" s="292"/>
      <c r="B681" s="132"/>
      <c r="C681" s="121"/>
      <c r="D681" s="82"/>
      <c r="E681" s="292"/>
      <c r="F681" s="132"/>
      <c r="G681" s="121"/>
      <c r="H681" s="82"/>
      <c r="I681" s="292"/>
      <c r="J681" s="132"/>
      <c r="K681" s="121"/>
      <c r="L681" s="82"/>
      <c r="M681" s="292"/>
      <c r="N681" s="132"/>
      <c r="O681" s="121"/>
      <c r="P681" s="82"/>
      <c r="Q681" s="292"/>
      <c r="R681" s="132"/>
      <c r="S681" s="121"/>
      <c r="T681" s="82"/>
      <c r="U681" s="292"/>
      <c r="V681" s="132"/>
      <c r="W681" s="121"/>
      <c r="X681" s="82"/>
      <c r="Y681" s="292"/>
      <c r="Z681" s="300"/>
      <c r="AA681" s="301"/>
      <c r="AB681" s="80"/>
      <c r="AC681" s="292"/>
      <c r="AD681" s="132"/>
      <c r="AE681" s="254"/>
      <c r="AF681" s="294"/>
      <c r="AG681" s="292"/>
      <c r="AH681" s="302"/>
      <c r="AI681" s="302"/>
      <c r="AJ681" s="302"/>
      <c r="AK681" s="292"/>
      <c r="AL681" s="82"/>
      <c r="AM681" s="82"/>
      <c r="AN681" s="82"/>
      <c r="AO681" s="292"/>
      <c r="AP681" s="82"/>
      <c r="AQ681" s="82"/>
      <c r="AR681" s="82"/>
      <c r="AS681" s="292"/>
      <c r="AT681" s="82"/>
      <c r="AU681" s="82"/>
      <c r="AV681" s="82"/>
    </row>
    <row r="682">
      <c r="A682" s="292"/>
      <c r="B682" s="132"/>
      <c r="C682" s="121"/>
      <c r="D682" s="82"/>
      <c r="E682" s="292"/>
      <c r="F682" s="132"/>
      <c r="G682" s="121"/>
      <c r="H682" s="82"/>
      <c r="I682" s="292"/>
      <c r="J682" s="132"/>
      <c r="K682" s="121"/>
      <c r="L682" s="82"/>
      <c r="M682" s="292"/>
      <c r="N682" s="132"/>
      <c r="O682" s="121"/>
      <c r="P682" s="82"/>
      <c r="Q682" s="292"/>
      <c r="R682" s="132"/>
      <c r="S682" s="121"/>
      <c r="T682" s="82"/>
      <c r="U682" s="292"/>
      <c r="V682" s="132"/>
      <c r="W682" s="121"/>
      <c r="X682" s="82"/>
      <c r="Y682" s="292"/>
      <c r="Z682" s="300"/>
      <c r="AA682" s="301"/>
      <c r="AB682" s="80"/>
      <c r="AC682" s="292"/>
      <c r="AD682" s="132"/>
      <c r="AE682" s="254"/>
      <c r="AF682" s="294"/>
      <c r="AG682" s="292"/>
      <c r="AH682" s="302"/>
      <c r="AI682" s="302"/>
      <c r="AJ682" s="302"/>
      <c r="AK682" s="292"/>
      <c r="AL682" s="82"/>
      <c r="AM682" s="82"/>
      <c r="AN682" s="82"/>
      <c r="AO682" s="292"/>
      <c r="AP682" s="82"/>
      <c r="AQ682" s="82"/>
      <c r="AR682" s="82"/>
      <c r="AS682" s="292"/>
      <c r="AT682" s="82"/>
      <c r="AU682" s="82"/>
      <c r="AV682" s="82"/>
    </row>
    <row r="683">
      <c r="A683" s="292"/>
      <c r="B683" s="132"/>
      <c r="C683" s="121"/>
      <c r="D683" s="82"/>
      <c r="E683" s="292"/>
      <c r="F683" s="132"/>
      <c r="G683" s="121"/>
      <c r="H683" s="82"/>
      <c r="I683" s="292"/>
      <c r="J683" s="132"/>
      <c r="K683" s="121"/>
      <c r="L683" s="82"/>
      <c r="M683" s="292"/>
      <c r="N683" s="132"/>
      <c r="O683" s="121"/>
      <c r="P683" s="82"/>
      <c r="Q683" s="292"/>
      <c r="R683" s="132"/>
      <c r="S683" s="121"/>
      <c r="T683" s="82"/>
      <c r="U683" s="292"/>
      <c r="V683" s="132"/>
      <c r="W683" s="121"/>
      <c r="X683" s="82"/>
      <c r="Y683" s="292"/>
      <c r="Z683" s="300"/>
      <c r="AA683" s="301"/>
      <c r="AB683" s="80"/>
      <c r="AC683" s="292"/>
      <c r="AD683" s="132"/>
      <c r="AE683" s="254"/>
      <c r="AF683" s="294"/>
      <c r="AG683" s="292"/>
      <c r="AH683" s="302"/>
      <c r="AI683" s="302"/>
      <c r="AJ683" s="302"/>
      <c r="AK683" s="292"/>
      <c r="AL683" s="82"/>
      <c r="AM683" s="82"/>
      <c r="AN683" s="82"/>
      <c r="AO683" s="292"/>
      <c r="AP683" s="82"/>
      <c r="AQ683" s="82"/>
      <c r="AR683" s="82"/>
      <c r="AS683" s="292"/>
      <c r="AT683" s="82"/>
      <c r="AU683" s="82"/>
      <c r="AV683" s="82"/>
    </row>
    <row r="684">
      <c r="A684" s="292"/>
      <c r="B684" s="132"/>
      <c r="C684" s="121"/>
      <c r="D684" s="82"/>
      <c r="E684" s="292"/>
      <c r="F684" s="132"/>
      <c r="G684" s="121"/>
      <c r="H684" s="82"/>
      <c r="I684" s="292"/>
      <c r="J684" s="132"/>
      <c r="K684" s="121"/>
      <c r="L684" s="82"/>
      <c r="M684" s="292"/>
      <c r="N684" s="132"/>
      <c r="O684" s="121"/>
      <c r="P684" s="82"/>
      <c r="Q684" s="292"/>
      <c r="R684" s="132"/>
      <c r="S684" s="121"/>
      <c r="T684" s="82"/>
      <c r="U684" s="292"/>
      <c r="V684" s="132"/>
      <c r="W684" s="121"/>
      <c r="X684" s="82"/>
      <c r="Y684" s="292"/>
      <c r="Z684" s="300"/>
      <c r="AA684" s="301"/>
      <c r="AB684" s="80"/>
      <c r="AC684" s="292"/>
      <c r="AD684" s="132"/>
      <c r="AE684" s="254"/>
      <c r="AF684" s="294"/>
      <c r="AG684" s="292"/>
      <c r="AH684" s="302"/>
      <c r="AI684" s="302"/>
      <c r="AJ684" s="302"/>
      <c r="AK684" s="292"/>
      <c r="AL684" s="82"/>
      <c r="AM684" s="82"/>
      <c r="AN684" s="82"/>
      <c r="AO684" s="292"/>
      <c r="AP684" s="82"/>
      <c r="AQ684" s="82"/>
      <c r="AR684" s="82"/>
      <c r="AS684" s="292"/>
      <c r="AT684" s="82"/>
      <c r="AU684" s="82"/>
      <c r="AV684" s="82"/>
    </row>
    <row r="685">
      <c r="A685" s="292"/>
      <c r="B685" s="132"/>
      <c r="C685" s="121"/>
      <c r="D685" s="82"/>
      <c r="E685" s="292"/>
      <c r="F685" s="132"/>
      <c r="G685" s="121"/>
      <c r="H685" s="82"/>
      <c r="I685" s="292"/>
      <c r="J685" s="132"/>
      <c r="K685" s="121"/>
      <c r="L685" s="82"/>
      <c r="M685" s="292"/>
      <c r="N685" s="132"/>
      <c r="O685" s="121"/>
      <c r="P685" s="82"/>
      <c r="Q685" s="292"/>
      <c r="R685" s="132"/>
      <c r="S685" s="121"/>
      <c r="T685" s="82"/>
      <c r="U685" s="292"/>
      <c r="V685" s="132"/>
      <c r="W685" s="121"/>
      <c r="X685" s="82"/>
      <c r="Y685" s="292"/>
      <c r="Z685" s="300"/>
      <c r="AA685" s="301"/>
      <c r="AB685" s="80"/>
      <c r="AC685" s="292"/>
      <c r="AD685" s="132"/>
      <c r="AE685" s="254"/>
      <c r="AF685" s="294"/>
      <c r="AG685" s="292"/>
      <c r="AH685" s="302"/>
      <c r="AI685" s="302"/>
      <c r="AJ685" s="302"/>
      <c r="AK685" s="292"/>
      <c r="AL685" s="82"/>
      <c r="AM685" s="82"/>
      <c r="AN685" s="82"/>
      <c r="AO685" s="292"/>
      <c r="AP685" s="82"/>
      <c r="AQ685" s="82"/>
      <c r="AR685" s="82"/>
      <c r="AS685" s="292"/>
      <c r="AT685" s="82"/>
      <c r="AU685" s="82"/>
      <c r="AV685" s="82"/>
    </row>
    <row r="686">
      <c r="A686" s="292"/>
      <c r="B686" s="132"/>
      <c r="C686" s="121"/>
      <c r="D686" s="82"/>
      <c r="E686" s="292"/>
      <c r="F686" s="132"/>
      <c r="G686" s="121"/>
      <c r="H686" s="82"/>
      <c r="I686" s="292"/>
      <c r="J686" s="132"/>
      <c r="K686" s="121"/>
      <c r="L686" s="82"/>
      <c r="M686" s="292"/>
      <c r="N686" s="132"/>
      <c r="O686" s="121"/>
      <c r="P686" s="82"/>
      <c r="Q686" s="292"/>
      <c r="R686" s="132"/>
      <c r="S686" s="121"/>
      <c r="T686" s="82"/>
      <c r="U686" s="292"/>
      <c r="V686" s="132"/>
      <c r="W686" s="121"/>
      <c r="X686" s="82"/>
      <c r="Y686" s="292"/>
      <c r="Z686" s="300"/>
      <c r="AA686" s="301"/>
      <c r="AB686" s="80"/>
      <c r="AC686" s="292"/>
      <c r="AD686" s="132"/>
      <c r="AE686" s="254"/>
      <c r="AF686" s="294"/>
      <c r="AG686" s="292"/>
      <c r="AH686" s="302"/>
      <c r="AI686" s="302"/>
      <c r="AJ686" s="302"/>
      <c r="AK686" s="292"/>
      <c r="AL686" s="82"/>
      <c r="AM686" s="82"/>
      <c r="AN686" s="82"/>
      <c r="AO686" s="292"/>
      <c r="AP686" s="82"/>
      <c r="AQ686" s="82"/>
      <c r="AR686" s="82"/>
      <c r="AS686" s="292"/>
      <c r="AT686" s="82"/>
      <c r="AU686" s="82"/>
      <c r="AV686" s="82"/>
    </row>
    <row r="687">
      <c r="A687" s="292"/>
      <c r="B687" s="132"/>
      <c r="C687" s="121"/>
      <c r="D687" s="82"/>
      <c r="E687" s="292"/>
      <c r="F687" s="132"/>
      <c r="G687" s="121"/>
      <c r="H687" s="82"/>
      <c r="I687" s="292"/>
      <c r="J687" s="132"/>
      <c r="K687" s="121"/>
      <c r="L687" s="82"/>
      <c r="M687" s="292"/>
      <c r="N687" s="132"/>
      <c r="O687" s="121"/>
      <c r="P687" s="82"/>
      <c r="Q687" s="292"/>
      <c r="R687" s="132"/>
      <c r="S687" s="121"/>
      <c r="T687" s="82"/>
      <c r="U687" s="292"/>
      <c r="V687" s="132"/>
      <c r="W687" s="121"/>
      <c r="X687" s="82"/>
      <c r="Y687" s="292"/>
      <c r="Z687" s="300"/>
      <c r="AA687" s="301"/>
      <c r="AB687" s="80"/>
      <c r="AC687" s="292"/>
      <c r="AD687" s="132"/>
      <c r="AE687" s="254"/>
      <c r="AF687" s="294"/>
      <c r="AG687" s="292"/>
      <c r="AH687" s="302"/>
      <c r="AI687" s="302"/>
      <c r="AJ687" s="302"/>
      <c r="AK687" s="292"/>
      <c r="AL687" s="82"/>
      <c r="AM687" s="82"/>
      <c r="AN687" s="82"/>
      <c r="AO687" s="292"/>
      <c r="AP687" s="82"/>
      <c r="AQ687" s="82"/>
      <c r="AR687" s="82"/>
      <c r="AS687" s="292"/>
      <c r="AT687" s="82"/>
      <c r="AU687" s="82"/>
      <c r="AV687" s="82"/>
    </row>
    <row r="688">
      <c r="A688" s="292"/>
      <c r="B688" s="132"/>
      <c r="C688" s="121"/>
      <c r="D688" s="82"/>
      <c r="E688" s="292"/>
      <c r="F688" s="132"/>
      <c r="G688" s="121"/>
      <c r="H688" s="82"/>
      <c r="I688" s="292"/>
      <c r="J688" s="132"/>
      <c r="K688" s="121"/>
      <c r="L688" s="82"/>
      <c r="M688" s="292"/>
      <c r="N688" s="132"/>
      <c r="O688" s="121"/>
      <c r="P688" s="82"/>
      <c r="Q688" s="292"/>
      <c r="R688" s="132"/>
      <c r="S688" s="121"/>
      <c r="T688" s="82"/>
      <c r="U688" s="292"/>
      <c r="V688" s="132"/>
      <c r="W688" s="121"/>
      <c r="X688" s="82"/>
      <c r="Y688" s="292"/>
      <c r="Z688" s="300"/>
      <c r="AA688" s="301"/>
      <c r="AB688" s="80"/>
      <c r="AC688" s="292"/>
      <c r="AD688" s="132"/>
      <c r="AE688" s="254"/>
      <c r="AF688" s="294"/>
      <c r="AG688" s="292"/>
      <c r="AH688" s="302"/>
      <c r="AI688" s="302"/>
      <c r="AJ688" s="302"/>
      <c r="AK688" s="292"/>
      <c r="AL688" s="82"/>
      <c r="AM688" s="82"/>
      <c r="AN688" s="82"/>
      <c r="AO688" s="292"/>
      <c r="AP688" s="82"/>
      <c r="AQ688" s="82"/>
      <c r="AR688" s="82"/>
      <c r="AS688" s="292"/>
      <c r="AT688" s="82"/>
      <c r="AU688" s="82"/>
      <c r="AV688" s="82"/>
    </row>
    <row r="689">
      <c r="A689" s="292"/>
      <c r="B689" s="132"/>
      <c r="C689" s="121"/>
      <c r="D689" s="82"/>
      <c r="E689" s="292"/>
      <c r="F689" s="132"/>
      <c r="G689" s="121"/>
      <c r="H689" s="82"/>
      <c r="I689" s="292"/>
      <c r="J689" s="132"/>
      <c r="K689" s="121"/>
      <c r="L689" s="82"/>
      <c r="M689" s="292"/>
      <c r="N689" s="132"/>
      <c r="O689" s="121"/>
      <c r="P689" s="82"/>
      <c r="Q689" s="292"/>
      <c r="R689" s="132"/>
      <c r="S689" s="121"/>
      <c r="T689" s="82"/>
      <c r="U689" s="292"/>
      <c r="V689" s="132"/>
      <c r="W689" s="121"/>
      <c r="X689" s="82"/>
      <c r="Y689" s="292"/>
      <c r="Z689" s="300"/>
      <c r="AA689" s="301"/>
      <c r="AB689" s="80"/>
      <c r="AC689" s="292"/>
      <c r="AD689" s="132"/>
      <c r="AE689" s="254"/>
      <c r="AF689" s="294"/>
      <c r="AG689" s="292"/>
      <c r="AH689" s="302"/>
      <c r="AI689" s="302"/>
      <c r="AJ689" s="302"/>
      <c r="AK689" s="292"/>
      <c r="AL689" s="82"/>
      <c r="AM689" s="82"/>
      <c r="AN689" s="82"/>
      <c r="AO689" s="292"/>
      <c r="AP689" s="82"/>
      <c r="AQ689" s="82"/>
      <c r="AR689" s="82"/>
      <c r="AS689" s="292"/>
      <c r="AT689" s="82"/>
      <c r="AU689" s="82"/>
      <c r="AV689" s="82"/>
    </row>
    <row r="690">
      <c r="A690" s="292"/>
      <c r="B690" s="132"/>
      <c r="C690" s="121"/>
      <c r="D690" s="82"/>
      <c r="E690" s="292"/>
      <c r="F690" s="132"/>
      <c r="G690" s="121"/>
      <c r="H690" s="82"/>
      <c r="I690" s="292"/>
      <c r="J690" s="132"/>
      <c r="K690" s="121"/>
      <c r="L690" s="82"/>
      <c r="M690" s="292"/>
      <c r="N690" s="132"/>
      <c r="O690" s="121"/>
      <c r="P690" s="82"/>
      <c r="Q690" s="292"/>
      <c r="R690" s="132"/>
      <c r="S690" s="121"/>
      <c r="T690" s="82"/>
      <c r="U690" s="292"/>
      <c r="V690" s="132"/>
      <c r="W690" s="121"/>
      <c r="X690" s="82"/>
      <c r="Y690" s="292"/>
      <c r="Z690" s="300"/>
      <c r="AA690" s="301"/>
      <c r="AB690" s="80"/>
      <c r="AC690" s="292"/>
      <c r="AD690" s="132"/>
      <c r="AE690" s="254"/>
      <c r="AF690" s="294"/>
      <c r="AG690" s="292"/>
      <c r="AH690" s="302"/>
      <c r="AI690" s="302"/>
      <c r="AJ690" s="302"/>
      <c r="AK690" s="292"/>
      <c r="AL690" s="82"/>
      <c r="AM690" s="82"/>
      <c r="AN690" s="82"/>
      <c r="AO690" s="292"/>
      <c r="AP690" s="82"/>
      <c r="AQ690" s="82"/>
      <c r="AR690" s="82"/>
      <c r="AS690" s="292"/>
      <c r="AT690" s="82"/>
      <c r="AU690" s="82"/>
      <c r="AV690" s="82"/>
    </row>
    <row r="691">
      <c r="A691" s="292"/>
      <c r="B691" s="132"/>
      <c r="C691" s="121"/>
      <c r="D691" s="82"/>
      <c r="E691" s="292"/>
      <c r="F691" s="132"/>
      <c r="G691" s="121"/>
      <c r="H691" s="82"/>
      <c r="I691" s="292"/>
      <c r="J691" s="132"/>
      <c r="K691" s="121"/>
      <c r="L691" s="82"/>
      <c r="M691" s="292"/>
      <c r="N691" s="132"/>
      <c r="O691" s="121"/>
      <c r="P691" s="82"/>
      <c r="Q691" s="292"/>
      <c r="R691" s="132"/>
      <c r="S691" s="121"/>
      <c r="T691" s="82"/>
      <c r="U691" s="292"/>
      <c r="V691" s="132"/>
      <c r="W691" s="121"/>
      <c r="X691" s="82"/>
      <c r="Y691" s="292"/>
      <c r="Z691" s="300"/>
      <c r="AA691" s="301"/>
      <c r="AB691" s="80"/>
      <c r="AC691" s="292"/>
      <c r="AD691" s="132"/>
      <c r="AE691" s="254"/>
      <c r="AF691" s="294"/>
      <c r="AG691" s="292"/>
      <c r="AH691" s="302"/>
      <c r="AI691" s="302"/>
      <c r="AJ691" s="302"/>
      <c r="AK691" s="292"/>
      <c r="AL691" s="82"/>
      <c r="AM691" s="82"/>
      <c r="AN691" s="82"/>
      <c r="AO691" s="292"/>
      <c r="AP691" s="82"/>
      <c r="AQ691" s="82"/>
      <c r="AR691" s="82"/>
      <c r="AS691" s="292"/>
      <c r="AT691" s="82"/>
      <c r="AU691" s="82"/>
      <c r="AV691" s="82"/>
    </row>
    <row r="692">
      <c r="A692" s="292"/>
      <c r="B692" s="132"/>
      <c r="C692" s="121"/>
      <c r="D692" s="82"/>
      <c r="E692" s="292"/>
      <c r="F692" s="132"/>
      <c r="G692" s="121"/>
      <c r="H692" s="82"/>
      <c r="I692" s="292"/>
      <c r="J692" s="132"/>
      <c r="K692" s="121"/>
      <c r="L692" s="82"/>
      <c r="M692" s="292"/>
      <c r="N692" s="132"/>
      <c r="O692" s="121"/>
      <c r="P692" s="82"/>
      <c r="Q692" s="292"/>
      <c r="R692" s="132"/>
      <c r="S692" s="121"/>
      <c r="T692" s="82"/>
      <c r="U692" s="292"/>
      <c r="V692" s="132"/>
      <c r="W692" s="121"/>
      <c r="X692" s="82"/>
      <c r="Y692" s="292"/>
      <c r="Z692" s="300"/>
      <c r="AA692" s="301"/>
      <c r="AB692" s="80"/>
      <c r="AC692" s="292"/>
      <c r="AD692" s="132"/>
      <c r="AE692" s="254"/>
      <c r="AF692" s="294"/>
      <c r="AG692" s="292"/>
      <c r="AH692" s="302"/>
      <c r="AI692" s="302"/>
      <c r="AJ692" s="302"/>
      <c r="AK692" s="292"/>
      <c r="AL692" s="82"/>
      <c r="AM692" s="82"/>
      <c r="AN692" s="82"/>
      <c r="AO692" s="292"/>
      <c r="AP692" s="82"/>
      <c r="AQ692" s="82"/>
      <c r="AR692" s="82"/>
      <c r="AS692" s="292"/>
      <c r="AT692" s="82"/>
      <c r="AU692" s="82"/>
      <c r="AV692" s="82"/>
    </row>
    <row r="693">
      <c r="A693" s="292"/>
      <c r="B693" s="132"/>
      <c r="C693" s="121"/>
      <c r="D693" s="82"/>
      <c r="E693" s="292"/>
      <c r="F693" s="132"/>
      <c r="G693" s="121"/>
      <c r="H693" s="82"/>
      <c r="I693" s="292"/>
      <c r="J693" s="132"/>
      <c r="K693" s="121"/>
      <c r="L693" s="82"/>
      <c r="M693" s="292"/>
      <c r="N693" s="132"/>
      <c r="O693" s="121"/>
      <c r="P693" s="82"/>
      <c r="Q693" s="292"/>
      <c r="R693" s="132"/>
      <c r="S693" s="121"/>
      <c r="T693" s="82"/>
      <c r="U693" s="292"/>
      <c r="V693" s="132"/>
      <c r="W693" s="121"/>
      <c r="X693" s="82"/>
      <c r="Y693" s="292"/>
      <c r="Z693" s="300"/>
      <c r="AA693" s="301"/>
      <c r="AB693" s="80"/>
      <c r="AC693" s="292"/>
      <c r="AD693" s="132"/>
      <c r="AE693" s="254"/>
      <c r="AF693" s="294"/>
      <c r="AG693" s="292"/>
      <c r="AH693" s="302"/>
      <c r="AI693" s="302"/>
      <c r="AJ693" s="302"/>
      <c r="AK693" s="292"/>
      <c r="AL693" s="82"/>
      <c r="AM693" s="82"/>
      <c r="AN693" s="82"/>
      <c r="AO693" s="292"/>
      <c r="AP693" s="82"/>
      <c r="AQ693" s="82"/>
      <c r="AR693" s="82"/>
      <c r="AS693" s="292"/>
      <c r="AT693" s="82"/>
      <c r="AU693" s="82"/>
      <c r="AV693" s="82"/>
    </row>
    <row r="694">
      <c r="A694" s="292"/>
      <c r="B694" s="132"/>
      <c r="C694" s="121"/>
      <c r="D694" s="82"/>
      <c r="E694" s="292"/>
      <c r="F694" s="132"/>
      <c r="G694" s="121"/>
      <c r="H694" s="82"/>
      <c r="I694" s="292"/>
      <c r="J694" s="132"/>
      <c r="K694" s="121"/>
      <c r="L694" s="82"/>
      <c r="M694" s="292"/>
      <c r="N694" s="132"/>
      <c r="O694" s="121"/>
      <c r="P694" s="82"/>
      <c r="Q694" s="292"/>
      <c r="R694" s="132"/>
      <c r="S694" s="121"/>
      <c r="T694" s="82"/>
      <c r="U694" s="292"/>
      <c r="V694" s="132"/>
      <c r="W694" s="121"/>
      <c r="X694" s="82"/>
      <c r="Y694" s="292"/>
      <c r="Z694" s="300"/>
      <c r="AA694" s="301"/>
      <c r="AB694" s="80"/>
      <c r="AC694" s="292"/>
      <c r="AD694" s="132"/>
      <c r="AE694" s="254"/>
      <c r="AF694" s="294"/>
      <c r="AG694" s="292"/>
      <c r="AH694" s="302"/>
      <c r="AI694" s="302"/>
      <c r="AJ694" s="302"/>
      <c r="AK694" s="292"/>
      <c r="AL694" s="82"/>
      <c r="AM694" s="82"/>
      <c r="AN694" s="82"/>
      <c r="AO694" s="292"/>
      <c r="AP694" s="82"/>
      <c r="AQ694" s="82"/>
      <c r="AR694" s="82"/>
      <c r="AS694" s="292"/>
      <c r="AT694" s="82"/>
      <c r="AU694" s="82"/>
      <c r="AV694" s="82"/>
    </row>
    <row r="695">
      <c r="A695" s="292"/>
      <c r="B695" s="132"/>
      <c r="C695" s="121"/>
      <c r="D695" s="82"/>
      <c r="E695" s="292"/>
      <c r="F695" s="132"/>
      <c r="G695" s="121"/>
      <c r="H695" s="82"/>
      <c r="I695" s="292"/>
      <c r="J695" s="132"/>
      <c r="K695" s="121"/>
      <c r="L695" s="82"/>
      <c r="M695" s="292"/>
      <c r="N695" s="132"/>
      <c r="O695" s="121"/>
      <c r="P695" s="82"/>
      <c r="Q695" s="292"/>
      <c r="R695" s="132"/>
      <c r="S695" s="121"/>
      <c r="T695" s="82"/>
      <c r="U695" s="292"/>
      <c r="V695" s="132"/>
      <c r="W695" s="121"/>
      <c r="X695" s="82"/>
      <c r="Y695" s="292"/>
      <c r="Z695" s="300"/>
      <c r="AA695" s="301"/>
      <c r="AB695" s="80"/>
      <c r="AC695" s="292"/>
      <c r="AD695" s="132"/>
      <c r="AE695" s="254"/>
      <c r="AF695" s="294"/>
      <c r="AG695" s="292"/>
      <c r="AH695" s="302"/>
      <c r="AI695" s="302"/>
      <c r="AJ695" s="302"/>
      <c r="AK695" s="292"/>
      <c r="AL695" s="82"/>
      <c r="AM695" s="82"/>
      <c r="AN695" s="82"/>
      <c r="AO695" s="292"/>
      <c r="AP695" s="82"/>
      <c r="AQ695" s="82"/>
      <c r="AR695" s="82"/>
      <c r="AS695" s="292"/>
      <c r="AT695" s="82"/>
      <c r="AU695" s="82"/>
      <c r="AV695" s="82"/>
    </row>
    <row r="696">
      <c r="A696" s="292"/>
      <c r="B696" s="132"/>
      <c r="C696" s="121"/>
      <c r="D696" s="82"/>
      <c r="E696" s="292"/>
      <c r="F696" s="132"/>
      <c r="G696" s="121"/>
      <c r="H696" s="82"/>
      <c r="I696" s="292"/>
      <c r="J696" s="132"/>
      <c r="K696" s="121"/>
      <c r="L696" s="82"/>
      <c r="M696" s="292"/>
      <c r="N696" s="132"/>
      <c r="O696" s="121"/>
      <c r="P696" s="82"/>
      <c r="Q696" s="292"/>
      <c r="R696" s="132"/>
      <c r="S696" s="121"/>
      <c r="T696" s="82"/>
      <c r="U696" s="292"/>
      <c r="V696" s="132"/>
      <c r="W696" s="121"/>
      <c r="X696" s="82"/>
      <c r="Y696" s="292"/>
      <c r="Z696" s="300"/>
      <c r="AA696" s="301"/>
      <c r="AB696" s="80"/>
      <c r="AC696" s="292"/>
      <c r="AD696" s="132"/>
      <c r="AE696" s="254"/>
      <c r="AF696" s="294"/>
      <c r="AG696" s="292"/>
      <c r="AH696" s="302"/>
      <c r="AI696" s="302"/>
      <c r="AJ696" s="302"/>
      <c r="AK696" s="292"/>
      <c r="AL696" s="82"/>
      <c r="AM696" s="82"/>
      <c r="AN696" s="82"/>
      <c r="AO696" s="292"/>
      <c r="AP696" s="82"/>
      <c r="AQ696" s="82"/>
      <c r="AR696" s="82"/>
      <c r="AS696" s="292"/>
      <c r="AT696" s="82"/>
      <c r="AU696" s="82"/>
      <c r="AV696" s="82"/>
    </row>
    <row r="697">
      <c r="A697" s="292"/>
      <c r="B697" s="132"/>
      <c r="C697" s="121"/>
      <c r="D697" s="82"/>
      <c r="E697" s="292"/>
      <c r="F697" s="132"/>
      <c r="G697" s="121"/>
      <c r="H697" s="82"/>
      <c r="I697" s="292"/>
      <c r="J697" s="132"/>
      <c r="K697" s="121"/>
      <c r="L697" s="82"/>
      <c r="M697" s="292"/>
      <c r="N697" s="132"/>
      <c r="O697" s="121"/>
      <c r="P697" s="82"/>
      <c r="Q697" s="292"/>
      <c r="R697" s="132"/>
      <c r="S697" s="121"/>
      <c r="T697" s="82"/>
      <c r="U697" s="292"/>
      <c r="V697" s="132"/>
      <c r="W697" s="121"/>
      <c r="X697" s="82"/>
      <c r="Y697" s="292"/>
      <c r="Z697" s="300"/>
      <c r="AA697" s="301"/>
      <c r="AB697" s="80"/>
      <c r="AC697" s="292"/>
      <c r="AD697" s="132"/>
      <c r="AE697" s="254"/>
      <c r="AF697" s="294"/>
      <c r="AG697" s="292"/>
      <c r="AH697" s="302"/>
      <c r="AI697" s="302"/>
      <c r="AJ697" s="302"/>
      <c r="AK697" s="292"/>
      <c r="AL697" s="82"/>
      <c r="AM697" s="82"/>
      <c r="AN697" s="82"/>
      <c r="AO697" s="292"/>
      <c r="AP697" s="82"/>
      <c r="AQ697" s="82"/>
      <c r="AR697" s="82"/>
      <c r="AS697" s="292"/>
      <c r="AT697" s="82"/>
      <c r="AU697" s="82"/>
      <c r="AV697" s="82"/>
    </row>
    <row r="698">
      <c r="A698" s="292"/>
      <c r="B698" s="132"/>
      <c r="C698" s="121"/>
      <c r="D698" s="82"/>
      <c r="E698" s="292"/>
      <c r="F698" s="132"/>
      <c r="G698" s="121"/>
      <c r="H698" s="82"/>
      <c r="I698" s="292"/>
      <c r="J698" s="132"/>
      <c r="K698" s="121"/>
      <c r="L698" s="82"/>
      <c r="M698" s="292"/>
      <c r="N698" s="132"/>
      <c r="O698" s="121"/>
      <c r="P698" s="82"/>
      <c r="Q698" s="292"/>
      <c r="R698" s="132"/>
      <c r="S698" s="121"/>
      <c r="T698" s="82"/>
      <c r="U698" s="292"/>
      <c r="V698" s="132"/>
      <c r="W698" s="121"/>
      <c r="X698" s="82"/>
      <c r="Y698" s="292"/>
      <c r="Z698" s="300"/>
      <c r="AA698" s="301"/>
      <c r="AB698" s="80"/>
      <c r="AC698" s="292"/>
      <c r="AD698" s="132"/>
      <c r="AE698" s="254"/>
      <c r="AF698" s="294"/>
      <c r="AG698" s="292"/>
      <c r="AH698" s="302"/>
      <c r="AI698" s="302"/>
      <c r="AJ698" s="302"/>
      <c r="AK698" s="292"/>
      <c r="AL698" s="82"/>
      <c r="AM698" s="82"/>
      <c r="AN698" s="82"/>
      <c r="AO698" s="292"/>
      <c r="AP698" s="82"/>
      <c r="AQ698" s="82"/>
      <c r="AR698" s="82"/>
      <c r="AS698" s="292"/>
      <c r="AT698" s="82"/>
      <c r="AU698" s="82"/>
      <c r="AV698" s="82"/>
    </row>
    <row r="699">
      <c r="A699" s="292"/>
      <c r="B699" s="132"/>
      <c r="C699" s="121"/>
      <c r="D699" s="82"/>
      <c r="E699" s="292"/>
      <c r="F699" s="132"/>
      <c r="G699" s="121"/>
      <c r="H699" s="82"/>
      <c r="I699" s="292"/>
      <c r="J699" s="132"/>
      <c r="K699" s="121"/>
      <c r="L699" s="82"/>
      <c r="M699" s="292"/>
      <c r="N699" s="132"/>
      <c r="O699" s="121"/>
      <c r="P699" s="82"/>
      <c r="Q699" s="292"/>
      <c r="R699" s="132"/>
      <c r="S699" s="121"/>
      <c r="T699" s="82"/>
      <c r="U699" s="292"/>
      <c r="V699" s="132"/>
      <c r="W699" s="121"/>
      <c r="X699" s="82"/>
      <c r="Y699" s="292"/>
      <c r="Z699" s="300"/>
      <c r="AA699" s="301"/>
      <c r="AB699" s="80"/>
      <c r="AC699" s="292"/>
      <c r="AD699" s="132"/>
      <c r="AE699" s="254"/>
      <c r="AF699" s="294"/>
      <c r="AG699" s="292"/>
      <c r="AH699" s="302"/>
      <c r="AI699" s="302"/>
      <c r="AJ699" s="302"/>
      <c r="AK699" s="292"/>
      <c r="AL699" s="82"/>
      <c r="AM699" s="82"/>
      <c r="AN699" s="82"/>
      <c r="AO699" s="292"/>
      <c r="AP699" s="82"/>
      <c r="AQ699" s="82"/>
      <c r="AR699" s="82"/>
      <c r="AS699" s="292"/>
      <c r="AT699" s="82"/>
      <c r="AU699" s="82"/>
      <c r="AV699" s="82"/>
    </row>
    <row r="700">
      <c r="A700" s="292"/>
      <c r="B700" s="132"/>
      <c r="C700" s="121"/>
      <c r="D700" s="82"/>
      <c r="E700" s="292"/>
      <c r="F700" s="132"/>
      <c r="G700" s="121"/>
      <c r="H700" s="82"/>
      <c r="I700" s="292"/>
      <c r="J700" s="132"/>
      <c r="K700" s="121"/>
      <c r="L700" s="82"/>
      <c r="M700" s="292"/>
      <c r="N700" s="132"/>
      <c r="O700" s="121"/>
      <c r="P700" s="82"/>
      <c r="Q700" s="292"/>
      <c r="R700" s="132"/>
      <c r="S700" s="121"/>
      <c r="T700" s="82"/>
      <c r="U700" s="292"/>
      <c r="V700" s="132"/>
      <c r="W700" s="121"/>
      <c r="X700" s="82"/>
      <c r="Y700" s="292"/>
      <c r="Z700" s="300"/>
      <c r="AA700" s="301"/>
      <c r="AB700" s="80"/>
      <c r="AC700" s="292"/>
      <c r="AD700" s="132"/>
      <c r="AE700" s="254"/>
      <c r="AF700" s="294"/>
      <c r="AG700" s="292"/>
      <c r="AH700" s="302"/>
      <c r="AI700" s="302"/>
      <c r="AJ700" s="302"/>
      <c r="AK700" s="292"/>
      <c r="AL700" s="82"/>
      <c r="AM700" s="82"/>
      <c r="AN700" s="82"/>
      <c r="AO700" s="292"/>
      <c r="AP700" s="82"/>
      <c r="AQ700" s="82"/>
      <c r="AR700" s="82"/>
      <c r="AS700" s="292"/>
      <c r="AT700" s="82"/>
      <c r="AU700" s="82"/>
      <c r="AV700" s="82"/>
    </row>
    <row r="701">
      <c r="A701" s="292"/>
      <c r="B701" s="132"/>
      <c r="C701" s="121"/>
      <c r="D701" s="82"/>
      <c r="E701" s="292"/>
      <c r="F701" s="132"/>
      <c r="G701" s="121"/>
      <c r="H701" s="82"/>
      <c r="I701" s="292"/>
      <c r="J701" s="132"/>
      <c r="K701" s="121"/>
      <c r="L701" s="82"/>
      <c r="M701" s="292"/>
      <c r="N701" s="132"/>
      <c r="O701" s="121"/>
      <c r="P701" s="82"/>
      <c r="Q701" s="292"/>
      <c r="R701" s="132"/>
      <c r="S701" s="121"/>
      <c r="T701" s="82"/>
      <c r="U701" s="292"/>
      <c r="V701" s="132"/>
      <c r="W701" s="121"/>
      <c r="X701" s="82"/>
      <c r="Y701" s="292"/>
      <c r="Z701" s="300"/>
      <c r="AA701" s="301"/>
      <c r="AB701" s="80"/>
      <c r="AC701" s="292"/>
      <c r="AD701" s="132"/>
      <c r="AE701" s="254"/>
      <c r="AF701" s="294"/>
      <c r="AG701" s="292"/>
      <c r="AH701" s="302"/>
      <c r="AI701" s="302"/>
      <c r="AJ701" s="302"/>
      <c r="AK701" s="292"/>
      <c r="AL701" s="82"/>
      <c r="AM701" s="82"/>
      <c r="AN701" s="82"/>
      <c r="AO701" s="292"/>
      <c r="AP701" s="82"/>
      <c r="AQ701" s="82"/>
      <c r="AR701" s="82"/>
      <c r="AS701" s="292"/>
      <c r="AT701" s="82"/>
      <c r="AU701" s="82"/>
      <c r="AV701" s="82"/>
    </row>
    <row r="702">
      <c r="A702" s="292"/>
      <c r="B702" s="132"/>
      <c r="C702" s="121"/>
      <c r="D702" s="82"/>
      <c r="E702" s="292"/>
      <c r="F702" s="132"/>
      <c r="G702" s="121"/>
      <c r="H702" s="82"/>
      <c r="I702" s="292"/>
      <c r="J702" s="132"/>
      <c r="K702" s="121"/>
      <c r="L702" s="82"/>
      <c r="M702" s="292"/>
      <c r="N702" s="132"/>
      <c r="O702" s="121"/>
      <c r="P702" s="82"/>
      <c r="Q702" s="292"/>
      <c r="R702" s="132"/>
      <c r="S702" s="121"/>
      <c r="T702" s="82"/>
      <c r="U702" s="292"/>
      <c r="V702" s="132"/>
      <c r="W702" s="121"/>
      <c r="X702" s="82"/>
      <c r="Y702" s="292"/>
      <c r="Z702" s="300"/>
      <c r="AA702" s="301"/>
      <c r="AB702" s="80"/>
      <c r="AC702" s="292"/>
      <c r="AD702" s="132"/>
      <c r="AE702" s="254"/>
      <c r="AF702" s="294"/>
      <c r="AG702" s="292"/>
      <c r="AH702" s="302"/>
      <c r="AI702" s="302"/>
      <c r="AJ702" s="302"/>
      <c r="AK702" s="292"/>
      <c r="AL702" s="82"/>
      <c r="AM702" s="82"/>
      <c r="AN702" s="82"/>
      <c r="AO702" s="292"/>
      <c r="AP702" s="82"/>
      <c r="AQ702" s="82"/>
      <c r="AR702" s="82"/>
      <c r="AS702" s="292"/>
      <c r="AT702" s="82"/>
      <c r="AU702" s="82"/>
      <c r="AV702" s="82"/>
    </row>
    <row r="703">
      <c r="A703" s="292"/>
      <c r="B703" s="132"/>
      <c r="C703" s="121"/>
      <c r="D703" s="82"/>
      <c r="E703" s="292"/>
      <c r="F703" s="132"/>
      <c r="G703" s="121"/>
      <c r="H703" s="82"/>
      <c r="I703" s="292"/>
      <c r="J703" s="132"/>
      <c r="K703" s="121"/>
      <c r="L703" s="82"/>
      <c r="M703" s="292"/>
      <c r="N703" s="132"/>
      <c r="O703" s="121"/>
      <c r="P703" s="82"/>
      <c r="Q703" s="292"/>
      <c r="R703" s="132"/>
      <c r="S703" s="121"/>
      <c r="T703" s="82"/>
      <c r="U703" s="292"/>
      <c r="V703" s="132"/>
      <c r="W703" s="121"/>
      <c r="X703" s="82"/>
      <c r="Y703" s="292"/>
      <c r="Z703" s="300"/>
      <c r="AA703" s="301"/>
      <c r="AB703" s="80"/>
      <c r="AC703" s="292"/>
      <c r="AD703" s="132"/>
      <c r="AE703" s="254"/>
      <c r="AF703" s="294"/>
      <c r="AG703" s="292"/>
      <c r="AH703" s="302"/>
      <c r="AI703" s="302"/>
      <c r="AJ703" s="302"/>
      <c r="AK703" s="292"/>
      <c r="AL703" s="82"/>
      <c r="AM703" s="82"/>
      <c r="AN703" s="82"/>
      <c r="AO703" s="292"/>
      <c r="AP703" s="82"/>
      <c r="AQ703" s="82"/>
      <c r="AR703" s="82"/>
      <c r="AS703" s="292"/>
      <c r="AT703" s="82"/>
      <c r="AU703" s="82"/>
      <c r="AV703" s="82"/>
    </row>
    <row r="704">
      <c r="A704" s="292"/>
      <c r="B704" s="132"/>
      <c r="C704" s="121"/>
      <c r="D704" s="82"/>
      <c r="E704" s="292"/>
      <c r="F704" s="132"/>
      <c r="G704" s="121"/>
      <c r="H704" s="82"/>
      <c r="I704" s="292"/>
      <c r="J704" s="132"/>
      <c r="K704" s="121"/>
      <c r="L704" s="82"/>
      <c r="M704" s="292"/>
      <c r="N704" s="132"/>
      <c r="O704" s="121"/>
      <c r="P704" s="82"/>
      <c r="Q704" s="292"/>
      <c r="R704" s="132"/>
      <c r="S704" s="121"/>
      <c r="T704" s="82"/>
      <c r="U704" s="292"/>
      <c r="V704" s="132"/>
      <c r="W704" s="121"/>
      <c r="X704" s="82"/>
      <c r="Y704" s="292"/>
      <c r="Z704" s="300"/>
      <c r="AA704" s="301"/>
      <c r="AB704" s="80"/>
      <c r="AC704" s="292"/>
      <c r="AD704" s="132"/>
      <c r="AE704" s="254"/>
      <c r="AF704" s="294"/>
      <c r="AG704" s="292"/>
      <c r="AH704" s="302"/>
      <c r="AI704" s="302"/>
      <c r="AJ704" s="302"/>
      <c r="AK704" s="292"/>
      <c r="AL704" s="82"/>
      <c r="AM704" s="82"/>
      <c r="AN704" s="82"/>
      <c r="AO704" s="292"/>
      <c r="AP704" s="82"/>
      <c r="AQ704" s="82"/>
      <c r="AR704" s="82"/>
      <c r="AS704" s="292"/>
      <c r="AT704" s="82"/>
      <c r="AU704" s="82"/>
      <c r="AV704" s="82"/>
    </row>
    <row r="705">
      <c r="A705" s="292"/>
      <c r="B705" s="132"/>
      <c r="C705" s="121"/>
      <c r="D705" s="82"/>
      <c r="E705" s="292"/>
      <c r="F705" s="132"/>
      <c r="G705" s="121"/>
      <c r="H705" s="82"/>
      <c r="I705" s="292"/>
      <c r="J705" s="132"/>
      <c r="K705" s="121"/>
      <c r="L705" s="82"/>
      <c r="M705" s="292"/>
      <c r="N705" s="132"/>
      <c r="O705" s="121"/>
      <c r="P705" s="82"/>
      <c r="Q705" s="292"/>
      <c r="R705" s="132"/>
      <c r="S705" s="121"/>
      <c r="T705" s="82"/>
      <c r="U705" s="292"/>
      <c r="V705" s="132"/>
      <c r="W705" s="121"/>
      <c r="X705" s="82"/>
      <c r="Y705" s="292"/>
      <c r="Z705" s="300"/>
      <c r="AA705" s="301"/>
      <c r="AB705" s="80"/>
      <c r="AC705" s="292"/>
      <c r="AD705" s="132"/>
      <c r="AE705" s="254"/>
      <c r="AF705" s="294"/>
      <c r="AG705" s="292"/>
      <c r="AH705" s="302"/>
      <c r="AI705" s="302"/>
      <c r="AJ705" s="302"/>
      <c r="AK705" s="292"/>
      <c r="AL705" s="82"/>
      <c r="AM705" s="82"/>
      <c r="AN705" s="82"/>
      <c r="AO705" s="292"/>
      <c r="AP705" s="82"/>
      <c r="AQ705" s="82"/>
      <c r="AR705" s="82"/>
      <c r="AS705" s="292"/>
      <c r="AT705" s="82"/>
      <c r="AU705" s="82"/>
      <c r="AV705" s="82"/>
    </row>
    <row r="706">
      <c r="A706" s="292"/>
      <c r="B706" s="132"/>
      <c r="C706" s="121"/>
      <c r="D706" s="82"/>
      <c r="E706" s="292"/>
      <c r="F706" s="132"/>
      <c r="G706" s="121"/>
      <c r="H706" s="82"/>
      <c r="I706" s="292"/>
      <c r="J706" s="132"/>
      <c r="K706" s="121"/>
      <c r="L706" s="82"/>
      <c r="M706" s="292"/>
      <c r="N706" s="132"/>
      <c r="O706" s="121"/>
      <c r="P706" s="82"/>
      <c r="Q706" s="292"/>
      <c r="R706" s="132"/>
      <c r="S706" s="121"/>
      <c r="T706" s="82"/>
      <c r="U706" s="292"/>
      <c r="V706" s="132"/>
      <c r="W706" s="121"/>
      <c r="X706" s="82"/>
      <c r="Y706" s="292"/>
      <c r="Z706" s="300"/>
      <c r="AA706" s="301"/>
      <c r="AB706" s="80"/>
      <c r="AC706" s="292"/>
      <c r="AD706" s="132"/>
      <c r="AE706" s="254"/>
      <c r="AF706" s="294"/>
      <c r="AG706" s="292"/>
      <c r="AH706" s="302"/>
      <c r="AI706" s="302"/>
      <c r="AJ706" s="302"/>
      <c r="AK706" s="292"/>
      <c r="AL706" s="82"/>
      <c r="AM706" s="82"/>
      <c r="AN706" s="82"/>
      <c r="AO706" s="292"/>
      <c r="AP706" s="82"/>
      <c r="AQ706" s="82"/>
      <c r="AR706" s="82"/>
      <c r="AS706" s="292"/>
      <c r="AT706" s="82"/>
      <c r="AU706" s="82"/>
      <c r="AV706" s="82"/>
    </row>
    <row r="707">
      <c r="A707" s="292"/>
      <c r="B707" s="132"/>
      <c r="C707" s="121"/>
      <c r="D707" s="82"/>
      <c r="E707" s="292"/>
      <c r="F707" s="132"/>
      <c r="G707" s="121"/>
      <c r="H707" s="82"/>
      <c r="I707" s="292"/>
      <c r="J707" s="132"/>
      <c r="K707" s="121"/>
      <c r="L707" s="82"/>
      <c r="M707" s="292"/>
      <c r="N707" s="132"/>
      <c r="O707" s="121"/>
      <c r="P707" s="82"/>
      <c r="Q707" s="292"/>
      <c r="R707" s="132"/>
      <c r="S707" s="121"/>
      <c r="T707" s="82"/>
      <c r="U707" s="292"/>
      <c r="V707" s="132"/>
      <c r="W707" s="121"/>
      <c r="X707" s="82"/>
      <c r="Y707" s="292"/>
      <c r="Z707" s="300"/>
      <c r="AA707" s="301"/>
      <c r="AB707" s="80"/>
      <c r="AC707" s="292"/>
      <c r="AD707" s="132"/>
      <c r="AE707" s="254"/>
      <c r="AF707" s="294"/>
      <c r="AG707" s="292"/>
      <c r="AH707" s="302"/>
      <c r="AI707" s="302"/>
      <c r="AJ707" s="302"/>
      <c r="AK707" s="292"/>
      <c r="AL707" s="82"/>
      <c r="AM707" s="82"/>
      <c r="AN707" s="82"/>
      <c r="AO707" s="292"/>
      <c r="AP707" s="82"/>
      <c r="AQ707" s="82"/>
      <c r="AR707" s="82"/>
      <c r="AS707" s="292"/>
      <c r="AT707" s="82"/>
      <c r="AU707" s="82"/>
      <c r="AV707" s="82"/>
    </row>
    <row r="708">
      <c r="A708" s="292"/>
      <c r="B708" s="132"/>
      <c r="C708" s="121"/>
      <c r="D708" s="82"/>
      <c r="E708" s="292"/>
      <c r="F708" s="132"/>
      <c r="G708" s="121"/>
      <c r="H708" s="82"/>
      <c r="I708" s="292"/>
      <c r="J708" s="132"/>
      <c r="K708" s="121"/>
      <c r="L708" s="82"/>
      <c r="M708" s="292"/>
      <c r="N708" s="132"/>
      <c r="O708" s="121"/>
      <c r="P708" s="82"/>
      <c r="Q708" s="292"/>
      <c r="R708" s="132"/>
      <c r="S708" s="121"/>
      <c r="T708" s="82"/>
      <c r="U708" s="292"/>
      <c r="V708" s="132"/>
      <c r="W708" s="121"/>
      <c r="X708" s="82"/>
      <c r="Y708" s="292"/>
      <c r="Z708" s="300"/>
      <c r="AA708" s="301"/>
      <c r="AB708" s="80"/>
      <c r="AC708" s="292"/>
      <c r="AD708" s="132"/>
      <c r="AE708" s="254"/>
      <c r="AF708" s="294"/>
      <c r="AG708" s="292"/>
      <c r="AH708" s="302"/>
      <c r="AI708" s="302"/>
      <c r="AJ708" s="302"/>
      <c r="AK708" s="292"/>
      <c r="AL708" s="82"/>
      <c r="AM708" s="82"/>
      <c r="AN708" s="82"/>
      <c r="AO708" s="292"/>
      <c r="AP708" s="82"/>
      <c r="AQ708" s="82"/>
      <c r="AR708" s="82"/>
      <c r="AS708" s="292"/>
      <c r="AT708" s="82"/>
      <c r="AU708" s="82"/>
      <c r="AV708" s="82"/>
    </row>
    <row r="709">
      <c r="A709" s="292"/>
      <c r="B709" s="132"/>
      <c r="C709" s="121"/>
      <c r="D709" s="82"/>
      <c r="E709" s="292"/>
      <c r="F709" s="132"/>
      <c r="G709" s="121"/>
      <c r="H709" s="82"/>
      <c r="I709" s="292"/>
      <c r="J709" s="132"/>
      <c r="K709" s="121"/>
      <c r="L709" s="82"/>
      <c r="M709" s="292"/>
      <c r="N709" s="132"/>
      <c r="O709" s="121"/>
      <c r="P709" s="82"/>
      <c r="Q709" s="292"/>
      <c r="R709" s="132"/>
      <c r="S709" s="121"/>
      <c r="T709" s="82"/>
      <c r="U709" s="292"/>
      <c r="V709" s="132"/>
      <c r="W709" s="121"/>
      <c r="X709" s="82"/>
      <c r="Y709" s="292"/>
      <c r="Z709" s="300"/>
      <c r="AA709" s="301"/>
      <c r="AB709" s="80"/>
      <c r="AC709" s="292"/>
      <c r="AD709" s="132"/>
      <c r="AE709" s="254"/>
      <c r="AF709" s="294"/>
      <c r="AG709" s="292"/>
      <c r="AH709" s="302"/>
      <c r="AI709" s="302"/>
      <c r="AJ709" s="302"/>
      <c r="AK709" s="292"/>
      <c r="AL709" s="82"/>
      <c r="AM709" s="82"/>
      <c r="AN709" s="82"/>
      <c r="AO709" s="292"/>
      <c r="AP709" s="82"/>
      <c r="AQ709" s="82"/>
      <c r="AR709" s="82"/>
      <c r="AS709" s="292"/>
      <c r="AT709" s="82"/>
      <c r="AU709" s="82"/>
      <c r="AV709" s="82"/>
    </row>
    <row r="710">
      <c r="A710" s="292"/>
      <c r="B710" s="132"/>
      <c r="C710" s="121"/>
      <c r="D710" s="82"/>
      <c r="E710" s="292"/>
      <c r="F710" s="132"/>
      <c r="G710" s="121"/>
      <c r="H710" s="82"/>
      <c r="I710" s="292"/>
      <c r="J710" s="132"/>
      <c r="K710" s="121"/>
      <c r="L710" s="82"/>
      <c r="M710" s="292"/>
      <c r="N710" s="132"/>
      <c r="O710" s="121"/>
      <c r="P710" s="82"/>
      <c r="Q710" s="292"/>
      <c r="R710" s="132"/>
      <c r="S710" s="121"/>
      <c r="T710" s="82"/>
      <c r="U710" s="292"/>
      <c r="V710" s="132"/>
      <c r="W710" s="121"/>
      <c r="X710" s="82"/>
      <c r="Y710" s="292"/>
      <c r="Z710" s="300"/>
      <c r="AA710" s="301"/>
      <c r="AB710" s="80"/>
      <c r="AC710" s="292"/>
      <c r="AD710" s="132"/>
      <c r="AE710" s="254"/>
      <c r="AF710" s="294"/>
      <c r="AG710" s="292"/>
      <c r="AH710" s="302"/>
      <c r="AI710" s="302"/>
      <c r="AJ710" s="302"/>
      <c r="AK710" s="292"/>
      <c r="AL710" s="82"/>
      <c r="AM710" s="82"/>
      <c r="AN710" s="82"/>
      <c r="AO710" s="292"/>
      <c r="AP710" s="82"/>
      <c r="AQ710" s="82"/>
      <c r="AR710" s="82"/>
      <c r="AS710" s="292"/>
      <c r="AT710" s="82"/>
      <c r="AU710" s="82"/>
      <c r="AV710" s="82"/>
    </row>
    <row r="711">
      <c r="A711" s="292"/>
      <c r="B711" s="132"/>
      <c r="C711" s="121"/>
      <c r="D711" s="82"/>
      <c r="E711" s="292"/>
      <c r="F711" s="132"/>
      <c r="G711" s="121"/>
      <c r="H711" s="82"/>
      <c r="I711" s="292"/>
      <c r="J711" s="132"/>
      <c r="K711" s="121"/>
      <c r="L711" s="82"/>
      <c r="M711" s="292"/>
      <c r="N711" s="132"/>
      <c r="O711" s="121"/>
      <c r="P711" s="82"/>
      <c r="Q711" s="292"/>
      <c r="R711" s="132"/>
      <c r="S711" s="121"/>
      <c r="T711" s="82"/>
      <c r="U711" s="292"/>
      <c r="V711" s="132"/>
      <c r="W711" s="121"/>
      <c r="X711" s="82"/>
      <c r="Y711" s="292"/>
      <c r="Z711" s="300"/>
      <c r="AA711" s="301"/>
      <c r="AB711" s="80"/>
      <c r="AC711" s="292"/>
      <c r="AD711" s="132"/>
      <c r="AE711" s="254"/>
      <c r="AF711" s="294"/>
      <c r="AG711" s="292"/>
      <c r="AH711" s="302"/>
      <c r="AI711" s="302"/>
      <c r="AJ711" s="302"/>
      <c r="AK711" s="292"/>
      <c r="AL711" s="82"/>
      <c r="AM711" s="82"/>
      <c r="AN711" s="82"/>
      <c r="AO711" s="292"/>
      <c r="AP711" s="82"/>
      <c r="AQ711" s="82"/>
      <c r="AR711" s="82"/>
      <c r="AS711" s="292"/>
      <c r="AT711" s="82"/>
      <c r="AU711" s="82"/>
      <c r="AV711" s="82"/>
    </row>
    <row r="712">
      <c r="A712" s="292"/>
      <c r="B712" s="132"/>
      <c r="C712" s="121"/>
      <c r="D712" s="82"/>
      <c r="E712" s="292"/>
      <c r="F712" s="132"/>
      <c r="G712" s="121"/>
      <c r="H712" s="82"/>
      <c r="I712" s="292"/>
      <c r="J712" s="132"/>
      <c r="K712" s="121"/>
      <c r="L712" s="82"/>
      <c r="M712" s="292"/>
      <c r="N712" s="132"/>
      <c r="O712" s="121"/>
      <c r="P712" s="82"/>
      <c r="Q712" s="292"/>
      <c r="R712" s="132"/>
      <c r="S712" s="121"/>
      <c r="T712" s="82"/>
      <c r="U712" s="292"/>
      <c r="V712" s="132"/>
      <c r="W712" s="121"/>
      <c r="X712" s="82"/>
      <c r="Y712" s="292"/>
      <c r="Z712" s="300"/>
      <c r="AA712" s="301"/>
      <c r="AB712" s="80"/>
      <c r="AC712" s="292"/>
      <c r="AD712" s="132"/>
      <c r="AE712" s="254"/>
      <c r="AF712" s="294"/>
      <c r="AG712" s="292"/>
      <c r="AH712" s="302"/>
      <c r="AI712" s="302"/>
      <c r="AJ712" s="302"/>
      <c r="AK712" s="292"/>
      <c r="AL712" s="82"/>
      <c r="AM712" s="82"/>
      <c r="AN712" s="82"/>
      <c r="AO712" s="292"/>
      <c r="AP712" s="82"/>
      <c r="AQ712" s="82"/>
      <c r="AR712" s="82"/>
      <c r="AS712" s="292"/>
      <c r="AT712" s="82"/>
      <c r="AU712" s="82"/>
      <c r="AV712" s="82"/>
    </row>
    <row r="713">
      <c r="A713" s="292"/>
      <c r="B713" s="132"/>
      <c r="C713" s="121"/>
      <c r="D713" s="82"/>
      <c r="E713" s="292"/>
      <c r="F713" s="132"/>
      <c r="G713" s="121"/>
      <c r="H713" s="82"/>
      <c r="I713" s="292"/>
      <c r="J713" s="132"/>
      <c r="K713" s="121"/>
      <c r="L713" s="82"/>
      <c r="M713" s="292"/>
      <c r="N713" s="132"/>
      <c r="O713" s="121"/>
      <c r="P713" s="82"/>
      <c r="Q713" s="292"/>
      <c r="R713" s="132"/>
      <c r="S713" s="121"/>
      <c r="T713" s="82"/>
      <c r="U713" s="292"/>
      <c r="V713" s="132"/>
      <c r="W713" s="121"/>
      <c r="X713" s="82"/>
      <c r="Y713" s="292"/>
      <c r="Z713" s="300"/>
      <c r="AA713" s="301"/>
      <c r="AB713" s="80"/>
      <c r="AC713" s="292"/>
      <c r="AD713" s="132"/>
      <c r="AE713" s="254"/>
      <c r="AF713" s="294"/>
      <c r="AG713" s="292"/>
      <c r="AH713" s="302"/>
      <c r="AI713" s="302"/>
      <c r="AJ713" s="302"/>
      <c r="AK713" s="292"/>
      <c r="AL713" s="82"/>
      <c r="AM713" s="82"/>
      <c r="AN713" s="82"/>
      <c r="AO713" s="292"/>
      <c r="AP713" s="82"/>
      <c r="AQ713" s="82"/>
      <c r="AR713" s="82"/>
      <c r="AS713" s="292"/>
      <c r="AT713" s="82"/>
      <c r="AU713" s="82"/>
      <c r="AV713" s="82"/>
    </row>
    <row r="714">
      <c r="A714" s="292"/>
      <c r="B714" s="132"/>
      <c r="C714" s="121"/>
      <c r="D714" s="82"/>
      <c r="E714" s="292"/>
      <c r="F714" s="132"/>
      <c r="G714" s="121"/>
      <c r="H714" s="82"/>
      <c r="I714" s="292"/>
      <c r="J714" s="132"/>
      <c r="K714" s="121"/>
      <c r="L714" s="82"/>
      <c r="M714" s="292"/>
      <c r="N714" s="132"/>
      <c r="O714" s="121"/>
      <c r="P714" s="82"/>
      <c r="Q714" s="292"/>
      <c r="R714" s="132"/>
      <c r="S714" s="121"/>
      <c r="T714" s="82"/>
      <c r="U714" s="292"/>
      <c r="V714" s="132"/>
      <c r="W714" s="121"/>
      <c r="X714" s="82"/>
      <c r="Y714" s="292"/>
      <c r="Z714" s="300"/>
      <c r="AA714" s="301"/>
      <c r="AB714" s="80"/>
      <c r="AC714" s="292"/>
      <c r="AD714" s="132"/>
      <c r="AE714" s="254"/>
      <c r="AF714" s="294"/>
      <c r="AG714" s="292"/>
      <c r="AH714" s="302"/>
      <c r="AI714" s="302"/>
      <c r="AJ714" s="302"/>
      <c r="AK714" s="292"/>
      <c r="AL714" s="82"/>
      <c r="AM714" s="82"/>
      <c r="AN714" s="82"/>
      <c r="AO714" s="292"/>
      <c r="AP714" s="82"/>
      <c r="AQ714" s="82"/>
      <c r="AR714" s="82"/>
      <c r="AS714" s="292"/>
      <c r="AT714" s="82"/>
      <c r="AU714" s="82"/>
      <c r="AV714" s="82"/>
    </row>
    <row r="715">
      <c r="A715" s="292"/>
      <c r="B715" s="132"/>
      <c r="C715" s="121"/>
      <c r="D715" s="82"/>
      <c r="E715" s="292"/>
      <c r="F715" s="132"/>
      <c r="G715" s="121"/>
      <c r="H715" s="82"/>
      <c r="I715" s="292"/>
      <c r="J715" s="132"/>
      <c r="K715" s="121"/>
      <c r="L715" s="82"/>
      <c r="M715" s="292"/>
      <c r="N715" s="132"/>
      <c r="O715" s="121"/>
      <c r="P715" s="82"/>
      <c r="Q715" s="292"/>
      <c r="R715" s="132"/>
      <c r="S715" s="121"/>
      <c r="T715" s="82"/>
      <c r="U715" s="292"/>
      <c r="V715" s="132"/>
      <c r="W715" s="121"/>
      <c r="X715" s="82"/>
      <c r="Y715" s="292"/>
      <c r="Z715" s="300"/>
      <c r="AA715" s="301"/>
      <c r="AB715" s="80"/>
      <c r="AC715" s="292"/>
      <c r="AD715" s="132"/>
      <c r="AE715" s="254"/>
      <c r="AF715" s="294"/>
      <c r="AG715" s="292"/>
      <c r="AH715" s="302"/>
      <c r="AI715" s="302"/>
      <c r="AJ715" s="302"/>
      <c r="AK715" s="292"/>
      <c r="AL715" s="82"/>
      <c r="AM715" s="82"/>
      <c r="AN715" s="82"/>
      <c r="AO715" s="292"/>
      <c r="AP715" s="82"/>
      <c r="AQ715" s="82"/>
      <c r="AR715" s="82"/>
      <c r="AS715" s="292"/>
      <c r="AT715" s="82"/>
      <c r="AU715" s="82"/>
      <c r="AV715" s="82"/>
    </row>
    <row r="716">
      <c r="A716" s="292"/>
      <c r="B716" s="132"/>
      <c r="C716" s="121"/>
      <c r="D716" s="82"/>
      <c r="E716" s="292"/>
      <c r="F716" s="132"/>
      <c r="G716" s="121"/>
      <c r="H716" s="82"/>
      <c r="I716" s="292"/>
      <c r="J716" s="132"/>
      <c r="K716" s="121"/>
      <c r="L716" s="82"/>
      <c r="M716" s="292"/>
      <c r="N716" s="132"/>
      <c r="O716" s="121"/>
      <c r="P716" s="82"/>
      <c r="Q716" s="292"/>
      <c r="R716" s="132"/>
      <c r="S716" s="121"/>
      <c r="T716" s="82"/>
      <c r="U716" s="292"/>
      <c r="V716" s="132"/>
      <c r="W716" s="121"/>
      <c r="X716" s="82"/>
      <c r="Y716" s="292"/>
      <c r="Z716" s="300"/>
      <c r="AA716" s="301"/>
      <c r="AB716" s="80"/>
      <c r="AC716" s="292"/>
      <c r="AD716" s="132"/>
      <c r="AE716" s="254"/>
      <c r="AF716" s="294"/>
      <c r="AG716" s="292"/>
      <c r="AH716" s="302"/>
      <c r="AI716" s="302"/>
      <c r="AJ716" s="302"/>
      <c r="AK716" s="292"/>
      <c r="AL716" s="82"/>
      <c r="AM716" s="82"/>
      <c r="AN716" s="82"/>
      <c r="AO716" s="292"/>
      <c r="AP716" s="82"/>
      <c r="AQ716" s="82"/>
      <c r="AR716" s="82"/>
      <c r="AS716" s="292"/>
      <c r="AT716" s="82"/>
      <c r="AU716" s="82"/>
      <c r="AV716" s="82"/>
    </row>
    <row r="717">
      <c r="A717" s="292"/>
      <c r="B717" s="132"/>
      <c r="C717" s="121"/>
      <c r="D717" s="82"/>
      <c r="E717" s="292"/>
      <c r="F717" s="132"/>
      <c r="G717" s="121"/>
      <c r="H717" s="82"/>
      <c r="I717" s="292"/>
      <c r="J717" s="132"/>
      <c r="K717" s="121"/>
      <c r="L717" s="82"/>
      <c r="M717" s="292"/>
      <c r="N717" s="132"/>
      <c r="O717" s="121"/>
      <c r="P717" s="82"/>
      <c r="Q717" s="292"/>
      <c r="R717" s="132"/>
      <c r="S717" s="121"/>
      <c r="T717" s="82"/>
      <c r="U717" s="292"/>
      <c r="V717" s="132"/>
      <c r="W717" s="121"/>
      <c r="X717" s="82"/>
      <c r="Y717" s="292"/>
      <c r="Z717" s="300"/>
      <c r="AA717" s="301"/>
      <c r="AB717" s="80"/>
      <c r="AC717" s="292"/>
      <c r="AD717" s="132"/>
      <c r="AE717" s="254"/>
      <c r="AF717" s="294"/>
      <c r="AG717" s="292"/>
      <c r="AH717" s="302"/>
      <c r="AI717" s="302"/>
      <c r="AJ717" s="302"/>
      <c r="AK717" s="292"/>
      <c r="AL717" s="82"/>
      <c r="AM717" s="82"/>
      <c r="AN717" s="82"/>
      <c r="AO717" s="292"/>
      <c r="AP717" s="82"/>
      <c r="AQ717" s="82"/>
      <c r="AR717" s="82"/>
      <c r="AS717" s="292"/>
      <c r="AT717" s="82"/>
      <c r="AU717" s="82"/>
      <c r="AV717" s="82"/>
    </row>
    <row r="718">
      <c r="A718" s="292"/>
      <c r="B718" s="132"/>
      <c r="C718" s="121"/>
      <c r="D718" s="82"/>
      <c r="E718" s="292"/>
      <c r="F718" s="132"/>
      <c r="G718" s="121"/>
      <c r="H718" s="82"/>
      <c r="I718" s="292"/>
      <c r="J718" s="132"/>
      <c r="K718" s="121"/>
      <c r="L718" s="82"/>
      <c r="M718" s="292"/>
      <c r="N718" s="132"/>
      <c r="O718" s="121"/>
      <c r="P718" s="82"/>
      <c r="Q718" s="292"/>
      <c r="R718" s="132"/>
      <c r="S718" s="121"/>
      <c r="T718" s="82"/>
      <c r="U718" s="292"/>
      <c r="V718" s="132"/>
      <c r="W718" s="121"/>
      <c r="X718" s="82"/>
      <c r="Y718" s="292"/>
      <c r="Z718" s="300"/>
      <c r="AA718" s="301"/>
      <c r="AB718" s="80"/>
      <c r="AC718" s="292"/>
      <c r="AD718" s="132"/>
      <c r="AE718" s="254"/>
      <c r="AF718" s="294"/>
      <c r="AG718" s="292"/>
      <c r="AH718" s="302"/>
      <c r="AI718" s="302"/>
      <c r="AJ718" s="302"/>
      <c r="AK718" s="292"/>
      <c r="AL718" s="82"/>
      <c r="AM718" s="82"/>
      <c r="AN718" s="82"/>
      <c r="AO718" s="292"/>
      <c r="AP718" s="82"/>
      <c r="AQ718" s="82"/>
      <c r="AR718" s="82"/>
      <c r="AS718" s="292"/>
      <c r="AT718" s="82"/>
      <c r="AU718" s="82"/>
      <c r="AV718" s="82"/>
    </row>
    <row r="719">
      <c r="A719" s="292"/>
      <c r="B719" s="132"/>
      <c r="C719" s="121"/>
      <c r="D719" s="82"/>
      <c r="E719" s="292"/>
      <c r="F719" s="132"/>
      <c r="G719" s="121"/>
      <c r="H719" s="82"/>
      <c r="I719" s="292"/>
      <c r="J719" s="132"/>
      <c r="K719" s="121"/>
      <c r="L719" s="82"/>
      <c r="M719" s="292"/>
      <c r="N719" s="132"/>
      <c r="O719" s="121"/>
      <c r="P719" s="82"/>
      <c r="Q719" s="292"/>
      <c r="R719" s="132"/>
      <c r="S719" s="121"/>
      <c r="T719" s="82"/>
      <c r="U719" s="292"/>
      <c r="V719" s="132"/>
      <c r="W719" s="121"/>
      <c r="X719" s="82"/>
      <c r="Y719" s="292"/>
      <c r="Z719" s="300"/>
      <c r="AA719" s="301"/>
      <c r="AB719" s="80"/>
      <c r="AC719" s="292"/>
      <c r="AD719" s="132"/>
      <c r="AE719" s="254"/>
      <c r="AF719" s="294"/>
      <c r="AG719" s="292"/>
      <c r="AH719" s="302"/>
      <c r="AI719" s="302"/>
      <c r="AJ719" s="302"/>
      <c r="AK719" s="292"/>
      <c r="AL719" s="82"/>
      <c r="AM719" s="82"/>
      <c r="AN719" s="82"/>
      <c r="AO719" s="292"/>
      <c r="AP719" s="82"/>
      <c r="AQ719" s="82"/>
      <c r="AR719" s="82"/>
      <c r="AS719" s="292"/>
      <c r="AT719" s="82"/>
      <c r="AU719" s="82"/>
      <c r="AV719" s="82"/>
    </row>
    <row r="720">
      <c r="A720" s="292"/>
      <c r="B720" s="132"/>
      <c r="C720" s="121"/>
      <c r="D720" s="82"/>
      <c r="E720" s="292"/>
      <c r="F720" s="132"/>
      <c r="G720" s="121"/>
      <c r="H720" s="82"/>
      <c r="I720" s="292"/>
      <c r="J720" s="132"/>
      <c r="K720" s="121"/>
      <c r="L720" s="82"/>
      <c r="M720" s="292"/>
      <c r="N720" s="132"/>
      <c r="O720" s="121"/>
      <c r="P720" s="82"/>
      <c r="Q720" s="292"/>
      <c r="R720" s="132"/>
      <c r="S720" s="121"/>
      <c r="T720" s="82"/>
      <c r="U720" s="292"/>
      <c r="V720" s="132"/>
      <c r="W720" s="121"/>
      <c r="X720" s="82"/>
      <c r="Y720" s="292"/>
      <c r="Z720" s="300"/>
      <c r="AA720" s="301"/>
      <c r="AB720" s="80"/>
      <c r="AC720" s="292"/>
      <c r="AD720" s="132"/>
      <c r="AE720" s="254"/>
      <c r="AF720" s="294"/>
      <c r="AG720" s="292"/>
      <c r="AH720" s="302"/>
      <c r="AI720" s="302"/>
      <c r="AJ720" s="302"/>
      <c r="AK720" s="292"/>
      <c r="AL720" s="82"/>
      <c r="AM720" s="82"/>
      <c r="AN720" s="82"/>
      <c r="AO720" s="292"/>
      <c r="AP720" s="82"/>
      <c r="AQ720" s="82"/>
      <c r="AR720" s="82"/>
      <c r="AS720" s="292"/>
      <c r="AT720" s="82"/>
      <c r="AU720" s="82"/>
      <c r="AV720" s="82"/>
    </row>
    <row r="721">
      <c r="A721" s="292"/>
      <c r="B721" s="132"/>
      <c r="C721" s="121"/>
      <c r="D721" s="82"/>
      <c r="E721" s="292"/>
      <c r="F721" s="132"/>
      <c r="G721" s="121"/>
      <c r="H721" s="82"/>
      <c r="I721" s="292"/>
      <c r="J721" s="132"/>
      <c r="K721" s="121"/>
      <c r="L721" s="82"/>
      <c r="M721" s="292"/>
      <c r="N721" s="132"/>
      <c r="O721" s="121"/>
      <c r="P721" s="82"/>
      <c r="Q721" s="292"/>
      <c r="R721" s="132"/>
      <c r="S721" s="121"/>
      <c r="T721" s="82"/>
      <c r="U721" s="292"/>
      <c r="V721" s="132"/>
      <c r="W721" s="121"/>
      <c r="X721" s="82"/>
      <c r="Y721" s="292"/>
      <c r="Z721" s="300"/>
      <c r="AA721" s="301"/>
      <c r="AB721" s="80"/>
      <c r="AC721" s="292"/>
      <c r="AD721" s="132"/>
      <c r="AE721" s="254"/>
      <c r="AF721" s="294"/>
      <c r="AG721" s="292"/>
      <c r="AH721" s="302"/>
      <c r="AI721" s="302"/>
      <c r="AJ721" s="302"/>
      <c r="AK721" s="292"/>
      <c r="AL721" s="82"/>
      <c r="AM721" s="82"/>
      <c r="AN721" s="82"/>
      <c r="AO721" s="292"/>
      <c r="AP721" s="82"/>
      <c r="AQ721" s="82"/>
      <c r="AR721" s="82"/>
      <c r="AS721" s="292"/>
      <c r="AT721" s="82"/>
      <c r="AU721" s="82"/>
      <c r="AV721" s="82"/>
    </row>
    <row r="722">
      <c r="A722" s="292"/>
      <c r="B722" s="132"/>
      <c r="C722" s="121"/>
      <c r="D722" s="82"/>
      <c r="E722" s="292"/>
      <c r="F722" s="132"/>
      <c r="G722" s="121"/>
      <c r="H722" s="82"/>
      <c r="I722" s="292"/>
      <c r="J722" s="132"/>
      <c r="K722" s="121"/>
      <c r="L722" s="82"/>
      <c r="M722" s="292"/>
      <c r="N722" s="132"/>
      <c r="O722" s="121"/>
      <c r="P722" s="82"/>
      <c r="Q722" s="292"/>
      <c r="R722" s="132"/>
      <c r="S722" s="121"/>
      <c r="T722" s="82"/>
      <c r="U722" s="292"/>
      <c r="V722" s="132"/>
      <c r="W722" s="121"/>
      <c r="X722" s="82"/>
      <c r="Y722" s="292"/>
      <c r="Z722" s="300"/>
      <c r="AA722" s="301"/>
      <c r="AB722" s="80"/>
      <c r="AC722" s="292"/>
      <c r="AD722" s="132"/>
      <c r="AE722" s="254"/>
      <c r="AF722" s="294"/>
      <c r="AG722" s="292"/>
      <c r="AH722" s="302"/>
      <c r="AI722" s="302"/>
      <c r="AJ722" s="302"/>
      <c r="AK722" s="292"/>
      <c r="AL722" s="82"/>
      <c r="AM722" s="82"/>
      <c r="AN722" s="82"/>
      <c r="AO722" s="292"/>
      <c r="AP722" s="82"/>
      <c r="AQ722" s="82"/>
      <c r="AR722" s="82"/>
      <c r="AS722" s="292"/>
      <c r="AT722" s="82"/>
      <c r="AU722" s="82"/>
      <c r="AV722" s="82"/>
    </row>
    <row r="723">
      <c r="A723" s="292"/>
      <c r="B723" s="132"/>
      <c r="C723" s="121"/>
      <c r="D723" s="82"/>
      <c r="E723" s="292"/>
      <c r="F723" s="132"/>
      <c r="G723" s="121"/>
      <c r="H723" s="82"/>
      <c r="I723" s="292"/>
      <c r="J723" s="132"/>
      <c r="K723" s="121"/>
      <c r="L723" s="82"/>
      <c r="M723" s="292"/>
      <c r="N723" s="132"/>
      <c r="O723" s="121"/>
      <c r="P723" s="82"/>
      <c r="Q723" s="292"/>
      <c r="R723" s="132"/>
      <c r="S723" s="121"/>
      <c r="T723" s="82"/>
      <c r="U723" s="292"/>
      <c r="V723" s="132"/>
      <c r="W723" s="121"/>
      <c r="X723" s="82"/>
      <c r="Y723" s="292"/>
      <c r="Z723" s="300"/>
      <c r="AA723" s="301"/>
      <c r="AB723" s="80"/>
      <c r="AC723" s="292"/>
      <c r="AD723" s="132"/>
      <c r="AE723" s="254"/>
      <c r="AF723" s="294"/>
      <c r="AG723" s="292"/>
      <c r="AH723" s="302"/>
      <c r="AI723" s="302"/>
      <c r="AJ723" s="302"/>
      <c r="AK723" s="292"/>
      <c r="AL723" s="82"/>
      <c r="AM723" s="82"/>
      <c r="AN723" s="82"/>
      <c r="AO723" s="292"/>
      <c r="AP723" s="82"/>
      <c r="AQ723" s="82"/>
      <c r="AR723" s="82"/>
      <c r="AS723" s="292"/>
      <c r="AT723" s="82"/>
      <c r="AU723" s="82"/>
      <c r="AV723" s="82"/>
    </row>
    <row r="724">
      <c r="A724" s="292"/>
      <c r="B724" s="132"/>
      <c r="C724" s="121"/>
      <c r="D724" s="82"/>
      <c r="E724" s="292"/>
      <c r="F724" s="132"/>
      <c r="G724" s="121"/>
      <c r="H724" s="82"/>
      <c r="I724" s="292"/>
      <c r="J724" s="132"/>
      <c r="K724" s="121"/>
      <c r="L724" s="82"/>
      <c r="M724" s="292"/>
      <c r="N724" s="132"/>
      <c r="O724" s="121"/>
      <c r="P724" s="82"/>
      <c r="Q724" s="292"/>
      <c r="R724" s="132"/>
      <c r="S724" s="121"/>
      <c r="T724" s="82"/>
      <c r="U724" s="292"/>
      <c r="V724" s="132"/>
      <c r="W724" s="121"/>
      <c r="X724" s="82"/>
      <c r="Y724" s="292"/>
      <c r="Z724" s="300"/>
      <c r="AA724" s="301"/>
      <c r="AB724" s="80"/>
      <c r="AC724" s="292"/>
      <c r="AD724" s="132"/>
      <c r="AE724" s="254"/>
      <c r="AF724" s="294"/>
      <c r="AG724" s="292"/>
      <c r="AH724" s="302"/>
      <c r="AI724" s="302"/>
      <c r="AJ724" s="302"/>
      <c r="AK724" s="292"/>
      <c r="AL724" s="82"/>
      <c r="AM724" s="82"/>
      <c r="AN724" s="82"/>
      <c r="AO724" s="292"/>
      <c r="AP724" s="82"/>
      <c r="AQ724" s="82"/>
      <c r="AR724" s="82"/>
      <c r="AS724" s="292"/>
      <c r="AT724" s="82"/>
      <c r="AU724" s="82"/>
      <c r="AV724" s="82"/>
    </row>
    <row r="725">
      <c r="A725" s="292"/>
      <c r="B725" s="132"/>
      <c r="C725" s="121"/>
      <c r="D725" s="82"/>
      <c r="E725" s="292"/>
      <c r="F725" s="132"/>
      <c r="G725" s="121"/>
      <c r="H725" s="82"/>
      <c r="I725" s="292"/>
      <c r="J725" s="132"/>
      <c r="K725" s="121"/>
      <c r="L725" s="82"/>
      <c r="M725" s="292"/>
      <c r="N725" s="132"/>
      <c r="O725" s="121"/>
      <c r="P725" s="82"/>
      <c r="Q725" s="292"/>
      <c r="R725" s="132"/>
      <c r="S725" s="121"/>
      <c r="T725" s="82"/>
      <c r="U725" s="292"/>
      <c r="V725" s="132"/>
      <c r="W725" s="121"/>
      <c r="X725" s="82"/>
      <c r="Y725" s="292"/>
      <c r="Z725" s="300"/>
      <c r="AA725" s="301"/>
      <c r="AB725" s="80"/>
      <c r="AC725" s="292"/>
      <c r="AD725" s="132"/>
      <c r="AE725" s="254"/>
      <c r="AF725" s="294"/>
      <c r="AG725" s="292"/>
      <c r="AH725" s="302"/>
      <c r="AI725" s="302"/>
      <c r="AJ725" s="302"/>
      <c r="AK725" s="292"/>
      <c r="AL725" s="82"/>
      <c r="AM725" s="82"/>
      <c r="AN725" s="82"/>
      <c r="AO725" s="292"/>
      <c r="AP725" s="82"/>
      <c r="AQ725" s="82"/>
      <c r="AR725" s="82"/>
      <c r="AS725" s="292"/>
      <c r="AT725" s="82"/>
      <c r="AU725" s="82"/>
      <c r="AV725" s="82"/>
    </row>
    <row r="726">
      <c r="A726" s="292"/>
      <c r="B726" s="132"/>
      <c r="C726" s="121"/>
      <c r="D726" s="82"/>
      <c r="E726" s="292"/>
      <c r="F726" s="132"/>
      <c r="G726" s="121"/>
      <c r="H726" s="82"/>
      <c r="I726" s="292"/>
      <c r="J726" s="132"/>
      <c r="K726" s="121"/>
      <c r="L726" s="82"/>
      <c r="M726" s="292"/>
      <c r="N726" s="132"/>
      <c r="O726" s="121"/>
      <c r="P726" s="82"/>
      <c r="Q726" s="292"/>
      <c r="R726" s="132"/>
      <c r="S726" s="121"/>
      <c r="T726" s="82"/>
      <c r="U726" s="292"/>
      <c r="V726" s="132"/>
      <c r="W726" s="121"/>
      <c r="X726" s="82"/>
      <c r="Y726" s="292"/>
      <c r="Z726" s="300"/>
      <c r="AA726" s="301"/>
      <c r="AB726" s="80"/>
      <c r="AC726" s="292"/>
      <c r="AD726" s="132"/>
      <c r="AE726" s="254"/>
      <c r="AF726" s="294"/>
      <c r="AG726" s="292"/>
      <c r="AH726" s="302"/>
      <c r="AI726" s="302"/>
      <c r="AJ726" s="302"/>
      <c r="AK726" s="292"/>
      <c r="AL726" s="82"/>
      <c r="AM726" s="82"/>
      <c r="AN726" s="82"/>
      <c r="AO726" s="292"/>
      <c r="AP726" s="82"/>
      <c r="AQ726" s="82"/>
      <c r="AR726" s="82"/>
      <c r="AS726" s="292"/>
      <c r="AT726" s="82"/>
      <c r="AU726" s="82"/>
      <c r="AV726" s="82"/>
    </row>
    <row r="727">
      <c r="A727" s="292"/>
      <c r="B727" s="132"/>
      <c r="C727" s="121"/>
      <c r="D727" s="82"/>
      <c r="E727" s="292"/>
      <c r="F727" s="132"/>
      <c r="G727" s="121"/>
      <c r="H727" s="82"/>
      <c r="I727" s="292"/>
      <c r="J727" s="132"/>
      <c r="K727" s="121"/>
      <c r="L727" s="82"/>
      <c r="M727" s="292"/>
      <c r="N727" s="132"/>
      <c r="O727" s="121"/>
      <c r="P727" s="82"/>
      <c r="Q727" s="292"/>
      <c r="R727" s="132"/>
      <c r="S727" s="121"/>
      <c r="T727" s="82"/>
      <c r="U727" s="292"/>
      <c r="V727" s="132"/>
      <c r="W727" s="121"/>
      <c r="X727" s="82"/>
      <c r="Y727" s="292"/>
      <c r="Z727" s="300"/>
      <c r="AA727" s="301"/>
      <c r="AB727" s="80"/>
      <c r="AC727" s="292"/>
      <c r="AD727" s="132"/>
      <c r="AE727" s="254"/>
      <c r="AF727" s="294"/>
      <c r="AG727" s="292"/>
      <c r="AH727" s="302"/>
      <c r="AI727" s="302"/>
      <c r="AJ727" s="302"/>
      <c r="AK727" s="292"/>
      <c r="AL727" s="82"/>
      <c r="AM727" s="82"/>
      <c r="AN727" s="82"/>
      <c r="AO727" s="292"/>
      <c r="AP727" s="82"/>
      <c r="AQ727" s="82"/>
      <c r="AR727" s="82"/>
      <c r="AS727" s="292"/>
      <c r="AT727" s="82"/>
      <c r="AU727" s="82"/>
      <c r="AV727" s="82"/>
    </row>
    <row r="728">
      <c r="A728" s="292"/>
      <c r="B728" s="132"/>
      <c r="C728" s="121"/>
      <c r="D728" s="82"/>
      <c r="E728" s="292"/>
      <c r="F728" s="132"/>
      <c r="G728" s="121"/>
      <c r="H728" s="82"/>
      <c r="I728" s="292"/>
      <c r="J728" s="132"/>
      <c r="K728" s="121"/>
      <c r="L728" s="82"/>
      <c r="M728" s="292"/>
      <c r="N728" s="132"/>
      <c r="O728" s="121"/>
      <c r="P728" s="82"/>
      <c r="Q728" s="292"/>
      <c r="R728" s="132"/>
      <c r="S728" s="121"/>
      <c r="T728" s="82"/>
      <c r="U728" s="292"/>
      <c r="V728" s="132"/>
      <c r="W728" s="121"/>
      <c r="X728" s="82"/>
      <c r="Y728" s="292"/>
      <c r="Z728" s="300"/>
      <c r="AA728" s="301"/>
      <c r="AB728" s="80"/>
      <c r="AC728" s="292"/>
      <c r="AD728" s="132"/>
      <c r="AE728" s="254"/>
      <c r="AF728" s="294"/>
      <c r="AG728" s="292"/>
      <c r="AH728" s="302"/>
      <c r="AI728" s="302"/>
      <c r="AJ728" s="302"/>
      <c r="AK728" s="292"/>
      <c r="AL728" s="82"/>
      <c r="AM728" s="82"/>
      <c r="AN728" s="82"/>
      <c r="AO728" s="292"/>
      <c r="AP728" s="82"/>
      <c r="AQ728" s="82"/>
      <c r="AR728" s="82"/>
      <c r="AS728" s="292"/>
      <c r="AT728" s="82"/>
      <c r="AU728" s="82"/>
      <c r="AV728" s="82"/>
    </row>
    <row r="729">
      <c r="A729" s="292"/>
      <c r="B729" s="132"/>
      <c r="C729" s="121"/>
      <c r="D729" s="82"/>
      <c r="E729" s="292"/>
      <c r="F729" s="132"/>
      <c r="G729" s="121"/>
      <c r="H729" s="82"/>
      <c r="I729" s="292"/>
      <c r="J729" s="132"/>
      <c r="K729" s="121"/>
      <c r="L729" s="82"/>
      <c r="M729" s="292"/>
      <c r="N729" s="132"/>
      <c r="O729" s="121"/>
      <c r="P729" s="82"/>
      <c r="Q729" s="292"/>
      <c r="R729" s="132"/>
      <c r="S729" s="121"/>
      <c r="T729" s="82"/>
      <c r="U729" s="292"/>
      <c r="V729" s="132"/>
      <c r="W729" s="121"/>
      <c r="X729" s="82"/>
      <c r="Y729" s="292"/>
      <c r="Z729" s="300"/>
      <c r="AA729" s="301"/>
      <c r="AB729" s="80"/>
      <c r="AC729" s="292"/>
      <c r="AD729" s="132"/>
      <c r="AE729" s="254"/>
      <c r="AF729" s="294"/>
      <c r="AG729" s="292"/>
      <c r="AH729" s="302"/>
      <c r="AI729" s="302"/>
      <c r="AJ729" s="302"/>
      <c r="AK729" s="292"/>
      <c r="AL729" s="82"/>
      <c r="AM729" s="82"/>
      <c r="AN729" s="82"/>
      <c r="AO729" s="292"/>
      <c r="AP729" s="82"/>
      <c r="AQ729" s="82"/>
      <c r="AR729" s="82"/>
      <c r="AS729" s="292"/>
      <c r="AT729" s="82"/>
      <c r="AU729" s="82"/>
      <c r="AV729" s="82"/>
    </row>
    <row r="730">
      <c r="A730" s="292"/>
      <c r="B730" s="132"/>
      <c r="C730" s="121"/>
      <c r="D730" s="82"/>
      <c r="E730" s="292"/>
      <c r="F730" s="132"/>
      <c r="G730" s="121"/>
      <c r="H730" s="82"/>
      <c r="I730" s="292"/>
      <c r="J730" s="132"/>
      <c r="K730" s="121"/>
      <c r="L730" s="82"/>
      <c r="M730" s="292"/>
      <c r="N730" s="132"/>
      <c r="O730" s="121"/>
      <c r="P730" s="82"/>
      <c r="Q730" s="292"/>
      <c r="R730" s="132"/>
      <c r="S730" s="121"/>
      <c r="T730" s="82"/>
      <c r="U730" s="292"/>
      <c r="V730" s="132"/>
      <c r="W730" s="121"/>
      <c r="X730" s="82"/>
      <c r="Y730" s="292"/>
      <c r="Z730" s="300"/>
      <c r="AA730" s="301"/>
      <c r="AB730" s="80"/>
      <c r="AC730" s="292"/>
      <c r="AD730" s="132"/>
      <c r="AE730" s="254"/>
      <c r="AF730" s="294"/>
      <c r="AG730" s="292"/>
      <c r="AH730" s="302"/>
      <c r="AI730" s="302"/>
      <c r="AJ730" s="302"/>
      <c r="AK730" s="292"/>
      <c r="AL730" s="82"/>
      <c r="AM730" s="82"/>
      <c r="AN730" s="82"/>
      <c r="AO730" s="292"/>
      <c r="AP730" s="82"/>
      <c r="AQ730" s="82"/>
      <c r="AR730" s="82"/>
      <c r="AS730" s="292"/>
      <c r="AT730" s="82"/>
      <c r="AU730" s="82"/>
      <c r="AV730" s="82"/>
    </row>
    <row r="731">
      <c r="A731" s="292"/>
      <c r="B731" s="132"/>
      <c r="C731" s="121"/>
      <c r="D731" s="82"/>
      <c r="E731" s="292"/>
      <c r="F731" s="132"/>
      <c r="G731" s="121"/>
      <c r="H731" s="82"/>
      <c r="I731" s="292"/>
      <c r="J731" s="132"/>
      <c r="K731" s="121"/>
      <c r="L731" s="82"/>
      <c r="M731" s="292"/>
      <c r="N731" s="132"/>
      <c r="O731" s="121"/>
      <c r="P731" s="82"/>
      <c r="Q731" s="292"/>
      <c r="R731" s="132"/>
      <c r="S731" s="121"/>
      <c r="T731" s="82"/>
      <c r="U731" s="292"/>
      <c r="V731" s="132"/>
      <c r="W731" s="121"/>
      <c r="X731" s="82"/>
      <c r="Y731" s="292"/>
      <c r="Z731" s="300"/>
      <c r="AA731" s="301"/>
      <c r="AB731" s="80"/>
      <c r="AC731" s="292"/>
      <c r="AD731" s="132"/>
      <c r="AE731" s="254"/>
      <c r="AF731" s="294"/>
      <c r="AG731" s="292"/>
      <c r="AH731" s="302"/>
      <c r="AI731" s="302"/>
      <c r="AJ731" s="302"/>
      <c r="AK731" s="292"/>
      <c r="AL731" s="82"/>
      <c r="AM731" s="82"/>
      <c r="AN731" s="82"/>
      <c r="AO731" s="292"/>
      <c r="AP731" s="82"/>
      <c r="AQ731" s="82"/>
      <c r="AR731" s="82"/>
      <c r="AS731" s="292"/>
      <c r="AT731" s="82"/>
      <c r="AU731" s="82"/>
      <c r="AV731" s="82"/>
    </row>
    <row r="732">
      <c r="A732" s="292"/>
      <c r="B732" s="132"/>
      <c r="C732" s="121"/>
      <c r="D732" s="82"/>
      <c r="E732" s="292"/>
      <c r="F732" s="132"/>
      <c r="G732" s="121"/>
      <c r="H732" s="82"/>
      <c r="I732" s="292"/>
      <c r="J732" s="132"/>
      <c r="K732" s="121"/>
      <c r="L732" s="82"/>
      <c r="M732" s="292"/>
      <c r="N732" s="132"/>
      <c r="O732" s="121"/>
      <c r="P732" s="82"/>
      <c r="Q732" s="292"/>
      <c r="R732" s="132"/>
      <c r="S732" s="121"/>
      <c r="T732" s="82"/>
      <c r="U732" s="292"/>
      <c r="V732" s="132"/>
      <c r="W732" s="121"/>
      <c r="X732" s="82"/>
      <c r="Y732" s="292"/>
      <c r="Z732" s="300"/>
      <c r="AA732" s="301"/>
      <c r="AB732" s="80"/>
      <c r="AC732" s="292"/>
      <c r="AD732" s="132"/>
      <c r="AE732" s="254"/>
      <c r="AF732" s="294"/>
      <c r="AG732" s="292"/>
      <c r="AH732" s="302"/>
      <c r="AI732" s="302"/>
      <c r="AJ732" s="302"/>
      <c r="AK732" s="292"/>
      <c r="AL732" s="82"/>
      <c r="AM732" s="82"/>
      <c r="AN732" s="82"/>
      <c r="AO732" s="292"/>
      <c r="AP732" s="82"/>
      <c r="AQ732" s="82"/>
      <c r="AR732" s="82"/>
      <c r="AS732" s="292"/>
      <c r="AT732" s="82"/>
      <c r="AU732" s="82"/>
      <c r="AV732" s="82"/>
    </row>
    <row r="733">
      <c r="A733" s="292"/>
      <c r="B733" s="132"/>
      <c r="C733" s="121"/>
      <c r="D733" s="82"/>
      <c r="E733" s="292"/>
      <c r="F733" s="132"/>
      <c r="G733" s="121"/>
      <c r="H733" s="82"/>
      <c r="I733" s="292"/>
      <c r="J733" s="132"/>
      <c r="K733" s="121"/>
      <c r="L733" s="82"/>
      <c r="M733" s="292"/>
      <c r="N733" s="132"/>
      <c r="O733" s="121"/>
      <c r="P733" s="82"/>
      <c r="Q733" s="292"/>
      <c r="R733" s="132"/>
      <c r="S733" s="121"/>
      <c r="T733" s="82"/>
      <c r="U733" s="292"/>
      <c r="V733" s="132"/>
      <c r="W733" s="121"/>
      <c r="X733" s="82"/>
      <c r="Y733" s="292"/>
      <c r="Z733" s="300"/>
      <c r="AA733" s="301"/>
      <c r="AB733" s="80"/>
      <c r="AC733" s="292"/>
      <c r="AD733" s="132"/>
      <c r="AE733" s="254"/>
      <c r="AF733" s="294"/>
      <c r="AG733" s="292"/>
      <c r="AH733" s="302"/>
      <c r="AI733" s="302"/>
      <c r="AJ733" s="302"/>
      <c r="AK733" s="292"/>
      <c r="AL733" s="82"/>
      <c r="AM733" s="82"/>
      <c r="AN733" s="82"/>
      <c r="AO733" s="292"/>
      <c r="AP733" s="82"/>
      <c r="AQ733" s="82"/>
      <c r="AR733" s="82"/>
      <c r="AS733" s="292"/>
      <c r="AT733" s="82"/>
      <c r="AU733" s="82"/>
      <c r="AV733" s="82"/>
    </row>
    <row r="734">
      <c r="A734" s="292"/>
      <c r="B734" s="132"/>
      <c r="C734" s="121"/>
      <c r="D734" s="82"/>
      <c r="E734" s="292"/>
      <c r="F734" s="132"/>
      <c r="G734" s="121"/>
      <c r="H734" s="82"/>
      <c r="I734" s="292"/>
      <c r="J734" s="132"/>
      <c r="K734" s="121"/>
      <c r="L734" s="82"/>
      <c r="M734" s="292"/>
      <c r="N734" s="132"/>
      <c r="O734" s="121"/>
      <c r="P734" s="82"/>
      <c r="Q734" s="292"/>
      <c r="R734" s="132"/>
      <c r="S734" s="121"/>
      <c r="T734" s="82"/>
      <c r="U734" s="292"/>
      <c r="V734" s="132"/>
      <c r="W734" s="121"/>
      <c r="X734" s="82"/>
      <c r="Y734" s="292"/>
      <c r="Z734" s="300"/>
      <c r="AA734" s="301"/>
      <c r="AB734" s="80"/>
      <c r="AC734" s="292"/>
      <c r="AD734" s="132"/>
      <c r="AE734" s="254"/>
      <c r="AF734" s="294"/>
      <c r="AG734" s="292"/>
      <c r="AH734" s="302"/>
      <c r="AI734" s="302"/>
      <c r="AJ734" s="302"/>
      <c r="AK734" s="292"/>
      <c r="AL734" s="82"/>
      <c r="AM734" s="82"/>
      <c r="AN734" s="82"/>
      <c r="AO734" s="292"/>
      <c r="AP734" s="82"/>
      <c r="AQ734" s="82"/>
      <c r="AR734" s="82"/>
      <c r="AS734" s="292"/>
      <c r="AT734" s="82"/>
      <c r="AU734" s="82"/>
      <c r="AV734" s="82"/>
    </row>
    <row r="735">
      <c r="A735" s="292"/>
      <c r="B735" s="132"/>
      <c r="C735" s="121"/>
      <c r="D735" s="82"/>
      <c r="E735" s="292"/>
      <c r="F735" s="132"/>
      <c r="G735" s="121"/>
      <c r="H735" s="82"/>
      <c r="I735" s="292"/>
      <c r="J735" s="132"/>
      <c r="K735" s="121"/>
      <c r="L735" s="82"/>
      <c r="M735" s="292"/>
      <c r="N735" s="132"/>
      <c r="O735" s="121"/>
      <c r="P735" s="82"/>
      <c r="Q735" s="292"/>
      <c r="R735" s="132"/>
      <c r="S735" s="121"/>
      <c r="T735" s="82"/>
      <c r="U735" s="292"/>
      <c r="V735" s="132"/>
      <c r="W735" s="121"/>
      <c r="X735" s="82"/>
      <c r="Y735" s="292"/>
      <c r="Z735" s="300"/>
      <c r="AA735" s="301"/>
      <c r="AB735" s="80"/>
      <c r="AC735" s="292"/>
      <c r="AD735" s="132"/>
      <c r="AE735" s="254"/>
      <c r="AF735" s="294"/>
      <c r="AG735" s="292"/>
      <c r="AH735" s="302"/>
      <c r="AI735" s="302"/>
      <c r="AJ735" s="302"/>
      <c r="AK735" s="292"/>
      <c r="AL735" s="82"/>
      <c r="AM735" s="82"/>
      <c r="AN735" s="82"/>
      <c r="AO735" s="292"/>
      <c r="AP735" s="82"/>
      <c r="AQ735" s="82"/>
      <c r="AR735" s="82"/>
      <c r="AS735" s="292"/>
      <c r="AT735" s="82"/>
      <c r="AU735" s="82"/>
      <c r="AV735" s="82"/>
    </row>
    <row r="736">
      <c r="A736" s="292"/>
      <c r="B736" s="132"/>
      <c r="C736" s="121"/>
      <c r="D736" s="82"/>
      <c r="E736" s="292"/>
      <c r="F736" s="132"/>
      <c r="G736" s="121"/>
      <c r="H736" s="82"/>
      <c r="I736" s="292"/>
      <c r="J736" s="132"/>
      <c r="K736" s="121"/>
      <c r="L736" s="82"/>
      <c r="M736" s="292"/>
      <c r="N736" s="132"/>
      <c r="O736" s="121"/>
      <c r="P736" s="82"/>
      <c r="Q736" s="292"/>
      <c r="R736" s="132"/>
      <c r="S736" s="121"/>
      <c r="T736" s="82"/>
      <c r="U736" s="292"/>
      <c r="V736" s="132"/>
      <c r="W736" s="121"/>
      <c r="X736" s="82"/>
      <c r="Y736" s="292"/>
      <c r="Z736" s="300"/>
      <c r="AA736" s="301"/>
      <c r="AB736" s="80"/>
      <c r="AC736" s="292"/>
      <c r="AD736" s="132"/>
      <c r="AE736" s="254"/>
      <c r="AF736" s="294"/>
      <c r="AG736" s="292"/>
      <c r="AH736" s="302"/>
      <c r="AI736" s="302"/>
      <c r="AJ736" s="302"/>
      <c r="AK736" s="292"/>
      <c r="AL736" s="82"/>
      <c r="AM736" s="82"/>
      <c r="AN736" s="82"/>
      <c r="AO736" s="292"/>
      <c r="AP736" s="82"/>
      <c r="AQ736" s="82"/>
      <c r="AR736" s="82"/>
      <c r="AS736" s="292"/>
      <c r="AT736" s="82"/>
      <c r="AU736" s="82"/>
      <c r="AV736" s="82"/>
    </row>
    <row r="737">
      <c r="A737" s="292"/>
      <c r="B737" s="132"/>
      <c r="C737" s="121"/>
      <c r="D737" s="82"/>
      <c r="E737" s="292"/>
      <c r="F737" s="132"/>
      <c r="G737" s="121"/>
      <c r="H737" s="82"/>
      <c r="I737" s="292"/>
      <c r="J737" s="132"/>
      <c r="K737" s="121"/>
      <c r="L737" s="82"/>
      <c r="M737" s="292"/>
      <c r="N737" s="132"/>
      <c r="O737" s="121"/>
      <c r="P737" s="82"/>
      <c r="Q737" s="292"/>
      <c r="R737" s="132"/>
      <c r="S737" s="121"/>
      <c r="T737" s="82"/>
      <c r="U737" s="292"/>
      <c r="V737" s="132"/>
      <c r="W737" s="121"/>
      <c r="X737" s="82"/>
      <c r="Y737" s="292"/>
      <c r="Z737" s="300"/>
      <c r="AA737" s="301"/>
      <c r="AB737" s="80"/>
      <c r="AC737" s="292"/>
      <c r="AD737" s="132"/>
      <c r="AE737" s="254"/>
      <c r="AF737" s="294"/>
      <c r="AG737" s="292"/>
      <c r="AH737" s="302"/>
      <c r="AI737" s="302"/>
      <c r="AJ737" s="302"/>
      <c r="AK737" s="292"/>
      <c r="AL737" s="82"/>
      <c r="AM737" s="82"/>
      <c r="AN737" s="82"/>
      <c r="AO737" s="292"/>
      <c r="AP737" s="82"/>
      <c r="AQ737" s="82"/>
      <c r="AR737" s="82"/>
      <c r="AS737" s="292"/>
      <c r="AT737" s="82"/>
      <c r="AU737" s="82"/>
      <c r="AV737" s="82"/>
    </row>
    <row r="738">
      <c r="A738" s="292"/>
      <c r="B738" s="132"/>
      <c r="C738" s="121"/>
      <c r="D738" s="82"/>
      <c r="E738" s="292"/>
      <c r="F738" s="132"/>
      <c r="G738" s="121"/>
      <c r="H738" s="82"/>
      <c r="I738" s="292"/>
      <c r="J738" s="132"/>
      <c r="K738" s="121"/>
      <c r="L738" s="82"/>
      <c r="M738" s="292"/>
      <c r="N738" s="132"/>
      <c r="O738" s="121"/>
      <c r="P738" s="82"/>
      <c r="Q738" s="292"/>
      <c r="R738" s="132"/>
      <c r="S738" s="121"/>
      <c r="T738" s="82"/>
      <c r="U738" s="292"/>
      <c r="V738" s="132"/>
      <c r="W738" s="121"/>
      <c r="X738" s="82"/>
      <c r="Y738" s="292"/>
      <c r="Z738" s="300"/>
      <c r="AA738" s="301"/>
      <c r="AB738" s="80"/>
      <c r="AC738" s="292"/>
      <c r="AD738" s="132"/>
      <c r="AE738" s="254"/>
      <c r="AF738" s="294"/>
      <c r="AG738" s="292"/>
      <c r="AH738" s="302"/>
      <c r="AI738" s="302"/>
      <c r="AJ738" s="302"/>
      <c r="AK738" s="292"/>
      <c r="AL738" s="82"/>
      <c r="AM738" s="82"/>
      <c r="AN738" s="82"/>
      <c r="AO738" s="292"/>
      <c r="AP738" s="82"/>
      <c r="AQ738" s="82"/>
      <c r="AR738" s="82"/>
      <c r="AS738" s="292"/>
      <c r="AT738" s="82"/>
      <c r="AU738" s="82"/>
      <c r="AV738" s="82"/>
    </row>
    <row r="739">
      <c r="A739" s="292"/>
      <c r="B739" s="132"/>
      <c r="C739" s="121"/>
      <c r="D739" s="82"/>
      <c r="E739" s="292"/>
      <c r="F739" s="132"/>
      <c r="G739" s="121"/>
      <c r="H739" s="82"/>
      <c r="I739" s="292"/>
      <c r="J739" s="132"/>
      <c r="K739" s="121"/>
      <c r="L739" s="82"/>
      <c r="M739" s="292"/>
      <c r="N739" s="132"/>
      <c r="O739" s="121"/>
      <c r="P739" s="82"/>
      <c r="Q739" s="292"/>
      <c r="R739" s="132"/>
      <c r="S739" s="121"/>
      <c r="T739" s="82"/>
      <c r="U739" s="292"/>
      <c r="V739" s="132"/>
      <c r="W739" s="121"/>
      <c r="X739" s="82"/>
      <c r="Y739" s="292"/>
      <c r="Z739" s="300"/>
      <c r="AA739" s="301"/>
      <c r="AB739" s="80"/>
      <c r="AC739" s="292"/>
      <c r="AD739" s="132"/>
      <c r="AE739" s="254"/>
      <c r="AF739" s="294"/>
      <c r="AG739" s="292"/>
      <c r="AH739" s="302"/>
      <c r="AI739" s="302"/>
      <c r="AJ739" s="302"/>
      <c r="AK739" s="292"/>
      <c r="AL739" s="82"/>
      <c r="AM739" s="82"/>
      <c r="AN739" s="82"/>
      <c r="AO739" s="292"/>
      <c r="AP739" s="82"/>
      <c r="AQ739" s="82"/>
      <c r="AR739" s="82"/>
      <c r="AS739" s="292"/>
      <c r="AT739" s="82"/>
      <c r="AU739" s="82"/>
      <c r="AV739" s="82"/>
    </row>
    <row r="740">
      <c r="A740" s="292"/>
      <c r="B740" s="132"/>
      <c r="C740" s="121"/>
      <c r="D740" s="82"/>
      <c r="E740" s="292"/>
      <c r="F740" s="132"/>
      <c r="G740" s="121"/>
      <c r="H740" s="82"/>
      <c r="I740" s="292"/>
      <c r="J740" s="132"/>
      <c r="K740" s="121"/>
      <c r="L740" s="82"/>
      <c r="M740" s="292"/>
      <c r="N740" s="132"/>
      <c r="O740" s="121"/>
      <c r="P740" s="82"/>
      <c r="Q740" s="292"/>
      <c r="R740" s="132"/>
      <c r="S740" s="121"/>
      <c r="T740" s="82"/>
      <c r="U740" s="292"/>
      <c r="V740" s="132"/>
      <c r="W740" s="121"/>
      <c r="X740" s="82"/>
      <c r="Y740" s="292"/>
      <c r="Z740" s="300"/>
      <c r="AA740" s="301"/>
      <c r="AB740" s="80"/>
      <c r="AC740" s="292"/>
      <c r="AD740" s="132"/>
      <c r="AE740" s="254"/>
      <c r="AF740" s="294"/>
      <c r="AG740" s="292"/>
      <c r="AH740" s="302"/>
      <c r="AI740" s="302"/>
      <c r="AJ740" s="302"/>
      <c r="AK740" s="292"/>
      <c r="AL740" s="82"/>
      <c r="AM740" s="82"/>
      <c r="AN740" s="82"/>
      <c r="AO740" s="292"/>
      <c r="AP740" s="82"/>
      <c r="AQ740" s="82"/>
      <c r="AR740" s="82"/>
      <c r="AS740" s="292"/>
      <c r="AT740" s="82"/>
      <c r="AU740" s="82"/>
      <c r="AV740" s="82"/>
    </row>
    <row r="741">
      <c r="A741" s="292"/>
      <c r="B741" s="132"/>
      <c r="C741" s="121"/>
      <c r="D741" s="82"/>
      <c r="E741" s="292"/>
      <c r="F741" s="132"/>
      <c r="G741" s="121"/>
      <c r="H741" s="82"/>
      <c r="I741" s="292"/>
      <c r="J741" s="132"/>
      <c r="K741" s="121"/>
      <c r="L741" s="82"/>
      <c r="M741" s="292"/>
      <c r="N741" s="132"/>
      <c r="O741" s="121"/>
      <c r="P741" s="82"/>
      <c r="Q741" s="292"/>
      <c r="R741" s="132"/>
      <c r="S741" s="121"/>
      <c r="T741" s="82"/>
      <c r="U741" s="292"/>
      <c r="V741" s="132"/>
      <c r="W741" s="121"/>
      <c r="X741" s="82"/>
      <c r="Y741" s="292"/>
      <c r="Z741" s="300"/>
      <c r="AA741" s="301"/>
      <c r="AB741" s="80"/>
      <c r="AC741" s="292"/>
      <c r="AD741" s="132"/>
      <c r="AE741" s="254"/>
      <c r="AF741" s="294"/>
      <c r="AG741" s="292"/>
      <c r="AH741" s="302"/>
      <c r="AI741" s="302"/>
      <c r="AJ741" s="302"/>
      <c r="AK741" s="292"/>
      <c r="AL741" s="82"/>
      <c r="AM741" s="82"/>
      <c r="AN741" s="82"/>
      <c r="AO741" s="292"/>
      <c r="AP741" s="82"/>
      <c r="AQ741" s="82"/>
      <c r="AR741" s="82"/>
      <c r="AS741" s="292"/>
      <c r="AT741" s="82"/>
      <c r="AU741" s="82"/>
      <c r="AV741" s="82"/>
    </row>
    <row r="742">
      <c r="A742" s="292"/>
      <c r="B742" s="132"/>
      <c r="C742" s="121"/>
      <c r="D742" s="82"/>
      <c r="E742" s="292"/>
      <c r="F742" s="132"/>
      <c r="G742" s="121"/>
      <c r="H742" s="82"/>
      <c r="I742" s="292"/>
      <c r="J742" s="132"/>
      <c r="K742" s="121"/>
      <c r="L742" s="82"/>
      <c r="M742" s="292"/>
      <c r="N742" s="132"/>
      <c r="O742" s="121"/>
      <c r="P742" s="82"/>
      <c r="Q742" s="292"/>
      <c r="R742" s="132"/>
      <c r="S742" s="121"/>
      <c r="T742" s="82"/>
      <c r="U742" s="292"/>
      <c r="V742" s="132"/>
      <c r="W742" s="121"/>
      <c r="X742" s="82"/>
      <c r="Y742" s="292"/>
      <c r="Z742" s="300"/>
      <c r="AA742" s="301"/>
      <c r="AB742" s="80"/>
      <c r="AC742" s="292"/>
      <c r="AD742" s="132"/>
      <c r="AE742" s="254"/>
      <c r="AF742" s="294"/>
      <c r="AG742" s="292"/>
      <c r="AH742" s="302"/>
      <c r="AI742" s="302"/>
      <c r="AJ742" s="302"/>
      <c r="AK742" s="292"/>
      <c r="AL742" s="82"/>
      <c r="AM742" s="82"/>
      <c r="AN742" s="82"/>
      <c r="AO742" s="292"/>
      <c r="AP742" s="82"/>
      <c r="AQ742" s="82"/>
      <c r="AR742" s="82"/>
      <c r="AS742" s="292"/>
      <c r="AT742" s="82"/>
      <c r="AU742" s="82"/>
      <c r="AV742" s="82"/>
    </row>
    <row r="743">
      <c r="A743" s="292"/>
      <c r="B743" s="132"/>
      <c r="C743" s="121"/>
      <c r="D743" s="82"/>
      <c r="E743" s="292"/>
      <c r="F743" s="132"/>
      <c r="G743" s="121"/>
      <c r="H743" s="82"/>
      <c r="I743" s="292"/>
      <c r="J743" s="132"/>
      <c r="K743" s="121"/>
      <c r="L743" s="82"/>
      <c r="M743" s="292"/>
      <c r="N743" s="132"/>
      <c r="O743" s="121"/>
      <c r="P743" s="82"/>
      <c r="Q743" s="292"/>
      <c r="R743" s="132"/>
      <c r="S743" s="121"/>
      <c r="T743" s="82"/>
      <c r="U743" s="292"/>
      <c r="V743" s="132"/>
      <c r="W743" s="121"/>
      <c r="X743" s="82"/>
      <c r="Y743" s="292"/>
      <c r="Z743" s="300"/>
      <c r="AA743" s="301"/>
      <c r="AB743" s="80"/>
      <c r="AC743" s="292"/>
      <c r="AD743" s="132"/>
      <c r="AE743" s="254"/>
      <c r="AF743" s="294"/>
      <c r="AG743" s="292"/>
      <c r="AH743" s="302"/>
      <c r="AI743" s="302"/>
      <c r="AJ743" s="302"/>
      <c r="AK743" s="292"/>
      <c r="AL743" s="82"/>
      <c r="AM743" s="82"/>
      <c r="AN743" s="82"/>
      <c r="AO743" s="292"/>
      <c r="AP743" s="82"/>
      <c r="AQ743" s="82"/>
      <c r="AR743" s="82"/>
      <c r="AS743" s="292"/>
      <c r="AT743" s="82"/>
      <c r="AU743" s="82"/>
      <c r="AV743" s="82"/>
    </row>
    <row r="744">
      <c r="A744" s="292"/>
      <c r="B744" s="132"/>
      <c r="C744" s="121"/>
      <c r="D744" s="82"/>
      <c r="E744" s="292"/>
      <c r="F744" s="132"/>
      <c r="G744" s="121"/>
      <c r="H744" s="82"/>
      <c r="I744" s="292"/>
      <c r="J744" s="132"/>
      <c r="K744" s="121"/>
      <c r="L744" s="82"/>
      <c r="M744" s="292"/>
      <c r="N744" s="132"/>
      <c r="O744" s="121"/>
      <c r="P744" s="82"/>
      <c r="Q744" s="292"/>
      <c r="R744" s="132"/>
      <c r="S744" s="121"/>
      <c r="T744" s="82"/>
      <c r="U744" s="292"/>
      <c r="V744" s="132"/>
      <c r="W744" s="121"/>
      <c r="X744" s="82"/>
      <c r="Y744" s="292"/>
      <c r="Z744" s="300"/>
      <c r="AA744" s="301"/>
      <c r="AB744" s="80"/>
      <c r="AC744" s="292"/>
      <c r="AD744" s="132"/>
      <c r="AE744" s="254"/>
      <c r="AF744" s="294"/>
      <c r="AG744" s="292"/>
      <c r="AH744" s="302"/>
      <c r="AI744" s="302"/>
      <c r="AJ744" s="302"/>
      <c r="AK744" s="292"/>
      <c r="AL744" s="82"/>
      <c r="AM744" s="82"/>
      <c r="AN744" s="82"/>
      <c r="AO744" s="292"/>
      <c r="AP744" s="82"/>
      <c r="AQ744" s="82"/>
      <c r="AR744" s="82"/>
      <c r="AS744" s="292"/>
      <c r="AT744" s="82"/>
      <c r="AU744" s="82"/>
      <c r="AV744" s="82"/>
    </row>
    <row r="745">
      <c r="A745" s="292"/>
      <c r="B745" s="132"/>
      <c r="C745" s="121"/>
      <c r="D745" s="82"/>
      <c r="E745" s="292"/>
      <c r="F745" s="132"/>
      <c r="G745" s="121"/>
      <c r="H745" s="82"/>
      <c r="I745" s="292"/>
      <c r="J745" s="132"/>
      <c r="K745" s="121"/>
      <c r="L745" s="82"/>
      <c r="M745" s="292"/>
      <c r="N745" s="132"/>
      <c r="O745" s="121"/>
      <c r="P745" s="82"/>
      <c r="Q745" s="292"/>
      <c r="R745" s="132"/>
      <c r="S745" s="121"/>
      <c r="T745" s="82"/>
      <c r="U745" s="292"/>
      <c r="V745" s="132"/>
      <c r="W745" s="121"/>
      <c r="X745" s="82"/>
      <c r="Y745" s="292"/>
      <c r="Z745" s="300"/>
      <c r="AA745" s="301"/>
      <c r="AB745" s="80"/>
      <c r="AC745" s="292"/>
      <c r="AD745" s="132"/>
      <c r="AE745" s="254"/>
      <c r="AF745" s="294"/>
      <c r="AG745" s="292"/>
      <c r="AH745" s="302"/>
      <c r="AI745" s="302"/>
      <c r="AJ745" s="302"/>
      <c r="AK745" s="292"/>
      <c r="AL745" s="82"/>
      <c r="AM745" s="82"/>
      <c r="AN745" s="82"/>
      <c r="AO745" s="292"/>
      <c r="AP745" s="82"/>
      <c r="AQ745" s="82"/>
      <c r="AR745" s="82"/>
      <c r="AS745" s="292"/>
      <c r="AT745" s="82"/>
      <c r="AU745" s="82"/>
      <c r="AV745" s="82"/>
    </row>
    <row r="746">
      <c r="A746" s="292"/>
      <c r="B746" s="132"/>
      <c r="C746" s="121"/>
      <c r="D746" s="82"/>
      <c r="E746" s="292"/>
      <c r="F746" s="132"/>
      <c r="G746" s="121"/>
      <c r="H746" s="82"/>
      <c r="I746" s="292"/>
      <c r="J746" s="132"/>
      <c r="K746" s="121"/>
      <c r="L746" s="82"/>
      <c r="M746" s="292"/>
      <c r="N746" s="132"/>
      <c r="O746" s="121"/>
      <c r="P746" s="82"/>
      <c r="Q746" s="292"/>
      <c r="R746" s="132"/>
      <c r="S746" s="121"/>
      <c r="T746" s="82"/>
      <c r="U746" s="292"/>
      <c r="V746" s="132"/>
      <c r="W746" s="121"/>
      <c r="X746" s="82"/>
      <c r="Y746" s="292"/>
      <c r="Z746" s="300"/>
      <c r="AA746" s="301"/>
      <c r="AB746" s="80"/>
      <c r="AC746" s="292"/>
      <c r="AD746" s="132"/>
      <c r="AE746" s="254"/>
      <c r="AF746" s="294"/>
      <c r="AG746" s="292"/>
      <c r="AH746" s="302"/>
      <c r="AI746" s="302"/>
      <c r="AJ746" s="302"/>
      <c r="AK746" s="292"/>
      <c r="AL746" s="82"/>
      <c r="AM746" s="82"/>
      <c r="AN746" s="82"/>
      <c r="AO746" s="292"/>
      <c r="AP746" s="82"/>
      <c r="AQ746" s="82"/>
      <c r="AR746" s="82"/>
      <c r="AS746" s="292"/>
      <c r="AT746" s="82"/>
      <c r="AU746" s="82"/>
      <c r="AV746" s="82"/>
    </row>
    <row r="747">
      <c r="A747" s="292"/>
      <c r="B747" s="132"/>
      <c r="C747" s="121"/>
      <c r="D747" s="82"/>
      <c r="E747" s="292"/>
      <c r="F747" s="132"/>
      <c r="G747" s="121"/>
      <c r="H747" s="82"/>
      <c r="I747" s="292"/>
      <c r="J747" s="132"/>
      <c r="K747" s="121"/>
      <c r="L747" s="82"/>
      <c r="M747" s="292"/>
      <c r="N747" s="132"/>
      <c r="O747" s="121"/>
      <c r="P747" s="82"/>
      <c r="Q747" s="292"/>
      <c r="R747" s="132"/>
      <c r="S747" s="121"/>
      <c r="T747" s="82"/>
      <c r="U747" s="292"/>
      <c r="V747" s="132"/>
      <c r="W747" s="121"/>
      <c r="X747" s="82"/>
      <c r="Y747" s="292"/>
      <c r="Z747" s="300"/>
      <c r="AA747" s="301"/>
      <c r="AB747" s="80"/>
      <c r="AC747" s="292"/>
      <c r="AD747" s="132"/>
      <c r="AE747" s="254"/>
      <c r="AF747" s="294"/>
      <c r="AG747" s="292"/>
      <c r="AH747" s="302"/>
      <c r="AI747" s="302"/>
      <c r="AJ747" s="302"/>
      <c r="AK747" s="292"/>
      <c r="AL747" s="82"/>
      <c r="AM747" s="82"/>
      <c r="AN747" s="82"/>
      <c r="AO747" s="292"/>
      <c r="AP747" s="82"/>
      <c r="AQ747" s="82"/>
      <c r="AR747" s="82"/>
      <c r="AS747" s="292"/>
      <c r="AT747" s="82"/>
      <c r="AU747" s="82"/>
      <c r="AV747" s="82"/>
    </row>
    <row r="748">
      <c r="A748" s="292"/>
      <c r="B748" s="132"/>
      <c r="C748" s="121"/>
      <c r="D748" s="82"/>
      <c r="E748" s="292"/>
      <c r="F748" s="132"/>
      <c r="G748" s="121"/>
      <c r="H748" s="82"/>
      <c r="I748" s="292"/>
      <c r="J748" s="132"/>
      <c r="K748" s="121"/>
      <c r="L748" s="82"/>
      <c r="M748" s="292"/>
      <c r="N748" s="132"/>
      <c r="O748" s="121"/>
      <c r="P748" s="82"/>
      <c r="Q748" s="292"/>
      <c r="R748" s="132"/>
      <c r="S748" s="121"/>
      <c r="T748" s="82"/>
      <c r="U748" s="292"/>
      <c r="V748" s="132"/>
      <c r="W748" s="121"/>
      <c r="X748" s="82"/>
      <c r="Y748" s="292"/>
      <c r="Z748" s="300"/>
      <c r="AA748" s="301"/>
      <c r="AB748" s="80"/>
      <c r="AC748" s="292"/>
      <c r="AD748" s="132"/>
      <c r="AE748" s="254"/>
      <c r="AF748" s="294"/>
      <c r="AG748" s="292"/>
      <c r="AH748" s="302"/>
      <c r="AI748" s="302"/>
      <c r="AJ748" s="302"/>
      <c r="AK748" s="292"/>
      <c r="AL748" s="82"/>
      <c r="AM748" s="82"/>
      <c r="AN748" s="82"/>
      <c r="AO748" s="292"/>
      <c r="AP748" s="82"/>
      <c r="AQ748" s="82"/>
      <c r="AR748" s="82"/>
      <c r="AS748" s="292"/>
      <c r="AT748" s="82"/>
      <c r="AU748" s="82"/>
      <c r="AV748" s="82"/>
    </row>
    <row r="749">
      <c r="A749" s="292"/>
      <c r="B749" s="132"/>
      <c r="C749" s="121"/>
      <c r="D749" s="82"/>
      <c r="E749" s="292"/>
      <c r="F749" s="132"/>
      <c r="G749" s="121"/>
      <c r="H749" s="82"/>
      <c r="I749" s="292"/>
      <c r="J749" s="132"/>
      <c r="K749" s="121"/>
      <c r="L749" s="82"/>
      <c r="M749" s="292"/>
      <c r="N749" s="132"/>
      <c r="O749" s="121"/>
      <c r="P749" s="82"/>
      <c r="Q749" s="292"/>
      <c r="R749" s="132"/>
      <c r="S749" s="121"/>
      <c r="T749" s="82"/>
      <c r="U749" s="292"/>
      <c r="V749" s="132"/>
      <c r="W749" s="121"/>
      <c r="X749" s="82"/>
      <c r="Y749" s="292"/>
      <c r="Z749" s="300"/>
      <c r="AA749" s="301"/>
      <c r="AB749" s="80"/>
      <c r="AC749" s="292"/>
      <c r="AD749" s="132"/>
      <c r="AE749" s="254"/>
      <c r="AF749" s="294"/>
      <c r="AG749" s="292"/>
      <c r="AH749" s="302"/>
      <c r="AI749" s="302"/>
      <c r="AJ749" s="302"/>
      <c r="AK749" s="292"/>
      <c r="AL749" s="82"/>
      <c r="AM749" s="82"/>
      <c r="AN749" s="82"/>
      <c r="AO749" s="292"/>
      <c r="AP749" s="82"/>
      <c r="AQ749" s="82"/>
      <c r="AR749" s="82"/>
      <c r="AS749" s="292"/>
      <c r="AT749" s="82"/>
      <c r="AU749" s="82"/>
      <c r="AV749" s="82"/>
    </row>
    <row r="750">
      <c r="A750" s="292"/>
      <c r="B750" s="132"/>
      <c r="C750" s="121"/>
      <c r="D750" s="82"/>
      <c r="E750" s="292"/>
      <c r="F750" s="132"/>
      <c r="G750" s="121"/>
      <c r="H750" s="82"/>
      <c r="I750" s="292"/>
      <c r="J750" s="132"/>
      <c r="K750" s="121"/>
      <c r="L750" s="82"/>
      <c r="M750" s="292"/>
      <c r="N750" s="132"/>
      <c r="O750" s="121"/>
      <c r="P750" s="82"/>
      <c r="Q750" s="292"/>
      <c r="R750" s="132"/>
      <c r="S750" s="121"/>
      <c r="T750" s="82"/>
      <c r="U750" s="292"/>
      <c r="V750" s="132"/>
      <c r="W750" s="121"/>
      <c r="X750" s="82"/>
      <c r="Y750" s="292"/>
      <c r="Z750" s="300"/>
      <c r="AA750" s="301"/>
      <c r="AB750" s="80"/>
      <c r="AC750" s="292"/>
      <c r="AD750" s="132"/>
      <c r="AE750" s="254"/>
      <c r="AF750" s="294"/>
      <c r="AG750" s="292"/>
      <c r="AH750" s="302"/>
      <c r="AI750" s="302"/>
      <c r="AJ750" s="302"/>
      <c r="AK750" s="292"/>
      <c r="AL750" s="82"/>
      <c r="AM750" s="82"/>
      <c r="AN750" s="82"/>
      <c r="AO750" s="292"/>
      <c r="AP750" s="82"/>
      <c r="AQ750" s="82"/>
      <c r="AR750" s="82"/>
      <c r="AS750" s="292"/>
      <c r="AT750" s="82"/>
      <c r="AU750" s="82"/>
      <c r="AV750" s="82"/>
    </row>
    <row r="751">
      <c r="A751" s="292"/>
      <c r="B751" s="132"/>
      <c r="C751" s="121"/>
      <c r="D751" s="82"/>
      <c r="E751" s="292"/>
      <c r="F751" s="132"/>
      <c r="G751" s="121"/>
      <c r="H751" s="82"/>
      <c r="I751" s="292"/>
      <c r="J751" s="132"/>
      <c r="K751" s="121"/>
      <c r="L751" s="82"/>
      <c r="M751" s="292"/>
      <c r="N751" s="132"/>
      <c r="O751" s="121"/>
      <c r="P751" s="82"/>
      <c r="Q751" s="292"/>
      <c r="R751" s="132"/>
      <c r="S751" s="121"/>
      <c r="T751" s="82"/>
      <c r="U751" s="292"/>
      <c r="V751" s="132"/>
      <c r="W751" s="121"/>
      <c r="X751" s="82"/>
      <c r="Y751" s="292"/>
      <c r="Z751" s="300"/>
      <c r="AA751" s="301"/>
      <c r="AB751" s="80"/>
      <c r="AC751" s="292"/>
      <c r="AD751" s="132"/>
      <c r="AE751" s="254"/>
      <c r="AF751" s="294"/>
      <c r="AG751" s="292"/>
      <c r="AH751" s="302"/>
      <c r="AI751" s="302"/>
      <c r="AJ751" s="302"/>
      <c r="AK751" s="292"/>
      <c r="AL751" s="82"/>
      <c r="AM751" s="82"/>
      <c r="AN751" s="82"/>
      <c r="AO751" s="292"/>
      <c r="AP751" s="82"/>
      <c r="AQ751" s="82"/>
      <c r="AR751" s="82"/>
      <c r="AS751" s="292"/>
      <c r="AT751" s="82"/>
      <c r="AU751" s="82"/>
      <c r="AV751" s="82"/>
    </row>
    <row r="752">
      <c r="A752" s="292"/>
      <c r="B752" s="132"/>
      <c r="C752" s="121"/>
      <c r="D752" s="82"/>
      <c r="E752" s="292"/>
      <c r="F752" s="132"/>
      <c r="G752" s="121"/>
      <c r="H752" s="82"/>
      <c r="I752" s="292"/>
      <c r="J752" s="132"/>
      <c r="K752" s="121"/>
      <c r="L752" s="82"/>
      <c r="M752" s="292"/>
      <c r="N752" s="132"/>
      <c r="O752" s="121"/>
      <c r="P752" s="82"/>
      <c r="Q752" s="292"/>
      <c r="R752" s="132"/>
      <c r="S752" s="121"/>
      <c r="T752" s="82"/>
      <c r="U752" s="292"/>
      <c r="V752" s="132"/>
      <c r="W752" s="121"/>
      <c r="X752" s="82"/>
      <c r="Y752" s="292"/>
      <c r="Z752" s="300"/>
      <c r="AA752" s="301"/>
      <c r="AB752" s="80"/>
      <c r="AC752" s="292"/>
      <c r="AD752" s="132"/>
      <c r="AE752" s="254"/>
      <c r="AF752" s="294"/>
      <c r="AG752" s="292"/>
      <c r="AH752" s="302"/>
      <c r="AI752" s="302"/>
      <c r="AJ752" s="302"/>
      <c r="AK752" s="292"/>
      <c r="AL752" s="82"/>
      <c r="AM752" s="82"/>
      <c r="AN752" s="82"/>
      <c r="AO752" s="292"/>
      <c r="AP752" s="82"/>
      <c r="AQ752" s="82"/>
      <c r="AR752" s="82"/>
      <c r="AS752" s="292"/>
      <c r="AT752" s="82"/>
      <c r="AU752" s="82"/>
      <c r="AV752" s="82"/>
    </row>
    <row r="753">
      <c r="A753" s="292"/>
      <c r="B753" s="132"/>
      <c r="C753" s="121"/>
      <c r="D753" s="82"/>
      <c r="E753" s="292"/>
      <c r="F753" s="132"/>
      <c r="G753" s="121"/>
      <c r="H753" s="82"/>
      <c r="I753" s="292"/>
      <c r="J753" s="132"/>
      <c r="K753" s="121"/>
      <c r="L753" s="82"/>
      <c r="M753" s="292"/>
      <c r="N753" s="132"/>
      <c r="O753" s="121"/>
      <c r="P753" s="82"/>
      <c r="Q753" s="292"/>
      <c r="R753" s="132"/>
      <c r="S753" s="121"/>
      <c r="T753" s="82"/>
      <c r="U753" s="292"/>
      <c r="V753" s="132"/>
      <c r="W753" s="121"/>
      <c r="X753" s="82"/>
      <c r="Y753" s="292"/>
      <c r="Z753" s="300"/>
      <c r="AA753" s="301"/>
      <c r="AB753" s="80"/>
      <c r="AC753" s="292"/>
      <c r="AD753" s="132"/>
      <c r="AE753" s="254"/>
      <c r="AF753" s="294"/>
      <c r="AG753" s="292"/>
      <c r="AH753" s="302"/>
      <c r="AI753" s="302"/>
      <c r="AJ753" s="302"/>
      <c r="AK753" s="292"/>
      <c r="AL753" s="82"/>
      <c r="AM753" s="82"/>
      <c r="AN753" s="82"/>
      <c r="AO753" s="292"/>
      <c r="AP753" s="82"/>
      <c r="AQ753" s="82"/>
      <c r="AR753" s="82"/>
      <c r="AS753" s="292"/>
      <c r="AT753" s="82"/>
      <c r="AU753" s="82"/>
      <c r="AV753" s="82"/>
    </row>
    <row r="754">
      <c r="A754" s="292"/>
      <c r="B754" s="132"/>
      <c r="C754" s="121"/>
      <c r="D754" s="82"/>
      <c r="E754" s="292"/>
      <c r="F754" s="132"/>
      <c r="G754" s="121"/>
      <c r="H754" s="82"/>
      <c r="I754" s="292"/>
      <c r="J754" s="132"/>
      <c r="K754" s="121"/>
      <c r="L754" s="82"/>
      <c r="M754" s="292"/>
      <c r="N754" s="132"/>
      <c r="O754" s="121"/>
      <c r="P754" s="82"/>
      <c r="Q754" s="292"/>
      <c r="R754" s="132"/>
      <c r="S754" s="121"/>
      <c r="T754" s="82"/>
      <c r="U754" s="292"/>
      <c r="V754" s="132"/>
      <c r="W754" s="121"/>
      <c r="X754" s="82"/>
      <c r="Y754" s="292"/>
      <c r="Z754" s="300"/>
      <c r="AA754" s="301"/>
      <c r="AB754" s="80"/>
      <c r="AC754" s="292"/>
      <c r="AD754" s="132"/>
      <c r="AE754" s="254"/>
      <c r="AF754" s="294"/>
      <c r="AG754" s="292"/>
      <c r="AH754" s="302"/>
      <c r="AI754" s="302"/>
      <c r="AJ754" s="302"/>
      <c r="AK754" s="292"/>
      <c r="AL754" s="82"/>
      <c r="AM754" s="82"/>
      <c r="AN754" s="82"/>
      <c r="AO754" s="292"/>
      <c r="AP754" s="82"/>
      <c r="AQ754" s="82"/>
      <c r="AR754" s="82"/>
      <c r="AS754" s="292"/>
      <c r="AT754" s="82"/>
      <c r="AU754" s="82"/>
      <c r="AV754" s="82"/>
    </row>
    <row r="755">
      <c r="A755" s="292"/>
      <c r="B755" s="132"/>
      <c r="C755" s="121"/>
      <c r="D755" s="82"/>
      <c r="E755" s="292"/>
      <c r="F755" s="132"/>
      <c r="G755" s="121"/>
      <c r="H755" s="82"/>
      <c r="I755" s="292"/>
      <c r="J755" s="132"/>
      <c r="K755" s="121"/>
      <c r="L755" s="82"/>
      <c r="M755" s="292"/>
      <c r="N755" s="132"/>
      <c r="O755" s="121"/>
      <c r="P755" s="82"/>
      <c r="Q755" s="292"/>
      <c r="R755" s="132"/>
      <c r="S755" s="121"/>
      <c r="T755" s="82"/>
      <c r="U755" s="292"/>
      <c r="V755" s="132"/>
      <c r="W755" s="121"/>
      <c r="X755" s="82"/>
      <c r="Y755" s="292"/>
      <c r="Z755" s="300"/>
      <c r="AA755" s="301"/>
      <c r="AB755" s="80"/>
      <c r="AC755" s="292"/>
      <c r="AD755" s="132"/>
      <c r="AE755" s="254"/>
      <c r="AF755" s="294"/>
      <c r="AG755" s="292"/>
      <c r="AH755" s="302"/>
      <c r="AI755" s="302"/>
      <c r="AJ755" s="302"/>
      <c r="AK755" s="292"/>
      <c r="AL755" s="82"/>
      <c r="AM755" s="82"/>
      <c r="AN755" s="82"/>
      <c r="AO755" s="292"/>
      <c r="AP755" s="82"/>
      <c r="AQ755" s="82"/>
      <c r="AR755" s="82"/>
      <c r="AS755" s="292"/>
      <c r="AT755" s="82"/>
      <c r="AU755" s="82"/>
      <c r="AV755" s="82"/>
    </row>
    <row r="756">
      <c r="A756" s="292"/>
      <c r="B756" s="132"/>
      <c r="C756" s="121"/>
      <c r="D756" s="82"/>
      <c r="E756" s="292"/>
      <c r="F756" s="132"/>
      <c r="G756" s="121"/>
      <c r="H756" s="82"/>
      <c r="I756" s="292"/>
      <c r="J756" s="132"/>
      <c r="K756" s="121"/>
      <c r="L756" s="82"/>
      <c r="M756" s="292"/>
      <c r="N756" s="132"/>
      <c r="O756" s="121"/>
      <c r="P756" s="82"/>
      <c r="Q756" s="292"/>
      <c r="R756" s="132"/>
      <c r="S756" s="121"/>
      <c r="T756" s="82"/>
      <c r="U756" s="292"/>
      <c r="V756" s="132"/>
      <c r="W756" s="121"/>
      <c r="X756" s="82"/>
      <c r="Y756" s="292"/>
      <c r="Z756" s="300"/>
      <c r="AA756" s="301"/>
      <c r="AB756" s="80"/>
      <c r="AC756" s="292"/>
      <c r="AD756" s="132"/>
      <c r="AE756" s="254"/>
      <c r="AF756" s="294"/>
      <c r="AG756" s="292"/>
      <c r="AH756" s="302"/>
      <c r="AI756" s="302"/>
      <c r="AJ756" s="302"/>
      <c r="AK756" s="292"/>
      <c r="AL756" s="82"/>
      <c r="AM756" s="82"/>
      <c r="AN756" s="82"/>
      <c r="AO756" s="292"/>
      <c r="AP756" s="82"/>
      <c r="AQ756" s="82"/>
      <c r="AR756" s="82"/>
      <c r="AS756" s="292"/>
      <c r="AT756" s="82"/>
      <c r="AU756" s="82"/>
      <c r="AV756" s="82"/>
    </row>
    <row r="757">
      <c r="A757" s="292"/>
      <c r="B757" s="132"/>
      <c r="C757" s="121"/>
      <c r="D757" s="82"/>
      <c r="E757" s="292"/>
      <c r="F757" s="132"/>
      <c r="G757" s="121"/>
      <c r="H757" s="82"/>
      <c r="I757" s="292"/>
      <c r="J757" s="132"/>
      <c r="K757" s="121"/>
      <c r="L757" s="82"/>
      <c r="M757" s="292"/>
      <c r="N757" s="132"/>
      <c r="O757" s="121"/>
      <c r="P757" s="82"/>
      <c r="Q757" s="292"/>
      <c r="R757" s="132"/>
      <c r="S757" s="121"/>
      <c r="T757" s="82"/>
      <c r="U757" s="292"/>
      <c r="V757" s="132"/>
      <c r="W757" s="121"/>
      <c r="X757" s="82"/>
      <c r="Y757" s="292"/>
      <c r="Z757" s="300"/>
      <c r="AA757" s="301"/>
      <c r="AB757" s="80"/>
      <c r="AC757" s="292"/>
      <c r="AD757" s="132"/>
      <c r="AE757" s="254"/>
      <c r="AF757" s="294"/>
      <c r="AG757" s="292"/>
      <c r="AH757" s="302"/>
      <c r="AI757" s="302"/>
      <c r="AJ757" s="302"/>
      <c r="AK757" s="292"/>
      <c r="AL757" s="82"/>
      <c r="AM757" s="82"/>
      <c r="AN757" s="82"/>
      <c r="AO757" s="292"/>
      <c r="AP757" s="82"/>
      <c r="AQ757" s="82"/>
      <c r="AR757" s="82"/>
      <c r="AS757" s="292"/>
      <c r="AT757" s="82"/>
      <c r="AU757" s="82"/>
      <c r="AV757" s="82"/>
    </row>
    <row r="758">
      <c r="A758" s="292"/>
      <c r="B758" s="132"/>
      <c r="C758" s="121"/>
      <c r="D758" s="82"/>
      <c r="E758" s="292"/>
      <c r="F758" s="132"/>
      <c r="G758" s="121"/>
      <c r="H758" s="82"/>
      <c r="I758" s="292"/>
      <c r="J758" s="132"/>
      <c r="K758" s="121"/>
      <c r="L758" s="82"/>
      <c r="M758" s="292"/>
      <c r="N758" s="132"/>
      <c r="O758" s="121"/>
      <c r="P758" s="82"/>
      <c r="Q758" s="292"/>
      <c r="R758" s="132"/>
      <c r="S758" s="121"/>
      <c r="T758" s="82"/>
      <c r="U758" s="292"/>
      <c r="V758" s="132"/>
      <c r="W758" s="121"/>
      <c r="X758" s="82"/>
      <c r="Y758" s="292"/>
      <c r="Z758" s="300"/>
      <c r="AA758" s="301"/>
      <c r="AB758" s="80"/>
      <c r="AC758" s="292"/>
      <c r="AD758" s="132"/>
      <c r="AE758" s="254"/>
      <c r="AF758" s="294"/>
      <c r="AG758" s="292"/>
      <c r="AH758" s="302"/>
      <c r="AI758" s="302"/>
      <c r="AJ758" s="302"/>
      <c r="AK758" s="292"/>
      <c r="AL758" s="82"/>
      <c r="AM758" s="82"/>
      <c r="AN758" s="82"/>
      <c r="AO758" s="292"/>
      <c r="AP758" s="82"/>
      <c r="AQ758" s="82"/>
      <c r="AR758" s="82"/>
      <c r="AS758" s="292"/>
      <c r="AT758" s="82"/>
      <c r="AU758" s="82"/>
      <c r="AV758" s="82"/>
    </row>
    <row r="759">
      <c r="A759" s="292"/>
      <c r="B759" s="132"/>
      <c r="C759" s="121"/>
      <c r="D759" s="82"/>
      <c r="E759" s="292"/>
      <c r="F759" s="132"/>
      <c r="G759" s="121"/>
      <c r="H759" s="82"/>
      <c r="I759" s="292"/>
      <c r="J759" s="132"/>
      <c r="K759" s="121"/>
      <c r="L759" s="82"/>
      <c r="M759" s="292"/>
      <c r="N759" s="132"/>
      <c r="O759" s="121"/>
      <c r="P759" s="82"/>
      <c r="Q759" s="292"/>
      <c r="R759" s="132"/>
      <c r="S759" s="121"/>
      <c r="T759" s="82"/>
      <c r="U759" s="292"/>
      <c r="V759" s="132"/>
      <c r="W759" s="121"/>
      <c r="X759" s="82"/>
      <c r="Y759" s="292"/>
      <c r="Z759" s="300"/>
      <c r="AA759" s="301"/>
      <c r="AB759" s="80"/>
      <c r="AC759" s="292"/>
      <c r="AD759" s="132"/>
      <c r="AE759" s="254"/>
      <c r="AF759" s="294"/>
      <c r="AG759" s="292"/>
      <c r="AH759" s="302"/>
      <c r="AI759" s="302"/>
      <c r="AJ759" s="302"/>
      <c r="AK759" s="292"/>
      <c r="AL759" s="82"/>
      <c r="AM759" s="82"/>
      <c r="AN759" s="82"/>
      <c r="AO759" s="292"/>
      <c r="AP759" s="82"/>
      <c r="AQ759" s="82"/>
      <c r="AR759" s="82"/>
      <c r="AS759" s="292"/>
      <c r="AT759" s="82"/>
      <c r="AU759" s="82"/>
      <c r="AV759" s="82"/>
    </row>
    <row r="760">
      <c r="A760" s="292"/>
      <c r="B760" s="132"/>
      <c r="C760" s="121"/>
      <c r="D760" s="82"/>
      <c r="E760" s="292"/>
      <c r="F760" s="132"/>
      <c r="G760" s="121"/>
      <c r="H760" s="82"/>
      <c r="I760" s="292"/>
      <c r="J760" s="132"/>
      <c r="K760" s="121"/>
      <c r="L760" s="82"/>
      <c r="M760" s="292"/>
      <c r="N760" s="132"/>
      <c r="O760" s="121"/>
      <c r="P760" s="82"/>
      <c r="Q760" s="292"/>
      <c r="R760" s="132"/>
      <c r="S760" s="121"/>
      <c r="T760" s="82"/>
      <c r="U760" s="292"/>
      <c r="V760" s="132"/>
      <c r="W760" s="121"/>
      <c r="X760" s="82"/>
      <c r="Y760" s="292"/>
      <c r="Z760" s="300"/>
      <c r="AA760" s="301"/>
      <c r="AB760" s="80"/>
      <c r="AC760" s="292"/>
      <c r="AD760" s="132"/>
      <c r="AE760" s="254"/>
      <c r="AF760" s="294"/>
      <c r="AG760" s="292"/>
      <c r="AH760" s="302"/>
      <c r="AI760" s="302"/>
      <c r="AJ760" s="302"/>
      <c r="AK760" s="292"/>
      <c r="AL760" s="82"/>
      <c r="AM760" s="82"/>
      <c r="AN760" s="82"/>
      <c r="AO760" s="292"/>
      <c r="AP760" s="82"/>
      <c r="AQ760" s="82"/>
      <c r="AR760" s="82"/>
      <c r="AS760" s="292"/>
      <c r="AT760" s="82"/>
      <c r="AU760" s="82"/>
      <c r="AV760" s="82"/>
    </row>
    <row r="761">
      <c r="A761" s="292"/>
      <c r="B761" s="132"/>
      <c r="C761" s="121"/>
      <c r="D761" s="82"/>
      <c r="E761" s="292"/>
      <c r="F761" s="132"/>
      <c r="G761" s="121"/>
      <c r="H761" s="82"/>
      <c r="I761" s="292"/>
      <c r="J761" s="132"/>
      <c r="K761" s="121"/>
      <c r="L761" s="82"/>
      <c r="M761" s="292"/>
      <c r="N761" s="132"/>
      <c r="O761" s="121"/>
      <c r="P761" s="82"/>
      <c r="Q761" s="292"/>
      <c r="R761" s="132"/>
      <c r="S761" s="121"/>
      <c r="T761" s="82"/>
      <c r="U761" s="292"/>
      <c r="V761" s="132"/>
      <c r="W761" s="121"/>
      <c r="X761" s="82"/>
      <c r="Y761" s="292"/>
      <c r="Z761" s="300"/>
      <c r="AA761" s="301"/>
      <c r="AB761" s="80"/>
      <c r="AC761" s="292"/>
      <c r="AD761" s="132"/>
      <c r="AE761" s="254"/>
      <c r="AF761" s="294"/>
      <c r="AG761" s="292"/>
      <c r="AH761" s="302"/>
      <c r="AI761" s="302"/>
      <c r="AJ761" s="302"/>
      <c r="AK761" s="292"/>
      <c r="AL761" s="82"/>
      <c r="AM761" s="82"/>
      <c r="AN761" s="82"/>
      <c r="AO761" s="292"/>
      <c r="AP761" s="82"/>
      <c r="AQ761" s="82"/>
      <c r="AR761" s="82"/>
      <c r="AS761" s="292"/>
      <c r="AT761" s="82"/>
      <c r="AU761" s="82"/>
      <c r="AV761" s="82"/>
    </row>
    <row r="762">
      <c r="A762" s="292"/>
      <c r="B762" s="132"/>
      <c r="C762" s="121"/>
      <c r="D762" s="82"/>
      <c r="E762" s="292"/>
      <c r="F762" s="132"/>
      <c r="G762" s="121"/>
      <c r="H762" s="82"/>
      <c r="I762" s="292"/>
      <c r="J762" s="132"/>
      <c r="K762" s="121"/>
      <c r="L762" s="82"/>
      <c r="M762" s="292"/>
      <c r="N762" s="132"/>
      <c r="O762" s="121"/>
      <c r="P762" s="82"/>
      <c r="Q762" s="292"/>
      <c r="R762" s="132"/>
      <c r="S762" s="121"/>
      <c r="T762" s="82"/>
      <c r="U762" s="292"/>
      <c r="V762" s="132"/>
      <c r="W762" s="121"/>
      <c r="X762" s="82"/>
      <c r="Y762" s="292"/>
      <c r="Z762" s="300"/>
      <c r="AA762" s="301"/>
      <c r="AB762" s="80"/>
      <c r="AC762" s="292"/>
      <c r="AD762" s="132"/>
      <c r="AE762" s="254"/>
      <c r="AF762" s="294"/>
      <c r="AG762" s="292"/>
      <c r="AH762" s="302"/>
      <c r="AI762" s="302"/>
      <c r="AJ762" s="302"/>
      <c r="AK762" s="292"/>
      <c r="AL762" s="82"/>
      <c r="AM762" s="82"/>
      <c r="AN762" s="82"/>
      <c r="AO762" s="292"/>
      <c r="AP762" s="82"/>
      <c r="AQ762" s="82"/>
      <c r="AR762" s="82"/>
      <c r="AS762" s="292"/>
      <c r="AT762" s="82"/>
      <c r="AU762" s="82"/>
      <c r="AV762" s="82"/>
    </row>
    <row r="763">
      <c r="A763" s="292"/>
      <c r="B763" s="132"/>
      <c r="C763" s="121"/>
      <c r="D763" s="82"/>
      <c r="E763" s="292"/>
      <c r="F763" s="132"/>
      <c r="G763" s="121"/>
      <c r="H763" s="82"/>
      <c r="I763" s="292"/>
      <c r="J763" s="132"/>
      <c r="K763" s="121"/>
      <c r="L763" s="82"/>
      <c r="M763" s="292"/>
      <c r="N763" s="132"/>
      <c r="O763" s="121"/>
      <c r="P763" s="82"/>
      <c r="Q763" s="292"/>
      <c r="R763" s="132"/>
      <c r="S763" s="121"/>
      <c r="T763" s="82"/>
      <c r="U763" s="292"/>
      <c r="V763" s="132"/>
      <c r="W763" s="121"/>
      <c r="X763" s="82"/>
      <c r="Y763" s="292"/>
      <c r="Z763" s="300"/>
      <c r="AA763" s="301"/>
      <c r="AB763" s="80"/>
      <c r="AC763" s="292"/>
      <c r="AD763" s="132"/>
      <c r="AE763" s="254"/>
      <c r="AF763" s="294"/>
      <c r="AG763" s="292"/>
      <c r="AH763" s="302"/>
      <c r="AI763" s="302"/>
      <c r="AJ763" s="302"/>
      <c r="AK763" s="292"/>
      <c r="AL763" s="82"/>
      <c r="AM763" s="82"/>
      <c r="AN763" s="82"/>
      <c r="AO763" s="292"/>
      <c r="AP763" s="82"/>
      <c r="AQ763" s="82"/>
      <c r="AR763" s="82"/>
      <c r="AS763" s="292"/>
      <c r="AT763" s="82"/>
      <c r="AU763" s="82"/>
      <c r="AV763" s="82"/>
    </row>
    <row r="764">
      <c r="A764" s="292"/>
      <c r="B764" s="132"/>
      <c r="C764" s="121"/>
      <c r="D764" s="82"/>
      <c r="E764" s="292"/>
      <c r="F764" s="132"/>
      <c r="G764" s="121"/>
      <c r="H764" s="82"/>
      <c r="I764" s="292"/>
      <c r="J764" s="132"/>
      <c r="K764" s="121"/>
      <c r="L764" s="82"/>
      <c r="M764" s="292"/>
      <c r="N764" s="132"/>
      <c r="O764" s="121"/>
      <c r="P764" s="82"/>
      <c r="Q764" s="292"/>
      <c r="R764" s="132"/>
      <c r="S764" s="121"/>
      <c r="T764" s="82"/>
      <c r="U764" s="292"/>
      <c r="V764" s="132"/>
      <c r="W764" s="121"/>
      <c r="X764" s="82"/>
      <c r="Y764" s="292"/>
      <c r="Z764" s="300"/>
      <c r="AA764" s="301"/>
      <c r="AB764" s="80"/>
      <c r="AC764" s="292"/>
      <c r="AD764" s="132"/>
      <c r="AE764" s="254"/>
      <c r="AF764" s="294"/>
      <c r="AG764" s="292"/>
      <c r="AH764" s="302"/>
      <c r="AI764" s="302"/>
      <c r="AJ764" s="302"/>
      <c r="AK764" s="292"/>
      <c r="AL764" s="82"/>
      <c r="AM764" s="82"/>
      <c r="AN764" s="82"/>
      <c r="AO764" s="292"/>
      <c r="AP764" s="82"/>
      <c r="AQ764" s="82"/>
      <c r="AR764" s="82"/>
      <c r="AS764" s="292"/>
      <c r="AT764" s="82"/>
      <c r="AU764" s="82"/>
      <c r="AV764" s="82"/>
    </row>
    <row r="765">
      <c r="A765" s="292"/>
      <c r="B765" s="132"/>
      <c r="C765" s="121"/>
      <c r="D765" s="82"/>
      <c r="E765" s="292"/>
      <c r="F765" s="132"/>
      <c r="G765" s="121"/>
      <c r="H765" s="82"/>
      <c r="I765" s="292"/>
      <c r="J765" s="132"/>
      <c r="K765" s="121"/>
      <c r="L765" s="82"/>
      <c r="M765" s="292"/>
      <c r="N765" s="132"/>
      <c r="O765" s="121"/>
      <c r="P765" s="82"/>
      <c r="Q765" s="292"/>
      <c r="R765" s="132"/>
      <c r="S765" s="121"/>
      <c r="T765" s="82"/>
      <c r="U765" s="292"/>
      <c r="V765" s="132"/>
      <c r="W765" s="121"/>
      <c r="X765" s="82"/>
      <c r="Y765" s="292"/>
      <c r="Z765" s="300"/>
      <c r="AA765" s="301"/>
      <c r="AB765" s="80"/>
      <c r="AC765" s="292"/>
      <c r="AD765" s="132"/>
      <c r="AE765" s="254"/>
      <c r="AF765" s="294"/>
      <c r="AG765" s="292"/>
      <c r="AH765" s="302"/>
      <c r="AI765" s="302"/>
      <c r="AJ765" s="302"/>
      <c r="AK765" s="292"/>
      <c r="AL765" s="82"/>
      <c r="AM765" s="82"/>
      <c r="AN765" s="82"/>
      <c r="AO765" s="292"/>
      <c r="AP765" s="82"/>
      <c r="AQ765" s="82"/>
      <c r="AR765" s="82"/>
      <c r="AS765" s="292"/>
      <c r="AT765" s="82"/>
      <c r="AU765" s="82"/>
      <c r="AV765" s="82"/>
    </row>
    <row r="766">
      <c r="A766" s="292"/>
      <c r="B766" s="132"/>
      <c r="C766" s="121"/>
      <c r="D766" s="82"/>
      <c r="E766" s="292"/>
      <c r="F766" s="132"/>
      <c r="G766" s="121"/>
      <c r="H766" s="82"/>
      <c r="I766" s="292"/>
      <c r="J766" s="132"/>
      <c r="K766" s="121"/>
      <c r="L766" s="82"/>
      <c r="M766" s="292"/>
      <c r="N766" s="132"/>
      <c r="O766" s="121"/>
      <c r="P766" s="82"/>
      <c r="Q766" s="292"/>
      <c r="R766" s="132"/>
      <c r="S766" s="121"/>
      <c r="T766" s="82"/>
      <c r="U766" s="292"/>
      <c r="V766" s="132"/>
      <c r="W766" s="121"/>
      <c r="X766" s="82"/>
      <c r="Y766" s="292"/>
      <c r="Z766" s="300"/>
      <c r="AA766" s="301"/>
      <c r="AB766" s="80"/>
      <c r="AC766" s="292"/>
      <c r="AD766" s="132"/>
      <c r="AE766" s="254"/>
      <c r="AF766" s="294"/>
      <c r="AG766" s="292"/>
      <c r="AH766" s="302"/>
      <c r="AI766" s="302"/>
      <c r="AJ766" s="302"/>
      <c r="AK766" s="292"/>
      <c r="AL766" s="82"/>
      <c r="AM766" s="82"/>
      <c r="AN766" s="82"/>
      <c r="AO766" s="292"/>
      <c r="AP766" s="82"/>
      <c r="AQ766" s="82"/>
      <c r="AR766" s="82"/>
      <c r="AS766" s="292"/>
      <c r="AT766" s="82"/>
      <c r="AU766" s="82"/>
      <c r="AV766" s="82"/>
    </row>
    <row r="767">
      <c r="A767" s="292"/>
      <c r="B767" s="132"/>
      <c r="C767" s="121"/>
      <c r="D767" s="82"/>
      <c r="E767" s="292"/>
      <c r="F767" s="132"/>
      <c r="G767" s="121"/>
      <c r="H767" s="82"/>
      <c r="I767" s="292"/>
      <c r="J767" s="132"/>
      <c r="K767" s="121"/>
      <c r="L767" s="82"/>
      <c r="M767" s="292"/>
      <c r="N767" s="132"/>
      <c r="O767" s="121"/>
      <c r="P767" s="82"/>
      <c r="Q767" s="292"/>
      <c r="R767" s="132"/>
      <c r="S767" s="121"/>
      <c r="T767" s="82"/>
      <c r="U767" s="292"/>
      <c r="V767" s="132"/>
      <c r="W767" s="121"/>
      <c r="X767" s="82"/>
      <c r="Y767" s="292"/>
      <c r="Z767" s="300"/>
      <c r="AA767" s="301"/>
      <c r="AB767" s="80"/>
      <c r="AC767" s="292"/>
      <c r="AD767" s="132"/>
      <c r="AE767" s="254"/>
      <c r="AF767" s="294"/>
      <c r="AG767" s="292"/>
      <c r="AH767" s="302"/>
      <c r="AI767" s="302"/>
      <c r="AJ767" s="302"/>
      <c r="AK767" s="292"/>
      <c r="AL767" s="82"/>
      <c r="AM767" s="82"/>
      <c r="AN767" s="82"/>
      <c r="AO767" s="292"/>
      <c r="AP767" s="82"/>
      <c r="AQ767" s="82"/>
      <c r="AR767" s="82"/>
      <c r="AS767" s="292"/>
      <c r="AT767" s="82"/>
      <c r="AU767" s="82"/>
      <c r="AV767" s="82"/>
    </row>
    <row r="768">
      <c r="A768" s="292"/>
      <c r="B768" s="132"/>
      <c r="C768" s="121"/>
      <c r="D768" s="82"/>
      <c r="E768" s="292"/>
      <c r="F768" s="132"/>
      <c r="G768" s="121"/>
      <c r="H768" s="82"/>
      <c r="I768" s="292"/>
      <c r="J768" s="132"/>
      <c r="K768" s="121"/>
      <c r="L768" s="82"/>
      <c r="M768" s="292"/>
      <c r="N768" s="132"/>
      <c r="O768" s="121"/>
      <c r="P768" s="82"/>
      <c r="Q768" s="292"/>
      <c r="R768" s="132"/>
      <c r="S768" s="121"/>
      <c r="T768" s="82"/>
      <c r="U768" s="292"/>
      <c r="V768" s="132"/>
      <c r="W768" s="121"/>
      <c r="X768" s="82"/>
      <c r="Y768" s="292"/>
      <c r="Z768" s="300"/>
      <c r="AA768" s="301"/>
      <c r="AB768" s="80"/>
      <c r="AC768" s="292"/>
      <c r="AD768" s="132"/>
      <c r="AE768" s="254"/>
      <c r="AF768" s="294"/>
      <c r="AG768" s="292"/>
      <c r="AH768" s="302"/>
      <c r="AI768" s="302"/>
      <c r="AJ768" s="302"/>
      <c r="AK768" s="292"/>
      <c r="AL768" s="82"/>
      <c r="AM768" s="82"/>
      <c r="AN768" s="82"/>
      <c r="AO768" s="292"/>
      <c r="AP768" s="82"/>
      <c r="AQ768" s="82"/>
      <c r="AR768" s="82"/>
      <c r="AS768" s="292"/>
      <c r="AT768" s="82"/>
      <c r="AU768" s="82"/>
      <c r="AV768" s="82"/>
    </row>
    <row r="769">
      <c r="A769" s="292"/>
      <c r="B769" s="132"/>
      <c r="C769" s="121"/>
      <c r="D769" s="82"/>
      <c r="E769" s="292"/>
      <c r="F769" s="132"/>
      <c r="G769" s="121"/>
      <c r="H769" s="82"/>
      <c r="I769" s="292"/>
      <c r="J769" s="132"/>
      <c r="K769" s="121"/>
      <c r="L769" s="82"/>
      <c r="M769" s="292"/>
      <c r="N769" s="132"/>
      <c r="O769" s="121"/>
      <c r="P769" s="82"/>
      <c r="Q769" s="292"/>
      <c r="R769" s="132"/>
      <c r="S769" s="121"/>
      <c r="T769" s="82"/>
      <c r="U769" s="292"/>
      <c r="V769" s="132"/>
      <c r="W769" s="121"/>
      <c r="X769" s="82"/>
      <c r="Y769" s="292"/>
      <c r="Z769" s="300"/>
      <c r="AA769" s="301"/>
      <c r="AB769" s="80"/>
      <c r="AC769" s="292"/>
      <c r="AD769" s="132"/>
      <c r="AE769" s="254"/>
      <c r="AF769" s="294"/>
      <c r="AG769" s="292"/>
      <c r="AH769" s="302"/>
      <c r="AI769" s="302"/>
      <c r="AJ769" s="302"/>
      <c r="AK769" s="292"/>
      <c r="AL769" s="82"/>
      <c r="AM769" s="82"/>
      <c r="AN769" s="82"/>
      <c r="AO769" s="292"/>
      <c r="AP769" s="82"/>
      <c r="AQ769" s="82"/>
      <c r="AR769" s="82"/>
      <c r="AS769" s="292"/>
      <c r="AT769" s="82"/>
      <c r="AU769" s="82"/>
      <c r="AV769" s="82"/>
    </row>
    <row r="770">
      <c r="A770" s="292"/>
      <c r="B770" s="132"/>
      <c r="C770" s="121"/>
      <c r="D770" s="82"/>
      <c r="E770" s="292"/>
      <c r="F770" s="132"/>
      <c r="G770" s="121"/>
      <c r="H770" s="82"/>
      <c r="I770" s="292"/>
      <c r="J770" s="132"/>
      <c r="K770" s="121"/>
      <c r="L770" s="82"/>
      <c r="M770" s="292"/>
      <c r="N770" s="132"/>
      <c r="O770" s="121"/>
      <c r="P770" s="82"/>
      <c r="Q770" s="292"/>
      <c r="R770" s="132"/>
      <c r="S770" s="121"/>
      <c r="T770" s="82"/>
      <c r="U770" s="292"/>
      <c r="V770" s="132"/>
      <c r="W770" s="121"/>
      <c r="X770" s="82"/>
      <c r="Y770" s="292"/>
      <c r="Z770" s="300"/>
      <c r="AA770" s="301"/>
      <c r="AB770" s="80"/>
      <c r="AC770" s="292"/>
      <c r="AD770" s="132"/>
      <c r="AE770" s="254"/>
      <c r="AF770" s="294"/>
      <c r="AG770" s="292"/>
      <c r="AH770" s="302"/>
      <c r="AI770" s="302"/>
      <c r="AJ770" s="302"/>
      <c r="AK770" s="292"/>
      <c r="AL770" s="82"/>
      <c r="AM770" s="82"/>
      <c r="AN770" s="82"/>
      <c r="AO770" s="292"/>
      <c r="AP770" s="82"/>
      <c r="AQ770" s="82"/>
      <c r="AR770" s="82"/>
      <c r="AS770" s="292"/>
      <c r="AT770" s="82"/>
      <c r="AU770" s="82"/>
      <c r="AV770" s="82"/>
    </row>
    <row r="771">
      <c r="A771" s="292"/>
      <c r="B771" s="132"/>
      <c r="C771" s="121"/>
      <c r="D771" s="82"/>
      <c r="E771" s="292"/>
      <c r="F771" s="132"/>
      <c r="G771" s="121"/>
      <c r="H771" s="82"/>
      <c r="I771" s="292"/>
      <c r="J771" s="132"/>
      <c r="K771" s="121"/>
      <c r="L771" s="82"/>
      <c r="M771" s="292"/>
      <c r="N771" s="132"/>
      <c r="O771" s="121"/>
      <c r="P771" s="82"/>
      <c r="Q771" s="292"/>
      <c r="R771" s="132"/>
      <c r="S771" s="121"/>
      <c r="T771" s="82"/>
      <c r="U771" s="292"/>
      <c r="V771" s="132"/>
      <c r="W771" s="121"/>
      <c r="X771" s="82"/>
      <c r="Y771" s="292"/>
      <c r="Z771" s="300"/>
      <c r="AA771" s="301"/>
      <c r="AB771" s="80"/>
      <c r="AC771" s="292"/>
      <c r="AD771" s="132"/>
      <c r="AE771" s="254"/>
      <c r="AF771" s="294"/>
      <c r="AG771" s="292"/>
      <c r="AH771" s="302"/>
      <c r="AI771" s="302"/>
      <c r="AJ771" s="302"/>
      <c r="AK771" s="292"/>
      <c r="AL771" s="82"/>
      <c r="AM771" s="82"/>
      <c r="AN771" s="82"/>
      <c r="AO771" s="292"/>
      <c r="AP771" s="82"/>
      <c r="AQ771" s="82"/>
      <c r="AR771" s="82"/>
      <c r="AS771" s="292"/>
      <c r="AT771" s="82"/>
      <c r="AU771" s="82"/>
      <c r="AV771" s="82"/>
    </row>
    <row r="772">
      <c r="A772" s="292"/>
      <c r="B772" s="132"/>
      <c r="C772" s="121"/>
      <c r="D772" s="82"/>
      <c r="E772" s="292"/>
      <c r="F772" s="132"/>
      <c r="G772" s="121"/>
      <c r="H772" s="82"/>
      <c r="I772" s="292"/>
      <c r="J772" s="132"/>
      <c r="K772" s="121"/>
      <c r="L772" s="82"/>
      <c r="M772" s="292"/>
      <c r="N772" s="132"/>
      <c r="O772" s="121"/>
      <c r="P772" s="82"/>
      <c r="Q772" s="292"/>
      <c r="R772" s="132"/>
      <c r="S772" s="121"/>
      <c r="T772" s="82"/>
      <c r="U772" s="292"/>
      <c r="V772" s="132"/>
      <c r="W772" s="121"/>
      <c r="X772" s="82"/>
      <c r="Y772" s="292"/>
      <c r="Z772" s="300"/>
      <c r="AA772" s="301"/>
      <c r="AB772" s="80"/>
      <c r="AC772" s="292"/>
      <c r="AD772" s="132"/>
      <c r="AE772" s="254"/>
      <c r="AF772" s="294"/>
      <c r="AG772" s="292"/>
      <c r="AH772" s="302"/>
      <c r="AI772" s="302"/>
      <c r="AJ772" s="302"/>
      <c r="AK772" s="292"/>
      <c r="AL772" s="82"/>
      <c r="AM772" s="82"/>
      <c r="AN772" s="82"/>
      <c r="AO772" s="292"/>
      <c r="AP772" s="82"/>
      <c r="AQ772" s="82"/>
      <c r="AR772" s="82"/>
      <c r="AS772" s="292"/>
      <c r="AT772" s="82"/>
      <c r="AU772" s="82"/>
      <c r="AV772" s="82"/>
    </row>
    <row r="773">
      <c r="A773" s="292"/>
      <c r="B773" s="132"/>
      <c r="C773" s="121"/>
      <c r="D773" s="82"/>
      <c r="E773" s="292"/>
      <c r="F773" s="132"/>
      <c r="G773" s="121"/>
      <c r="H773" s="82"/>
      <c r="I773" s="292"/>
      <c r="J773" s="132"/>
      <c r="K773" s="121"/>
      <c r="L773" s="82"/>
      <c r="M773" s="292"/>
      <c r="N773" s="132"/>
      <c r="O773" s="121"/>
      <c r="P773" s="82"/>
      <c r="Q773" s="292"/>
      <c r="R773" s="132"/>
      <c r="S773" s="121"/>
      <c r="T773" s="82"/>
      <c r="U773" s="292"/>
      <c r="V773" s="132"/>
      <c r="W773" s="121"/>
      <c r="X773" s="82"/>
      <c r="Y773" s="292"/>
      <c r="Z773" s="300"/>
      <c r="AA773" s="301"/>
      <c r="AB773" s="80"/>
      <c r="AC773" s="292"/>
      <c r="AD773" s="132"/>
      <c r="AE773" s="254"/>
      <c r="AF773" s="294"/>
      <c r="AG773" s="292"/>
      <c r="AH773" s="302"/>
      <c r="AI773" s="302"/>
      <c r="AJ773" s="302"/>
      <c r="AK773" s="292"/>
      <c r="AL773" s="82"/>
      <c r="AM773" s="82"/>
      <c r="AN773" s="82"/>
      <c r="AO773" s="292"/>
      <c r="AP773" s="82"/>
      <c r="AQ773" s="82"/>
      <c r="AR773" s="82"/>
      <c r="AS773" s="292"/>
      <c r="AT773" s="82"/>
      <c r="AU773" s="82"/>
      <c r="AV773" s="82"/>
    </row>
    <row r="774">
      <c r="A774" s="292"/>
      <c r="B774" s="132"/>
      <c r="C774" s="121"/>
      <c r="D774" s="82"/>
      <c r="E774" s="292"/>
      <c r="F774" s="132"/>
      <c r="G774" s="121"/>
      <c r="H774" s="82"/>
      <c r="I774" s="292"/>
      <c r="J774" s="132"/>
      <c r="K774" s="121"/>
      <c r="L774" s="82"/>
      <c r="M774" s="292"/>
      <c r="N774" s="132"/>
      <c r="O774" s="121"/>
      <c r="P774" s="82"/>
      <c r="Q774" s="292"/>
      <c r="R774" s="132"/>
      <c r="S774" s="121"/>
      <c r="T774" s="82"/>
      <c r="U774" s="292"/>
      <c r="V774" s="132"/>
      <c r="W774" s="121"/>
      <c r="X774" s="82"/>
      <c r="Y774" s="292"/>
      <c r="Z774" s="300"/>
      <c r="AA774" s="301"/>
      <c r="AB774" s="80"/>
      <c r="AC774" s="292"/>
      <c r="AD774" s="132"/>
      <c r="AE774" s="254"/>
      <c r="AF774" s="294"/>
      <c r="AG774" s="292"/>
      <c r="AH774" s="302"/>
      <c r="AI774" s="302"/>
      <c r="AJ774" s="302"/>
      <c r="AK774" s="292"/>
      <c r="AL774" s="82"/>
      <c r="AM774" s="82"/>
      <c r="AN774" s="82"/>
      <c r="AO774" s="292"/>
      <c r="AP774" s="82"/>
      <c r="AQ774" s="82"/>
      <c r="AR774" s="82"/>
      <c r="AS774" s="292"/>
      <c r="AT774" s="82"/>
      <c r="AU774" s="82"/>
      <c r="AV774" s="82"/>
    </row>
    <row r="775">
      <c r="A775" s="292"/>
      <c r="B775" s="132"/>
      <c r="C775" s="121"/>
      <c r="D775" s="82"/>
      <c r="E775" s="292"/>
      <c r="F775" s="132"/>
      <c r="G775" s="121"/>
      <c r="H775" s="82"/>
      <c r="I775" s="292"/>
      <c r="J775" s="132"/>
      <c r="K775" s="121"/>
      <c r="L775" s="82"/>
      <c r="M775" s="292"/>
      <c r="N775" s="132"/>
      <c r="O775" s="121"/>
      <c r="P775" s="82"/>
      <c r="Q775" s="292"/>
      <c r="R775" s="132"/>
      <c r="S775" s="121"/>
      <c r="T775" s="82"/>
      <c r="U775" s="292"/>
      <c r="V775" s="132"/>
      <c r="W775" s="121"/>
      <c r="X775" s="82"/>
      <c r="Y775" s="292"/>
      <c r="Z775" s="300"/>
      <c r="AA775" s="301"/>
      <c r="AB775" s="80"/>
      <c r="AC775" s="292"/>
      <c r="AD775" s="132"/>
      <c r="AE775" s="254"/>
      <c r="AF775" s="294"/>
      <c r="AG775" s="292"/>
      <c r="AH775" s="302"/>
      <c r="AI775" s="302"/>
      <c r="AJ775" s="302"/>
      <c r="AK775" s="292"/>
      <c r="AL775" s="82"/>
      <c r="AM775" s="82"/>
      <c r="AN775" s="82"/>
      <c r="AO775" s="292"/>
      <c r="AP775" s="82"/>
      <c r="AQ775" s="82"/>
      <c r="AR775" s="82"/>
      <c r="AS775" s="292"/>
      <c r="AT775" s="82"/>
      <c r="AU775" s="82"/>
      <c r="AV775" s="82"/>
    </row>
    <row r="776">
      <c r="A776" s="292"/>
      <c r="B776" s="132"/>
      <c r="C776" s="121"/>
      <c r="D776" s="82"/>
      <c r="E776" s="292"/>
      <c r="F776" s="132"/>
      <c r="G776" s="121"/>
      <c r="H776" s="82"/>
      <c r="I776" s="292"/>
      <c r="J776" s="132"/>
      <c r="K776" s="121"/>
      <c r="L776" s="82"/>
      <c r="M776" s="292"/>
      <c r="N776" s="132"/>
      <c r="O776" s="121"/>
      <c r="P776" s="82"/>
      <c r="Q776" s="292"/>
      <c r="R776" s="132"/>
      <c r="S776" s="121"/>
      <c r="T776" s="82"/>
      <c r="U776" s="292"/>
      <c r="V776" s="132"/>
      <c r="W776" s="121"/>
      <c r="X776" s="82"/>
      <c r="Y776" s="292"/>
      <c r="Z776" s="300"/>
      <c r="AA776" s="301"/>
      <c r="AB776" s="80"/>
      <c r="AC776" s="292"/>
      <c r="AD776" s="132"/>
      <c r="AE776" s="254"/>
      <c r="AF776" s="294"/>
      <c r="AG776" s="292"/>
      <c r="AH776" s="302"/>
      <c r="AI776" s="302"/>
      <c r="AJ776" s="302"/>
      <c r="AK776" s="292"/>
      <c r="AL776" s="82"/>
      <c r="AM776" s="82"/>
      <c r="AN776" s="82"/>
      <c r="AO776" s="292"/>
      <c r="AP776" s="82"/>
      <c r="AQ776" s="82"/>
      <c r="AR776" s="82"/>
      <c r="AS776" s="292"/>
      <c r="AT776" s="82"/>
      <c r="AU776" s="82"/>
      <c r="AV776" s="82"/>
    </row>
    <row r="777">
      <c r="A777" s="292"/>
      <c r="B777" s="132"/>
      <c r="C777" s="121"/>
      <c r="D777" s="82"/>
      <c r="E777" s="292"/>
      <c r="F777" s="132"/>
      <c r="G777" s="121"/>
      <c r="H777" s="82"/>
      <c r="I777" s="292"/>
      <c r="J777" s="132"/>
      <c r="K777" s="121"/>
      <c r="L777" s="82"/>
      <c r="M777" s="292"/>
      <c r="N777" s="132"/>
      <c r="O777" s="121"/>
      <c r="P777" s="82"/>
      <c r="Q777" s="292"/>
      <c r="R777" s="132"/>
      <c r="S777" s="121"/>
      <c r="T777" s="82"/>
      <c r="U777" s="292"/>
      <c r="V777" s="132"/>
      <c r="W777" s="121"/>
      <c r="X777" s="82"/>
      <c r="Y777" s="292"/>
      <c r="Z777" s="300"/>
      <c r="AA777" s="301"/>
      <c r="AB777" s="80"/>
      <c r="AC777" s="292"/>
      <c r="AD777" s="132"/>
      <c r="AE777" s="254"/>
      <c r="AF777" s="294"/>
      <c r="AG777" s="292"/>
      <c r="AH777" s="302"/>
      <c r="AI777" s="302"/>
      <c r="AJ777" s="302"/>
      <c r="AK777" s="292"/>
      <c r="AL777" s="82"/>
      <c r="AM777" s="82"/>
      <c r="AN777" s="82"/>
      <c r="AO777" s="292"/>
      <c r="AP777" s="82"/>
      <c r="AQ777" s="82"/>
      <c r="AR777" s="82"/>
      <c r="AS777" s="292"/>
      <c r="AT777" s="82"/>
      <c r="AU777" s="82"/>
      <c r="AV777" s="82"/>
    </row>
    <row r="778">
      <c r="A778" s="292"/>
      <c r="B778" s="132"/>
      <c r="C778" s="121"/>
      <c r="D778" s="82"/>
      <c r="E778" s="292"/>
      <c r="F778" s="132"/>
      <c r="G778" s="121"/>
      <c r="H778" s="82"/>
      <c r="I778" s="292"/>
      <c r="J778" s="132"/>
      <c r="K778" s="121"/>
      <c r="L778" s="82"/>
      <c r="M778" s="292"/>
      <c r="N778" s="132"/>
      <c r="O778" s="121"/>
      <c r="P778" s="82"/>
      <c r="Q778" s="292"/>
      <c r="R778" s="132"/>
      <c r="S778" s="121"/>
      <c r="T778" s="82"/>
      <c r="U778" s="292"/>
      <c r="V778" s="132"/>
      <c r="W778" s="121"/>
      <c r="X778" s="82"/>
      <c r="Y778" s="292"/>
      <c r="Z778" s="300"/>
      <c r="AA778" s="301"/>
      <c r="AB778" s="80"/>
      <c r="AC778" s="292"/>
      <c r="AD778" s="132"/>
      <c r="AE778" s="254"/>
      <c r="AF778" s="294"/>
      <c r="AG778" s="292"/>
      <c r="AH778" s="302"/>
      <c r="AI778" s="302"/>
      <c r="AJ778" s="302"/>
      <c r="AK778" s="292"/>
      <c r="AL778" s="82"/>
      <c r="AM778" s="82"/>
      <c r="AN778" s="82"/>
      <c r="AO778" s="292"/>
      <c r="AP778" s="82"/>
      <c r="AQ778" s="82"/>
      <c r="AR778" s="82"/>
      <c r="AS778" s="292"/>
      <c r="AT778" s="82"/>
      <c r="AU778" s="82"/>
      <c r="AV778" s="82"/>
    </row>
    <row r="779">
      <c r="A779" s="292"/>
      <c r="B779" s="132"/>
      <c r="C779" s="121"/>
      <c r="D779" s="82"/>
      <c r="E779" s="292"/>
      <c r="F779" s="132"/>
      <c r="G779" s="121"/>
      <c r="H779" s="82"/>
      <c r="I779" s="292"/>
      <c r="J779" s="132"/>
      <c r="K779" s="121"/>
      <c r="L779" s="82"/>
      <c r="M779" s="292"/>
      <c r="N779" s="132"/>
      <c r="O779" s="121"/>
      <c r="P779" s="82"/>
      <c r="Q779" s="292"/>
      <c r="R779" s="132"/>
      <c r="S779" s="121"/>
      <c r="T779" s="82"/>
      <c r="U779" s="292"/>
      <c r="V779" s="132"/>
      <c r="W779" s="121"/>
      <c r="X779" s="82"/>
      <c r="Y779" s="292"/>
      <c r="Z779" s="300"/>
      <c r="AA779" s="301"/>
      <c r="AB779" s="80"/>
      <c r="AC779" s="292"/>
      <c r="AD779" s="132"/>
      <c r="AE779" s="254"/>
      <c r="AF779" s="294"/>
      <c r="AG779" s="292"/>
      <c r="AH779" s="302"/>
      <c r="AI779" s="302"/>
      <c r="AJ779" s="302"/>
      <c r="AK779" s="292"/>
      <c r="AL779" s="82"/>
      <c r="AM779" s="82"/>
      <c r="AN779" s="82"/>
      <c r="AO779" s="292"/>
      <c r="AP779" s="82"/>
      <c r="AQ779" s="82"/>
      <c r="AR779" s="82"/>
      <c r="AS779" s="292"/>
      <c r="AT779" s="82"/>
      <c r="AU779" s="82"/>
      <c r="AV779" s="82"/>
    </row>
    <row r="780">
      <c r="A780" s="292"/>
      <c r="B780" s="132"/>
      <c r="C780" s="121"/>
      <c r="D780" s="82"/>
      <c r="E780" s="292"/>
      <c r="F780" s="132"/>
      <c r="G780" s="121"/>
      <c r="H780" s="82"/>
      <c r="I780" s="292"/>
      <c r="J780" s="132"/>
      <c r="K780" s="121"/>
      <c r="L780" s="82"/>
      <c r="M780" s="292"/>
      <c r="N780" s="132"/>
      <c r="O780" s="121"/>
      <c r="P780" s="82"/>
      <c r="Q780" s="292"/>
      <c r="R780" s="132"/>
      <c r="S780" s="121"/>
      <c r="T780" s="82"/>
      <c r="U780" s="292"/>
      <c r="V780" s="132"/>
      <c r="W780" s="121"/>
      <c r="X780" s="82"/>
      <c r="Y780" s="292"/>
      <c r="Z780" s="300"/>
      <c r="AA780" s="301"/>
      <c r="AB780" s="80"/>
      <c r="AC780" s="292"/>
      <c r="AD780" s="132"/>
      <c r="AE780" s="254"/>
      <c r="AF780" s="294"/>
      <c r="AG780" s="292"/>
      <c r="AH780" s="302"/>
      <c r="AI780" s="302"/>
      <c r="AJ780" s="302"/>
      <c r="AK780" s="292"/>
      <c r="AL780" s="82"/>
      <c r="AM780" s="82"/>
      <c r="AN780" s="82"/>
      <c r="AO780" s="292"/>
      <c r="AP780" s="82"/>
      <c r="AQ780" s="82"/>
      <c r="AR780" s="82"/>
      <c r="AS780" s="292"/>
      <c r="AT780" s="82"/>
      <c r="AU780" s="82"/>
      <c r="AV780" s="82"/>
    </row>
    <row r="781">
      <c r="A781" s="292"/>
      <c r="B781" s="132"/>
      <c r="C781" s="121"/>
      <c r="D781" s="82"/>
      <c r="E781" s="292"/>
      <c r="F781" s="132"/>
      <c r="G781" s="121"/>
      <c r="H781" s="82"/>
      <c r="I781" s="292"/>
      <c r="J781" s="132"/>
      <c r="K781" s="121"/>
      <c r="L781" s="82"/>
      <c r="M781" s="292"/>
      <c r="N781" s="132"/>
      <c r="O781" s="121"/>
      <c r="P781" s="82"/>
      <c r="Q781" s="292"/>
      <c r="R781" s="132"/>
      <c r="S781" s="121"/>
      <c r="T781" s="82"/>
      <c r="U781" s="292"/>
      <c r="V781" s="132"/>
      <c r="W781" s="121"/>
      <c r="X781" s="82"/>
      <c r="Y781" s="292"/>
      <c r="Z781" s="300"/>
      <c r="AA781" s="301"/>
      <c r="AB781" s="80"/>
      <c r="AC781" s="292"/>
      <c r="AD781" s="132"/>
      <c r="AE781" s="254"/>
      <c r="AF781" s="294"/>
      <c r="AG781" s="292"/>
      <c r="AH781" s="302"/>
      <c r="AI781" s="302"/>
      <c r="AJ781" s="302"/>
      <c r="AK781" s="292"/>
      <c r="AL781" s="82"/>
      <c r="AM781" s="82"/>
      <c r="AN781" s="82"/>
      <c r="AO781" s="292"/>
      <c r="AP781" s="82"/>
      <c r="AQ781" s="82"/>
      <c r="AR781" s="82"/>
      <c r="AS781" s="292"/>
      <c r="AT781" s="82"/>
      <c r="AU781" s="82"/>
      <c r="AV781" s="82"/>
    </row>
    <row r="782">
      <c r="A782" s="292"/>
      <c r="B782" s="132"/>
      <c r="C782" s="121"/>
      <c r="D782" s="82"/>
      <c r="E782" s="292"/>
      <c r="F782" s="132"/>
      <c r="G782" s="121"/>
      <c r="H782" s="82"/>
      <c r="I782" s="292"/>
      <c r="J782" s="132"/>
      <c r="K782" s="121"/>
      <c r="L782" s="82"/>
      <c r="M782" s="292"/>
      <c r="N782" s="132"/>
      <c r="O782" s="121"/>
      <c r="P782" s="82"/>
      <c r="Q782" s="292"/>
      <c r="R782" s="132"/>
      <c r="S782" s="121"/>
      <c r="T782" s="82"/>
      <c r="U782" s="292"/>
      <c r="V782" s="132"/>
      <c r="W782" s="121"/>
      <c r="X782" s="82"/>
      <c r="Y782" s="292"/>
      <c r="Z782" s="300"/>
      <c r="AA782" s="301"/>
      <c r="AB782" s="80"/>
      <c r="AC782" s="292"/>
      <c r="AD782" s="132"/>
      <c r="AE782" s="254"/>
      <c r="AF782" s="294"/>
      <c r="AG782" s="292"/>
      <c r="AH782" s="302"/>
      <c r="AI782" s="302"/>
      <c r="AJ782" s="302"/>
      <c r="AK782" s="292"/>
      <c r="AL782" s="82"/>
      <c r="AM782" s="82"/>
      <c r="AN782" s="82"/>
      <c r="AO782" s="292"/>
      <c r="AP782" s="82"/>
      <c r="AQ782" s="82"/>
      <c r="AR782" s="82"/>
      <c r="AS782" s="292"/>
      <c r="AT782" s="82"/>
      <c r="AU782" s="82"/>
      <c r="AV782" s="82"/>
    </row>
    <row r="783">
      <c r="A783" s="292"/>
      <c r="B783" s="132"/>
      <c r="C783" s="121"/>
      <c r="D783" s="82"/>
      <c r="E783" s="292"/>
      <c r="F783" s="132"/>
      <c r="G783" s="121"/>
      <c r="H783" s="82"/>
      <c r="I783" s="292"/>
      <c r="J783" s="132"/>
      <c r="K783" s="121"/>
      <c r="L783" s="82"/>
      <c r="M783" s="292"/>
      <c r="N783" s="132"/>
      <c r="O783" s="121"/>
      <c r="P783" s="82"/>
      <c r="Q783" s="292"/>
      <c r="R783" s="132"/>
      <c r="S783" s="121"/>
      <c r="T783" s="82"/>
      <c r="U783" s="292"/>
      <c r="V783" s="132"/>
      <c r="W783" s="121"/>
      <c r="X783" s="82"/>
      <c r="Y783" s="292"/>
      <c r="Z783" s="300"/>
      <c r="AA783" s="301"/>
      <c r="AB783" s="80"/>
      <c r="AC783" s="292"/>
      <c r="AD783" s="132"/>
      <c r="AE783" s="254"/>
      <c r="AF783" s="294"/>
      <c r="AG783" s="292"/>
      <c r="AH783" s="302"/>
      <c r="AI783" s="302"/>
      <c r="AJ783" s="302"/>
      <c r="AK783" s="292"/>
      <c r="AL783" s="82"/>
      <c r="AM783" s="82"/>
      <c r="AN783" s="82"/>
      <c r="AO783" s="292"/>
      <c r="AP783" s="82"/>
      <c r="AQ783" s="82"/>
      <c r="AR783" s="82"/>
      <c r="AS783" s="292"/>
      <c r="AT783" s="82"/>
      <c r="AU783" s="82"/>
      <c r="AV783" s="82"/>
    </row>
    <row r="784">
      <c r="A784" s="292"/>
      <c r="B784" s="132"/>
      <c r="C784" s="121"/>
      <c r="D784" s="82"/>
      <c r="E784" s="292"/>
      <c r="F784" s="132"/>
      <c r="G784" s="121"/>
      <c r="H784" s="82"/>
      <c r="I784" s="292"/>
      <c r="J784" s="132"/>
      <c r="K784" s="121"/>
      <c r="L784" s="82"/>
      <c r="M784" s="292"/>
      <c r="N784" s="132"/>
      <c r="O784" s="121"/>
      <c r="P784" s="82"/>
      <c r="Q784" s="292"/>
      <c r="R784" s="132"/>
      <c r="S784" s="121"/>
      <c r="T784" s="82"/>
      <c r="U784" s="292"/>
      <c r="V784" s="132"/>
      <c r="W784" s="121"/>
      <c r="X784" s="82"/>
      <c r="Y784" s="292"/>
      <c r="Z784" s="300"/>
      <c r="AA784" s="301"/>
      <c r="AB784" s="80"/>
      <c r="AC784" s="292"/>
      <c r="AD784" s="132"/>
      <c r="AE784" s="254"/>
      <c r="AF784" s="294"/>
      <c r="AG784" s="292"/>
      <c r="AH784" s="302"/>
      <c r="AI784" s="302"/>
      <c r="AJ784" s="302"/>
      <c r="AK784" s="292"/>
      <c r="AL784" s="82"/>
      <c r="AM784" s="82"/>
      <c r="AN784" s="82"/>
      <c r="AO784" s="292"/>
      <c r="AP784" s="82"/>
      <c r="AQ784" s="82"/>
      <c r="AR784" s="82"/>
      <c r="AS784" s="292"/>
      <c r="AT784" s="82"/>
      <c r="AU784" s="82"/>
      <c r="AV784" s="82"/>
    </row>
    <row r="785">
      <c r="A785" s="292"/>
      <c r="B785" s="132"/>
      <c r="C785" s="121"/>
      <c r="D785" s="82"/>
      <c r="E785" s="292"/>
      <c r="F785" s="132"/>
      <c r="G785" s="121"/>
      <c r="H785" s="82"/>
      <c r="I785" s="292"/>
      <c r="J785" s="132"/>
      <c r="K785" s="121"/>
      <c r="L785" s="82"/>
      <c r="M785" s="292"/>
      <c r="N785" s="132"/>
      <c r="O785" s="121"/>
      <c r="P785" s="82"/>
      <c r="Q785" s="292"/>
      <c r="R785" s="132"/>
      <c r="S785" s="121"/>
      <c r="T785" s="82"/>
      <c r="U785" s="292"/>
      <c r="V785" s="132"/>
      <c r="W785" s="121"/>
      <c r="X785" s="82"/>
      <c r="Y785" s="292"/>
      <c r="Z785" s="300"/>
      <c r="AA785" s="301"/>
      <c r="AB785" s="80"/>
      <c r="AC785" s="292"/>
      <c r="AD785" s="132"/>
      <c r="AE785" s="254"/>
      <c r="AF785" s="294"/>
      <c r="AG785" s="292"/>
      <c r="AH785" s="302"/>
      <c r="AI785" s="302"/>
      <c r="AJ785" s="302"/>
      <c r="AK785" s="292"/>
      <c r="AL785" s="82"/>
      <c r="AM785" s="82"/>
      <c r="AN785" s="82"/>
      <c r="AO785" s="292"/>
      <c r="AP785" s="82"/>
      <c r="AQ785" s="82"/>
      <c r="AR785" s="82"/>
      <c r="AS785" s="292"/>
      <c r="AT785" s="82"/>
      <c r="AU785" s="82"/>
      <c r="AV785" s="82"/>
    </row>
    <row r="786">
      <c r="A786" s="292"/>
      <c r="B786" s="132"/>
      <c r="C786" s="121"/>
      <c r="D786" s="82"/>
      <c r="E786" s="292"/>
      <c r="F786" s="132"/>
      <c r="G786" s="121"/>
      <c r="H786" s="82"/>
      <c r="I786" s="292"/>
      <c r="J786" s="132"/>
      <c r="K786" s="121"/>
      <c r="L786" s="82"/>
      <c r="M786" s="292"/>
      <c r="N786" s="132"/>
      <c r="O786" s="121"/>
      <c r="P786" s="82"/>
      <c r="Q786" s="292"/>
      <c r="R786" s="132"/>
      <c r="S786" s="121"/>
      <c r="T786" s="82"/>
      <c r="U786" s="292"/>
      <c r="V786" s="132"/>
      <c r="W786" s="121"/>
      <c r="X786" s="82"/>
      <c r="Y786" s="292"/>
      <c r="Z786" s="300"/>
      <c r="AA786" s="301"/>
      <c r="AB786" s="80"/>
      <c r="AC786" s="292"/>
      <c r="AD786" s="132"/>
      <c r="AE786" s="254"/>
      <c r="AF786" s="294"/>
      <c r="AG786" s="292"/>
      <c r="AH786" s="302"/>
      <c r="AI786" s="302"/>
      <c r="AJ786" s="302"/>
      <c r="AK786" s="292"/>
      <c r="AL786" s="82"/>
      <c r="AM786" s="82"/>
      <c r="AN786" s="82"/>
      <c r="AO786" s="292"/>
      <c r="AP786" s="82"/>
      <c r="AQ786" s="82"/>
      <c r="AR786" s="82"/>
      <c r="AS786" s="292"/>
      <c r="AT786" s="82"/>
      <c r="AU786" s="82"/>
      <c r="AV786" s="82"/>
    </row>
    <row r="787">
      <c r="A787" s="292"/>
      <c r="B787" s="132"/>
      <c r="C787" s="121"/>
      <c r="D787" s="82"/>
      <c r="E787" s="292"/>
      <c r="F787" s="132"/>
      <c r="G787" s="121"/>
      <c r="H787" s="82"/>
      <c r="I787" s="292"/>
      <c r="J787" s="132"/>
      <c r="K787" s="121"/>
      <c r="L787" s="82"/>
      <c r="M787" s="292"/>
      <c r="N787" s="132"/>
      <c r="O787" s="121"/>
      <c r="P787" s="82"/>
      <c r="Q787" s="292"/>
      <c r="R787" s="132"/>
      <c r="S787" s="121"/>
      <c r="T787" s="82"/>
      <c r="U787" s="292"/>
      <c r="V787" s="132"/>
      <c r="W787" s="121"/>
      <c r="X787" s="82"/>
      <c r="Y787" s="292"/>
      <c r="Z787" s="300"/>
      <c r="AA787" s="301"/>
      <c r="AB787" s="80"/>
      <c r="AC787" s="292"/>
      <c r="AD787" s="132"/>
      <c r="AE787" s="254"/>
      <c r="AF787" s="294"/>
      <c r="AG787" s="292"/>
      <c r="AH787" s="302"/>
      <c r="AI787" s="302"/>
      <c r="AJ787" s="302"/>
      <c r="AK787" s="292"/>
      <c r="AL787" s="82"/>
      <c r="AM787" s="82"/>
      <c r="AN787" s="82"/>
      <c r="AO787" s="292"/>
      <c r="AP787" s="82"/>
      <c r="AQ787" s="82"/>
      <c r="AR787" s="82"/>
      <c r="AS787" s="292"/>
      <c r="AT787" s="82"/>
      <c r="AU787" s="82"/>
      <c r="AV787" s="82"/>
    </row>
    <row r="788">
      <c r="A788" s="292"/>
      <c r="B788" s="132"/>
      <c r="C788" s="121"/>
      <c r="D788" s="82"/>
      <c r="E788" s="292"/>
      <c r="F788" s="132"/>
      <c r="G788" s="121"/>
      <c r="H788" s="82"/>
      <c r="I788" s="292"/>
      <c r="J788" s="132"/>
      <c r="K788" s="121"/>
      <c r="L788" s="82"/>
      <c r="M788" s="292"/>
      <c r="N788" s="132"/>
      <c r="O788" s="121"/>
      <c r="P788" s="82"/>
      <c r="Q788" s="292"/>
      <c r="R788" s="132"/>
      <c r="S788" s="121"/>
      <c r="T788" s="82"/>
      <c r="U788" s="292"/>
      <c r="V788" s="132"/>
      <c r="W788" s="121"/>
      <c r="X788" s="82"/>
      <c r="Y788" s="292"/>
      <c r="Z788" s="300"/>
      <c r="AA788" s="301"/>
      <c r="AB788" s="80"/>
      <c r="AC788" s="292"/>
      <c r="AD788" s="132"/>
      <c r="AE788" s="254"/>
      <c r="AF788" s="294"/>
      <c r="AG788" s="292"/>
      <c r="AH788" s="302"/>
      <c r="AI788" s="302"/>
      <c r="AJ788" s="302"/>
      <c r="AK788" s="292"/>
      <c r="AL788" s="82"/>
      <c r="AM788" s="82"/>
      <c r="AN788" s="82"/>
      <c r="AO788" s="292"/>
      <c r="AP788" s="82"/>
      <c r="AQ788" s="82"/>
      <c r="AR788" s="82"/>
      <c r="AS788" s="292"/>
      <c r="AT788" s="82"/>
      <c r="AU788" s="82"/>
      <c r="AV788" s="82"/>
    </row>
    <row r="789">
      <c r="A789" s="292"/>
      <c r="B789" s="132"/>
      <c r="C789" s="121"/>
      <c r="D789" s="82"/>
      <c r="E789" s="292"/>
      <c r="F789" s="132"/>
      <c r="G789" s="121"/>
      <c r="H789" s="82"/>
      <c r="I789" s="292"/>
      <c r="J789" s="132"/>
      <c r="K789" s="121"/>
      <c r="L789" s="82"/>
      <c r="M789" s="292"/>
      <c r="N789" s="132"/>
      <c r="O789" s="121"/>
      <c r="P789" s="82"/>
      <c r="Q789" s="292"/>
      <c r="R789" s="132"/>
      <c r="S789" s="121"/>
      <c r="T789" s="82"/>
      <c r="U789" s="292"/>
      <c r="V789" s="132"/>
      <c r="W789" s="121"/>
      <c r="X789" s="82"/>
      <c r="Y789" s="292"/>
      <c r="Z789" s="300"/>
      <c r="AA789" s="301"/>
      <c r="AB789" s="80"/>
      <c r="AC789" s="292"/>
      <c r="AD789" s="132"/>
      <c r="AE789" s="254"/>
      <c r="AF789" s="294"/>
      <c r="AG789" s="292"/>
      <c r="AH789" s="302"/>
      <c r="AI789" s="302"/>
      <c r="AJ789" s="302"/>
      <c r="AK789" s="292"/>
      <c r="AL789" s="82"/>
      <c r="AM789" s="82"/>
      <c r="AN789" s="82"/>
      <c r="AO789" s="292"/>
      <c r="AP789" s="82"/>
      <c r="AQ789" s="82"/>
      <c r="AR789" s="82"/>
      <c r="AS789" s="292"/>
      <c r="AT789" s="82"/>
      <c r="AU789" s="82"/>
      <c r="AV789" s="82"/>
    </row>
    <row r="790">
      <c r="A790" s="292"/>
      <c r="B790" s="132"/>
      <c r="C790" s="121"/>
      <c r="D790" s="82"/>
      <c r="E790" s="292"/>
      <c r="F790" s="132"/>
      <c r="G790" s="121"/>
      <c r="H790" s="82"/>
      <c r="I790" s="292"/>
      <c r="J790" s="132"/>
      <c r="K790" s="121"/>
      <c r="L790" s="82"/>
      <c r="M790" s="292"/>
      <c r="N790" s="132"/>
      <c r="O790" s="121"/>
      <c r="P790" s="82"/>
      <c r="Q790" s="292"/>
      <c r="R790" s="132"/>
      <c r="S790" s="121"/>
      <c r="T790" s="82"/>
      <c r="U790" s="292"/>
      <c r="V790" s="132"/>
      <c r="W790" s="121"/>
      <c r="X790" s="82"/>
      <c r="Y790" s="292"/>
      <c r="Z790" s="300"/>
      <c r="AA790" s="301"/>
      <c r="AB790" s="80"/>
      <c r="AC790" s="292"/>
      <c r="AD790" s="132"/>
      <c r="AE790" s="254"/>
      <c r="AF790" s="294"/>
      <c r="AG790" s="292"/>
      <c r="AH790" s="302"/>
      <c r="AI790" s="302"/>
      <c r="AJ790" s="302"/>
      <c r="AK790" s="292"/>
      <c r="AL790" s="82"/>
      <c r="AM790" s="82"/>
      <c r="AN790" s="82"/>
      <c r="AO790" s="292"/>
      <c r="AP790" s="82"/>
      <c r="AQ790" s="82"/>
      <c r="AR790" s="82"/>
      <c r="AS790" s="292"/>
      <c r="AT790" s="82"/>
      <c r="AU790" s="82"/>
      <c r="AV790" s="82"/>
    </row>
    <row r="791">
      <c r="A791" s="292"/>
      <c r="B791" s="132"/>
      <c r="C791" s="121"/>
      <c r="D791" s="82"/>
      <c r="E791" s="292"/>
      <c r="F791" s="132"/>
      <c r="G791" s="121"/>
      <c r="H791" s="82"/>
      <c r="I791" s="292"/>
      <c r="J791" s="132"/>
      <c r="K791" s="121"/>
      <c r="L791" s="82"/>
      <c r="M791" s="292"/>
      <c r="N791" s="132"/>
      <c r="O791" s="121"/>
      <c r="P791" s="82"/>
      <c r="Q791" s="292"/>
      <c r="R791" s="132"/>
      <c r="S791" s="121"/>
      <c r="T791" s="82"/>
      <c r="U791" s="292"/>
      <c r="V791" s="132"/>
      <c r="W791" s="121"/>
      <c r="X791" s="82"/>
      <c r="Y791" s="292"/>
      <c r="Z791" s="300"/>
      <c r="AA791" s="301"/>
      <c r="AB791" s="80"/>
      <c r="AC791" s="292"/>
      <c r="AD791" s="132"/>
      <c r="AE791" s="254"/>
      <c r="AF791" s="294"/>
      <c r="AG791" s="292"/>
      <c r="AH791" s="302"/>
      <c r="AI791" s="302"/>
      <c r="AJ791" s="302"/>
      <c r="AK791" s="292"/>
      <c r="AL791" s="82"/>
      <c r="AM791" s="82"/>
      <c r="AN791" s="82"/>
      <c r="AO791" s="292"/>
      <c r="AP791" s="82"/>
      <c r="AQ791" s="82"/>
      <c r="AR791" s="82"/>
      <c r="AS791" s="292"/>
      <c r="AT791" s="82"/>
      <c r="AU791" s="82"/>
      <c r="AV791" s="82"/>
    </row>
    <row r="792">
      <c r="A792" s="292"/>
      <c r="B792" s="132"/>
      <c r="C792" s="121"/>
      <c r="D792" s="82"/>
      <c r="E792" s="292"/>
      <c r="F792" s="132"/>
      <c r="G792" s="121"/>
      <c r="H792" s="82"/>
      <c r="I792" s="292"/>
      <c r="J792" s="132"/>
      <c r="K792" s="121"/>
      <c r="L792" s="82"/>
      <c r="M792" s="292"/>
      <c r="N792" s="132"/>
      <c r="O792" s="121"/>
      <c r="P792" s="82"/>
      <c r="Q792" s="292"/>
      <c r="R792" s="132"/>
      <c r="S792" s="121"/>
      <c r="T792" s="82"/>
      <c r="U792" s="292"/>
      <c r="V792" s="132"/>
      <c r="W792" s="121"/>
      <c r="X792" s="82"/>
      <c r="Y792" s="292"/>
      <c r="Z792" s="300"/>
      <c r="AA792" s="301"/>
      <c r="AB792" s="80"/>
      <c r="AC792" s="292"/>
      <c r="AD792" s="132"/>
      <c r="AE792" s="254"/>
      <c r="AF792" s="294"/>
      <c r="AG792" s="292"/>
      <c r="AH792" s="302"/>
      <c r="AI792" s="302"/>
      <c r="AJ792" s="302"/>
      <c r="AK792" s="292"/>
      <c r="AL792" s="82"/>
      <c r="AM792" s="82"/>
      <c r="AN792" s="82"/>
      <c r="AO792" s="292"/>
      <c r="AP792" s="82"/>
      <c r="AQ792" s="82"/>
      <c r="AR792" s="82"/>
      <c r="AS792" s="292"/>
      <c r="AT792" s="82"/>
      <c r="AU792" s="82"/>
      <c r="AV792" s="82"/>
    </row>
    <row r="793">
      <c r="A793" s="292"/>
      <c r="B793" s="132"/>
      <c r="C793" s="121"/>
      <c r="D793" s="82"/>
      <c r="E793" s="292"/>
      <c r="F793" s="132"/>
      <c r="G793" s="121"/>
      <c r="H793" s="82"/>
      <c r="I793" s="292"/>
      <c r="J793" s="132"/>
      <c r="K793" s="121"/>
      <c r="L793" s="82"/>
      <c r="M793" s="292"/>
      <c r="N793" s="132"/>
      <c r="O793" s="121"/>
      <c r="P793" s="82"/>
      <c r="Q793" s="292"/>
      <c r="R793" s="132"/>
      <c r="S793" s="121"/>
      <c r="T793" s="82"/>
      <c r="U793" s="292"/>
      <c r="V793" s="132"/>
      <c r="W793" s="121"/>
      <c r="X793" s="82"/>
      <c r="Y793" s="292"/>
      <c r="Z793" s="300"/>
      <c r="AA793" s="301"/>
      <c r="AB793" s="80"/>
      <c r="AC793" s="292"/>
      <c r="AD793" s="132"/>
      <c r="AE793" s="254"/>
      <c r="AF793" s="294"/>
      <c r="AG793" s="292"/>
      <c r="AH793" s="302"/>
      <c r="AI793" s="302"/>
      <c r="AJ793" s="302"/>
      <c r="AK793" s="292"/>
      <c r="AL793" s="82"/>
      <c r="AM793" s="82"/>
      <c r="AN793" s="82"/>
      <c r="AO793" s="292"/>
      <c r="AP793" s="82"/>
      <c r="AQ793" s="82"/>
      <c r="AR793" s="82"/>
      <c r="AS793" s="292"/>
      <c r="AT793" s="82"/>
      <c r="AU793" s="82"/>
      <c r="AV793" s="82"/>
    </row>
    <row r="794">
      <c r="A794" s="292"/>
      <c r="B794" s="132"/>
      <c r="C794" s="121"/>
      <c r="D794" s="82"/>
      <c r="E794" s="292"/>
      <c r="F794" s="132"/>
      <c r="G794" s="121"/>
      <c r="H794" s="82"/>
      <c r="I794" s="292"/>
      <c r="J794" s="132"/>
      <c r="K794" s="121"/>
      <c r="L794" s="82"/>
      <c r="M794" s="292"/>
      <c r="N794" s="132"/>
      <c r="O794" s="121"/>
      <c r="P794" s="82"/>
      <c r="Q794" s="292"/>
      <c r="R794" s="132"/>
      <c r="S794" s="121"/>
      <c r="T794" s="82"/>
      <c r="U794" s="292"/>
      <c r="V794" s="132"/>
      <c r="W794" s="121"/>
      <c r="X794" s="82"/>
      <c r="Y794" s="292"/>
      <c r="Z794" s="300"/>
      <c r="AA794" s="301"/>
      <c r="AB794" s="80"/>
      <c r="AC794" s="292"/>
      <c r="AD794" s="132"/>
      <c r="AE794" s="254"/>
      <c r="AF794" s="294"/>
      <c r="AG794" s="292"/>
      <c r="AH794" s="302"/>
      <c r="AI794" s="302"/>
      <c r="AJ794" s="302"/>
      <c r="AK794" s="292"/>
      <c r="AL794" s="82"/>
      <c r="AM794" s="82"/>
      <c r="AN794" s="82"/>
      <c r="AO794" s="292"/>
      <c r="AP794" s="82"/>
      <c r="AQ794" s="82"/>
      <c r="AR794" s="82"/>
      <c r="AS794" s="292"/>
      <c r="AT794" s="82"/>
      <c r="AU794" s="82"/>
      <c r="AV794" s="82"/>
    </row>
    <row r="795">
      <c r="A795" s="292"/>
      <c r="B795" s="132"/>
      <c r="C795" s="121"/>
      <c r="D795" s="82"/>
      <c r="E795" s="292"/>
      <c r="F795" s="132"/>
      <c r="G795" s="121"/>
      <c r="H795" s="82"/>
      <c r="I795" s="292"/>
      <c r="J795" s="132"/>
      <c r="K795" s="121"/>
      <c r="L795" s="82"/>
      <c r="M795" s="292"/>
      <c r="N795" s="132"/>
      <c r="O795" s="121"/>
      <c r="P795" s="82"/>
      <c r="Q795" s="292"/>
      <c r="R795" s="132"/>
      <c r="S795" s="121"/>
      <c r="T795" s="82"/>
      <c r="U795" s="292"/>
      <c r="V795" s="132"/>
      <c r="W795" s="121"/>
      <c r="X795" s="82"/>
      <c r="Y795" s="292"/>
      <c r="Z795" s="300"/>
      <c r="AA795" s="301"/>
      <c r="AB795" s="80"/>
      <c r="AC795" s="292"/>
      <c r="AD795" s="132"/>
      <c r="AE795" s="254"/>
      <c r="AF795" s="294"/>
      <c r="AG795" s="292"/>
      <c r="AH795" s="302"/>
      <c r="AI795" s="302"/>
      <c r="AJ795" s="302"/>
      <c r="AK795" s="292"/>
      <c r="AL795" s="82"/>
      <c r="AM795" s="82"/>
      <c r="AN795" s="82"/>
      <c r="AO795" s="292"/>
      <c r="AP795" s="82"/>
      <c r="AQ795" s="82"/>
      <c r="AR795" s="82"/>
      <c r="AS795" s="292"/>
      <c r="AT795" s="82"/>
      <c r="AU795" s="82"/>
      <c r="AV795" s="82"/>
    </row>
    <row r="796">
      <c r="A796" s="292"/>
      <c r="B796" s="132"/>
      <c r="C796" s="121"/>
      <c r="D796" s="82"/>
      <c r="E796" s="292"/>
      <c r="F796" s="132"/>
      <c r="G796" s="121"/>
      <c r="H796" s="82"/>
      <c r="I796" s="292"/>
      <c r="J796" s="132"/>
      <c r="K796" s="121"/>
      <c r="L796" s="82"/>
      <c r="M796" s="292"/>
      <c r="N796" s="132"/>
      <c r="O796" s="121"/>
      <c r="P796" s="82"/>
      <c r="Q796" s="292"/>
      <c r="R796" s="132"/>
      <c r="S796" s="121"/>
      <c r="T796" s="82"/>
      <c r="U796" s="292"/>
      <c r="V796" s="132"/>
      <c r="W796" s="121"/>
      <c r="X796" s="82"/>
      <c r="Y796" s="292"/>
      <c r="Z796" s="300"/>
      <c r="AA796" s="301"/>
      <c r="AB796" s="80"/>
      <c r="AC796" s="292"/>
      <c r="AD796" s="132"/>
      <c r="AE796" s="254"/>
      <c r="AF796" s="294"/>
      <c r="AG796" s="292"/>
      <c r="AH796" s="302"/>
      <c r="AI796" s="302"/>
      <c r="AJ796" s="302"/>
      <c r="AK796" s="292"/>
      <c r="AL796" s="82"/>
      <c r="AM796" s="82"/>
      <c r="AN796" s="82"/>
      <c r="AO796" s="292"/>
      <c r="AP796" s="82"/>
      <c r="AQ796" s="82"/>
      <c r="AR796" s="82"/>
      <c r="AS796" s="292"/>
      <c r="AT796" s="82"/>
      <c r="AU796" s="82"/>
      <c r="AV796" s="82"/>
    </row>
    <row r="797">
      <c r="A797" s="292"/>
      <c r="B797" s="132"/>
      <c r="C797" s="121"/>
      <c r="D797" s="82"/>
      <c r="E797" s="292"/>
      <c r="F797" s="132"/>
      <c r="G797" s="121"/>
      <c r="H797" s="82"/>
      <c r="I797" s="292"/>
      <c r="J797" s="132"/>
      <c r="K797" s="121"/>
      <c r="L797" s="82"/>
      <c r="M797" s="292"/>
      <c r="N797" s="132"/>
      <c r="O797" s="121"/>
      <c r="P797" s="82"/>
      <c r="Q797" s="292"/>
      <c r="R797" s="132"/>
      <c r="S797" s="121"/>
      <c r="T797" s="82"/>
      <c r="U797" s="292"/>
      <c r="V797" s="132"/>
      <c r="W797" s="121"/>
      <c r="X797" s="82"/>
      <c r="Y797" s="292"/>
      <c r="Z797" s="300"/>
      <c r="AA797" s="301"/>
      <c r="AB797" s="80"/>
      <c r="AC797" s="292"/>
      <c r="AD797" s="132"/>
      <c r="AE797" s="254"/>
      <c r="AF797" s="294"/>
      <c r="AG797" s="292"/>
      <c r="AH797" s="302"/>
      <c r="AI797" s="302"/>
      <c r="AJ797" s="302"/>
      <c r="AK797" s="292"/>
      <c r="AL797" s="82"/>
      <c r="AM797" s="82"/>
      <c r="AN797" s="82"/>
      <c r="AO797" s="292"/>
      <c r="AP797" s="82"/>
      <c r="AQ797" s="82"/>
      <c r="AR797" s="82"/>
      <c r="AS797" s="292"/>
      <c r="AT797" s="82"/>
      <c r="AU797" s="82"/>
      <c r="AV797" s="82"/>
    </row>
    <row r="798">
      <c r="A798" s="292"/>
      <c r="B798" s="132"/>
      <c r="C798" s="121"/>
      <c r="D798" s="82"/>
      <c r="E798" s="292"/>
      <c r="F798" s="132"/>
      <c r="G798" s="121"/>
      <c r="H798" s="82"/>
      <c r="I798" s="292"/>
      <c r="J798" s="132"/>
      <c r="K798" s="121"/>
      <c r="L798" s="82"/>
      <c r="M798" s="292"/>
      <c r="N798" s="132"/>
      <c r="O798" s="121"/>
      <c r="P798" s="82"/>
      <c r="Q798" s="292"/>
      <c r="R798" s="132"/>
      <c r="S798" s="121"/>
      <c r="T798" s="82"/>
      <c r="U798" s="292"/>
      <c r="V798" s="132"/>
      <c r="W798" s="121"/>
      <c r="X798" s="82"/>
      <c r="Y798" s="292"/>
      <c r="Z798" s="300"/>
      <c r="AA798" s="301"/>
      <c r="AB798" s="80"/>
      <c r="AC798" s="292"/>
      <c r="AD798" s="132"/>
      <c r="AE798" s="254"/>
      <c r="AF798" s="294"/>
      <c r="AG798" s="292"/>
      <c r="AH798" s="302"/>
      <c r="AI798" s="302"/>
      <c r="AJ798" s="302"/>
      <c r="AK798" s="292"/>
      <c r="AL798" s="82"/>
      <c r="AM798" s="82"/>
      <c r="AN798" s="82"/>
      <c r="AO798" s="292"/>
      <c r="AP798" s="82"/>
      <c r="AQ798" s="82"/>
      <c r="AR798" s="82"/>
      <c r="AS798" s="292"/>
      <c r="AT798" s="82"/>
      <c r="AU798" s="82"/>
      <c r="AV798" s="82"/>
    </row>
    <row r="799">
      <c r="A799" s="292"/>
      <c r="B799" s="132"/>
      <c r="C799" s="121"/>
      <c r="D799" s="82"/>
      <c r="E799" s="292"/>
      <c r="F799" s="132"/>
      <c r="G799" s="121"/>
      <c r="H799" s="82"/>
      <c r="I799" s="292"/>
      <c r="J799" s="132"/>
      <c r="K799" s="121"/>
      <c r="L799" s="82"/>
      <c r="M799" s="292"/>
      <c r="N799" s="132"/>
      <c r="O799" s="121"/>
      <c r="P799" s="82"/>
      <c r="Q799" s="292"/>
      <c r="R799" s="132"/>
      <c r="S799" s="121"/>
      <c r="T799" s="82"/>
      <c r="U799" s="292"/>
      <c r="V799" s="132"/>
      <c r="W799" s="121"/>
      <c r="X799" s="82"/>
      <c r="Y799" s="292"/>
      <c r="Z799" s="300"/>
      <c r="AA799" s="301"/>
      <c r="AB799" s="80"/>
      <c r="AC799" s="292"/>
      <c r="AD799" s="132"/>
      <c r="AE799" s="254"/>
      <c r="AF799" s="294"/>
      <c r="AG799" s="292"/>
      <c r="AH799" s="302"/>
      <c r="AI799" s="302"/>
      <c r="AJ799" s="302"/>
      <c r="AK799" s="292"/>
      <c r="AL799" s="82"/>
      <c r="AM799" s="82"/>
      <c r="AN799" s="82"/>
      <c r="AO799" s="292"/>
      <c r="AP799" s="82"/>
      <c r="AQ799" s="82"/>
      <c r="AR799" s="82"/>
      <c r="AS799" s="292"/>
      <c r="AT799" s="82"/>
      <c r="AU799" s="82"/>
      <c r="AV799" s="82"/>
    </row>
    <row r="800">
      <c r="A800" s="292"/>
      <c r="B800" s="132"/>
      <c r="C800" s="121"/>
      <c r="D800" s="82"/>
      <c r="E800" s="292"/>
      <c r="F800" s="132"/>
      <c r="G800" s="121"/>
      <c r="H800" s="82"/>
      <c r="I800" s="292"/>
      <c r="J800" s="132"/>
      <c r="K800" s="121"/>
      <c r="L800" s="82"/>
      <c r="M800" s="292"/>
      <c r="N800" s="132"/>
      <c r="O800" s="121"/>
      <c r="P800" s="82"/>
      <c r="Q800" s="292"/>
      <c r="R800" s="132"/>
      <c r="S800" s="121"/>
      <c r="T800" s="82"/>
      <c r="U800" s="292"/>
      <c r="V800" s="132"/>
      <c r="W800" s="121"/>
      <c r="X800" s="82"/>
      <c r="Y800" s="292"/>
      <c r="Z800" s="300"/>
      <c r="AA800" s="301"/>
      <c r="AB800" s="80"/>
      <c r="AC800" s="292"/>
      <c r="AD800" s="132"/>
      <c r="AE800" s="254"/>
      <c r="AF800" s="294"/>
      <c r="AG800" s="292"/>
      <c r="AH800" s="302"/>
      <c r="AI800" s="302"/>
      <c r="AJ800" s="302"/>
      <c r="AK800" s="292"/>
      <c r="AL800" s="82"/>
      <c r="AM800" s="82"/>
      <c r="AN800" s="82"/>
      <c r="AO800" s="292"/>
      <c r="AP800" s="82"/>
      <c r="AQ800" s="82"/>
      <c r="AR800" s="82"/>
      <c r="AS800" s="292"/>
      <c r="AT800" s="82"/>
      <c r="AU800" s="82"/>
      <c r="AV800" s="82"/>
    </row>
    <row r="801">
      <c r="A801" s="292"/>
      <c r="B801" s="132"/>
      <c r="C801" s="121"/>
      <c r="D801" s="82"/>
      <c r="E801" s="292"/>
      <c r="F801" s="132"/>
      <c r="G801" s="121"/>
      <c r="H801" s="82"/>
      <c r="I801" s="292"/>
      <c r="J801" s="132"/>
      <c r="K801" s="121"/>
      <c r="L801" s="82"/>
      <c r="M801" s="292"/>
      <c r="N801" s="132"/>
      <c r="O801" s="121"/>
      <c r="P801" s="82"/>
      <c r="Q801" s="292"/>
      <c r="R801" s="132"/>
      <c r="S801" s="121"/>
      <c r="T801" s="82"/>
      <c r="U801" s="292"/>
      <c r="V801" s="132"/>
      <c r="W801" s="121"/>
      <c r="X801" s="82"/>
      <c r="Y801" s="292"/>
      <c r="Z801" s="300"/>
      <c r="AA801" s="301"/>
      <c r="AB801" s="80"/>
      <c r="AC801" s="292"/>
      <c r="AD801" s="132"/>
      <c r="AE801" s="254"/>
      <c r="AF801" s="294"/>
      <c r="AG801" s="292"/>
      <c r="AH801" s="302"/>
      <c r="AI801" s="302"/>
      <c r="AJ801" s="302"/>
      <c r="AK801" s="292"/>
      <c r="AL801" s="82"/>
      <c r="AM801" s="82"/>
      <c r="AN801" s="82"/>
      <c r="AO801" s="292"/>
      <c r="AP801" s="82"/>
      <c r="AQ801" s="82"/>
      <c r="AR801" s="82"/>
      <c r="AS801" s="292"/>
      <c r="AT801" s="82"/>
      <c r="AU801" s="82"/>
      <c r="AV801" s="82"/>
    </row>
    <row r="802">
      <c r="A802" s="292"/>
      <c r="B802" s="132"/>
      <c r="C802" s="121"/>
      <c r="D802" s="82"/>
      <c r="E802" s="292"/>
      <c r="F802" s="132"/>
      <c r="G802" s="121"/>
      <c r="H802" s="82"/>
      <c r="I802" s="292"/>
      <c r="J802" s="132"/>
      <c r="K802" s="121"/>
      <c r="L802" s="82"/>
      <c r="M802" s="292"/>
      <c r="N802" s="132"/>
      <c r="O802" s="121"/>
      <c r="P802" s="82"/>
      <c r="Q802" s="292"/>
      <c r="R802" s="132"/>
      <c r="S802" s="121"/>
      <c r="T802" s="82"/>
      <c r="U802" s="292"/>
      <c r="V802" s="132"/>
      <c r="W802" s="121"/>
      <c r="X802" s="82"/>
      <c r="Y802" s="292"/>
      <c r="Z802" s="300"/>
      <c r="AA802" s="301"/>
      <c r="AB802" s="80"/>
      <c r="AC802" s="292"/>
      <c r="AD802" s="132"/>
      <c r="AE802" s="254"/>
      <c r="AF802" s="294"/>
      <c r="AG802" s="292"/>
      <c r="AH802" s="302"/>
      <c r="AI802" s="302"/>
      <c r="AJ802" s="302"/>
      <c r="AK802" s="292"/>
      <c r="AL802" s="82"/>
      <c r="AM802" s="82"/>
      <c r="AN802" s="82"/>
      <c r="AO802" s="292"/>
      <c r="AP802" s="82"/>
      <c r="AQ802" s="82"/>
      <c r="AR802" s="82"/>
      <c r="AS802" s="292"/>
      <c r="AT802" s="82"/>
      <c r="AU802" s="82"/>
      <c r="AV802" s="82"/>
    </row>
    <row r="803">
      <c r="A803" s="292"/>
      <c r="B803" s="132"/>
      <c r="C803" s="121"/>
      <c r="D803" s="82"/>
      <c r="E803" s="292"/>
      <c r="F803" s="132"/>
      <c r="G803" s="121"/>
      <c r="H803" s="82"/>
      <c r="I803" s="292"/>
      <c r="J803" s="132"/>
      <c r="K803" s="121"/>
      <c r="L803" s="82"/>
      <c r="M803" s="292"/>
      <c r="N803" s="132"/>
      <c r="O803" s="121"/>
      <c r="P803" s="82"/>
      <c r="Q803" s="292"/>
      <c r="R803" s="132"/>
      <c r="S803" s="121"/>
      <c r="T803" s="82"/>
      <c r="U803" s="292"/>
      <c r="V803" s="132"/>
      <c r="W803" s="121"/>
      <c r="X803" s="82"/>
      <c r="Y803" s="292"/>
      <c r="Z803" s="300"/>
      <c r="AA803" s="301"/>
      <c r="AB803" s="80"/>
      <c r="AC803" s="292"/>
      <c r="AD803" s="132"/>
      <c r="AE803" s="254"/>
      <c r="AF803" s="294"/>
      <c r="AG803" s="292"/>
      <c r="AH803" s="302"/>
      <c r="AI803" s="302"/>
      <c r="AJ803" s="302"/>
      <c r="AK803" s="292"/>
      <c r="AL803" s="82"/>
      <c r="AM803" s="82"/>
      <c r="AN803" s="82"/>
      <c r="AO803" s="292"/>
      <c r="AP803" s="82"/>
      <c r="AQ803" s="82"/>
      <c r="AR803" s="82"/>
      <c r="AS803" s="292"/>
      <c r="AT803" s="82"/>
      <c r="AU803" s="82"/>
      <c r="AV803" s="82"/>
    </row>
    <row r="804">
      <c r="A804" s="292"/>
      <c r="B804" s="132"/>
      <c r="C804" s="121"/>
      <c r="D804" s="82"/>
      <c r="E804" s="292"/>
      <c r="F804" s="132"/>
      <c r="G804" s="121"/>
      <c r="H804" s="82"/>
      <c r="I804" s="292"/>
      <c r="J804" s="132"/>
      <c r="K804" s="121"/>
      <c r="L804" s="82"/>
      <c r="M804" s="292"/>
      <c r="N804" s="132"/>
      <c r="O804" s="121"/>
      <c r="P804" s="82"/>
      <c r="Q804" s="292"/>
      <c r="R804" s="132"/>
      <c r="S804" s="121"/>
      <c r="T804" s="82"/>
      <c r="U804" s="292"/>
      <c r="V804" s="132"/>
      <c r="W804" s="121"/>
      <c r="X804" s="82"/>
      <c r="Y804" s="292"/>
      <c r="Z804" s="300"/>
      <c r="AA804" s="301"/>
      <c r="AB804" s="80"/>
      <c r="AC804" s="292"/>
      <c r="AD804" s="132"/>
      <c r="AE804" s="254"/>
      <c r="AF804" s="294"/>
      <c r="AG804" s="292"/>
      <c r="AH804" s="302"/>
      <c r="AI804" s="302"/>
      <c r="AJ804" s="302"/>
      <c r="AK804" s="292"/>
      <c r="AL804" s="82"/>
      <c r="AM804" s="82"/>
      <c r="AN804" s="82"/>
      <c r="AO804" s="292"/>
      <c r="AP804" s="82"/>
      <c r="AQ804" s="82"/>
      <c r="AR804" s="82"/>
      <c r="AS804" s="292"/>
      <c r="AT804" s="82"/>
      <c r="AU804" s="82"/>
      <c r="AV804" s="82"/>
    </row>
    <row r="805">
      <c r="A805" s="292"/>
      <c r="B805" s="132"/>
      <c r="C805" s="121"/>
      <c r="D805" s="82"/>
      <c r="E805" s="292"/>
      <c r="F805" s="132"/>
      <c r="G805" s="121"/>
      <c r="H805" s="82"/>
      <c r="I805" s="292"/>
      <c r="J805" s="132"/>
      <c r="K805" s="121"/>
      <c r="L805" s="82"/>
      <c r="M805" s="292"/>
      <c r="N805" s="132"/>
      <c r="O805" s="121"/>
      <c r="P805" s="82"/>
      <c r="Q805" s="292"/>
      <c r="R805" s="132"/>
      <c r="S805" s="121"/>
      <c r="T805" s="82"/>
      <c r="U805" s="292"/>
      <c r="V805" s="132"/>
      <c r="W805" s="121"/>
      <c r="X805" s="82"/>
      <c r="Y805" s="292"/>
      <c r="Z805" s="300"/>
      <c r="AA805" s="301"/>
      <c r="AB805" s="80"/>
      <c r="AC805" s="292"/>
      <c r="AD805" s="132"/>
      <c r="AE805" s="254"/>
      <c r="AF805" s="294"/>
      <c r="AG805" s="292"/>
      <c r="AH805" s="302"/>
      <c r="AI805" s="302"/>
      <c r="AJ805" s="302"/>
      <c r="AK805" s="292"/>
      <c r="AL805" s="82"/>
      <c r="AM805" s="82"/>
      <c r="AN805" s="82"/>
      <c r="AO805" s="292"/>
      <c r="AP805" s="82"/>
      <c r="AQ805" s="82"/>
      <c r="AR805" s="82"/>
      <c r="AS805" s="292"/>
      <c r="AT805" s="82"/>
      <c r="AU805" s="82"/>
      <c r="AV805" s="82"/>
    </row>
    <row r="806">
      <c r="A806" s="292"/>
      <c r="B806" s="132"/>
      <c r="C806" s="121"/>
      <c r="D806" s="82"/>
      <c r="E806" s="292"/>
      <c r="F806" s="132"/>
      <c r="G806" s="121"/>
      <c r="H806" s="82"/>
      <c r="I806" s="292"/>
      <c r="J806" s="132"/>
      <c r="K806" s="121"/>
      <c r="L806" s="82"/>
      <c r="M806" s="292"/>
      <c r="N806" s="132"/>
      <c r="O806" s="121"/>
      <c r="P806" s="82"/>
      <c r="Q806" s="292"/>
      <c r="R806" s="132"/>
      <c r="S806" s="121"/>
      <c r="T806" s="82"/>
      <c r="U806" s="292"/>
      <c r="V806" s="132"/>
      <c r="W806" s="121"/>
      <c r="X806" s="82"/>
      <c r="Y806" s="292"/>
      <c r="Z806" s="300"/>
      <c r="AA806" s="301"/>
      <c r="AB806" s="80"/>
      <c r="AC806" s="292"/>
      <c r="AD806" s="132"/>
      <c r="AE806" s="254"/>
      <c r="AF806" s="294"/>
      <c r="AG806" s="292"/>
      <c r="AH806" s="302"/>
      <c r="AI806" s="302"/>
      <c r="AJ806" s="302"/>
      <c r="AK806" s="292"/>
      <c r="AL806" s="82"/>
      <c r="AM806" s="82"/>
      <c r="AN806" s="82"/>
      <c r="AO806" s="292"/>
      <c r="AP806" s="82"/>
      <c r="AQ806" s="82"/>
      <c r="AR806" s="82"/>
      <c r="AS806" s="292"/>
      <c r="AT806" s="82"/>
      <c r="AU806" s="82"/>
      <c r="AV806" s="82"/>
    </row>
    <row r="807">
      <c r="A807" s="292"/>
      <c r="B807" s="132"/>
      <c r="C807" s="121"/>
      <c r="D807" s="82"/>
      <c r="E807" s="292"/>
      <c r="F807" s="132"/>
      <c r="G807" s="121"/>
      <c r="H807" s="82"/>
      <c r="I807" s="292"/>
      <c r="J807" s="132"/>
      <c r="K807" s="121"/>
      <c r="L807" s="82"/>
      <c r="M807" s="292"/>
      <c r="N807" s="132"/>
      <c r="O807" s="121"/>
      <c r="P807" s="82"/>
      <c r="Q807" s="292"/>
      <c r="R807" s="132"/>
      <c r="S807" s="121"/>
      <c r="T807" s="82"/>
      <c r="U807" s="292"/>
      <c r="V807" s="132"/>
      <c r="W807" s="121"/>
      <c r="X807" s="82"/>
      <c r="Y807" s="292"/>
      <c r="Z807" s="300"/>
      <c r="AA807" s="301"/>
      <c r="AB807" s="80"/>
      <c r="AC807" s="292"/>
      <c r="AD807" s="132"/>
      <c r="AE807" s="254"/>
      <c r="AF807" s="294"/>
      <c r="AG807" s="292"/>
      <c r="AH807" s="302"/>
      <c r="AI807" s="302"/>
      <c r="AJ807" s="302"/>
      <c r="AK807" s="292"/>
      <c r="AL807" s="82"/>
      <c r="AM807" s="82"/>
      <c r="AN807" s="82"/>
      <c r="AO807" s="292"/>
      <c r="AP807" s="82"/>
      <c r="AQ807" s="82"/>
      <c r="AR807" s="82"/>
      <c r="AS807" s="292"/>
      <c r="AT807" s="82"/>
      <c r="AU807" s="82"/>
      <c r="AV807" s="82"/>
    </row>
    <row r="808">
      <c r="A808" s="292"/>
      <c r="B808" s="132"/>
      <c r="C808" s="121"/>
      <c r="D808" s="82"/>
      <c r="E808" s="292"/>
      <c r="F808" s="132"/>
      <c r="G808" s="121"/>
      <c r="H808" s="82"/>
      <c r="I808" s="292"/>
      <c r="J808" s="132"/>
      <c r="K808" s="121"/>
      <c r="L808" s="82"/>
      <c r="M808" s="292"/>
      <c r="N808" s="132"/>
      <c r="O808" s="121"/>
      <c r="P808" s="82"/>
      <c r="Q808" s="292"/>
      <c r="R808" s="132"/>
      <c r="S808" s="121"/>
      <c r="T808" s="82"/>
      <c r="U808" s="292"/>
      <c r="V808" s="132"/>
      <c r="W808" s="121"/>
      <c r="X808" s="82"/>
      <c r="Y808" s="292"/>
      <c r="Z808" s="300"/>
      <c r="AA808" s="301"/>
      <c r="AB808" s="80"/>
      <c r="AC808" s="292"/>
      <c r="AD808" s="132"/>
      <c r="AE808" s="254"/>
      <c r="AF808" s="294"/>
      <c r="AG808" s="292"/>
      <c r="AH808" s="302"/>
      <c r="AI808" s="302"/>
      <c r="AJ808" s="302"/>
      <c r="AK808" s="292"/>
      <c r="AL808" s="82"/>
      <c r="AM808" s="82"/>
      <c r="AN808" s="82"/>
      <c r="AO808" s="292"/>
      <c r="AP808" s="82"/>
      <c r="AQ808" s="82"/>
      <c r="AR808" s="82"/>
      <c r="AS808" s="292"/>
      <c r="AT808" s="82"/>
      <c r="AU808" s="82"/>
      <c r="AV808" s="82"/>
    </row>
    <row r="809">
      <c r="A809" s="292"/>
      <c r="B809" s="132"/>
      <c r="C809" s="121"/>
      <c r="D809" s="82"/>
      <c r="E809" s="292"/>
      <c r="F809" s="132"/>
      <c r="G809" s="121"/>
      <c r="H809" s="82"/>
      <c r="I809" s="292"/>
      <c r="J809" s="132"/>
      <c r="K809" s="121"/>
      <c r="L809" s="82"/>
      <c r="M809" s="292"/>
      <c r="N809" s="132"/>
      <c r="O809" s="121"/>
      <c r="P809" s="82"/>
      <c r="Q809" s="292"/>
      <c r="R809" s="132"/>
      <c r="S809" s="121"/>
      <c r="T809" s="82"/>
      <c r="U809" s="292"/>
      <c r="V809" s="132"/>
      <c r="W809" s="121"/>
      <c r="X809" s="82"/>
      <c r="Y809" s="292"/>
      <c r="Z809" s="300"/>
      <c r="AA809" s="301"/>
      <c r="AB809" s="80"/>
      <c r="AC809" s="292"/>
      <c r="AD809" s="132"/>
      <c r="AE809" s="254"/>
      <c r="AF809" s="294"/>
      <c r="AG809" s="292"/>
      <c r="AH809" s="302"/>
      <c r="AI809" s="302"/>
      <c r="AJ809" s="302"/>
      <c r="AK809" s="292"/>
      <c r="AL809" s="82"/>
      <c r="AM809" s="82"/>
      <c r="AN809" s="82"/>
      <c r="AO809" s="292"/>
      <c r="AP809" s="82"/>
      <c r="AQ809" s="82"/>
      <c r="AR809" s="82"/>
      <c r="AS809" s="292"/>
      <c r="AT809" s="82"/>
      <c r="AU809" s="82"/>
      <c r="AV809" s="82"/>
    </row>
    <row r="810">
      <c r="A810" s="292"/>
      <c r="B810" s="132"/>
      <c r="C810" s="121"/>
      <c r="D810" s="82"/>
      <c r="E810" s="292"/>
      <c r="F810" s="132"/>
      <c r="G810" s="121"/>
      <c r="H810" s="82"/>
      <c r="I810" s="292"/>
      <c r="J810" s="132"/>
      <c r="K810" s="121"/>
      <c r="L810" s="82"/>
      <c r="M810" s="292"/>
      <c r="N810" s="132"/>
      <c r="O810" s="121"/>
      <c r="P810" s="82"/>
      <c r="Q810" s="292"/>
      <c r="R810" s="132"/>
      <c r="S810" s="121"/>
      <c r="T810" s="82"/>
      <c r="U810" s="292"/>
      <c r="V810" s="132"/>
      <c r="W810" s="121"/>
      <c r="X810" s="82"/>
      <c r="Y810" s="292"/>
      <c r="Z810" s="300"/>
      <c r="AA810" s="301"/>
      <c r="AB810" s="80"/>
      <c r="AC810" s="292"/>
      <c r="AD810" s="132"/>
      <c r="AE810" s="254"/>
      <c r="AF810" s="294"/>
      <c r="AG810" s="292"/>
      <c r="AH810" s="302"/>
      <c r="AI810" s="302"/>
      <c r="AJ810" s="302"/>
      <c r="AK810" s="292"/>
      <c r="AL810" s="82"/>
      <c r="AM810" s="82"/>
      <c r="AN810" s="82"/>
      <c r="AO810" s="292"/>
      <c r="AP810" s="82"/>
      <c r="AQ810" s="82"/>
      <c r="AR810" s="82"/>
      <c r="AS810" s="292"/>
      <c r="AT810" s="82"/>
      <c r="AU810" s="82"/>
      <c r="AV810" s="82"/>
    </row>
    <row r="811">
      <c r="A811" s="292"/>
      <c r="B811" s="132"/>
      <c r="C811" s="121"/>
      <c r="D811" s="82"/>
      <c r="E811" s="292"/>
      <c r="F811" s="132"/>
      <c r="G811" s="121"/>
      <c r="H811" s="82"/>
      <c r="I811" s="292"/>
      <c r="J811" s="132"/>
      <c r="K811" s="121"/>
      <c r="L811" s="82"/>
      <c r="M811" s="292"/>
      <c r="N811" s="132"/>
      <c r="O811" s="121"/>
      <c r="P811" s="82"/>
      <c r="Q811" s="292"/>
      <c r="R811" s="132"/>
      <c r="S811" s="121"/>
      <c r="T811" s="82"/>
      <c r="U811" s="292"/>
      <c r="V811" s="132"/>
      <c r="W811" s="121"/>
      <c r="X811" s="82"/>
      <c r="Y811" s="292"/>
      <c r="Z811" s="300"/>
      <c r="AA811" s="301"/>
      <c r="AB811" s="80"/>
      <c r="AC811" s="292"/>
      <c r="AD811" s="132"/>
      <c r="AE811" s="254"/>
      <c r="AF811" s="294"/>
      <c r="AG811" s="292"/>
      <c r="AH811" s="302"/>
      <c r="AI811" s="302"/>
      <c r="AJ811" s="302"/>
      <c r="AK811" s="292"/>
      <c r="AL811" s="82"/>
      <c r="AM811" s="82"/>
      <c r="AN811" s="82"/>
      <c r="AO811" s="292"/>
      <c r="AP811" s="82"/>
      <c r="AQ811" s="82"/>
      <c r="AR811" s="82"/>
      <c r="AS811" s="292"/>
      <c r="AT811" s="82"/>
      <c r="AU811" s="82"/>
      <c r="AV811" s="82"/>
    </row>
    <row r="812">
      <c r="A812" s="292"/>
      <c r="B812" s="132"/>
      <c r="C812" s="121"/>
      <c r="D812" s="82"/>
      <c r="E812" s="292"/>
      <c r="F812" s="132"/>
      <c r="G812" s="121"/>
      <c r="H812" s="82"/>
      <c r="I812" s="292"/>
      <c r="J812" s="132"/>
      <c r="K812" s="121"/>
      <c r="L812" s="82"/>
      <c r="M812" s="292"/>
      <c r="N812" s="132"/>
      <c r="O812" s="121"/>
      <c r="P812" s="82"/>
      <c r="Q812" s="292"/>
      <c r="R812" s="132"/>
      <c r="S812" s="121"/>
      <c r="T812" s="82"/>
      <c r="U812" s="292"/>
      <c r="V812" s="132"/>
      <c r="W812" s="121"/>
      <c r="X812" s="82"/>
      <c r="Y812" s="292"/>
      <c r="Z812" s="300"/>
      <c r="AA812" s="301"/>
      <c r="AB812" s="80"/>
      <c r="AC812" s="292"/>
      <c r="AD812" s="132"/>
      <c r="AE812" s="254"/>
      <c r="AF812" s="294"/>
      <c r="AG812" s="292"/>
      <c r="AH812" s="302"/>
      <c r="AI812" s="302"/>
      <c r="AJ812" s="302"/>
      <c r="AK812" s="292"/>
      <c r="AL812" s="82"/>
      <c r="AM812" s="82"/>
      <c r="AN812" s="82"/>
      <c r="AO812" s="292"/>
      <c r="AP812" s="82"/>
      <c r="AQ812" s="82"/>
      <c r="AR812" s="82"/>
      <c r="AS812" s="292"/>
      <c r="AT812" s="82"/>
      <c r="AU812" s="82"/>
      <c r="AV812" s="82"/>
    </row>
    <row r="813">
      <c r="A813" s="292"/>
      <c r="B813" s="132"/>
      <c r="C813" s="121"/>
      <c r="D813" s="82"/>
      <c r="E813" s="292"/>
      <c r="F813" s="132"/>
      <c r="G813" s="121"/>
      <c r="H813" s="82"/>
      <c r="I813" s="292"/>
      <c r="J813" s="132"/>
      <c r="K813" s="121"/>
      <c r="L813" s="82"/>
      <c r="M813" s="292"/>
      <c r="N813" s="132"/>
      <c r="O813" s="121"/>
      <c r="P813" s="82"/>
      <c r="Q813" s="292"/>
      <c r="R813" s="132"/>
      <c r="S813" s="121"/>
      <c r="T813" s="82"/>
      <c r="U813" s="292"/>
      <c r="V813" s="132"/>
      <c r="W813" s="121"/>
      <c r="X813" s="82"/>
      <c r="Y813" s="292"/>
      <c r="Z813" s="300"/>
      <c r="AA813" s="301"/>
      <c r="AB813" s="80"/>
      <c r="AC813" s="292"/>
      <c r="AD813" s="132"/>
      <c r="AE813" s="254"/>
      <c r="AF813" s="294"/>
      <c r="AG813" s="292"/>
      <c r="AH813" s="302"/>
      <c r="AI813" s="302"/>
      <c r="AJ813" s="302"/>
      <c r="AK813" s="292"/>
      <c r="AL813" s="82"/>
      <c r="AM813" s="82"/>
      <c r="AN813" s="82"/>
      <c r="AO813" s="292"/>
      <c r="AP813" s="82"/>
      <c r="AQ813" s="82"/>
      <c r="AR813" s="82"/>
      <c r="AS813" s="292"/>
      <c r="AT813" s="82"/>
      <c r="AU813" s="82"/>
      <c r="AV813" s="82"/>
    </row>
    <row r="814">
      <c r="A814" s="292"/>
      <c r="B814" s="132"/>
      <c r="C814" s="121"/>
      <c r="D814" s="82"/>
      <c r="E814" s="292"/>
      <c r="F814" s="132"/>
      <c r="G814" s="121"/>
      <c r="H814" s="82"/>
      <c r="I814" s="292"/>
      <c r="J814" s="132"/>
      <c r="K814" s="121"/>
      <c r="L814" s="82"/>
      <c r="M814" s="292"/>
      <c r="N814" s="132"/>
      <c r="O814" s="121"/>
      <c r="P814" s="82"/>
      <c r="Q814" s="292"/>
      <c r="R814" s="132"/>
      <c r="S814" s="121"/>
      <c r="T814" s="82"/>
      <c r="U814" s="292"/>
      <c r="V814" s="132"/>
      <c r="W814" s="121"/>
      <c r="X814" s="82"/>
      <c r="Y814" s="292"/>
      <c r="Z814" s="300"/>
      <c r="AA814" s="301"/>
      <c r="AB814" s="80"/>
      <c r="AC814" s="292"/>
      <c r="AD814" s="132"/>
      <c r="AE814" s="254"/>
      <c r="AF814" s="294"/>
      <c r="AG814" s="292"/>
      <c r="AH814" s="302"/>
      <c r="AI814" s="302"/>
      <c r="AJ814" s="302"/>
      <c r="AK814" s="292"/>
      <c r="AL814" s="82"/>
      <c r="AM814" s="82"/>
      <c r="AN814" s="82"/>
      <c r="AO814" s="292"/>
      <c r="AP814" s="82"/>
      <c r="AQ814" s="82"/>
      <c r="AR814" s="82"/>
      <c r="AS814" s="292"/>
      <c r="AT814" s="82"/>
      <c r="AU814" s="82"/>
      <c r="AV814" s="82"/>
    </row>
    <row r="815">
      <c r="A815" s="292"/>
      <c r="B815" s="132"/>
      <c r="C815" s="121"/>
      <c r="D815" s="82"/>
      <c r="E815" s="292"/>
      <c r="F815" s="132"/>
      <c r="G815" s="121"/>
      <c r="H815" s="82"/>
      <c r="I815" s="292"/>
      <c r="J815" s="132"/>
      <c r="K815" s="121"/>
      <c r="L815" s="82"/>
      <c r="M815" s="292"/>
      <c r="N815" s="132"/>
      <c r="O815" s="121"/>
      <c r="P815" s="82"/>
      <c r="Q815" s="292"/>
      <c r="R815" s="132"/>
      <c r="S815" s="121"/>
      <c r="T815" s="82"/>
      <c r="U815" s="292"/>
      <c r="V815" s="132"/>
      <c r="W815" s="121"/>
      <c r="X815" s="82"/>
      <c r="Y815" s="292"/>
      <c r="Z815" s="300"/>
      <c r="AA815" s="301"/>
      <c r="AB815" s="80"/>
      <c r="AC815" s="292"/>
      <c r="AD815" s="132"/>
      <c r="AE815" s="254"/>
      <c r="AF815" s="294"/>
      <c r="AG815" s="292"/>
      <c r="AH815" s="302"/>
      <c r="AI815" s="302"/>
      <c r="AJ815" s="302"/>
      <c r="AK815" s="292"/>
      <c r="AL815" s="82"/>
      <c r="AM815" s="82"/>
      <c r="AN815" s="82"/>
      <c r="AO815" s="292"/>
      <c r="AP815" s="82"/>
      <c r="AQ815" s="82"/>
      <c r="AR815" s="82"/>
      <c r="AS815" s="292"/>
      <c r="AT815" s="82"/>
      <c r="AU815" s="82"/>
      <c r="AV815" s="82"/>
    </row>
    <row r="816">
      <c r="A816" s="292"/>
      <c r="B816" s="132"/>
      <c r="C816" s="121"/>
      <c r="D816" s="82"/>
      <c r="E816" s="292"/>
      <c r="F816" s="132"/>
      <c r="G816" s="121"/>
      <c r="H816" s="82"/>
      <c r="I816" s="292"/>
      <c r="J816" s="132"/>
      <c r="K816" s="121"/>
      <c r="L816" s="82"/>
      <c r="M816" s="292"/>
      <c r="N816" s="132"/>
      <c r="O816" s="121"/>
      <c r="P816" s="82"/>
      <c r="Q816" s="292"/>
      <c r="R816" s="132"/>
      <c r="S816" s="121"/>
      <c r="T816" s="82"/>
      <c r="U816" s="292"/>
      <c r="V816" s="132"/>
      <c r="W816" s="121"/>
      <c r="X816" s="82"/>
      <c r="Y816" s="292"/>
      <c r="Z816" s="300"/>
      <c r="AA816" s="301"/>
      <c r="AB816" s="80"/>
      <c r="AC816" s="292"/>
      <c r="AD816" s="132"/>
      <c r="AE816" s="254"/>
      <c r="AF816" s="294"/>
      <c r="AG816" s="292"/>
      <c r="AH816" s="302"/>
      <c r="AI816" s="302"/>
      <c r="AJ816" s="302"/>
      <c r="AK816" s="292"/>
      <c r="AL816" s="82"/>
      <c r="AM816" s="82"/>
      <c r="AN816" s="82"/>
      <c r="AO816" s="292"/>
      <c r="AP816" s="82"/>
      <c r="AQ816" s="82"/>
      <c r="AR816" s="82"/>
      <c r="AS816" s="292"/>
      <c r="AT816" s="82"/>
      <c r="AU816" s="82"/>
      <c r="AV816" s="82"/>
    </row>
    <row r="817">
      <c r="A817" s="292"/>
      <c r="B817" s="132"/>
      <c r="C817" s="121"/>
      <c r="D817" s="82"/>
      <c r="E817" s="292"/>
      <c r="F817" s="132"/>
      <c r="G817" s="121"/>
      <c r="H817" s="82"/>
      <c r="I817" s="292"/>
      <c r="J817" s="132"/>
      <c r="K817" s="121"/>
      <c r="L817" s="82"/>
      <c r="M817" s="292"/>
      <c r="N817" s="132"/>
      <c r="O817" s="121"/>
      <c r="P817" s="82"/>
      <c r="Q817" s="292"/>
      <c r="R817" s="132"/>
      <c r="S817" s="121"/>
      <c r="T817" s="82"/>
      <c r="U817" s="292"/>
      <c r="V817" s="132"/>
      <c r="W817" s="121"/>
      <c r="X817" s="82"/>
      <c r="Y817" s="292"/>
      <c r="Z817" s="300"/>
      <c r="AA817" s="301"/>
      <c r="AB817" s="80"/>
      <c r="AC817" s="292"/>
      <c r="AD817" s="132"/>
      <c r="AE817" s="254"/>
      <c r="AF817" s="294"/>
      <c r="AG817" s="292"/>
      <c r="AH817" s="302"/>
      <c r="AI817" s="302"/>
      <c r="AJ817" s="302"/>
      <c r="AK817" s="292"/>
      <c r="AL817" s="82"/>
      <c r="AM817" s="82"/>
      <c r="AN817" s="82"/>
      <c r="AO817" s="292"/>
      <c r="AP817" s="82"/>
      <c r="AQ817" s="82"/>
      <c r="AR817" s="82"/>
      <c r="AS817" s="292"/>
      <c r="AT817" s="82"/>
      <c r="AU817" s="82"/>
      <c r="AV817" s="82"/>
    </row>
    <row r="818">
      <c r="A818" s="292"/>
      <c r="B818" s="132"/>
      <c r="C818" s="121"/>
      <c r="D818" s="82"/>
      <c r="E818" s="292"/>
      <c r="F818" s="132"/>
      <c r="G818" s="121"/>
      <c r="H818" s="82"/>
      <c r="I818" s="292"/>
      <c r="J818" s="132"/>
      <c r="K818" s="121"/>
      <c r="L818" s="82"/>
      <c r="M818" s="292"/>
      <c r="N818" s="132"/>
      <c r="O818" s="121"/>
      <c r="P818" s="82"/>
      <c r="Q818" s="292"/>
      <c r="R818" s="132"/>
      <c r="S818" s="121"/>
      <c r="T818" s="82"/>
      <c r="U818" s="292"/>
      <c r="V818" s="132"/>
      <c r="W818" s="121"/>
      <c r="X818" s="82"/>
      <c r="Y818" s="292"/>
      <c r="Z818" s="300"/>
      <c r="AA818" s="301"/>
      <c r="AB818" s="80"/>
      <c r="AC818" s="292"/>
      <c r="AD818" s="132"/>
      <c r="AE818" s="254"/>
      <c r="AF818" s="294"/>
      <c r="AG818" s="292"/>
      <c r="AH818" s="302"/>
      <c r="AI818" s="302"/>
      <c r="AJ818" s="302"/>
      <c r="AK818" s="292"/>
      <c r="AL818" s="82"/>
      <c r="AM818" s="82"/>
      <c r="AN818" s="82"/>
      <c r="AO818" s="292"/>
      <c r="AP818" s="82"/>
      <c r="AQ818" s="82"/>
      <c r="AR818" s="82"/>
      <c r="AS818" s="292"/>
      <c r="AT818" s="82"/>
      <c r="AU818" s="82"/>
      <c r="AV818" s="82"/>
    </row>
    <row r="819">
      <c r="A819" s="292"/>
      <c r="B819" s="132"/>
      <c r="C819" s="121"/>
      <c r="D819" s="82"/>
      <c r="E819" s="292"/>
      <c r="F819" s="132"/>
      <c r="G819" s="121"/>
      <c r="H819" s="82"/>
      <c r="I819" s="292"/>
      <c r="J819" s="132"/>
      <c r="K819" s="121"/>
      <c r="L819" s="82"/>
      <c r="M819" s="292"/>
      <c r="N819" s="132"/>
      <c r="O819" s="121"/>
      <c r="P819" s="82"/>
      <c r="Q819" s="292"/>
      <c r="R819" s="132"/>
      <c r="S819" s="121"/>
      <c r="T819" s="82"/>
      <c r="U819" s="292"/>
      <c r="V819" s="132"/>
      <c r="W819" s="121"/>
      <c r="X819" s="82"/>
      <c r="Y819" s="292"/>
      <c r="Z819" s="300"/>
      <c r="AA819" s="301"/>
      <c r="AB819" s="80"/>
      <c r="AC819" s="292"/>
      <c r="AD819" s="132"/>
      <c r="AE819" s="254"/>
      <c r="AF819" s="294"/>
      <c r="AG819" s="292"/>
      <c r="AH819" s="302"/>
      <c r="AI819" s="302"/>
      <c r="AJ819" s="302"/>
      <c r="AK819" s="292"/>
      <c r="AL819" s="82"/>
      <c r="AM819" s="82"/>
      <c r="AN819" s="82"/>
      <c r="AO819" s="292"/>
      <c r="AP819" s="82"/>
      <c r="AQ819" s="82"/>
      <c r="AR819" s="82"/>
      <c r="AS819" s="292"/>
      <c r="AT819" s="82"/>
      <c r="AU819" s="82"/>
      <c r="AV819" s="82"/>
    </row>
    <row r="820">
      <c r="A820" s="292"/>
      <c r="B820" s="132"/>
      <c r="C820" s="121"/>
      <c r="D820" s="82"/>
      <c r="E820" s="292"/>
      <c r="F820" s="132"/>
      <c r="G820" s="121"/>
      <c r="H820" s="82"/>
      <c r="I820" s="292"/>
      <c r="J820" s="132"/>
      <c r="K820" s="121"/>
      <c r="L820" s="82"/>
      <c r="M820" s="292"/>
      <c r="N820" s="132"/>
      <c r="O820" s="121"/>
      <c r="P820" s="82"/>
      <c r="Q820" s="292"/>
      <c r="R820" s="132"/>
      <c r="S820" s="121"/>
      <c r="T820" s="82"/>
      <c r="U820" s="292"/>
      <c r="V820" s="132"/>
      <c r="W820" s="121"/>
      <c r="X820" s="82"/>
      <c r="Y820" s="292"/>
      <c r="Z820" s="300"/>
      <c r="AA820" s="301"/>
      <c r="AB820" s="80"/>
      <c r="AC820" s="292"/>
      <c r="AD820" s="132"/>
      <c r="AE820" s="254"/>
      <c r="AF820" s="294"/>
      <c r="AG820" s="292"/>
      <c r="AH820" s="302"/>
      <c r="AI820" s="302"/>
      <c r="AJ820" s="302"/>
      <c r="AK820" s="292"/>
      <c r="AL820" s="82"/>
      <c r="AM820" s="82"/>
      <c r="AN820" s="82"/>
      <c r="AO820" s="292"/>
      <c r="AP820" s="82"/>
      <c r="AQ820" s="82"/>
      <c r="AR820" s="82"/>
      <c r="AS820" s="292"/>
      <c r="AT820" s="82"/>
      <c r="AU820" s="82"/>
      <c r="AV820" s="82"/>
    </row>
    <row r="821">
      <c r="A821" s="292"/>
      <c r="B821" s="132"/>
      <c r="C821" s="121"/>
      <c r="D821" s="82"/>
      <c r="E821" s="292"/>
      <c r="F821" s="132"/>
      <c r="G821" s="121"/>
      <c r="H821" s="82"/>
      <c r="I821" s="292"/>
      <c r="J821" s="132"/>
      <c r="K821" s="121"/>
      <c r="L821" s="82"/>
      <c r="M821" s="292"/>
      <c r="N821" s="132"/>
      <c r="O821" s="121"/>
      <c r="P821" s="82"/>
      <c r="Q821" s="292"/>
      <c r="R821" s="132"/>
      <c r="S821" s="121"/>
      <c r="T821" s="82"/>
      <c r="U821" s="292"/>
      <c r="V821" s="132"/>
      <c r="W821" s="121"/>
      <c r="X821" s="82"/>
      <c r="Y821" s="292"/>
      <c r="Z821" s="300"/>
      <c r="AA821" s="301"/>
      <c r="AB821" s="80"/>
      <c r="AC821" s="292"/>
      <c r="AD821" s="132"/>
      <c r="AE821" s="254"/>
      <c r="AF821" s="294"/>
      <c r="AG821" s="292"/>
      <c r="AH821" s="302"/>
      <c r="AI821" s="302"/>
      <c r="AJ821" s="302"/>
      <c r="AK821" s="292"/>
      <c r="AL821" s="82"/>
      <c r="AM821" s="82"/>
      <c r="AN821" s="82"/>
      <c r="AO821" s="292"/>
      <c r="AP821" s="82"/>
      <c r="AQ821" s="82"/>
      <c r="AR821" s="82"/>
      <c r="AS821" s="292"/>
      <c r="AT821" s="82"/>
      <c r="AU821" s="82"/>
      <c r="AV821" s="82"/>
    </row>
    <row r="822">
      <c r="A822" s="292"/>
      <c r="B822" s="132"/>
      <c r="C822" s="121"/>
      <c r="D822" s="82"/>
      <c r="E822" s="292"/>
      <c r="F822" s="132"/>
      <c r="G822" s="121"/>
      <c r="H822" s="82"/>
      <c r="I822" s="292"/>
      <c r="J822" s="132"/>
      <c r="K822" s="121"/>
      <c r="L822" s="82"/>
      <c r="M822" s="292"/>
      <c r="N822" s="132"/>
      <c r="O822" s="121"/>
      <c r="P822" s="82"/>
      <c r="Q822" s="292"/>
      <c r="R822" s="132"/>
      <c r="S822" s="121"/>
      <c r="T822" s="82"/>
      <c r="U822" s="292"/>
      <c r="V822" s="132"/>
      <c r="W822" s="121"/>
      <c r="X822" s="82"/>
      <c r="Y822" s="292"/>
      <c r="Z822" s="300"/>
      <c r="AA822" s="301"/>
      <c r="AB822" s="80"/>
      <c r="AC822" s="292"/>
      <c r="AD822" s="132"/>
      <c r="AE822" s="254"/>
      <c r="AF822" s="294"/>
      <c r="AG822" s="292"/>
      <c r="AH822" s="302"/>
      <c r="AI822" s="302"/>
      <c r="AJ822" s="302"/>
      <c r="AK822" s="292"/>
      <c r="AL822" s="82"/>
      <c r="AM822" s="82"/>
      <c r="AN822" s="82"/>
      <c r="AO822" s="292"/>
      <c r="AP822" s="82"/>
      <c r="AQ822" s="82"/>
      <c r="AR822" s="82"/>
      <c r="AS822" s="292"/>
      <c r="AT822" s="82"/>
      <c r="AU822" s="82"/>
      <c r="AV822" s="82"/>
    </row>
    <row r="823">
      <c r="A823" s="292"/>
      <c r="B823" s="132"/>
      <c r="C823" s="121"/>
      <c r="D823" s="82"/>
      <c r="E823" s="292"/>
      <c r="F823" s="132"/>
      <c r="G823" s="121"/>
      <c r="H823" s="82"/>
      <c r="I823" s="292"/>
      <c r="J823" s="132"/>
      <c r="K823" s="121"/>
      <c r="L823" s="82"/>
      <c r="M823" s="292"/>
      <c r="N823" s="132"/>
      <c r="O823" s="121"/>
      <c r="P823" s="82"/>
      <c r="Q823" s="292"/>
      <c r="R823" s="132"/>
      <c r="S823" s="121"/>
      <c r="T823" s="82"/>
      <c r="U823" s="292"/>
      <c r="V823" s="132"/>
      <c r="W823" s="121"/>
      <c r="X823" s="82"/>
      <c r="Y823" s="292"/>
      <c r="Z823" s="300"/>
      <c r="AA823" s="301"/>
      <c r="AB823" s="80"/>
      <c r="AC823" s="292"/>
      <c r="AD823" s="132"/>
      <c r="AE823" s="254"/>
      <c r="AF823" s="294"/>
      <c r="AG823" s="292"/>
      <c r="AH823" s="302"/>
      <c r="AI823" s="302"/>
      <c r="AJ823" s="302"/>
      <c r="AK823" s="292"/>
      <c r="AL823" s="82"/>
      <c r="AM823" s="82"/>
      <c r="AN823" s="82"/>
      <c r="AO823" s="292"/>
      <c r="AP823" s="82"/>
      <c r="AQ823" s="82"/>
      <c r="AR823" s="82"/>
      <c r="AS823" s="292"/>
      <c r="AT823" s="82"/>
      <c r="AU823" s="82"/>
      <c r="AV823" s="82"/>
    </row>
    <row r="824">
      <c r="A824" s="292"/>
      <c r="B824" s="132"/>
      <c r="C824" s="121"/>
      <c r="D824" s="82"/>
      <c r="E824" s="292"/>
      <c r="F824" s="132"/>
      <c r="G824" s="121"/>
      <c r="H824" s="82"/>
      <c r="I824" s="292"/>
      <c r="J824" s="132"/>
      <c r="K824" s="121"/>
      <c r="L824" s="82"/>
      <c r="M824" s="292"/>
      <c r="N824" s="132"/>
      <c r="O824" s="121"/>
      <c r="P824" s="82"/>
      <c r="Q824" s="292"/>
      <c r="R824" s="132"/>
      <c r="S824" s="121"/>
      <c r="T824" s="82"/>
      <c r="U824" s="292"/>
      <c r="V824" s="132"/>
      <c r="W824" s="121"/>
      <c r="X824" s="82"/>
      <c r="Y824" s="292"/>
      <c r="Z824" s="300"/>
      <c r="AA824" s="301"/>
      <c r="AB824" s="80"/>
      <c r="AC824" s="292"/>
      <c r="AD824" s="132"/>
      <c r="AE824" s="254"/>
      <c r="AF824" s="294"/>
      <c r="AG824" s="292"/>
      <c r="AH824" s="302"/>
      <c r="AI824" s="302"/>
      <c r="AJ824" s="302"/>
      <c r="AK824" s="292"/>
      <c r="AL824" s="82"/>
      <c r="AM824" s="82"/>
      <c r="AN824" s="82"/>
      <c r="AO824" s="292"/>
      <c r="AP824" s="82"/>
      <c r="AQ824" s="82"/>
      <c r="AR824" s="82"/>
      <c r="AS824" s="292"/>
      <c r="AT824" s="82"/>
      <c r="AU824" s="82"/>
      <c r="AV824" s="82"/>
    </row>
    <row r="825">
      <c r="A825" s="292"/>
      <c r="B825" s="132"/>
      <c r="C825" s="121"/>
      <c r="D825" s="82"/>
      <c r="E825" s="292"/>
      <c r="F825" s="132"/>
      <c r="G825" s="121"/>
      <c r="H825" s="82"/>
      <c r="I825" s="292"/>
      <c r="J825" s="132"/>
      <c r="K825" s="121"/>
      <c r="L825" s="82"/>
      <c r="M825" s="292"/>
      <c r="N825" s="132"/>
      <c r="O825" s="121"/>
      <c r="P825" s="82"/>
      <c r="Q825" s="292"/>
      <c r="R825" s="132"/>
      <c r="S825" s="121"/>
      <c r="T825" s="82"/>
      <c r="U825" s="292"/>
      <c r="V825" s="132"/>
      <c r="W825" s="121"/>
      <c r="X825" s="82"/>
      <c r="Y825" s="292"/>
      <c r="Z825" s="300"/>
      <c r="AA825" s="301"/>
      <c r="AB825" s="80"/>
      <c r="AC825" s="292"/>
      <c r="AD825" s="132"/>
      <c r="AE825" s="254"/>
      <c r="AF825" s="294"/>
      <c r="AG825" s="292"/>
      <c r="AH825" s="302"/>
      <c r="AI825" s="302"/>
      <c r="AJ825" s="302"/>
      <c r="AK825" s="292"/>
      <c r="AL825" s="82"/>
      <c r="AM825" s="82"/>
      <c r="AN825" s="82"/>
      <c r="AO825" s="292"/>
      <c r="AP825" s="82"/>
      <c r="AQ825" s="82"/>
      <c r="AR825" s="82"/>
      <c r="AS825" s="292"/>
      <c r="AT825" s="82"/>
      <c r="AU825" s="82"/>
      <c r="AV825" s="82"/>
    </row>
    <row r="826">
      <c r="A826" s="292"/>
      <c r="B826" s="132"/>
      <c r="C826" s="121"/>
      <c r="D826" s="82"/>
      <c r="E826" s="292"/>
      <c r="F826" s="132"/>
      <c r="G826" s="121"/>
      <c r="H826" s="82"/>
      <c r="I826" s="292"/>
      <c r="J826" s="132"/>
      <c r="K826" s="121"/>
      <c r="L826" s="82"/>
      <c r="M826" s="292"/>
      <c r="N826" s="132"/>
      <c r="O826" s="121"/>
      <c r="P826" s="82"/>
      <c r="Q826" s="292"/>
      <c r="R826" s="132"/>
      <c r="S826" s="121"/>
      <c r="T826" s="82"/>
      <c r="U826" s="292"/>
      <c r="V826" s="132"/>
      <c r="W826" s="121"/>
      <c r="X826" s="82"/>
      <c r="Y826" s="292"/>
      <c r="Z826" s="300"/>
      <c r="AA826" s="301"/>
      <c r="AB826" s="80"/>
      <c r="AC826" s="292"/>
      <c r="AD826" s="132"/>
      <c r="AE826" s="254"/>
      <c r="AF826" s="294"/>
      <c r="AG826" s="292"/>
      <c r="AH826" s="302"/>
      <c r="AI826" s="302"/>
      <c r="AJ826" s="302"/>
      <c r="AK826" s="292"/>
      <c r="AL826" s="82"/>
      <c r="AM826" s="82"/>
      <c r="AN826" s="82"/>
      <c r="AO826" s="292"/>
      <c r="AP826" s="82"/>
      <c r="AQ826" s="82"/>
      <c r="AR826" s="82"/>
      <c r="AS826" s="292"/>
      <c r="AT826" s="82"/>
      <c r="AU826" s="82"/>
      <c r="AV826" s="82"/>
    </row>
    <row r="827">
      <c r="A827" s="292"/>
      <c r="B827" s="132"/>
      <c r="C827" s="121"/>
      <c r="D827" s="82"/>
      <c r="E827" s="292"/>
      <c r="F827" s="132"/>
      <c r="G827" s="121"/>
      <c r="H827" s="82"/>
      <c r="I827" s="292"/>
      <c r="J827" s="132"/>
      <c r="K827" s="121"/>
      <c r="L827" s="82"/>
      <c r="M827" s="292"/>
      <c r="N827" s="132"/>
      <c r="O827" s="121"/>
      <c r="P827" s="82"/>
      <c r="Q827" s="292"/>
      <c r="R827" s="132"/>
      <c r="S827" s="121"/>
      <c r="T827" s="82"/>
      <c r="U827" s="292"/>
      <c r="V827" s="132"/>
      <c r="W827" s="121"/>
      <c r="X827" s="82"/>
      <c r="Y827" s="292"/>
      <c r="Z827" s="300"/>
      <c r="AA827" s="301"/>
      <c r="AB827" s="80"/>
      <c r="AC827" s="292"/>
      <c r="AD827" s="132"/>
      <c r="AE827" s="254"/>
      <c r="AF827" s="294"/>
      <c r="AG827" s="292"/>
      <c r="AH827" s="302"/>
      <c r="AI827" s="302"/>
      <c r="AJ827" s="302"/>
      <c r="AK827" s="292"/>
      <c r="AL827" s="82"/>
      <c r="AM827" s="82"/>
      <c r="AN827" s="82"/>
      <c r="AO827" s="292"/>
      <c r="AP827" s="82"/>
      <c r="AQ827" s="82"/>
      <c r="AR827" s="82"/>
      <c r="AS827" s="292"/>
      <c r="AT827" s="82"/>
      <c r="AU827" s="82"/>
      <c r="AV827" s="82"/>
    </row>
    <row r="828">
      <c r="A828" s="292"/>
      <c r="B828" s="132"/>
      <c r="C828" s="121"/>
      <c r="D828" s="82"/>
      <c r="E828" s="292"/>
      <c r="F828" s="132"/>
      <c r="G828" s="121"/>
      <c r="H828" s="82"/>
      <c r="I828" s="292"/>
      <c r="J828" s="132"/>
      <c r="K828" s="121"/>
      <c r="L828" s="82"/>
      <c r="M828" s="292"/>
      <c r="N828" s="132"/>
      <c r="O828" s="121"/>
      <c r="P828" s="82"/>
      <c r="Q828" s="292"/>
      <c r="R828" s="132"/>
      <c r="S828" s="121"/>
      <c r="T828" s="82"/>
      <c r="U828" s="292"/>
      <c r="V828" s="132"/>
      <c r="W828" s="121"/>
      <c r="X828" s="82"/>
      <c r="Y828" s="292"/>
      <c r="Z828" s="300"/>
      <c r="AA828" s="301"/>
      <c r="AB828" s="80"/>
      <c r="AC828" s="292"/>
      <c r="AD828" s="132"/>
      <c r="AE828" s="254"/>
      <c r="AF828" s="294"/>
      <c r="AG828" s="292"/>
      <c r="AH828" s="302"/>
      <c r="AI828" s="302"/>
      <c r="AJ828" s="302"/>
      <c r="AK828" s="292"/>
      <c r="AL828" s="82"/>
      <c r="AM828" s="82"/>
      <c r="AN828" s="82"/>
      <c r="AO828" s="292"/>
      <c r="AP828" s="82"/>
      <c r="AQ828" s="82"/>
      <c r="AR828" s="82"/>
      <c r="AS828" s="292"/>
      <c r="AT828" s="82"/>
      <c r="AU828" s="82"/>
      <c r="AV828" s="82"/>
    </row>
    <row r="829">
      <c r="A829" s="292"/>
      <c r="B829" s="132"/>
      <c r="C829" s="121"/>
      <c r="D829" s="82"/>
      <c r="E829" s="292"/>
      <c r="F829" s="132"/>
      <c r="G829" s="121"/>
      <c r="H829" s="82"/>
      <c r="I829" s="292"/>
      <c r="J829" s="132"/>
      <c r="K829" s="121"/>
      <c r="L829" s="82"/>
      <c r="M829" s="292"/>
      <c r="N829" s="132"/>
      <c r="O829" s="121"/>
      <c r="P829" s="82"/>
      <c r="Q829" s="292"/>
      <c r="R829" s="132"/>
      <c r="S829" s="121"/>
      <c r="T829" s="82"/>
      <c r="U829" s="292"/>
      <c r="V829" s="132"/>
      <c r="W829" s="121"/>
      <c r="X829" s="82"/>
      <c r="Y829" s="292"/>
      <c r="Z829" s="300"/>
      <c r="AA829" s="301"/>
      <c r="AB829" s="80"/>
      <c r="AC829" s="292"/>
      <c r="AD829" s="132"/>
      <c r="AE829" s="254"/>
      <c r="AF829" s="294"/>
      <c r="AG829" s="292"/>
      <c r="AH829" s="302"/>
      <c r="AI829" s="302"/>
      <c r="AJ829" s="302"/>
      <c r="AK829" s="292"/>
      <c r="AL829" s="82"/>
      <c r="AM829" s="82"/>
      <c r="AN829" s="82"/>
      <c r="AO829" s="292"/>
      <c r="AP829" s="82"/>
      <c r="AQ829" s="82"/>
      <c r="AR829" s="82"/>
      <c r="AS829" s="292"/>
      <c r="AT829" s="82"/>
      <c r="AU829" s="82"/>
      <c r="AV829" s="82"/>
    </row>
    <row r="830">
      <c r="A830" s="292"/>
      <c r="B830" s="132"/>
      <c r="C830" s="121"/>
      <c r="D830" s="82"/>
      <c r="E830" s="292"/>
      <c r="F830" s="132"/>
      <c r="G830" s="121"/>
      <c r="H830" s="82"/>
      <c r="I830" s="292"/>
      <c r="J830" s="132"/>
      <c r="K830" s="121"/>
      <c r="L830" s="82"/>
      <c r="M830" s="292"/>
      <c r="N830" s="132"/>
      <c r="O830" s="121"/>
      <c r="P830" s="82"/>
      <c r="Q830" s="292"/>
      <c r="R830" s="132"/>
      <c r="S830" s="121"/>
      <c r="T830" s="82"/>
      <c r="U830" s="292"/>
      <c r="V830" s="132"/>
      <c r="W830" s="121"/>
      <c r="X830" s="82"/>
      <c r="Y830" s="292"/>
      <c r="Z830" s="300"/>
      <c r="AA830" s="301"/>
      <c r="AB830" s="80"/>
      <c r="AC830" s="292"/>
      <c r="AD830" s="132"/>
      <c r="AE830" s="254"/>
      <c r="AF830" s="294"/>
      <c r="AG830" s="292"/>
      <c r="AH830" s="302"/>
      <c r="AI830" s="302"/>
      <c r="AJ830" s="302"/>
      <c r="AK830" s="292"/>
      <c r="AL830" s="82"/>
      <c r="AM830" s="82"/>
      <c r="AN830" s="82"/>
      <c r="AO830" s="292"/>
      <c r="AP830" s="82"/>
      <c r="AQ830" s="82"/>
      <c r="AR830" s="82"/>
      <c r="AS830" s="292"/>
      <c r="AT830" s="82"/>
      <c r="AU830" s="82"/>
      <c r="AV830" s="82"/>
    </row>
    <row r="831">
      <c r="A831" s="292"/>
      <c r="B831" s="132"/>
      <c r="C831" s="121"/>
      <c r="D831" s="82"/>
      <c r="E831" s="292"/>
      <c r="F831" s="132"/>
      <c r="G831" s="121"/>
      <c r="H831" s="82"/>
      <c r="I831" s="292"/>
      <c r="J831" s="132"/>
      <c r="K831" s="121"/>
      <c r="L831" s="82"/>
      <c r="M831" s="292"/>
      <c r="N831" s="132"/>
      <c r="O831" s="121"/>
      <c r="P831" s="82"/>
      <c r="Q831" s="292"/>
      <c r="R831" s="132"/>
      <c r="S831" s="121"/>
      <c r="T831" s="82"/>
      <c r="U831" s="292"/>
      <c r="V831" s="132"/>
      <c r="W831" s="121"/>
      <c r="X831" s="82"/>
      <c r="Y831" s="292"/>
      <c r="Z831" s="300"/>
      <c r="AA831" s="301"/>
      <c r="AB831" s="80"/>
      <c r="AC831" s="292"/>
      <c r="AD831" s="132"/>
      <c r="AE831" s="254"/>
      <c r="AF831" s="294"/>
      <c r="AG831" s="292"/>
      <c r="AH831" s="302"/>
      <c r="AI831" s="302"/>
      <c r="AJ831" s="302"/>
      <c r="AK831" s="292"/>
      <c r="AL831" s="82"/>
      <c r="AM831" s="82"/>
      <c r="AN831" s="82"/>
      <c r="AO831" s="292"/>
      <c r="AP831" s="82"/>
      <c r="AQ831" s="82"/>
      <c r="AR831" s="82"/>
      <c r="AS831" s="292"/>
      <c r="AT831" s="82"/>
      <c r="AU831" s="82"/>
      <c r="AV831" s="82"/>
    </row>
    <row r="832">
      <c r="A832" s="292"/>
      <c r="B832" s="132"/>
      <c r="C832" s="121"/>
      <c r="D832" s="82"/>
      <c r="E832" s="292"/>
      <c r="F832" s="132"/>
      <c r="G832" s="121"/>
      <c r="H832" s="82"/>
      <c r="I832" s="292"/>
      <c r="J832" s="132"/>
      <c r="K832" s="121"/>
      <c r="L832" s="82"/>
      <c r="M832" s="292"/>
      <c r="N832" s="132"/>
      <c r="O832" s="121"/>
      <c r="P832" s="82"/>
      <c r="Q832" s="292"/>
      <c r="R832" s="132"/>
      <c r="S832" s="121"/>
      <c r="T832" s="82"/>
      <c r="U832" s="292"/>
      <c r="V832" s="132"/>
      <c r="W832" s="121"/>
      <c r="X832" s="82"/>
      <c r="Y832" s="292"/>
      <c r="Z832" s="300"/>
      <c r="AA832" s="301"/>
      <c r="AB832" s="80"/>
      <c r="AC832" s="292"/>
      <c r="AD832" s="132"/>
      <c r="AE832" s="254"/>
      <c r="AF832" s="294"/>
      <c r="AG832" s="292"/>
      <c r="AH832" s="302"/>
      <c r="AI832" s="302"/>
      <c r="AJ832" s="302"/>
      <c r="AK832" s="292"/>
      <c r="AL832" s="82"/>
      <c r="AM832" s="82"/>
      <c r="AN832" s="82"/>
      <c r="AO832" s="292"/>
      <c r="AP832" s="82"/>
      <c r="AQ832" s="82"/>
      <c r="AR832" s="82"/>
      <c r="AS832" s="292"/>
      <c r="AT832" s="82"/>
      <c r="AU832" s="82"/>
      <c r="AV832" s="82"/>
    </row>
    <row r="833">
      <c r="A833" s="292"/>
      <c r="B833" s="132"/>
      <c r="C833" s="121"/>
      <c r="D833" s="82"/>
      <c r="E833" s="292"/>
      <c r="F833" s="132"/>
      <c r="G833" s="121"/>
      <c r="H833" s="82"/>
      <c r="I833" s="292"/>
      <c r="J833" s="132"/>
      <c r="K833" s="121"/>
      <c r="L833" s="82"/>
      <c r="M833" s="292"/>
      <c r="N833" s="132"/>
      <c r="O833" s="121"/>
      <c r="P833" s="82"/>
      <c r="Q833" s="292"/>
      <c r="R833" s="132"/>
      <c r="S833" s="121"/>
      <c r="T833" s="82"/>
      <c r="U833" s="292"/>
      <c r="V833" s="132"/>
      <c r="W833" s="121"/>
      <c r="X833" s="82"/>
      <c r="Y833" s="292"/>
      <c r="Z833" s="300"/>
      <c r="AA833" s="301"/>
      <c r="AB833" s="80"/>
      <c r="AC833" s="292"/>
      <c r="AD833" s="132"/>
      <c r="AE833" s="254"/>
      <c r="AF833" s="294"/>
      <c r="AG833" s="292"/>
      <c r="AH833" s="302"/>
      <c r="AI833" s="302"/>
      <c r="AJ833" s="302"/>
      <c r="AK833" s="292"/>
      <c r="AL833" s="82"/>
      <c r="AM833" s="82"/>
      <c r="AN833" s="82"/>
      <c r="AO833" s="292"/>
      <c r="AP833" s="82"/>
      <c r="AQ833" s="82"/>
      <c r="AR833" s="82"/>
      <c r="AS833" s="292"/>
      <c r="AT833" s="82"/>
      <c r="AU833" s="82"/>
      <c r="AV833" s="82"/>
    </row>
    <row r="834">
      <c r="A834" s="292"/>
      <c r="B834" s="132"/>
      <c r="C834" s="121"/>
      <c r="D834" s="82"/>
      <c r="E834" s="292"/>
      <c r="F834" s="132"/>
      <c r="G834" s="121"/>
      <c r="H834" s="82"/>
      <c r="I834" s="292"/>
      <c r="J834" s="132"/>
      <c r="K834" s="121"/>
      <c r="L834" s="82"/>
      <c r="M834" s="292"/>
      <c r="N834" s="132"/>
      <c r="O834" s="121"/>
      <c r="P834" s="82"/>
      <c r="Q834" s="292"/>
      <c r="R834" s="132"/>
      <c r="S834" s="121"/>
      <c r="T834" s="82"/>
      <c r="U834" s="292"/>
      <c r="V834" s="132"/>
      <c r="W834" s="121"/>
      <c r="X834" s="82"/>
      <c r="Y834" s="292"/>
      <c r="Z834" s="300"/>
      <c r="AA834" s="301"/>
      <c r="AB834" s="80"/>
      <c r="AC834" s="292"/>
      <c r="AD834" s="132"/>
      <c r="AE834" s="254"/>
      <c r="AF834" s="294"/>
      <c r="AG834" s="292"/>
      <c r="AH834" s="302"/>
      <c r="AI834" s="302"/>
      <c r="AJ834" s="302"/>
      <c r="AK834" s="292"/>
      <c r="AL834" s="82"/>
      <c r="AM834" s="82"/>
      <c r="AN834" s="82"/>
      <c r="AO834" s="292"/>
      <c r="AP834" s="82"/>
      <c r="AQ834" s="82"/>
      <c r="AR834" s="82"/>
      <c r="AS834" s="292"/>
      <c r="AT834" s="82"/>
      <c r="AU834" s="82"/>
      <c r="AV834" s="82"/>
    </row>
    <row r="835">
      <c r="A835" s="292"/>
      <c r="B835" s="132"/>
      <c r="C835" s="121"/>
      <c r="D835" s="82"/>
      <c r="E835" s="292"/>
      <c r="F835" s="132"/>
      <c r="G835" s="121"/>
      <c r="H835" s="82"/>
      <c r="I835" s="292"/>
      <c r="J835" s="132"/>
      <c r="K835" s="121"/>
      <c r="L835" s="82"/>
      <c r="M835" s="292"/>
      <c r="N835" s="132"/>
      <c r="O835" s="121"/>
      <c r="P835" s="82"/>
      <c r="Q835" s="292"/>
      <c r="R835" s="132"/>
      <c r="S835" s="121"/>
      <c r="T835" s="82"/>
      <c r="U835" s="292"/>
      <c r="V835" s="132"/>
      <c r="W835" s="121"/>
      <c r="X835" s="82"/>
      <c r="Y835" s="292"/>
      <c r="Z835" s="300"/>
      <c r="AA835" s="301"/>
      <c r="AB835" s="80"/>
      <c r="AC835" s="292"/>
      <c r="AD835" s="132"/>
      <c r="AE835" s="254"/>
      <c r="AF835" s="294"/>
      <c r="AG835" s="292"/>
      <c r="AH835" s="302"/>
      <c r="AI835" s="302"/>
      <c r="AJ835" s="302"/>
      <c r="AK835" s="292"/>
      <c r="AL835" s="82"/>
      <c r="AM835" s="82"/>
      <c r="AN835" s="82"/>
      <c r="AO835" s="292"/>
      <c r="AP835" s="82"/>
      <c r="AQ835" s="82"/>
      <c r="AR835" s="82"/>
      <c r="AS835" s="292"/>
      <c r="AT835" s="82"/>
      <c r="AU835" s="82"/>
      <c r="AV835" s="82"/>
    </row>
    <row r="836">
      <c r="A836" s="292"/>
      <c r="B836" s="132"/>
      <c r="C836" s="121"/>
      <c r="D836" s="82"/>
      <c r="E836" s="292"/>
      <c r="F836" s="132"/>
      <c r="G836" s="121"/>
      <c r="H836" s="82"/>
      <c r="I836" s="292"/>
      <c r="J836" s="132"/>
      <c r="K836" s="121"/>
      <c r="L836" s="82"/>
      <c r="M836" s="292"/>
      <c r="N836" s="132"/>
      <c r="O836" s="121"/>
      <c r="P836" s="82"/>
      <c r="Q836" s="292"/>
      <c r="R836" s="132"/>
      <c r="S836" s="121"/>
      <c r="T836" s="82"/>
      <c r="U836" s="292"/>
      <c r="V836" s="132"/>
      <c r="W836" s="121"/>
      <c r="X836" s="82"/>
      <c r="Y836" s="292"/>
      <c r="Z836" s="300"/>
      <c r="AA836" s="301"/>
      <c r="AB836" s="80"/>
      <c r="AC836" s="292"/>
      <c r="AD836" s="132"/>
      <c r="AE836" s="254"/>
      <c r="AF836" s="294"/>
      <c r="AG836" s="292"/>
      <c r="AH836" s="302"/>
      <c r="AI836" s="302"/>
      <c r="AJ836" s="302"/>
      <c r="AK836" s="292"/>
      <c r="AL836" s="82"/>
      <c r="AM836" s="82"/>
      <c r="AN836" s="82"/>
      <c r="AO836" s="292"/>
      <c r="AP836" s="82"/>
      <c r="AQ836" s="82"/>
      <c r="AR836" s="82"/>
      <c r="AS836" s="292"/>
      <c r="AT836" s="82"/>
      <c r="AU836" s="82"/>
      <c r="AV836" s="82"/>
    </row>
    <row r="837">
      <c r="A837" s="292"/>
      <c r="B837" s="132"/>
      <c r="C837" s="121"/>
      <c r="D837" s="82"/>
      <c r="E837" s="292"/>
      <c r="F837" s="132"/>
      <c r="G837" s="121"/>
      <c r="H837" s="82"/>
      <c r="I837" s="292"/>
      <c r="J837" s="132"/>
      <c r="K837" s="121"/>
      <c r="L837" s="82"/>
      <c r="M837" s="292"/>
      <c r="N837" s="132"/>
      <c r="O837" s="121"/>
      <c r="P837" s="82"/>
      <c r="Q837" s="292"/>
      <c r="R837" s="132"/>
      <c r="S837" s="121"/>
      <c r="T837" s="82"/>
      <c r="U837" s="292"/>
      <c r="V837" s="132"/>
      <c r="W837" s="121"/>
      <c r="X837" s="82"/>
      <c r="Y837" s="292"/>
      <c r="Z837" s="300"/>
      <c r="AA837" s="301"/>
      <c r="AB837" s="80"/>
      <c r="AC837" s="292"/>
      <c r="AD837" s="132"/>
      <c r="AE837" s="254"/>
      <c r="AF837" s="294"/>
      <c r="AG837" s="292"/>
      <c r="AH837" s="302"/>
      <c r="AI837" s="302"/>
      <c r="AJ837" s="302"/>
      <c r="AK837" s="292"/>
      <c r="AL837" s="82"/>
      <c r="AM837" s="82"/>
      <c r="AN837" s="82"/>
      <c r="AO837" s="292"/>
      <c r="AP837" s="82"/>
      <c r="AQ837" s="82"/>
      <c r="AR837" s="82"/>
      <c r="AS837" s="292"/>
      <c r="AT837" s="82"/>
      <c r="AU837" s="82"/>
      <c r="AV837" s="82"/>
    </row>
    <row r="838">
      <c r="A838" s="292"/>
      <c r="B838" s="132"/>
      <c r="C838" s="121"/>
      <c r="D838" s="82"/>
      <c r="E838" s="292"/>
      <c r="F838" s="132"/>
      <c r="G838" s="121"/>
      <c r="H838" s="82"/>
      <c r="I838" s="292"/>
      <c r="J838" s="132"/>
      <c r="K838" s="121"/>
      <c r="L838" s="82"/>
      <c r="M838" s="292"/>
      <c r="N838" s="132"/>
      <c r="O838" s="121"/>
      <c r="P838" s="82"/>
      <c r="Q838" s="292"/>
      <c r="R838" s="132"/>
      <c r="S838" s="121"/>
      <c r="T838" s="82"/>
      <c r="U838" s="292"/>
      <c r="V838" s="132"/>
      <c r="W838" s="121"/>
      <c r="X838" s="82"/>
      <c r="Y838" s="292"/>
      <c r="Z838" s="300"/>
      <c r="AA838" s="301"/>
      <c r="AB838" s="80"/>
      <c r="AC838" s="292"/>
      <c r="AD838" s="132"/>
      <c r="AE838" s="254"/>
      <c r="AF838" s="294"/>
      <c r="AG838" s="292"/>
      <c r="AH838" s="302"/>
      <c r="AI838" s="302"/>
      <c r="AJ838" s="302"/>
      <c r="AK838" s="292"/>
      <c r="AL838" s="82"/>
      <c r="AM838" s="82"/>
      <c r="AN838" s="82"/>
      <c r="AO838" s="292"/>
      <c r="AP838" s="82"/>
      <c r="AQ838" s="82"/>
      <c r="AR838" s="82"/>
      <c r="AS838" s="292"/>
      <c r="AT838" s="82"/>
      <c r="AU838" s="82"/>
      <c r="AV838" s="82"/>
    </row>
    <row r="839">
      <c r="A839" s="292"/>
      <c r="B839" s="132"/>
      <c r="C839" s="121"/>
      <c r="D839" s="82"/>
      <c r="E839" s="292"/>
      <c r="F839" s="132"/>
      <c r="G839" s="121"/>
      <c r="H839" s="82"/>
      <c r="I839" s="292"/>
      <c r="J839" s="132"/>
      <c r="K839" s="121"/>
      <c r="L839" s="82"/>
      <c r="M839" s="292"/>
      <c r="N839" s="132"/>
      <c r="O839" s="121"/>
      <c r="P839" s="82"/>
      <c r="Q839" s="292"/>
      <c r="R839" s="132"/>
      <c r="S839" s="121"/>
      <c r="T839" s="82"/>
      <c r="U839" s="292"/>
      <c r="V839" s="132"/>
      <c r="W839" s="121"/>
      <c r="X839" s="82"/>
      <c r="Y839" s="292"/>
      <c r="Z839" s="300"/>
      <c r="AA839" s="301"/>
      <c r="AB839" s="80"/>
      <c r="AC839" s="292"/>
      <c r="AD839" s="132"/>
      <c r="AE839" s="254"/>
      <c r="AF839" s="294"/>
      <c r="AG839" s="292"/>
      <c r="AH839" s="302"/>
      <c r="AI839" s="302"/>
      <c r="AJ839" s="302"/>
      <c r="AK839" s="292"/>
      <c r="AL839" s="82"/>
      <c r="AM839" s="82"/>
      <c r="AN839" s="82"/>
      <c r="AO839" s="292"/>
      <c r="AP839" s="82"/>
      <c r="AQ839" s="82"/>
      <c r="AR839" s="82"/>
      <c r="AS839" s="292"/>
      <c r="AT839" s="82"/>
      <c r="AU839" s="82"/>
      <c r="AV839" s="82"/>
    </row>
    <row r="840">
      <c r="A840" s="292"/>
      <c r="B840" s="132"/>
      <c r="C840" s="121"/>
      <c r="D840" s="82"/>
      <c r="E840" s="292"/>
      <c r="F840" s="132"/>
      <c r="G840" s="121"/>
      <c r="H840" s="82"/>
      <c r="I840" s="292"/>
      <c r="J840" s="132"/>
      <c r="K840" s="121"/>
      <c r="L840" s="82"/>
      <c r="M840" s="292"/>
      <c r="N840" s="132"/>
      <c r="O840" s="121"/>
      <c r="P840" s="82"/>
      <c r="Q840" s="292"/>
      <c r="R840" s="132"/>
      <c r="S840" s="121"/>
      <c r="T840" s="82"/>
      <c r="U840" s="292"/>
      <c r="V840" s="132"/>
      <c r="W840" s="121"/>
      <c r="X840" s="82"/>
      <c r="Y840" s="292"/>
      <c r="Z840" s="300"/>
      <c r="AA840" s="301"/>
      <c r="AB840" s="80"/>
      <c r="AC840" s="292"/>
      <c r="AD840" s="132"/>
      <c r="AE840" s="254"/>
      <c r="AF840" s="294"/>
      <c r="AG840" s="292"/>
      <c r="AH840" s="302"/>
      <c r="AI840" s="302"/>
      <c r="AJ840" s="302"/>
      <c r="AK840" s="292"/>
      <c r="AL840" s="82"/>
      <c r="AM840" s="82"/>
      <c r="AN840" s="82"/>
      <c r="AO840" s="292"/>
      <c r="AP840" s="82"/>
      <c r="AQ840" s="82"/>
      <c r="AR840" s="82"/>
      <c r="AS840" s="292"/>
      <c r="AT840" s="82"/>
      <c r="AU840" s="82"/>
      <c r="AV840" s="82"/>
    </row>
    <row r="841">
      <c r="A841" s="292"/>
      <c r="B841" s="132"/>
      <c r="C841" s="121"/>
      <c r="D841" s="82"/>
      <c r="E841" s="292"/>
      <c r="F841" s="132"/>
      <c r="G841" s="121"/>
      <c r="H841" s="82"/>
      <c r="I841" s="292"/>
      <c r="J841" s="132"/>
      <c r="K841" s="121"/>
      <c r="L841" s="82"/>
      <c r="M841" s="292"/>
      <c r="N841" s="132"/>
      <c r="O841" s="121"/>
      <c r="P841" s="82"/>
      <c r="Q841" s="292"/>
      <c r="R841" s="132"/>
      <c r="S841" s="121"/>
      <c r="T841" s="82"/>
      <c r="U841" s="292"/>
      <c r="V841" s="132"/>
      <c r="W841" s="121"/>
      <c r="X841" s="82"/>
      <c r="Y841" s="292"/>
      <c r="Z841" s="300"/>
      <c r="AA841" s="301"/>
      <c r="AB841" s="80"/>
      <c r="AC841" s="292"/>
      <c r="AD841" s="132"/>
      <c r="AE841" s="254"/>
      <c r="AF841" s="294"/>
      <c r="AG841" s="292"/>
      <c r="AH841" s="302"/>
      <c r="AI841" s="302"/>
      <c r="AJ841" s="302"/>
      <c r="AK841" s="292"/>
      <c r="AL841" s="82"/>
      <c r="AM841" s="82"/>
      <c r="AN841" s="82"/>
      <c r="AO841" s="292"/>
      <c r="AP841" s="82"/>
      <c r="AQ841" s="82"/>
      <c r="AR841" s="82"/>
      <c r="AS841" s="292"/>
      <c r="AT841" s="82"/>
      <c r="AU841" s="82"/>
      <c r="AV841" s="82"/>
    </row>
    <row r="842">
      <c r="A842" s="292"/>
      <c r="B842" s="132"/>
      <c r="C842" s="121"/>
      <c r="D842" s="82"/>
      <c r="E842" s="292"/>
      <c r="F842" s="132"/>
      <c r="G842" s="121"/>
      <c r="H842" s="82"/>
      <c r="I842" s="292"/>
      <c r="J842" s="132"/>
      <c r="K842" s="121"/>
      <c r="L842" s="82"/>
      <c r="M842" s="292"/>
      <c r="N842" s="132"/>
      <c r="O842" s="121"/>
      <c r="P842" s="82"/>
      <c r="Q842" s="292"/>
      <c r="R842" s="132"/>
      <c r="S842" s="121"/>
      <c r="T842" s="82"/>
      <c r="U842" s="292"/>
      <c r="V842" s="132"/>
      <c r="W842" s="121"/>
      <c r="X842" s="82"/>
      <c r="Y842" s="292"/>
      <c r="Z842" s="300"/>
      <c r="AA842" s="301"/>
      <c r="AB842" s="80"/>
      <c r="AC842" s="292"/>
      <c r="AD842" s="132"/>
      <c r="AE842" s="254"/>
      <c r="AF842" s="294"/>
      <c r="AG842" s="292"/>
      <c r="AH842" s="302"/>
      <c r="AI842" s="302"/>
      <c r="AJ842" s="302"/>
      <c r="AK842" s="292"/>
      <c r="AL842" s="82"/>
      <c r="AM842" s="82"/>
      <c r="AN842" s="82"/>
      <c r="AO842" s="292"/>
      <c r="AP842" s="82"/>
      <c r="AQ842" s="82"/>
      <c r="AR842" s="82"/>
      <c r="AS842" s="292"/>
      <c r="AT842" s="82"/>
      <c r="AU842" s="82"/>
      <c r="AV842" s="82"/>
    </row>
    <row r="843">
      <c r="A843" s="292"/>
      <c r="B843" s="132"/>
      <c r="C843" s="121"/>
      <c r="D843" s="82"/>
      <c r="E843" s="292"/>
      <c r="F843" s="132"/>
      <c r="G843" s="121"/>
      <c r="H843" s="82"/>
      <c r="I843" s="292"/>
      <c r="J843" s="132"/>
      <c r="K843" s="121"/>
      <c r="L843" s="82"/>
      <c r="M843" s="292"/>
      <c r="N843" s="132"/>
      <c r="O843" s="121"/>
      <c r="P843" s="82"/>
      <c r="Q843" s="292"/>
      <c r="R843" s="132"/>
      <c r="S843" s="121"/>
      <c r="T843" s="82"/>
      <c r="U843" s="292"/>
      <c r="V843" s="132"/>
      <c r="W843" s="121"/>
      <c r="X843" s="82"/>
      <c r="Y843" s="292"/>
      <c r="Z843" s="300"/>
      <c r="AA843" s="301"/>
      <c r="AB843" s="80"/>
      <c r="AC843" s="292"/>
      <c r="AD843" s="132"/>
      <c r="AE843" s="254"/>
      <c r="AF843" s="294"/>
      <c r="AG843" s="292"/>
      <c r="AH843" s="302"/>
      <c r="AI843" s="302"/>
      <c r="AJ843" s="302"/>
      <c r="AK843" s="292"/>
      <c r="AL843" s="82"/>
      <c r="AM843" s="82"/>
      <c r="AN843" s="82"/>
      <c r="AO843" s="292"/>
      <c r="AP843" s="82"/>
      <c r="AQ843" s="82"/>
      <c r="AR843" s="82"/>
      <c r="AS843" s="292"/>
      <c r="AT843" s="82"/>
      <c r="AU843" s="82"/>
      <c r="AV843" s="82"/>
    </row>
    <row r="844">
      <c r="A844" s="292"/>
      <c r="B844" s="132"/>
      <c r="C844" s="121"/>
      <c r="D844" s="82"/>
      <c r="E844" s="292"/>
      <c r="F844" s="132"/>
      <c r="G844" s="121"/>
      <c r="H844" s="82"/>
      <c r="I844" s="292"/>
      <c r="J844" s="132"/>
      <c r="K844" s="121"/>
      <c r="L844" s="82"/>
      <c r="M844" s="292"/>
      <c r="N844" s="132"/>
      <c r="O844" s="121"/>
      <c r="P844" s="82"/>
      <c r="Q844" s="292"/>
      <c r="R844" s="132"/>
      <c r="S844" s="121"/>
      <c r="T844" s="82"/>
      <c r="U844" s="292"/>
      <c r="V844" s="132"/>
      <c r="W844" s="121"/>
      <c r="X844" s="82"/>
      <c r="Y844" s="292"/>
      <c r="Z844" s="300"/>
      <c r="AA844" s="301"/>
      <c r="AB844" s="80"/>
      <c r="AC844" s="292"/>
      <c r="AD844" s="132"/>
      <c r="AE844" s="254"/>
      <c r="AF844" s="294"/>
      <c r="AG844" s="292"/>
      <c r="AH844" s="302"/>
      <c r="AI844" s="302"/>
      <c r="AJ844" s="302"/>
      <c r="AK844" s="292"/>
      <c r="AL844" s="82"/>
      <c r="AM844" s="82"/>
      <c r="AN844" s="82"/>
      <c r="AO844" s="292"/>
      <c r="AP844" s="82"/>
      <c r="AQ844" s="82"/>
      <c r="AR844" s="82"/>
      <c r="AS844" s="292"/>
      <c r="AT844" s="82"/>
      <c r="AU844" s="82"/>
      <c r="AV844" s="82"/>
    </row>
    <row r="845">
      <c r="A845" s="292"/>
      <c r="B845" s="132"/>
      <c r="C845" s="121"/>
      <c r="D845" s="82"/>
      <c r="E845" s="292"/>
      <c r="F845" s="132"/>
      <c r="G845" s="121"/>
      <c r="H845" s="82"/>
      <c r="I845" s="292"/>
      <c r="J845" s="132"/>
      <c r="K845" s="121"/>
      <c r="L845" s="82"/>
      <c r="M845" s="292"/>
      <c r="N845" s="132"/>
      <c r="O845" s="121"/>
      <c r="P845" s="82"/>
      <c r="Q845" s="292"/>
      <c r="R845" s="132"/>
      <c r="S845" s="121"/>
      <c r="T845" s="82"/>
      <c r="U845" s="292"/>
      <c r="V845" s="132"/>
      <c r="W845" s="121"/>
      <c r="X845" s="82"/>
      <c r="Y845" s="292"/>
      <c r="Z845" s="300"/>
      <c r="AA845" s="301"/>
      <c r="AB845" s="80"/>
      <c r="AC845" s="292"/>
      <c r="AD845" s="132"/>
      <c r="AE845" s="254"/>
      <c r="AF845" s="294"/>
      <c r="AG845" s="292"/>
      <c r="AH845" s="302"/>
      <c r="AI845" s="302"/>
      <c r="AJ845" s="302"/>
      <c r="AK845" s="292"/>
      <c r="AL845" s="82"/>
      <c r="AM845" s="82"/>
      <c r="AN845" s="82"/>
      <c r="AO845" s="292"/>
      <c r="AP845" s="82"/>
      <c r="AQ845" s="82"/>
      <c r="AR845" s="82"/>
      <c r="AS845" s="292"/>
      <c r="AT845" s="82"/>
      <c r="AU845" s="82"/>
      <c r="AV845" s="82"/>
    </row>
    <row r="846">
      <c r="A846" s="292"/>
      <c r="B846" s="132"/>
      <c r="C846" s="121"/>
      <c r="D846" s="82"/>
      <c r="E846" s="292"/>
      <c r="F846" s="132"/>
      <c r="G846" s="121"/>
      <c r="H846" s="82"/>
      <c r="I846" s="292"/>
      <c r="J846" s="132"/>
      <c r="K846" s="121"/>
      <c r="L846" s="82"/>
      <c r="M846" s="292"/>
      <c r="N846" s="132"/>
      <c r="O846" s="121"/>
      <c r="P846" s="82"/>
      <c r="Q846" s="292"/>
      <c r="R846" s="132"/>
      <c r="S846" s="121"/>
      <c r="T846" s="82"/>
      <c r="U846" s="292"/>
      <c r="V846" s="132"/>
      <c r="W846" s="121"/>
      <c r="X846" s="82"/>
      <c r="Y846" s="292"/>
      <c r="Z846" s="300"/>
      <c r="AA846" s="301"/>
      <c r="AB846" s="80"/>
      <c r="AC846" s="292"/>
      <c r="AD846" s="132"/>
      <c r="AE846" s="254"/>
      <c r="AF846" s="294"/>
      <c r="AG846" s="292"/>
      <c r="AH846" s="302"/>
      <c r="AI846" s="302"/>
      <c r="AJ846" s="302"/>
      <c r="AK846" s="292"/>
      <c r="AL846" s="82"/>
      <c r="AM846" s="82"/>
      <c r="AN846" s="82"/>
      <c r="AO846" s="292"/>
      <c r="AP846" s="82"/>
      <c r="AQ846" s="82"/>
      <c r="AR846" s="82"/>
      <c r="AS846" s="292"/>
      <c r="AT846" s="82"/>
      <c r="AU846" s="82"/>
      <c r="AV846" s="82"/>
    </row>
    <row r="847">
      <c r="A847" s="292"/>
      <c r="B847" s="132"/>
      <c r="C847" s="121"/>
      <c r="D847" s="82"/>
      <c r="E847" s="292"/>
      <c r="F847" s="132"/>
      <c r="G847" s="121"/>
      <c r="H847" s="82"/>
      <c r="I847" s="292"/>
      <c r="J847" s="132"/>
      <c r="K847" s="121"/>
      <c r="L847" s="82"/>
      <c r="M847" s="292"/>
      <c r="N847" s="132"/>
      <c r="O847" s="121"/>
      <c r="P847" s="82"/>
      <c r="Q847" s="292"/>
      <c r="R847" s="132"/>
      <c r="S847" s="121"/>
      <c r="T847" s="82"/>
      <c r="U847" s="292"/>
      <c r="V847" s="132"/>
      <c r="W847" s="121"/>
      <c r="X847" s="82"/>
      <c r="Y847" s="292"/>
      <c r="Z847" s="300"/>
      <c r="AA847" s="301"/>
      <c r="AB847" s="80"/>
      <c r="AC847" s="292"/>
      <c r="AD847" s="132"/>
      <c r="AE847" s="254"/>
      <c r="AF847" s="294"/>
      <c r="AG847" s="292"/>
      <c r="AH847" s="302"/>
      <c r="AI847" s="302"/>
      <c r="AJ847" s="302"/>
      <c r="AK847" s="292"/>
      <c r="AL847" s="82"/>
      <c r="AM847" s="82"/>
      <c r="AN847" s="82"/>
      <c r="AO847" s="292"/>
      <c r="AP847" s="82"/>
      <c r="AQ847" s="82"/>
      <c r="AR847" s="82"/>
      <c r="AS847" s="292"/>
      <c r="AT847" s="82"/>
      <c r="AU847" s="82"/>
      <c r="AV847" s="82"/>
    </row>
    <row r="848">
      <c r="A848" s="292"/>
      <c r="B848" s="132"/>
      <c r="C848" s="121"/>
      <c r="D848" s="82"/>
      <c r="E848" s="292"/>
      <c r="F848" s="132"/>
      <c r="G848" s="121"/>
      <c r="H848" s="82"/>
      <c r="I848" s="292"/>
      <c r="J848" s="132"/>
      <c r="K848" s="121"/>
      <c r="L848" s="82"/>
      <c r="M848" s="292"/>
      <c r="N848" s="132"/>
      <c r="O848" s="121"/>
      <c r="P848" s="82"/>
      <c r="Q848" s="292"/>
      <c r="R848" s="132"/>
      <c r="S848" s="121"/>
      <c r="T848" s="82"/>
      <c r="U848" s="292"/>
      <c r="V848" s="132"/>
      <c r="W848" s="121"/>
      <c r="X848" s="82"/>
      <c r="Y848" s="292"/>
      <c r="Z848" s="300"/>
      <c r="AA848" s="301"/>
      <c r="AB848" s="80"/>
      <c r="AC848" s="292"/>
      <c r="AD848" s="132"/>
      <c r="AE848" s="254"/>
      <c r="AF848" s="294"/>
      <c r="AG848" s="292"/>
      <c r="AH848" s="302"/>
      <c r="AI848" s="302"/>
      <c r="AJ848" s="302"/>
      <c r="AK848" s="292"/>
      <c r="AL848" s="82"/>
      <c r="AM848" s="82"/>
      <c r="AN848" s="82"/>
      <c r="AO848" s="292"/>
      <c r="AP848" s="82"/>
      <c r="AQ848" s="82"/>
      <c r="AR848" s="82"/>
      <c r="AS848" s="292"/>
      <c r="AT848" s="82"/>
      <c r="AU848" s="82"/>
      <c r="AV848" s="82"/>
    </row>
    <row r="849">
      <c r="A849" s="292"/>
      <c r="B849" s="132"/>
      <c r="C849" s="121"/>
      <c r="D849" s="82"/>
      <c r="E849" s="292"/>
      <c r="F849" s="132"/>
      <c r="G849" s="121"/>
      <c r="H849" s="82"/>
      <c r="I849" s="292"/>
      <c r="J849" s="132"/>
      <c r="K849" s="121"/>
      <c r="L849" s="82"/>
      <c r="M849" s="292"/>
      <c r="N849" s="132"/>
      <c r="O849" s="121"/>
      <c r="P849" s="82"/>
      <c r="Q849" s="292"/>
      <c r="R849" s="132"/>
      <c r="S849" s="121"/>
      <c r="T849" s="82"/>
      <c r="U849" s="292"/>
      <c r="V849" s="132"/>
      <c r="W849" s="121"/>
      <c r="X849" s="82"/>
      <c r="Y849" s="292"/>
      <c r="Z849" s="300"/>
      <c r="AA849" s="301"/>
      <c r="AB849" s="80"/>
      <c r="AC849" s="292"/>
      <c r="AD849" s="132"/>
      <c r="AE849" s="254"/>
      <c r="AF849" s="294"/>
      <c r="AG849" s="292"/>
      <c r="AH849" s="302"/>
      <c r="AI849" s="302"/>
      <c r="AJ849" s="302"/>
      <c r="AK849" s="292"/>
      <c r="AL849" s="82"/>
      <c r="AM849" s="82"/>
      <c r="AN849" s="82"/>
      <c r="AO849" s="292"/>
      <c r="AP849" s="82"/>
      <c r="AQ849" s="82"/>
      <c r="AR849" s="82"/>
      <c r="AS849" s="292"/>
      <c r="AT849" s="82"/>
      <c r="AU849" s="82"/>
      <c r="AV849" s="82"/>
    </row>
    <row r="850">
      <c r="A850" s="292"/>
      <c r="B850" s="132"/>
      <c r="C850" s="121"/>
      <c r="D850" s="82"/>
      <c r="E850" s="292"/>
      <c r="F850" s="132"/>
      <c r="G850" s="121"/>
      <c r="H850" s="82"/>
      <c r="I850" s="292"/>
      <c r="J850" s="132"/>
      <c r="K850" s="121"/>
      <c r="L850" s="82"/>
      <c r="M850" s="292"/>
      <c r="N850" s="132"/>
      <c r="O850" s="121"/>
      <c r="P850" s="82"/>
      <c r="Q850" s="292"/>
      <c r="R850" s="132"/>
      <c r="S850" s="121"/>
      <c r="T850" s="82"/>
      <c r="U850" s="292"/>
      <c r="V850" s="132"/>
      <c r="W850" s="121"/>
      <c r="X850" s="82"/>
      <c r="Y850" s="292"/>
      <c r="Z850" s="300"/>
      <c r="AA850" s="301"/>
      <c r="AB850" s="80"/>
      <c r="AC850" s="292"/>
      <c r="AD850" s="132"/>
      <c r="AE850" s="254"/>
      <c r="AF850" s="294"/>
      <c r="AG850" s="292"/>
      <c r="AH850" s="302"/>
      <c r="AI850" s="302"/>
      <c r="AJ850" s="302"/>
      <c r="AK850" s="292"/>
      <c r="AL850" s="82"/>
      <c r="AM850" s="82"/>
      <c r="AN850" s="82"/>
      <c r="AO850" s="292"/>
      <c r="AP850" s="82"/>
      <c r="AQ850" s="82"/>
      <c r="AR850" s="82"/>
      <c r="AS850" s="292"/>
      <c r="AT850" s="82"/>
      <c r="AU850" s="82"/>
      <c r="AV850" s="82"/>
    </row>
    <row r="851">
      <c r="A851" s="292"/>
      <c r="B851" s="132"/>
      <c r="C851" s="121"/>
      <c r="D851" s="82"/>
      <c r="E851" s="292"/>
      <c r="F851" s="132"/>
      <c r="G851" s="121"/>
      <c r="H851" s="82"/>
      <c r="I851" s="292"/>
      <c r="J851" s="132"/>
      <c r="K851" s="121"/>
      <c r="L851" s="82"/>
      <c r="M851" s="292"/>
      <c r="N851" s="132"/>
      <c r="O851" s="121"/>
      <c r="P851" s="82"/>
      <c r="Q851" s="292"/>
      <c r="R851" s="132"/>
      <c r="S851" s="121"/>
      <c r="T851" s="82"/>
      <c r="U851" s="292"/>
      <c r="V851" s="132"/>
      <c r="W851" s="121"/>
      <c r="X851" s="82"/>
      <c r="Y851" s="292"/>
      <c r="Z851" s="300"/>
      <c r="AA851" s="301"/>
      <c r="AB851" s="80"/>
      <c r="AC851" s="292"/>
      <c r="AD851" s="132"/>
      <c r="AE851" s="254"/>
      <c r="AF851" s="294"/>
      <c r="AG851" s="292"/>
      <c r="AH851" s="302"/>
      <c r="AI851" s="302"/>
      <c r="AJ851" s="302"/>
      <c r="AK851" s="292"/>
      <c r="AL851" s="82"/>
      <c r="AM851" s="82"/>
      <c r="AN851" s="82"/>
      <c r="AO851" s="292"/>
      <c r="AP851" s="82"/>
      <c r="AQ851" s="82"/>
      <c r="AR851" s="82"/>
      <c r="AS851" s="292"/>
      <c r="AT851" s="82"/>
      <c r="AU851" s="82"/>
      <c r="AV851" s="82"/>
    </row>
    <row r="852">
      <c r="A852" s="292"/>
      <c r="B852" s="132"/>
      <c r="C852" s="121"/>
      <c r="D852" s="82"/>
      <c r="E852" s="292"/>
      <c r="F852" s="132"/>
      <c r="G852" s="121"/>
      <c r="H852" s="82"/>
      <c r="I852" s="292"/>
      <c r="J852" s="132"/>
      <c r="K852" s="121"/>
      <c r="L852" s="82"/>
      <c r="M852" s="292"/>
      <c r="N852" s="132"/>
      <c r="O852" s="121"/>
      <c r="P852" s="82"/>
      <c r="Q852" s="292"/>
      <c r="R852" s="132"/>
      <c r="S852" s="121"/>
      <c r="T852" s="82"/>
      <c r="U852" s="292"/>
      <c r="V852" s="132"/>
      <c r="W852" s="121"/>
      <c r="X852" s="82"/>
      <c r="Y852" s="292"/>
      <c r="Z852" s="300"/>
      <c r="AA852" s="301"/>
      <c r="AB852" s="80"/>
      <c r="AC852" s="292"/>
      <c r="AD852" s="132"/>
      <c r="AE852" s="254"/>
      <c r="AF852" s="294"/>
      <c r="AG852" s="292"/>
      <c r="AH852" s="302"/>
      <c r="AI852" s="302"/>
      <c r="AJ852" s="302"/>
      <c r="AK852" s="292"/>
      <c r="AL852" s="82"/>
      <c r="AM852" s="82"/>
      <c r="AN852" s="82"/>
      <c r="AO852" s="292"/>
      <c r="AP852" s="82"/>
      <c r="AQ852" s="82"/>
      <c r="AR852" s="82"/>
      <c r="AS852" s="292"/>
      <c r="AT852" s="82"/>
      <c r="AU852" s="82"/>
      <c r="AV852" s="82"/>
    </row>
    <row r="853">
      <c r="A853" s="292"/>
      <c r="B853" s="132"/>
      <c r="C853" s="121"/>
      <c r="D853" s="82"/>
      <c r="E853" s="292"/>
      <c r="F853" s="132"/>
      <c r="G853" s="121"/>
      <c r="H853" s="82"/>
      <c r="I853" s="292"/>
      <c r="J853" s="132"/>
      <c r="K853" s="121"/>
      <c r="L853" s="82"/>
      <c r="M853" s="292"/>
      <c r="N853" s="132"/>
      <c r="O853" s="121"/>
      <c r="P853" s="82"/>
      <c r="Q853" s="292"/>
      <c r="R853" s="132"/>
      <c r="S853" s="121"/>
      <c r="T853" s="82"/>
      <c r="U853" s="292"/>
      <c r="V853" s="132"/>
      <c r="W853" s="121"/>
      <c r="X853" s="82"/>
      <c r="Y853" s="292"/>
      <c r="Z853" s="300"/>
      <c r="AA853" s="301"/>
      <c r="AB853" s="80"/>
      <c r="AC853" s="292"/>
      <c r="AD853" s="132"/>
      <c r="AE853" s="254"/>
      <c r="AF853" s="294"/>
      <c r="AG853" s="292"/>
      <c r="AH853" s="302"/>
      <c r="AI853" s="302"/>
      <c r="AJ853" s="302"/>
      <c r="AK853" s="292"/>
      <c r="AL853" s="82"/>
      <c r="AM853" s="82"/>
      <c r="AN853" s="82"/>
      <c r="AO853" s="292"/>
      <c r="AP853" s="82"/>
      <c r="AQ853" s="82"/>
      <c r="AR853" s="82"/>
      <c r="AS853" s="292"/>
      <c r="AT853" s="82"/>
      <c r="AU853" s="82"/>
      <c r="AV853" s="82"/>
    </row>
    <row r="854">
      <c r="A854" s="292"/>
      <c r="B854" s="132"/>
      <c r="C854" s="121"/>
      <c r="D854" s="82"/>
      <c r="E854" s="292"/>
      <c r="F854" s="132"/>
      <c r="G854" s="121"/>
      <c r="H854" s="82"/>
      <c r="I854" s="292"/>
      <c r="J854" s="132"/>
      <c r="K854" s="121"/>
      <c r="L854" s="82"/>
      <c r="M854" s="292"/>
      <c r="N854" s="132"/>
      <c r="O854" s="121"/>
      <c r="P854" s="82"/>
      <c r="Q854" s="292"/>
      <c r="R854" s="132"/>
      <c r="S854" s="121"/>
      <c r="T854" s="82"/>
      <c r="U854" s="292"/>
      <c r="V854" s="132"/>
      <c r="W854" s="121"/>
      <c r="X854" s="82"/>
      <c r="Y854" s="292"/>
      <c r="Z854" s="300"/>
      <c r="AA854" s="301"/>
      <c r="AB854" s="80"/>
      <c r="AC854" s="292"/>
      <c r="AD854" s="132"/>
      <c r="AE854" s="254"/>
      <c r="AF854" s="294"/>
      <c r="AG854" s="292"/>
      <c r="AH854" s="302"/>
      <c r="AI854" s="302"/>
      <c r="AJ854" s="302"/>
      <c r="AK854" s="292"/>
      <c r="AL854" s="82"/>
      <c r="AM854" s="82"/>
      <c r="AN854" s="82"/>
      <c r="AO854" s="292"/>
      <c r="AP854" s="82"/>
      <c r="AQ854" s="82"/>
      <c r="AR854" s="82"/>
      <c r="AS854" s="292"/>
      <c r="AT854" s="82"/>
      <c r="AU854" s="82"/>
      <c r="AV854" s="82"/>
    </row>
    <row r="855">
      <c r="A855" s="292"/>
      <c r="B855" s="132"/>
      <c r="C855" s="121"/>
      <c r="D855" s="82"/>
      <c r="E855" s="292"/>
      <c r="F855" s="132"/>
      <c r="G855" s="121"/>
      <c r="H855" s="82"/>
      <c r="I855" s="292"/>
      <c r="J855" s="132"/>
      <c r="K855" s="121"/>
      <c r="L855" s="82"/>
      <c r="M855" s="292"/>
      <c r="N855" s="132"/>
      <c r="O855" s="121"/>
      <c r="P855" s="82"/>
      <c r="Q855" s="292"/>
      <c r="R855" s="132"/>
      <c r="S855" s="121"/>
      <c r="T855" s="82"/>
      <c r="U855" s="292"/>
      <c r="V855" s="132"/>
      <c r="W855" s="121"/>
      <c r="X855" s="82"/>
      <c r="Y855" s="292"/>
      <c r="Z855" s="300"/>
      <c r="AA855" s="301"/>
      <c r="AB855" s="80"/>
      <c r="AC855" s="292"/>
      <c r="AD855" s="132"/>
      <c r="AE855" s="254"/>
      <c r="AF855" s="294"/>
      <c r="AG855" s="292"/>
      <c r="AH855" s="302"/>
      <c r="AI855" s="302"/>
      <c r="AJ855" s="302"/>
      <c r="AK855" s="292"/>
      <c r="AL855" s="82"/>
      <c r="AM855" s="82"/>
      <c r="AN855" s="82"/>
      <c r="AO855" s="292"/>
      <c r="AP855" s="82"/>
      <c r="AQ855" s="82"/>
      <c r="AR855" s="82"/>
      <c r="AS855" s="292"/>
      <c r="AT855" s="82"/>
      <c r="AU855" s="82"/>
      <c r="AV855" s="82"/>
    </row>
    <row r="856">
      <c r="A856" s="292"/>
      <c r="B856" s="132"/>
      <c r="C856" s="121"/>
      <c r="D856" s="82"/>
      <c r="E856" s="292"/>
      <c r="F856" s="132"/>
      <c r="G856" s="121"/>
      <c r="H856" s="82"/>
      <c r="I856" s="292"/>
      <c r="J856" s="132"/>
      <c r="K856" s="121"/>
      <c r="L856" s="82"/>
      <c r="M856" s="292"/>
      <c r="N856" s="132"/>
      <c r="O856" s="121"/>
      <c r="P856" s="82"/>
      <c r="Q856" s="292"/>
      <c r="R856" s="132"/>
      <c r="S856" s="121"/>
      <c r="T856" s="82"/>
      <c r="U856" s="292"/>
      <c r="V856" s="132"/>
      <c r="W856" s="121"/>
      <c r="X856" s="82"/>
      <c r="Y856" s="292"/>
      <c r="Z856" s="300"/>
      <c r="AA856" s="301"/>
      <c r="AB856" s="80"/>
      <c r="AC856" s="292"/>
      <c r="AD856" s="132"/>
      <c r="AE856" s="254"/>
      <c r="AF856" s="294"/>
      <c r="AG856" s="292"/>
      <c r="AH856" s="302"/>
      <c r="AI856" s="302"/>
      <c r="AJ856" s="302"/>
      <c r="AK856" s="292"/>
      <c r="AL856" s="82"/>
      <c r="AM856" s="82"/>
      <c r="AN856" s="82"/>
      <c r="AO856" s="292"/>
      <c r="AP856" s="82"/>
      <c r="AQ856" s="82"/>
      <c r="AR856" s="82"/>
      <c r="AS856" s="292"/>
      <c r="AT856" s="82"/>
      <c r="AU856" s="82"/>
      <c r="AV856" s="82"/>
    </row>
    <row r="857">
      <c r="A857" s="292"/>
      <c r="B857" s="132"/>
      <c r="C857" s="121"/>
      <c r="D857" s="82"/>
      <c r="E857" s="292"/>
      <c r="F857" s="132"/>
      <c r="G857" s="121"/>
      <c r="H857" s="82"/>
      <c r="I857" s="292"/>
      <c r="J857" s="132"/>
      <c r="K857" s="121"/>
      <c r="L857" s="82"/>
      <c r="M857" s="292"/>
      <c r="N857" s="132"/>
      <c r="O857" s="121"/>
      <c r="P857" s="82"/>
      <c r="Q857" s="292"/>
      <c r="R857" s="132"/>
      <c r="S857" s="121"/>
      <c r="T857" s="82"/>
      <c r="U857" s="292"/>
      <c r="V857" s="132"/>
      <c r="W857" s="121"/>
      <c r="X857" s="82"/>
      <c r="Y857" s="292"/>
      <c r="Z857" s="300"/>
      <c r="AA857" s="301"/>
      <c r="AB857" s="80"/>
      <c r="AC857" s="292"/>
      <c r="AD857" s="132"/>
      <c r="AE857" s="254"/>
      <c r="AF857" s="294"/>
      <c r="AG857" s="292"/>
      <c r="AH857" s="302"/>
      <c r="AI857" s="302"/>
      <c r="AJ857" s="302"/>
      <c r="AK857" s="292"/>
      <c r="AL857" s="82"/>
      <c r="AM857" s="82"/>
      <c r="AN857" s="82"/>
      <c r="AO857" s="292"/>
      <c r="AP857" s="82"/>
      <c r="AQ857" s="82"/>
      <c r="AR857" s="82"/>
      <c r="AS857" s="292"/>
      <c r="AT857" s="82"/>
      <c r="AU857" s="82"/>
      <c r="AV857" s="82"/>
    </row>
    <row r="858">
      <c r="A858" s="292"/>
      <c r="B858" s="132"/>
      <c r="C858" s="121"/>
      <c r="D858" s="82"/>
      <c r="E858" s="292"/>
      <c r="F858" s="132"/>
      <c r="G858" s="121"/>
      <c r="H858" s="82"/>
      <c r="I858" s="292"/>
      <c r="J858" s="132"/>
      <c r="K858" s="121"/>
      <c r="L858" s="82"/>
      <c r="M858" s="292"/>
      <c r="N858" s="132"/>
      <c r="O858" s="121"/>
      <c r="P858" s="82"/>
      <c r="Q858" s="292"/>
      <c r="R858" s="132"/>
      <c r="S858" s="121"/>
      <c r="T858" s="82"/>
      <c r="U858" s="292"/>
      <c r="V858" s="132"/>
      <c r="W858" s="121"/>
      <c r="X858" s="82"/>
      <c r="Y858" s="292"/>
      <c r="Z858" s="300"/>
      <c r="AA858" s="301"/>
      <c r="AB858" s="80"/>
      <c r="AC858" s="292"/>
      <c r="AD858" s="132"/>
      <c r="AE858" s="254"/>
      <c r="AF858" s="294"/>
      <c r="AG858" s="292"/>
      <c r="AH858" s="302"/>
      <c r="AI858" s="302"/>
      <c r="AJ858" s="302"/>
      <c r="AK858" s="292"/>
      <c r="AL858" s="82"/>
      <c r="AM858" s="82"/>
      <c r="AN858" s="82"/>
      <c r="AO858" s="292"/>
      <c r="AP858" s="82"/>
      <c r="AQ858" s="82"/>
      <c r="AR858" s="82"/>
      <c r="AS858" s="292"/>
      <c r="AT858" s="82"/>
      <c r="AU858" s="82"/>
      <c r="AV858" s="82"/>
    </row>
    <row r="859">
      <c r="A859" s="292"/>
      <c r="B859" s="132"/>
      <c r="C859" s="121"/>
      <c r="D859" s="82"/>
      <c r="E859" s="292"/>
      <c r="F859" s="132"/>
      <c r="G859" s="121"/>
      <c r="H859" s="82"/>
      <c r="I859" s="292"/>
      <c r="J859" s="132"/>
      <c r="K859" s="121"/>
      <c r="L859" s="82"/>
      <c r="M859" s="292"/>
      <c r="N859" s="132"/>
      <c r="O859" s="121"/>
      <c r="P859" s="82"/>
      <c r="Q859" s="292"/>
      <c r="R859" s="132"/>
      <c r="S859" s="121"/>
      <c r="T859" s="82"/>
      <c r="U859" s="292"/>
      <c r="V859" s="132"/>
      <c r="W859" s="121"/>
      <c r="X859" s="82"/>
      <c r="Y859" s="292"/>
      <c r="Z859" s="300"/>
      <c r="AA859" s="301"/>
      <c r="AB859" s="80"/>
      <c r="AC859" s="292"/>
      <c r="AD859" s="132"/>
      <c r="AE859" s="254"/>
      <c r="AF859" s="294"/>
      <c r="AG859" s="292"/>
      <c r="AH859" s="302"/>
      <c r="AI859" s="302"/>
      <c r="AJ859" s="302"/>
      <c r="AK859" s="292"/>
      <c r="AL859" s="82"/>
      <c r="AM859" s="82"/>
      <c r="AN859" s="82"/>
      <c r="AO859" s="292"/>
      <c r="AP859" s="82"/>
      <c r="AQ859" s="82"/>
      <c r="AR859" s="82"/>
      <c r="AS859" s="292"/>
      <c r="AT859" s="82"/>
      <c r="AU859" s="82"/>
      <c r="AV859" s="82"/>
    </row>
    <row r="860">
      <c r="A860" s="292"/>
      <c r="B860" s="132"/>
      <c r="C860" s="121"/>
      <c r="D860" s="82"/>
      <c r="E860" s="292"/>
      <c r="F860" s="132"/>
      <c r="G860" s="121"/>
      <c r="H860" s="82"/>
      <c r="I860" s="292"/>
      <c r="J860" s="132"/>
      <c r="K860" s="121"/>
      <c r="L860" s="82"/>
      <c r="M860" s="292"/>
      <c r="N860" s="132"/>
      <c r="O860" s="121"/>
      <c r="P860" s="82"/>
      <c r="Q860" s="292"/>
      <c r="R860" s="132"/>
      <c r="S860" s="121"/>
      <c r="T860" s="82"/>
      <c r="U860" s="292"/>
      <c r="V860" s="132"/>
      <c r="W860" s="121"/>
      <c r="X860" s="82"/>
      <c r="Y860" s="292"/>
      <c r="Z860" s="300"/>
      <c r="AA860" s="301"/>
      <c r="AB860" s="80"/>
      <c r="AC860" s="292"/>
      <c r="AD860" s="132"/>
      <c r="AE860" s="254"/>
      <c r="AF860" s="294"/>
      <c r="AG860" s="292"/>
      <c r="AH860" s="302"/>
      <c r="AI860" s="302"/>
      <c r="AJ860" s="302"/>
      <c r="AK860" s="292"/>
      <c r="AL860" s="82"/>
      <c r="AM860" s="82"/>
      <c r="AN860" s="82"/>
      <c r="AO860" s="292"/>
      <c r="AP860" s="82"/>
      <c r="AQ860" s="82"/>
      <c r="AR860" s="82"/>
      <c r="AS860" s="292"/>
      <c r="AT860" s="82"/>
      <c r="AU860" s="82"/>
      <c r="AV860" s="82"/>
    </row>
    <row r="861">
      <c r="A861" s="292"/>
      <c r="B861" s="132"/>
      <c r="C861" s="121"/>
      <c r="D861" s="82"/>
      <c r="E861" s="292"/>
      <c r="F861" s="132"/>
      <c r="G861" s="121"/>
      <c r="H861" s="82"/>
      <c r="I861" s="292"/>
      <c r="J861" s="132"/>
      <c r="K861" s="121"/>
      <c r="L861" s="82"/>
      <c r="M861" s="292"/>
      <c r="N861" s="132"/>
      <c r="O861" s="121"/>
      <c r="P861" s="82"/>
      <c r="Q861" s="292"/>
      <c r="R861" s="132"/>
      <c r="S861" s="121"/>
      <c r="T861" s="82"/>
      <c r="U861" s="292"/>
      <c r="V861" s="132"/>
      <c r="W861" s="121"/>
      <c r="X861" s="82"/>
      <c r="Y861" s="292"/>
      <c r="Z861" s="300"/>
      <c r="AA861" s="301"/>
      <c r="AB861" s="80"/>
      <c r="AC861" s="292"/>
      <c r="AD861" s="132"/>
      <c r="AE861" s="254"/>
      <c r="AF861" s="294"/>
      <c r="AG861" s="292"/>
      <c r="AH861" s="302"/>
      <c r="AI861" s="302"/>
      <c r="AJ861" s="302"/>
      <c r="AK861" s="292"/>
      <c r="AL861" s="82"/>
      <c r="AM861" s="82"/>
      <c r="AN861" s="82"/>
      <c r="AO861" s="292"/>
      <c r="AP861" s="82"/>
      <c r="AQ861" s="82"/>
      <c r="AR861" s="82"/>
      <c r="AS861" s="292"/>
      <c r="AT861" s="82"/>
      <c r="AU861" s="82"/>
      <c r="AV861" s="82"/>
    </row>
    <row r="862">
      <c r="A862" s="292"/>
      <c r="B862" s="132"/>
      <c r="C862" s="121"/>
      <c r="D862" s="82"/>
      <c r="E862" s="292"/>
      <c r="F862" s="132"/>
      <c r="G862" s="121"/>
      <c r="H862" s="82"/>
      <c r="I862" s="292"/>
      <c r="J862" s="132"/>
      <c r="K862" s="121"/>
      <c r="L862" s="82"/>
      <c r="M862" s="292"/>
      <c r="N862" s="132"/>
      <c r="O862" s="121"/>
      <c r="P862" s="82"/>
      <c r="Q862" s="292"/>
      <c r="R862" s="132"/>
      <c r="S862" s="121"/>
      <c r="T862" s="82"/>
      <c r="U862" s="292"/>
      <c r="V862" s="132"/>
      <c r="W862" s="121"/>
      <c r="X862" s="82"/>
      <c r="Y862" s="292"/>
      <c r="Z862" s="300"/>
      <c r="AA862" s="301"/>
      <c r="AB862" s="80"/>
      <c r="AC862" s="292"/>
      <c r="AD862" s="132"/>
      <c r="AE862" s="254"/>
      <c r="AF862" s="294"/>
      <c r="AG862" s="292"/>
      <c r="AH862" s="302"/>
      <c r="AI862" s="302"/>
      <c r="AJ862" s="302"/>
      <c r="AK862" s="292"/>
      <c r="AL862" s="82"/>
      <c r="AM862" s="82"/>
      <c r="AN862" s="82"/>
      <c r="AO862" s="292"/>
      <c r="AP862" s="82"/>
      <c r="AQ862" s="82"/>
      <c r="AR862" s="82"/>
      <c r="AS862" s="292"/>
      <c r="AT862" s="82"/>
      <c r="AU862" s="82"/>
      <c r="AV862" s="82"/>
    </row>
    <row r="863">
      <c r="A863" s="292"/>
      <c r="B863" s="132"/>
      <c r="C863" s="121"/>
      <c r="D863" s="82"/>
      <c r="E863" s="292"/>
      <c r="F863" s="132"/>
      <c r="G863" s="121"/>
      <c r="H863" s="82"/>
      <c r="I863" s="292"/>
      <c r="J863" s="132"/>
      <c r="K863" s="121"/>
      <c r="L863" s="82"/>
      <c r="M863" s="292"/>
      <c r="N863" s="132"/>
      <c r="O863" s="121"/>
      <c r="P863" s="82"/>
      <c r="Q863" s="292"/>
      <c r="R863" s="132"/>
      <c r="S863" s="121"/>
      <c r="T863" s="82"/>
      <c r="U863" s="292"/>
      <c r="V863" s="132"/>
      <c r="W863" s="121"/>
      <c r="X863" s="82"/>
      <c r="Y863" s="292"/>
      <c r="Z863" s="300"/>
      <c r="AA863" s="301"/>
      <c r="AB863" s="80"/>
      <c r="AC863" s="292"/>
      <c r="AD863" s="132"/>
      <c r="AE863" s="254"/>
      <c r="AF863" s="294"/>
      <c r="AG863" s="292"/>
      <c r="AH863" s="302"/>
      <c r="AI863" s="302"/>
      <c r="AJ863" s="302"/>
      <c r="AK863" s="292"/>
      <c r="AL863" s="82"/>
      <c r="AM863" s="82"/>
      <c r="AN863" s="82"/>
      <c r="AO863" s="292"/>
      <c r="AP863" s="82"/>
      <c r="AQ863" s="82"/>
      <c r="AR863" s="82"/>
      <c r="AS863" s="292"/>
      <c r="AT863" s="82"/>
      <c r="AU863" s="82"/>
      <c r="AV863" s="82"/>
    </row>
    <row r="864">
      <c r="A864" s="292"/>
      <c r="B864" s="132"/>
      <c r="C864" s="121"/>
      <c r="D864" s="82"/>
      <c r="E864" s="292"/>
      <c r="F864" s="132"/>
      <c r="G864" s="121"/>
      <c r="H864" s="82"/>
      <c r="I864" s="292"/>
      <c r="J864" s="132"/>
      <c r="K864" s="121"/>
      <c r="L864" s="82"/>
      <c r="M864" s="292"/>
      <c r="N864" s="132"/>
      <c r="O864" s="121"/>
      <c r="P864" s="82"/>
      <c r="Q864" s="292"/>
      <c r="R864" s="132"/>
      <c r="S864" s="121"/>
      <c r="T864" s="82"/>
      <c r="U864" s="292"/>
      <c r="V864" s="132"/>
      <c r="W864" s="121"/>
      <c r="X864" s="82"/>
      <c r="Y864" s="292"/>
      <c r="Z864" s="300"/>
      <c r="AA864" s="301"/>
      <c r="AB864" s="80"/>
      <c r="AC864" s="292"/>
      <c r="AD864" s="132"/>
      <c r="AE864" s="254"/>
      <c r="AF864" s="294"/>
      <c r="AG864" s="292"/>
      <c r="AH864" s="302"/>
      <c r="AI864" s="302"/>
      <c r="AJ864" s="302"/>
      <c r="AK864" s="292"/>
      <c r="AL864" s="82"/>
      <c r="AM864" s="82"/>
      <c r="AN864" s="82"/>
      <c r="AO864" s="292"/>
      <c r="AP864" s="82"/>
      <c r="AQ864" s="82"/>
      <c r="AR864" s="82"/>
      <c r="AS864" s="292"/>
      <c r="AT864" s="82"/>
      <c r="AU864" s="82"/>
      <c r="AV864" s="82"/>
    </row>
    <row r="865">
      <c r="A865" s="292"/>
      <c r="B865" s="132"/>
      <c r="C865" s="121"/>
      <c r="D865" s="82"/>
      <c r="E865" s="292"/>
      <c r="F865" s="132"/>
      <c r="G865" s="121"/>
      <c r="H865" s="82"/>
      <c r="I865" s="292"/>
      <c r="J865" s="132"/>
      <c r="K865" s="121"/>
      <c r="L865" s="82"/>
      <c r="M865" s="292"/>
      <c r="N865" s="132"/>
      <c r="O865" s="121"/>
      <c r="P865" s="82"/>
      <c r="Q865" s="292"/>
      <c r="R865" s="132"/>
      <c r="S865" s="121"/>
      <c r="T865" s="82"/>
      <c r="U865" s="292"/>
      <c r="V865" s="132"/>
      <c r="W865" s="121"/>
      <c r="X865" s="82"/>
      <c r="Y865" s="292"/>
      <c r="Z865" s="300"/>
      <c r="AA865" s="301"/>
      <c r="AB865" s="80"/>
      <c r="AC865" s="292"/>
      <c r="AD865" s="132"/>
      <c r="AE865" s="254"/>
      <c r="AF865" s="294"/>
      <c r="AG865" s="292"/>
      <c r="AH865" s="302"/>
      <c r="AI865" s="302"/>
      <c r="AJ865" s="302"/>
      <c r="AK865" s="292"/>
      <c r="AL865" s="82"/>
      <c r="AM865" s="82"/>
      <c r="AN865" s="82"/>
      <c r="AO865" s="292"/>
      <c r="AP865" s="82"/>
      <c r="AQ865" s="82"/>
      <c r="AR865" s="82"/>
      <c r="AS865" s="292"/>
      <c r="AT865" s="82"/>
      <c r="AU865" s="82"/>
      <c r="AV865" s="82"/>
    </row>
    <row r="866">
      <c r="A866" s="292"/>
      <c r="B866" s="132"/>
      <c r="C866" s="121"/>
      <c r="D866" s="82"/>
      <c r="E866" s="292"/>
      <c r="F866" s="132"/>
      <c r="G866" s="121"/>
      <c r="H866" s="82"/>
      <c r="I866" s="292"/>
      <c r="J866" s="132"/>
      <c r="K866" s="121"/>
      <c r="L866" s="82"/>
      <c r="M866" s="292"/>
      <c r="N866" s="132"/>
      <c r="O866" s="121"/>
      <c r="P866" s="82"/>
      <c r="Q866" s="292"/>
      <c r="R866" s="132"/>
      <c r="S866" s="121"/>
      <c r="T866" s="82"/>
      <c r="U866" s="292"/>
      <c r="V866" s="132"/>
      <c r="W866" s="121"/>
      <c r="X866" s="82"/>
      <c r="Y866" s="292"/>
      <c r="Z866" s="300"/>
      <c r="AA866" s="301"/>
      <c r="AB866" s="80"/>
      <c r="AC866" s="292"/>
      <c r="AD866" s="132"/>
      <c r="AE866" s="254"/>
      <c r="AF866" s="294"/>
      <c r="AG866" s="292"/>
      <c r="AH866" s="302"/>
      <c r="AI866" s="302"/>
      <c r="AJ866" s="302"/>
      <c r="AK866" s="292"/>
      <c r="AL866" s="82"/>
      <c r="AM866" s="82"/>
      <c r="AN866" s="82"/>
      <c r="AO866" s="292"/>
      <c r="AP866" s="82"/>
      <c r="AQ866" s="82"/>
      <c r="AR866" s="82"/>
      <c r="AS866" s="292"/>
      <c r="AT866" s="82"/>
      <c r="AU866" s="82"/>
      <c r="AV866" s="82"/>
    </row>
    <row r="867">
      <c r="A867" s="292"/>
      <c r="B867" s="132"/>
      <c r="C867" s="121"/>
      <c r="D867" s="82"/>
      <c r="E867" s="292"/>
      <c r="F867" s="132"/>
      <c r="G867" s="121"/>
      <c r="H867" s="82"/>
      <c r="I867" s="292"/>
      <c r="J867" s="132"/>
      <c r="K867" s="121"/>
      <c r="L867" s="82"/>
      <c r="M867" s="292"/>
      <c r="N867" s="132"/>
      <c r="O867" s="121"/>
      <c r="P867" s="82"/>
      <c r="Q867" s="292"/>
      <c r="R867" s="132"/>
      <c r="S867" s="121"/>
      <c r="T867" s="82"/>
      <c r="U867" s="292"/>
      <c r="V867" s="132"/>
      <c r="W867" s="121"/>
      <c r="X867" s="82"/>
      <c r="Y867" s="292"/>
      <c r="Z867" s="300"/>
      <c r="AA867" s="301"/>
      <c r="AB867" s="80"/>
      <c r="AC867" s="292"/>
      <c r="AD867" s="132"/>
      <c r="AE867" s="254"/>
      <c r="AF867" s="294"/>
      <c r="AG867" s="292"/>
      <c r="AH867" s="302"/>
      <c r="AI867" s="302"/>
      <c r="AJ867" s="302"/>
      <c r="AK867" s="292"/>
      <c r="AL867" s="82"/>
      <c r="AM867" s="82"/>
      <c r="AN867" s="82"/>
      <c r="AO867" s="292"/>
      <c r="AP867" s="82"/>
      <c r="AQ867" s="82"/>
      <c r="AR867" s="82"/>
      <c r="AS867" s="292"/>
      <c r="AT867" s="82"/>
      <c r="AU867" s="82"/>
      <c r="AV867" s="82"/>
    </row>
    <row r="868">
      <c r="A868" s="292"/>
      <c r="B868" s="132"/>
      <c r="C868" s="121"/>
      <c r="D868" s="82"/>
      <c r="E868" s="292"/>
      <c r="F868" s="132"/>
      <c r="G868" s="121"/>
      <c r="H868" s="82"/>
      <c r="I868" s="292"/>
      <c r="J868" s="132"/>
      <c r="K868" s="121"/>
      <c r="L868" s="82"/>
      <c r="M868" s="292"/>
      <c r="N868" s="132"/>
      <c r="O868" s="121"/>
      <c r="P868" s="82"/>
      <c r="Q868" s="292"/>
      <c r="R868" s="132"/>
      <c r="S868" s="121"/>
      <c r="T868" s="82"/>
      <c r="U868" s="292"/>
      <c r="V868" s="132"/>
      <c r="W868" s="121"/>
      <c r="X868" s="82"/>
      <c r="Y868" s="292"/>
      <c r="Z868" s="300"/>
      <c r="AA868" s="301"/>
      <c r="AB868" s="80"/>
      <c r="AC868" s="292"/>
      <c r="AD868" s="132"/>
      <c r="AE868" s="254"/>
      <c r="AF868" s="294"/>
      <c r="AG868" s="292"/>
      <c r="AH868" s="302"/>
      <c r="AI868" s="302"/>
      <c r="AJ868" s="302"/>
      <c r="AK868" s="292"/>
      <c r="AL868" s="82"/>
      <c r="AM868" s="82"/>
      <c r="AN868" s="82"/>
      <c r="AO868" s="292"/>
      <c r="AP868" s="82"/>
      <c r="AQ868" s="82"/>
      <c r="AR868" s="82"/>
      <c r="AS868" s="292"/>
      <c r="AT868" s="82"/>
      <c r="AU868" s="82"/>
      <c r="AV868" s="82"/>
    </row>
    <row r="869">
      <c r="A869" s="292"/>
      <c r="B869" s="132"/>
      <c r="C869" s="121"/>
      <c r="D869" s="82"/>
      <c r="E869" s="292"/>
      <c r="F869" s="132"/>
      <c r="G869" s="121"/>
      <c r="H869" s="82"/>
      <c r="I869" s="292"/>
      <c r="J869" s="132"/>
      <c r="K869" s="121"/>
      <c r="L869" s="82"/>
      <c r="M869" s="292"/>
      <c r="N869" s="132"/>
      <c r="O869" s="121"/>
      <c r="P869" s="82"/>
      <c r="Q869" s="292"/>
      <c r="R869" s="132"/>
      <c r="S869" s="121"/>
      <c r="T869" s="82"/>
      <c r="U869" s="292"/>
      <c r="V869" s="132"/>
      <c r="W869" s="121"/>
      <c r="X869" s="82"/>
      <c r="Y869" s="292"/>
      <c r="Z869" s="300"/>
      <c r="AA869" s="301"/>
      <c r="AB869" s="80"/>
      <c r="AC869" s="292"/>
      <c r="AD869" s="132"/>
      <c r="AE869" s="254"/>
      <c r="AF869" s="294"/>
      <c r="AG869" s="292"/>
      <c r="AH869" s="302"/>
      <c r="AI869" s="302"/>
      <c r="AJ869" s="302"/>
      <c r="AK869" s="292"/>
      <c r="AL869" s="82"/>
      <c r="AM869" s="82"/>
      <c r="AN869" s="82"/>
      <c r="AO869" s="292"/>
      <c r="AP869" s="82"/>
      <c r="AQ869" s="82"/>
      <c r="AR869" s="82"/>
      <c r="AS869" s="292"/>
      <c r="AT869" s="82"/>
      <c r="AU869" s="82"/>
      <c r="AV869" s="82"/>
    </row>
    <row r="870">
      <c r="A870" s="292"/>
      <c r="B870" s="132"/>
      <c r="C870" s="121"/>
      <c r="D870" s="82"/>
      <c r="E870" s="292"/>
      <c r="F870" s="132"/>
      <c r="G870" s="121"/>
      <c r="H870" s="82"/>
      <c r="I870" s="292"/>
      <c r="J870" s="132"/>
      <c r="K870" s="121"/>
      <c r="L870" s="82"/>
      <c r="M870" s="292"/>
      <c r="N870" s="132"/>
      <c r="O870" s="121"/>
      <c r="P870" s="82"/>
      <c r="Q870" s="292"/>
      <c r="R870" s="132"/>
      <c r="S870" s="121"/>
      <c r="T870" s="82"/>
      <c r="U870" s="292"/>
      <c r="V870" s="132"/>
      <c r="W870" s="121"/>
      <c r="X870" s="82"/>
      <c r="Y870" s="292"/>
      <c r="Z870" s="300"/>
      <c r="AA870" s="301"/>
      <c r="AB870" s="80"/>
      <c r="AC870" s="292"/>
      <c r="AD870" s="132"/>
      <c r="AE870" s="254"/>
      <c r="AF870" s="294"/>
      <c r="AG870" s="292"/>
      <c r="AH870" s="302"/>
      <c r="AI870" s="302"/>
      <c r="AJ870" s="302"/>
      <c r="AK870" s="292"/>
      <c r="AL870" s="82"/>
      <c r="AM870" s="82"/>
      <c r="AN870" s="82"/>
      <c r="AO870" s="292"/>
      <c r="AP870" s="82"/>
      <c r="AQ870" s="82"/>
      <c r="AR870" s="82"/>
      <c r="AS870" s="292"/>
      <c r="AT870" s="82"/>
      <c r="AU870" s="82"/>
      <c r="AV870" s="82"/>
    </row>
    <row r="871">
      <c r="A871" s="292"/>
      <c r="B871" s="132"/>
      <c r="C871" s="121"/>
      <c r="D871" s="82"/>
      <c r="E871" s="292"/>
      <c r="F871" s="132"/>
      <c r="G871" s="121"/>
      <c r="H871" s="82"/>
      <c r="I871" s="292"/>
      <c r="J871" s="132"/>
      <c r="K871" s="121"/>
      <c r="L871" s="82"/>
      <c r="M871" s="292"/>
      <c r="N871" s="132"/>
      <c r="O871" s="121"/>
      <c r="P871" s="82"/>
      <c r="Q871" s="292"/>
      <c r="R871" s="132"/>
      <c r="S871" s="121"/>
      <c r="T871" s="82"/>
      <c r="U871" s="292"/>
      <c r="V871" s="132"/>
      <c r="W871" s="121"/>
      <c r="X871" s="82"/>
      <c r="Y871" s="292"/>
      <c r="Z871" s="300"/>
      <c r="AA871" s="301"/>
      <c r="AB871" s="80"/>
      <c r="AC871" s="292"/>
      <c r="AD871" s="132"/>
      <c r="AE871" s="254"/>
      <c r="AF871" s="294"/>
      <c r="AG871" s="292"/>
      <c r="AH871" s="302"/>
      <c r="AI871" s="302"/>
      <c r="AJ871" s="302"/>
      <c r="AK871" s="292"/>
      <c r="AL871" s="82"/>
      <c r="AM871" s="82"/>
      <c r="AN871" s="82"/>
      <c r="AO871" s="292"/>
      <c r="AP871" s="82"/>
      <c r="AQ871" s="82"/>
      <c r="AR871" s="82"/>
      <c r="AS871" s="292"/>
      <c r="AT871" s="82"/>
      <c r="AU871" s="82"/>
      <c r="AV871" s="82"/>
    </row>
    <row r="872">
      <c r="A872" s="292"/>
      <c r="B872" s="132"/>
      <c r="C872" s="121"/>
      <c r="D872" s="82"/>
      <c r="E872" s="292"/>
      <c r="F872" s="132"/>
      <c r="G872" s="121"/>
      <c r="H872" s="82"/>
      <c r="I872" s="292"/>
      <c r="J872" s="132"/>
      <c r="K872" s="121"/>
      <c r="L872" s="82"/>
      <c r="M872" s="292"/>
      <c r="N872" s="132"/>
      <c r="O872" s="121"/>
      <c r="P872" s="82"/>
      <c r="Q872" s="292"/>
      <c r="R872" s="132"/>
      <c r="S872" s="121"/>
      <c r="T872" s="82"/>
      <c r="U872" s="292"/>
      <c r="V872" s="132"/>
      <c r="W872" s="121"/>
      <c r="X872" s="82"/>
      <c r="Y872" s="292"/>
      <c r="Z872" s="300"/>
      <c r="AA872" s="301"/>
      <c r="AB872" s="80"/>
      <c r="AC872" s="292"/>
      <c r="AD872" s="132"/>
      <c r="AE872" s="254"/>
      <c r="AF872" s="294"/>
      <c r="AG872" s="292"/>
      <c r="AH872" s="302"/>
      <c r="AI872" s="302"/>
      <c r="AJ872" s="302"/>
      <c r="AK872" s="292"/>
      <c r="AL872" s="82"/>
      <c r="AM872" s="82"/>
      <c r="AN872" s="82"/>
      <c r="AO872" s="292"/>
      <c r="AP872" s="82"/>
      <c r="AQ872" s="82"/>
      <c r="AR872" s="82"/>
      <c r="AS872" s="292"/>
      <c r="AT872" s="82"/>
      <c r="AU872" s="82"/>
      <c r="AV872" s="82"/>
    </row>
    <row r="873">
      <c r="A873" s="292"/>
      <c r="B873" s="132"/>
      <c r="C873" s="121"/>
      <c r="D873" s="82"/>
      <c r="E873" s="292"/>
      <c r="F873" s="132"/>
      <c r="G873" s="121"/>
      <c r="H873" s="82"/>
      <c r="I873" s="292"/>
      <c r="J873" s="132"/>
      <c r="K873" s="121"/>
      <c r="L873" s="82"/>
      <c r="M873" s="292"/>
      <c r="N873" s="132"/>
      <c r="O873" s="121"/>
      <c r="P873" s="82"/>
      <c r="Q873" s="292"/>
      <c r="R873" s="132"/>
      <c r="S873" s="121"/>
      <c r="T873" s="82"/>
      <c r="U873" s="292"/>
      <c r="V873" s="132"/>
      <c r="W873" s="121"/>
      <c r="X873" s="82"/>
      <c r="Y873" s="292"/>
      <c r="Z873" s="300"/>
      <c r="AA873" s="301"/>
      <c r="AB873" s="80"/>
      <c r="AC873" s="292"/>
      <c r="AD873" s="132"/>
      <c r="AE873" s="254"/>
      <c r="AF873" s="294"/>
      <c r="AG873" s="292"/>
      <c r="AH873" s="302"/>
      <c r="AI873" s="302"/>
      <c r="AJ873" s="302"/>
      <c r="AK873" s="292"/>
      <c r="AL873" s="82"/>
      <c r="AM873" s="82"/>
      <c r="AN873" s="82"/>
      <c r="AO873" s="292"/>
      <c r="AP873" s="82"/>
      <c r="AQ873" s="82"/>
      <c r="AR873" s="82"/>
      <c r="AS873" s="292"/>
      <c r="AT873" s="82"/>
      <c r="AU873" s="82"/>
      <c r="AV873" s="82"/>
    </row>
    <row r="874">
      <c r="A874" s="292"/>
      <c r="B874" s="132"/>
      <c r="C874" s="121"/>
      <c r="D874" s="82"/>
      <c r="E874" s="292"/>
      <c r="F874" s="132"/>
      <c r="G874" s="121"/>
      <c r="H874" s="82"/>
      <c r="I874" s="292"/>
      <c r="J874" s="132"/>
      <c r="K874" s="121"/>
      <c r="L874" s="82"/>
      <c r="M874" s="292"/>
      <c r="N874" s="132"/>
      <c r="O874" s="121"/>
      <c r="P874" s="82"/>
      <c r="Q874" s="292"/>
      <c r="R874" s="132"/>
      <c r="S874" s="121"/>
      <c r="T874" s="82"/>
      <c r="U874" s="292"/>
      <c r="V874" s="132"/>
      <c r="W874" s="121"/>
      <c r="X874" s="82"/>
      <c r="Y874" s="292"/>
      <c r="Z874" s="300"/>
      <c r="AA874" s="301"/>
      <c r="AB874" s="80"/>
      <c r="AC874" s="292"/>
      <c r="AD874" s="132"/>
      <c r="AE874" s="254"/>
      <c r="AF874" s="294"/>
      <c r="AG874" s="292"/>
      <c r="AH874" s="302"/>
      <c r="AI874" s="302"/>
      <c r="AJ874" s="302"/>
      <c r="AK874" s="292"/>
      <c r="AL874" s="82"/>
      <c r="AM874" s="82"/>
      <c r="AN874" s="82"/>
      <c r="AO874" s="292"/>
      <c r="AP874" s="82"/>
      <c r="AQ874" s="82"/>
      <c r="AR874" s="82"/>
      <c r="AS874" s="292"/>
      <c r="AT874" s="82"/>
      <c r="AU874" s="82"/>
      <c r="AV874" s="82"/>
    </row>
    <row r="875">
      <c r="A875" s="292"/>
      <c r="B875" s="132"/>
      <c r="C875" s="121"/>
      <c r="D875" s="82"/>
      <c r="E875" s="292"/>
      <c r="F875" s="132"/>
      <c r="G875" s="121"/>
      <c r="H875" s="82"/>
      <c r="I875" s="292"/>
      <c r="J875" s="132"/>
      <c r="K875" s="121"/>
      <c r="L875" s="82"/>
      <c r="M875" s="292"/>
      <c r="N875" s="132"/>
      <c r="O875" s="121"/>
      <c r="P875" s="82"/>
      <c r="Q875" s="292"/>
      <c r="R875" s="132"/>
      <c r="S875" s="121"/>
      <c r="T875" s="82"/>
      <c r="U875" s="292"/>
      <c r="V875" s="132"/>
      <c r="W875" s="121"/>
      <c r="X875" s="82"/>
      <c r="Y875" s="292"/>
      <c r="Z875" s="300"/>
      <c r="AA875" s="301"/>
      <c r="AB875" s="80"/>
      <c r="AC875" s="292"/>
      <c r="AD875" s="132"/>
      <c r="AE875" s="254"/>
      <c r="AF875" s="294"/>
      <c r="AG875" s="292"/>
      <c r="AH875" s="302"/>
      <c r="AI875" s="302"/>
      <c r="AJ875" s="302"/>
      <c r="AK875" s="292"/>
      <c r="AL875" s="82"/>
      <c r="AM875" s="82"/>
      <c r="AN875" s="82"/>
      <c r="AO875" s="292"/>
      <c r="AP875" s="82"/>
      <c r="AQ875" s="82"/>
      <c r="AR875" s="82"/>
      <c r="AS875" s="292"/>
      <c r="AT875" s="82"/>
      <c r="AU875" s="82"/>
      <c r="AV875" s="82"/>
    </row>
    <row r="876">
      <c r="A876" s="292"/>
      <c r="B876" s="132"/>
      <c r="C876" s="121"/>
      <c r="D876" s="82"/>
      <c r="E876" s="292"/>
      <c r="F876" s="132"/>
      <c r="G876" s="121"/>
      <c r="H876" s="82"/>
      <c r="I876" s="292"/>
      <c r="J876" s="132"/>
      <c r="K876" s="121"/>
      <c r="L876" s="82"/>
      <c r="M876" s="292"/>
      <c r="N876" s="132"/>
      <c r="O876" s="121"/>
      <c r="P876" s="82"/>
      <c r="Q876" s="292"/>
      <c r="R876" s="132"/>
      <c r="S876" s="121"/>
      <c r="T876" s="82"/>
      <c r="U876" s="292"/>
      <c r="V876" s="132"/>
      <c r="W876" s="121"/>
      <c r="X876" s="82"/>
      <c r="Y876" s="292"/>
      <c r="Z876" s="300"/>
      <c r="AA876" s="301"/>
      <c r="AB876" s="80"/>
      <c r="AC876" s="292"/>
      <c r="AD876" s="132"/>
      <c r="AE876" s="254"/>
      <c r="AF876" s="294"/>
      <c r="AG876" s="292"/>
      <c r="AH876" s="302"/>
      <c r="AI876" s="302"/>
      <c r="AJ876" s="302"/>
      <c r="AK876" s="292"/>
      <c r="AL876" s="82"/>
      <c r="AM876" s="82"/>
      <c r="AN876" s="82"/>
      <c r="AO876" s="292"/>
      <c r="AP876" s="82"/>
      <c r="AQ876" s="82"/>
      <c r="AR876" s="82"/>
      <c r="AS876" s="292"/>
      <c r="AT876" s="82"/>
      <c r="AU876" s="82"/>
      <c r="AV876" s="82"/>
    </row>
    <row r="877">
      <c r="A877" s="292"/>
      <c r="B877" s="132"/>
      <c r="C877" s="121"/>
      <c r="D877" s="82"/>
      <c r="E877" s="292"/>
      <c r="F877" s="132"/>
      <c r="G877" s="121"/>
      <c r="H877" s="82"/>
      <c r="I877" s="292"/>
      <c r="J877" s="132"/>
      <c r="K877" s="121"/>
      <c r="L877" s="82"/>
      <c r="M877" s="292"/>
      <c r="N877" s="132"/>
      <c r="O877" s="121"/>
      <c r="P877" s="82"/>
      <c r="Q877" s="292"/>
      <c r="R877" s="132"/>
      <c r="S877" s="121"/>
      <c r="T877" s="82"/>
      <c r="U877" s="292"/>
      <c r="V877" s="132"/>
      <c r="W877" s="121"/>
      <c r="X877" s="82"/>
      <c r="Y877" s="292"/>
      <c r="Z877" s="300"/>
      <c r="AA877" s="301"/>
      <c r="AB877" s="80"/>
      <c r="AC877" s="292"/>
      <c r="AD877" s="132"/>
      <c r="AE877" s="254"/>
      <c r="AF877" s="294"/>
      <c r="AG877" s="292"/>
      <c r="AH877" s="302"/>
      <c r="AI877" s="302"/>
      <c r="AJ877" s="302"/>
      <c r="AK877" s="292"/>
      <c r="AL877" s="82"/>
      <c r="AM877" s="82"/>
      <c r="AN877" s="82"/>
      <c r="AO877" s="292"/>
      <c r="AP877" s="82"/>
      <c r="AQ877" s="82"/>
      <c r="AR877" s="82"/>
      <c r="AS877" s="292"/>
      <c r="AT877" s="82"/>
      <c r="AU877" s="82"/>
      <c r="AV877" s="82"/>
    </row>
    <row r="878">
      <c r="A878" s="292"/>
      <c r="B878" s="132"/>
      <c r="C878" s="121"/>
      <c r="D878" s="82"/>
      <c r="E878" s="292"/>
      <c r="F878" s="132"/>
      <c r="G878" s="121"/>
      <c r="H878" s="82"/>
      <c r="I878" s="292"/>
      <c r="J878" s="132"/>
      <c r="K878" s="121"/>
      <c r="L878" s="82"/>
      <c r="M878" s="292"/>
      <c r="N878" s="132"/>
      <c r="O878" s="121"/>
      <c r="P878" s="82"/>
      <c r="Q878" s="292"/>
      <c r="R878" s="132"/>
      <c r="S878" s="121"/>
      <c r="T878" s="82"/>
      <c r="U878" s="292"/>
      <c r="V878" s="132"/>
      <c r="W878" s="121"/>
      <c r="X878" s="82"/>
      <c r="Y878" s="292"/>
      <c r="Z878" s="300"/>
      <c r="AA878" s="301"/>
      <c r="AB878" s="80"/>
      <c r="AC878" s="292"/>
      <c r="AD878" s="132"/>
      <c r="AE878" s="254"/>
      <c r="AF878" s="294"/>
      <c r="AG878" s="292"/>
      <c r="AH878" s="302"/>
      <c r="AI878" s="302"/>
      <c r="AJ878" s="302"/>
      <c r="AK878" s="292"/>
      <c r="AL878" s="82"/>
      <c r="AM878" s="82"/>
      <c r="AN878" s="82"/>
      <c r="AO878" s="292"/>
      <c r="AP878" s="82"/>
      <c r="AQ878" s="82"/>
      <c r="AR878" s="82"/>
      <c r="AS878" s="292"/>
      <c r="AT878" s="82"/>
      <c r="AU878" s="82"/>
      <c r="AV878" s="82"/>
    </row>
    <row r="879">
      <c r="A879" s="292"/>
      <c r="B879" s="132"/>
      <c r="C879" s="121"/>
      <c r="D879" s="82"/>
      <c r="E879" s="292"/>
      <c r="F879" s="132"/>
      <c r="G879" s="121"/>
      <c r="H879" s="82"/>
      <c r="I879" s="292"/>
      <c r="J879" s="132"/>
      <c r="K879" s="121"/>
      <c r="L879" s="82"/>
      <c r="M879" s="292"/>
      <c r="N879" s="132"/>
      <c r="O879" s="121"/>
      <c r="P879" s="82"/>
      <c r="Q879" s="292"/>
      <c r="R879" s="132"/>
      <c r="S879" s="121"/>
      <c r="T879" s="82"/>
      <c r="U879" s="292"/>
      <c r="V879" s="132"/>
      <c r="W879" s="121"/>
      <c r="X879" s="82"/>
      <c r="Y879" s="292"/>
      <c r="Z879" s="300"/>
      <c r="AA879" s="301"/>
      <c r="AB879" s="80"/>
      <c r="AC879" s="292"/>
      <c r="AD879" s="132"/>
      <c r="AE879" s="254"/>
      <c r="AF879" s="294"/>
      <c r="AG879" s="292"/>
      <c r="AH879" s="302"/>
      <c r="AI879" s="302"/>
      <c r="AJ879" s="302"/>
      <c r="AK879" s="292"/>
      <c r="AL879" s="82"/>
      <c r="AM879" s="82"/>
      <c r="AN879" s="82"/>
      <c r="AO879" s="292"/>
      <c r="AP879" s="82"/>
      <c r="AQ879" s="82"/>
      <c r="AR879" s="82"/>
      <c r="AS879" s="292"/>
      <c r="AT879" s="82"/>
      <c r="AU879" s="82"/>
      <c r="AV879" s="82"/>
    </row>
    <row r="880">
      <c r="A880" s="292"/>
      <c r="B880" s="132"/>
      <c r="C880" s="121"/>
      <c r="D880" s="82"/>
      <c r="E880" s="292"/>
      <c r="F880" s="132"/>
      <c r="G880" s="121"/>
      <c r="H880" s="82"/>
      <c r="I880" s="292"/>
      <c r="J880" s="132"/>
      <c r="K880" s="121"/>
      <c r="L880" s="82"/>
      <c r="M880" s="292"/>
      <c r="N880" s="132"/>
      <c r="O880" s="121"/>
      <c r="P880" s="82"/>
      <c r="Q880" s="292"/>
      <c r="R880" s="132"/>
      <c r="S880" s="121"/>
      <c r="T880" s="82"/>
      <c r="U880" s="292"/>
      <c r="V880" s="132"/>
      <c r="W880" s="121"/>
      <c r="X880" s="82"/>
      <c r="Y880" s="292"/>
      <c r="Z880" s="300"/>
      <c r="AA880" s="301"/>
      <c r="AB880" s="80"/>
      <c r="AC880" s="292"/>
      <c r="AD880" s="132"/>
      <c r="AE880" s="254"/>
      <c r="AF880" s="294"/>
      <c r="AG880" s="292"/>
      <c r="AH880" s="302"/>
      <c r="AI880" s="302"/>
      <c r="AJ880" s="302"/>
      <c r="AK880" s="292"/>
      <c r="AL880" s="82"/>
      <c r="AM880" s="82"/>
      <c r="AN880" s="82"/>
      <c r="AO880" s="292"/>
      <c r="AP880" s="82"/>
      <c r="AQ880" s="82"/>
      <c r="AR880" s="82"/>
      <c r="AS880" s="292"/>
      <c r="AT880" s="82"/>
      <c r="AU880" s="82"/>
      <c r="AV880" s="82"/>
    </row>
    <row r="881">
      <c r="A881" s="292"/>
      <c r="B881" s="132"/>
      <c r="C881" s="121"/>
      <c r="D881" s="82"/>
      <c r="E881" s="292"/>
      <c r="F881" s="132"/>
      <c r="G881" s="121"/>
      <c r="H881" s="82"/>
      <c r="I881" s="292"/>
      <c r="J881" s="132"/>
      <c r="K881" s="121"/>
      <c r="L881" s="82"/>
      <c r="M881" s="292"/>
      <c r="N881" s="132"/>
      <c r="O881" s="121"/>
      <c r="P881" s="82"/>
      <c r="Q881" s="292"/>
      <c r="R881" s="132"/>
      <c r="S881" s="121"/>
      <c r="T881" s="82"/>
      <c r="U881" s="292"/>
      <c r="V881" s="132"/>
      <c r="W881" s="121"/>
      <c r="X881" s="82"/>
      <c r="Y881" s="292"/>
      <c r="Z881" s="300"/>
      <c r="AA881" s="301"/>
      <c r="AB881" s="80"/>
      <c r="AC881" s="292"/>
      <c r="AD881" s="132"/>
      <c r="AE881" s="254"/>
      <c r="AF881" s="294"/>
      <c r="AG881" s="292"/>
      <c r="AH881" s="302"/>
      <c r="AI881" s="302"/>
      <c r="AJ881" s="302"/>
      <c r="AK881" s="292"/>
      <c r="AL881" s="82"/>
      <c r="AM881" s="82"/>
      <c r="AN881" s="82"/>
      <c r="AO881" s="292"/>
      <c r="AP881" s="82"/>
      <c r="AQ881" s="82"/>
      <c r="AR881" s="82"/>
      <c r="AS881" s="292"/>
      <c r="AT881" s="82"/>
      <c r="AU881" s="82"/>
      <c r="AV881" s="82"/>
    </row>
    <row r="882">
      <c r="A882" s="292"/>
      <c r="B882" s="132"/>
      <c r="C882" s="121"/>
      <c r="D882" s="82"/>
      <c r="E882" s="292"/>
      <c r="F882" s="132"/>
      <c r="G882" s="121"/>
      <c r="H882" s="82"/>
      <c r="I882" s="292"/>
      <c r="J882" s="132"/>
      <c r="K882" s="121"/>
      <c r="L882" s="82"/>
      <c r="M882" s="292"/>
      <c r="N882" s="132"/>
      <c r="O882" s="121"/>
      <c r="P882" s="82"/>
      <c r="Q882" s="292"/>
      <c r="R882" s="132"/>
      <c r="S882" s="121"/>
      <c r="T882" s="82"/>
      <c r="U882" s="292"/>
      <c r="V882" s="132"/>
      <c r="W882" s="121"/>
      <c r="X882" s="82"/>
      <c r="Y882" s="292"/>
      <c r="Z882" s="300"/>
      <c r="AA882" s="301"/>
      <c r="AB882" s="80"/>
      <c r="AC882" s="292"/>
      <c r="AD882" s="132"/>
      <c r="AE882" s="254"/>
      <c r="AF882" s="294"/>
      <c r="AG882" s="292"/>
      <c r="AH882" s="302"/>
      <c r="AI882" s="302"/>
      <c r="AJ882" s="302"/>
      <c r="AK882" s="292"/>
      <c r="AL882" s="82"/>
      <c r="AM882" s="82"/>
      <c r="AN882" s="82"/>
      <c r="AO882" s="292"/>
      <c r="AP882" s="82"/>
      <c r="AQ882" s="82"/>
      <c r="AR882" s="82"/>
      <c r="AS882" s="292"/>
      <c r="AT882" s="82"/>
      <c r="AU882" s="82"/>
      <c r="AV882" s="82"/>
    </row>
    <row r="883">
      <c r="A883" s="292"/>
      <c r="B883" s="132"/>
      <c r="C883" s="121"/>
      <c r="D883" s="82"/>
      <c r="E883" s="292"/>
      <c r="F883" s="132"/>
      <c r="G883" s="121"/>
      <c r="H883" s="82"/>
      <c r="I883" s="292"/>
      <c r="J883" s="132"/>
      <c r="K883" s="121"/>
      <c r="L883" s="82"/>
      <c r="M883" s="292"/>
      <c r="N883" s="132"/>
      <c r="O883" s="121"/>
      <c r="P883" s="82"/>
      <c r="Q883" s="292"/>
      <c r="R883" s="132"/>
      <c r="S883" s="121"/>
      <c r="T883" s="82"/>
      <c r="U883" s="292"/>
      <c r="V883" s="132"/>
      <c r="W883" s="121"/>
      <c r="X883" s="82"/>
      <c r="Y883" s="292"/>
      <c r="Z883" s="300"/>
      <c r="AA883" s="301"/>
      <c r="AB883" s="80"/>
      <c r="AC883" s="292"/>
      <c r="AD883" s="132"/>
      <c r="AE883" s="254"/>
      <c r="AF883" s="294"/>
      <c r="AG883" s="292"/>
      <c r="AH883" s="302"/>
      <c r="AI883" s="302"/>
      <c r="AJ883" s="302"/>
      <c r="AK883" s="292"/>
      <c r="AL883" s="82"/>
      <c r="AM883" s="82"/>
      <c r="AN883" s="82"/>
      <c r="AO883" s="292"/>
      <c r="AP883" s="82"/>
      <c r="AQ883" s="82"/>
      <c r="AR883" s="82"/>
      <c r="AS883" s="292"/>
      <c r="AT883" s="82"/>
      <c r="AU883" s="82"/>
      <c r="AV883" s="82"/>
    </row>
    <row r="884">
      <c r="A884" s="292"/>
      <c r="B884" s="132"/>
      <c r="C884" s="121"/>
      <c r="D884" s="82"/>
      <c r="E884" s="292"/>
      <c r="F884" s="132"/>
      <c r="G884" s="121"/>
      <c r="H884" s="82"/>
      <c r="I884" s="292"/>
      <c r="J884" s="132"/>
      <c r="K884" s="121"/>
      <c r="L884" s="82"/>
      <c r="M884" s="292"/>
      <c r="N884" s="132"/>
      <c r="O884" s="121"/>
      <c r="P884" s="82"/>
      <c r="Q884" s="292"/>
      <c r="R884" s="132"/>
      <c r="S884" s="121"/>
      <c r="T884" s="82"/>
      <c r="U884" s="292"/>
      <c r="V884" s="132"/>
      <c r="W884" s="121"/>
      <c r="X884" s="82"/>
      <c r="Y884" s="292"/>
      <c r="Z884" s="300"/>
      <c r="AA884" s="301"/>
      <c r="AB884" s="80"/>
      <c r="AC884" s="292"/>
      <c r="AD884" s="132"/>
      <c r="AE884" s="254"/>
      <c r="AF884" s="294"/>
      <c r="AG884" s="292"/>
      <c r="AH884" s="302"/>
      <c r="AI884" s="302"/>
      <c r="AJ884" s="302"/>
      <c r="AK884" s="292"/>
      <c r="AL884" s="82"/>
      <c r="AM884" s="82"/>
      <c r="AN884" s="82"/>
      <c r="AO884" s="292"/>
      <c r="AP884" s="82"/>
      <c r="AQ884" s="82"/>
      <c r="AR884" s="82"/>
      <c r="AS884" s="292"/>
      <c r="AT884" s="82"/>
      <c r="AU884" s="82"/>
      <c r="AV884" s="82"/>
    </row>
    <row r="885">
      <c r="A885" s="292"/>
      <c r="B885" s="132"/>
      <c r="C885" s="121"/>
      <c r="D885" s="82"/>
      <c r="E885" s="292"/>
      <c r="F885" s="132"/>
      <c r="G885" s="121"/>
      <c r="H885" s="82"/>
      <c r="I885" s="292"/>
      <c r="J885" s="132"/>
      <c r="K885" s="121"/>
      <c r="L885" s="82"/>
      <c r="M885" s="292"/>
      <c r="N885" s="132"/>
      <c r="O885" s="121"/>
      <c r="P885" s="82"/>
      <c r="Q885" s="292"/>
      <c r="R885" s="132"/>
      <c r="S885" s="121"/>
      <c r="T885" s="82"/>
      <c r="U885" s="292"/>
      <c r="V885" s="132"/>
      <c r="W885" s="121"/>
      <c r="X885" s="82"/>
      <c r="Y885" s="292"/>
      <c r="Z885" s="300"/>
      <c r="AA885" s="301"/>
      <c r="AB885" s="80"/>
      <c r="AC885" s="292"/>
      <c r="AD885" s="132"/>
      <c r="AE885" s="254"/>
      <c r="AF885" s="294"/>
      <c r="AG885" s="292"/>
      <c r="AH885" s="302"/>
      <c r="AI885" s="302"/>
      <c r="AJ885" s="302"/>
      <c r="AK885" s="292"/>
      <c r="AL885" s="82"/>
      <c r="AM885" s="82"/>
      <c r="AN885" s="82"/>
      <c r="AO885" s="292"/>
      <c r="AP885" s="82"/>
      <c r="AQ885" s="82"/>
      <c r="AR885" s="82"/>
      <c r="AS885" s="292"/>
      <c r="AT885" s="82"/>
      <c r="AU885" s="82"/>
      <c r="AV885" s="82"/>
    </row>
    <row r="886">
      <c r="A886" s="292"/>
      <c r="B886" s="132"/>
      <c r="C886" s="121"/>
      <c r="D886" s="82"/>
      <c r="E886" s="292"/>
      <c r="F886" s="132"/>
      <c r="G886" s="121"/>
      <c r="H886" s="82"/>
      <c r="I886" s="292"/>
      <c r="J886" s="132"/>
      <c r="K886" s="121"/>
      <c r="L886" s="82"/>
      <c r="M886" s="292"/>
      <c r="N886" s="132"/>
      <c r="O886" s="121"/>
      <c r="P886" s="82"/>
      <c r="Q886" s="292"/>
      <c r="R886" s="132"/>
      <c r="S886" s="121"/>
      <c r="T886" s="82"/>
      <c r="U886" s="292"/>
      <c r="V886" s="132"/>
      <c r="W886" s="121"/>
      <c r="X886" s="82"/>
      <c r="Y886" s="292"/>
      <c r="Z886" s="300"/>
      <c r="AA886" s="301"/>
      <c r="AB886" s="80"/>
      <c r="AC886" s="292"/>
      <c r="AD886" s="132"/>
      <c r="AE886" s="254"/>
      <c r="AF886" s="294"/>
      <c r="AG886" s="292"/>
      <c r="AH886" s="302"/>
      <c r="AI886" s="302"/>
      <c r="AJ886" s="302"/>
      <c r="AK886" s="292"/>
      <c r="AL886" s="82"/>
      <c r="AM886" s="82"/>
      <c r="AN886" s="82"/>
      <c r="AO886" s="292"/>
      <c r="AP886" s="82"/>
      <c r="AQ886" s="82"/>
      <c r="AR886" s="82"/>
      <c r="AS886" s="292"/>
      <c r="AT886" s="82"/>
      <c r="AU886" s="82"/>
      <c r="AV886" s="82"/>
    </row>
    <row r="887">
      <c r="A887" s="292"/>
      <c r="B887" s="132"/>
      <c r="C887" s="121"/>
      <c r="D887" s="82"/>
      <c r="E887" s="292"/>
      <c r="F887" s="132"/>
      <c r="G887" s="121"/>
      <c r="H887" s="82"/>
      <c r="I887" s="292"/>
      <c r="J887" s="132"/>
      <c r="K887" s="121"/>
      <c r="L887" s="82"/>
      <c r="M887" s="292"/>
      <c r="N887" s="132"/>
      <c r="O887" s="121"/>
      <c r="P887" s="82"/>
      <c r="Q887" s="292"/>
      <c r="R887" s="132"/>
      <c r="S887" s="121"/>
      <c r="T887" s="82"/>
      <c r="U887" s="292"/>
      <c r="V887" s="132"/>
      <c r="W887" s="121"/>
      <c r="X887" s="82"/>
      <c r="Y887" s="292"/>
      <c r="Z887" s="300"/>
      <c r="AA887" s="301"/>
      <c r="AB887" s="80"/>
      <c r="AC887" s="292"/>
      <c r="AD887" s="132"/>
      <c r="AE887" s="254"/>
      <c r="AF887" s="294"/>
      <c r="AG887" s="292"/>
      <c r="AH887" s="302"/>
      <c r="AI887" s="302"/>
      <c r="AJ887" s="302"/>
      <c r="AK887" s="292"/>
      <c r="AL887" s="82"/>
      <c r="AM887" s="82"/>
      <c r="AN887" s="82"/>
      <c r="AO887" s="292"/>
      <c r="AP887" s="82"/>
      <c r="AQ887" s="82"/>
      <c r="AR887" s="82"/>
      <c r="AS887" s="292"/>
      <c r="AT887" s="82"/>
      <c r="AU887" s="82"/>
      <c r="AV887" s="82"/>
    </row>
    <row r="888">
      <c r="A888" s="292"/>
      <c r="B888" s="132"/>
      <c r="C888" s="121"/>
      <c r="D888" s="82"/>
      <c r="E888" s="292"/>
      <c r="F888" s="132"/>
      <c r="G888" s="121"/>
      <c r="H888" s="82"/>
      <c r="I888" s="292"/>
      <c r="J888" s="132"/>
      <c r="K888" s="121"/>
      <c r="L888" s="82"/>
      <c r="M888" s="292"/>
      <c r="N888" s="132"/>
      <c r="O888" s="121"/>
      <c r="P888" s="82"/>
      <c r="Q888" s="292"/>
      <c r="R888" s="132"/>
      <c r="S888" s="121"/>
      <c r="T888" s="82"/>
      <c r="U888" s="292"/>
      <c r="V888" s="132"/>
      <c r="W888" s="121"/>
      <c r="X888" s="82"/>
      <c r="Y888" s="292"/>
      <c r="Z888" s="300"/>
      <c r="AA888" s="301"/>
      <c r="AB888" s="80"/>
      <c r="AC888" s="292"/>
      <c r="AD888" s="132"/>
      <c r="AE888" s="254"/>
      <c r="AF888" s="294"/>
      <c r="AG888" s="292"/>
      <c r="AH888" s="302"/>
      <c r="AI888" s="302"/>
      <c r="AJ888" s="302"/>
      <c r="AK888" s="292"/>
      <c r="AL888" s="82"/>
      <c r="AM888" s="82"/>
      <c r="AN888" s="82"/>
      <c r="AO888" s="292"/>
      <c r="AP888" s="82"/>
      <c r="AQ888" s="82"/>
      <c r="AR888" s="82"/>
      <c r="AS888" s="292"/>
      <c r="AT888" s="82"/>
      <c r="AU888" s="82"/>
      <c r="AV888" s="82"/>
    </row>
    <row r="889">
      <c r="A889" s="292"/>
      <c r="B889" s="132"/>
      <c r="C889" s="121"/>
      <c r="D889" s="82"/>
      <c r="E889" s="292"/>
      <c r="F889" s="132"/>
      <c r="G889" s="121"/>
      <c r="H889" s="82"/>
      <c r="I889" s="292"/>
      <c r="J889" s="132"/>
      <c r="K889" s="121"/>
      <c r="L889" s="82"/>
      <c r="M889" s="292"/>
      <c r="N889" s="132"/>
      <c r="O889" s="121"/>
      <c r="P889" s="82"/>
      <c r="Q889" s="292"/>
      <c r="R889" s="132"/>
      <c r="S889" s="121"/>
      <c r="T889" s="82"/>
      <c r="U889" s="292"/>
      <c r="V889" s="132"/>
      <c r="W889" s="121"/>
      <c r="X889" s="82"/>
      <c r="Y889" s="292"/>
      <c r="Z889" s="300"/>
      <c r="AA889" s="301"/>
      <c r="AB889" s="80"/>
      <c r="AC889" s="292"/>
      <c r="AD889" s="132"/>
      <c r="AE889" s="254"/>
      <c r="AF889" s="294"/>
      <c r="AG889" s="292"/>
      <c r="AH889" s="302"/>
      <c r="AI889" s="302"/>
      <c r="AJ889" s="302"/>
      <c r="AK889" s="292"/>
      <c r="AL889" s="82"/>
      <c r="AM889" s="82"/>
      <c r="AN889" s="82"/>
      <c r="AO889" s="292"/>
      <c r="AP889" s="82"/>
      <c r="AQ889" s="82"/>
      <c r="AR889" s="82"/>
      <c r="AS889" s="292"/>
      <c r="AT889" s="82"/>
      <c r="AU889" s="82"/>
      <c r="AV889" s="82"/>
    </row>
    <row r="890">
      <c r="A890" s="292"/>
      <c r="B890" s="132"/>
      <c r="C890" s="121"/>
      <c r="D890" s="82"/>
      <c r="E890" s="292"/>
      <c r="F890" s="132"/>
      <c r="G890" s="121"/>
      <c r="H890" s="82"/>
      <c r="I890" s="292"/>
      <c r="J890" s="132"/>
      <c r="K890" s="121"/>
      <c r="L890" s="82"/>
      <c r="M890" s="292"/>
      <c r="N890" s="132"/>
      <c r="O890" s="121"/>
      <c r="P890" s="82"/>
      <c r="Q890" s="292"/>
      <c r="R890" s="132"/>
      <c r="S890" s="121"/>
      <c r="T890" s="82"/>
      <c r="U890" s="292"/>
      <c r="V890" s="132"/>
      <c r="W890" s="121"/>
      <c r="X890" s="82"/>
      <c r="Y890" s="292"/>
      <c r="Z890" s="300"/>
      <c r="AA890" s="301"/>
      <c r="AB890" s="80"/>
      <c r="AC890" s="292"/>
      <c r="AD890" s="132"/>
      <c r="AE890" s="254"/>
      <c r="AF890" s="294"/>
      <c r="AG890" s="292"/>
      <c r="AH890" s="302"/>
      <c r="AI890" s="302"/>
      <c r="AJ890" s="302"/>
      <c r="AK890" s="292"/>
      <c r="AL890" s="82"/>
      <c r="AM890" s="82"/>
      <c r="AN890" s="82"/>
      <c r="AO890" s="292"/>
      <c r="AP890" s="82"/>
      <c r="AQ890" s="82"/>
      <c r="AR890" s="82"/>
      <c r="AS890" s="292"/>
      <c r="AT890" s="82"/>
      <c r="AU890" s="82"/>
      <c r="AV890" s="82"/>
    </row>
    <row r="891">
      <c r="A891" s="292"/>
      <c r="B891" s="132"/>
      <c r="C891" s="121"/>
      <c r="D891" s="82"/>
      <c r="E891" s="292"/>
      <c r="F891" s="132"/>
      <c r="G891" s="121"/>
      <c r="H891" s="82"/>
      <c r="I891" s="292"/>
      <c r="J891" s="132"/>
      <c r="K891" s="121"/>
      <c r="L891" s="82"/>
      <c r="M891" s="292"/>
      <c r="N891" s="132"/>
      <c r="O891" s="121"/>
      <c r="P891" s="82"/>
      <c r="Q891" s="292"/>
      <c r="R891" s="132"/>
      <c r="S891" s="121"/>
      <c r="T891" s="82"/>
      <c r="U891" s="292"/>
      <c r="V891" s="132"/>
      <c r="W891" s="121"/>
      <c r="X891" s="82"/>
      <c r="Y891" s="292"/>
      <c r="Z891" s="300"/>
      <c r="AA891" s="301"/>
      <c r="AB891" s="80"/>
      <c r="AC891" s="292"/>
      <c r="AD891" s="132"/>
      <c r="AE891" s="254"/>
      <c r="AF891" s="294"/>
      <c r="AG891" s="292"/>
      <c r="AH891" s="302"/>
      <c r="AI891" s="302"/>
      <c r="AJ891" s="302"/>
      <c r="AK891" s="292"/>
      <c r="AL891" s="82"/>
      <c r="AM891" s="82"/>
      <c r="AN891" s="82"/>
      <c r="AO891" s="292"/>
      <c r="AP891" s="82"/>
      <c r="AQ891" s="82"/>
      <c r="AR891" s="82"/>
      <c r="AS891" s="292"/>
      <c r="AT891" s="82"/>
      <c r="AU891" s="82"/>
      <c r="AV891" s="82"/>
    </row>
    <row r="892">
      <c r="A892" s="292"/>
      <c r="B892" s="132"/>
      <c r="C892" s="121"/>
      <c r="D892" s="82"/>
      <c r="E892" s="292"/>
      <c r="F892" s="132"/>
      <c r="G892" s="121"/>
      <c r="H892" s="82"/>
      <c r="I892" s="292"/>
      <c r="J892" s="132"/>
      <c r="K892" s="121"/>
      <c r="L892" s="82"/>
      <c r="M892" s="292"/>
      <c r="N892" s="132"/>
      <c r="O892" s="121"/>
      <c r="P892" s="82"/>
      <c r="Q892" s="292"/>
      <c r="R892" s="132"/>
      <c r="S892" s="121"/>
      <c r="T892" s="82"/>
      <c r="U892" s="292"/>
      <c r="V892" s="132"/>
      <c r="W892" s="121"/>
      <c r="X892" s="82"/>
      <c r="Y892" s="292"/>
      <c r="Z892" s="300"/>
      <c r="AA892" s="301"/>
      <c r="AB892" s="80"/>
      <c r="AC892" s="292"/>
      <c r="AD892" s="132"/>
      <c r="AE892" s="254"/>
      <c r="AF892" s="294"/>
      <c r="AG892" s="292"/>
      <c r="AH892" s="302"/>
      <c r="AI892" s="302"/>
      <c r="AJ892" s="302"/>
      <c r="AK892" s="292"/>
      <c r="AL892" s="82"/>
      <c r="AM892" s="82"/>
      <c r="AN892" s="82"/>
      <c r="AO892" s="292"/>
      <c r="AP892" s="82"/>
      <c r="AQ892" s="82"/>
      <c r="AR892" s="82"/>
      <c r="AS892" s="292"/>
      <c r="AT892" s="82"/>
      <c r="AU892" s="82"/>
      <c r="AV892" s="82"/>
    </row>
    <row r="893">
      <c r="A893" s="292"/>
      <c r="B893" s="132"/>
      <c r="C893" s="121"/>
      <c r="D893" s="82"/>
      <c r="E893" s="292"/>
      <c r="F893" s="132"/>
      <c r="G893" s="121"/>
      <c r="H893" s="82"/>
      <c r="I893" s="292"/>
      <c r="J893" s="132"/>
      <c r="K893" s="121"/>
      <c r="L893" s="82"/>
      <c r="M893" s="292"/>
      <c r="N893" s="132"/>
      <c r="O893" s="121"/>
      <c r="P893" s="82"/>
      <c r="Q893" s="292"/>
      <c r="R893" s="132"/>
      <c r="S893" s="121"/>
      <c r="T893" s="82"/>
      <c r="U893" s="292"/>
      <c r="V893" s="132"/>
      <c r="W893" s="121"/>
      <c r="X893" s="82"/>
      <c r="Y893" s="292"/>
      <c r="Z893" s="300"/>
      <c r="AA893" s="301"/>
      <c r="AB893" s="80"/>
      <c r="AC893" s="292"/>
      <c r="AD893" s="132"/>
      <c r="AE893" s="254"/>
      <c r="AF893" s="294"/>
      <c r="AG893" s="292"/>
      <c r="AH893" s="302"/>
      <c r="AI893" s="302"/>
      <c r="AJ893" s="302"/>
      <c r="AK893" s="292"/>
      <c r="AL893" s="82"/>
      <c r="AM893" s="82"/>
      <c r="AN893" s="82"/>
      <c r="AO893" s="292"/>
      <c r="AP893" s="82"/>
      <c r="AQ893" s="82"/>
      <c r="AR893" s="82"/>
      <c r="AS893" s="292"/>
      <c r="AT893" s="82"/>
      <c r="AU893" s="82"/>
      <c r="AV893" s="82"/>
    </row>
    <row r="894">
      <c r="A894" s="292"/>
      <c r="B894" s="132"/>
      <c r="C894" s="121"/>
      <c r="D894" s="82"/>
      <c r="E894" s="292"/>
      <c r="F894" s="132"/>
      <c r="G894" s="121"/>
      <c r="H894" s="82"/>
      <c r="I894" s="292"/>
      <c r="J894" s="132"/>
      <c r="K894" s="121"/>
      <c r="L894" s="82"/>
      <c r="M894" s="292"/>
      <c r="N894" s="132"/>
      <c r="O894" s="121"/>
      <c r="P894" s="82"/>
      <c r="Q894" s="292"/>
      <c r="R894" s="132"/>
      <c r="S894" s="121"/>
      <c r="T894" s="82"/>
      <c r="U894" s="292"/>
      <c r="V894" s="132"/>
      <c r="W894" s="121"/>
      <c r="X894" s="82"/>
      <c r="Y894" s="292"/>
      <c r="Z894" s="300"/>
      <c r="AA894" s="301"/>
      <c r="AB894" s="80"/>
      <c r="AC894" s="292"/>
      <c r="AD894" s="132"/>
      <c r="AE894" s="254"/>
      <c r="AF894" s="294"/>
      <c r="AG894" s="292"/>
      <c r="AH894" s="302"/>
      <c r="AI894" s="302"/>
      <c r="AJ894" s="302"/>
      <c r="AK894" s="292"/>
      <c r="AL894" s="82"/>
      <c r="AM894" s="82"/>
      <c r="AN894" s="82"/>
      <c r="AO894" s="292"/>
      <c r="AP894" s="82"/>
      <c r="AQ894" s="82"/>
      <c r="AR894" s="82"/>
      <c r="AS894" s="292"/>
      <c r="AT894" s="82"/>
      <c r="AU894" s="82"/>
      <c r="AV894" s="82"/>
    </row>
    <row r="895">
      <c r="A895" s="292"/>
      <c r="B895" s="132"/>
      <c r="C895" s="121"/>
      <c r="D895" s="82"/>
      <c r="E895" s="292"/>
      <c r="F895" s="132"/>
      <c r="G895" s="121"/>
      <c r="H895" s="82"/>
      <c r="I895" s="292"/>
      <c r="J895" s="132"/>
      <c r="K895" s="121"/>
      <c r="L895" s="82"/>
      <c r="M895" s="292"/>
      <c r="N895" s="132"/>
      <c r="O895" s="121"/>
      <c r="P895" s="82"/>
      <c r="Q895" s="292"/>
      <c r="R895" s="132"/>
      <c r="S895" s="121"/>
      <c r="T895" s="82"/>
      <c r="U895" s="292"/>
      <c r="V895" s="132"/>
      <c r="W895" s="121"/>
      <c r="X895" s="82"/>
      <c r="Y895" s="292"/>
      <c r="Z895" s="300"/>
      <c r="AA895" s="301"/>
      <c r="AB895" s="80"/>
      <c r="AC895" s="292"/>
      <c r="AD895" s="132"/>
      <c r="AE895" s="254"/>
      <c r="AF895" s="294"/>
      <c r="AG895" s="292"/>
      <c r="AH895" s="302"/>
      <c r="AI895" s="302"/>
      <c r="AJ895" s="302"/>
      <c r="AK895" s="292"/>
      <c r="AL895" s="82"/>
      <c r="AM895" s="82"/>
      <c r="AN895" s="82"/>
      <c r="AO895" s="292"/>
      <c r="AP895" s="82"/>
      <c r="AQ895" s="82"/>
      <c r="AR895" s="82"/>
      <c r="AS895" s="292"/>
      <c r="AT895" s="82"/>
      <c r="AU895" s="82"/>
      <c r="AV895" s="82"/>
    </row>
    <row r="896">
      <c r="A896" s="292"/>
      <c r="B896" s="132"/>
      <c r="C896" s="121"/>
      <c r="D896" s="82"/>
      <c r="E896" s="292"/>
      <c r="F896" s="132"/>
      <c r="G896" s="121"/>
      <c r="H896" s="82"/>
      <c r="I896" s="292"/>
      <c r="J896" s="132"/>
      <c r="K896" s="121"/>
      <c r="L896" s="82"/>
      <c r="M896" s="292"/>
      <c r="N896" s="132"/>
      <c r="O896" s="121"/>
      <c r="P896" s="82"/>
      <c r="Q896" s="292"/>
      <c r="R896" s="132"/>
      <c r="S896" s="121"/>
      <c r="T896" s="82"/>
      <c r="U896" s="292"/>
      <c r="V896" s="132"/>
      <c r="W896" s="121"/>
      <c r="X896" s="82"/>
      <c r="Y896" s="292"/>
      <c r="Z896" s="300"/>
      <c r="AA896" s="301"/>
      <c r="AB896" s="80"/>
      <c r="AC896" s="292"/>
      <c r="AD896" s="132"/>
      <c r="AE896" s="254"/>
      <c r="AF896" s="294"/>
      <c r="AG896" s="292"/>
      <c r="AH896" s="302"/>
      <c r="AI896" s="302"/>
      <c r="AJ896" s="302"/>
      <c r="AK896" s="292"/>
      <c r="AL896" s="82"/>
      <c r="AM896" s="82"/>
      <c r="AN896" s="82"/>
      <c r="AO896" s="292"/>
      <c r="AP896" s="82"/>
      <c r="AQ896" s="82"/>
      <c r="AR896" s="82"/>
      <c r="AS896" s="292"/>
      <c r="AT896" s="82"/>
      <c r="AU896" s="82"/>
      <c r="AV896" s="82"/>
    </row>
    <row r="897">
      <c r="A897" s="292"/>
      <c r="B897" s="132"/>
      <c r="C897" s="121"/>
      <c r="D897" s="82"/>
      <c r="E897" s="292"/>
      <c r="F897" s="132"/>
      <c r="G897" s="121"/>
      <c r="H897" s="82"/>
      <c r="I897" s="292"/>
      <c r="J897" s="132"/>
      <c r="K897" s="121"/>
      <c r="L897" s="82"/>
      <c r="M897" s="292"/>
      <c r="N897" s="132"/>
      <c r="O897" s="121"/>
      <c r="P897" s="82"/>
      <c r="Q897" s="292"/>
      <c r="R897" s="132"/>
      <c r="S897" s="121"/>
      <c r="T897" s="82"/>
      <c r="U897" s="292"/>
      <c r="V897" s="132"/>
      <c r="W897" s="121"/>
      <c r="X897" s="82"/>
      <c r="Y897" s="292"/>
      <c r="Z897" s="300"/>
      <c r="AA897" s="301"/>
      <c r="AB897" s="80"/>
      <c r="AC897" s="292"/>
      <c r="AD897" s="132"/>
      <c r="AE897" s="254"/>
      <c r="AF897" s="294"/>
      <c r="AG897" s="292"/>
      <c r="AH897" s="302"/>
      <c r="AI897" s="302"/>
      <c r="AJ897" s="302"/>
      <c r="AK897" s="292"/>
      <c r="AL897" s="82"/>
      <c r="AM897" s="82"/>
      <c r="AN897" s="82"/>
      <c r="AO897" s="292"/>
      <c r="AP897" s="82"/>
      <c r="AQ897" s="82"/>
      <c r="AR897" s="82"/>
      <c r="AS897" s="292"/>
      <c r="AT897" s="82"/>
      <c r="AU897" s="82"/>
      <c r="AV897" s="82"/>
    </row>
    <row r="898">
      <c r="A898" s="292"/>
      <c r="B898" s="132"/>
      <c r="C898" s="121"/>
      <c r="D898" s="82"/>
      <c r="E898" s="292"/>
      <c r="F898" s="132"/>
      <c r="G898" s="121"/>
      <c r="H898" s="82"/>
      <c r="I898" s="292"/>
      <c r="J898" s="132"/>
      <c r="K898" s="121"/>
      <c r="L898" s="82"/>
      <c r="M898" s="292"/>
      <c r="N898" s="132"/>
      <c r="O898" s="121"/>
      <c r="P898" s="82"/>
      <c r="Q898" s="292"/>
      <c r="R898" s="132"/>
      <c r="S898" s="121"/>
      <c r="T898" s="82"/>
      <c r="U898" s="292"/>
      <c r="V898" s="132"/>
      <c r="W898" s="121"/>
      <c r="X898" s="82"/>
      <c r="Y898" s="292"/>
      <c r="Z898" s="300"/>
      <c r="AA898" s="301"/>
      <c r="AB898" s="80"/>
      <c r="AC898" s="292"/>
      <c r="AD898" s="132"/>
      <c r="AE898" s="254"/>
      <c r="AF898" s="294"/>
      <c r="AG898" s="292"/>
      <c r="AH898" s="302"/>
      <c r="AI898" s="302"/>
      <c r="AJ898" s="302"/>
      <c r="AK898" s="292"/>
      <c r="AL898" s="82"/>
      <c r="AM898" s="82"/>
      <c r="AN898" s="82"/>
      <c r="AO898" s="292"/>
      <c r="AP898" s="82"/>
      <c r="AQ898" s="82"/>
      <c r="AR898" s="82"/>
      <c r="AS898" s="292"/>
      <c r="AT898" s="82"/>
      <c r="AU898" s="82"/>
      <c r="AV898" s="82"/>
    </row>
    <row r="899">
      <c r="A899" s="292"/>
      <c r="B899" s="132"/>
      <c r="C899" s="121"/>
      <c r="D899" s="82"/>
      <c r="E899" s="292"/>
      <c r="F899" s="132"/>
      <c r="G899" s="121"/>
      <c r="H899" s="82"/>
      <c r="I899" s="292"/>
      <c r="J899" s="132"/>
      <c r="K899" s="121"/>
      <c r="L899" s="82"/>
      <c r="M899" s="292"/>
      <c r="N899" s="132"/>
      <c r="O899" s="121"/>
      <c r="P899" s="82"/>
      <c r="Q899" s="292"/>
      <c r="R899" s="132"/>
      <c r="S899" s="121"/>
      <c r="T899" s="82"/>
      <c r="U899" s="292"/>
      <c r="V899" s="132"/>
      <c r="W899" s="121"/>
      <c r="X899" s="82"/>
      <c r="Y899" s="292"/>
      <c r="Z899" s="300"/>
      <c r="AA899" s="301"/>
      <c r="AB899" s="80"/>
      <c r="AC899" s="292"/>
      <c r="AD899" s="132"/>
      <c r="AE899" s="254"/>
      <c r="AF899" s="294"/>
      <c r="AG899" s="292"/>
      <c r="AH899" s="302"/>
      <c r="AI899" s="302"/>
      <c r="AJ899" s="302"/>
      <c r="AK899" s="292"/>
      <c r="AL899" s="82"/>
      <c r="AM899" s="82"/>
      <c r="AN899" s="82"/>
      <c r="AO899" s="292"/>
      <c r="AP899" s="82"/>
      <c r="AQ899" s="82"/>
      <c r="AR899" s="82"/>
      <c r="AS899" s="292"/>
      <c r="AT899" s="82"/>
      <c r="AU899" s="82"/>
      <c r="AV899" s="82"/>
    </row>
    <row r="900">
      <c r="A900" s="292"/>
      <c r="B900" s="132"/>
      <c r="C900" s="121"/>
      <c r="D900" s="82"/>
      <c r="E900" s="292"/>
      <c r="F900" s="132"/>
      <c r="G900" s="121"/>
      <c r="H900" s="82"/>
      <c r="I900" s="292"/>
      <c r="J900" s="132"/>
      <c r="K900" s="121"/>
      <c r="L900" s="82"/>
      <c r="M900" s="292"/>
      <c r="N900" s="132"/>
      <c r="O900" s="121"/>
      <c r="P900" s="82"/>
      <c r="Q900" s="292"/>
      <c r="R900" s="132"/>
      <c r="S900" s="121"/>
      <c r="T900" s="82"/>
      <c r="U900" s="292"/>
      <c r="V900" s="132"/>
      <c r="W900" s="121"/>
      <c r="X900" s="82"/>
      <c r="Y900" s="292"/>
      <c r="Z900" s="300"/>
      <c r="AA900" s="301"/>
      <c r="AB900" s="80"/>
      <c r="AC900" s="292"/>
      <c r="AD900" s="132"/>
      <c r="AE900" s="254"/>
      <c r="AF900" s="294"/>
      <c r="AG900" s="292"/>
      <c r="AH900" s="302"/>
      <c r="AI900" s="302"/>
      <c r="AJ900" s="302"/>
      <c r="AK900" s="292"/>
      <c r="AL900" s="82"/>
      <c r="AM900" s="82"/>
      <c r="AN900" s="82"/>
      <c r="AO900" s="292"/>
      <c r="AP900" s="82"/>
      <c r="AQ900" s="82"/>
      <c r="AR900" s="82"/>
      <c r="AS900" s="292"/>
      <c r="AT900" s="82"/>
      <c r="AU900" s="82"/>
      <c r="AV900" s="82"/>
    </row>
    <row r="901">
      <c r="A901" s="292"/>
      <c r="B901" s="132"/>
      <c r="C901" s="121"/>
      <c r="D901" s="82"/>
      <c r="E901" s="292"/>
      <c r="F901" s="132"/>
      <c r="G901" s="121"/>
      <c r="H901" s="82"/>
      <c r="I901" s="292"/>
      <c r="J901" s="132"/>
      <c r="K901" s="121"/>
      <c r="L901" s="82"/>
      <c r="M901" s="292"/>
      <c r="N901" s="132"/>
      <c r="O901" s="121"/>
      <c r="P901" s="82"/>
      <c r="Q901" s="292"/>
      <c r="R901" s="132"/>
      <c r="S901" s="121"/>
      <c r="T901" s="82"/>
      <c r="U901" s="292"/>
      <c r="V901" s="132"/>
      <c r="W901" s="121"/>
      <c r="X901" s="82"/>
      <c r="Y901" s="292"/>
      <c r="Z901" s="300"/>
      <c r="AA901" s="301"/>
      <c r="AB901" s="80"/>
      <c r="AC901" s="292"/>
      <c r="AD901" s="132"/>
      <c r="AE901" s="254"/>
      <c r="AF901" s="294"/>
      <c r="AG901" s="292"/>
      <c r="AH901" s="302"/>
      <c r="AI901" s="302"/>
      <c r="AJ901" s="302"/>
      <c r="AK901" s="292"/>
      <c r="AL901" s="82"/>
      <c r="AM901" s="82"/>
      <c r="AN901" s="82"/>
      <c r="AO901" s="292"/>
      <c r="AP901" s="82"/>
      <c r="AQ901" s="82"/>
      <c r="AR901" s="82"/>
      <c r="AS901" s="292"/>
      <c r="AT901" s="82"/>
      <c r="AU901" s="82"/>
      <c r="AV901" s="82"/>
    </row>
    <row r="902">
      <c r="A902" s="292"/>
      <c r="B902" s="132"/>
      <c r="C902" s="121"/>
      <c r="D902" s="82"/>
      <c r="E902" s="292"/>
      <c r="F902" s="132"/>
      <c r="G902" s="121"/>
      <c r="H902" s="82"/>
      <c r="I902" s="292"/>
      <c r="J902" s="132"/>
      <c r="K902" s="121"/>
      <c r="L902" s="82"/>
      <c r="M902" s="292"/>
      <c r="N902" s="132"/>
      <c r="O902" s="121"/>
      <c r="P902" s="82"/>
      <c r="Q902" s="292"/>
      <c r="R902" s="132"/>
      <c r="S902" s="121"/>
      <c r="T902" s="82"/>
      <c r="U902" s="292"/>
      <c r="V902" s="132"/>
      <c r="W902" s="121"/>
      <c r="X902" s="82"/>
      <c r="Y902" s="292"/>
      <c r="Z902" s="300"/>
      <c r="AA902" s="301"/>
      <c r="AB902" s="80"/>
      <c r="AC902" s="292"/>
      <c r="AD902" s="132"/>
      <c r="AE902" s="254"/>
      <c r="AF902" s="294"/>
      <c r="AG902" s="292"/>
      <c r="AH902" s="302"/>
      <c r="AI902" s="302"/>
      <c r="AJ902" s="302"/>
      <c r="AK902" s="292"/>
      <c r="AL902" s="82"/>
      <c r="AM902" s="82"/>
      <c r="AN902" s="82"/>
      <c r="AO902" s="292"/>
      <c r="AP902" s="82"/>
      <c r="AQ902" s="82"/>
      <c r="AR902" s="82"/>
      <c r="AS902" s="292"/>
      <c r="AT902" s="82"/>
      <c r="AU902" s="82"/>
      <c r="AV902" s="82"/>
    </row>
    <row r="903">
      <c r="A903" s="292"/>
      <c r="B903" s="132"/>
      <c r="C903" s="121"/>
      <c r="D903" s="82"/>
      <c r="E903" s="292"/>
      <c r="F903" s="132"/>
      <c r="G903" s="121"/>
      <c r="H903" s="82"/>
      <c r="I903" s="292"/>
      <c r="J903" s="132"/>
      <c r="K903" s="121"/>
      <c r="L903" s="82"/>
      <c r="M903" s="292"/>
      <c r="N903" s="132"/>
      <c r="O903" s="121"/>
      <c r="P903" s="82"/>
      <c r="Q903" s="292"/>
      <c r="R903" s="132"/>
      <c r="S903" s="121"/>
      <c r="T903" s="82"/>
      <c r="U903" s="292"/>
      <c r="V903" s="132"/>
      <c r="W903" s="121"/>
      <c r="X903" s="82"/>
      <c r="Y903" s="292"/>
      <c r="Z903" s="300"/>
      <c r="AA903" s="301"/>
      <c r="AB903" s="80"/>
      <c r="AC903" s="292"/>
      <c r="AD903" s="132"/>
      <c r="AE903" s="254"/>
      <c r="AF903" s="294"/>
      <c r="AG903" s="292"/>
      <c r="AH903" s="302"/>
      <c r="AI903" s="302"/>
      <c r="AJ903" s="302"/>
      <c r="AK903" s="292"/>
      <c r="AL903" s="82"/>
      <c r="AM903" s="82"/>
      <c r="AN903" s="82"/>
      <c r="AO903" s="292"/>
      <c r="AP903" s="82"/>
      <c r="AQ903" s="82"/>
      <c r="AR903" s="82"/>
      <c r="AS903" s="292"/>
      <c r="AT903" s="82"/>
      <c r="AU903" s="82"/>
      <c r="AV903" s="82"/>
    </row>
    <row r="904">
      <c r="A904" s="292"/>
      <c r="B904" s="132"/>
      <c r="C904" s="121"/>
      <c r="D904" s="82"/>
      <c r="E904" s="292"/>
      <c r="F904" s="132"/>
      <c r="G904" s="121"/>
      <c r="H904" s="82"/>
      <c r="I904" s="292"/>
      <c r="J904" s="132"/>
      <c r="K904" s="121"/>
      <c r="L904" s="82"/>
      <c r="M904" s="292"/>
      <c r="N904" s="132"/>
      <c r="O904" s="121"/>
      <c r="P904" s="82"/>
      <c r="Q904" s="292"/>
      <c r="R904" s="132"/>
      <c r="S904" s="121"/>
      <c r="T904" s="82"/>
      <c r="U904" s="292"/>
      <c r="V904" s="132"/>
      <c r="W904" s="121"/>
      <c r="X904" s="82"/>
      <c r="Y904" s="292"/>
      <c r="Z904" s="300"/>
      <c r="AA904" s="301"/>
      <c r="AB904" s="80"/>
      <c r="AC904" s="292"/>
      <c r="AD904" s="132"/>
      <c r="AE904" s="254"/>
      <c r="AF904" s="294"/>
      <c r="AG904" s="292"/>
      <c r="AH904" s="302"/>
      <c r="AI904" s="302"/>
      <c r="AJ904" s="302"/>
      <c r="AK904" s="292"/>
      <c r="AL904" s="82"/>
      <c r="AM904" s="82"/>
      <c r="AN904" s="82"/>
      <c r="AO904" s="292"/>
      <c r="AP904" s="82"/>
      <c r="AQ904" s="82"/>
      <c r="AR904" s="82"/>
      <c r="AS904" s="292"/>
      <c r="AT904" s="82"/>
      <c r="AU904" s="82"/>
      <c r="AV904" s="82"/>
    </row>
    <row r="905">
      <c r="A905" s="292"/>
      <c r="B905" s="132"/>
      <c r="C905" s="121"/>
      <c r="D905" s="82"/>
      <c r="E905" s="292"/>
      <c r="F905" s="132"/>
      <c r="G905" s="121"/>
      <c r="H905" s="82"/>
      <c r="I905" s="292"/>
      <c r="J905" s="132"/>
      <c r="K905" s="121"/>
      <c r="L905" s="82"/>
      <c r="M905" s="292"/>
      <c r="N905" s="132"/>
      <c r="O905" s="121"/>
      <c r="P905" s="82"/>
      <c r="Q905" s="292"/>
      <c r="R905" s="132"/>
      <c r="S905" s="121"/>
      <c r="T905" s="82"/>
      <c r="U905" s="292"/>
      <c r="V905" s="132"/>
      <c r="W905" s="121"/>
      <c r="X905" s="82"/>
      <c r="Y905" s="292"/>
      <c r="Z905" s="300"/>
      <c r="AA905" s="301"/>
      <c r="AB905" s="80"/>
      <c r="AC905" s="292"/>
      <c r="AD905" s="132"/>
      <c r="AE905" s="254"/>
      <c r="AF905" s="294"/>
      <c r="AG905" s="292"/>
      <c r="AH905" s="302"/>
      <c r="AI905" s="302"/>
      <c r="AJ905" s="302"/>
      <c r="AK905" s="292"/>
      <c r="AL905" s="82"/>
      <c r="AM905" s="82"/>
      <c r="AN905" s="82"/>
      <c r="AO905" s="292"/>
      <c r="AP905" s="82"/>
      <c r="AQ905" s="82"/>
      <c r="AR905" s="82"/>
      <c r="AS905" s="292"/>
      <c r="AT905" s="82"/>
      <c r="AU905" s="82"/>
      <c r="AV905" s="82"/>
    </row>
    <row r="906">
      <c r="A906" s="292"/>
      <c r="B906" s="132"/>
      <c r="C906" s="121"/>
      <c r="D906" s="82"/>
      <c r="E906" s="292"/>
      <c r="F906" s="132"/>
      <c r="G906" s="121"/>
      <c r="H906" s="82"/>
      <c r="I906" s="292"/>
      <c r="J906" s="132"/>
      <c r="K906" s="121"/>
      <c r="L906" s="82"/>
      <c r="M906" s="292"/>
      <c r="N906" s="132"/>
      <c r="O906" s="121"/>
      <c r="P906" s="82"/>
      <c r="Q906" s="292"/>
      <c r="R906" s="132"/>
      <c r="S906" s="121"/>
      <c r="T906" s="82"/>
      <c r="U906" s="292"/>
      <c r="V906" s="132"/>
      <c r="W906" s="121"/>
      <c r="X906" s="82"/>
      <c r="Y906" s="292"/>
      <c r="Z906" s="300"/>
      <c r="AA906" s="301"/>
      <c r="AB906" s="80"/>
      <c r="AC906" s="292"/>
      <c r="AD906" s="132"/>
      <c r="AE906" s="254"/>
      <c r="AF906" s="294"/>
      <c r="AG906" s="292"/>
      <c r="AH906" s="302"/>
      <c r="AI906" s="302"/>
      <c r="AJ906" s="302"/>
      <c r="AK906" s="292"/>
      <c r="AL906" s="82"/>
      <c r="AM906" s="82"/>
      <c r="AN906" s="82"/>
      <c r="AO906" s="292"/>
      <c r="AP906" s="82"/>
      <c r="AQ906" s="82"/>
      <c r="AR906" s="82"/>
      <c r="AS906" s="292"/>
      <c r="AT906" s="82"/>
      <c r="AU906" s="82"/>
      <c r="AV906" s="82"/>
    </row>
    <row r="907">
      <c r="A907" s="292"/>
      <c r="B907" s="132"/>
      <c r="C907" s="121"/>
      <c r="D907" s="82"/>
      <c r="E907" s="292"/>
      <c r="F907" s="132"/>
      <c r="G907" s="121"/>
      <c r="H907" s="82"/>
      <c r="I907" s="292"/>
      <c r="J907" s="132"/>
      <c r="K907" s="121"/>
      <c r="L907" s="82"/>
      <c r="M907" s="292"/>
      <c r="N907" s="132"/>
      <c r="O907" s="121"/>
      <c r="P907" s="82"/>
      <c r="Q907" s="292"/>
      <c r="R907" s="132"/>
      <c r="S907" s="121"/>
      <c r="T907" s="82"/>
      <c r="U907" s="292"/>
      <c r="V907" s="132"/>
      <c r="W907" s="121"/>
      <c r="X907" s="82"/>
      <c r="Y907" s="292"/>
      <c r="Z907" s="300"/>
      <c r="AA907" s="301"/>
      <c r="AB907" s="80"/>
      <c r="AC907" s="292"/>
      <c r="AD907" s="132"/>
      <c r="AE907" s="254"/>
      <c r="AF907" s="294"/>
      <c r="AG907" s="292"/>
      <c r="AH907" s="302"/>
      <c r="AI907" s="302"/>
      <c r="AJ907" s="302"/>
      <c r="AK907" s="292"/>
      <c r="AL907" s="82"/>
      <c r="AM907" s="82"/>
      <c r="AN907" s="82"/>
      <c r="AO907" s="292"/>
      <c r="AP907" s="82"/>
      <c r="AQ907" s="82"/>
      <c r="AR907" s="82"/>
      <c r="AS907" s="292"/>
      <c r="AT907" s="82"/>
      <c r="AU907" s="82"/>
      <c r="AV907" s="82"/>
    </row>
    <row r="908">
      <c r="A908" s="292"/>
      <c r="B908" s="132"/>
      <c r="C908" s="121"/>
      <c r="D908" s="82"/>
      <c r="E908" s="292"/>
      <c r="F908" s="132"/>
      <c r="G908" s="121"/>
      <c r="H908" s="82"/>
      <c r="I908" s="292"/>
      <c r="J908" s="132"/>
      <c r="K908" s="121"/>
      <c r="L908" s="82"/>
      <c r="M908" s="292"/>
      <c r="N908" s="132"/>
      <c r="O908" s="121"/>
      <c r="P908" s="82"/>
      <c r="Q908" s="292"/>
      <c r="R908" s="132"/>
      <c r="S908" s="121"/>
      <c r="T908" s="82"/>
      <c r="U908" s="292"/>
      <c r="V908" s="132"/>
      <c r="W908" s="121"/>
      <c r="X908" s="82"/>
      <c r="Y908" s="292"/>
      <c r="Z908" s="300"/>
      <c r="AA908" s="301"/>
      <c r="AB908" s="80"/>
      <c r="AC908" s="292"/>
      <c r="AD908" s="132"/>
      <c r="AE908" s="254"/>
      <c r="AF908" s="294"/>
      <c r="AG908" s="292"/>
      <c r="AH908" s="302"/>
      <c r="AI908" s="302"/>
      <c r="AJ908" s="302"/>
      <c r="AK908" s="292"/>
      <c r="AL908" s="82"/>
      <c r="AM908" s="82"/>
      <c r="AN908" s="82"/>
      <c r="AO908" s="292"/>
      <c r="AP908" s="82"/>
      <c r="AQ908" s="82"/>
      <c r="AR908" s="82"/>
      <c r="AS908" s="292"/>
      <c r="AT908" s="82"/>
      <c r="AU908" s="82"/>
      <c r="AV908" s="82"/>
    </row>
    <row r="909">
      <c r="A909" s="292"/>
      <c r="B909" s="132"/>
      <c r="C909" s="121"/>
      <c r="D909" s="82"/>
      <c r="E909" s="292"/>
      <c r="F909" s="132"/>
      <c r="G909" s="121"/>
      <c r="H909" s="82"/>
      <c r="I909" s="292"/>
      <c r="J909" s="132"/>
      <c r="K909" s="121"/>
      <c r="L909" s="82"/>
      <c r="M909" s="292"/>
      <c r="N909" s="132"/>
      <c r="O909" s="121"/>
      <c r="P909" s="82"/>
      <c r="Q909" s="292"/>
      <c r="R909" s="132"/>
      <c r="S909" s="121"/>
      <c r="T909" s="82"/>
      <c r="U909" s="292"/>
      <c r="V909" s="132"/>
      <c r="W909" s="121"/>
      <c r="X909" s="82"/>
      <c r="Y909" s="292"/>
      <c r="Z909" s="300"/>
      <c r="AA909" s="301"/>
      <c r="AB909" s="80"/>
      <c r="AC909" s="292"/>
      <c r="AD909" s="132"/>
      <c r="AE909" s="254"/>
      <c r="AF909" s="294"/>
      <c r="AG909" s="292"/>
      <c r="AH909" s="302"/>
      <c r="AI909" s="302"/>
      <c r="AJ909" s="302"/>
      <c r="AK909" s="292"/>
      <c r="AL909" s="82"/>
      <c r="AM909" s="82"/>
      <c r="AN909" s="82"/>
      <c r="AO909" s="292"/>
      <c r="AP909" s="82"/>
      <c r="AQ909" s="82"/>
      <c r="AR909" s="82"/>
      <c r="AS909" s="292"/>
      <c r="AT909" s="82"/>
      <c r="AU909" s="82"/>
      <c r="AV909" s="82"/>
    </row>
    <row r="910">
      <c r="A910" s="292"/>
      <c r="B910" s="132"/>
      <c r="C910" s="121"/>
      <c r="D910" s="82"/>
      <c r="E910" s="292"/>
      <c r="F910" s="132"/>
      <c r="G910" s="121"/>
      <c r="H910" s="82"/>
      <c r="I910" s="292"/>
      <c r="J910" s="132"/>
      <c r="K910" s="121"/>
      <c r="L910" s="82"/>
      <c r="M910" s="292"/>
      <c r="N910" s="132"/>
      <c r="O910" s="121"/>
      <c r="P910" s="82"/>
      <c r="Q910" s="292"/>
      <c r="R910" s="132"/>
      <c r="S910" s="121"/>
      <c r="T910" s="82"/>
      <c r="U910" s="292"/>
      <c r="V910" s="132"/>
      <c r="W910" s="121"/>
      <c r="X910" s="82"/>
      <c r="Y910" s="292"/>
      <c r="Z910" s="300"/>
      <c r="AA910" s="301"/>
      <c r="AB910" s="80"/>
      <c r="AC910" s="292"/>
      <c r="AD910" s="132"/>
      <c r="AE910" s="254"/>
      <c r="AF910" s="294"/>
      <c r="AG910" s="292"/>
      <c r="AH910" s="302"/>
      <c r="AI910" s="302"/>
      <c r="AJ910" s="302"/>
      <c r="AK910" s="292"/>
      <c r="AL910" s="82"/>
      <c r="AM910" s="82"/>
      <c r="AN910" s="82"/>
      <c r="AO910" s="292"/>
      <c r="AP910" s="82"/>
      <c r="AQ910" s="82"/>
      <c r="AR910" s="82"/>
      <c r="AS910" s="292"/>
      <c r="AT910" s="82"/>
      <c r="AU910" s="82"/>
      <c r="AV910" s="82"/>
    </row>
    <row r="911">
      <c r="A911" s="292"/>
      <c r="B911" s="132"/>
      <c r="C911" s="121"/>
      <c r="D911" s="82"/>
      <c r="E911" s="292"/>
      <c r="F911" s="132"/>
      <c r="G911" s="121"/>
      <c r="H911" s="82"/>
      <c r="I911" s="292"/>
      <c r="J911" s="132"/>
      <c r="K911" s="121"/>
      <c r="L911" s="82"/>
      <c r="M911" s="292"/>
      <c r="N911" s="132"/>
      <c r="O911" s="121"/>
      <c r="P911" s="82"/>
      <c r="Q911" s="292"/>
      <c r="R911" s="132"/>
      <c r="S911" s="121"/>
      <c r="T911" s="82"/>
      <c r="U911" s="292"/>
      <c r="V911" s="132"/>
      <c r="W911" s="121"/>
      <c r="X911" s="82"/>
      <c r="Y911" s="292"/>
      <c r="Z911" s="300"/>
      <c r="AA911" s="301"/>
      <c r="AB911" s="80"/>
      <c r="AC911" s="292"/>
      <c r="AD911" s="132"/>
      <c r="AE911" s="254"/>
      <c r="AF911" s="294"/>
      <c r="AG911" s="292"/>
      <c r="AH911" s="302"/>
      <c r="AI911" s="302"/>
      <c r="AJ911" s="302"/>
      <c r="AK911" s="292"/>
      <c r="AL911" s="82"/>
      <c r="AM911" s="82"/>
      <c r="AN911" s="82"/>
      <c r="AO911" s="292"/>
      <c r="AP911" s="82"/>
      <c r="AQ911" s="82"/>
      <c r="AR911" s="82"/>
      <c r="AS911" s="292"/>
      <c r="AT911" s="82"/>
      <c r="AU911" s="82"/>
      <c r="AV911" s="82"/>
    </row>
    <row r="912">
      <c r="A912" s="292"/>
      <c r="B912" s="132"/>
      <c r="C912" s="121"/>
      <c r="D912" s="82"/>
      <c r="E912" s="292"/>
      <c r="F912" s="132"/>
      <c r="G912" s="121"/>
      <c r="H912" s="82"/>
      <c r="I912" s="292"/>
      <c r="J912" s="132"/>
      <c r="K912" s="121"/>
      <c r="L912" s="82"/>
      <c r="M912" s="292"/>
      <c r="N912" s="132"/>
      <c r="O912" s="121"/>
      <c r="P912" s="82"/>
      <c r="Q912" s="292"/>
      <c r="R912" s="132"/>
      <c r="S912" s="121"/>
      <c r="T912" s="82"/>
      <c r="U912" s="292"/>
      <c r="V912" s="132"/>
      <c r="W912" s="121"/>
      <c r="X912" s="82"/>
      <c r="Y912" s="292"/>
      <c r="Z912" s="300"/>
      <c r="AA912" s="301"/>
      <c r="AB912" s="80"/>
      <c r="AC912" s="292"/>
      <c r="AD912" s="132"/>
      <c r="AE912" s="254"/>
      <c r="AF912" s="294"/>
      <c r="AG912" s="292"/>
      <c r="AH912" s="302"/>
      <c r="AI912" s="302"/>
      <c r="AJ912" s="302"/>
      <c r="AK912" s="292"/>
      <c r="AL912" s="82"/>
      <c r="AM912" s="82"/>
      <c r="AN912" s="82"/>
      <c r="AO912" s="292"/>
      <c r="AP912" s="82"/>
      <c r="AQ912" s="82"/>
      <c r="AR912" s="82"/>
      <c r="AS912" s="292"/>
      <c r="AT912" s="82"/>
      <c r="AU912" s="82"/>
      <c r="AV912" s="82"/>
    </row>
    <row r="913">
      <c r="A913" s="292"/>
      <c r="B913" s="132"/>
      <c r="C913" s="121"/>
      <c r="D913" s="82"/>
      <c r="E913" s="292"/>
      <c r="F913" s="132"/>
      <c r="G913" s="121"/>
      <c r="H913" s="82"/>
      <c r="I913" s="292"/>
      <c r="J913" s="132"/>
      <c r="K913" s="121"/>
      <c r="L913" s="82"/>
      <c r="M913" s="292"/>
      <c r="N913" s="132"/>
      <c r="O913" s="121"/>
      <c r="P913" s="82"/>
      <c r="Q913" s="292"/>
      <c r="R913" s="132"/>
      <c r="S913" s="121"/>
      <c r="T913" s="82"/>
      <c r="U913" s="292"/>
      <c r="V913" s="132"/>
      <c r="W913" s="121"/>
      <c r="X913" s="82"/>
      <c r="Y913" s="292"/>
      <c r="Z913" s="300"/>
      <c r="AA913" s="301"/>
      <c r="AB913" s="80"/>
      <c r="AC913" s="292"/>
      <c r="AD913" s="132"/>
      <c r="AE913" s="254"/>
      <c r="AF913" s="294"/>
      <c r="AG913" s="292"/>
      <c r="AH913" s="302"/>
      <c r="AI913" s="302"/>
      <c r="AJ913" s="302"/>
      <c r="AK913" s="292"/>
      <c r="AL913" s="82"/>
      <c r="AM913" s="82"/>
      <c r="AN913" s="82"/>
      <c r="AO913" s="292"/>
      <c r="AP913" s="82"/>
      <c r="AQ913" s="82"/>
      <c r="AR913" s="82"/>
      <c r="AS913" s="292"/>
      <c r="AT913" s="82"/>
      <c r="AU913" s="82"/>
      <c r="AV913" s="82"/>
    </row>
    <row r="914">
      <c r="A914" s="292"/>
      <c r="B914" s="132"/>
      <c r="C914" s="121"/>
      <c r="D914" s="82"/>
      <c r="E914" s="292"/>
      <c r="F914" s="132"/>
      <c r="G914" s="121"/>
      <c r="H914" s="82"/>
      <c r="I914" s="292"/>
      <c r="J914" s="132"/>
      <c r="K914" s="121"/>
      <c r="L914" s="82"/>
      <c r="M914" s="292"/>
      <c r="N914" s="132"/>
      <c r="O914" s="121"/>
      <c r="P914" s="82"/>
      <c r="Q914" s="292"/>
      <c r="R914" s="132"/>
      <c r="S914" s="121"/>
      <c r="T914" s="82"/>
      <c r="U914" s="292"/>
      <c r="V914" s="132"/>
      <c r="W914" s="121"/>
      <c r="X914" s="82"/>
      <c r="Y914" s="292"/>
      <c r="Z914" s="300"/>
      <c r="AA914" s="301"/>
      <c r="AB914" s="80"/>
      <c r="AC914" s="292"/>
      <c r="AD914" s="132"/>
      <c r="AE914" s="254"/>
      <c r="AF914" s="294"/>
      <c r="AG914" s="292"/>
      <c r="AH914" s="302"/>
      <c r="AI914" s="302"/>
      <c r="AJ914" s="302"/>
      <c r="AK914" s="292"/>
      <c r="AL914" s="82"/>
      <c r="AM914" s="82"/>
      <c r="AN914" s="82"/>
      <c r="AO914" s="292"/>
      <c r="AP914" s="82"/>
      <c r="AQ914" s="82"/>
      <c r="AR914" s="82"/>
      <c r="AS914" s="292"/>
      <c r="AT914" s="82"/>
      <c r="AU914" s="82"/>
      <c r="AV914" s="82"/>
    </row>
    <row r="915">
      <c r="A915" s="292"/>
      <c r="B915" s="132"/>
      <c r="C915" s="121"/>
      <c r="D915" s="82"/>
      <c r="E915" s="292"/>
      <c r="F915" s="132"/>
      <c r="G915" s="121"/>
      <c r="H915" s="82"/>
      <c r="I915" s="292"/>
      <c r="J915" s="132"/>
      <c r="K915" s="121"/>
      <c r="L915" s="82"/>
      <c r="M915" s="292"/>
      <c r="N915" s="132"/>
      <c r="O915" s="121"/>
      <c r="P915" s="82"/>
      <c r="Q915" s="292"/>
      <c r="R915" s="132"/>
      <c r="S915" s="121"/>
      <c r="T915" s="82"/>
      <c r="U915" s="292"/>
      <c r="V915" s="132"/>
      <c r="W915" s="121"/>
      <c r="X915" s="82"/>
      <c r="Y915" s="292"/>
      <c r="Z915" s="300"/>
      <c r="AA915" s="301"/>
      <c r="AB915" s="80"/>
      <c r="AC915" s="292"/>
      <c r="AD915" s="132"/>
      <c r="AE915" s="254"/>
      <c r="AF915" s="294"/>
      <c r="AG915" s="292"/>
      <c r="AH915" s="302"/>
      <c r="AI915" s="302"/>
      <c r="AJ915" s="302"/>
      <c r="AK915" s="292"/>
      <c r="AL915" s="82"/>
      <c r="AM915" s="82"/>
      <c r="AN915" s="82"/>
      <c r="AO915" s="292"/>
      <c r="AP915" s="82"/>
      <c r="AQ915" s="82"/>
      <c r="AR915" s="82"/>
      <c r="AS915" s="292"/>
      <c r="AT915" s="82"/>
      <c r="AU915" s="82"/>
      <c r="AV915" s="82"/>
    </row>
    <row r="916">
      <c r="A916" s="292"/>
      <c r="B916" s="132"/>
      <c r="C916" s="121"/>
      <c r="D916" s="82"/>
      <c r="E916" s="292"/>
      <c r="F916" s="132"/>
      <c r="G916" s="121"/>
      <c r="H916" s="82"/>
      <c r="I916" s="292"/>
      <c r="J916" s="132"/>
      <c r="K916" s="121"/>
      <c r="L916" s="82"/>
      <c r="M916" s="292"/>
      <c r="N916" s="132"/>
      <c r="O916" s="121"/>
      <c r="P916" s="82"/>
      <c r="Q916" s="292"/>
      <c r="R916" s="132"/>
      <c r="S916" s="121"/>
      <c r="T916" s="82"/>
      <c r="U916" s="292"/>
      <c r="V916" s="132"/>
      <c r="W916" s="121"/>
      <c r="X916" s="82"/>
      <c r="Y916" s="292"/>
      <c r="Z916" s="300"/>
      <c r="AA916" s="301"/>
      <c r="AB916" s="80"/>
      <c r="AC916" s="292"/>
      <c r="AD916" s="132"/>
      <c r="AE916" s="254"/>
      <c r="AF916" s="294"/>
      <c r="AG916" s="292"/>
      <c r="AH916" s="302"/>
      <c r="AI916" s="302"/>
      <c r="AJ916" s="302"/>
      <c r="AK916" s="292"/>
      <c r="AL916" s="82"/>
      <c r="AM916" s="82"/>
      <c r="AN916" s="82"/>
      <c r="AO916" s="292"/>
      <c r="AP916" s="82"/>
      <c r="AQ916" s="82"/>
      <c r="AR916" s="82"/>
      <c r="AS916" s="292"/>
      <c r="AT916" s="82"/>
      <c r="AU916" s="82"/>
      <c r="AV916" s="82"/>
    </row>
    <row r="917">
      <c r="A917" s="292"/>
      <c r="B917" s="132"/>
      <c r="C917" s="121"/>
      <c r="D917" s="82"/>
      <c r="E917" s="292"/>
      <c r="F917" s="132"/>
      <c r="G917" s="121"/>
      <c r="H917" s="82"/>
      <c r="I917" s="292"/>
      <c r="J917" s="132"/>
      <c r="K917" s="121"/>
      <c r="L917" s="82"/>
      <c r="M917" s="292"/>
      <c r="N917" s="132"/>
      <c r="O917" s="121"/>
      <c r="P917" s="82"/>
      <c r="Q917" s="292"/>
      <c r="R917" s="132"/>
      <c r="S917" s="121"/>
      <c r="T917" s="82"/>
      <c r="U917" s="292"/>
      <c r="V917" s="132"/>
      <c r="W917" s="121"/>
      <c r="X917" s="82"/>
      <c r="Y917" s="292"/>
      <c r="Z917" s="300"/>
      <c r="AA917" s="301"/>
      <c r="AB917" s="80"/>
      <c r="AC917" s="292"/>
      <c r="AD917" s="132"/>
      <c r="AE917" s="254"/>
      <c r="AF917" s="294"/>
      <c r="AG917" s="292"/>
      <c r="AH917" s="302"/>
      <c r="AI917" s="302"/>
      <c r="AJ917" s="302"/>
      <c r="AK917" s="292"/>
      <c r="AL917" s="82"/>
      <c r="AM917" s="82"/>
      <c r="AN917" s="82"/>
      <c r="AO917" s="292"/>
      <c r="AP917" s="82"/>
      <c r="AQ917" s="82"/>
      <c r="AR917" s="82"/>
      <c r="AS917" s="292"/>
      <c r="AT917" s="82"/>
      <c r="AU917" s="82"/>
      <c r="AV917" s="82"/>
    </row>
    <row r="918">
      <c r="A918" s="292"/>
      <c r="B918" s="132"/>
      <c r="C918" s="121"/>
      <c r="D918" s="82"/>
      <c r="E918" s="292"/>
      <c r="F918" s="132"/>
      <c r="G918" s="121"/>
      <c r="H918" s="82"/>
      <c r="I918" s="292"/>
      <c r="J918" s="132"/>
      <c r="K918" s="121"/>
      <c r="L918" s="82"/>
      <c r="M918" s="292"/>
      <c r="N918" s="132"/>
      <c r="O918" s="121"/>
      <c r="P918" s="82"/>
      <c r="Q918" s="292"/>
      <c r="R918" s="132"/>
      <c r="S918" s="121"/>
      <c r="T918" s="82"/>
      <c r="U918" s="292"/>
      <c r="V918" s="132"/>
      <c r="W918" s="121"/>
      <c r="X918" s="82"/>
      <c r="Y918" s="292"/>
      <c r="Z918" s="300"/>
      <c r="AA918" s="301"/>
      <c r="AB918" s="80"/>
      <c r="AC918" s="292"/>
      <c r="AD918" s="132"/>
      <c r="AE918" s="254"/>
      <c r="AF918" s="294"/>
      <c r="AG918" s="292"/>
      <c r="AH918" s="302"/>
      <c r="AI918" s="302"/>
      <c r="AJ918" s="302"/>
      <c r="AK918" s="292"/>
      <c r="AL918" s="82"/>
      <c r="AM918" s="82"/>
      <c r="AN918" s="82"/>
      <c r="AO918" s="292"/>
      <c r="AP918" s="82"/>
      <c r="AQ918" s="82"/>
      <c r="AR918" s="82"/>
      <c r="AS918" s="292"/>
      <c r="AT918" s="82"/>
      <c r="AU918" s="82"/>
      <c r="AV918" s="82"/>
    </row>
    <row r="919">
      <c r="A919" s="292"/>
      <c r="B919" s="132"/>
      <c r="C919" s="121"/>
      <c r="D919" s="82"/>
      <c r="E919" s="292"/>
      <c r="F919" s="132"/>
      <c r="G919" s="121"/>
      <c r="H919" s="82"/>
      <c r="I919" s="292"/>
      <c r="J919" s="132"/>
      <c r="K919" s="121"/>
      <c r="L919" s="82"/>
      <c r="M919" s="292"/>
      <c r="N919" s="132"/>
      <c r="O919" s="121"/>
      <c r="P919" s="82"/>
      <c r="Q919" s="292"/>
      <c r="R919" s="132"/>
      <c r="S919" s="121"/>
      <c r="T919" s="82"/>
      <c r="U919" s="292"/>
      <c r="V919" s="132"/>
      <c r="W919" s="121"/>
      <c r="X919" s="82"/>
      <c r="Y919" s="292"/>
      <c r="Z919" s="300"/>
      <c r="AA919" s="301"/>
      <c r="AB919" s="80"/>
      <c r="AC919" s="292"/>
      <c r="AD919" s="132"/>
      <c r="AE919" s="254"/>
      <c r="AF919" s="294"/>
      <c r="AG919" s="292"/>
      <c r="AH919" s="302"/>
      <c r="AI919" s="302"/>
      <c r="AJ919" s="302"/>
      <c r="AK919" s="292"/>
      <c r="AL919" s="82"/>
      <c r="AM919" s="82"/>
      <c r="AN919" s="82"/>
      <c r="AO919" s="292"/>
      <c r="AP919" s="82"/>
      <c r="AQ919" s="82"/>
      <c r="AR919" s="82"/>
      <c r="AS919" s="292"/>
      <c r="AT919" s="82"/>
      <c r="AU919" s="82"/>
      <c r="AV919" s="82"/>
    </row>
    <row r="920">
      <c r="A920" s="292"/>
      <c r="B920" s="132"/>
      <c r="C920" s="121"/>
      <c r="D920" s="82"/>
      <c r="E920" s="292"/>
      <c r="F920" s="132"/>
      <c r="G920" s="121"/>
      <c r="H920" s="82"/>
      <c r="I920" s="292"/>
      <c r="J920" s="132"/>
      <c r="K920" s="121"/>
      <c r="L920" s="82"/>
      <c r="M920" s="292"/>
      <c r="N920" s="132"/>
      <c r="O920" s="121"/>
      <c r="P920" s="82"/>
      <c r="Q920" s="292"/>
      <c r="R920" s="132"/>
      <c r="S920" s="121"/>
      <c r="T920" s="82"/>
      <c r="U920" s="292"/>
      <c r="V920" s="132"/>
      <c r="W920" s="121"/>
      <c r="X920" s="82"/>
      <c r="Y920" s="292"/>
      <c r="Z920" s="300"/>
      <c r="AA920" s="301"/>
      <c r="AB920" s="80"/>
      <c r="AC920" s="292"/>
      <c r="AD920" s="132"/>
      <c r="AE920" s="254"/>
      <c r="AF920" s="294"/>
      <c r="AG920" s="292"/>
      <c r="AH920" s="302"/>
      <c r="AI920" s="302"/>
      <c r="AJ920" s="302"/>
      <c r="AK920" s="292"/>
      <c r="AL920" s="82"/>
      <c r="AM920" s="82"/>
      <c r="AN920" s="82"/>
      <c r="AO920" s="292"/>
      <c r="AP920" s="82"/>
      <c r="AQ920" s="82"/>
      <c r="AR920" s="82"/>
      <c r="AS920" s="292"/>
      <c r="AT920" s="82"/>
      <c r="AU920" s="82"/>
      <c r="AV920" s="82"/>
    </row>
    <row r="921">
      <c r="A921" s="292"/>
      <c r="B921" s="132"/>
      <c r="C921" s="121"/>
      <c r="D921" s="82"/>
      <c r="E921" s="292"/>
      <c r="F921" s="132"/>
      <c r="G921" s="121"/>
      <c r="H921" s="82"/>
      <c r="I921" s="292"/>
      <c r="J921" s="132"/>
      <c r="K921" s="121"/>
      <c r="L921" s="82"/>
      <c r="M921" s="292"/>
      <c r="N921" s="132"/>
      <c r="O921" s="121"/>
      <c r="P921" s="82"/>
      <c r="Q921" s="292"/>
      <c r="R921" s="132"/>
      <c r="S921" s="121"/>
      <c r="T921" s="82"/>
      <c r="U921" s="292"/>
      <c r="V921" s="132"/>
      <c r="W921" s="121"/>
      <c r="X921" s="82"/>
      <c r="Y921" s="292"/>
      <c r="Z921" s="300"/>
      <c r="AA921" s="301"/>
      <c r="AB921" s="80"/>
      <c r="AC921" s="292"/>
      <c r="AD921" s="132"/>
      <c r="AE921" s="254"/>
      <c r="AF921" s="294"/>
      <c r="AG921" s="292"/>
      <c r="AH921" s="302"/>
      <c r="AI921" s="302"/>
      <c r="AJ921" s="302"/>
      <c r="AK921" s="292"/>
      <c r="AL921" s="82"/>
      <c r="AM921" s="82"/>
      <c r="AN921" s="82"/>
      <c r="AO921" s="292"/>
      <c r="AP921" s="82"/>
      <c r="AQ921" s="82"/>
      <c r="AR921" s="82"/>
      <c r="AS921" s="292"/>
      <c r="AT921" s="82"/>
      <c r="AU921" s="82"/>
      <c r="AV921" s="82"/>
    </row>
    <row r="922">
      <c r="A922" s="292"/>
      <c r="B922" s="132"/>
      <c r="C922" s="121"/>
      <c r="D922" s="82"/>
      <c r="E922" s="292"/>
      <c r="F922" s="132"/>
      <c r="G922" s="121"/>
      <c r="H922" s="82"/>
      <c r="I922" s="292"/>
      <c r="J922" s="132"/>
      <c r="K922" s="121"/>
      <c r="L922" s="82"/>
      <c r="M922" s="292"/>
      <c r="N922" s="132"/>
      <c r="O922" s="121"/>
      <c r="P922" s="82"/>
      <c r="Q922" s="292"/>
      <c r="R922" s="132"/>
      <c r="S922" s="121"/>
      <c r="T922" s="82"/>
      <c r="U922" s="292"/>
      <c r="V922" s="132"/>
      <c r="W922" s="121"/>
      <c r="X922" s="82"/>
      <c r="Y922" s="292"/>
      <c r="Z922" s="300"/>
      <c r="AA922" s="301"/>
      <c r="AB922" s="80"/>
      <c r="AC922" s="292"/>
      <c r="AD922" s="132"/>
      <c r="AE922" s="254"/>
      <c r="AF922" s="294"/>
      <c r="AG922" s="292"/>
      <c r="AH922" s="302"/>
      <c r="AI922" s="302"/>
      <c r="AJ922" s="302"/>
      <c r="AK922" s="292"/>
      <c r="AL922" s="82"/>
      <c r="AM922" s="82"/>
      <c r="AN922" s="82"/>
      <c r="AO922" s="292"/>
      <c r="AP922" s="82"/>
      <c r="AQ922" s="82"/>
      <c r="AR922" s="82"/>
      <c r="AS922" s="292"/>
      <c r="AT922" s="82"/>
      <c r="AU922" s="82"/>
      <c r="AV922" s="82"/>
    </row>
    <row r="923">
      <c r="A923" s="292"/>
      <c r="B923" s="132"/>
      <c r="C923" s="121"/>
      <c r="D923" s="82"/>
      <c r="E923" s="292"/>
      <c r="F923" s="132"/>
      <c r="G923" s="121"/>
      <c r="H923" s="82"/>
      <c r="I923" s="292"/>
      <c r="J923" s="132"/>
      <c r="K923" s="121"/>
      <c r="L923" s="82"/>
      <c r="M923" s="292"/>
      <c r="N923" s="132"/>
      <c r="O923" s="121"/>
      <c r="P923" s="82"/>
      <c r="Q923" s="292"/>
      <c r="R923" s="132"/>
      <c r="S923" s="121"/>
      <c r="T923" s="82"/>
      <c r="U923" s="292"/>
      <c r="V923" s="132"/>
      <c r="W923" s="121"/>
      <c r="X923" s="82"/>
      <c r="Y923" s="292"/>
      <c r="Z923" s="300"/>
      <c r="AA923" s="301"/>
      <c r="AB923" s="80"/>
      <c r="AC923" s="292"/>
      <c r="AD923" s="132"/>
      <c r="AE923" s="254"/>
      <c r="AF923" s="294"/>
      <c r="AG923" s="292"/>
      <c r="AH923" s="302"/>
      <c r="AI923" s="302"/>
      <c r="AJ923" s="302"/>
      <c r="AK923" s="292"/>
      <c r="AL923" s="82"/>
      <c r="AM923" s="82"/>
      <c r="AN923" s="82"/>
      <c r="AO923" s="292"/>
      <c r="AP923" s="82"/>
      <c r="AQ923" s="82"/>
      <c r="AR923" s="82"/>
      <c r="AS923" s="292"/>
      <c r="AT923" s="82"/>
      <c r="AU923" s="82"/>
      <c r="AV923" s="82"/>
    </row>
    <row r="924">
      <c r="A924" s="292"/>
      <c r="B924" s="132"/>
      <c r="C924" s="121"/>
      <c r="D924" s="82"/>
      <c r="E924" s="292"/>
      <c r="F924" s="132"/>
      <c r="G924" s="121"/>
      <c r="H924" s="82"/>
      <c r="I924" s="292"/>
      <c r="J924" s="132"/>
      <c r="K924" s="121"/>
      <c r="L924" s="82"/>
      <c r="M924" s="292"/>
      <c r="N924" s="132"/>
      <c r="O924" s="121"/>
      <c r="P924" s="82"/>
      <c r="Q924" s="292"/>
      <c r="R924" s="132"/>
      <c r="S924" s="121"/>
      <c r="T924" s="82"/>
      <c r="U924" s="292"/>
      <c r="V924" s="132"/>
      <c r="W924" s="121"/>
      <c r="X924" s="82"/>
      <c r="Y924" s="292"/>
      <c r="Z924" s="300"/>
      <c r="AA924" s="301"/>
      <c r="AB924" s="80"/>
      <c r="AC924" s="292"/>
      <c r="AD924" s="132"/>
      <c r="AE924" s="254"/>
      <c r="AF924" s="294"/>
      <c r="AG924" s="292"/>
      <c r="AH924" s="302"/>
      <c r="AI924" s="302"/>
      <c r="AJ924" s="302"/>
      <c r="AK924" s="292"/>
      <c r="AL924" s="82"/>
      <c r="AM924" s="82"/>
      <c r="AN924" s="82"/>
      <c r="AO924" s="292"/>
      <c r="AP924" s="82"/>
      <c r="AQ924" s="82"/>
      <c r="AR924" s="82"/>
      <c r="AS924" s="292"/>
      <c r="AT924" s="82"/>
      <c r="AU924" s="82"/>
      <c r="AV924" s="82"/>
    </row>
    <row r="925">
      <c r="A925" s="292"/>
      <c r="B925" s="132"/>
      <c r="C925" s="121"/>
      <c r="D925" s="82"/>
      <c r="E925" s="292"/>
      <c r="F925" s="132"/>
      <c r="G925" s="121"/>
      <c r="H925" s="82"/>
      <c r="I925" s="292"/>
      <c r="J925" s="132"/>
      <c r="K925" s="121"/>
      <c r="L925" s="82"/>
      <c r="M925" s="292"/>
      <c r="N925" s="132"/>
      <c r="O925" s="121"/>
      <c r="P925" s="82"/>
      <c r="Q925" s="292"/>
      <c r="R925" s="132"/>
      <c r="S925" s="121"/>
      <c r="T925" s="82"/>
      <c r="U925" s="292"/>
      <c r="V925" s="132"/>
      <c r="W925" s="121"/>
      <c r="X925" s="82"/>
      <c r="Y925" s="292"/>
      <c r="Z925" s="300"/>
      <c r="AA925" s="301"/>
      <c r="AB925" s="80"/>
      <c r="AC925" s="292"/>
      <c r="AD925" s="132"/>
      <c r="AE925" s="254"/>
      <c r="AF925" s="294"/>
      <c r="AG925" s="292"/>
      <c r="AH925" s="302"/>
      <c r="AI925" s="302"/>
      <c r="AJ925" s="302"/>
      <c r="AK925" s="292"/>
      <c r="AL925" s="82"/>
      <c r="AM925" s="82"/>
      <c r="AN925" s="82"/>
      <c r="AO925" s="292"/>
      <c r="AP925" s="82"/>
      <c r="AQ925" s="82"/>
      <c r="AR925" s="82"/>
      <c r="AS925" s="292"/>
      <c r="AT925" s="82"/>
      <c r="AU925" s="82"/>
      <c r="AV925" s="82"/>
    </row>
    <row r="926">
      <c r="A926" s="292"/>
      <c r="B926" s="132"/>
      <c r="C926" s="121"/>
      <c r="D926" s="82"/>
      <c r="E926" s="292"/>
      <c r="F926" s="132"/>
      <c r="G926" s="121"/>
      <c r="H926" s="82"/>
      <c r="I926" s="292"/>
      <c r="J926" s="132"/>
      <c r="K926" s="121"/>
      <c r="L926" s="82"/>
      <c r="M926" s="292"/>
      <c r="N926" s="132"/>
      <c r="O926" s="121"/>
      <c r="P926" s="82"/>
      <c r="Q926" s="292"/>
      <c r="R926" s="132"/>
      <c r="S926" s="121"/>
      <c r="T926" s="82"/>
      <c r="U926" s="292"/>
      <c r="V926" s="132"/>
      <c r="W926" s="121"/>
      <c r="X926" s="82"/>
      <c r="Y926" s="292"/>
      <c r="Z926" s="300"/>
      <c r="AA926" s="301"/>
      <c r="AB926" s="80"/>
      <c r="AC926" s="292"/>
      <c r="AD926" s="132"/>
      <c r="AE926" s="254"/>
      <c r="AF926" s="294"/>
      <c r="AG926" s="292"/>
      <c r="AH926" s="302"/>
      <c r="AI926" s="302"/>
      <c r="AJ926" s="302"/>
      <c r="AK926" s="292"/>
      <c r="AL926" s="82"/>
      <c r="AM926" s="82"/>
      <c r="AN926" s="82"/>
      <c r="AO926" s="292"/>
      <c r="AP926" s="82"/>
      <c r="AQ926" s="82"/>
      <c r="AR926" s="82"/>
      <c r="AS926" s="292"/>
      <c r="AT926" s="82"/>
      <c r="AU926" s="82"/>
      <c r="AV926" s="82"/>
    </row>
    <row r="927">
      <c r="A927" s="292"/>
      <c r="B927" s="132"/>
      <c r="C927" s="121"/>
      <c r="D927" s="82"/>
      <c r="E927" s="292"/>
      <c r="F927" s="132"/>
      <c r="G927" s="121"/>
      <c r="H927" s="82"/>
      <c r="I927" s="292"/>
      <c r="J927" s="132"/>
      <c r="K927" s="121"/>
      <c r="L927" s="82"/>
      <c r="M927" s="292"/>
      <c r="N927" s="132"/>
      <c r="O927" s="121"/>
      <c r="P927" s="82"/>
      <c r="Q927" s="292"/>
      <c r="R927" s="132"/>
      <c r="S927" s="121"/>
      <c r="T927" s="82"/>
      <c r="U927" s="292"/>
      <c r="V927" s="132"/>
      <c r="W927" s="121"/>
      <c r="X927" s="82"/>
      <c r="Y927" s="292"/>
      <c r="Z927" s="300"/>
      <c r="AA927" s="301"/>
      <c r="AB927" s="80"/>
      <c r="AC927" s="292"/>
      <c r="AD927" s="132"/>
      <c r="AE927" s="254"/>
      <c r="AF927" s="294"/>
      <c r="AG927" s="292"/>
      <c r="AH927" s="302"/>
      <c r="AI927" s="302"/>
      <c r="AJ927" s="302"/>
      <c r="AK927" s="292"/>
      <c r="AL927" s="82"/>
      <c r="AM927" s="82"/>
      <c r="AN927" s="82"/>
      <c r="AO927" s="292"/>
      <c r="AP927" s="82"/>
      <c r="AQ927" s="82"/>
      <c r="AR927" s="82"/>
      <c r="AS927" s="292"/>
      <c r="AT927" s="82"/>
      <c r="AU927" s="82"/>
      <c r="AV927" s="82"/>
    </row>
    <row r="928">
      <c r="A928" s="292"/>
      <c r="B928" s="132"/>
      <c r="C928" s="121"/>
      <c r="D928" s="82"/>
      <c r="E928" s="292"/>
      <c r="F928" s="132"/>
      <c r="G928" s="121"/>
      <c r="H928" s="82"/>
      <c r="I928" s="292"/>
      <c r="J928" s="132"/>
      <c r="K928" s="121"/>
      <c r="L928" s="82"/>
      <c r="M928" s="292"/>
      <c r="N928" s="132"/>
      <c r="O928" s="121"/>
      <c r="P928" s="82"/>
      <c r="Q928" s="292"/>
      <c r="R928" s="132"/>
      <c r="S928" s="121"/>
      <c r="T928" s="82"/>
      <c r="U928" s="292"/>
      <c r="V928" s="132"/>
      <c r="W928" s="121"/>
      <c r="X928" s="82"/>
      <c r="Y928" s="292"/>
      <c r="Z928" s="300"/>
      <c r="AA928" s="301"/>
      <c r="AB928" s="80"/>
      <c r="AC928" s="292"/>
      <c r="AD928" s="132"/>
      <c r="AE928" s="254"/>
      <c r="AF928" s="294"/>
      <c r="AG928" s="292"/>
      <c r="AH928" s="302"/>
      <c r="AI928" s="302"/>
      <c r="AJ928" s="302"/>
      <c r="AK928" s="292"/>
      <c r="AL928" s="82"/>
      <c r="AM928" s="82"/>
      <c r="AN928" s="82"/>
      <c r="AO928" s="292"/>
      <c r="AP928" s="82"/>
      <c r="AQ928" s="82"/>
      <c r="AR928" s="82"/>
      <c r="AS928" s="292"/>
      <c r="AT928" s="82"/>
      <c r="AU928" s="82"/>
      <c r="AV928" s="82"/>
    </row>
    <row r="929">
      <c r="A929" s="292"/>
      <c r="B929" s="132"/>
      <c r="C929" s="121"/>
      <c r="D929" s="82"/>
      <c r="E929" s="292"/>
      <c r="F929" s="132"/>
      <c r="G929" s="121"/>
      <c r="H929" s="82"/>
      <c r="I929" s="292"/>
      <c r="J929" s="132"/>
      <c r="K929" s="121"/>
      <c r="L929" s="82"/>
      <c r="M929" s="292"/>
      <c r="N929" s="132"/>
      <c r="O929" s="121"/>
      <c r="P929" s="82"/>
      <c r="Q929" s="292"/>
      <c r="R929" s="132"/>
      <c r="S929" s="121"/>
      <c r="T929" s="82"/>
      <c r="U929" s="292"/>
      <c r="V929" s="132"/>
      <c r="W929" s="121"/>
      <c r="X929" s="82"/>
      <c r="Y929" s="292"/>
      <c r="Z929" s="300"/>
      <c r="AA929" s="301"/>
      <c r="AB929" s="80"/>
      <c r="AC929" s="292"/>
      <c r="AD929" s="132"/>
      <c r="AE929" s="254"/>
      <c r="AF929" s="294"/>
      <c r="AG929" s="292"/>
      <c r="AH929" s="302"/>
      <c r="AI929" s="302"/>
      <c r="AJ929" s="302"/>
      <c r="AK929" s="292"/>
      <c r="AL929" s="82"/>
      <c r="AM929" s="82"/>
      <c r="AN929" s="82"/>
      <c r="AO929" s="292"/>
      <c r="AP929" s="82"/>
      <c r="AQ929" s="82"/>
      <c r="AR929" s="82"/>
      <c r="AS929" s="292"/>
      <c r="AT929" s="82"/>
      <c r="AU929" s="82"/>
      <c r="AV929" s="82"/>
    </row>
    <row r="930">
      <c r="A930" s="292"/>
      <c r="B930" s="132"/>
      <c r="C930" s="121"/>
      <c r="D930" s="82"/>
      <c r="E930" s="292"/>
      <c r="F930" s="132"/>
      <c r="G930" s="121"/>
      <c r="H930" s="82"/>
      <c r="I930" s="292"/>
      <c r="J930" s="132"/>
      <c r="K930" s="121"/>
      <c r="L930" s="82"/>
      <c r="M930" s="292"/>
      <c r="N930" s="132"/>
      <c r="O930" s="121"/>
      <c r="P930" s="82"/>
      <c r="Q930" s="292"/>
      <c r="R930" s="132"/>
      <c r="S930" s="121"/>
      <c r="T930" s="82"/>
      <c r="U930" s="292"/>
      <c r="V930" s="132"/>
      <c r="W930" s="121"/>
      <c r="X930" s="82"/>
      <c r="Y930" s="292"/>
      <c r="Z930" s="300"/>
      <c r="AA930" s="301"/>
      <c r="AB930" s="80"/>
      <c r="AC930" s="292"/>
      <c r="AD930" s="132"/>
      <c r="AE930" s="254"/>
      <c r="AF930" s="294"/>
      <c r="AG930" s="292"/>
      <c r="AH930" s="302"/>
      <c r="AI930" s="302"/>
      <c r="AJ930" s="302"/>
      <c r="AK930" s="292"/>
      <c r="AL930" s="82"/>
      <c r="AM930" s="82"/>
      <c r="AN930" s="82"/>
      <c r="AO930" s="292"/>
      <c r="AP930" s="82"/>
      <c r="AQ930" s="82"/>
      <c r="AR930" s="82"/>
      <c r="AS930" s="292"/>
      <c r="AT930" s="82"/>
      <c r="AU930" s="82"/>
      <c r="AV930" s="82"/>
    </row>
    <row r="931">
      <c r="A931" s="292"/>
      <c r="B931" s="132"/>
      <c r="C931" s="121"/>
      <c r="D931" s="82"/>
      <c r="E931" s="292"/>
      <c r="F931" s="132"/>
      <c r="G931" s="121"/>
      <c r="H931" s="82"/>
      <c r="I931" s="292"/>
      <c r="J931" s="132"/>
      <c r="K931" s="121"/>
      <c r="L931" s="82"/>
      <c r="M931" s="292"/>
      <c r="N931" s="132"/>
      <c r="O931" s="121"/>
      <c r="P931" s="82"/>
      <c r="Q931" s="292"/>
      <c r="R931" s="132"/>
      <c r="S931" s="121"/>
      <c r="T931" s="82"/>
      <c r="U931" s="292"/>
      <c r="V931" s="132"/>
      <c r="W931" s="121"/>
      <c r="X931" s="82"/>
      <c r="Y931" s="292"/>
      <c r="Z931" s="300"/>
      <c r="AA931" s="301"/>
      <c r="AB931" s="80"/>
      <c r="AC931" s="292"/>
      <c r="AD931" s="132"/>
      <c r="AE931" s="254"/>
      <c r="AF931" s="294"/>
      <c r="AG931" s="292"/>
      <c r="AH931" s="302"/>
      <c r="AI931" s="302"/>
      <c r="AJ931" s="302"/>
      <c r="AK931" s="292"/>
      <c r="AL931" s="82"/>
      <c r="AM931" s="82"/>
      <c r="AN931" s="82"/>
      <c r="AO931" s="292"/>
      <c r="AP931" s="82"/>
      <c r="AQ931" s="82"/>
      <c r="AR931" s="82"/>
      <c r="AS931" s="292"/>
      <c r="AT931" s="82"/>
      <c r="AU931" s="82"/>
      <c r="AV931" s="82"/>
    </row>
    <row r="932">
      <c r="A932" s="292"/>
      <c r="B932" s="132"/>
      <c r="C932" s="121"/>
      <c r="D932" s="82"/>
      <c r="E932" s="292"/>
      <c r="F932" s="132"/>
      <c r="G932" s="121"/>
      <c r="H932" s="82"/>
      <c r="I932" s="292"/>
      <c r="J932" s="132"/>
      <c r="K932" s="121"/>
      <c r="L932" s="82"/>
      <c r="M932" s="292"/>
      <c r="N932" s="132"/>
      <c r="O932" s="121"/>
      <c r="P932" s="82"/>
      <c r="Q932" s="292"/>
      <c r="R932" s="132"/>
      <c r="S932" s="121"/>
      <c r="T932" s="82"/>
      <c r="U932" s="292"/>
      <c r="V932" s="132"/>
      <c r="W932" s="121"/>
      <c r="X932" s="82"/>
      <c r="Y932" s="292"/>
      <c r="Z932" s="300"/>
      <c r="AA932" s="301"/>
      <c r="AB932" s="80"/>
      <c r="AC932" s="292"/>
      <c r="AD932" s="132"/>
      <c r="AE932" s="254"/>
      <c r="AF932" s="294"/>
      <c r="AG932" s="292"/>
      <c r="AH932" s="302"/>
      <c r="AI932" s="302"/>
      <c r="AJ932" s="302"/>
      <c r="AK932" s="292"/>
      <c r="AL932" s="82"/>
      <c r="AM932" s="82"/>
      <c r="AN932" s="82"/>
      <c r="AO932" s="292"/>
      <c r="AP932" s="82"/>
      <c r="AQ932" s="82"/>
      <c r="AR932" s="82"/>
      <c r="AS932" s="292"/>
      <c r="AT932" s="82"/>
      <c r="AU932" s="82"/>
      <c r="AV932" s="82"/>
    </row>
    <row r="933">
      <c r="A933" s="292"/>
      <c r="B933" s="132"/>
      <c r="C933" s="121"/>
      <c r="D933" s="82"/>
      <c r="E933" s="292"/>
      <c r="F933" s="132"/>
      <c r="G933" s="121"/>
      <c r="H933" s="82"/>
      <c r="I933" s="292"/>
      <c r="J933" s="132"/>
      <c r="K933" s="121"/>
      <c r="L933" s="82"/>
      <c r="M933" s="292"/>
      <c r="N933" s="132"/>
      <c r="O933" s="121"/>
      <c r="P933" s="82"/>
      <c r="Q933" s="292"/>
      <c r="R933" s="132"/>
      <c r="S933" s="121"/>
      <c r="T933" s="82"/>
      <c r="U933" s="292"/>
      <c r="V933" s="132"/>
      <c r="W933" s="121"/>
      <c r="X933" s="82"/>
      <c r="Y933" s="292"/>
      <c r="Z933" s="300"/>
      <c r="AA933" s="301"/>
      <c r="AB933" s="80"/>
      <c r="AC933" s="292"/>
      <c r="AD933" s="132"/>
      <c r="AE933" s="254"/>
      <c r="AF933" s="294"/>
      <c r="AG933" s="292"/>
      <c r="AH933" s="302"/>
      <c r="AI933" s="302"/>
      <c r="AJ933" s="302"/>
      <c r="AK933" s="292"/>
      <c r="AL933" s="82"/>
      <c r="AM933" s="82"/>
      <c r="AN933" s="82"/>
      <c r="AO933" s="292"/>
      <c r="AP933" s="82"/>
      <c r="AQ933" s="82"/>
      <c r="AR933" s="82"/>
      <c r="AS933" s="292"/>
      <c r="AT933" s="82"/>
      <c r="AU933" s="82"/>
      <c r="AV933" s="82"/>
    </row>
    <row r="934">
      <c r="A934" s="292"/>
      <c r="B934" s="132"/>
      <c r="C934" s="121"/>
      <c r="D934" s="82"/>
      <c r="E934" s="292"/>
      <c r="F934" s="132"/>
      <c r="G934" s="121"/>
      <c r="H934" s="82"/>
      <c r="I934" s="292"/>
      <c r="J934" s="132"/>
      <c r="K934" s="121"/>
      <c r="L934" s="82"/>
      <c r="M934" s="292"/>
      <c r="N934" s="132"/>
      <c r="O934" s="121"/>
      <c r="P934" s="82"/>
      <c r="Q934" s="292"/>
      <c r="R934" s="132"/>
      <c r="S934" s="121"/>
      <c r="T934" s="82"/>
      <c r="U934" s="292"/>
      <c r="V934" s="132"/>
      <c r="W934" s="121"/>
      <c r="X934" s="82"/>
      <c r="Y934" s="292"/>
      <c r="Z934" s="300"/>
      <c r="AA934" s="301"/>
      <c r="AB934" s="80"/>
      <c r="AC934" s="292"/>
      <c r="AD934" s="132"/>
      <c r="AE934" s="254"/>
      <c r="AF934" s="294"/>
      <c r="AG934" s="292"/>
      <c r="AH934" s="302"/>
      <c r="AI934" s="302"/>
      <c r="AJ934" s="302"/>
      <c r="AK934" s="292"/>
      <c r="AL934" s="82"/>
      <c r="AM934" s="82"/>
      <c r="AN934" s="82"/>
      <c r="AO934" s="292"/>
      <c r="AP934" s="82"/>
      <c r="AQ934" s="82"/>
      <c r="AR934" s="82"/>
      <c r="AS934" s="292"/>
      <c r="AT934" s="82"/>
      <c r="AU934" s="82"/>
      <c r="AV934" s="82"/>
    </row>
    <row r="935">
      <c r="A935" s="292"/>
      <c r="B935" s="132"/>
      <c r="C935" s="121"/>
      <c r="D935" s="82"/>
      <c r="E935" s="292"/>
      <c r="F935" s="132"/>
      <c r="G935" s="121"/>
      <c r="H935" s="82"/>
      <c r="I935" s="292"/>
      <c r="J935" s="132"/>
      <c r="K935" s="121"/>
      <c r="L935" s="82"/>
      <c r="M935" s="292"/>
      <c r="N935" s="132"/>
      <c r="O935" s="121"/>
      <c r="P935" s="82"/>
      <c r="Q935" s="292"/>
      <c r="R935" s="132"/>
      <c r="S935" s="121"/>
      <c r="T935" s="82"/>
      <c r="U935" s="292"/>
      <c r="V935" s="132"/>
      <c r="W935" s="121"/>
      <c r="X935" s="82"/>
      <c r="Y935" s="292"/>
      <c r="Z935" s="300"/>
      <c r="AA935" s="301"/>
      <c r="AB935" s="80"/>
      <c r="AC935" s="292"/>
      <c r="AD935" s="132"/>
      <c r="AE935" s="254"/>
      <c r="AF935" s="294"/>
      <c r="AG935" s="292"/>
      <c r="AH935" s="302"/>
      <c r="AI935" s="302"/>
      <c r="AJ935" s="302"/>
      <c r="AK935" s="292"/>
      <c r="AL935" s="82"/>
      <c r="AM935" s="82"/>
      <c r="AN935" s="82"/>
      <c r="AO935" s="292"/>
      <c r="AP935" s="82"/>
      <c r="AQ935" s="82"/>
      <c r="AR935" s="82"/>
      <c r="AS935" s="292"/>
      <c r="AT935" s="82"/>
      <c r="AU935" s="82"/>
      <c r="AV935" s="82"/>
    </row>
    <row r="936">
      <c r="A936" s="292"/>
      <c r="B936" s="132"/>
      <c r="C936" s="121"/>
      <c r="D936" s="82"/>
      <c r="E936" s="292"/>
      <c r="F936" s="132"/>
      <c r="G936" s="121"/>
      <c r="H936" s="82"/>
      <c r="I936" s="292"/>
      <c r="J936" s="132"/>
      <c r="K936" s="121"/>
      <c r="L936" s="82"/>
      <c r="M936" s="292"/>
      <c r="N936" s="132"/>
      <c r="O936" s="121"/>
      <c r="P936" s="82"/>
      <c r="Q936" s="292"/>
      <c r="R936" s="132"/>
      <c r="S936" s="121"/>
      <c r="T936" s="82"/>
      <c r="U936" s="292"/>
      <c r="V936" s="132"/>
      <c r="W936" s="121"/>
      <c r="X936" s="82"/>
      <c r="Y936" s="292"/>
      <c r="Z936" s="300"/>
      <c r="AA936" s="301"/>
      <c r="AB936" s="80"/>
      <c r="AC936" s="292"/>
      <c r="AD936" s="132"/>
      <c r="AE936" s="254"/>
      <c r="AF936" s="294"/>
      <c r="AG936" s="292"/>
      <c r="AH936" s="302"/>
      <c r="AI936" s="302"/>
      <c r="AJ936" s="302"/>
      <c r="AK936" s="292"/>
      <c r="AL936" s="82"/>
      <c r="AM936" s="82"/>
      <c r="AN936" s="82"/>
      <c r="AO936" s="292"/>
      <c r="AP936" s="82"/>
      <c r="AQ936" s="82"/>
      <c r="AR936" s="82"/>
      <c r="AS936" s="292"/>
      <c r="AT936" s="82"/>
      <c r="AU936" s="82"/>
      <c r="AV936" s="82"/>
    </row>
    <row r="937">
      <c r="A937" s="292"/>
      <c r="B937" s="132"/>
      <c r="C937" s="121"/>
      <c r="D937" s="82"/>
      <c r="E937" s="292"/>
      <c r="F937" s="132"/>
      <c r="G937" s="121"/>
      <c r="H937" s="82"/>
      <c r="I937" s="292"/>
      <c r="J937" s="132"/>
      <c r="K937" s="121"/>
      <c r="L937" s="82"/>
      <c r="M937" s="292"/>
      <c r="N937" s="132"/>
      <c r="O937" s="121"/>
      <c r="P937" s="82"/>
      <c r="Q937" s="292"/>
      <c r="R937" s="132"/>
      <c r="S937" s="121"/>
      <c r="T937" s="82"/>
      <c r="U937" s="292"/>
      <c r="V937" s="132"/>
      <c r="W937" s="121"/>
      <c r="X937" s="82"/>
      <c r="Y937" s="292"/>
      <c r="Z937" s="300"/>
      <c r="AA937" s="301"/>
      <c r="AB937" s="80"/>
      <c r="AC937" s="292"/>
      <c r="AD937" s="132"/>
      <c r="AE937" s="254"/>
      <c r="AF937" s="294"/>
      <c r="AG937" s="292"/>
      <c r="AH937" s="302"/>
      <c r="AI937" s="302"/>
      <c r="AJ937" s="302"/>
      <c r="AK937" s="292"/>
      <c r="AL937" s="82"/>
      <c r="AM937" s="82"/>
      <c r="AN937" s="82"/>
      <c r="AO937" s="292"/>
      <c r="AP937" s="82"/>
      <c r="AQ937" s="82"/>
      <c r="AR937" s="82"/>
      <c r="AS937" s="292"/>
      <c r="AT937" s="82"/>
      <c r="AU937" s="82"/>
      <c r="AV937" s="82"/>
    </row>
    <row r="938">
      <c r="A938" s="292"/>
      <c r="B938" s="132"/>
      <c r="C938" s="121"/>
      <c r="D938" s="82"/>
      <c r="E938" s="292"/>
      <c r="F938" s="132"/>
      <c r="G938" s="121"/>
      <c r="H938" s="82"/>
      <c r="I938" s="292"/>
      <c r="J938" s="132"/>
      <c r="K938" s="121"/>
      <c r="L938" s="82"/>
      <c r="M938" s="292"/>
      <c r="N938" s="132"/>
      <c r="O938" s="121"/>
      <c r="P938" s="82"/>
      <c r="Q938" s="292"/>
      <c r="R938" s="132"/>
      <c r="S938" s="121"/>
      <c r="T938" s="82"/>
      <c r="U938" s="292"/>
      <c r="V938" s="132"/>
      <c r="W938" s="121"/>
      <c r="X938" s="82"/>
      <c r="Y938" s="292"/>
      <c r="Z938" s="300"/>
      <c r="AA938" s="301"/>
      <c r="AB938" s="80"/>
      <c r="AC938" s="292"/>
      <c r="AD938" s="132"/>
      <c r="AE938" s="254"/>
      <c r="AF938" s="294"/>
      <c r="AG938" s="292"/>
      <c r="AH938" s="302"/>
      <c r="AI938" s="302"/>
      <c r="AJ938" s="302"/>
      <c r="AK938" s="292"/>
      <c r="AL938" s="82"/>
      <c r="AM938" s="82"/>
      <c r="AN938" s="82"/>
      <c r="AO938" s="292"/>
      <c r="AP938" s="82"/>
      <c r="AQ938" s="82"/>
      <c r="AR938" s="82"/>
      <c r="AS938" s="292"/>
      <c r="AT938" s="82"/>
      <c r="AU938" s="82"/>
      <c r="AV938" s="82"/>
    </row>
    <row r="939">
      <c r="A939" s="292"/>
      <c r="B939" s="132"/>
      <c r="C939" s="121"/>
      <c r="D939" s="82"/>
      <c r="E939" s="292"/>
      <c r="F939" s="132"/>
      <c r="G939" s="121"/>
      <c r="H939" s="82"/>
      <c r="I939" s="292"/>
      <c r="J939" s="132"/>
      <c r="K939" s="121"/>
      <c r="L939" s="82"/>
      <c r="M939" s="292"/>
      <c r="N939" s="132"/>
      <c r="O939" s="121"/>
      <c r="P939" s="82"/>
      <c r="Q939" s="292"/>
      <c r="R939" s="132"/>
      <c r="S939" s="121"/>
      <c r="T939" s="82"/>
      <c r="U939" s="292"/>
      <c r="V939" s="132"/>
      <c r="W939" s="121"/>
      <c r="X939" s="82"/>
      <c r="Y939" s="292"/>
      <c r="Z939" s="300"/>
      <c r="AA939" s="301"/>
      <c r="AB939" s="80"/>
      <c r="AC939" s="292"/>
      <c r="AD939" s="132"/>
      <c r="AE939" s="254"/>
      <c r="AF939" s="294"/>
      <c r="AG939" s="292"/>
      <c r="AH939" s="302"/>
      <c r="AI939" s="302"/>
      <c r="AJ939" s="302"/>
      <c r="AK939" s="292"/>
      <c r="AL939" s="82"/>
      <c r="AM939" s="82"/>
      <c r="AN939" s="82"/>
      <c r="AO939" s="292"/>
      <c r="AP939" s="82"/>
      <c r="AQ939" s="82"/>
      <c r="AR939" s="82"/>
      <c r="AS939" s="292"/>
      <c r="AT939" s="82"/>
      <c r="AU939" s="82"/>
      <c r="AV939" s="82"/>
    </row>
    <row r="940">
      <c r="A940" s="292"/>
      <c r="B940" s="132"/>
      <c r="C940" s="121"/>
      <c r="D940" s="82"/>
      <c r="E940" s="292"/>
      <c r="F940" s="132"/>
      <c r="G940" s="121"/>
      <c r="H940" s="82"/>
      <c r="I940" s="292"/>
      <c r="J940" s="132"/>
      <c r="K940" s="121"/>
      <c r="L940" s="82"/>
      <c r="M940" s="292"/>
      <c r="N940" s="132"/>
      <c r="O940" s="121"/>
      <c r="P940" s="82"/>
      <c r="Q940" s="292"/>
      <c r="R940" s="132"/>
      <c r="S940" s="121"/>
      <c r="T940" s="82"/>
      <c r="U940" s="292"/>
      <c r="V940" s="132"/>
      <c r="W940" s="121"/>
      <c r="X940" s="82"/>
      <c r="Y940" s="292"/>
      <c r="Z940" s="300"/>
      <c r="AA940" s="301"/>
      <c r="AB940" s="80"/>
      <c r="AC940" s="292"/>
      <c r="AD940" s="132"/>
      <c r="AE940" s="254"/>
      <c r="AF940" s="294"/>
      <c r="AG940" s="292"/>
      <c r="AH940" s="302"/>
      <c r="AI940" s="302"/>
      <c r="AJ940" s="302"/>
      <c r="AK940" s="292"/>
      <c r="AL940" s="82"/>
      <c r="AM940" s="82"/>
      <c r="AN940" s="82"/>
      <c r="AO940" s="292"/>
      <c r="AP940" s="82"/>
      <c r="AQ940" s="82"/>
      <c r="AR940" s="82"/>
      <c r="AS940" s="292"/>
      <c r="AT940" s="82"/>
      <c r="AU940" s="82"/>
      <c r="AV940" s="82"/>
    </row>
    <row r="941">
      <c r="A941" s="292"/>
      <c r="B941" s="132"/>
      <c r="C941" s="121"/>
      <c r="D941" s="82"/>
      <c r="E941" s="292"/>
      <c r="F941" s="132"/>
      <c r="G941" s="121"/>
      <c r="H941" s="82"/>
      <c r="I941" s="292"/>
      <c r="J941" s="132"/>
      <c r="K941" s="121"/>
      <c r="L941" s="82"/>
      <c r="M941" s="292"/>
      <c r="N941" s="132"/>
      <c r="O941" s="121"/>
      <c r="P941" s="82"/>
      <c r="Q941" s="292"/>
      <c r="R941" s="132"/>
      <c r="S941" s="121"/>
      <c r="T941" s="82"/>
      <c r="U941" s="292"/>
      <c r="V941" s="132"/>
      <c r="W941" s="121"/>
      <c r="X941" s="82"/>
      <c r="Y941" s="292"/>
      <c r="Z941" s="300"/>
      <c r="AA941" s="301"/>
      <c r="AB941" s="80"/>
      <c r="AC941" s="292"/>
      <c r="AD941" s="132"/>
      <c r="AE941" s="254"/>
      <c r="AF941" s="294"/>
      <c r="AG941" s="292"/>
      <c r="AH941" s="302"/>
      <c r="AI941" s="302"/>
      <c r="AJ941" s="302"/>
      <c r="AK941" s="292"/>
      <c r="AL941" s="82"/>
      <c r="AM941" s="82"/>
      <c r="AN941" s="82"/>
      <c r="AO941" s="292"/>
      <c r="AP941" s="82"/>
      <c r="AQ941" s="82"/>
      <c r="AR941" s="82"/>
      <c r="AS941" s="292"/>
      <c r="AT941" s="82"/>
      <c r="AU941" s="82"/>
      <c r="AV941" s="82"/>
    </row>
    <row r="942">
      <c r="A942" s="292"/>
      <c r="B942" s="132"/>
      <c r="C942" s="121"/>
      <c r="D942" s="82"/>
      <c r="E942" s="292"/>
      <c r="F942" s="132"/>
      <c r="G942" s="121"/>
      <c r="H942" s="82"/>
      <c r="I942" s="292"/>
      <c r="J942" s="132"/>
      <c r="K942" s="121"/>
      <c r="L942" s="82"/>
      <c r="M942" s="292"/>
      <c r="N942" s="132"/>
      <c r="O942" s="121"/>
      <c r="P942" s="82"/>
      <c r="Q942" s="292"/>
      <c r="R942" s="132"/>
      <c r="S942" s="121"/>
      <c r="T942" s="82"/>
      <c r="U942" s="292"/>
      <c r="V942" s="132"/>
      <c r="W942" s="121"/>
      <c r="X942" s="82"/>
      <c r="Y942" s="292"/>
      <c r="Z942" s="300"/>
      <c r="AA942" s="301"/>
      <c r="AB942" s="80"/>
      <c r="AC942" s="292"/>
      <c r="AD942" s="132"/>
      <c r="AE942" s="254"/>
      <c r="AF942" s="294"/>
      <c r="AG942" s="292"/>
      <c r="AH942" s="302"/>
      <c r="AI942" s="302"/>
      <c r="AJ942" s="302"/>
      <c r="AK942" s="292"/>
      <c r="AL942" s="82"/>
      <c r="AM942" s="82"/>
      <c r="AN942" s="82"/>
      <c r="AO942" s="292"/>
      <c r="AP942" s="82"/>
      <c r="AQ942" s="82"/>
      <c r="AR942" s="82"/>
      <c r="AS942" s="292"/>
      <c r="AT942" s="82"/>
      <c r="AU942" s="82"/>
      <c r="AV942" s="82"/>
    </row>
    <row r="943">
      <c r="A943" s="292"/>
      <c r="B943" s="132"/>
      <c r="C943" s="121"/>
      <c r="D943" s="82"/>
      <c r="E943" s="292"/>
      <c r="F943" s="132"/>
      <c r="G943" s="121"/>
      <c r="H943" s="82"/>
      <c r="I943" s="292"/>
      <c r="J943" s="132"/>
      <c r="K943" s="121"/>
      <c r="L943" s="82"/>
      <c r="M943" s="292"/>
      <c r="N943" s="132"/>
      <c r="O943" s="121"/>
      <c r="P943" s="82"/>
      <c r="Q943" s="292"/>
      <c r="R943" s="132"/>
      <c r="S943" s="121"/>
      <c r="T943" s="82"/>
      <c r="U943" s="292"/>
      <c r="V943" s="132"/>
      <c r="W943" s="121"/>
      <c r="X943" s="82"/>
      <c r="Y943" s="292"/>
      <c r="Z943" s="300"/>
      <c r="AA943" s="301"/>
      <c r="AB943" s="80"/>
      <c r="AC943" s="292"/>
      <c r="AD943" s="132"/>
      <c r="AE943" s="254"/>
      <c r="AF943" s="294"/>
      <c r="AG943" s="292"/>
      <c r="AH943" s="302"/>
      <c r="AI943" s="302"/>
      <c r="AJ943" s="302"/>
      <c r="AK943" s="292"/>
      <c r="AL943" s="82"/>
      <c r="AM943" s="82"/>
      <c r="AN943" s="82"/>
      <c r="AO943" s="292"/>
      <c r="AP943" s="82"/>
      <c r="AQ943" s="82"/>
      <c r="AR943" s="82"/>
      <c r="AS943" s="292"/>
      <c r="AT943" s="82"/>
      <c r="AU943" s="82"/>
      <c r="AV943" s="82"/>
    </row>
    <row r="944">
      <c r="A944" s="292"/>
      <c r="B944" s="132"/>
      <c r="C944" s="121"/>
      <c r="D944" s="82"/>
      <c r="E944" s="292"/>
      <c r="F944" s="132"/>
      <c r="G944" s="121"/>
      <c r="H944" s="82"/>
      <c r="I944" s="292"/>
      <c r="J944" s="132"/>
      <c r="K944" s="121"/>
      <c r="L944" s="82"/>
      <c r="M944" s="292"/>
      <c r="N944" s="132"/>
      <c r="O944" s="121"/>
      <c r="P944" s="82"/>
      <c r="Q944" s="292"/>
      <c r="R944" s="132"/>
      <c r="S944" s="121"/>
      <c r="T944" s="82"/>
      <c r="U944" s="292"/>
      <c r="V944" s="132"/>
      <c r="W944" s="121"/>
      <c r="X944" s="82"/>
      <c r="Y944" s="292"/>
      <c r="Z944" s="300"/>
      <c r="AA944" s="301"/>
      <c r="AB944" s="80"/>
      <c r="AC944" s="292"/>
      <c r="AD944" s="132"/>
      <c r="AE944" s="254"/>
      <c r="AF944" s="294"/>
      <c r="AG944" s="292"/>
      <c r="AH944" s="302"/>
      <c r="AI944" s="302"/>
      <c r="AJ944" s="302"/>
      <c r="AK944" s="292"/>
      <c r="AL944" s="82"/>
      <c r="AM944" s="82"/>
      <c r="AN944" s="82"/>
      <c r="AO944" s="292"/>
      <c r="AP944" s="82"/>
      <c r="AQ944" s="82"/>
      <c r="AR944" s="82"/>
      <c r="AS944" s="292"/>
      <c r="AT944" s="82"/>
      <c r="AU944" s="82"/>
      <c r="AV944" s="82"/>
    </row>
    <row r="945">
      <c r="A945" s="292"/>
      <c r="B945" s="132"/>
      <c r="C945" s="121"/>
      <c r="D945" s="82"/>
      <c r="E945" s="292"/>
      <c r="F945" s="132"/>
      <c r="G945" s="121"/>
      <c r="H945" s="82"/>
      <c r="I945" s="292"/>
      <c r="J945" s="132"/>
      <c r="K945" s="121"/>
      <c r="L945" s="82"/>
      <c r="M945" s="292"/>
      <c r="N945" s="132"/>
      <c r="O945" s="121"/>
      <c r="P945" s="82"/>
      <c r="Q945" s="292"/>
      <c r="R945" s="132"/>
      <c r="S945" s="121"/>
      <c r="T945" s="82"/>
      <c r="U945" s="292"/>
      <c r="V945" s="132"/>
      <c r="W945" s="121"/>
      <c r="X945" s="82"/>
      <c r="Y945" s="292"/>
      <c r="Z945" s="300"/>
      <c r="AA945" s="301"/>
      <c r="AB945" s="80"/>
      <c r="AC945" s="292"/>
      <c r="AD945" s="132"/>
      <c r="AE945" s="254"/>
      <c r="AF945" s="294"/>
      <c r="AG945" s="292"/>
      <c r="AH945" s="302"/>
      <c r="AI945" s="302"/>
      <c r="AJ945" s="302"/>
      <c r="AK945" s="292"/>
      <c r="AL945" s="82"/>
      <c r="AM945" s="82"/>
      <c r="AN945" s="82"/>
      <c r="AO945" s="292"/>
      <c r="AP945" s="82"/>
      <c r="AQ945" s="82"/>
      <c r="AR945" s="82"/>
      <c r="AS945" s="292"/>
      <c r="AT945" s="82"/>
      <c r="AU945" s="82"/>
      <c r="AV945" s="82"/>
    </row>
    <row r="946">
      <c r="A946" s="292"/>
      <c r="B946" s="132"/>
      <c r="C946" s="121"/>
      <c r="D946" s="82"/>
      <c r="E946" s="292"/>
      <c r="F946" s="132"/>
      <c r="G946" s="121"/>
      <c r="H946" s="82"/>
      <c r="I946" s="292"/>
      <c r="J946" s="132"/>
      <c r="K946" s="121"/>
      <c r="L946" s="82"/>
      <c r="M946" s="292"/>
      <c r="N946" s="132"/>
      <c r="O946" s="121"/>
      <c r="P946" s="82"/>
      <c r="Q946" s="292"/>
      <c r="R946" s="132"/>
      <c r="S946" s="121"/>
      <c r="T946" s="82"/>
      <c r="U946" s="292"/>
      <c r="V946" s="132"/>
      <c r="W946" s="121"/>
      <c r="X946" s="82"/>
      <c r="Y946" s="292"/>
      <c r="Z946" s="300"/>
      <c r="AA946" s="301"/>
      <c r="AB946" s="80"/>
      <c r="AC946" s="292"/>
      <c r="AD946" s="132"/>
      <c r="AE946" s="254"/>
      <c r="AF946" s="294"/>
      <c r="AG946" s="292"/>
      <c r="AH946" s="302"/>
      <c r="AI946" s="302"/>
      <c r="AJ946" s="302"/>
      <c r="AK946" s="292"/>
      <c r="AL946" s="82"/>
      <c r="AM946" s="82"/>
      <c r="AN946" s="82"/>
      <c r="AO946" s="292"/>
      <c r="AP946" s="82"/>
      <c r="AQ946" s="82"/>
      <c r="AR946" s="82"/>
      <c r="AS946" s="292"/>
      <c r="AT946" s="82"/>
      <c r="AU946" s="82"/>
      <c r="AV946" s="82"/>
    </row>
    <row r="947">
      <c r="A947" s="292"/>
      <c r="B947" s="132"/>
      <c r="C947" s="121"/>
      <c r="D947" s="82"/>
      <c r="E947" s="292"/>
      <c r="F947" s="132"/>
      <c r="G947" s="121"/>
      <c r="H947" s="82"/>
      <c r="I947" s="292"/>
      <c r="J947" s="132"/>
      <c r="K947" s="121"/>
      <c r="L947" s="82"/>
      <c r="M947" s="292"/>
      <c r="N947" s="132"/>
      <c r="O947" s="121"/>
      <c r="P947" s="82"/>
      <c r="Q947" s="292"/>
      <c r="R947" s="132"/>
      <c r="S947" s="121"/>
      <c r="T947" s="82"/>
      <c r="U947" s="292"/>
      <c r="V947" s="132"/>
      <c r="W947" s="121"/>
      <c r="X947" s="82"/>
      <c r="Y947" s="292"/>
      <c r="Z947" s="300"/>
      <c r="AA947" s="301"/>
      <c r="AB947" s="80"/>
      <c r="AC947" s="292"/>
      <c r="AD947" s="132"/>
      <c r="AE947" s="254"/>
      <c r="AF947" s="294"/>
      <c r="AG947" s="292"/>
      <c r="AH947" s="302"/>
      <c r="AI947" s="302"/>
      <c r="AJ947" s="302"/>
      <c r="AK947" s="292"/>
      <c r="AL947" s="82"/>
      <c r="AM947" s="82"/>
      <c r="AN947" s="82"/>
      <c r="AO947" s="292"/>
      <c r="AP947" s="82"/>
      <c r="AQ947" s="82"/>
      <c r="AR947" s="82"/>
      <c r="AS947" s="292"/>
      <c r="AT947" s="82"/>
      <c r="AU947" s="82"/>
      <c r="AV947" s="82"/>
    </row>
    <row r="948">
      <c r="A948" s="292"/>
      <c r="B948" s="132"/>
      <c r="C948" s="121"/>
      <c r="D948" s="82"/>
      <c r="E948" s="292"/>
      <c r="F948" s="132"/>
      <c r="G948" s="121"/>
      <c r="H948" s="82"/>
      <c r="I948" s="292"/>
      <c r="J948" s="132"/>
      <c r="K948" s="121"/>
      <c r="L948" s="82"/>
      <c r="M948" s="292"/>
      <c r="N948" s="132"/>
      <c r="O948" s="121"/>
      <c r="P948" s="82"/>
      <c r="Q948" s="292"/>
      <c r="R948" s="132"/>
      <c r="S948" s="121"/>
      <c r="T948" s="82"/>
      <c r="U948" s="292"/>
      <c r="V948" s="132"/>
      <c r="W948" s="121"/>
      <c r="X948" s="82"/>
      <c r="Y948" s="292"/>
      <c r="Z948" s="300"/>
      <c r="AA948" s="301"/>
      <c r="AB948" s="80"/>
      <c r="AC948" s="292"/>
      <c r="AD948" s="132"/>
      <c r="AE948" s="254"/>
      <c r="AF948" s="294"/>
      <c r="AG948" s="292"/>
      <c r="AH948" s="302"/>
      <c r="AI948" s="302"/>
      <c r="AJ948" s="302"/>
      <c r="AK948" s="292"/>
      <c r="AL948" s="82"/>
      <c r="AM948" s="82"/>
      <c r="AN948" s="82"/>
      <c r="AO948" s="292"/>
      <c r="AP948" s="82"/>
      <c r="AQ948" s="82"/>
      <c r="AR948" s="82"/>
      <c r="AS948" s="292"/>
      <c r="AT948" s="82"/>
      <c r="AU948" s="82"/>
      <c r="AV948" s="82"/>
    </row>
    <row r="949">
      <c r="A949" s="292"/>
      <c r="B949" s="132"/>
      <c r="C949" s="121"/>
      <c r="D949" s="82"/>
      <c r="E949" s="292"/>
      <c r="F949" s="132"/>
      <c r="G949" s="121"/>
      <c r="H949" s="82"/>
      <c r="I949" s="292"/>
      <c r="J949" s="132"/>
      <c r="K949" s="121"/>
      <c r="L949" s="82"/>
      <c r="M949" s="292"/>
      <c r="N949" s="132"/>
      <c r="O949" s="121"/>
      <c r="P949" s="82"/>
      <c r="Q949" s="292"/>
      <c r="R949" s="132"/>
      <c r="S949" s="121"/>
      <c r="T949" s="82"/>
      <c r="U949" s="292"/>
      <c r="V949" s="132"/>
      <c r="W949" s="121"/>
      <c r="X949" s="82"/>
      <c r="Y949" s="292"/>
      <c r="Z949" s="300"/>
      <c r="AA949" s="301"/>
      <c r="AB949" s="80"/>
      <c r="AC949" s="292"/>
      <c r="AD949" s="132"/>
      <c r="AE949" s="254"/>
      <c r="AF949" s="294"/>
      <c r="AG949" s="292"/>
      <c r="AH949" s="302"/>
      <c r="AI949" s="302"/>
      <c r="AJ949" s="302"/>
      <c r="AK949" s="292"/>
      <c r="AL949" s="82"/>
      <c r="AM949" s="82"/>
      <c r="AN949" s="82"/>
      <c r="AO949" s="292"/>
      <c r="AP949" s="82"/>
      <c r="AQ949" s="82"/>
      <c r="AR949" s="82"/>
      <c r="AS949" s="292"/>
      <c r="AT949" s="82"/>
      <c r="AU949" s="82"/>
      <c r="AV949" s="82"/>
    </row>
    <row r="950">
      <c r="A950" s="292"/>
      <c r="B950" s="132"/>
      <c r="C950" s="121"/>
      <c r="D950" s="82"/>
      <c r="E950" s="292"/>
      <c r="F950" s="132"/>
      <c r="G950" s="121"/>
      <c r="H950" s="82"/>
      <c r="I950" s="292"/>
      <c r="J950" s="132"/>
      <c r="K950" s="121"/>
      <c r="L950" s="82"/>
      <c r="M950" s="292"/>
      <c r="N950" s="132"/>
      <c r="O950" s="121"/>
      <c r="P950" s="82"/>
      <c r="Q950" s="292"/>
      <c r="R950" s="132"/>
      <c r="S950" s="121"/>
      <c r="T950" s="82"/>
      <c r="U950" s="292"/>
      <c r="V950" s="132"/>
      <c r="W950" s="121"/>
      <c r="X950" s="82"/>
      <c r="Y950" s="292"/>
      <c r="Z950" s="300"/>
      <c r="AA950" s="301"/>
      <c r="AB950" s="80"/>
      <c r="AC950" s="292"/>
      <c r="AD950" s="132"/>
      <c r="AE950" s="254"/>
      <c r="AF950" s="294"/>
      <c r="AG950" s="292"/>
      <c r="AH950" s="302"/>
      <c r="AI950" s="302"/>
      <c r="AJ950" s="302"/>
      <c r="AK950" s="292"/>
      <c r="AL950" s="82"/>
      <c r="AM950" s="82"/>
      <c r="AN950" s="82"/>
      <c r="AO950" s="292"/>
      <c r="AP950" s="82"/>
      <c r="AQ950" s="82"/>
      <c r="AR950" s="82"/>
      <c r="AS950" s="292"/>
      <c r="AT950" s="82"/>
      <c r="AU950" s="82"/>
      <c r="AV950" s="82"/>
    </row>
    <row r="951">
      <c r="A951" s="292"/>
      <c r="B951" s="132"/>
      <c r="C951" s="121"/>
      <c r="D951" s="82"/>
      <c r="E951" s="292"/>
      <c r="F951" s="132"/>
      <c r="G951" s="121"/>
      <c r="H951" s="82"/>
      <c r="I951" s="292"/>
      <c r="J951" s="132"/>
      <c r="K951" s="121"/>
      <c r="L951" s="82"/>
      <c r="M951" s="292"/>
      <c r="N951" s="132"/>
      <c r="O951" s="121"/>
      <c r="P951" s="82"/>
      <c r="Q951" s="292"/>
      <c r="R951" s="132"/>
      <c r="S951" s="121"/>
      <c r="T951" s="82"/>
      <c r="U951" s="292"/>
      <c r="V951" s="132"/>
      <c r="W951" s="121"/>
      <c r="X951" s="82"/>
      <c r="Y951" s="292"/>
      <c r="Z951" s="300"/>
      <c r="AA951" s="301"/>
      <c r="AB951" s="80"/>
      <c r="AC951" s="292"/>
      <c r="AD951" s="132"/>
      <c r="AE951" s="254"/>
      <c r="AF951" s="294"/>
      <c r="AG951" s="292"/>
      <c r="AH951" s="302"/>
      <c r="AI951" s="302"/>
      <c r="AJ951" s="302"/>
      <c r="AK951" s="292"/>
      <c r="AL951" s="82"/>
      <c r="AM951" s="82"/>
      <c r="AN951" s="82"/>
      <c r="AO951" s="292"/>
      <c r="AP951" s="82"/>
      <c r="AQ951" s="82"/>
      <c r="AR951" s="82"/>
      <c r="AS951" s="292"/>
      <c r="AT951" s="82"/>
      <c r="AU951" s="82"/>
      <c r="AV951" s="82"/>
    </row>
    <row r="952">
      <c r="A952" s="292"/>
      <c r="B952" s="132"/>
      <c r="C952" s="121"/>
      <c r="D952" s="82"/>
      <c r="E952" s="292"/>
      <c r="F952" s="132"/>
      <c r="G952" s="121"/>
      <c r="H952" s="82"/>
      <c r="I952" s="292"/>
      <c r="J952" s="132"/>
      <c r="K952" s="121"/>
      <c r="L952" s="82"/>
      <c r="M952" s="292"/>
      <c r="N952" s="132"/>
      <c r="O952" s="121"/>
      <c r="P952" s="82"/>
      <c r="Q952" s="292"/>
      <c r="R952" s="132"/>
      <c r="S952" s="121"/>
      <c r="T952" s="82"/>
      <c r="U952" s="292"/>
      <c r="V952" s="132"/>
      <c r="W952" s="121"/>
      <c r="X952" s="82"/>
      <c r="Y952" s="292"/>
      <c r="Z952" s="300"/>
      <c r="AA952" s="301"/>
      <c r="AB952" s="80"/>
      <c r="AC952" s="292"/>
      <c r="AD952" s="132"/>
      <c r="AE952" s="254"/>
      <c r="AF952" s="294"/>
      <c r="AG952" s="292"/>
      <c r="AH952" s="302"/>
      <c r="AI952" s="302"/>
      <c r="AJ952" s="302"/>
      <c r="AK952" s="292"/>
      <c r="AL952" s="82"/>
      <c r="AM952" s="82"/>
      <c r="AN952" s="82"/>
      <c r="AO952" s="292"/>
      <c r="AP952" s="82"/>
      <c r="AQ952" s="82"/>
      <c r="AR952" s="82"/>
      <c r="AS952" s="292"/>
      <c r="AT952" s="82"/>
      <c r="AU952" s="82"/>
      <c r="AV952" s="82"/>
    </row>
    <row r="953">
      <c r="A953" s="292"/>
      <c r="B953" s="132"/>
      <c r="C953" s="121"/>
      <c r="D953" s="82"/>
      <c r="E953" s="292"/>
      <c r="F953" s="132"/>
      <c r="G953" s="121"/>
      <c r="H953" s="82"/>
      <c r="I953" s="292"/>
      <c r="J953" s="132"/>
      <c r="K953" s="121"/>
      <c r="L953" s="82"/>
      <c r="M953" s="292"/>
      <c r="N953" s="132"/>
      <c r="O953" s="121"/>
      <c r="P953" s="82"/>
      <c r="Q953" s="292"/>
      <c r="R953" s="132"/>
      <c r="S953" s="121"/>
      <c r="T953" s="82"/>
      <c r="U953" s="292"/>
      <c r="V953" s="132"/>
      <c r="W953" s="121"/>
      <c r="X953" s="82"/>
      <c r="Y953" s="292"/>
      <c r="Z953" s="300"/>
      <c r="AA953" s="301"/>
      <c r="AB953" s="80"/>
      <c r="AC953" s="292"/>
      <c r="AD953" s="132"/>
      <c r="AE953" s="254"/>
      <c r="AF953" s="294"/>
      <c r="AG953" s="292"/>
      <c r="AH953" s="302"/>
      <c r="AI953" s="302"/>
      <c r="AJ953" s="302"/>
      <c r="AK953" s="292"/>
      <c r="AL953" s="82"/>
      <c r="AM953" s="82"/>
      <c r="AN953" s="82"/>
      <c r="AO953" s="292"/>
      <c r="AP953" s="82"/>
      <c r="AQ953" s="82"/>
      <c r="AR953" s="82"/>
      <c r="AS953" s="292"/>
      <c r="AT953" s="82"/>
      <c r="AU953" s="82"/>
      <c r="AV953" s="82"/>
    </row>
    <row r="954">
      <c r="A954" s="292"/>
      <c r="B954" s="132"/>
      <c r="C954" s="121"/>
      <c r="D954" s="82"/>
      <c r="E954" s="292"/>
      <c r="F954" s="132"/>
      <c r="G954" s="121"/>
      <c r="H954" s="82"/>
      <c r="I954" s="292"/>
      <c r="J954" s="132"/>
      <c r="K954" s="121"/>
      <c r="L954" s="82"/>
      <c r="M954" s="292"/>
      <c r="N954" s="132"/>
      <c r="O954" s="121"/>
      <c r="P954" s="82"/>
      <c r="Q954" s="292"/>
      <c r="R954" s="132"/>
      <c r="S954" s="121"/>
      <c r="T954" s="82"/>
      <c r="U954" s="292"/>
      <c r="V954" s="132"/>
      <c r="W954" s="121"/>
      <c r="X954" s="82"/>
      <c r="Y954" s="292"/>
      <c r="Z954" s="300"/>
      <c r="AA954" s="301"/>
      <c r="AB954" s="80"/>
      <c r="AC954" s="292"/>
      <c r="AD954" s="132"/>
      <c r="AE954" s="254"/>
      <c r="AF954" s="294"/>
      <c r="AG954" s="292"/>
      <c r="AH954" s="302"/>
      <c r="AI954" s="302"/>
      <c r="AJ954" s="302"/>
      <c r="AK954" s="292"/>
      <c r="AL954" s="82"/>
      <c r="AM954" s="82"/>
      <c r="AN954" s="82"/>
      <c r="AO954" s="292"/>
      <c r="AP954" s="82"/>
      <c r="AQ954" s="82"/>
      <c r="AR954" s="82"/>
      <c r="AS954" s="292"/>
      <c r="AT954" s="82"/>
      <c r="AU954" s="82"/>
      <c r="AV954" s="82"/>
    </row>
    <row r="955">
      <c r="A955" s="292"/>
      <c r="B955" s="132"/>
      <c r="C955" s="121"/>
      <c r="D955" s="82"/>
      <c r="E955" s="292"/>
      <c r="F955" s="132"/>
      <c r="G955" s="121"/>
      <c r="H955" s="82"/>
      <c r="I955" s="292"/>
      <c r="J955" s="132"/>
      <c r="K955" s="121"/>
      <c r="L955" s="82"/>
      <c r="M955" s="292"/>
      <c r="N955" s="132"/>
      <c r="O955" s="121"/>
      <c r="P955" s="82"/>
      <c r="Q955" s="292"/>
      <c r="R955" s="132"/>
      <c r="S955" s="121"/>
      <c r="T955" s="82"/>
      <c r="U955" s="292"/>
      <c r="V955" s="132"/>
      <c r="W955" s="121"/>
      <c r="X955" s="82"/>
      <c r="Y955" s="292"/>
      <c r="Z955" s="300"/>
      <c r="AA955" s="301"/>
      <c r="AB955" s="80"/>
      <c r="AC955" s="292"/>
      <c r="AD955" s="132"/>
      <c r="AE955" s="254"/>
      <c r="AF955" s="294"/>
      <c r="AG955" s="292"/>
      <c r="AH955" s="302"/>
      <c r="AI955" s="302"/>
      <c r="AJ955" s="302"/>
      <c r="AK955" s="292"/>
      <c r="AL955" s="82"/>
      <c r="AM955" s="82"/>
      <c r="AN955" s="82"/>
      <c r="AO955" s="292"/>
      <c r="AP955" s="82"/>
      <c r="AQ955" s="82"/>
      <c r="AR955" s="82"/>
      <c r="AS955" s="292"/>
      <c r="AT955" s="82"/>
      <c r="AU955" s="82"/>
      <c r="AV955" s="82"/>
    </row>
    <row r="956">
      <c r="A956" s="292"/>
      <c r="B956" s="132"/>
      <c r="C956" s="121"/>
      <c r="D956" s="82"/>
      <c r="E956" s="292"/>
      <c r="F956" s="132"/>
      <c r="G956" s="121"/>
      <c r="H956" s="82"/>
      <c r="I956" s="292"/>
      <c r="J956" s="132"/>
      <c r="K956" s="121"/>
      <c r="L956" s="82"/>
      <c r="M956" s="292"/>
      <c r="N956" s="132"/>
      <c r="O956" s="121"/>
      <c r="P956" s="82"/>
      <c r="Q956" s="292"/>
      <c r="R956" s="132"/>
      <c r="S956" s="121"/>
      <c r="T956" s="82"/>
      <c r="U956" s="292"/>
      <c r="V956" s="132"/>
      <c r="W956" s="121"/>
      <c r="X956" s="82"/>
      <c r="Y956" s="292"/>
      <c r="Z956" s="300"/>
      <c r="AA956" s="301"/>
      <c r="AB956" s="80"/>
      <c r="AC956" s="292"/>
      <c r="AD956" s="132"/>
      <c r="AE956" s="254"/>
      <c r="AF956" s="294"/>
      <c r="AG956" s="292"/>
      <c r="AH956" s="302"/>
      <c r="AI956" s="302"/>
      <c r="AJ956" s="302"/>
      <c r="AK956" s="292"/>
      <c r="AL956" s="82"/>
      <c r="AM956" s="82"/>
      <c r="AN956" s="82"/>
      <c r="AO956" s="292"/>
      <c r="AP956" s="82"/>
      <c r="AQ956" s="82"/>
      <c r="AR956" s="82"/>
      <c r="AS956" s="292"/>
      <c r="AT956" s="82"/>
      <c r="AU956" s="82"/>
      <c r="AV956" s="82"/>
    </row>
    <row r="957">
      <c r="A957" s="292"/>
      <c r="B957" s="132"/>
      <c r="C957" s="121"/>
      <c r="D957" s="82"/>
      <c r="E957" s="292"/>
      <c r="F957" s="132"/>
      <c r="G957" s="121"/>
      <c r="H957" s="82"/>
      <c r="I957" s="292"/>
      <c r="J957" s="132"/>
      <c r="K957" s="121"/>
      <c r="L957" s="82"/>
      <c r="M957" s="292"/>
      <c r="N957" s="132"/>
      <c r="O957" s="121"/>
      <c r="P957" s="82"/>
      <c r="Q957" s="292"/>
      <c r="R957" s="132"/>
      <c r="S957" s="121"/>
      <c r="T957" s="82"/>
      <c r="U957" s="292"/>
      <c r="V957" s="132"/>
      <c r="W957" s="121"/>
      <c r="X957" s="82"/>
      <c r="Y957" s="292"/>
      <c r="Z957" s="300"/>
      <c r="AA957" s="301"/>
      <c r="AB957" s="80"/>
      <c r="AC957" s="292"/>
      <c r="AD957" s="132"/>
      <c r="AE957" s="254"/>
      <c r="AF957" s="294"/>
      <c r="AG957" s="292"/>
      <c r="AH957" s="302"/>
      <c r="AI957" s="302"/>
      <c r="AJ957" s="302"/>
      <c r="AK957" s="292"/>
      <c r="AL957" s="82"/>
      <c r="AM957" s="82"/>
      <c r="AN957" s="82"/>
      <c r="AO957" s="292"/>
      <c r="AP957" s="82"/>
      <c r="AQ957" s="82"/>
      <c r="AR957" s="82"/>
      <c r="AS957" s="292"/>
      <c r="AT957" s="82"/>
      <c r="AU957" s="82"/>
      <c r="AV957" s="82"/>
    </row>
    <row r="958">
      <c r="A958" s="292"/>
      <c r="B958" s="132"/>
      <c r="C958" s="121"/>
      <c r="D958" s="82"/>
      <c r="E958" s="292"/>
      <c r="F958" s="132"/>
      <c r="G958" s="121"/>
      <c r="H958" s="82"/>
      <c r="I958" s="292"/>
      <c r="J958" s="132"/>
      <c r="K958" s="121"/>
      <c r="L958" s="82"/>
      <c r="M958" s="292"/>
      <c r="N958" s="132"/>
      <c r="O958" s="121"/>
      <c r="P958" s="82"/>
      <c r="Q958" s="292"/>
      <c r="R958" s="132"/>
      <c r="S958" s="121"/>
      <c r="T958" s="82"/>
      <c r="U958" s="292"/>
      <c r="V958" s="132"/>
      <c r="W958" s="121"/>
      <c r="X958" s="82"/>
      <c r="Y958" s="292"/>
      <c r="Z958" s="300"/>
      <c r="AA958" s="301"/>
      <c r="AB958" s="80"/>
      <c r="AC958" s="292"/>
      <c r="AD958" s="132"/>
      <c r="AE958" s="254"/>
      <c r="AF958" s="294"/>
      <c r="AG958" s="292"/>
      <c r="AH958" s="302"/>
      <c r="AI958" s="302"/>
      <c r="AJ958" s="302"/>
      <c r="AK958" s="292"/>
      <c r="AL958" s="82"/>
      <c r="AM958" s="82"/>
      <c r="AN958" s="82"/>
      <c r="AO958" s="292"/>
      <c r="AP958" s="82"/>
      <c r="AQ958" s="82"/>
      <c r="AR958" s="82"/>
      <c r="AS958" s="292"/>
      <c r="AT958" s="82"/>
      <c r="AU958" s="82"/>
      <c r="AV958" s="82"/>
    </row>
    <row r="959">
      <c r="A959" s="292"/>
      <c r="B959" s="132"/>
      <c r="C959" s="121"/>
      <c r="D959" s="82"/>
      <c r="E959" s="292"/>
      <c r="F959" s="132"/>
      <c r="G959" s="121"/>
      <c r="H959" s="82"/>
      <c r="I959" s="292"/>
      <c r="J959" s="132"/>
      <c r="K959" s="121"/>
      <c r="L959" s="82"/>
      <c r="M959" s="292"/>
      <c r="N959" s="132"/>
      <c r="O959" s="121"/>
      <c r="P959" s="82"/>
      <c r="Q959" s="292"/>
      <c r="R959" s="132"/>
      <c r="S959" s="121"/>
      <c r="T959" s="82"/>
      <c r="U959" s="292"/>
      <c r="V959" s="132"/>
      <c r="W959" s="121"/>
      <c r="X959" s="82"/>
      <c r="Y959" s="292"/>
      <c r="Z959" s="300"/>
      <c r="AA959" s="301"/>
      <c r="AB959" s="80"/>
      <c r="AC959" s="292"/>
      <c r="AD959" s="132"/>
      <c r="AE959" s="254"/>
      <c r="AF959" s="294"/>
      <c r="AG959" s="292"/>
      <c r="AH959" s="302"/>
      <c r="AI959" s="302"/>
      <c r="AJ959" s="302"/>
      <c r="AK959" s="292"/>
      <c r="AL959" s="82"/>
      <c r="AM959" s="82"/>
      <c r="AN959" s="82"/>
      <c r="AO959" s="292"/>
      <c r="AP959" s="82"/>
      <c r="AQ959" s="82"/>
      <c r="AR959" s="82"/>
      <c r="AS959" s="292"/>
      <c r="AT959" s="82"/>
      <c r="AU959" s="82"/>
      <c r="AV959" s="82"/>
    </row>
    <row r="960">
      <c r="A960" s="292"/>
      <c r="B960" s="132"/>
      <c r="C960" s="121"/>
      <c r="D960" s="82"/>
      <c r="E960" s="292"/>
      <c r="F960" s="132"/>
      <c r="G960" s="121"/>
      <c r="H960" s="82"/>
      <c r="I960" s="292"/>
      <c r="J960" s="132"/>
      <c r="K960" s="121"/>
      <c r="L960" s="82"/>
      <c r="M960" s="292"/>
      <c r="N960" s="132"/>
      <c r="O960" s="121"/>
      <c r="P960" s="82"/>
      <c r="Q960" s="292"/>
      <c r="R960" s="132"/>
      <c r="S960" s="121"/>
      <c r="T960" s="82"/>
      <c r="U960" s="292"/>
      <c r="V960" s="132"/>
      <c r="W960" s="121"/>
      <c r="X960" s="82"/>
      <c r="Y960" s="292"/>
      <c r="Z960" s="300"/>
      <c r="AA960" s="301"/>
      <c r="AB960" s="80"/>
      <c r="AC960" s="292"/>
      <c r="AD960" s="132"/>
      <c r="AE960" s="254"/>
      <c r="AF960" s="294"/>
      <c r="AG960" s="292"/>
      <c r="AH960" s="302"/>
      <c r="AI960" s="302"/>
      <c r="AJ960" s="302"/>
      <c r="AK960" s="292"/>
      <c r="AL960" s="82"/>
      <c r="AM960" s="82"/>
      <c r="AN960" s="82"/>
      <c r="AO960" s="292"/>
      <c r="AP960" s="82"/>
      <c r="AQ960" s="82"/>
      <c r="AR960" s="82"/>
      <c r="AS960" s="292"/>
      <c r="AT960" s="82"/>
      <c r="AU960" s="82"/>
      <c r="AV960" s="82"/>
    </row>
    <row r="961">
      <c r="A961" s="292"/>
      <c r="B961" s="132"/>
      <c r="C961" s="121"/>
      <c r="D961" s="82"/>
      <c r="E961" s="292"/>
      <c r="F961" s="132"/>
      <c r="G961" s="121"/>
      <c r="H961" s="82"/>
      <c r="I961" s="292"/>
      <c r="J961" s="132"/>
      <c r="K961" s="121"/>
      <c r="L961" s="82"/>
      <c r="M961" s="292"/>
      <c r="N961" s="132"/>
      <c r="O961" s="121"/>
      <c r="P961" s="82"/>
      <c r="Q961" s="292"/>
      <c r="R961" s="132"/>
      <c r="S961" s="121"/>
      <c r="T961" s="82"/>
      <c r="U961" s="292"/>
      <c r="V961" s="132"/>
      <c r="W961" s="121"/>
      <c r="X961" s="82"/>
      <c r="Y961" s="292"/>
      <c r="Z961" s="300"/>
      <c r="AA961" s="301"/>
      <c r="AB961" s="80"/>
      <c r="AC961" s="292"/>
      <c r="AD961" s="132"/>
      <c r="AE961" s="254"/>
      <c r="AF961" s="294"/>
      <c r="AG961" s="292"/>
      <c r="AH961" s="302"/>
      <c r="AI961" s="302"/>
      <c r="AJ961" s="302"/>
      <c r="AK961" s="292"/>
      <c r="AL961" s="82"/>
      <c r="AM961" s="82"/>
      <c r="AN961" s="82"/>
      <c r="AO961" s="292"/>
      <c r="AP961" s="82"/>
      <c r="AQ961" s="82"/>
      <c r="AR961" s="82"/>
      <c r="AS961" s="292"/>
      <c r="AT961" s="82"/>
      <c r="AU961" s="82"/>
      <c r="AV961" s="82"/>
    </row>
    <row r="962">
      <c r="A962" s="292"/>
      <c r="B962" s="132"/>
      <c r="C962" s="121"/>
      <c r="D962" s="82"/>
      <c r="E962" s="292"/>
      <c r="F962" s="132"/>
      <c r="G962" s="121"/>
      <c r="H962" s="82"/>
      <c r="I962" s="292"/>
      <c r="J962" s="132"/>
      <c r="K962" s="121"/>
      <c r="L962" s="82"/>
      <c r="M962" s="292"/>
      <c r="N962" s="132"/>
      <c r="O962" s="121"/>
      <c r="P962" s="82"/>
      <c r="Q962" s="292"/>
      <c r="R962" s="132"/>
      <c r="S962" s="121"/>
      <c r="T962" s="82"/>
      <c r="U962" s="292"/>
      <c r="V962" s="132"/>
      <c r="W962" s="121"/>
      <c r="X962" s="82"/>
      <c r="Y962" s="292"/>
      <c r="Z962" s="300"/>
      <c r="AA962" s="301"/>
      <c r="AB962" s="80"/>
      <c r="AC962" s="292"/>
      <c r="AD962" s="132"/>
      <c r="AE962" s="254"/>
      <c r="AF962" s="294"/>
      <c r="AG962" s="292"/>
      <c r="AH962" s="302"/>
      <c r="AI962" s="302"/>
      <c r="AJ962" s="302"/>
      <c r="AK962" s="292"/>
      <c r="AL962" s="82"/>
      <c r="AM962" s="82"/>
      <c r="AN962" s="82"/>
      <c r="AO962" s="292"/>
      <c r="AP962" s="82"/>
      <c r="AQ962" s="82"/>
      <c r="AR962" s="82"/>
      <c r="AS962" s="292"/>
      <c r="AT962" s="82"/>
      <c r="AU962" s="82"/>
      <c r="AV962" s="82"/>
    </row>
    <row r="963">
      <c r="A963" s="292"/>
      <c r="B963" s="132"/>
      <c r="C963" s="121"/>
      <c r="D963" s="82"/>
      <c r="E963" s="292"/>
      <c r="F963" s="132"/>
      <c r="G963" s="121"/>
      <c r="H963" s="82"/>
      <c r="I963" s="292"/>
      <c r="J963" s="132"/>
      <c r="K963" s="121"/>
      <c r="L963" s="82"/>
      <c r="M963" s="292"/>
      <c r="N963" s="132"/>
      <c r="O963" s="121"/>
      <c r="P963" s="82"/>
      <c r="Q963" s="292"/>
      <c r="R963" s="132"/>
      <c r="S963" s="121"/>
      <c r="T963" s="82"/>
      <c r="U963" s="292"/>
      <c r="V963" s="132"/>
      <c r="W963" s="121"/>
      <c r="X963" s="82"/>
      <c r="Y963" s="292"/>
      <c r="Z963" s="300"/>
      <c r="AA963" s="301"/>
      <c r="AB963" s="80"/>
      <c r="AC963" s="292"/>
      <c r="AD963" s="132"/>
      <c r="AE963" s="254"/>
      <c r="AF963" s="294"/>
      <c r="AG963" s="292"/>
      <c r="AH963" s="302"/>
      <c r="AI963" s="302"/>
      <c r="AJ963" s="302"/>
      <c r="AK963" s="292"/>
      <c r="AL963" s="82"/>
      <c r="AM963" s="82"/>
      <c r="AN963" s="82"/>
      <c r="AO963" s="292"/>
      <c r="AP963" s="82"/>
      <c r="AQ963" s="82"/>
      <c r="AR963" s="82"/>
      <c r="AS963" s="292"/>
      <c r="AT963" s="82"/>
      <c r="AU963" s="82"/>
      <c r="AV963" s="82"/>
    </row>
    <row r="964">
      <c r="A964" s="292"/>
      <c r="B964" s="132"/>
      <c r="C964" s="121"/>
      <c r="D964" s="82"/>
      <c r="E964" s="292"/>
      <c r="F964" s="132"/>
      <c r="G964" s="121"/>
      <c r="H964" s="82"/>
      <c r="I964" s="292"/>
      <c r="J964" s="132"/>
      <c r="K964" s="121"/>
      <c r="L964" s="82"/>
      <c r="M964" s="292"/>
      <c r="N964" s="132"/>
      <c r="O964" s="121"/>
      <c r="P964" s="82"/>
      <c r="Q964" s="292"/>
      <c r="R964" s="132"/>
      <c r="S964" s="121"/>
      <c r="T964" s="82"/>
      <c r="U964" s="292"/>
      <c r="V964" s="132"/>
      <c r="W964" s="121"/>
      <c r="X964" s="82"/>
      <c r="Y964" s="292"/>
      <c r="Z964" s="300"/>
      <c r="AA964" s="301"/>
      <c r="AB964" s="80"/>
      <c r="AC964" s="292"/>
      <c r="AD964" s="132"/>
      <c r="AE964" s="254"/>
      <c r="AF964" s="294"/>
      <c r="AG964" s="292"/>
      <c r="AH964" s="302"/>
      <c r="AI964" s="302"/>
      <c r="AJ964" s="302"/>
      <c r="AK964" s="292"/>
      <c r="AL964" s="82"/>
      <c r="AM964" s="82"/>
      <c r="AN964" s="82"/>
      <c r="AO964" s="292"/>
      <c r="AP964" s="82"/>
      <c r="AQ964" s="82"/>
      <c r="AR964" s="82"/>
      <c r="AS964" s="292"/>
      <c r="AT964" s="82"/>
      <c r="AU964" s="82"/>
      <c r="AV964" s="82"/>
    </row>
    <row r="965">
      <c r="A965" s="292"/>
      <c r="B965" s="132"/>
      <c r="C965" s="121"/>
      <c r="D965" s="82"/>
      <c r="E965" s="292"/>
      <c r="F965" s="132"/>
      <c r="G965" s="121"/>
      <c r="H965" s="82"/>
      <c r="I965" s="292"/>
      <c r="J965" s="132"/>
      <c r="K965" s="121"/>
      <c r="L965" s="82"/>
      <c r="M965" s="292"/>
      <c r="N965" s="132"/>
      <c r="O965" s="121"/>
      <c r="P965" s="82"/>
      <c r="Q965" s="292"/>
      <c r="R965" s="132"/>
      <c r="S965" s="121"/>
      <c r="T965" s="82"/>
      <c r="U965" s="292"/>
      <c r="V965" s="132"/>
      <c r="W965" s="121"/>
      <c r="X965" s="82"/>
      <c r="Y965" s="292"/>
      <c r="Z965" s="300"/>
      <c r="AA965" s="301"/>
      <c r="AB965" s="80"/>
      <c r="AC965" s="292"/>
      <c r="AD965" s="132"/>
      <c r="AE965" s="254"/>
      <c r="AF965" s="294"/>
      <c r="AG965" s="292"/>
      <c r="AH965" s="302"/>
      <c r="AI965" s="302"/>
      <c r="AJ965" s="302"/>
      <c r="AK965" s="292"/>
      <c r="AL965" s="82"/>
      <c r="AM965" s="82"/>
      <c r="AN965" s="82"/>
      <c r="AO965" s="292"/>
      <c r="AP965" s="82"/>
      <c r="AQ965" s="82"/>
      <c r="AR965" s="82"/>
      <c r="AS965" s="292"/>
      <c r="AT965" s="82"/>
      <c r="AU965" s="82"/>
      <c r="AV965" s="82"/>
    </row>
    <row r="966">
      <c r="A966" s="292"/>
      <c r="B966" s="132"/>
      <c r="C966" s="121"/>
      <c r="D966" s="82"/>
      <c r="E966" s="292"/>
      <c r="F966" s="132"/>
      <c r="G966" s="121"/>
      <c r="H966" s="82"/>
      <c r="I966" s="292"/>
      <c r="J966" s="132"/>
      <c r="K966" s="121"/>
      <c r="L966" s="82"/>
      <c r="M966" s="292"/>
      <c r="N966" s="132"/>
      <c r="O966" s="121"/>
      <c r="P966" s="82"/>
      <c r="Q966" s="292"/>
      <c r="R966" s="132"/>
      <c r="S966" s="121"/>
      <c r="T966" s="82"/>
      <c r="U966" s="292"/>
      <c r="V966" s="132"/>
      <c r="W966" s="121"/>
      <c r="X966" s="82"/>
      <c r="Y966" s="292"/>
      <c r="Z966" s="300"/>
      <c r="AA966" s="301"/>
      <c r="AB966" s="80"/>
      <c r="AC966" s="292"/>
      <c r="AD966" s="132"/>
      <c r="AE966" s="254"/>
      <c r="AF966" s="294"/>
      <c r="AG966" s="292"/>
      <c r="AH966" s="302"/>
      <c r="AI966" s="302"/>
      <c r="AJ966" s="302"/>
      <c r="AK966" s="292"/>
      <c r="AL966" s="82"/>
      <c r="AM966" s="82"/>
      <c r="AN966" s="82"/>
      <c r="AO966" s="292"/>
      <c r="AP966" s="82"/>
      <c r="AQ966" s="82"/>
      <c r="AR966" s="82"/>
      <c r="AS966" s="292"/>
      <c r="AT966" s="82"/>
      <c r="AU966" s="82"/>
      <c r="AV966" s="82"/>
    </row>
    <row r="967">
      <c r="A967" s="292"/>
      <c r="B967" s="132"/>
      <c r="C967" s="121"/>
      <c r="D967" s="82"/>
      <c r="E967" s="292"/>
      <c r="F967" s="132"/>
      <c r="G967" s="121"/>
      <c r="H967" s="82"/>
      <c r="I967" s="292"/>
      <c r="J967" s="132"/>
      <c r="K967" s="121"/>
      <c r="L967" s="82"/>
      <c r="M967" s="292"/>
      <c r="N967" s="132"/>
      <c r="O967" s="121"/>
      <c r="P967" s="82"/>
      <c r="Q967" s="292"/>
      <c r="R967" s="132"/>
      <c r="S967" s="121"/>
      <c r="T967" s="82"/>
      <c r="U967" s="292"/>
      <c r="V967" s="132"/>
      <c r="W967" s="121"/>
      <c r="X967" s="82"/>
      <c r="Y967" s="292"/>
      <c r="Z967" s="300"/>
      <c r="AA967" s="301"/>
      <c r="AB967" s="80"/>
      <c r="AC967" s="292"/>
      <c r="AD967" s="132"/>
      <c r="AE967" s="254"/>
      <c r="AF967" s="294"/>
      <c r="AG967" s="292"/>
      <c r="AH967" s="302"/>
      <c r="AI967" s="302"/>
      <c r="AJ967" s="302"/>
      <c r="AK967" s="292"/>
      <c r="AL967" s="82"/>
      <c r="AM967" s="82"/>
      <c r="AN967" s="82"/>
      <c r="AO967" s="292"/>
      <c r="AP967" s="82"/>
      <c r="AQ967" s="82"/>
      <c r="AR967" s="82"/>
      <c r="AS967" s="292"/>
      <c r="AT967" s="82"/>
      <c r="AU967" s="82"/>
      <c r="AV967" s="82"/>
    </row>
    <row r="968">
      <c r="A968" s="292"/>
      <c r="B968" s="132"/>
      <c r="C968" s="121"/>
      <c r="D968" s="82"/>
      <c r="E968" s="292"/>
      <c r="F968" s="132"/>
      <c r="G968" s="121"/>
      <c r="H968" s="82"/>
      <c r="I968" s="292"/>
      <c r="J968" s="132"/>
      <c r="K968" s="121"/>
      <c r="L968" s="82"/>
      <c r="M968" s="292"/>
      <c r="N968" s="132"/>
      <c r="O968" s="121"/>
      <c r="P968" s="82"/>
      <c r="Q968" s="292"/>
      <c r="R968" s="132"/>
      <c r="S968" s="121"/>
      <c r="T968" s="82"/>
      <c r="U968" s="292"/>
      <c r="V968" s="132"/>
      <c r="W968" s="121"/>
      <c r="X968" s="82"/>
      <c r="Y968" s="292"/>
      <c r="Z968" s="300"/>
      <c r="AA968" s="301"/>
      <c r="AB968" s="80"/>
      <c r="AC968" s="292"/>
      <c r="AD968" s="132"/>
      <c r="AE968" s="254"/>
      <c r="AF968" s="294"/>
      <c r="AG968" s="292"/>
      <c r="AH968" s="302"/>
      <c r="AI968" s="302"/>
      <c r="AJ968" s="302"/>
      <c r="AK968" s="292"/>
      <c r="AL968" s="82"/>
      <c r="AM968" s="82"/>
      <c r="AN968" s="82"/>
      <c r="AO968" s="292"/>
      <c r="AP968" s="82"/>
      <c r="AQ968" s="82"/>
      <c r="AR968" s="82"/>
      <c r="AS968" s="292"/>
      <c r="AT968" s="82"/>
      <c r="AU968" s="82"/>
      <c r="AV968" s="82"/>
    </row>
    <row r="969">
      <c r="A969" s="292"/>
      <c r="B969" s="132"/>
      <c r="C969" s="121"/>
      <c r="D969" s="82"/>
      <c r="E969" s="292"/>
      <c r="F969" s="132"/>
      <c r="G969" s="121"/>
      <c r="H969" s="82"/>
      <c r="I969" s="292"/>
      <c r="J969" s="132"/>
      <c r="K969" s="121"/>
      <c r="L969" s="82"/>
      <c r="M969" s="292"/>
      <c r="N969" s="132"/>
      <c r="O969" s="121"/>
      <c r="P969" s="82"/>
      <c r="Q969" s="292"/>
      <c r="R969" s="132"/>
      <c r="S969" s="121"/>
      <c r="T969" s="82"/>
      <c r="U969" s="292"/>
      <c r="V969" s="132"/>
      <c r="W969" s="121"/>
      <c r="X969" s="82"/>
      <c r="Y969" s="292"/>
      <c r="Z969" s="300"/>
      <c r="AA969" s="301"/>
      <c r="AB969" s="80"/>
      <c r="AC969" s="292"/>
      <c r="AD969" s="132"/>
      <c r="AE969" s="254"/>
      <c r="AF969" s="294"/>
      <c r="AG969" s="292"/>
      <c r="AH969" s="302"/>
      <c r="AI969" s="302"/>
      <c r="AJ969" s="302"/>
      <c r="AK969" s="292"/>
      <c r="AL969" s="82"/>
      <c r="AM969" s="82"/>
      <c r="AN969" s="82"/>
      <c r="AO969" s="292"/>
      <c r="AP969" s="82"/>
      <c r="AQ969" s="82"/>
      <c r="AR969" s="82"/>
      <c r="AS969" s="292"/>
      <c r="AT969" s="82"/>
      <c r="AU969" s="82"/>
      <c r="AV969" s="82"/>
    </row>
    <row r="970">
      <c r="A970" s="292"/>
      <c r="B970" s="132"/>
      <c r="C970" s="121"/>
      <c r="D970" s="82"/>
      <c r="E970" s="292"/>
      <c r="F970" s="132"/>
      <c r="G970" s="121"/>
      <c r="H970" s="82"/>
      <c r="I970" s="292"/>
      <c r="J970" s="132"/>
      <c r="K970" s="121"/>
      <c r="L970" s="82"/>
      <c r="M970" s="292"/>
      <c r="N970" s="132"/>
      <c r="O970" s="121"/>
      <c r="P970" s="82"/>
      <c r="Q970" s="292"/>
      <c r="R970" s="132"/>
      <c r="S970" s="121"/>
      <c r="T970" s="82"/>
      <c r="U970" s="292"/>
      <c r="V970" s="132"/>
      <c r="W970" s="121"/>
      <c r="X970" s="82"/>
      <c r="Y970" s="292"/>
      <c r="Z970" s="300"/>
      <c r="AA970" s="301"/>
      <c r="AB970" s="80"/>
      <c r="AC970" s="292"/>
      <c r="AD970" s="132"/>
      <c r="AE970" s="254"/>
      <c r="AF970" s="294"/>
      <c r="AG970" s="292"/>
      <c r="AH970" s="302"/>
      <c r="AI970" s="302"/>
      <c r="AJ970" s="302"/>
      <c r="AK970" s="292"/>
      <c r="AL970" s="82"/>
      <c r="AM970" s="82"/>
      <c r="AN970" s="82"/>
      <c r="AO970" s="292"/>
      <c r="AP970" s="82"/>
      <c r="AQ970" s="82"/>
      <c r="AR970" s="82"/>
      <c r="AS970" s="292"/>
      <c r="AT970" s="82"/>
      <c r="AU970" s="82"/>
      <c r="AV970" s="82"/>
    </row>
    <row r="971">
      <c r="A971" s="292"/>
      <c r="B971" s="132"/>
      <c r="C971" s="121"/>
      <c r="D971" s="82"/>
      <c r="E971" s="292"/>
      <c r="F971" s="132"/>
      <c r="G971" s="121"/>
      <c r="H971" s="82"/>
      <c r="I971" s="292"/>
      <c r="J971" s="132"/>
      <c r="K971" s="121"/>
      <c r="L971" s="82"/>
      <c r="M971" s="292"/>
      <c r="N971" s="132"/>
      <c r="O971" s="121"/>
      <c r="P971" s="82"/>
      <c r="Q971" s="292"/>
      <c r="R971" s="132"/>
      <c r="S971" s="121"/>
      <c r="T971" s="82"/>
      <c r="U971" s="292"/>
      <c r="V971" s="132"/>
      <c r="W971" s="121"/>
      <c r="X971" s="82"/>
      <c r="Y971" s="292"/>
      <c r="Z971" s="300"/>
      <c r="AA971" s="301"/>
      <c r="AB971" s="80"/>
      <c r="AC971" s="292"/>
      <c r="AD971" s="132"/>
      <c r="AE971" s="254"/>
      <c r="AF971" s="294"/>
      <c r="AG971" s="292"/>
      <c r="AH971" s="302"/>
      <c r="AI971" s="302"/>
      <c r="AJ971" s="302"/>
      <c r="AK971" s="292"/>
      <c r="AL971" s="82"/>
      <c r="AM971" s="82"/>
      <c r="AN971" s="82"/>
      <c r="AO971" s="292"/>
      <c r="AP971" s="82"/>
      <c r="AQ971" s="82"/>
      <c r="AR971" s="82"/>
      <c r="AS971" s="292"/>
      <c r="AT971" s="82"/>
      <c r="AU971" s="82"/>
      <c r="AV971" s="82"/>
    </row>
    <row r="972">
      <c r="A972" s="292"/>
      <c r="B972" s="132"/>
      <c r="C972" s="121"/>
      <c r="D972" s="82"/>
      <c r="E972" s="292"/>
      <c r="F972" s="132"/>
      <c r="G972" s="121"/>
      <c r="H972" s="82"/>
      <c r="I972" s="292"/>
      <c r="J972" s="132"/>
      <c r="K972" s="121"/>
      <c r="L972" s="82"/>
      <c r="M972" s="292"/>
      <c r="N972" s="132"/>
      <c r="O972" s="121"/>
      <c r="P972" s="82"/>
      <c r="Q972" s="292"/>
      <c r="R972" s="132"/>
      <c r="S972" s="121"/>
      <c r="T972" s="82"/>
      <c r="U972" s="292"/>
      <c r="V972" s="132"/>
      <c r="W972" s="121"/>
      <c r="X972" s="82"/>
      <c r="Y972" s="292"/>
      <c r="Z972" s="300"/>
      <c r="AA972" s="301"/>
      <c r="AB972" s="80"/>
      <c r="AC972" s="292"/>
      <c r="AD972" s="132"/>
      <c r="AE972" s="254"/>
      <c r="AF972" s="294"/>
      <c r="AG972" s="292"/>
      <c r="AH972" s="302"/>
      <c r="AI972" s="302"/>
      <c r="AJ972" s="302"/>
      <c r="AK972" s="292"/>
      <c r="AL972" s="82"/>
      <c r="AM972" s="82"/>
      <c r="AN972" s="82"/>
      <c r="AO972" s="292"/>
      <c r="AP972" s="82"/>
      <c r="AQ972" s="82"/>
      <c r="AR972" s="82"/>
      <c r="AS972" s="292"/>
      <c r="AT972" s="82"/>
      <c r="AU972" s="82"/>
      <c r="AV972" s="82"/>
    </row>
    <row r="973">
      <c r="A973" s="292"/>
      <c r="B973" s="132"/>
      <c r="C973" s="121"/>
      <c r="D973" s="82"/>
      <c r="E973" s="292"/>
      <c r="F973" s="132"/>
      <c r="G973" s="121"/>
      <c r="H973" s="82"/>
      <c r="I973" s="292"/>
      <c r="J973" s="132"/>
      <c r="K973" s="121"/>
      <c r="L973" s="82"/>
      <c r="M973" s="292"/>
      <c r="N973" s="132"/>
      <c r="O973" s="121"/>
      <c r="P973" s="82"/>
      <c r="Q973" s="292"/>
      <c r="R973" s="132"/>
      <c r="S973" s="121"/>
      <c r="T973" s="82"/>
      <c r="U973" s="292"/>
      <c r="V973" s="132"/>
      <c r="W973" s="121"/>
      <c r="X973" s="82"/>
      <c r="Y973" s="292"/>
      <c r="Z973" s="300"/>
      <c r="AA973" s="301"/>
      <c r="AB973" s="80"/>
      <c r="AC973" s="292"/>
      <c r="AD973" s="132"/>
      <c r="AE973" s="254"/>
      <c r="AF973" s="294"/>
      <c r="AG973" s="292"/>
      <c r="AH973" s="302"/>
      <c r="AI973" s="302"/>
      <c r="AJ973" s="302"/>
      <c r="AK973" s="292"/>
      <c r="AL973" s="82"/>
      <c r="AM973" s="82"/>
      <c r="AN973" s="82"/>
      <c r="AO973" s="292"/>
      <c r="AP973" s="82"/>
      <c r="AQ973" s="82"/>
      <c r="AR973" s="82"/>
      <c r="AS973" s="292"/>
      <c r="AT973" s="82"/>
      <c r="AU973" s="82"/>
      <c r="AV973" s="82"/>
    </row>
    <row r="974">
      <c r="A974" s="292"/>
      <c r="B974" s="132"/>
      <c r="C974" s="121"/>
      <c r="D974" s="82"/>
      <c r="E974" s="292"/>
      <c r="F974" s="132"/>
      <c r="G974" s="121"/>
      <c r="H974" s="82"/>
      <c r="I974" s="292"/>
      <c r="J974" s="132"/>
      <c r="K974" s="121"/>
      <c r="L974" s="82"/>
      <c r="M974" s="292"/>
      <c r="N974" s="132"/>
      <c r="O974" s="121"/>
      <c r="P974" s="82"/>
      <c r="Q974" s="292"/>
      <c r="R974" s="132"/>
      <c r="S974" s="121"/>
      <c r="T974" s="82"/>
      <c r="U974" s="292"/>
      <c r="V974" s="132"/>
      <c r="W974" s="121"/>
      <c r="X974" s="82"/>
      <c r="Y974" s="292"/>
      <c r="Z974" s="300"/>
      <c r="AA974" s="301"/>
      <c r="AB974" s="80"/>
      <c r="AC974" s="292"/>
      <c r="AD974" s="132"/>
      <c r="AE974" s="254"/>
      <c r="AF974" s="294"/>
      <c r="AG974" s="292"/>
      <c r="AH974" s="302"/>
      <c r="AI974" s="302"/>
      <c r="AJ974" s="302"/>
      <c r="AK974" s="292"/>
      <c r="AL974" s="82"/>
      <c r="AM974" s="82"/>
      <c r="AN974" s="82"/>
      <c r="AO974" s="292"/>
      <c r="AP974" s="82"/>
      <c r="AQ974" s="82"/>
      <c r="AR974" s="82"/>
      <c r="AS974" s="292"/>
      <c r="AT974" s="82"/>
      <c r="AU974" s="82"/>
      <c r="AV974" s="82"/>
    </row>
    <row r="975">
      <c r="A975" s="292"/>
      <c r="B975" s="132"/>
      <c r="C975" s="121"/>
      <c r="D975" s="82"/>
      <c r="E975" s="292"/>
      <c r="F975" s="132"/>
      <c r="G975" s="121"/>
      <c r="H975" s="82"/>
      <c r="I975" s="292"/>
      <c r="J975" s="132"/>
      <c r="K975" s="121"/>
      <c r="L975" s="82"/>
      <c r="M975" s="292"/>
      <c r="N975" s="132"/>
      <c r="O975" s="121"/>
      <c r="P975" s="82"/>
      <c r="Q975" s="292"/>
      <c r="R975" s="132"/>
      <c r="S975" s="121"/>
      <c r="T975" s="82"/>
      <c r="U975" s="292"/>
      <c r="V975" s="132"/>
      <c r="W975" s="121"/>
      <c r="X975" s="82"/>
      <c r="Y975" s="292"/>
      <c r="Z975" s="300"/>
      <c r="AA975" s="301"/>
      <c r="AB975" s="80"/>
      <c r="AC975" s="292"/>
      <c r="AD975" s="132"/>
      <c r="AE975" s="254"/>
      <c r="AF975" s="294"/>
      <c r="AG975" s="292"/>
      <c r="AH975" s="302"/>
      <c r="AI975" s="302"/>
      <c r="AJ975" s="302"/>
      <c r="AK975" s="292"/>
      <c r="AL975" s="82"/>
      <c r="AM975" s="82"/>
      <c r="AN975" s="82"/>
      <c r="AO975" s="292"/>
      <c r="AP975" s="82"/>
      <c r="AQ975" s="82"/>
      <c r="AR975" s="82"/>
      <c r="AS975" s="292"/>
      <c r="AT975" s="82"/>
      <c r="AU975" s="82"/>
      <c r="AV975" s="82"/>
    </row>
    <row r="976">
      <c r="A976" s="292"/>
      <c r="B976" s="132"/>
      <c r="C976" s="121"/>
      <c r="D976" s="82"/>
      <c r="E976" s="292"/>
      <c r="F976" s="132"/>
      <c r="G976" s="121"/>
      <c r="H976" s="82"/>
      <c r="I976" s="292"/>
      <c r="J976" s="132"/>
      <c r="K976" s="121"/>
      <c r="L976" s="82"/>
      <c r="M976" s="292"/>
      <c r="N976" s="132"/>
      <c r="O976" s="121"/>
      <c r="P976" s="82"/>
      <c r="Q976" s="292"/>
      <c r="R976" s="132"/>
      <c r="S976" s="121"/>
      <c r="T976" s="82"/>
      <c r="U976" s="292"/>
      <c r="V976" s="132"/>
      <c r="W976" s="121"/>
      <c r="X976" s="82"/>
      <c r="Y976" s="292"/>
      <c r="Z976" s="300"/>
      <c r="AA976" s="301"/>
      <c r="AB976" s="80"/>
      <c r="AC976" s="292"/>
      <c r="AD976" s="132"/>
      <c r="AE976" s="254"/>
      <c r="AF976" s="294"/>
      <c r="AG976" s="292"/>
      <c r="AH976" s="302"/>
      <c r="AI976" s="302"/>
      <c r="AJ976" s="302"/>
      <c r="AK976" s="292"/>
      <c r="AL976" s="82"/>
      <c r="AM976" s="82"/>
      <c r="AN976" s="82"/>
      <c r="AO976" s="292"/>
      <c r="AP976" s="82"/>
      <c r="AQ976" s="82"/>
      <c r="AR976" s="82"/>
      <c r="AS976" s="292"/>
      <c r="AT976" s="82"/>
      <c r="AU976" s="82"/>
      <c r="AV976" s="82"/>
    </row>
    <row r="977">
      <c r="A977" s="292"/>
      <c r="B977" s="132"/>
      <c r="C977" s="121"/>
      <c r="D977" s="82"/>
      <c r="E977" s="292"/>
      <c r="F977" s="132"/>
      <c r="G977" s="121"/>
      <c r="H977" s="82"/>
      <c r="I977" s="292"/>
      <c r="J977" s="132"/>
      <c r="K977" s="121"/>
      <c r="L977" s="82"/>
      <c r="M977" s="292"/>
      <c r="N977" s="132"/>
      <c r="O977" s="121"/>
      <c r="P977" s="82"/>
      <c r="Q977" s="292"/>
      <c r="R977" s="132"/>
      <c r="S977" s="121"/>
      <c r="T977" s="82"/>
      <c r="U977" s="292"/>
      <c r="V977" s="132"/>
      <c r="W977" s="121"/>
      <c r="X977" s="82"/>
      <c r="Y977" s="292"/>
      <c r="Z977" s="300"/>
      <c r="AA977" s="301"/>
      <c r="AB977" s="80"/>
      <c r="AC977" s="292"/>
      <c r="AD977" s="132"/>
      <c r="AE977" s="254"/>
      <c r="AF977" s="294"/>
      <c r="AG977" s="292"/>
      <c r="AH977" s="302"/>
      <c r="AI977" s="302"/>
      <c r="AJ977" s="302"/>
      <c r="AK977" s="292"/>
      <c r="AL977" s="82"/>
      <c r="AM977" s="82"/>
      <c r="AN977" s="82"/>
      <c r="AO977" s="292"/>
      <c r="AP977" s="82"/>
      <c r="AQ977" s="82"/>
      <c r="AR977" s="82"/>
      <c r="AS977" s="292"/>
      <c r="AT977" s="82"/>
      <c r="AU977" s="82"/>
      <c r="AV977" s="82"/>
    </row>
    <row r="978">
      <c r="A978" s="292"/>
      <c r="B978" s="132"/>
      <c r="C978" s="121"/>
      <c r="D978" s="82"/>
      <c r="E978" s="292"/>
      <c r="F978" s="132"/>
      <c r="G978" s="121"/>
      <c r="H978" s="82"/>
      <c r="I978" s="292"/>
      <c r="J978" s="132"/>
      <c r="K978" s="121"/>
      <c r="L978" s="82"/>
      <c r="M978" s="292"/>
      <c r="N978" s="132"/>
      <c r="O978" s="121"/>
      <c r="P978" s="82"/>
      <c r="Q978" s="292"/>
      <c r="R978" s="132"/>
      <c r="S978" s="121"/>
      <c r="T978" s="82"/>
      <c r="U978" s="292"/>
      <c r="V978" s="132"/>
      <c r="W978" s="121"/>
      <c r="X978" s="82"/>
      <c r="Y978" s="292"/>
      <c r="Z978" s="300"/>
      <c r="AA978" s="301"/>
      <c r="AB978" s="80"/>
      <c r="AC978" s="292"/>
      <c r="AD978" s="132"/>
      <c r="AE978" s="254"/>
      <c r="AF978" s="294"/>
      <c r="AG978" s="292"/>
      <c r="AH978" s="302"/>
      <c r="AI978" s="302"/>
      <c r="AJ978" s="302"/>
      <c r="AK978" s="292"/>
      <c r="AL978" s="82"/>
      <c r="AM978" s="82"/>
      <c r="AN978" s="82"/>
      <c r="AO978" s="292"/>
      <c r="AP978" s="82"/>
      <c r="AQ978" s="82"/>
      <c r="AR978" s="82"/>
      <c r="AS978" s="292"/>
      <c r="AT978" s="82"/>
      <c r="AU978" s="82"/>
      <c r="AV978" s="82"/>
    </row>
    <row r="979">
      <c r="A979" s="292"/>
      <c r="B979" s="132"/>
      <c r="C979" s="121"/>
      <c r="D979" s="82"/>
      <c r="E979" s="292"/>
      <c r="F979" s="132"/>
      <c r="G979" s="121"/>
      <c r="H979" s="82"/>
      <c r="I979" s="292"/>
      <c r="J979" s="132"/>
      <c r="K979" s="121"/>
      <c r="L979" s="82"/>
      <c r="M979" s="292"/>
      <c r="N979" s="132"/>
      <c r="O979" s="121"/>
      <c r="P979" s="82"/>
      <c r="Q979" s="292"/>
      <c r="R979" s="132"/>
      <c r="S979" s="121"/>
      <c r="T979" s="82"/>
      <c r="U979" s="292"/>
      <c r="V979" s="132"/>
      <c r="W979" s="121"/>
      <c r="X979" s="82"/>
      <c r="Y979" s="292"/>
      <c r="Z979" s="303"/>
      <c r="AA979" s="16"/>
      <c r="AB979" s="16"/>
      <c r="AC979" s="292"/>
      <c r="AD979" s="70"/>
      <c r="AE979" s="236"/>
      <c r="AF979" s="236"/>
      <c r="AG979" s="292"/>
      <c r="AH979" s="302"/>
      <c r="AI979" s="302"/>
      <c r="AJ979" s="302"/>
      <c r="AK979" s="292"/>
      <c r="AL979" s="70"/>
      <c r="AM979" s="70"/>
      <c r="AN979" s="70"/>
      <c r="AO979" s="292"/>
      <c r="AP979" s="70"/>
      <c r="AQ979" s="70"/>
      <c r="AR979" s="70"/>
      <c r="AS979" s="292"/>
      <c r="AT979" s="70"/>
      <c r="AU979" s="70"/>
      <c r="AV979" s="70"/>
    </row>
    <row r="980">
      <c r="A980" s="292"/>
      <c r="B980" s="132"/>
      <c r="C980" s="121"/>
      <c r="D980" s="82"/>
      <c r="E980" s="292"/>
      <c r="F980" s="132"/>
      <c r="G980" s="121"/>
      <c r="H980" s="82"/>
      <c r="I980" s="292"/>
      <c r="J980" s="132"/>
      <c r="K980" s="121"/>
      <c r="L980" s="82"/>
      <c r="M980" s="292"/>
      <c r="N980" s="132"/>
      <c r="O980" s="121"/>
      <c r="P980" s="82"/>
      <c r="Q980" s="292"/>
      <c r="R980" s="132"/>
      <c r="S980" s="121"/>
      <c r="T980" s="82"/>
      <c r="U980" s="292"/>
      <c r="V980" s="132"/>
      <c r="W980" s="121"/>
      <c r="X980" s="82"/>
      <c r="Y980" s="292"/>
      <c r="Z980" s="303"/>
      <c r="AA980" s="16"/>
      <c r="AB980" s="16"/>
      <c r="AC980" s="292"/>
      <c r="AD980" s="70"/>
      <c r="AE980" s="236"/>
      <c r="AF980" s="236"/>
      <c r="AG980" s="292"/>
      <c r="AH980" s="302"/>
      <c r="AI980" s="302"/>
      <c r="AJ980" s="302"/>
      <c r="AK980" s="292"/>
      <c r="AL980" s="70"/>
      <c r="AM980" s="70"/>
      <c r="AN980" s="70"/>
      <c r="AO980" s="292"/>
      <c r="AP980" s="70"/>
      <c r="AQ980" s="70"/>
      <c r="AR980" s="70"/>
      <c r="AS980" s="292"/>
      <c r="AT980" s="70"/>
      <c r="AU980" s="70"/>
      <c r="AV980" s="70"/>
    </row>
    <row r="981">
      <c r="A981" s="292"/>
      <c r="B981" s="132"/>
      <c r="C981" s="121"/>
      <c r="D981" s="82"/>
      <c r="E981" s="292"/>
      <c r="F981" s="132"/>
      <c r="G981" s="121"/>
      <c r="H981" s="82"/>
      <c r="I981" s="292"/>
      <c r="J981" s="132"/>
      <c r="K981" s="121"/>
      <c r="L981" s="82"/>
      <c r="M981" s="292"/>
      <c r="N981" s="132"/>
      <c r="O981" s="121"/>
      <c r="P981" s="82"/>
      <c r="Q981" s="292"/>
      <c r="R981" s="132"/>
      <c r="S981" s="121"/>
      <c r="T981" s="82"/>
      <c r="U981" s="292"/>
      <c r="V981" s="132"/>
      <c r="W981" s="121"/>
      <c r="X981" s="82"/>
      <c r="Y981" s="292"/>
      <c r="Z981" s="303"/>
      <c r="AA981" s="16"/>
      <c r="AB981" s="16"/>
      <c r="AC981" s="292"/>
      <c r="AD981" s="70"/>
      <c r="AE981" s="236"/>
      <c r="AF981" s="236"/>
      <c r="AG981" s="292"/>
      <c r="AH981" s="302"/>
      <c r="AI981" s="302"/>
      <c r="AJ981" s="302"/>
      <c r="AK981" s="292"/>
      <c r="AL981" s="70"/>
      <c r="AM981" s="70"/>
      <c r="AN981" s="70"/>
      <c r="AO981" s="292"/>
      <c r="AP981" s="70"/>
      <c r="AQ981" s="70"/>
      <c r="AR981" s="70"/>
      <c r="AS981" s="292"/>
      <c r="AT981" s="70"/>
      <c r="AU981" s="70"/>
      <c r="AV981" s="70"/>
    </row>
    <row r="982">
      <c r="A982" s="292"/>
      <c r="B982" s="132"/>
      <c r="C982" s="121"/>
      <c r="D982" s="82"/>
      <c r="E982" s="292"/>
      <c r="F982" s="132"/>
      <c r="G982" s="121"/>
      <c r="H982" s="82"/>
      <c r="I982" s="292"/>
      <c r="J982" s="132"/>
      <c r="K982" s="121"/>
      <c r="L982" s="82"/>
      <c r="M982" s="292"/>
      <c r="N982" s="132"/>
      <c r="O982" s="121"/>
      <c r="P982" s="82"/>
      <c r="Q982" s="292"/>
      <c r="R982" s="132"/>
      <c r="S982" s="121"/>
      <c r="T982" s="82"/>
      <c r="U982" s="292"/>
      <c r="V982" s="132"/>
      <c r="W982" s="121"/>
      <c r="X982" s="82"/>
      <c r="Y982" s="292"/>
      <c r="Z982" s="303"/>
      <c r="AA982" s="16"/>
      <c r="AB982" s="16"/>
      <c r="AC982" s="292"/>
      <c r="AD982" s="70"/>
      <c r="AE982" s="236"/>
      <c r="AF982" s="236"/>
      <c r="AG982" s="292"/>
      <c r="AH982" s="302"/>
      <c r="AI982" s="302"/>
      <c r="AJ982" s="302"/>
      <c r="AK982" s="292"/>
      <c r="AL982" s="70"/>
      <c r="AM982" s="70"/>
      <c r="AN982" s="70"/>
      <c r="AO982" s="292"/>
      <c r="AP982" s="70"/>
      <c r="AQ982" s="70"/>
      <c r="AR982" s="70"/>
      <c r="AS982" s="292"/>
      <c r="AT982" s="70"/>
      <c r="AU982" s="70"/>
      <c r="AV982" s="70"/>
    </row>
    <row r="983">
      <c r="A983" s="292"/>
      <c r="B983" s="132"/>
      <c r="C983" s="121"/>
      <c r="D983" s="82"/>
      <c r="E983" s="292"/>
      <c r="F983" s="132"/>
      <c r="G983" s="121"/>
      <c r="H983" s="82"/>
      <c r="I983" s="292"/>
      <c r="J983" s="132"/>
      <c r="K983" s="121"/>
      <c r="L983" s="82"/>
      <c r="M983" s="292"/>
      <c r="N983" s="132"/>
      <c r="O983" s="121"/>
      <c r="P983" s="82"/>
      <c r="Q983" s="292"/>
      <c r="R983" s="132"/>
      <c r="S983" s="121"/>
      <c r="T983" s="82"/>
      <c r="U983" s="292"/>
      <c r="V983" s="132"/>
      <c r="W983" s="121"/>
      <c r="X983" s="82"/>
      <c r="Y983" s="292"/>
      <c r="Z983" s="70"/>
      <c r="AA983" s="304"/>
      <c r="AB983" s="304"/>
      <c r="AC983" s="292"/>
      <c r="AD983" s="70"/>
      <c r="AE983" s="236"/>
      <c r="AF983" s="236"/>
      <c r="AG983" s="292"/>
      <c r="AH983" s="302"/>
      <c r="AI983" s="302"/>
      <c r="AJ983" s="302"/>
      <c r="AK983" s="292"/>
      <c r="AL983" s="70"/>
      <c r="AM983" s="70"/>
      <c r="AN983" s="70"/>
      <c r="AO983" s="292"/>
      <c r="AP983" s="70"/>
      <c r="AQ983" s="70"/>
      <c r="AR983" s="70"/>
      <c r="AS983" s="292"/>
      <c r="AT983" s="70"/>
      <c r="AU983" s="70"/>
      <c r="AV983" s="70"/>
    </row>
    <row r="984">
      <c r="A984" s="292"/>
      <c r="B984" s="132"/>
      <c r="C984" s="121"/>
      <c r="D984" s="82"/>
      <c r="E984" s="292"/>
      <c r="F984" s="132"/>
      <c r="G984" s="121"/>
      <c r="H984" s="82"/>
      <c r="I984" s="292"/>
      <c r="J984" s="132"/>
      <c r="K984" s="121"/>
      <c r="L984" s="82"/>
      <c r="M984" s="292"/>
      <c r="N984" s="132"/>
      <c r="O984" s="121"/>
      <c r="P984" s="82"/>
      <c r="Q984" s="292"/>
      <c r="R984" s="132"/>
      <c r="S984" s="121"/>
      <c r="T984" s="82"/>
      <c r="U984" s="292"/>
      <c r="V984" s="132"/>
      <c r="W984" s="121"/>
      <c r="X984" s="82"/>
      <c r="Y984" s="292"/>
      <c r="Z984" s="70"/>
      <c r="AA984" s="304"/>
      <c r="AB984" s="304"/>
      <c r="AC984" s="292"/>
      <c r="AD984" s="70"/>
      <c r="AE984" s="236"/>
      <c r="AF984" s="236"/>
      <c r="AG984" s="292"/>
      <c r="AH984" s="302"/>
      <c r="AI984" s="302"/>
      <c r="AJ984" s="302"/>
      <c r="AK984" s="292"/>
      <c r="AL984" s="70"/>
      <c r="AM984" s="70"/>
      <c r="AN984" s="70"/>
      <c r="AO984" s="292"/>
      <c r="AP984" s="70"/>
      <c r="AQ984" s="70"/>
      <c r="AR984" s="70"/>
      <c r="AS984" s="292"/>
      <c r="AT984" s="70"/>
      <c r="AU984" s="70"/>
      <c r="AV984" s="70"/>
    </row>
    <row r="985">
      <c r="A985" s="292"/>
      <c r="B985" s="132"/>
      <c r="C985" s="121"/>
      <c r="D985" s="82"/>
      <c r="E985" s="292"/>
      <c r="F985" s="132"/>
      <c r="G985" s="121"/>
      <c r="H985" s="82"/>
      <c r="I985" s="292"/>
      <c r="J985" s="132"/>
      <c r="K985" s="121"/>
      <c r="L985" s="82"/>
      <c r="M985" s="292"/>
      <c r="N985" s="132"/>
      <c r="O985" s="121"/>
      <c r="P985" s="82"/>
      <c r="Q985" s="292"/>
      <c r="R985" s="132"/>
      <c r="S985" s="121"/>
      <c r="T985" s="82"/>
      <c r="U985" s="292"/>
      <c r="V985" s="132"/>
      <c r="W985" s="121"/>
      <c r="X985" s="82"/>
      <c r="Y985" s="292"/>
      <c r="Z985" s="70"/>
      <c r="AA985" s="304"/>
      <c r="AB985" s="304"/>
      <c r="AC985" s="292"/>
      <c r="AD985" s="70"/>
      <c r="AE985" s="236"/>
      <c r="AF985" s="236"/>
      <c r="AG985" s="292"/>
      <c r="AH985" s="302"/>
      <c r="AI985" s="302"/>
      <c r="AJ985" s="302"/>
      <c r="AK985" s="292"/>
      <c r="AL985" s="70"/>
      <c r="AM985" s="70"/>
      <c r="AN985" s="70"/>
      <c r="AO985" s="292"/>
      <c r="AP985" s="70"/>
      <c r="AQ985" s="70"/>
      <c r="AR985" s="70"/>
      <c r="AS985" s="292"/>
      <c r="AT985" s="70"/>
      <c r="AU985" s="70"/>
      <c r="AV985" s="70"/>
    </row>
    <row r="986">
      <c r="A986" s="292"/>
      <c r="B986" s="132"/>
      <c r="C986" s="121"/>
      <c r="D986" s="82"/>
      <c r="E986" s="292"/>
      <c r="F986" s="132"/>
      <c r="G986" s="121"/>
      <c r="H986" s="82"/>
      <c r="I986" s="292"/>
      <c r="J986" s="132"/>
      <c r="K986" s="121"/>
      <c r="L986" s="82"/>
      <c r="M986" s="292"/>
      <c r="N986" s="132"/>
      <c r="O986" s="121"/>
      <c r="P986" s="82"/>
      <c r="Q986" s="292"/>
      <c r="R986" s="132"/>
      <c r="S986" s="121"/>
      <c r="T986" s="82"/>
      <c r="U986" s="292"/>
      <c r="V986" s="132"/>
      <c r="W986" s="121"/>
      <c r="X986" s="82"/>
      <c r="Y986" s="292"/>
      <c r="Z986" s="70"/>
      <c r="AA986" s="304"/>
      <c r="AB986" s="304"/>
      <c r="AC986" s="292"/>
      <c r="AD986" s="70"/>
      <c r="AE986" s="236"/>
      <c r="AF986" s="236"/>
      <c r="AG986" s="292"/>
      <c r="AH986" s="302"/>
      <c r="AI986" s="302"/>
      <c r="AJ986" s="302"/>
      <c r="AK986" s="292"/>
      <c r="AL986" s="70"/>
      <c r="AM986" s="70"/>
      <c r="AN986" s="70"/>
      <c r="AO986" s="292"/>
      <c r="AP986" s="70"/>
      <c r="AQ986" s="70"/>
      <c r="AR986" s="70"/>
      <c r="AS986" s="292"/>
      <c r="AT986" s="70"/>
      <c r="AU986" s="70"/>
      <c r="AV986" s="70"/>
    </row>
    <row r="987">
      <c r="A987" s="292"/>
      <c r="B987" s="132"/>
      <c r="C987" s="121"/>
      <c r="D987" s="82"/>
      <c r="E987" s="292"/>
      <c r="F987" s="132"/>
      <c r="G987" s="121"/>
      <c r="H987" s="82"/>
      <c r="I987" s="292"/>
      <c r="J987" s="132"/>
      <c r="K987" s="121"/>
      <c r="L987" s="82"/>
      <c r="M987" s="292"/>
      <c r="N987" s="132"/>
      <c r="O987" s="121"/>
      <c r="P987" s="82"/>
      <c r="Q987" s="292"/>
      <c r="R987" s="132"/>
      <c r="S987" s="121"/>
      <c r="T987" s="82"/>
      <c r="U987" s="292"/>
      <c r="V987" s="132"/>
      <c r="W987" s="121"/>
      <c r="X987" s="82"/>
      <c r="Y987" s="292"/>
      <c r="Z987" s="70"/>
      <c r="AA987" s="304"/>
      <c r="AB987" s="304"/>
      <c r="AC987" s="292"/>
      <c r="AD987" s="70"/>
      <c r="AE987" s="236"/>
      <c r="AF987" s="236"/>
      <c r="AG987" s="292"/>
      <c r="AH987" s="302"/>
      <c r="AI987" s="302"/>
      <c r="AJ987" s="302"/>
      <c r="AK987" s="292"/>
      <c r="AL987" s="70"/>
      <c r="AM987" s="70"/>
      <c r="AN987" s="70"/>
      <c r="AO987" s="292"/>
      <c r="AP987" s="70"/>
      <c r="AQ987" s="70"/>
      <c r="AR987" s="70"/>
      <c r="AS987" s="292"/>
      <c r="AT987" s="70"/>
      <c r="AU987" s="70"/>
      <c r="AV987" s="70"/>
    </row>
    <row r="988">
      <c r="A988" s="292"/>
      <c r="B988" s="132"/>
      <c r="C988" s="121"/>
      <c r="D988" s="82"/>
      <c r="E988" s="292"/>
      <c r="F988" s="132"/>
      <c r="G988" s="121"/>
      <c r="H988" s="82"/>
      <c r="I988" s="292"/>
      <c r="J988" s="132"/>
      <c r="K988" s="121"/>
      <c r="L988" s="82"/>
      <c r="M988" s="292"/>
      <c r="N988" s="132"/>
      <c r="O988" s="121"/>
      <c r="P988" s="82"/>
      <c r="Q988" s="292"/>
      <c r="R988" s="132"/>
      <c r="S988" s="121"/>
      <c r="T988" s="82"/>
      <c r="U988" s="292"/>
      <c r="V988" s="132"/>
      <c r="W988" s="121"/>
      <c r="X988" s="82"/>
      <c r="Y988" s="292"/>
      <c r="Z988" s="70"/>
      <c r="AA988" s="304"/>
      <c r="AB988" s="304"/>
      <c r="AC988" s="292"/>
      <c r="AD988" s="70"/>
      <c r="AE988" s="236"/>
      <c r="AF988" s="236"/>
      <c r="AG988" s="292"/>
      <c r="AH988" s="302"/>
      <c r="AI988" s="302"/>
      <c r="AJ988" s="302"/>
      <c r="AK988" s="292"/>
      <c r="AL988" s="70"/>
      <c r="AM988" s="70"/>
      <c r="AN988" s="70"/>
      <c r="AO988" s="292"/>
      <c r="AP988" s="70"/>
      <c r="AQ988" s="70"/>
      <c r="AR988" s="70"/>
      <c r="AS988" s="292"/>
      <c r="AT988" s="70"/>
      <c r="AU988" s="70"/>
      <c r="AV988" s="70"/>
    </row>
    <row r="989">
      <c r="A989" s="292"/>
      <c r="B989" s="132"/>
      <c r="C989" s="121"/>
      <c r="D989" s="82"/>
      <c r="E989" s="292"/>
      <c r="F989" s="132"/>
      <c r="G989" s="121"/>
      <c r="H989" s="82"/>
      <c r="I989" s="292"/>
      <c r="J989" s="132"/>
      <c r="K989" s="121"/>
      <c r="L989" s="82"/>
      <c r="M989" s="292"/>
      <c r="N989" s="132"/>
      <c r="O989" s="121"/>
      <c r="P989" s="82"/>
      <c r="Q989" s="292"/>
      <c r="R989" s="132"/>
      <c r="S989" s="121"/>
      <c r="T989" s="82"/>
      <c r="U989" s="292"/>
      <c r="V989" s="132"/>
      <c r="W989" s="121"/>
      <c r="X989" s="82"/>
      <c r="Y989" s="292"/>
      <c r="Z989" s="70"/>
      <c r="AA989" s="304"/>
      <c r="AB989" s="304"/>
      <c r="AC989" s="292"/>
      <c r="AD989" s="70"/>
      <c r="AE989" s="236"/>
      <c r="AF989" s="236"/>
      <c r="AG989" s="292"/>
      <c r="AH989" s="302"/>
      <c r="AI989" s="302"/>
      <c r="AJ989" s="302"/>
      <c r="AK989" s="292"/>
      <c r="AL989" s="70"/>
      <c r="AM989" s="70"/>
      <c r="AN989" s="70"/>
      <c r="AO989" s="292"/>
      <c r="AP989" s="70"/>
      <c r="AQ989" s="70"/>
      <c r="AR989" s="70"/>
      <c r="AS989" s="292"/>
      <c r="AT989" s="70"/>
      <c r="AU989" s="70"/>
      <c r="AV989" s="70"/>
    </row>
    <row r="990">
      <c r="A990" s="292"/>
      <c r="B990" s="132"/>
      <c r="C990" s="121"/>
      <c r="D990" s="82"/>
      <c r="E990" s="292"/>
      <c r="F990" s="132"/>
      <c r="G990" s="121"/>
      <c r="H990" s="82"/>
      <c r="I990" s="292"/>
      <c r="J990" s="132"/>
      <c r="K990" s="121"/>
      <c r="L990" s="82"/>
      <c r="M990" s="292"/>
      <c r="N990" s="132"/>
      <c r="O990" s="121"/>
      <c r="P990" s="82"/>
      <c r="Q990" s="292"/>
      <c r="R990" s="132"/>
      <c r="S990" s="121"/>
      <c r="T990" s="82"/>
      <c r="U990" s="292"/>
      <c r="V990" s="132"/>
      <c r="W990" s="121"/>
      <c r="X990" s="82"/>
      <c r="Y990" s="292"/>
      <c r="Z990" s="70"/>
      <c r="AA990" s="304"/>
      <c r="AB990" s="304"/>
      <c r="AC990" s="292"/>
      <c r="AD990" s="70"/>
      <c r="AE990" s="236"/>
      <c r="AF990" s="236"/>
      <c r="AG990" s="292"/>
      <c r="AH990" s="302"/>
      <c r="AI990" s="302"/>
      <c r="AJ990" s="302"/>
      <c r="AK990" s="292"/>
      <c r="AL990" s="70"/>
      <c r="AM990" s="70"/>
      <c r="AN990" s="70"/>
      <c r="AO990" s="292"/>
      <c r="AP990" s="70"/>
      <c r="AQ990" s="70"/>
      <c r="AR990" s="70"/>
      <c r="AS990" s="292"/>
      <c r="AT990" s="70"/>
      <c r="AU990" s="70"/>
      <c r="AV990" s="70"/>
    </row>
    <row r="991">
      <c r="A991" s="292"/>
      <c r="B991" s="132"/>
      <c r="C991" s="121"/>
      <c r="D991" s="82"/>
      <c r="E991" s="292"/>
      <c r="F991" s="132"/>
      <c r="G991" s="121"/>
      <c r="H991" s="82"/>
      <c r="I991" s="292"/>
      <c r="J991" s="132"/>
      <c r="K991" s="121"/>
      <c r="L991" s="82"/>
      <c r="M991" s="292"/>
      <c r="N991" s="132"/>
      <c r="O991" s="121"/>
      <c r="P991" s="82"/>
      <c r="Q991" s="292"/>
      <c r="R991" s="132"/>
      <c r="S991" s="121"/>
      <c r="T991" s="82"/>
      <c r="U991" s="292"/>
      <c r="V991" s="132"/>
      <c r="W991" s="121"/>
      <c r="X991" s="82"/>
      <c r="Y991" s="292"/>
      <c r="Z991" s="70"/>
      <c r="AA991" s="304"/>
      <c r="AB991" s="304"/>
      <c r="AC991" s="292"/>
      <c r="AD991" s="70"/>
      <c r="AE991" s="236"/>
      <c r="AF991" s="236"/>
      <c r="AG991" s="292"/>
      <c r="AH991" s="302"/>
      <c r="AI991" s="302"/>
      <c r="AJ991" s="302"/>
      <c r="AK991" s="292"/>
      <c r="AL991" s="70"/>
      <c r="AM991" s="70"/>
      <c r="AN991" s="70"/>
      <c r="AO991" s="292"/>
      <c r="AP991" s="70"/>
      <c r="AQ991" s="70"/>
      <c r="AR991" s="70"/>
      <c r="AS991" s="292"/>
      <c r="AT991" s="70"/>
      <c r="AU991" s="70"/>
      <c r="AV991" s="70"/>
    </row>
    <row r="992">
      <c r="A992" s="292"/>
      <c r="B992" s="132"/>
      <c r="C992" s="121"/>
      <c r="D992" s="82"/>
      <c r="E992" s="292"/>
      <c r="F992" s="132"/>
      <c r="G992" s="121"/>
      <c r="H992" s="82"/>
      <c r="I992" s="292"/>
      <c r="J992" s="132"/>
      <c r="K992" s="121"/>
      <c r="L992" s="82"/>
      <c r="M992" s="292"/>
      <c r="N992" s="132"/>
      <c r="O992" s="121"/>
      <c r="P992" s="82"/>
      <c r="Q992" s="292"/>
      <c r="R992" s="132"/>
      <c r="S992" s="121"/>
      <c r="T992" s="82"/>
      <c r="U992" s="292"/>
      <c r="V992" s="132"/>
      <c r="W992" s="121"/>
      <c r="X992" s="82"/>
      <c r="Y992" s="292"/>
      <c r="Z992" s="70"/>
      <c r="AA992" s="304"/>
      <c r="AB992" s="304"/>
      <c r="AC992" s="292"/>
      <c r="AD992" s="70"/>
      <c r="AE992" s="236"/>
      <c r="AF992" s="236"/>
      <c r="AG992" s="292"/>
      <c r="AH992" s="302"/>
      <c r="AI992" s="302"/>
      <c r="AJ992" s="302"/>
      <c r="AK992" s="292"/>
      <c r="AL992" s="70"/>
      <c r="AM992" s="70"/>
      <c r="AN992" s="70"/>
      <c r="AO992" s="292"/>
      <c r="AP992" s="70"/>
      <c r="AQ992" s="70"/>
      <c r="AR992" s="70"/>
      <c r="AS992" s="292"/>
      <c r="AT992" s="70"/>
      <c r="AU992" s="70"/>
      <c r="AV992" s="70"/>
    </row>
    <row r="993">
      <c r="A993" s="292"/>
      <c r="B993" s="132"/>
      <c r="C993" s="121"/>
      <c r="D993" s="82"/>
      <c r="E993" s="292"/>
      <c r="F993" s="132"/>
      <c r="G993" s="121"/>
      <c r="H993" s="82"/>
      <c r="I993" s="292"/>
      <c r="J993" s="132"/>
      <c r="K993" s="121"/>
      <c r="L993" s="82"/>
      <c r="M993" s="292"/>
      <c r="N993" s="132"/>
      <c r="O993" s="121"/>
      <c r="P993" s="82"/>
      <c r="Q993" s="292"/>
      <c r="R993" s="132"/>
      <c r="S993" s="121"/>
      <c r="T993" s="82"/>
      <c r="U993" s="292"/>
      <c r="V993" s="132"/>
      <c r="W993" s="121"/>
      <c r="X993" s="82"/>
      <c r="Y993" s="292"/>
      <c r="Z993" s="70"/>
      <c r="AA993" s="304"/>
      <c r="AB993" s="304"/>
      <c r="AC993" s="292"/>
      <c r="AD993" s="70"/>
      <c r="AE993" s="236"/>
      <c r="AF993" s="236"/>
      <c r="AG993" s="292"/>
      <c r="AH993" s="302"/>
      <c r="AI993" s="302"/>
      <c r="AJ993" s="302"/>
      <c r="AK993" s="292"/>
      <c r="AL993" s="70"/>
      <c r="AM993" s="70"/>
      <c r="AN993" s="70"/>
      <c r="AO993" s="292"/>
      <c r="AP993" s="70"/>
      <c r="AQ993" s="70"/>
      <c r="AR993" s="70"/>
      <c r="AS993" s="292"/>
      <c r="AT993" s="70"/>
      <c r="AU993" s="70"/>
      <c r="AV993" s="70"/>
    </row>
    <row r="994">
      <c r="A994" s="292"/>
      <c r="B994" s="132"/>
      <c r="C994" s="121"/>
      <c r="D994" s="82"/>
      <c r="E994" s="292"/>
      <c r="F994" s="132"/>
      <c r="G994" s="121"/>
      <c r="H994" s="82"/>
      <c r="I994" s="292"/>
      <c r="J994" s="132"/>
      <c r="K994" s="121"/>
      <c r="L994" s="82"/>
      <c r="M994" s="292"/>
      <c r="N994" s="132"/>
      <c r="O994" s="121"/>
      <c r="P994" s="82"/>
      <c r="Q994" s="292"/>
      <c r="R994" s="132"/>
      <c r="S994" s="121"/>
      <c r="T994" s="82"/>
      <c r="U994" s="292"/>
      <c r="V994" s="132"/>
      <c r="W994" s="121"/>
      <c r="X994" s="82"/>
      <c r="Y994" s="292"/>
      <c r="Z994" s="70"/>
      <c r="AA994" s="304"/>
      <c r="AB994" s="304"/>
      <c r="AC994" s="292"/>
      <c r="AD994" s="70"/>
      <c r="AE994" s="236"/>
      <c r="AF994" s="236"/>
      <c r="AG994" s="292"/>
      <c r="AH994" s="302"/>
      <c r="AI994" s="302"/>
      <c r="AJ994" s="302"/>
      <c r="AK994" s="292"/>
      <c r="AL994" s="70"/>
      <c r="AM994" s="70"/>
      <c r="AN994" s="70"/>
      <c r="AO994" s="292"/>
      <c r="AP994" s="70"/>
      <c r="AQ994" s="70"/>
      <c r="AR994" s="70"/>
      <c r="AS994" s="292"/>
      <c r="AT994" s="70"/>
      <c r="AU994" s="70"/>
      <c r="AV994" s="70"/>
    </row>
    <row r="995">
      <c r="A995" s="292"/>
      <c r="B995" s="132"/>
      <c r="C995" s="121"/>
      <c r="D995" s="82"/>
      <c r="E995" s="292"/>
      <c r="F995" s="132"/>
      <c r="G995" s="121"/>
      <c r="H995" s="82"/>
      <c r="I995" s="292"/>
      <c r="J995" s="132"/>
      <c r="K995" s="121"/>
      <c r="L995" s="82"/>
      <c r="M995" s="292"/>
      <c r="N995" s="132"/>
      <c r="O995" s="121"/>
      <c r="P995" s="82"/>
      <c r="Q995" s="292"/>
      <c r="R995" s="132"/>
      <c r="S995" s="121"/>
      <c r="T995" s="82"/>
      <c r="U995" s="292"/>
      <c r="V995" s="132"/>
      <c r="W995" s="121"/>
      <c r="X995" s="82"/>
      <c r="Y995" s="292"/>
      <c r="Z995" s="70"/>
      <c r="AA995" s="304"/>
      <c r="AB995" s="304"/>
      <c r="AC995" s="292"/>
      <c r="AD995" s="70"/>
      <c r="AE995" s="236"/>
      <c r="AF995" s="236"/>
      <c r="AG995" s="292"/>
      <c r="AH995" s="302"/>
      <c r="AI995" s="302"/>
      <c r="AJ995" s="302"/>
      <c r="AK995" s="292"/>
      <c r="AL995" s="70"/>
      <c r="AM995" s="70"/>
      <c r="AN995" s="70"/>
      <c r="AO995" s="292"/>
      <c r="AP995" s="70"/>
      <c r="AQ995" s="70"/>
      <c r="AR995" s="70"/>
      <c r="AS995" s="292"/>
      <c r="AT995" s="70"/>
      <c r="AU995" s="70"/>
      <c r="AV995" s="70"/>
    </row>
    <row r="996">
      <c r="A996" s="292"/>
      <c r="B996" s="132"/>
      <c r="C996" s="121"/>
      <c r="D996" s="82"/>
      <c r="E996" s="292"/>
      <c r="F996" s="132"/>
      <c r="G996" s="121"/>
      <c r="H996" s="82"/>
      <c r="I996" s="292"/>
      <c r="J996" s="132"/>
      <c r="K996" s="121"/>
      <c r="L996" s="82"/>
      <c r="M996" s="292"/>
      <c r="N996" s="132"/>
      <c r="O996" s="121"/>
      <c r="P996" s="82"/>
      <c r="Q996" s="292"/>
      <c r="R996" s="132"/>
      <c r="S996" s="121"/>
      <c r="T996" s="82"/>
      <c r="U996" s="292"/>
      <c r="V996" s="132"/>
      <c r="W996" s="121"/>
      <c r="X996" s="82"/>
      <c r="Y996" s="292"/>
      <c r="Z996" s="70"/>
      <c r="AA996" s="304"/>
      <c r="AB996" s="304"/>
      <c r="AC996" s="292"/>
      <c r="AD996" s="70"/>
      <c r="AE996" s="236"/>
      <c r="AF996" s="236"/>
      <c r="AG996" s="292"/>
      <c r="AH996" s="302"/>
      <c r="AI996" s="302"/>
      <c r="AJ996" s="302"/>
      <c r="AK996" s="292"/>
      <c r="AL996" s="70"/>
      <c r="AM996" s="70"/>
      <c r="AN996" s="70"/>
      <c r="AO996" s="292"/>
      <c r="AP996" s="70"/>
      <c r="AQ996" s="70"/>
      <c r="AR996" s="70"/>
      <c r="AS996" s="292"/>
      <c r="AT996" s="70"/>
      <c r="AU996" s="70"/>
      <c r="AV996" s="70"/>
    </row>
    <row r="997">
      <c r="A997" s="292"/>
      <c r="B997" s="132"/>
      <c r="C997" s="121"/>
      <c r="D997" s="82"/>
      <c r="E997" s="292"/>
      <c r="F997" s="132"/>
      <c r="G997" s="121"/>
      <c r="H997" s="82"/>
      <c r="I997" s="292"/>
      <c r="J997" s="132"/>
      <c r="K997" s="121"/>
      <c r="L997" s="82"/>
      <c r="M997" s="292"/>
      <c r="N997" s="132"/>
      <c r="O997" s="121"/>
      <c r="P997" s="82"/>
      <c r="Q997" s="292"/>
      <c r="R997" s="132"/>
      <c r="S997" s="121"/>
      <c r="T997" s="82"/>
      <c r="U997" s="292"/>
      <c r="V997" s="132"/>
      <c r="W997" s="121"/>
      <c r="X997" s="82"/>
      <c r="Y997" s="292"/>
      <c r="Z997" s="70"/>
      <c r="AA997" s="304"/>
      <c r="AB997" s="304"/>
      <c r="AC997" s="292"/>
      <c r="AD997" s="70"/>
      <c r="AE997" s="236"/>
      <c r="AF997" s="236"/>
      <c r="AG997" s="292"/>
      <c r="AH997" s="302"/>
      <c r="AI997" s="302"/>
      <c r="AJ997" s="302"/>
      <c r="AK997" s="292"/>
      <c r="AL997" s="70"/>
      <c r="AM997" s="70"/>
      <c r="AN997" s="70"/>
      <c r="AO997" s="292"/>
      <c r="AP997" s="70"/>
      <c r="AQ997" s="70"/>
      <c r="AR997" s="70"/>
      <c r="AS997" s="292"/>
      <c r="AT997" s="70"/>
      <c r="AU997" s="70"/>
      <c r="AV997" s="70"/>
    </row>
    <row r="998">
      <c r="A998" s="292"/>
      <c r="B998" s="132"/>
      <c r="C998" s="121"/>
      <c r="D998" s="82"/>
      <c r="E998" s="292"/>
      <c r="F998" s="132"/>
      <c r="G998" s="121"/>
      <c r="H998" s="82"/>
      <c r="I998" s="292"/>
      <c r="J998" s="132"/>
      <c r="K998" s="121"/>
      <c r="L998" s="82"/>
      <c r="M998" s="292"/>
      <c r="N998" s="132"/>
      <c r="O998" s="121"/>
      <c r="P998" s="82"/>
      <c r="Q998" s="292"/>
      <c r="R998" s="132"/>
      <c r="S998" s="121"/>
      <c r="T998" s="82"/>
      <c r="U998" s="292"/>
      <c r="V998" s="132"/>
      <c r="W998" s="121"/>
      <c r="X998" s="82"/>
      <c r="Y998" s="292"/>
      <c r="Z998" s="70"/>
      <c r="AA998" s="304"/>
      <c r="AB998" s="304"/>
      <c r="AC998" s="292"/>
      <c r="AD998" s="70"/>
      <c r="AE998" s="236"/>
      <c r="AF998" s="236"/>
      <c r="AG998" s="292"/>
      <c r="AH998" s="302"/>
      <c r="AI998" s="302"/>
      <c r="AJ998" s="302"/>
      <c r="AK998" s="292"/>
      <c r="AL998" s="70"/>
      <c r="AM998" s="70"/>
      <c r="AN998" s="70"/>
      <c r="AO998" s="292"/>
      <c r="AP998" s="70"/>
      <c r="AQ998" s="70"/>
      <c r="AR998" s="70"/>
      <c r="AS998" s="292"/>
      <c r="AT998" s="70"/>
      <c r="AU998" s="70"/>
      <c r="AV998" s="70"/>
    </row>
    <row r="999">
      <c r="A999" s="292"/>
      <c r="B999" s="132"/>
      <c r="C999" s="121"/>
      <c r="D999" s="82"/>
      <c r="E999" s="292"/>
      <c r="F999" s="132"/>
      <c r="G999" s="121"/>
      <c r="H999" s="82"/>
      <c r="I999" s="292"/>
      <c r="J999" s="132"/>
      <c r="K999" s="121"/>
      <c r="L999" s="82"/>
      <c r="M999" s="292"/>
      <c r="N999" s="132"/>
      <c r="O999" s="121"/>
      <c r="P999" s="82"/>
      <c r="Q999" s="292"/>
      <c r="R999" s="132"/>
      <c r="S999" s="121"/>
      <c r="T999" s="82"/>
      <c r="U999" s="292"/>
      <c r="V999" s="132"/>
      <c r="W999" s="121"/>
      <c r="X999" s="82"/>
      <c r="Y999" s="292"/>
      <c r="Z999" s="70"/>
      <c r="AA999" s="304"/>
      <c r="AB999" s="304"/>
      <c r="AC999" s="292"/>
      <c r="AD999" s="70"/>
      <c r="AE999" s="236"/>
      <c r="AF999" s="236"/>
      <c r="AG999" s="292"/>
      <c r="AH999" s="302"/>
      <c r="AI999" s="302"/>
      <c r="AJ999" s="302"/>
      <c r="AK999" s="292"/>
      <c r="AL999" s="70"/>
      <c r="AM999" s="70"/>
      <c r="AN999" s="70"/>
      <c r="AO999" s="292"/>
      <c r="AP999" s="70"/>
      <c r="AQ999" s="70"/>
      <c r="AR999" s="70"/>
      <c r="AS999" s="292"/>
      <c r="AT999" s="70"/>
      <c r="AU999" s="70"/>
      <c r="AV999" s="70"/>
    </row>
    <row r="1000">
      <c r="A1000" s="292"/>
      <c r="B1000" s="132"/>
      <c r="C1000" s="121"/>
      <c r="D1000" s="82"/>
      <c r="E1000" s="292"/>
      <c r="F1000" s="132"/>
      <c r="G1000" s="121"/>
      <c r="H1000" s="82"/>
      <c r="I1000" s="292"/>
      <c r="J1000" s="132"/>
      <c r="K1000" s="121"/>
      <c r="L1000" s="82"/>
      <c r="M1000" s="292"/>
      <c r="N1000" s="132"/>
      <c r="O1000" s="121"/>
      <c r="P1000" s="82"/>
      <c r="Q1000" s="292"/>
      <c r="R1000" s="132"/>
      <c r="S1000" s="121"/>
      <c r="T1000" s="82"/>
      <c r="U1000" s="292"/>
      <c r="V1000" s="132"/>
      <c r="W1000" s="121"/>
      <c r="X1000" s="82"/>
      <c r="Y1000" s="292"/>
      <c r="Z1000" s="70"/>
      <c r="AA1000" s="304"/>
      <c r="AB1000" s="304"/>
      <c r="AC1000" s="292"/>
      <c r="AD1000" s="70"/>
      <c r="AE1000" s="236"/>
      <c r="AF1000" s="236"/>
      <c r="AG1000" s="292"/>
      <c r="AH1000" s="302"/>
      <c r="AI1000" s="302"/>
      <c r="AJ1000" s="302"/>
      <c r="AK1000" s="292"/>
      <c r="AL1000" s="70"/>
      <c r="AM1000" s="70"/>
      <c r="AN1000" s="70"/>
      <c r="AO1000" s="292"/>
      <c r="AP1000" s="70"/>
      <c r="AQ1000" s="70"/>
      <c r="AR1000" s="70"/>
      <c r="AS1000" s="292"/>
      <c r="AT1000" s="70"/>
      <c r="AU1000" s="70"/>
      <c r="AV1000" s="70"/>
    </row>
    <row r="1001">
      <c r="A1001" s="292"/>
      <c r="B1001" s="132"/>
      <c r="C1001" s="121"/>
      <c r="D1001" s="82"/>
      <c r="E1001" s="292"/>
      <c r="F1001" s="132"/>
      <c r="G1001" s="121"/>
      <c r="H1001" s="82"/>
      <c r="I1001" s="292"/>
      <c r="J1001" s="132"/>
      <c r="K1001" s="121"/>
      <c r="L1001" s="82"/>
      <c r="M1001" s="292"/>
      <c r="N1001" s="132"/>
      <c r="O1001" s="121"/>
      <c r="P1001" s="82"/>
      <c r="Q1001" s="292"/>
      <c r="R1001" s="132"/>
      <c r="S1001" s="121"/>
      <c r="T1001" s="82"/>
      <c r="U1001" s="292"/>
      <c r="V1001" s="132"/>
      <c r="W1001" s="121"/>
      <c r="X1001" s="82"/>
      <c r="Y1001" s="292"/>
      <c r="Z1001" s="70"/>
      <c r="AA1001" s="304"/>
      <c r="AB1001" s="304"/>
      <c r="AC1001" s="292"/>
      <c r="AD1001" s="70"/>
      <c r="AE1001" s="236"/>
      <c r="AF1001" s="236"/>
      <c r="AG1001" s="292"/>
      <c r="AH1001" s="302"/>
      <c r="AI1001" s="302"/>
      <c r="AJ1001" s="302"/>
      <c r="AK1001" s="292"/>
      <c r="AL1001" s="70"/>
      <c r="AM1001" s="70"/>
      <c r="AN1001" s="70"/>
      <c r="AO1001" s="292"/>
      <c r="AP1001" s="70"/>
      <c r="AQ1001" s="70"/>
      <c r="AR1001" s="70"/>
      <c r="AS1001" s="292"/>
      <c r="AT1001" s="70"/>
      <c r="AU1001" s="70"/>
      <c r="AV1001" s="70"/>
    </row>
    <row r="1002">
      <c r="A1002" s="292"/>
      <c r="B1002" s="132"/>
      <c r="C1002" s="121"/>
      <c r="D1002" s="82"/>
      <c r="E1002" s="292"/>
      <c r="F1002" s="132"/>
      <c r="G1002" s="121"/>
      <c r="H1002" s="82"/>
      <c r="I1002" s="292"/>
      <c r="J1002" s="132"/>
      <c r="K1002" s="121"/>
      <c r="L1002" s="82"/>
      <c r="M1002" s="292"/>
      <c r="N1002" s="132"/>
      <c r="O1002" s="121"/>
      <c r="P1002" s="82"/>
      <c r="Q1002" s="292"/>
      <c r="R1002" s="132"/>
      <c r="S1002" s="121"/>
      <c r="T1002" s="82"/>
      <c r="U1002" s="292"/>
      <c r="V1002" s="132"/>
      <c r="W1002" s="121"/>
      <c r="X1002" s="82"/>
      <c r="Y1002" s="292"/>
      <c r="Z1002" s="70"/>
      <c r="AA1002" s="304"/>
      <c r="AB1002" s="304"/>
      <c r="AC1002" s="292"/>
      <c r="AD1002" s="70"/>
      <c r="AE1002" s="236"/>
      <c r="AF1002" s="236"/>
      <c r="AG1002" s="292"/>
      <c r="AH1002" s="302"/>
      <c r="AI1002" s="302"/>
      <c r="AJ1002" s="302"/>
      <c r="AK1002" s="292"/>
      <c r="AL1002" s="70"/>
      <c r="AM1002" s="70"/>
      <c r="AN1002" s="70"/>
      <c r="AO1002" s="292"/>
      <c r="AP1002" s="70"/>
      <c r="AQ1002" s="70"/>
      <c r="AR1002" s="70"/>
      <c r="AS1002" s="292"/>
      <c r="AT1002" s="70"/>
      <c r="AU1002" s="70"/>
      <c r="AV1002" s="70"/>
    </row>
    <row r="1003">
      <c r="A1003" s="292"/>
      <c r="B1003" s="132"/>
      <c r="C1003" s="121"/>
      <c r="D1003" s="82"/>
      <c r="E1003" s="292"/>
      <c r="F1003" s="132"/>
      <c r="G1003" s="121"/>
      <c r="H1003" s="82"/>
      <c r="I1003" s="292"/>
      <c r="J1003" s="132"/>
      <c r="K1003" s="121"/>
      <c r="L1003" s="82"/>
      <c r="M1003" s="292"/>
      <c r="N1003" s="132"/>
      <c r="O1003" s="121"/>
      <c r="P1003" s="82"/>
      <c r="Q1003" s="292"/>
      <c r="R1003" s="132"/>
      <c r="S1003" s="121"/>
      <c r="T1003" s="82"/>
      <c r="U1003" s="292"/>
      <c r="V1003" s="132"/>
      <c r="W1003" s="121"/>
      <c r="X1003" s="82"/>
      <c r="Y1003" s="292"/>
      <c r="Z1003" s="70"/>
      <c r="AA1003" s="304"/>
      <c r="AB1003" s="304"/>
      <c r="AC1003" s="292"/>
      <c r="AD1003" s="70"/>
      <c r="AE1003" s="236"/>
      <c r="AF1003" s="236"/>
      <c r="AG1003" s="292"/>
      <c r="AH1003" s="302"/>
      <c r="AI1003" s="302"/>
      <c r="AJ1003" s="302"/>
      <c r="AK1003" s="292"/>
      <c r="AL1003" s="70"/>
      <c r="AM1003" s="70"/>
      <c r="AN1003" s="70"/>
      <c r="AO1003" s="292"/>
      <c r="AP1003" s="70"/>
      <c r="AQ1003" s="70"/>
      <c r="AR1003" s="70"/>
      <c r="AS1003" s="292"/>
      <c r="AT1003" s="70"/>
      <c r="AU1003" s="70"/>
      <c r="AV1003" s="70"/>
    </row>
    <row r="1004">
      <c r="A1004" s="292"/>
      <c r="B1004" s="132"/>
      <c r="C1004" s="121"/>
      <c r="D1004" s="82"/>
      <c r="E1004" s="292"/>
      <c r="F1004" s="132"/>
      <c r="G1004" s="121"/>
      <c r="H1004" s="82"/>
      <c r="I1004" s="292"/>
      <c r="J1004" s="132"/>
      <c r="K1004" s="121"/>
      <c r="L1004" s="82"/>
      <c r="M1004" s="292"/>
      <c r="N1004" s="132"/>
      <c r="O1004" s="121"/>
      <c r="P1004" s="82"/>
      <c r="Q1004" s="292"/>
      <c r="R1004" s="132"/>
      <c r="S1004" s="121"/>
      <c r="T1004" s="82"/>
      <c r="U1004" s="292"/>
      <c r="V1004" s="132"/>
      <c r="W1004" s="121"/>
      <c r="X1004" s="82"/>
      <c r="Y1004" s="292"/>
      <c r="Z1004" s="70"/>
      <c r="AA1004" s="304"/>
      <c r="AB1004" s="304"/>
      <c r="AC1004" s="292"/>
      <c r="AD1004" s="70"/>
      <c r="AE1004" s="236"/>
      <c r="AF1004" s="236"/>
      <c r="AG1004" s="292"/>
      <c r="AH1004" s="302"/>
      <c r="AI1004" s="302"/>
      <c r="AJ1004" s="302"/>
      <c r="AK1004" s="292"/>
      <c r="AL1004" s="70"/>
      <c r="AM1004" s="70"/>
      <c r="AN1004" s="70"/>
      <c r="AO1004" s="292"/>
      <c r="AP1004" s="70"/>
      <c r="AQ1004" s="70"/>
      <c r="AR1004" s="70"/>
      <c r="AS1004" s="292"/>
      <c r="AT1004" s="70"/>
      <c r="AU1004" s="70"/>
      <c r="AV1004" s="70"/>
    </row>
    <row r="1005">
      <c r="A1005" s="292"/>
      <c r="B1005" s="132"/>
      <c r="C1005" s="121"/>
      <c r="D1005" s="82"/>
      <c r="E1005" s="292"/>
      <c r="F1005" s="132"/>
      <c r="G1005" s="121"/>
      <c r="H1005" s="82"/>
      <c r="I1005" s="292"/>
      <c r="J1005" s="132"/>
      <c r="K1005" s="121"/>
      <c r="L1005" s="82"/>
      <c r="M1005" s="292"/>
      <c r="N1005" s="132"/>
      <c r="O1005" s="121"/>
      <c r="P1005" s="82"/>
      <c r="Q1005" s="292"/>
      <c r="R1005" s="132"/>
      <c r="S1005" s="121"/>
      <c r="T1005" s="82"/>
      <c r="U1005" s="292"/>
      <c r="V1005" s="132"/>
      <c r="W1005" s="121"/>
      <c r="X1005" s="82"/>
      <c r="Y1005" s="292"/>
      <c r="Z1005" s="70"/>
      <c r="AA1005" s="304"/>
      <c r="AB1005" s="304"/>
      <c r="AC1005" s="292"/>
      <c r="AD1005" s="70"/>
      <c r="AE1005" s="236"/>
      <c r="AF1005" s="236"/>
      <c r="AG1005" s="292"/>
      <c r="AH1005" s="302"/>
      <c r="AI1005" s="302"/>
      <c r="AJ1005" s="302"/>
      <c r="AK1005" s="292"/>
      <c r="AL1005" s="70"/>
      <c r="AM1005" s="70"/>
      <c r="AN1005" s="70"/>
      <c r="AO1005" s="292"/>
      <c r="AP1005" s="70"/>
      <c r="AQ1005" s="70"/>
      <c r="AR1005" s="70"/>
      <c r="AS1005" s="292"/>
      <c r="AT1005" s="70"/>
      <c r="AU1005" s="70"/>
      <c r="AV1005" s="70"/>
    </row>
    <row r="1006">
      <c r="A1006" s="292"/>
      <c r="B1006" s="132"/>
      <c r="C1006" s="121"/>
      <c r="D1006" s="82"/>
      <c r="E1006" s="292"/>
      <c r="F1006" s="132"/>
      <c r="G1006" s="121"/>
      <c r="H1006" s="82"/>
      <c r="I1006" s="292"/>
      <c r="J1006" s="132"/>
      <c r="K1006" s="121"/>
      <c r="L1006" s="82"/>
      <c r="M1006" s="292"/>
      <c r="N1006" s="132"/>
      <c r="O1006" s="121"/>
      <c r="P1006" s="82"/>
      <c r="Q1006" s="292"/>
      <c r="R1006" s="132"/>
      <c r="S1006" s="121"/>
      <c r="T1006" s="82"/>
      <c r="U1006" s="292"/>
      <c r="V1006" s="132"/>
      <c r="W1006" s="121"/>
      <c r="X1006" s="82"/>
      <c r="Y1006" s="292"/>
      <c r="Z1006" s="70"/>
      <c r="AA1006" s="304"/>
      <c r="AB1006" s="304"/>
      <c r="AC1006" s="292"/>
      <c r="AD1006" s="70"/>
      <c r="AE1006" s="236"/>
      <c r="AF1006" s="236"/>
      <c r="AG1006" s="292"/>
      <c r="AH1006" s="302"/>
      <c r="AI1006" s="302"/>
      <c r="AJ1006" s="302"/>
      <c r="AK1006" s="292"/>
      <c r="AL1006" s="70"/>
      <c r="AM1006" s="70"/>
      <c r="AN1006" s="70"/>
      <c r="AO1006" s="292"/>
      <c r="AP1006" s="70"/>
      <c r="AQ1006" s="70"/>
      <c r="AR1006" s="70"/>
      <c r="AS1006" s="292"/>
      <c r="AT1006" s="70"/>
      <c r="AU1006" s="70"/>
      <c r="AV1006" s="70"/>
    </row>
    <row r="1007">
      <c r="A1007" s="292"/>
      <c r="B1007" s="132"/>
      <c r="C1007" s="121"/>
      <c r="D1007" s="82"/>
      <c r="E1007" s="292"/>
      <c r="F1007" s="132"/>
      <c r="G1007" s="121"/>
      <c r="H1007" s="82"/>
      <c r="I1007" s="292"/>
      <c r="J1007" s="132"/>
      <c r="K1007" s="121"/>
      <c r="L1007" s="82"/>
      <c r="M1007" s="292"/>
      <c r="N1007" s="132"/>
      <c r="O1007" s="121"/>
      <c r="P1007" s="82"/>
      <c r="Q1007" s="292"/>
      <c r="R1007" s="132"/>
      <c r="S1007" s="121"/>
      <c r="T1007" s="82"/>
      <c r="U1007" s="292"/>
      <c r="V1007" s="132"/>
      <c r="W1007" s="121"/>
      <c r="X1007" s="82"/>
      <c r="Y1007" s="292"/>
      <c r="Z1007" s="70"/>
      <c r="AA1007" s="304"/>
      <c r="AB1007" s="304"/>
      <c r="AC1007" s="292"/>
      <c r="AD1007" s="70"/>
      <c r="AE1007" s="236"/>
      <c r="AF1007" s="236"/>
      <c r="AG1007" s="292"/>
      <c r="AH1007" s="302"/>
      <c r="AI1007" s="302"/>
      <c r="AJ1007" s="302"/>
      <c r="AK1007" s="292"/>
      <c r="AL1007" s="70"/>
      <c r="AM1007" s="70"/>
      <c r="AN1007" s="70"/>
      <c r="AO1007" s="292"/>
      <c r="AP1007" s="70"/>
      <c r="AQ1007" s="70"/>
      <c r="AR1007" s="70"/>
      <c r="AS1007" s="292"/>
      <c r="AT1007" s="70"/>
      <c r="AU1007" s="70"/>
      <c r="AV1007" s="70"/>
    </row>
    <row r="1008">
      <c r="A1008" s="292"/>
      <c r="B1008" s="132"/>
      <c r="C1008" s="121"/>
      <c r="D1008" s="82"/>
      <c r="E1008" s="292"/>
      <c r="F1008" s="132"/>
      <c r="G1008" s="121"/>
      <c r="H1008" s="82"/>
      <c r="I1008" s="292"/>
      <c r="J1008" s="132"/>
      <c r="K1008" s="121"/>
      <c r="L1008" s="82"/>
      <c r="M1008" s="292"/>
      <c r="N1008" s="132"/>
      <c r="O1008" s="121"/>
      <c r="P1008" s="82"/>
      <c r="Q1008" s="292"/>
      <c r="R1008" s="132"/>
      <c r="S1008" s="121"/>
      <c r="T1008" s="82"/>
      <c r="U1008" s="292"/>
      <c r="V1008" s="132"/>
      <c r="W1008" s="121"/>
      <c r="X1008" s="82"/>
      <c r="Y1008" s="292"/>
      <c r="Z1008" s="70"/>
      <c r="AA1008" s="304"/>
      <c r="AB1008" s="304"/>
      <c r="AC1008" s="292"/>
      <c r="AD1008" s="70"/>
      <c r="AE1008" s="236"/>
      <c r="AF1008" s="236"/>
      <c r="AG1008" s="292"/>
      <c r="AH1008" s="302"/>
      <c r="AI1008" s="302"/>
      <c r="AJ1008" s="302"/>
      <c r="AK1008" s="292"/>
      <c r="AL1008" s="70"/>
      <c r="AM1008" s="70"/>
      <c r="AN1008" s="70"/>
      <c r="AO1008" s="292"/>
      <c r="AP1008" s="70"/>
      <c r="AQ1008" s="70"/>
      <c r="AR1008" s="70"/>
      <c r="AS1008" s="292"/>
      <c r="AT1008" s="70"/>
      <c r="AU1008" s="70"/>
      <c r="AV1008" s="70"/>
    </row>
    <row r="1009">
      <c r="A1009" s="292"/>
      <c r="B1009" s="132"/>
      <c r="C1009" s="121"/>
      <c r="D1009" s="82"/>
      <c r="E1009" s="292"/>
      <c r="F1009" s="132"/>
      <c r="G1009" s="121"/>
      <c r="H1009" s="82"/>
      <c r="I1009" s="292"/>
      <c r="J1009" s="132"/>
      <c r="K1009" s="121"/>
      <c r="L1009" s="82"/>
      <c r="M1009" s="292"/>
      <c r="N1009" s="132"/>
      <c r="O1009" s="121"/>
      <c r="P1009" s="82"/>
      <c r="Q1009" s="292"/>
      <c r="R1009" s="132"/>
      <c r="S1009" s="121"/>
      <c r="T1009" s="82"/>
      <c r="U1009" s="292"/>
      <c r="V1009" s="132"/>
      <c r="W1009" s="121"/>
      <c r="X1009" s="82"/>
      <c r="Y1009" s="292"/>
      <c r="Z1009" s="70"/>
      <c r="AA1009" s="304"/>
      <c r="AB1009" s="304"/>
      <c r="AC1009" s="292"/>
      <c r="AD1009" s="70"/>
      <c r="AE1009" s="236"/>
      <c r="AF1009" s="236"/>
      <c r="AG1009" s="292"/>
      <c r="AH1009" s="302"/>
      <c r="AI1009" s="302"/>
      <c r="AJ1009" s="302"/>
      <c r="AK1009" s="292"/>
      <c r="AL1009" s="70"/>
      <c r="AM1009" s="70"/>
      <c r="AN1009" s="70"/>
      <c r="AO1009" s="292"/>
      <c r="AP1009" s="70"/>
      <c r="AQ1009" s="70"/>
      <c r="AR1009" s="70"/>
      <c r="AS1009" s="292"/>
      <c r="AT1009" s="70"/>
      <c r="AU1009" s="70"/>
      <c r="AV1009" s="70"/>
    </row>
    <row r="1010">
      <c r="A1010" s="292"/>
      <c r="B1010" s="132"/>
      <c r="C1010" s="121"/>
      <c r="D1010" s="82"/>
      <c r="E1010" s="292"/>
      <c r="F1010" s="132"/>
      <c r="G1010" s="121"/>
      <c r="H1010" s="82"/>
      <c r="I1010" s="292"/>
      <c r="J1010" s="132"/>
      <c r="K1010" s="121"/>
      <c r="L1010" s="82"/>
      <c r="M1010" s="292"/>
      <c r="N1010" s="132"/>
      <c r="O1010" s="121"/>
      <c r="P1010" s="82"/>
      <c r="Q1010" s="292"/>
      <c r="R1010" s="132"/>
      <c r="S1010" s="121"/>
      <c r="T1010" s="82"/>
      <c r="U1010" s="292"/>
      <c r="V1010" s="132"/>
      <c r="W1010" s="121"/>
      <c r="X1010" s="82"/>
      <c r="Y1010" s="292"/>
      <c r="Z1010" s="70"/>
      <c r="AA1010" s="304"/>
      <c r="AB1010" s="304"/>
      <c r="AC1010" s="292"/>
      <c r="AD1010" s="70"/>
      <c r="AE1010" s="236"/>
      <c r="AF1010" s="236"/>
      <c r="AG1010" s="292"/>
      <c r="AH1010" s="302"/>
      <c r="AI1010" s="302"/>
      <c r="AJ1010" s="302"/>
      <c r="AK1010" s="292"/>
      <c r="AL1010" s="70"/>
      <c r="AM1010" s="70"/>
      <c r="AN1010" s="70"/>
      <c r="AO1010" s="292"/>
      <c r="AP1010" s="70"/>
      <c r="AQ1010" s="70"/>
      <c r="AR1010" s="70"/>
      <c r="AS1010" s="292"/>
      <c r="AT1010" s="70"/>
      <c r="AU1010" s="70"/>
      <c r="AV1010" s="70"/>
    </row>
    <row r="1011">
      <c r="A1011" s="292"/>
      <c r="B1011" s="132"/>
      <c r="C1011" s="121"/>
      <c r="D1011" s="82"/>
      <c r="E1011" s="292"/>
      <c r="F1011" s="132"/>
      <c r="G1011" s="121"/>
      <c r="H1011" s="82"/>
      <c r="I1011" s="292"/>
      <c r="J1011" s="132"/>
      <c r="K1011" s="121"/>
      <c r="L1011" s="82"/>
      <c r="M1011" s="292"/>
      <c r="N1011" s="132"/>
      <c r="O1011" s="121"/>
      <c r="P1011" s="82"/>
      <c r="Q1011" s="292"/>
      <c r="R1011" s="132"/>
      <c r="S1011" s="121"/>
      <c r="T1011" s="82"/>
      <c r="U1011" s="292"/>
      <c r="V1011" s="132"/>
      <c r="W1011" s="121"/>
      <c r="X1011" s="82"/>
      <c r="Y1011" s="292"/>
      <c r="Z1011" s="70"/>
      <c r="AA1011" s="304"/>
      <c r="AB1011" s="304"/>
      <c r="AC1011" s="292"/>
      <c r="AD1011" s="70"/>
      <c r="AE1011" s="236"/>
      <c r="AF1011" s="236"/>
      <c r="AG1011" s="292"/>
      <c r="AH1011" s="302"/>
      <c r="AI1011" s="302"/>
      <c r="AJ1011" s="302"/>
      <c r="AK1011" s="292"/>
      <c r="AL1011" s="70"/>
      <c r="AM1011" s="70"/>
      <c r="AN1011" s="70"/>
      <c r="AO1011" s="292"/>
      <c r="AP1011" s="70"/>
      <c r="AQ1011" s="70"/>
      <c r="AR1011" s="70"/>
      <c r="AS1011" s="292"/>
      <c r="AT1011" s="70"/>
      <c r="AU1011" s="70"/>
      <c r="AV1011" s="70"/>
    </row>
    <row r="1012">
      <c r="A1012" s="292"/>
      <c r="B1012" s="132"/>
      <c r="C1012" s="121"/>
      <c r="D1012" s="82"/>
      <c r="E1012" s="292"/>
      <c r="F1012" s="132"/>
      <c r="G1012" s="121"/>
      <c r="H1012" s="82"/>
      <c r="I1012" s="292"/>
      <c r="J1012" s="132"/>
      <c r="K1012" s="121"/>
      <c r="L1012" s="82"/>
      <c r="M1012" s="292"/>
      <c r="N1012" s="132"/>
      <c r="O1012" s="121"/>
      <c r="P1012" s="82"/>
      <c r="Q1012" s="292"/>
      <c r="R1012" s="132"/>
      <c r="S1012" s="121"/>
      <c r="T1012" s="82"/>
      <c r="U1012" s="292"/>
      <c r="V1012" s="132"/>
      <c r="W1012" s="121"/>
      <c r="X1012" s="82"/>
      <c r="Y1012" s="292"/>
      <c r="Z1012" s="70"/>
      <c r="AA1012" s="304"/>
      <c r="AB1012" s="304"/>
      <c r="AC1012" s="292"/>
      <c r="AD1012" s="70"/>
      <c r="AE1012" s="236"/>
      <c r="AF1012" s="236"/>
      <c r="AG1012" s="292"/>
      <c r="AH1012" s="302"/>
      <c r="AI1012" s="302"/>
      <c r="AJ1012" s="302"/>
      <c r="AK1012" s="292"/>
      <c r="AL1012" s="70"/>
      <c r="AM1012" s="70"/>
      <c r="AN1012" s="70"/>
      <c r="AO1012" s="292"/>
      <c r="AP1012" s="70"/>
      <c r="AQ1012" s="70"/>
      <c r="AR1012" s="70"/>
      <c r="AS1012" s="292"/>
      <c r="AT1012" s="70"/>
      <c r="AU1012" s="70"/>
      <c r="AV1012" s="70"/>
    </row>
    <row r="1013">
      <c r="A1013" s="292"/>
      <c r="B1013" s="132"/>
      <c r="C1013" s="121"/>
      <c r="D1013" s="82"/>
      <c r="E1013" s="292"/>
      <c r="F1013" s="132"/>
      <c r="G1013" s="121"/>
      <c r="H1013" s="82"/>
      <c r="I1013" s="292"/>
      <c r="J1013" s="132"/>
      <c r="K1013" s="121"/>
      <c r="L1013" s="82"/>
      <c r="M1013" s="292"/>
      <c r="N1013" s="132"/>
      <c r="O1013" s="121"/>
      <c r="P1013" s="82"/>
      <c r="Q1013" s="292"/>
      <c r="R1013" s="132"/>
      <c r="S1013" s="121"/>
      <c r="T1013" s="82"/>
      <c r="U1013" s="292"/>
      <c r="V1013" s="132"/>
      <c r="W1013" s="121"/>
      <c r="X1013" s="82"/>
      <c r="Y1013" s="292"/>
      <c r="Z1013" s="70"/>
      <c r="AA1013" s="304"/>
      <c r="AB1013" s="304"/>
      <c r="AC1013" s="292"/>
      <c r="AD1013" s="70"/>
      <c r="AE1013" s="236"/>
      <c r="AF1013" s="236"/>
      <c r="AG1013" s="292"/>
      <c r="AH1013" s="302"/>
      <c r="AI1013" s="302"/>
      <c r="AJ1013" s="302"/>
      <c r="AK1013" s="292"/>
      <c r="AL1013" s="70"/>
      <c r="AM1013" s="70"/>
      <c r="AN1013" s="70"/>
      <c r="AO1013" s="292"/>
      <c r="AP1013" s="70"/>
      <c r="AQ1013" s="70"/>
      <c r="AR1013" s="70"/>
      <c r="AS1013" s="292"/>
      <c r="AT1013" s="70"/>
      <c r="AU1013" s="70"/>
      <c r="AV1013" s="70"/>
    </row>
    <row r="1014">
      <c r="A1014" s="292"/>
      <c r="B1014" s="132"/>
      <c r="C1014" s="121"/>
      <c r="D1014" s="82"/>
      <c r="E1014" s="292"/>
      <c r="F1014" s="132"/>
      <c r="G1014" s="121"/>
      <c r="H1014" s="82"/>
      <c r="I1014" s="292"/>
      <c r="J1014" s="132"/>
      <c r="K1014" s="121"/>
      <c r="L1014" s="82"/>
      <c r="M1014" s="292"/>
      <c r="N1014" s="132"/>
      <c r="O1014" s="121"/>
      <c r="P1014" s="82"/>
      <c r="Q1014" s="292"/>
      <c r="R1014" s="132"/>
      <c r="S1014" s="121"/>
      <c r="T1014" s="82"/>
      <c r="U1014" s="292"/>
      <c r="V1014" s="132"/>
      <c r="W1014" s="121"/>
      <c r="X1014" s="82"/>
      <c r="Y1014" s="292"/>
      <c r="Z1014" s="70"/>
      <c r="AA1014" s="304"/>
      <c r="AB1014" s="304"/>
      <c r="AC1014" s="292"/>
      <c r="AD1014" s="70"/>
      <c r="AE1014" s="236"/>
      <c r="AF1014" s="236"/>
      <c r="AG1014" s="292"/>
      <c r="AH1014" s="302"/>
      <c r="AI1014" s="302"/>
      <c r="AJ1014" s="302"/>
      <c r="AK1014" s="292"/>
      <c r="AL1014" s="70"/>
      <c r="AM1014" s="70"/>
      <c r="AN1014" s="70"/>
      <c r="AO1014" s="292"/>
      <c r="AP1014" s="70"/>
      <c r="AQ1014" s="70"/>
      <c r="AR1014" s="70"/>
      <c r="AS1014" s="292"/>
      <c r="AT1014" s="70"/>
      <c r="AU1014" s="70"/>
      <c r="AV1014" s="70"/>
    </row>
    <row r="1015">
      <c r="A1015" s="292"/>
      <c r="B1015" s="132"/>
      <c r="C1015" s="121"/>
      <c r="D1015" s="82"/>
      <c r="E1015" s="292"/>
      <c r="F1015" s="132"/>
      <c r="G1015" s="121"/>
      <c r="H1015" s="82"/>
      <c r="I1015" s="292"/>
      <c r="J1015" s="132"/>
      <c r="K1015" s="121"/>
      <c r="L1015" s="82"/>
      <c r="M1015" s="292"/>
      <c r="N1015" s="132"/>
      <c r="O1015" s="121"/>
      <c r="P1015" s="82"/>
      <c r="Q1015" s="292"/>
      <c r="R1015" s="132"/>
      <c r="S1015" s="121"/>
      <c r="T1015" s="82"/>
      <c r="U1015" s="292"/>
      <c r="V1015" s="132"/>
      <c r="W1015" s="121"/>
      <c r="X1015" s="82"/>
      <c r="Y1015" s="292"/>
      <c r="Z1015" s="70"/>
      <c r="AA1015" s="304"/>
      <c r="AB1015" s="304"/>
      <c r="AC1015" s="292"/>
      <c r="AD1015" s="70"/>
      <c r="AE1015" s="236"/>
      <c r="AF1015" s="236"/>
      <c r="AG1015" s="292"/>
      <c r="AH1015" s="302"/>
      <c r="AI1015" s="302"/>
      <c r="AJ1015" s="302"/>
      <c r="AK1015" s="292"/>
      <c r="AL1015" s="70"/>
      <c r="AM1015" s="70"/>
      <c r="AN1015" s="70"/>
      <c r="AO1015" s="292"/>
      <c r="AP1015" s="70"/>
      <c r="AQ1015" s="70"/>
      <c r="AR1015" s="70"/>
      <c r="AS1015" s="292"/>
      <c r="AT1015" s="70"/>
      <c r="AU1015" s="70"/>
      <c r="AV1015" s="70"/>
    </row>
    <row r="1016">
      <c r="A1016" s="292"/>
      <c r="B1016" s="132"/>
      <c r="C1016" s="121"/>
      <c r="D1016" s="82"/>
      <c r="E1016" s="292"/>
      <c r="F1016" s="132"/>
      <c r="G1016" s="121"/>
      <c r="H1016" s="82"/>
      <c r="I1016" s="292"/>
      <c r="J1016" s="132"/>
      <c r="K1016" s="121"/>
      <c r="L1016" s="82"/>
      <c r="M1016" s="292"/>
      <c r="N1016" s="132"/>
      <c r="O1016" s="121"/>
      <c r="P1016" s="82"/>
      <c r="Q1016" s="292"/>
      <c r="R1016" s="70"/>
      <c r="S1016" s="70"/>
      <c r="T1016" s="70"/>
      <c r="U1016" s="292"/>
      <c r="V1016" s="70"/>
      <c r="W1016" s="70"/>
      <c r="X1016" s="70"/>
      <c r="Y1016" s="292"/>
      <c r="Z1016" s="70"/>
      <c r="AA1016" s="304"/>
      <c r="AB1016" s="304"/>
      <c r="AC1016" s="292"/>
      <c r="AD1016" s="70"/>
      <c r="AE1016" s="236"/>
      <c r="AF1016" s="236"/>
      <c r="AG1016" s="292"/>
      <c r="AH1016" s="302"/>
      <c r="AI1016" s="302"/>
      <c r="AJ1016" s="302"/>
      <c r="AK1016" s="292"/>
      <c r="AL1016" s="70"/>
      <c r="AM1016" s="70"/>
      <c r="AN1016" s="70"/>
      <c r="AO1016" s="292"/>
      <c r="AP1016" s="70"/>
      <c r="AQ1016" s="70"/>
      <c r="AR1016" s="70"/>
      <c r="AS1016" s="292"/>
      <c r="AT1016" s="70"/>
      <c r="AU1016" s="70"/>
      <c r="AV1016" s="70"/>
    </row>
    <row r="1017">
      <c r="A1017" s="292"/>
      <c r="B1017" s="132"/>
      <c r="C1017" s="121"/>
      <c r="D1017" s="82"/>
      <c r="E1017" s="292"/>
      <c r="F1017" s="132"/>
      <c r="G1017" s="121"/>
      <c r="H1017" s="82"/>
      <c r="I1017" s="292"/>
      <c r="J1017" s="132"/>
      <c r="K1017" s="121"/>
      <c r="L1017" s="82"/>
      <c r="M1017" s="292"/>
      <c r="N1017" s="132"/>
      <c r="O1017" s="121"/>
      <c r="P1017" s="82"/>
      <c r="Q1017" s="292"/>
      <c r="R1017" s="70"/>
      <c r="S1017" s="70"/>
      <c r="T1017" s="70"/>
      <c r="U1017" s="292"/>
      <c r="V1017" s="70"/>
      <c r="W1017" s="70"/>
      <c r="X1017" s="70"/>
      <c r="Y1017" s="292"/>
      <c r="Z1017" s="70"/>
      <c r="AA1017" s="304"/>
      <c r="AB1017" s="304"/>
      <c r="AC1017" s="292"/>
      <c r="AD1017" s="70"/>
      <c r="AE1017" s="236"/>
      <c r="AF1017" s="236"/>
      <c r="AG1017" s="292"/>
      <c r="AH1017" s="302"/>
      <c r="AI1017" s="302"/>
      <c r="AJ1017" s="302"/>
      <c r="AK1017" s="292"/>
      <c r="AL1017" s="70"/>
      <c r="AM1017" s="70"/>
      <c r="AN1017" s="70"/>
      <c r="AO1017" s="292"/>
      <c r="AP1017" s="70"/>
      <c r="AQ1017" s="70"/>
      <c r="AR1017" s="70"/>
      <c r="AS1017" s="292"/>
      <c r="AT1017" s="70"/>
      <c r="AU1017" s="70"/>
      <c r="AV1017" s="70"/>
    </row>
    <row r="1018">
      <c r="A1018" s="292"/>
      <c r="B1018" s="132"/>
      <c r="C1018" s="121"/>
      <c r="D1018" s="82"/>
      <c r="E1018" s="292"/>
      <c r="F1018" s="132"/>
      <c r="G1018" s="121"/>
      <c r="H1018" s="82"/>
      <c r="I1018" s="292"/>
      <c r="J1018" s="132"/>
      <c r="K1018" s="121"/>
      <c r="L1018" s="82"/>
      <c r="M1018" s="292"/>
      <c r="N1018" s="132"/>
      <c r="O1018" s="121"/>
      <c r="P1018" s="82"/>
      <c r="Q1018" s="292"/>
      <c r="R1018" s="70"/>
      <c r="S1018" s="70"/>
      <c r="T1018" s="70"/>
      <c r="U1018" s="292"/>
      <c r="V1018" s="70"/>
      <c r="W1018" s="70"/>
      <c r="X1018" s="70"/>
      <c r="Y1018" s="292"/>
      <c r="Z1018" s="70"/>
      <c r="AA1018" s="304"/>
      <c r="AB1018" s="304"/>
      <c r="AC1018" s="292"/>
      <c r="AD1018" s="70"/>
      <c r="AE1018" s="236"/>
      <c r="AF1018" s="236"/>
      <c r="AG1018" s="292"/>
      <c r="AH1018" s="302"/>
      <c r="AI1018" s="302"/>
      <c r="AJ1018" s="302"/>
      <c r="AK1018" s="292"/>
      <c r="AL1018" s="70"/>
      <c r="AM1018" s="70"/>
      <c r="AN1018" s="70"/>
      <c r="AO1018" s="292"/>
      <c r="AP1018" s="70"/>
      <c r="AQ1018" s="70"/>
      <c r="AR1018" s="70"/>
      <c r="AS1018" s="292"/>
      <c r="AT1018" s="70"/>
      <c r="AU1018" s="70"/>
      <c r="AV1018" s="70"/>
    </row>
    <row r="1019">
      <c r="A1019" s="292"/>
      <c r="B1019" s="132"/>
      <c r="C1019" s="121"/>
      <c r="D1019" s="82"/>
      <c r="E1019" s="292"/>
      <c r="F1019" s="132"/>
      <c r="G1019" s="121"/>
      <c r="H1019" s="82"/>
      <c r="I1019" s="292"/>
      <c r="J1019" s="132"/>
      <c r="K1019" s="121"/>
      <c r="L1019" s="82"/>
      <c r="M1019" s="292"/>
      <c r="N1019" s="132"/>
      <c r="O1019" s="121"/>
      <c r="P1019" s="82"/>
      <c r="Q1019" s="292"/>
      <c r="R1019" s="70"/>
      <c r="S1019" s="70"/>
      <c r="T1019" s="70"/>
      <c r="U1019" s="292"/>
      <c r="V1019" s="70"/>
      <c r="W1019" s="70"/>
      <c r="X1019" s="70"/>
      <c r="Y1019" s="292"/>
      <c r="Z1019" s="70"/>
      <c r="AA1019" s="304"/>
      <c r="AB1019" s="304"/>
      <c r="AC1019" s="292"/>
      <c r="AD1019" s="70"/>
      <c r="AE1019" s="236"/>
      <c r="AF1019" s="236"/>
      <c r="AG1019" s="292"/>
      <c r="AH1019" s="261"/>
      <c r="AI1019" s="205"/>
      <c r="AJ1019" s="199"/>
      <c r="AK1019" s="292"/>
      <c r="AL1019" s="70"/>
      <c r="AM1019" s="70"/>
      <c r="AN1019" s="70"/>
      <c r="AO1019" s="292"/>
      <c r="AP1019" s="70"/>
      <c r="AQ1019" s="70"/>
      <c r="AR1019" s="70"/>
      <c r="AS1019" s="292"/>
      <c r="AT1019" s="70"/>
      <c r="AU1019" s="70"/>
      <c r="AV1019" s="70"/>
    </row>
  </sheetData>
  <mergeCells count="204">
    <mergeCell ref="AD61:AF61"/>
    <mergeCell ref="AH61:AJ61"/>
    <mergeCell ref="AL61:AN61"/>
    <mergeCell ref="AP61:AR61"/>
    <mergeCell ref="AT61:AV61"/>
    <mergeCell ref="B61:D61"/>
    <mergeCell ref="F61:H61"/>
    <mergeCell ref="J61:L61"/>
    <mergeCell ref="N61:P61"/>
    <mergeCell ref="R61:T61"/>
    <mergeCell ref="V61:X61"/>
    <mergeCell ref="Z61:AB61"/>
    <mergeCell ref="AD63:AF63"/>
    <mergeCell ref="AH63:AJ63"/>
    <mergeCell ref="AL63:AN63"/>
    <mergeCell ref="AP63:AR63"/>
    <mergeCell ref="AT63:AV63"/>
    <mergeCell ref="B63:D63"/>
    <mergeCell ref="F63:H63"/>
    <mergeCell ref="J63:L63"/>
    <mergeCell ref="N63:P63"/>
    <mergeCell ref="R63:T63"/>
    <mergeCell ref="V63:X63"/>
    <mergeCell ref="Z63:AB63"/>
    <mergeCell ref="AD69:AF69"/>
    <mergeCell ref="AH69:AJ69"/>
    <mergeCell ref="AL69:AN69"/>
    <mergeCell ref="AP69:AR69"/>
    <mergeCell ref="AT69:AV69"/>
    <mergeCell ref="B69:D69"/>
    <mergeCell ref="F69:H69"/>
    <mergeCell ref="J69:L69"/>
    <mergeCell ref="N69:P69"/>
    <mergeCell ref="R69:T69"/>
    <mergeCell ref="V69:X69"/>
    <mergeCell ref="Z69:AB69"/>
    <mergeCell ref="AD71:AF71"/>
    <mergeCell ref="AH71:AJ71"/>
    <mergeCell ref="AL71:AN71"/>
    <mergeCell ref="AP71:AR71"/>
    <mergeCell ref="AT71:AV71"/>
    <mergeCell ref="B71:D71"/>
    <mergeCell ref="F71:H71"/>
    <mergeCell ref="J71:L71"/>
    <mergeCell ref="N71:P71"/>
    <mergeCell ref="R71:T71"/>
    <mergeCell ref="V71:X71"/>
    <mergeCell ref="Z71:AB71"/>
    <mergeCell ref="AD76:AF76"/>
    <mergeCell ref="AH76:AJ76"/>
    <mergeCell ref="AL76:AN76"/>
    <mergeCell ref="AP76:AR76"/>
    <mergeCell ref="AT76:AV76"/>
    <mergeCell ref="B76:D76"/>
    <mergeCell ref="F76:H76"/>
    <mergeCell ref="J76:L76"/>
    <mergeCell ref="N76:P76"/>
    <mergeCell ref="R76:T76"/>
    <mergeCell ref="V76:X76"/>
    <mergeCell ref="Z76:AB76"/>
    <mergeCell ref="AD80:AF80"/>
    <mergeCell ref="AH80:AJ80"/>
    <mergeCell ref="AL80:AN80"/>
    <mergeCell ref="AP80:AR80"/>
    <mergeCell ref="AT80:AV80"/>
    <mergeCell ref="B80:D80"/>
    <mergeCell ref="F80:H80"/>
    <mergeCell ref="J80:L80"/>
    <mergeCell ref="N80:P80"/>
    <mergeCell ref="R80:T80"/>
    <mergeCell ref="V80:X80"/>
    <mergeCell ref="Z80:AB80"/>
    <mergeCell ref="AD2:AF2"/>
    <mergeCell ref="AH2:AJ2"/>
    <mergeCell ref="AL2:AN2"/>
    <mergeCell ref="AP2:AR2"/>
    <mergeCell ref="AT2:AV2"/>
    <mergeCell ref="B2:D2"/>
    <mergeCell ref="F2:H2"/>
    <mergeCell ref="J2:L2"/>
    <mergeCell ref="N2:P2"/>
    <mergeCell ref="R2:T2"/>
    <mergeCell ref="V2:X2"/>
    <mergeCell ref="Z2:AB2"/>
    <mergeCell ref="AD14:AF14"/>
    <mergeCell ref="AH14:AJ14"/>
    <mergeCell ref="AL14:AN14"/>
    <mergeCell ref="AP14:AR14"/>
    <mergeCell ref="AT14:AV14"/>
    <mergeCell ref="B14:D14"/>
    <mergeCell ref="F14:H14"/>
    <mergeCell ref="J14:L14"/>
    <mergeCell ref="N14:P14"/>
    <mergeCell ref="R14:T14"/>
    <mergeCell ref="V14:X14"/>
    <mergeCell ref="Z14:AB14"/>
    <mergeCell ref="AD21:AF21"/>
    <mergeCell ref="AH21:AJ21"/>
    <mergeCell ref="AL21:AN21"/>
    <mergeCell ref="AP21:AR21"/>
    <mergeCell ref="AT21:AV21"/>
    <mergeCell ref="B21:D21"/>
    <mergeCell ref="F21:H21"/>
    <mergeCell ref="J21:L21"/>
    <mergeCell ref="N21:P21"/>
    <mergeCell ref="R21:T21"/>
    <mergeCell ref="V21:X21"/>
    <mergeCell ref="Z21:AB21"/>
    <mergeCell ref="AD83:AF83"/>
    <mergeCell ref="AH83:AJ83"/>
    <mergeCell ref="AL83:AN83"/>
    <mergeCell ref="AP83:AR83"/>
    <mergeCell ref="AT83:AV83"/>
    <mergeCell ref="B83:D83"/>
    <mergeCell ref="F83:H83"/>
    <mergeCell ref="J83:L83"/>
    <mergeCell ref="N83:P83"/>
    <mergeCell ref="R83:T83"/>
    <mergeCell ref="V83:X83"/>
    <mergeCell ref="Z83:AB83"/>
    <mergeCell ref="AD24:AF24"/>
    <mergeCell ref="AH24:AJ24"/>
    <mergeCell ref="AL24:AN24"/>
    <mergeCell ref="AP24:AR24"/>
    <mergeCell ref="AT24:AV24"/>
    <mergeCell ref="B24:D24"/>
    <mergeCell ref="F24:H24"/>
    <mergeCell ref="J24:L24"/>
    <mergeCell ref="N24:P24"/>
    <mergeCell ref="R24:T24"/>
    <mergeCell ref="V24:X24"/>
    <mergeCell ref="Z24:AB24"/>
    <mergeCell ref="AD26:AF26"/>
    <mergeCell ref="AH26:AJ26"/>
    <mergeCell ref="AL26:AN26"/>
    <mergeCell ref="AP26:AR26"/>
    <mergeCell ref="AT26:AV26"/>
    <mergeCell ref="B26:D26"/>
    <mergeCell ref="F26:H26"/>
    <mergeCell ref="J26:L26"/>
    <mergeCell ref="N26:P26"/>
    <mergeCell ref="R26:T26"/>
    <mergeCell ref="V26:X26"/>
    <mergeCell ref="Z26:AB26"/>
    <mergeCell ref="AD29:AF29"/>
    <mergeCell ref="AH29:AJ29"/>
    <mergeCell ref="AL29:AN29"/>
    <mergeCell ref="AP29:AR29"/>
    <mergeCell ref="AT29:AV29"/>
    <mergeCell ref="B29:D29"/>
    <mergeCell ref="F29:H29"/>
    <mergeCell ref="J29:L29"/>
    <mergeCell ref="N29:P29"/>
    <mergeCell ref="R29:T29"/>
    <mergeCell ref="V29:X29"/>
    <mergeCell ref="Z29:AB29"/>
    <mergeCell ref="AD32:AF32"/>
    <mergeCell ref="AH32:AJ32"/>
    <mergeCell ref="AL32:AN32"/>
    <mergeCell ref="AP32:AR32"/>
    <mergeCell ref="AT32:AV32"/>
    <mergeCell ref="B32:D32"/>
    <mergeCell ref="F32:H32"/>
    <mergeCell ref="J32:L32"/>
    <mergeCell ref="N32:P32"/>
    <mergeCell ref="R32:T32"/>
    <mergeCell ref="V32:X32"/>
    <mergeCell ref="Z32:AB32"/>
    <mergeCell ref="AD38:AF38"/>
    <mergeCell ref="AH38:AJ38"/>
    <mergeCell ref="AL38:AN38"/>
    <mergeCell ref="AP38:AR38"/>
    <mergeCell ref="AT38:AV38"/>
    <mergeCell ref="B38:D38"/>
    <mergeCell ref="F38:H38"/>
    <mergeCell ref="J38:L38"/>
    <mergeCell ref="N38:P38"/>
    <mergeCell ref="R38:T38"/>
    <mergeCell ref="V38:X38"/>
    <mergeCell ref="Z38:AB38"/>
    <mergeCell ref="AD43:AF43"/>
    <mergeCell ref="AH43:AJ43"/>
    <mergeCell ref="AL43:AN43"/>
    <mergeCell ref="AP43:AR43"/>
    <mergeCell ref="AT43:AV43"/>
    <mergeCell ref="B43:D43"/>
    <mergeCell ref="F43:H43"/>
    <mergeCell ref="J43:L43"/>
    <mergeCell ref="N43:P43"/>
    <mergeCell ref="R43:T43"/>
    <mergeCell ref="V43:X43"/>
    <mergeCell ref="Z43:AB43"/>
    <mergeCell ref="AD45:AF45"/>
    <mergeCell ref="AH45:AJ45"/>
    <mergeCell ref="AL45:AN45"/>
    <mergeCell ref="AP45:AR45"/>
    <mergeCell ref="AT45:AV45"/>
    <mergeCell ref="B45:D45"/>
    <mergeCell ref="F45:H45"/>
    <mergeCell ref="J45:L45"/>
    <mergeCell ref="N45:P45"/>
    <mergeCell ref="R45:T45"/>
    <mergeCell ref="V45:X45"/>
    <mergeCell ref="Z45:AB45"/>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2" width="19.5"/>
    <col customWidth="1" min="3" max="3" width="20.75"/>
    <col customWidth="1" min="4" max="6" width="18.88"/>
    <col customWidth="1" min="7" max="7" width="21.38"/>
    <col customWidth="1" min="8" max="9" width="23.88"/>
    <col customWidth="1" min="10" max="10" width="21.38"/>
    <col customWidth="1" min="11" max="12" width="23.88"/>
    <col customWidth="1" min="13" max="13" width="21.38"/>
    <col customWidth="1" min="14" max="15" width="19.5"/>
    <col customWidth="1" min="16" max="16" width="20.13"/>
    <col customWidth="1" min="17" max="19" width="18.88"/>
    <col customWidth="1" min="20" max="20" width="31.5"/>
    <col customWidth="1" min="21" max="28" width="18.88"/>
  </cols>
  <sheetData>
    <row r="1" ht="26.25" customHeight="1">
      <c r="A1" s="305" t="s">
        <v>41</v>
      </c>
      <c r="E1" s="306"/>
      <c r="F1" s="305" t="s">
        <v>5901</v>
      </c>
      <c r="I1" s="306"/>
      <c r="J1" s="305" t="s">
        <v>5902</v>
      </c>
      <c r="M1" s="306"/>
      <c r="N1" s="305" t="s">
        <v>5903</v>
      </c>
      <c r="R1" s="306"/>
      <c r="S1" s="307"/>
      <c r="T1" s="308"/>
      <c r="U1" s="308"/>
      <c r="V1" s="309"/>
      <c r="W1" s="32"/>
      <c r="X1" s="32"/>
      <c r="Y1" s="32"/>
      <c r="Z1" s="32"/>
      <c r="AA1" s="32"/>
      <c r="AB1" s="32"/>
    </row>
    <row r="2" ht="26.25" customHeight="1">
      <c r="A2" s="310"/>
      <c r="B2" s="310"/>
      <c r="C2" s="310"/>
      <c r="D2" s="310"/>
      <c r="E2" s="311"/>
      <c r="F2" s="310"/>
      <c r="G2" s="310"/>
      <c r="H2" s="310"/>
      <c r="I2" s="311"/>
      <c r="J2" s="310"/>
      <c r="K2" s="310"/>
      <c r="L2" s="310"/>
      <c r="M2" s="311"/>
      <c r="N2" s="310"/>
      <c r="O2" s="310"/>
      <c r="P2" s="310"/>
      <c r="Q2" s="310"/>
      <c r="R2" s="311"/>
      <c r="S2" s="312"/>
      <c r="T2" s="310"/>
      <c r="U2" s="310"/>
      <c r="V2" s="311"/>
      <c r="W2" s="32"/>
      <c r="X2" s="32"/>
      <c r="Y2" s="32"/>
      <c r="Z2" s="32"/>
      <c r="AA2" s="32"/>
      <c r="AB2" s="32"/>
    </row>
    <row r="3" ht="25.5" customHeight="1">
      <c r="A3" s="313" t="s">
        <v>5904</v>
      </c>
      <c r="B3" s="308"/>
      <c r="C3" s="308"/>
      <c r="D3" s="308"/>
      <c r="E3" s="309"/>
      <c r="F3" s="313" t="str">
        <f>IFERROR(__xludf.DUMMYFUNCTION("GOOGLETRANSLATE(A3,""zh-tw"",""ja"")"),"このページは現在、他言語への翻訳がありません。公式設定のみに基づいており、定期的な更新は行われません。ご不便をおかけして申し訳ございません。マップ作成者：Mio")</f>
        <v>このページは現在、他言語への翻訳がありません。公式設定のみに基づいており、定期的な更新は行われません。ご不便をおかけして申し訳ございません。マップ作成者：Mio</v>
      </c>
      <c r="G3" s="308"/>
      <c r="H3" s="308"/>
      <c r="I3" s="309"/>
      <c r="J3" s="313" t="s">
        <v>5905</v>
      </c>
      <c r="K3" s="308"/>
      <c r="L3" s="308"/>
      <c r="M3" s="309"/>
      <c r="N3" s="313" t="s">
        <v>5906</v>
      </c>
      <c r="O3" s="308"/>
      <c r="P3" s="308"/>
      <c r="Q3" s="308"/>
      <c r="R3" s="309"/>
      <c r="S3" s="314"/>
      <c r="T3" s="308"/>
      <c r="U3" s="308"/>
      <c r="V3" s="309"/>
      <c r="W3" s="315"/>
      <c r="X3" s="315"/>
      <c r="Y3" s="315"/>
      <c r="Z3" s="315"/>
      <c r="AA3" s="315"/>
      <c r="AB3" s="315"/>
    </row>
    <row r="4" ht="25.5" customHeight="1">
      <c r="A4" s="312"/>
      <c r="B4" s="310"/>
      <c r="C4" s="310"/>
      <c r="D4" s="310"/>
      <c r="E4" s="311"/>
      <c r="F4" s="312"/>
      <c r="G4" s="310"/>
      <c r="H4" s="310"/>
      <c r="I4" s="311"/>
      <c r="J4" s="312"/>
      <c r="K4" s="310"/>
      <c r="L4" s="310"/>
      <c r="M4" s="311"/>
      <c r="N4" s="312"/>
      <c r="O4" s="310"/>
      <c r="P4" s="310"/>
      <c r="Q4" s="310"/>
      <c r="R4" s="311"/>
      <c r="S4" s="312"/>
      <c r="T4" s="310"/>
      <c r="U4" s="310"/>
      <c r="V4" s="311"/>
      <c r="W4" s="315"/>
      <c r="X4" s="315"/>
      <c r="Y4" s="315"/>
      <c r="Z4" s="315"/>
      <c r="AA4" s="315"/>
      <c r="AB4" s="315"/>
    </row>
    <row r="5">
      <c r="A5" s="316" t="s">
        <v>5907</v>
      </c>
      <c r="B5" s="317"/>
      <c r="C5" s="317"/>
      <c r="D5" s="317"/>
      <c r="E5" s="318"/>
      <c r="F5" s="316" t="str">
        <f>IFERROR(__xludf.DUMMYFUNCTION("GOOGLETRANSLATE(A5,""zh-tw"",""ja"")"),"原生地域")</f>
        <v>原生地域</v>
      </c>
      <c r="G5" s="317"/>
      <c r="H5" s="317"/>
      <c r="I5" s="318"/>
      <c r="J5" s="316" t="s">
        <v>5908</v>
      </c>
      <c r="K5" s="317"/>
      <c r="L5" s="317"/>
      <c r="M5" s="318"/>
      <c r="N5" s="319" t="s">
        <v>5909</v>
      </c>
      <c r="O5" s="317"/>
      <c r="P5" s="317"/>
      <c r="Q5" s="317"/>
      <c r="R5" s="318"/>
      <c r="S5" s="320"/>
      <c r="T5" s="317"/>
      <c r="U5" s="317"/>
      <c r="V5" s="318"/>
      <c r="W5" s="321"/>
      <c r="X5" s="321"/>
      <c r="Y5" s="321"/>
      <c r="Z5" s="321"/>
      <c r="AA5" s="321"/>
      <c r="AB5" s="321"/>
    </row>
    <row r="6" ht="53.25" customHeight="1">
      <c r="A6" s="322" t="s">
        <v>1273</v>
      </c>
      <c r="B6" s="322" t="s">
        <v>1273</v>
      </c>
      <c r="C6" s="322" t="s">
        <v>1273</v>
      </c>
      <c r="D6" s="322" t="s">
        <v>1273</v>
      </c>
      <c r="E6" s="322" t="s">
        <v>5910</v>
      </c>
      <c r="F6" s="323" t="s">
        <v>1273</v>
      </c>
      <c r="G6" s="323" t="s">
        <v>1273</v>
      </c>
      <c r="H6" s="323" t="s">
        <v>5911</v>
      </c>
      <c r="I6" s="323" t="s">
        <v>1273</v>
      </c>
      <c r="J6" s="324" t="s">
        <v>1273</v>
      </c>
      <c r="K6" s="324" t="s">
        <v>1273</v>
      </c>
      <c r="L6" s="324" t="s">
        <v>1273</v>
      </c>
      <c r="M6" s="324" t="s">
        <v>5912</v>
      </c>
      <c r="N6" s="325" t="s">
        <v>1273</v>
      </c>
      <c r="O6" s="325" t="s">
        <v>1273</v>
      </c>
      <c r="P6" s="325" t="s">
        <v>1273</v>
      </c>
      <c r="Q6" s="325" t="s">
        <v>1273</v>
      </c>
      <c r="R6" s="325" t="s">
        <v>5913</v>
      </c>
      <c r="S6" s="326"/>
      <c r="T6" s="327"/>
      <c r="U6" s="327"/>
      <c r="V6" s="328"/>
      <c r="W6" s="329"/>
      <c r="X6" s="329"/>
      <c r="Y6" s="329"/>
      <c r="Z6" s="329"/>
      <c r="AA6" s="329"/>
      <c r="AB6" s="330"/>
    </row>
    <row r="7" ht="75.0" customHeight="1">
      <c r="A7" s="322" t="s">
        <v>1273</v>
      </c>
      <c r="B7" s="322" t="s">
        <v>1273</v>
      </c>
      <c r="C7" s="322" t="s">
        <v>5914</v>
      </c>
      <c r="D7" s="322" t="s">
        <v>5915</v>
      </c>
      <c r="E7" s="331" t="s">
        <v>5916</v>
      </c>
      <c r="F7" s="323" t="str">
        <f>IFERROR(__xludf.DUMMYFUNCTION("GOOGLETRANSLATE(B7,""zh-tw"",""ja"")"),"-")</f>
        <v>-</v>
      </c>
      <c r="G7" s="323" t="s">
        <v>5917</v>
      </c>
      <c r="H7" s="332" t="s">
        <v>5918</v>
      </c>
      <c r="I7" s="323" t="str">
        <f>IFERROR(__xludf.DUMMYFUNCTION("GOOGLETRANSLATE(#REF!,""zh-tw"",""ja"")"),"#REF!")</f>
        <v>#REF!</v>
      </c>
      <c r="J7" s="324" t="str">
        <f>IFERROR(__xludf.DUMMYFUNCTION("GOOGLETRANSLATE(B7,""zh-tw"",""en"")"),"-")</f>
        <v>-</v>
      </c>
      <c r="K7" s="324" t="s">
        <v>5919</v>
      </c>
      <c r="L7" s="324" t="s">
        <v>5920</v>
      </c>
      <c r="M7" s="333" t="s">
        <v>5921</v>
      </c>
      <c r="N7" s="325" t="s">
        <v>1273</v>
      </c>
      <c r="O7" s="325" t="str">
        <f>IFERROR(__xludf.DUMMYFUNCTION("GOOGLETRANSLATE(B7,""zh-tw"",""zh"")"),"-")</f>
        <v>-</v>
      </c>
      <c r="P7" s="325" t="s">
        <v>5922</v>
      </c>
      <c r="Q7" s="334" t="s">
        <v>1273</v>
      </c>
      <c r="R7" s="334" t="s">
        <v>5923</v>
      </c>
      <c r="S7" s="326"/>
      <c r="T7" s="327"/>
      <c r="U7" s="327"/>
      <c r="V7" s="335"/>
      <c r="W7" s="329"/>
      <c r="X7" s="329"/>
      <c r="Y7" s="329"/>
      <c r="Z7" s="329"/>
      <c r="AA7" s="329"/>
      <c r="AB7" s="330"/>
    </row>
    <row r="8">
      <c r="A8" s="322" t="s">
        <v>1273</v>
      </c>
      <c r="B8" s="322" t="s">
        <v>5924</v>
      </c>
      <c r="C8" s="322" t="s">
        <v>5925</v>
      </c>
      <c r="D8" s="322" t="s">
        <v>5926</v>
      </c>
      <c r="E8" s="322" t="s">
        <v>5927</v>
      </c>
      <c r="F8" s="323" t="s">
        <v>5928</v>
      </c>
      <c r="G8" s="323" t="s">
        <v>5929</v>
      </c>
      <c r="H8" s="323" t="s">
        <v>5930</v>
      </c>
      <c r="I8" s="323" t="str">
        <f>IFERROR(__xludf.DUMMYFUNCTION("GOOGLETRANSLATE(#REF!,""zh-tw"",""ja"")"),"#REF!")</f>
        <v>#REF!</v>
      </c>
      <c r="J8" s="324" t="s">
        <v>5931</v>
      </c>
      <c r="K8" s="324" t="s">
        <v>5932</v>
      </c>
      <c r="L8" s="324" t="s">
        <v>5933</v>
      </c>
      <c r="M8" s="324" t="s">
        <v>5933</v>
      </c>
      <c r="N8" s="325" t="s">
        <v>1273</v>
      </c>
      <c r="O8" s="325" t="s">
        <v>5934</v>
      </c>
      <c r="P8" s="325" t="s">
        <v>5935</v>
      </c>
      <c r="Q8" s="325" t="s">
        <v>5936</v>
      </c>
      <c r="R8" s="325" t="s">
        <v>5937</v>
      </c>
      <c r="S8" s="336"/>
      <c r="T8" s="327"/>
      <c r="U8" s="327"/>
      <c r="V8" s="327"/>
      <c r="W8" s="329"/>
      <c r="X8" s="329"/>
      <c r="Y8" s="329"/>
      <c r="Z8" s="329"/>
      <c r="AA8" s="329"/>
      <c r="AB8" s="330"/>
    </row>
    <row r="9">
      <c r="A9" s="322" t="s">
        <v>1273</v>
      </c>
      <c r="B9" s="322" t="s">
        <v>5938</v>
      </c>
      <c r="C9" s="322" t="s">
        <v>5939</v>
      </c>
      <c r="D9" s="322" t="s">
        <v>1273</v>
      </c>
      <c r="E9" s="337" t="s">
        <v>5940</v>
      </c>
      <c r="F9" s="323" t="s">
        <v>5941</v>
      </c>
      <c r="G9" s="323" t="s">
        <v>5942</v>
      </c>
      <c r="H9" s="323" t="s">
        <v>5943</v>
      </c>
      <c r="I9" s="323" t="s">
        <v>1273</v>
      </c>
      <c r="J9" s="324" t="s">
        <v>5944</v>
      </c>
      <c r="K9" s="324" t="s">
        <v>5945</v>
      </c>
      <c r="L9" s="324" t="s">
        <v>1273</v>
      </c>
      <c r="M9" s="324" t="s">
        <v>5946</v>
      </c>
      <c r="N9" s="325" t="s">
        <v>1273</v>
      </c>
      <c r="O9" s="325" t="s">
        <v>5947</v>
      </c>
      <c r="P9" s="325" t="s">
        <v>5948</v>
      </c>
      <c r="Q9" s="325" t="s">
        <v>1273</v>
      </c>
      <c r="R9" s="325" t="s">
        <v>5949</v>
      </c>
      <c r="S9" s="326"/>
      <c r="T9" s="327"/>
      <c r="U9" s="327"/>
      <c r="V9" s="327"/>
      <c r="W9" s="329"/>
      <c r="X9" s="329"/>
      <c r="Y9" s="329"/>
      <c r="Z9" s="329"/>
      <c r="AA9" s="329"/>
      <c r="AB9" s="330"/>
    </row>
    <row r="10" ht="60.0" customHeight="1">
      <c r="A10" s="322" t="s">
        <v>1273</v>
      </c>
      <c r="B10" s="322" t="s">
        <v>5950</v>
      </c>
      <c r="C10" s="338" t="s">
        <v>5951</v>
      </c>
      <c r="D10" s="322" t="s">
        <v>5952</v>
      </c>
      <c r="E10" s="322" t="s">
        <v>5953</v>
      </c>
      <c r="F10" s="323" t="s">
        <v>5954</v>
      </c>
      <c r="G10" s="339" t="s">
        <v>5955</v>
      </c>
      <c r="H10" s="323" t="s">
        <v>5956</v>
      </c>
      <c r="I10" s="323" t="s">
        <v>1273</v>
      </c>
      <c r="J10" s="324" t="s">
        <v>5957</v>
      </c>
      <c r="K10" s="340" t="s">
        <v>5958</v>
      </c>
      <c r="L10" s="324" t="s">
        <v>5959</v>
      </c>
      <c r="M10" s="324" t="s">
        <v>5960</v>
      </c>
      <c r="N10" s="325" t="s">
        <v>1273</v>
      </c>
      <c r="O10" s="325" t="s">
        <v>5961</v>
      </c>
      <c r="P10" s="341" t="s">
        <v>5962</v>
      </c>
      <c r="Q10" s="325" t="s">
        <v>5963</v>
      </c>
      <c r="R10" s="342" t="s">
        <v>5964</v>
      </c>
      <c r="S10" s="326"/>
      <c r="T10" s="327"/>
      <c r="U10" s="327"/>
      <c r="V10" s="327"/>
      <c r="W10" s="343"/>
      <c r="X10" s="343"/>
      <c r="Y10" s="343"/>
      <c r="Z10" s="343"/>
      <c r="AA10" s="343"/>
      <c r="AB10" s="330"/>
    </row>
    <row r="11" ht="65.25" customHeight="1">
      <c r="A11" s="322" t="s">
        <v>1273</v>
      </c>
      <c r="B11" s="322" t="s">
        <v>5965</v>
      </c>
      <c r="C11" s="344"/>
      <c r="D11" s="331" t="s">
        <v>5966</v>
      </c>
      <c r="E11" s="331" t="s">
        <v>5967</v>
      </c>
      <c r="F11" s="323" t="s">
        <v>5968</v>
      </c>
      <c r="G11" s="344"/>
      <c r="H11" s="323" t="s">
        <v>5969</v>
      </c>
      <c r="I11" s="323" t="s">
        <v>5970</v>
      </c>
      <c r="J11" s="324" t="s">
        <v>5971</v>
      </c>
      <c r="K11" s="344"/>
      <c r="L11" s="324" t="s">
        <v>5972</v>
      </c>
      <c r="M11" s="324" t="s">
        <v>5973</v>
      </c>
      <c r="N11" s="325" t="s">
        <v>1273</v>
      </c>
      <c r="O11" s="325" t="s">
        <v>5974</v>
      </c>
      <c r="P11" s="344"/>
      <c r="Q11" s="325" t="s">
        <v>5975</v>
      </c>
      <c r="R11" s="325" t="s">
        <v>5976</v>
      </c>
      <c r="S11" s="326"/>
      <c r="T11" s="327"/>
      <c r="U11" s="327"/>
      <c r="V11" s="327"/>
      <c r="W11" s="345"/>
      <c r="X11" s="345"/>
      <c r="Y11" s="345"/>
      <c r="Z11" s="345"/>
      <c r="AA11" s="345"/>
      <c r="AB11" s="330"/>
    </row>
    <row r="12">
      <c r="A12" s="322" t="s">
        <v>1273</v>
      </c>
      <c r="B12" s="322" t="s">
        <v>5977</v>
      </c>
      <c r="C12" s="322" t="s">
        <v>5978</v>
      </c>
      <c r="D12" s="322" t="s">
        <v>5979</v>
      </c>
      <c r="E12" s="331" t="s">
        <v>5980</v>
      </c>
      <c r="F12" s="323" t="s">
        <v>5981</v>
      </c>
      <c r="G12" s="323" t="s">
        <v>5982</v>
      </c>
      <c r="H12" s="323" t="str">
        <f>IFERROR(__xludf.DUMMYFUNCTION("GOOGLETRANSLATE(D12,""zh-tw"",""ja"")"),"▲ ハンターズロッジ R69
▼")</f>
        <v>▲ ハンターズロッジ R69
▼</v>
      </c>
      <c r="I12" s="323" t="str">
        <f>IFERROR(__xludf.DUMMYFUNCTION("GOOGLETRANSLATE(E12,""zh-tw"",""ja"")"),"▲冒険者の道：記念碑
R9.R14")</f>
        <v>▲冒険者の道：記念碑
R9.R14</v>
      </c>
      <c r="J12" s="324" t="s">
        <v>5983</v>
      </c>
      <c r="K12" s="324" t="s">
        <v>5984</v>
      </c>
      <c r="L12" s="324" t="s">
        <v>5985</v>
      </c>
      <c r="M12" s="324" t="s">
        <v>5986</v>
      </c>
      <c r="N12" s="325" t="s">
        <v>1273</v>
      </c>
      <c r="O12" s="325" t="s">
        <v>5987</v>
      </c>
      <c r="P12" s="325" t="str">
        <f>IFERROR(__xludf.DUMMYFUNCTION("GOOGLETRANSLATE(C12,""zh-tw"",""zh"")"),"提前回家
R1")</f>
        <v>提前回家
R1</v>
      </c>
      <c r="Q12" s="325" t="s">
        <v>5988</v>
      </c>
      <c r="R12" s="325" t="s">
        <v>5989</v>
      </c>
      <c r="S12" s="326"/>
      <c r="T12" s="327"/>
      <c r="U12" s="327"/>
      <c r="V12" s="327"/>
      <c r="W12" s="329"/>
      <c r="X12" s="329"/>
      <c r="Y12" s="329"/>
      <c r="Z12" s="329"/>
      <c r="AA12" s="329"/>
      <c r="AB12" s="330"/>
    </row>
    <row r="13">
      <c r="A13" s="322" t="s">
        <v>1273</v>
      </c>
      <c r="B13" s="322" t="s">
        <v>5990</v>
      </c>
      <c r="C13" s="322" t="s">
        <v>5991</v>
      </c>
      <c r="D13" s="322" t="s">
        <v>5992</v>
      </c>
      <c r="E13" s="322" t="s">
        <v>1273</v>
      </c>
      <c r="F13" s="323"/>
      <c r="G13" s="323"/>
      <c r="H13" s="323"/>
      <c r="I13" s="323"/>
      <c r="J13" s="324" t="s">
        <v>5993</v>
      </c>
      <c r="K13" s="324" t="s">
        <v>5994</v>
      </c>
      <c r="L13" s="324" t="s">
        <v>5995</v>
      </c>
      <c r="M13" s="324"/>
      <c r="N13" s="325" t="s">
        <v>1273</v>
      </c>
      <c r="O13" s="325" t="s">
        <v>5996</v>
      </c>
      <c r="P13" s="325" t="s">
        <v>4000</v>
      </c>
      <c r="Q13" s="325" t="s">
        <v>5997</v>
      </c>
      <c r="R13" s="325" t="s">
        <v>1273</v>
      </c>
      <c r="S13" s="326"/>
      <c r="T13" s="327"/>
      <c r="U13" s="327"/>
      <c r="V13" s="346"/>
      <c r="W13" s="329"/>
      <c r="X13" s="329"/>
      <c r="Y13" s="329"/>
      <c r="Z13" s="329"/>
      <c r="AA13" s="329"/>
      <c r="AB13" s="330"/>
    </row>
    <row r="14">
      <c r="A14" s="322" t="s">
        <v>1273</v>
      </c>
      <c r="B14" s="322" t="s">
        <v>5998</v>
      </c>
      <c r="C14" s="322" t="s">
        <v>4888</v>
      </c>
      <c r="D14" s="322" t="s">
        <v>1273</v>
      </c>
      <c r="E14" s="322" t="s">
        <v>1273</v>
      </c>
      <c r="F14" s="323"/>
      <c r="G14" s="323"/>
      <c r="H14" s="323"/>
      <c r="I14" s="323"/>
      <c r="J14" s="324" t="s">
        <v>5999</v>
      </c>
      <c r="K14" s="324" t="s">
        <v>4894</v>
      </c>
      <c r="L14" s="324"/>
      <c r="M14" s="324"/>
      <c r="N14" s="325" t="s">
        <v>1273</v>
      </c>
      <c r="O14" s="325" t="s">
        <v>6000</v>
      </c>
      <c r="P14" s="325" t="s">
        <v>6001</v>
      </c>
      <c r="Q14" s="325" t="s">
        <v>1273</v>
      </c>
      <c r="R14" s="325" t="s">
        <v>1273</v>
      </c>
      <c r="S14" s="347"/>
      <c r="T14" s="327"/>
      <c r="U14" s="346"/>
      <c r="V14" s="346"/>
      <c r="W14" s="329"/>
      <c r="X14" s="329"/>
      <c r="Y14" s="329"/>
      <c r="Z14" s="329"/>
      <c r="AA14" s="329"/>
      <c r="AB14" s="330"/>
    </row>
    <row r="15">
      <c r="A15" s="322" t="s">
        <v>6002</v>
      </c>
      <c r="B15" s="322" t="s">
        <v>6003</v>
      </c>
      <c r="C15" s="322" t="s">
        <v>6004</v>
      </c>
      <c r="D15" s="322" t="s">
        <v>1273</v>
      </c>
      <c r="E15" s="322" t="s">
        <v>1273</v>
      </c>
      <c r="F15" s="323"/>
      <c r="G15" s="323"/>
      <c r="H15" s="323"/>
      <c r="I15" s="323"/>
      <c r="J15" s="324" t="s">
        <v>6005</v>
      </c>
      <c r="K15" s="324" t="s">
        <v>6006</v>
      </c>
      <c r="L15" s="324"/>
      <c r="M15" s="324"/>
      <c r="N15" s="325" t="s">
        <v>6007</v>
      </c>
      <c r="O15" s="325" t="s">
        <v>6008</v>
      </c>
      <c r="P15" s="325" t="s">
        <v>6007</v>
      </c>
      <c r="Q15" s="325" t="s">
        <v>1273</v>
      </c>
      <c r="R15" s="325" t="s">
        <v>1273</v>
      </c>
      <c r="S15" s="326"/>
      <c r="T15" s="327"/>
      <c r="U15" s="346"/>
      <c r="V15" s="346"/>
      <c r="W15" s="329"/>
      <c r="X15" s="329"/>
      <c r="Y15" s="329"/>
      <c r="Z15" s="329"/>
      <c r="AA15" s="329"/>
      <c r="AB15" s="330"/>
    </row>
    <row r="16">
      <c r="A16" s="348" t="s">
        <v>5914</v>
      </c>
      <c r="B16" s="317"/>
      <c r="C16" s="317"/>
      <c r="D16" s="317"/>
      <c r="E16" s="318"/>
      <c r="F16" s="348" t="str">
        <f>IFERROR(__xludf.DUMMYFUNCTION("GOOGLETRANSLATE(A16,""zh-tw"",""ja"")"),"遺跡エリア")</f>
        <v>遺跡エリア</v>
      </c>
      <c r="G16" s="317"/>
      <c r="H16" s="317"/>
      <c r="I16" s="318"/>
      <c r="J16" s="348" t="s">
        <v>6009</v>
      </c>
      <c r="K16" s="317"/>
      <c r="L16" s="317"/>
      <c r="M16" s="318"/>
      <c r="N16" s="348" t="s">
        <v>5922</v>
      </c>
      <c r="O16" s="317"/>
      <c r="P16" s="317"/>
      <c r="Q16" s="317"/>
      <c r="R16" s="318"/>
      <c r="S16" s="349"/>
      <c r="T16" s="310"/>
      <c r="U16" s="310"/>
      <c r="V16" s="311"/>
      <c r="W16" s="350"/>
      <c r="X16" s="350"/>
      <c r="Y16" s="350"/>
      <c r="Z16" s="350"/>
      <c r="AA16" s="350"/>
      <c r="AB16" s="350"/>
    </row>
    <row r="17">
      <c r="A17" s="322" t="s">
        <v>1273</v>
      </c>
      <c r="B17" s="322" t="s">
        <v>1273</v>
      </c>
      <c r="C17" s="322" t="s">
        <v>6010</v>
      </c>
      <c r="D17" s="322" t="s">
        <v>1273</v>
      </c>
      <c r="E17" s="322" t="s">
        <v>1273</v>
      </c>
      <c r="F17" s="323"/>
      <c r="G17" s="351" t="s">
        <v>6011</v>
      </c>
      <c r="H17" s="352"/>
      <c r="I17" s="352"/>
      <c r="J17" s="353"/>
      <c r="K17" s="354" t="s">
        <v>6012</v>
      </c>
      <c r="L17" s="353"/>
      <c r="M17" s="353"/>
      <c r="N17" s="355" t="s">
        <v>1273</v>
      </c>
      <c r="O17" s="355" t="s">
        <v>1273</v>
      </c>
      <c r="P17" s="356" t="s">
        <v>6013</v>
      </c>
      <c r="Q17" s="355" t="s">
        <v>1273</v>
      </c>
      <c r="R17" s="355" t="s">
        <v>1273</v>
      </c>
      <c r="S17" s="357"/>
      <c r="T17" s="358"/>
      <c r="U17" s="346"/>
      <c r="V17" s="346"/>
      <c r="W17" s="359"/>
      <c r="X17" s="359"/>
      <c r="Y17" s="359"/>
      <c r="Z17" s="359"/>
      <c r="AA17" s="359"/>
      <c r="AB17" s="359"/>
    </row>
    <row r="18">
      <c r="A18" s="322" t="s">
        <v>1273</v>
      </c>
      <c r="B18" s="322" t="s">
        <v>6014</v>
      </c>
      <c r="C18" s="322" t="s">
        <v>6015</v>
      </c>
      <c r="D18" s="322" t="s">
        <v>1273</v>
      </c>
      <c r="E18" s="322" t="s">
        <v>1273</v>
      </c>
      <c r="F18" s="323" t="s">
        <v>6016</v>
      </c>
      <c r="G18" s="323" t="s">
        <v>6017</v>
      </c>
      <c r="H18" s="352"/>
      <c r="I18" s="352"/>
      <c r="J18" s="353" t="s">
        <v>6018</v>
      </c>
      <c r="K18" s="360" t="s">
        <v>6019</v>
      </c>
      <c r="L18" s="353"/>
      <c r="M18" s="353"/>
      <c r="N18" s="355" t="s">
        <v>1273</v>
      </c>
      <c r="O18" s="355" t="s">
        <v>6020</v>
      </c>
      <c r="P18" s="355" t="s">
        <v>6021</v>
      </c>
      <c r="Q18" s="355" t="s">
        <v>1273</v>
      </c>
      <c r="R18" s="355" t="s">
        <v>1273</v>
      </c>
      <c r="S18" s="336"/>
      <c r="T18" s="327"/>
      <c r="U18" s="346"/>
      <c r="V18" s="346"/>
      <c r="W18" s="359"/>
      <c r="X18" s="359"/>
      <c r="Y18" s="359"/>
      <c r="Z18" s="359"/>
      <c r="AA18" s="359"/>
      <c r="AB18" s="359"/>
    </row>
    <row r="19">
      <c r="A19" s="322" t="s">
        <v>1273</v>
      </c>
      <c r="B19" s="322" t="s">
        <v>1273</v>
      </c>
      <c r="C19" s="322" t="s">
        <v>6022</v>
      </c>
      <c r="D19" s="322" t="s">
        <v>6023</v>
      </c>
      <c r="E19" s="322" t="s">
        <v>1273</v>
      </c>
      <c r="F19" s="323"/>
      <c r="G19" s="323" t="s">
        <v>6024</v>
      </c>
      <c r="H19" s="352"/>
      <c r="I19" s="352"/>
      <c r="J19" s="353"/>
      <c r="K19" s="361" t="s">
        <v>6025</v>
      </c>
      <c r="L19" s="353"/>
      <c r="M19" s="353"/>
      <c r="N19" s="355" t="s">
        <v>1273</v>
      </c>
      <c r="O19" s="355" t="s">
        <v>1273</v>
      </c>
      <c r="P19" s="362" t="s">
        <v>6026</v>
      </c>
      <c r="Q19" s="355" t="s">
        <v>4554</v>
      </c>
      <c r="R19" s="355" t="s">
        <v>1273</v>
      </c>
      <c r="S19" s="357"/>
      <c r="T19" s="335"/>
      <c r="U19" s="346"/>
      <c r="V19" s="346"/>
      <c r="W19" s="359"/>
      <c r="X19" s="359"/>
      <c r="Y19" s="359"/>
      <c r="Z19" s="359"/>
      <c r="AA19" s="359"/>
      <c r="AB19" s="359"/>
    </row>
    <row r="20">
      <c r="A20" s="322" t="s">
        <v>1273</v>
      </c>
      <c r="B20" s="322" t="s">
        <v>1273</v>
      </c>
      <c r="C20" s="322" t="s">
        <v>6027</v>
      </c>
      <c r="D20" s="322" t="s">
        <v>6028</v>
      </c>
      <c r="E20" s="322" t="s">
        <v>1273</v>
      </c>
      <c r="F20" s="323"/>
      <c r="G20" s="323" t="s">
        <v>6029</v>
      </c>
      <c r="H20" s="323" t="s">
        <v>6030</v>
      </c>
      <c r="I20" s="352"/>
      <c r="J20" s="353"/>
      <c r="K20" s="360" t="s">
        <v>6031</v>
      </c>
      <c r="L20" s="324" t="s">
        <v>6032</v>
      </c>
      <c r="M20" s="353"/>
      <c r="N20" s="355" t="s">
        <v>1273</v>
      </c>
      <c r="O20" s="355" t="s">
        <v>1273</v>
      </c>
      <c r="P20" s="355" t="s">
        <v>6033</v>
      </c>
      <c r="Q20" s="355" t="s">
        <v>6034</v>
      </c>
      <c r="R20" s="355" t="s">
        <v>1273</v>
      </c>
      <c r="S20" s="357"/>
      <c r="T20" s="327"/>
      <c r="U20" s="328"/>
      <c r="V20" s="346"/>
      <c r="W20" s="359"/>
      <c r="X20" s="359"/>
      <c r="Y20" s="359"/>
      <c r="Z20" s="359"/>
      <c r="AA20" s="359"/>
      <c r="AB20" s="359"/>
    </row>
    <row r="21">
      <c r="A21" s="363" t="s">
        <v>1273</v>
      </c>
      <c r="B21" s="363" t="s">
        <v>1273</v>
      </c>
      <c r="C21" s="322" t="s">
        <v>6035</v>
      </c>
      <c r="D21" s="322" t="s">
        <v>1273</v>
      </c>
      <c r="E21" s="322" t="s">
        <v>1273</v>
      </c>
      <c r="F21" s="323"/>
      <c r="G21" s="323" t="s">
        <v>6036</v>
      </c>
      <c r="H21" s="352"/>
      <c r="I21" s="352"/>
      <c r="J21" s="353"/>
      <c r="K21" s="360" t="s">
        <v>6037</v>
      </c>
      <c r="L21" s="353"/>
      <c r="M21" s="353"/>
      <c r="N21" s="355" t="s">
        <v>1273</v>
      </c>
      <c r="O21" s="355" t="s">
        <v>1273</v>
      </c>
      <c r="P21" s="355" t="s">
        <v>6038</v>
      </c>
      <c r="Q21" s="355" t="s">
        <v>1273</v>
      </c>
      <c r="R21" s="355" t="s">
        <v>1273</v>
      </c>
      <c r="S21" s="357"/>
      <c r="T21" s="328"/>
      <c r="U21" s="346"/>
      <c r="V21" s="346"/>
      <c r="W21" s="359"/>
      <c r="X21" s="359"/>
      <c r="Y21" s="359"/>
      <c r="Z21" s="359"/>
      <c r="AA21" s="359"/>
      <c r="AB21" s="359"/>
    </row>
    <row r="22">
      <c r="A22" s="364"/>
      <c r="B22" s="364"/>
      <c r="C22" s="364"/>
      <c r="D22" s="364"/>
      <c r="E22" s="364"/>
      <c r="F22" s="364"/>
      <c r="G22" s="364"/>
      <c r="H22" s="8"/>
      <c r="I22" s="8"/>
      <c r="J22" s="8"/>
      <c r="K22" s="364"/>
      <c r="L22" s="364"/>
      <c r="M22" s="364"/>
      <c r="N22" s="8"/>
      <c r="O22" s="8"/>
      <c r="P22" s="364"/>
      <c r="Q22" s="364"/>
      <c r="R22" s="364"/>
      <c r="S22" s="365"/>
      <c r="T22" s="365"/>
      <c r="U22" s="365"/>
      <c r="V22" s="365"/>
      <c r="W22" s="364"/>
      <c r="X22" s="364"/>
      <c r="Y22" s="364"/>
      <c r="Z22" s="364"/>
      <c r="AA22" s="364"/>
      <c r="AB22" s="364"/>
    </row>
    <row r="23">
      <c r="A23" s="364"/>
      <c r="B23" s="364"/>
      <c r="C23" s="364"/>
      <c r="D23" s="366"/>
      <c r="E23" s="366"/>
      <c r="F23" s="364"/>
      <c r="G23" s="364"/>
      <c r="H23" s="8"/>
      <c r="I23" s="8"/>
      <c r="J23" s="8"/>
      <c r="K23" s="364"/>
      <c r="L23" s="364"/>
      <c r="M23" s="364"/>
      <c r="N23" s="8"/>
      <c r="O23" s="8"/>
      <c r="P23" s="364"/>
      <c r="Q23" s="364"/>
      <c r="R23" s="364"/>
      <c r="S23" s="365"/>
      <c r="T23" s="365"/>
      <c r="U23" s="365"/>
      <c r="V23" s="365"/>
      <c r="W23" s="364"/>
      <c r="X23" s="364"/>
      <c r="Y23" s="364"/>
      <c r="Z23" s="364"/>
      <c r="AA23" s="364"/>
      <c r="AB23" s="364"/>
    </row>
    <row r="24">
      <c r="A24" s="364"/>
      <c r="B24" s="364"/>
      <c r="C24" s="364"/>
      <c r="D24" s="364"/>
      <c r="E24" s="364"/>
      <c r="F24" s="364"/>
      <c r="G24" s="364"/>
      <c r="H24" s="8"/>
      <c r="I24" s="8"/>
      <c r="J24" s="8"/>
      <c r="K24" s="364"/>
      <c r="L24" s="364"/>
      <c r="M24" s="364"/>
      <c r="N24" s="8"/>
      <c r="O24" s="8"/>
      <c r="P24" s="364"/>
      <c r="Q24" s="364"/>
      <c r="R24" s="364"/>
      <c r="S24" s="365"/>
      <c r="T24" s="365"/>
      <c r="U24" s="365"/>
      <c r="V24" s="365"/>
      <c r="W24" s="364"/>
      <c r="X24" s="364"/>
      <c r="Y24" s="364"/>
      <c r="Z24" s="364"/>
      <c r="AA24" s="364"/>
      <c r="AB24" s="364"/>
    </row>
    <row r="25">
      <c r="A25" s="364"/>
      <c r="B25" s="364"/>
      <c r="C25" s="364"/>
      <c r="D25" s="8"/>
      <c r="E25" s="364"/>
      <c r="F25" s="364"/>
      <c r="G25" s="364"/>
      <c r="H25" s="8"/>
      <c r="I25" s="8"/>
      <c r="J25" s="8"/>
      <c r="K25" s="364"/>
      <c r="L25" s="364"/>
      <c r="M25" s="364"/>
      <c r="N25" s="8"/>
      <c r="O25" s="8"/>
      <c r="P25" s="364"/>
      <c r="Q25" s="364"/>
      <c r="R25" s="364"/>
      <c r="S25" s="365"/>
      <c r="T25" s="365"/>
      <c r="U25" s="365"/>
      <c r="V25" s="365"/>
      <c r="W25" s="364"/>
      <c r="X25" s="364"/>
      <c r="Y25" s="364"/>
      <c r="Z25" s="364"/>
      <c r="AA25" s="364"/>
      <c r="AB25" s="364"/>
    </row>
    <row r="26">
      <c r="A26" s="364"/>
      <c r="B26" s="364"/>
      <c r="C26" s="8"/>
      <c r="D26" s="8"/>
      <c r="E26" s="364"/>
      <c r="F26" s="364"/>
      <c r="G26" s="364"/>
      <c r="H26" s="8"/>
      <c r="I26" s="8"/>
      <c r="J26" s="8"/>
      <c r="K26" s="364"/>
      <c r="L26" s="364"/>
      <c r="M26" s="364"/>
      <c r="N26" s="8"/>
      <c r="O26" s="8"/>
      <c r="P26" s="364"/>
      <c r="Q26" s="364"/>
      <c r="R26" s="364"/>
      <c r="S26" s="365"/>
      <c r="T26" s="365"/>
      <c r="U26" s="365"/>
      <c r="V26" s="365"/>
      <c r="W26" s="364"/>
      <c r="X26" s="364"/>
      <c r="Y26" s="364"/>
      <c r="Z26" s="364"/>
      <c r="AA26" s="364"/>
      <c r="AB26" s="364"/>
    </row>
    <row r="27">
      <c r="A27" s="364"/>
      <c r="B27" s="364"/>
      <c r="C27" s="8"/>
      <c r="D27" s="8"/>
      <c r="E27" s="364"/>
      <c r="F27" s="364"/>
      <c r="G27" s="364"/>
      <c r="H27" s="8"/>
      <c r="I27" s="8"/>
      <c r="J27" s="8"/>
      <c r="K27" s="364"/>
      <c r="L27" s="364"/>
      <c r="M27" s="364"/>
      <c r="N27" s="8"/>
      <c r="O27" s="8"/>
      <c r="P27" s="364"/>
      <c r="Q27" s="364"/>
      <c r="R27" s="364"/>
      <c r="S27" s="365"/>
      <c r="T27" s="365"/>
      <c r="U27" s="365"/>
      <c r="V27" s="365"/>
      <c r="W27" s="364"/>
      <c r="X27" s="364"/>
      <c r="Y27" s="364"/>
      <c r="Z27" s="364"/>
      <c r="AA27" s="364"/>
      <c r="AB27" s="364"/>
    </row>
    <row r="28">
      <c r="A28" s="364"/>
      <c r="B28" s="364"/>
      <c r="C28" s="8"/>
      <c r="D28" s="8"/>
      <c r="E28" s="364"/>
      <c r="F28" s="364"/>
      <c r="G28" s="364"/>
      <c r="H28" s="8"/>
      <c r="I28" s="8"/>
      <c r="J28" s="8"/>
      <c r="K28" s="364"/>
      <c r="L28" s="364"/>
      <c r="M28" s="364"/>
      <c r="N28" s="8"/>
      <c r="O28" s="8"/>
      <c r="P28" s="364"/>
      <c r="Q28" s="364"/>
      <c r="R28" s="364"/>
      <c r="S28" s="365"/>
      <c r="T28" s="365"/>
      <c r="U28" s="365"/>
      <c r="V28" s="365"/>
      <c r="W28" s="364"/>
      <c r="X28" s="364"/>
      <c r="Y28" s="364"/>
      <c r="Z28" s="364"/>
      <c r="AA28" s="364"/>
      <c r="AB28" s="364"/>
    </row>
    <row r="29">
      <c r="A29" s="364"/>
      <c r="B29" s="364"/>
      <c r="C29" s="8"/>
      <c r="D29" s="8"/>
      <c r="E29" s="364"/>
      <c r="F29" s="364"/>
      <c r="G29" s="364"/>
      <c r="H29" s="8"/>
      <c r="I29" s="8"/>
      <c r="J29" s="8"/>
      <c r="K29" s="364"/>
      <c r="L29" s="364"/>
      <c r="M29" s="364"/>
      <c r="N29" s="8"/>
      <c r="O29" s="8"/>
      <c r="P29" s="364"/>
      <c r="Q29" s="364"/>
      <c r="R29" s="364"/>
      <c r="S29" s="365"/>
      <c r="T29" s="365"/>
      <c r="U29" s="365"/>
      <c r="V29" s="365"/>
      <c r="W29" s="364"/>
      <c r="X29" s="364"/>
      <c r="Y29" s="364"/>
      <c r="Z29" s="364"/>
      <c r="AA29" s="364"/>
      <c r="AB29" s="364"/>
    </row>
    <row r="30">
      <c r="A30" s="364"/>
      <c r="B30" s="364"/>
      <c r="C30" s="8"/>
      <c r="D30" s="8"/>
      <c r="E30" s="364"/>
      <c r="F30" s="364"/>
      <c r="G30" s="364"/>
      <c r="H30" s="8"/>
      <c r="I30" s="8"/>
      <c r="J30" s="8"/>
      <c r="K30" s="364"/>
      <c r="L30" s="364"/>
      <c r="M30" s="364"/>
      <c r="N30" s="8"/>
      <c r="O30" s="8"/>
      <c r="P30" s="364"/>
      <c r="Q30" s="364"/>
      <c r="R30" s="364"/>
      <c r="S30" s="365"/>
      <c r="T30" s="365"/>
      <c r="U30" s="365"/>
      <c r="V30" s="365"/>
      <c r="W30" s="364"/>
      <c r="X30" s="364"/>
      <c r="Y30" s="364"/>
      <c r="Z30" s="364"/>
      <c r="AA30" s="364"/>
      <c r="AB30" s="364"/>
    </row>
    <row r="31">
      <c r="A31" s="8"/>
      <c r="B31" s="8"/>
      <c r="C31" s="8"/>
      <c r="D31" s="8"/>
      <c r="E31" s="8"/>
      <c r="F31" s="366"/>
      <c r="G31" s="8"/>
      <c r="H31" s="8"/>
      <c r="I31" s="8"/>
      <c r="J31" s="8"/>
      <c r="K31" s="8"/>
      <c r="L31" s="8"/>
      <c r="M31" s="8"/>
      <c r="N31" s="8"/>
      <c r="O31" s="8"/>
      <c r="P31" s="8"/>
      <c r="Q31" s="8"/>
      <c r="R31" s="8"/>
      <c r="S31" s="367"/>
      <c r="T31" s="367"/>
      <c r="U31" s="367"/>
      <c r="V31" s="367"/>
      <c r="W31" s="8"/>
      <c r="X31" s="8"/>
      <c r="Y31" s="8"/>
      <c r="Z31" s="8"/>
      <c r="AA31" s="8"/>
      <c r="AB31" s="8"/>
    </row>
    <row r="32">
      <c r="A32" s="8"/>
      <c r="B32" s="8"/>
      <c r="C32" s="8"/>
      <c r="D32" s="8"/>
      <c r="E32" s="8"/>
      <c r="F32" s="366"/>
      <c r="G32" s="8"/>
      <c r="H32" s="8"/>
      <c r="I32" s="8"/>
      <c r="J32" s="8"/>
      <c r="K32" s="8"/>
      <c r="L32" s="8"/>
      <c r="M32" s="8"/>
      <c r="N32" s="8"/>
      <c r="O32" s="8"/>
      <c r="P32" s="8"/>
      <c r="Q32" s="8"/>
      <c r="R32" s="8"/>
      <c r="S32" s="367"/>
      <c r="T32" s="367"/>
      <c r="U32" s="367"/>
      <c r="V32" s="367"/>
      <c r="W32" s="8"/>
      <c r="X32" s="8"/>
      <c r="Y32" s="8"/>
      <c r="Z32" s="8"/>
      <c r="AA32" s="8"/>
      <c r="AB32" s="8"/>
    </row>
    <row r="33">
      <c r="A33" s="8"/>
      <c r="B33" s="8"/>
      <c r="C33" s="8"/>
      <c r="D33" s="8"/>
      <c r="E33" s="8"/>
      <c r="F33" s="366"/>
      <c r="G33" s="8"/>
      <c r="H33" s="8"/>
      <c r="I33" s="8"/>
      <c r="J33" s="8"/>
      <c r="K33" s="8"/>
      <c r="L33" s="8"/>
      <c r="M33" s="8"/>
      <c r="N33" s="8"/>
      <c r="O33" s="8"/>
      <c r="P33" s="8"/>
      <c r="Q33" s="8"/>
      <c r="R33" s="8"/>
      <c r="S33" s="367"/>
      <c r="T33" s="367"/>
      <c r="U33" s="367"/>
      <c r="V33" s="367"/>
      <c r="W33" s="8"/>
      <c r="X33" s="8"/>
      <c r="Y33" s="8"/>
      <c r="Z33" s="8"/>
      <c r="AA33" s="8"/>
      <c r="AB33" s="8"/>
    </row>
    <row r="34">
      <c r="A34" s="8"/>
      <c r="B34" s="8"/>
      <c r="C34" s="8"/>
      <c r="D34" s="8"/>
      <c r="E34" s="8"/>
      <c r="F34" s="366"/>
      <c r="G34" s="8"/>
      <c r="H34" s="8"/>
      <c r="I34" s="8"/>
      <c r="J34" s="8"/>
      <c r="K34" s="8"/>
      <c r="L34" s="8"/>
      <c r="M34" s="8"/>
      <c r="N34" s="8"/>
      <c r="O34" s="8"/>
      <c r="P34" s="8"/>
      <c r="Q34" s="8"/>
      <c r="R34" s="8"/>
      <c r="S34" s="367"/>
      <c r="T34" s="367"/>
      <c r="U34" s="367"/>
      <c r="V34" s="367"/>
      <c r="W34" s="8"/>
      <c r="X34" s="8"/>
      <c r="Y34" s="8"/>
      <c r="Z34" s="8"/>
      <c r="AA34" s="8"/>
      <c r="AB34" s="8"/>
    </row>
    <row r="35">
      <c r="A35" s="8"/>
      <c r="B35" s="8"/>
      <c r="C35" s="8"/>
      <c r="D35" s="8"/>
      <c r="E35" s="8"/>
      <c r="F35" s="366"/>
      <c r="G35" s="8"/>
      <c r="H35" s="8"/>
      <c r="I35" s="8"/>
      <c r="J35" s="8"/>
      <c r="K35" s="8"/>
      <c r="L35" s="8"/>
      <c r="M35" s="8"/>
      <c r="N35" s="8"/>
      <c r="O35" s="8"/>
      <c r="P35" s="8"/>
      <c r="Q35" s="8"/>
      <c r="R35" s="8"/>
      <c r="S35" s="367"/>
      <c r="T35" s="367"/>
      <c r="U35" s="367"/>
      <c r="V35" s="367"/>
      <c r="W35" s="8"/>
      <c r="X35" s="8"/>
      <c r="Y35" s="8"/>
      <c r="Z35" s="8"/>
      <c r="AA35" s="8"/>
      <c r="AB35" s="8"/>
    </row>
    <row r="36">
      <c r="A36" s="8"/>
      <c r="B36" s="8"/>
      <c r="C36" s="8"/>
      <c r="D36" s="8"/>
      <c r="E36" s="8"/>
      <c r="F36" s="366"/>
      <c r="G36" s="8"/>
      <c r="H36" s="8"/>
      <c r="I36" s="8"/>
      <c r="J36" s="8"/>
      <c r="K36" s="8"/>
      <c r="L36" s="8"/>
      <c r="M36" s="8"/>
      <c r="N36" s="8"/>
      <c r="O36" s="8"/>
      <c r="P36" s="8"/>
      <c r="Q36" s="8"/>
      <c r="R36" s="8"/>
      <c r="S36" s="367"/>
      <c r="T36" s="367"/>
      <c r="U36" s="367"/>
      <c r="V36" s="367"/>
      <c r="W36" s="8"/>
      <c r="X36" s="8"/>
      <c r="Y36" s="8"/>
      <c r="Z36" s="8"/>
      <c r="AA36" s="8"/>
      <c r="AB36" s="8"/>
    </row>
    <row r="37">
      <c r="A37" s="8"/>
      <c r="B37" s="8"/>
      <c r="C37" s="8"/>
      <c r="D37" s="8"/>
      <c r="E37" s="8"/>
      <c r="F37" s="366"/>
      <c r="G37" s="8"/>
      <c r="H37" s="8"/>
      <c r="I37" s="8"/>
      <c r="J37" s="8"/>
      <c r="K37" s="8"/>
      <c r="L37" s="8"/>
      <c r="M37" s="8"/>
      <c r="N37" s="8"/>
      <c r="O37" s="8"/>
      <c r="P37" s="8"/>
      <c r="Q37" s="8"/>
      <c r="R37" s="8"/>
      <c r="S37" s="367"/>
      <c r="T37" s="367"/>
      <c r="U37" s="367"/>
      <c r="V37" s="367"/>
      <c r="W37" s="8"/>
      <c r="X37" s="8"/>
      <c r="Y37" s="8"/>
      <c r="Z37" s="8"/>
      <c r="AA37" s="8"/>
      <c r="AB37" s="8"/>
    </row>
    <row r="38">
      <c r="A38" s="8"/>
      <c r="B38" s="8"/>
      <c r="C38" s="8"/>
      <c r="D38" s="8"/>
      <c r="E38" s="8"/>
      <c r="F38" s="366"/>
      <c r="G38" s="8"/>
      <c r="H38" s="8"/>
      <c r="I38" s="8"/>
      <c r="J38" s="8"/>
      <c r="K38" s="8"/>
      <c r="L38" s="8"/>
      <c r="M38" s="8"/>
      <c r="N38" s="8"/>
      <c r="O38" s="8"/>
      <c r="P38" s="8"/>
      <c r="Q38" s="8"/>
      <c r="R38" s="8"/>
      <c r="S38" s="367"/>
      <c r="T38" s="367"/>
      <c r="U38" s="367"/>
      <c r="V38" s="367"/>
      <c r="W38" s="8"/>
      <c r="X38" s="8"/>
      <c r="Y38" s="8"/>
      <c r="Z38" s="8"/>
      <c r="AA38" s="8"/>
      <c r="AB38" s="8"/>
    </row>
    <row r="39">
      <c r="A39" s="8"/>
      <c r="B39" s="8"/>
      <c r="C39" s="8"/>
      <c r="D39" s="8"/>
      <c r="E39" s="8"/>
      <c r="F39" s="366"/>
      <c r="G39" s="8"/>
      <c r="H39" s="8"/>
      <c r="I39" s="8"/>
      <c r="J39" s="8"/>
      <c r="K39" s="8"/>
      <c r="L39" s="8"/>
      <c r="M39" s="8"/>
      <c r="N39" s="8"/>
      <c r="O39" s="8"/>
      <c r="P39" s="8"/>
      <c r="Q39" s="8"/>
      <c r="R39" s="8"/>
      <c r="S39" s="367"/>
      <c r="T39" s="367"/>
      <c r="U39" s="367"/>
      <c r="V39" s="367"/>
      <c r="W39" s="8"/>
      <c r="X39" s="8"/>
      <c r="Y39" s="8"/>
      <c r="Z39" s="8"/>
      <c r="AA39" s="8"/>
      <c r="AB39" s="8"/>
    </row>
    <row r="40">
      <c r="A40" s="8"/>
      <c r="B40" s="8"/>
      <c r="C40" s="8"/>
      <c r="D40" s="8"/>
      <c r="E40" s="8"/>
      <c r="F40" s="366"/>
      <c r="G40" s="8"/>
      <c r="H40" s="8"/>
      <c r="I40" s="8"/>
      <c r="J40" s="8"/>
      <c r="K40" s="8"/>
      <c r="L40" s="8"/>
      <c r="M40" s="8"/>
      <c r="N40" s="8"/>
      <c r="O40" s="8"/>
      <c r="P40" s="8"/>
      <c r="Q40" s="8"/>
      <c r="R40" s="8"/>
      <c r="S40" s="367"/>
      <c r="T40" s="367"/>
      <c r="U40" s="367"/>
      <c r="V40" s="367"/>
      <c r="W40" s="8"/>
      <c r="X40" s="8"/>
      <c r="Y40" s="8"/>
      <c r="Z40" s="8"/>
      <c r="AA40" s="8"/>
      <c r="AB40" s="8"/>
    </row>
    <row r="41">
      <c r="A41" s="8"/>
      <c r="B41" s="8"/>
      <c r="C41" s="8"/>
      <c r="D41" s="8"/>
      <c r="E41" s="8"/>
      <c r="F41" s="366"/>
      <c r="G41" s="8"/>
      <c r="H41" s="8"/>
      <c r="I41" s="8"/>
      <c r="J41" s="8"/>
      <c r="K41" s="8"/>
      <c r="L41" s="8"/>
      <c r="M41" s="8"/>
      <c r="N41" s="8"/>
      <c r="O41" s="8"/>
      <c r="P41" s="8"/>
      <c r="Q41" s="8"/>
      <c r="R41" s="8"/>
      <c r="S41" s="367"/>
      <c r="T41" s="367"/>
      <c r="U41" s="367"/>
      <c r="V41" s="367"/>
      <c r="W41" s="8"/>
      <c r="X41" s="8"/>
      <c r="Y41" s="8"/>
      <c r="Z41" s="8"/>
      <c r="AA41" s="8"/>
      <c r="AB41" s="8"/>
    </row>
    <row r="42">
      <c r="A42" s="8"/>
      <c r="B42" s="8"/>
      <c r="C42" s="8"/>
      <c r="D42" s="8"/>
      <c r="E42" s="8"/>
      <c r="F42" s="366"/>
      <c r="G42" s="8"/>
      <c r="H42" s="8"/>
      <c r="I42" s="8"/>
      <c r="J42" s="8"/>
      <c r="K42" s="8"/>
      <c r="L42" s="8"/>
      <c r="M42" s="8"/>
      <c r="N42" s="8"/>
      <c r="O42" s="8"/>
      <c r="P42" s="8"/>
      <c r="Q42" s="8"/>
      <c r="R42" s="8"/>
      <c r="S42" s="367"/>
      <c r="T42" s="367"/>
      <c r="U42" s="367"/>
      <c r="V42" s="367"/>
      <c r="W42" s="8"/>
      <c r="X42" s="8"/>
      <c r="Y42" s="8"/>
      <c r="Z42" s="8"/>
      <c r="AA42" s="8"/>
      <c r="AB42" s="8"/>
    </row>
    <row r="43">
      <c r="A43" s="8"/>
      <c r="B43" s="8"/>
      <c r="C43" s="8"/>
      <c r="D43" s="8"/>
      <c r="E43" s="8"/>
      <c r="F43" s="366"/>
      <c r="G43" s="8"/>
      <c r="H43" s="8"/>
      <c r="I43" s="8"/>
      <c r="J43" s="8"/>
      <c r="K43" s="8"/>
      <c r="L43" s="8"/>
      <c r="M43" s="8"/>
      <c r="N43" s="8"/>
      <c r="O43" s="8"/>
      <c r="P43" s="8"/>
      <c r="Q43" s="8"/>
      <c r="R43" s="8"/>
      <c r="S43" s="367"/>
      <c r="T43" s="367"/>
      <c r="U43" s="367"/>
      <c r="V43" s="367"/>
      <c r="W43" s="8"/>
      <c r="X43" s="8"/>
      <c r="Y43" s="8"/>
      <c r="Z43" s="8"/>
      <c r="AA43" s="8"/>
      <c r="AB43" s="8"/>
    </row>
    <row r="44">
      <c r="A44" s="8"/>
      <c r="B44" s="8"/>
      <c r="C44" s="8"/>
      <c r="D44" s="8"/>
      <c r="E44" s="8"/>
      <c r="F44" s="366"/>
      <c r="G44" s="8"/>
      <c r="H44" s="8"/>
      <c r="I44" s="8"/>
      <c r="J44" s="8"/>
      <c r="K44" s="8"/>
      <c r="L44" s="8"/>
      <c r="M44" s="8"/>
      <c r="N44" s="8"/>
      <c r="O44" s="8"/>
      <c r="P44" s="8"/>
      <c r="Q44" s="8"/>
      <c r="R44" s="8"/>
      <c r="S44" s="367"/>
      <c r="T44" s="367"/>
      <c r="U44" s="367"/>
      <c r="V44" s="367"/>
      <c r="W44" s="8"/>
      <c r="X44" s="8"/>
      <c r="Y44" s="8"/>
      <c r="Z44" s="8"/>
      <c r="AA44" s="8"/>
      <c r="AB44" s="8"/>
    </row>
    <row r="45">
      <c r="A45" s="8"/>
      <c r="B45" s="8"/>
      <c r="C45" s="8"/>
      <c r="D45" s="8"/>
      <c r="E45" s="8"/>
      <c r="F45" s="366"/>
      <c r="G45" s="8"/>
      <c r="H45" s="8"/>
      <c r="I45" s="8"/>
      <c r="J45" s="8"/>
      <c r="K45" s="8"/>
      <c r="L45" s="8"/>
      <c r="M45" s="8"/>
      <c r="N45" s="8"/>
      <c r="O45" s="8"/>
      <c r="P45" s="8"/>
      <c r="Q45" s="8"/>
      <c r="R45" s="8"/>
      <c r="S45" s="367"/>
      <c r="T45" s="367"/>
      <c r="U45" s="367"/>
      <c r="V45" s="367"/>
      <c r="W45" s="8"/>
      <c r="X45" s="8"/>
      <c r="Y45" s="8"/>
      <c r="Z45" s="8"/>
      <c r="AA45" s="8"/>
      <c r="AB45" s="8"/>
    </row>
    <row r="46">
      <c r="A46" s="8"/>
      <c r="B46" s="8"/>
      <c r="C46" s="8"/>
      <c r="D46" s="8"/>
      <c r="E46" s="8"/>
      <c r="F46" s="366"/>
      <c r="G46" s="8"/>
      <c r="H46" s="8"/>
      <c r="I46" s="8"/>
      <c r="J46" s="8"/>
      <c r="K46" s="8"/>
      <c r="L46" s="8"/>
      <c r="M46" s="8"/>
      <c r="N46" s="8"/>
      <c r="O46" s="8"/>
      <c r="P46" s="8"/>
      <c r="Q46" s="8"/>
      <c r="R46" s="8"/>
      <c r="S46" s="367"/>
      <c r="T46" s="367"/>
      <c r="U46" s="367"/>
      <c r="V46" s="367"/>
      <c r="W46" s="8"/>
      <c r="X46" s="8"/>
      <c r="Y46" s="8"/>
      <c r="Z46" s="8"/>
      <c r="AA46" s="8"/>
      <c r="AB46" s="8"/>
    </row>
    <row r="47">
      <c r="A47" s="8"/>
      <c r="B47" s="8"/>
      <c r="C47" s="8"/>
      <c r="D47" s="8"/>
      <c r="E47" s="8"/>
      <c r="F47" s="366"/>
      <c r="G47" s="8"/>
      <c r="H47" s="8"/>
      <c r="I47" s="8"/>
      <c r="J47" s="8"/>
      <c r="K47" s="8"/>
      <c r="L47" s="8"/>
      <c r="M47" s="8"/>
      <c r="N47" s="8"/>
      <c r="O47" s="8"/>
      <c r="P47" s="8"/>
      <c r="Q47" s="8"/>
      <c r="R47" s="8"/>
      <c r="S47" s="367"/>
      <c r="T47" s="367"/>
      <c r="U47" s="367"/>
      <c r="V47" s="367"/>
      <c r="W47" s="8"/>
      <c r="X47" s="8"/>
      <c r="Y47" s="8"/>
      <c r="Z47" s="8"/>
      <c r="AA47" s="8"/>
      <c r="AB47" s="8"/>
    </row>
    <row r="48">
      <c r="A48" s="8"/>
      <c r="B48" s="8"/>
      <c r="C48" s="8"/>
      <c r="D48" s="8"/>
      <c r="E48" s="8"/>
      <c r="F48" s="366"/>
      <c r="G48" s="8"/>
      <c r="H48" s="8"/>
      <c r="I48" s="8"/>
      <c r="J48" s="8"/>
      <c r="K48" s="8"/>
      <c r="L48" s="8"/>
      <c r="M48" s="8"/>
      <c r="N48" s="8"/>
      <c r="O48" s="8"/>
      <c r="P48" s="8"/>
      <c r="Q48" s="8"/>
      <c r="R48" s="8"/>
      <c r="S48" s="367"/>
      <c r="T48" s="367"/>
      <c r="U48" s="367"/>
      <c r="V48" s="367"/>
      <c r="W48" s="8"/>
      <c r="X48" s="8"/>
      <c r="Y48" s="8"/>
      <c r="Z48" s="8"/>
      <c r="AA48" s="8"/>
      <c r="AB48" s="8"/>
    </row>
    <row r="49">
      <c r="A49" s="8"/>
      <c r="B49" s="8"/>
      <c r="C49" s="8"/>
      <c r="D49" s="8"/>
      <c r="E49" s="8"/>
      <c r="F49" s="366"/>
      <c r="G49" s="8"/>
      <c r="H49" s="8"/>
      <c r="I49" s="8"/>
      <c r="J49" s="8"/>
      <c r="K49" s="8"/>
      <c r="L49" s="8"/>
      <c r="M49" s="8"/>
      <c r="N49" s="8"/>
      <c r="O49" s="8"/>
      <c r="P49" s="8"/>
      <c r="Q49" s="8"/>
      <c r="R49" s="8"/>
      <c r="S49" s="367"/>
      <c r="T49" s="367"/>
      <c r="U49" s="367"/>
      <c r="V49" s="367"/>
      <c r="W49" s="8"/>
      <c r="X49" s="8"/>
      <c r="Y49" s="8"/>
      <c r="Z49" s="8"/>
      <c r="AA49" s="8"/>
      <c r="AB49" s="8"/>
    </row>
    <row r="50">
      <c r="A50" s="8"/>
      <c r="B50" s="8"/>
      <c r="C50" s="8"/>
      <c r="D50" s="8"/>
      <c r="E50" s="8"/>
      <c r="F50" s="366"/>
      <c r="G50" s="8"/>
      <c r="H50" s="8"/>
      <c r="I50" s="8"/>
      <c r="J50" s="8"/>
      <c r="K50" s="8"/>
      <c r="L50" s="8"/>
      <c r="M50" s="8"/>
      <c r="N50" s="8"/>
      <c r="O50" s="8"/>
      <c r="P50" s="8"/>
      <c r="Q50" s="8"/>
      <c r="R50" s="8"/>
      <c r="S50" s="367"/>
      <c r="T50" s="367"/>
      <c r="U50" s="367"/>
      <c r="V50" s="367"/>
      <c r="W50" s="8"/>
      <c r="X50" s="8"/>
      <c r="Y50" s="8"/>
      <c r="Z50" s="8"/>
      <c r="AA50" s="8"/>
      <c r="AB50" s="8"/>
    </row>
    <row r="51">
      <c r="A51" s="8"/>
      <c r="B51" s="8"/>
      <c r="C51" s="8"/>
      <c r="D51" s="8"/>
      <c r="E51" s="8"/>
      <c r="F51" s="366"/>
      <c r="G51" s="8"/>
      <c r="H51" s="8"/>
      <c r="I51" s="8"/>
      <c r="J51" s="8"/>
      <c r="K51" s="8"/>
      <c r="L51" s="8"/>
      <c r="M51" s="8"/>
      <c r="N51" s="8"/>
      <c r="O51" s="8"/>
      <c r="P51" s="8"/>
      <c r="Q51" s="8"/>
      <c r="R51" s="8"/>
      <c r="S51" s="367"/>
      <c r="T51" s="367"/>
      <c r="U51" s="367"/>
      <c r="V51" s="367"/>
      <c r="W51" s="8"/>
      <c r="X51" s="8"/>
      <c r="Y51" s="8"/>
      <c r="Z51" s="8"/>
      <c r="AA51" s="8"/>
      <c r="AB51" s="8"/>
    </row>
    <row r="52">
      <c r="A52" s="8"/>
      <c r="B52" s="8"/>
      <c r="C52" s="8"/>
      <c r="D52" s="8"/>
      <c r="E52" s="8"/>
      <c r="F52" s="366"/>
      <c r="G52" s="8"/>
      <c r="H52" s="8"/>
      <c r="I52" s="8"/>
      <c r="J52" s="8"/>
      <c r="K52" s="8"/>
      <c r="L52" s="8"/>
      <c r="M52" s="8"/>
      <c r="N52" s="8"/>
      <c r="O52" s="8"/>
      <c r="P52" s="8"/>
      <c r="Q52" s="8"/>
      <c r="R52" s="8"/>
      <c r="S52" s="367"/>
      <c r="T52" s="367"/>
      <c r="U52" s="367"/>
      <c r="V52" s="367"/>
      <c r="W52" s="8"/>
      <c r="X52" s="8"/>
      <c r="Y52" s="8"/>
      <c r="Z52" s="8"/>
      <c r="AA52" s="8"/>
      <c r="AB52" s="8"/>
    </row>
    <row r="53">
      <c r="A53" s="8"/>
      <c r="B53" s="8"/>
      <c r="C53" s="8"/>
      <c r="D53" s="8"/>
      <c r="E53" s="8"/>
      <c r="F53" s="366"/>
      <c r="G53" s="8"/>
      <c r="H53" s="8"/>
      <c r="I53" s="8"/>
      <c r="J53" s="8"/>
      <c r="K53" s="8"/>
      <c r="L53" s="8"/>
      <c r="M53" s="8"/>
      <c r="N53" s="8"/>
      <c r="O53" s="8"/>
      <c r="P53" s="8"/>
      <c r="Q53" s="8"/>
      <c r="R53" s="8"/>
      <c r="S53" s="367"/>
      <c r="T53" s="367"/>
      <c r="U53" s="367"/>
      <c r="V53" s="367"/>
      <c r="W53" s="8"/>
      <c r="X53" s="8"/>
      <c r="Y53" s="8"/>
      <c r="Z53" s="8"/>
      <c r="AA53" s="8"/>
      <c r="AB53" s="8"/>
    </row>
    <row r="54">
      <c r="A54" s="8"/>
      <c r="B54" s="8"/>
      <c r="C54" s="8"/>
      <c r="D54" s="8"/>
      <c r="E54" s="8"/>
      <c r="F54" s="366"/>
      <c r="G54" s="8"/>
      <c r="H54" s="8"/>
      <c r="I54" s="8"/>
      <c r="J54" s="8"/>
      <c r="K54" s="8"/>
      <c r="L54" s="8"/>
      <c r="M54" s="8"/>
      <c r="N54" s="8"/>
      <c r="O54" s="8"/>
      <c r="P54" s="8"/>
      <c r="Q54" s="8"/>
      <c r="R54" s="8"/>
      <c r="S54" s="367"/>
      <c r="T54" s="367"/>
      <c r="U54" s="367"/>
      <c r="V54" s="367"/>
      <c r="W54" s="8"/>
      <c r="X54" s="8"/>
      <c r="Y54" s="8"/>
      <c r="Z54" s="8"/>
      <c r="AA54" s="8"/>
      <c r="AB54" s="8"/>
    </row>
    <row r="55">
      <c r="A55" s="8"/>
      <c r="B55" s="8"/>
      <c r="C55" s="8"/>
      <c r="D55" s="8"/>
      <c r="E55" s="8"/>
      <c r="F55" s="366"/>
      <c r="G55" s="8"/>
      <c r="H55" s="8"/>
      <c r="I55" s="8"/>
      <c r="J55" s="8"/>
      <c r="K55" s="8"/>
      <c r="L55" s="8"/>
      <c r="M55" s="8"/>
      <c r="N55" s="8"/>
      <c r="O55" s="8"/>
      <c r="P55" s="8"/>
      <c r="Q55" s="8"/>
      <c r="R55" s="8"/>
      <c r="S55" s="367"/>
      <c r="T55" s="367"/>
      <c r="U55" s="367"/>
      <c r="V55" s="367"/>
      <c r="W55" s="8"/>
      <c r="X55" s="8"/>
      <c r="Y55" s="8"/>
      <c r="Z55" s="8"/>
      <c r="AA55" s="8"/>
      <c r="AB55" s="8"/>
    </row>
    <row r="56">
      <c r="A56" s="8"/>
      <c r="B56" s="8"/>
      <c r="C56" s="8"/>
      <c r="D56" s="8"/>
      <c r="E56" s="8"/>
      <c r="F56" s="366"/>
      <c r="G56" s="8"/>
      <c r="H56" s="8"/>
      <c r="I56" s="8"/>
      <c r="J56" s="8"/>
      <c r="K56" s="8"/>
      <c r="L56" s="8"/>
      <c r="M56" s="8"/>
      <c r="N56" s="8"/>
      <c r="O56" s="8"/>
      <c r="P56" s="8"/>
      <c r="Q56" s="8"/>
      <c r="R56" s="8"/>
      <c r="S56" s="367"/>
      <c r="T56" s="367"/>
      <c r="U56" s="367"/>
      <c r="V56" s="367"/>
      <c r="W56" s="8"/>
      <c r="X56" s="8"/>
      <c r="Y56" s="8"/>
      <c r="Z56" s="8"/>
      <c r="AA56" s="8"/>
      <c r="AB56" s="8"/>
    </row>
    <row r="57">
      <c r="A57" s="8"/>
      <c r="B57" s="8"/>
      <c r="C57" s="8"/>
      <c r="D57" s="8"/>
      <c r="E57" s="8"/>
      <c r="F57" s="366"/>
      <c r="G57" s="8"/>
      <c r="H57" s="8"/>
      <c r="I57" s="8"/>
      <c r="J57" s="8"/>
      <c r="K57" s="8"/>
      <c r="L57" s="8"/>
      <c r="M57" s="8"/>
      <c r="N57" s="8"/>
      <c r="O57" s="8"/>
      <c r="P57" s="8"/>
      <c r="Q57" s="8"/>
      <c r="R57" s="8"/>
      <c r="S57" s="367"/>
      <c r="T57" s="367"/>
      <c r="U57" s="367"/>
      <c r="V57" s="367"/>
      <c r="W57" s="8"/>
      <c r="X57" s="8"/>
      <c r="Y57" s="8"/>
      <c r="Z57" s="8"/>
      <c r="AA57" s="8"/>
      <c r="AB57" s="8"/>
    </row>
    <row r="58">
      <c r="A58" s="8"/>
      <c r="B58" s="8"/>
      <c r="C58" s="8"/>
      <c r="D58" s="8"/>
      <c r="E58" s="8"/>
      <c r="F58" s="366"/>
      <c r="G58" s="8"/>
      <c r="H58" s="8"/>
      <c r="I58" s="8"/>
      <c r="J58" s="8"/>
      <c r="K58" s="8"/>
      <c r="L58" s="8"/>
      <c r="M58" s="8"/>
      <c r="N58" s="8"/>
      <c r="O58" s="8"/>
      <c r="P58" s="8"/>
      <c r="Q58" s="8"/>
      <c r="R58" s="8"/>
      <c r="S58" s="367"/>
      <c r="T58" s="367"/>
      <c r="U58" s="367"/>
      <c r="V58" s="367"/>
      <c r="W58" s="8"/>
      <c r="X58" s="8"/>
      <c r="Y58" s="8"/>
      <c r="Z58" s="8"/>
      <c r="AA58" s="8"/>
      <c r="AB58" s="8"/>
    </row>
    <row r="59">
      <c r="A59" s="8"/>
      <c r="B59" s="8"/>
      <c r="C59" s="8"/>
      <c r="D59" s="8"/>
      <c r="E59" s="8"/>
      <c r="F59" s="366"/>
      <c r="G59" s="8"/>
      <c r="H59" s="8"/>
      <c r="I59" s="8"/>
      <c r="J59" s="8"/>
      <c r="K59" s="8"/>
      <c r="L59" s="8"/>
      <c r="M59" s="8"/>
      <c r="N59" s="8"/>
      <c r="O59" s="8"/>
      <c r="P59" s="8"/>
      <c r="Q59" s="8"/>
      <c r="R59" s="8"/>
      <c r="S59" s="367"/>
      <c r="T59" s="367"/>
      <c r="U59" s="367"/>
      <c r="V59" s="367"/>
      <c r="W59" s="8"/>
      <c r="X59" s="8"/>
      <c r="Y59" s="8"/>
      <c r="Z59" s="8"/>
      <c r="AA59" s="8"/>
      <c r="AB59" s="8"/>
    </row>
    <row r="60">
      <c r="A60" s="8"/>
      <c r="B60" s="8"/>
      <c r="C60" s="8"/>
      <c r="D60" s="8"/>
      <c r="E60" s="8"/>
      <c r="F60" s="366"/>
      <c r="G60" s="8"/>
      <c r="H60" s="8"/>
      <c r="I60" s="8"/>
      <c r="J60" s="8"/>
      <c r="K60" s="8"/>
      <c r="L60" s="8"/>
      <c r="M60" s="8"/>
      <c r="N60" s="8"/>
      <c r="O60" s="8"/>
      <c r="P60" s="8"/>
      <c r="Q60" s="8"/>
      <c r="R60" s="8"/>
      <c r="S60" s="367"/>
      <c r="T60" s="367"/>
      <c r="U60" s="367"/>
      <c r="V60" s="367"/>
      <c r="W60" s="8"/>
      <c r="X60" s="8"/>
      <c r="Y60" s="8"/>
      <c r="Z60" s="8"/>
      <c r="AA60" s="8"/>
      <c r="AB60" s="8"/>
    </row>
    <row r="61">
      <c r="A61" s="8"/>
      <c r="B61" s="8"/>
      <c r="C61" s="8"/>
      <c r="D61" s="8"/>
      <c r="E61" s="8"/>
      <c r="F61" s="366"/>
      <c r="G61" s="8"/>
      <c r="H61" s="8"/>
      <c r="I61" s="8"/>
      <c r="J61" s="8"/>
      <c r="K61" s="8"/>
      <c r="L61" s="8"/>
      <c r="M61" s="8"/>
      <c r="N61" s="8"/>
      <c r="O61" s="8"/>
      <c r="P61" s="8"/>
      <c r="Q61" s="8"/>
      <c r="R61" s="8"/>
      <c r="S61" s="367"/>
      <c r="T61" s="367"/>
      <c r="U61" s="367"/>
      <c r="V61" s="367"/>
      <c r="W61" s="8"/>
      <c r="X61" s="8"/>
      <c r="Y61" s="8"/>
      <c r="Z61" s="8"/>
      <c r="AA61" s="8"/>
      <c r="AB61" s="8"/>
    </row>
    <row r="62">
      <c r="A62" s="8"/>
      <c r="B62" s="8"/>
      <c r="C62" s="8"/>
      <c r="D62" s="8"/>
      <c r="E62" s="8"/>
      <c r="F62" s="366"/>
      <c r="G62" s="8"/>
      <c r="H62" s="8"/>
      <c r="I62" s="8"/>
      <c r="J62" s="8"/>
      <c r="K62" s="8"/>
      <c r="L62" s="8"/>
      <c r="M62" s="8"/>
      <c r="N62" s="8"/>
      <c r="O62" s="8"/>
      <c r="P62" s="8"/>
      <c r="Q62" s="8"/>
      <c r="R62" s="8"/>
      <c r="S62" s="367"/>
      <c r="T62" s="367"/>
      <c r="U62" s="367"/>
      <c r="V62" s="367"/>
      <c r="W62" s="8"/>
      <c r="X62" s="8"/>
      <c r="Y62" s="8"/>
      <c r="Z62" s="8"/>
      <c r="AA62" s="8"/>
      <c r="AB62" s="8"/>
    </row>
    <row r="63">
      <c r="A63" s="8"/>
      <c r="B63" s="8"/>
      <c r="C63" s="8"/>
      <c r="D63" s="8"/>
      <c r="E63" s="8"/>
      <c r="F63" s="366"/>
      <c r="G63" s="8"/>
      <c r="H63" s="8"/>
      <c r="I63" s="8"/>
      <c r="J63" s="8"/>
      <c r="K63" s="8"/>
      <c r="L63" s="8"/>
      <c r="M63" s="8"/>
      <c r="N63" s="8"/>
      <c r="O63" s="8"/>
      <c r="P63" s="8"/>
      <c r="Q63" s="8"/>
      <c r="R63" s="8"/>
      <c r="S63" s="367"/>
      <c r="T63" s="367"/>
      <c r="U63" s="367"/>
      <c r="V63" s="367"/>
      <c r="W63" s="8"/>
      <c r="X63" s="8"/>
      <c r="Y63" s="8"/>
      <c r="Z63" s="8"/>
      <c r="AA63" s="8"/>
      <c r="AB63" s="8"/>
    </row>
    <row r="64">
      <c r="A64" s="8"/>
      <c r="B64" s="8"/>
      <c r="C64" s="8"/>
      <c r="D64" s="8"/>
      <c r="E64" s="8"/>
      <c r="F64" s="366"/>
      <c r="G64" s="8"/>
      <c r="H64" s="8"/>
      <c r="I64" s="8"/>
      <c r="J64" s="8"/>
      <c r="K64" s="8"/>
      <c r="L64" s="8"/>
      <c r="M64" s="8"/>
      <c r="N64" s="8"/>
      <c r="O64" s="8"/>
      <c r="P64" s="8"/>
      <c r="Q64" s="8"/>
      <c r="R64" s="8"/>
      <c r="S64" s="367"/>
      <c r="T64" s="367"/>
      <c r="U64" s="367"/>
      <c r="V64" s="367"/>
      <c r="W64" s="8"/>
      <c r="X64" s="8"/>
      <c r="Y64" s="8"/>
      <c r="Z64" s="8"/>
      <c r="AA64" s="8"/>
      <c r="AB64" s="8"/>
    </row>
    <row r="65">
      <c r="A65" s="8"/>
      <c r="B65" s="8"/>
      <c r="C65" s="8"/>
      <c r="D65" s="8"/>
      <c r="E65" s="8"/>
      <c r="F65" s="366"/>
      <c r="G65" s="8"/>
      <c r="H65" s="8"/>
      <c r="I65" s="8"/>
      <c r="J65" s="8"/>
      <c r="K65" s="8"/>
      <c r="L65" s="8"/>
      <c r="M65" s="8"/>
      <c r="N65" s="8"/>
      <c r="O65" s="8"/>
      <c r="P65" s="8"/>
      <c r="Q65" s="8"/>
      <c r="R65" s="8"/>
      <c r="S65" s="367"/>
      <c r="T65" s="367"/>
      <c r="U65" s="367"/>
      <c r="V65" s="367"/>
      <c r="W65" s="8"/>
      <c r="X65" s="8"/>
      <c r="Y65" s="8"/>
      <c r="Z65" s="8"/>
      <c r="AA65" s="8"/>
      <c r="AB65" s="8"/>
    </row>
    <row r="66">
      <c r="A66" s="8"/>
      <c r="B66" s="8"/>
      <c r="C66" s="8"/>
      <c r="D66" s="8"/>
      <c r="E66" s="8"/>
      <c r="F66" s="366"/>
      <c r="G66" s="8"/>
      <c r="H66" s="8"/>
      <c r="I66" s="8"/>
      <c r="J66" s="8"/>
      <c r="K66" s="8"/>
      <c r="L66" s="8"/>
      <c r="M66" s="8"/>
      <c r="N66" s="8"/>
      <c r="O66" s="8"/>
      <c r="P66" s="8"/>
      <c r="Q66" s="8"/>
      <c r="R66" s="8"/>
      <c r="S66" s="367"/>
      <c r="T66" s="367"/>
      <c r="U66" s="367"/>
      <c r="V66" s="367"/>
      <c r="W66" s="8"/>
      <c r="X66" s="8"/>
      <c r="Y66" s="8"/>
      <c r="Z66" s="8"/>
      <c r="AA66" s="8"/>
      <c r="AB66" s="8"/>
    </row>
    <row r="67">
      <c r="A67" s="8"/>
      <c r="B67" s="8"/>
      <c r="C67" s="8"/>
      <c r="D67" s="8"/>
      <c r="E67" s="8"/>
      <c r="F67" s="366"/>
      <c r="G67" s="8"/>
      <c r="H67" s="8"/>
      <c r="I67" s="8"/>
      <c r="J67" s="8"/>
      <c r="K67" s="8"/>
      <c r="L67" s="8"/>
      <c r="M67" s="8"/>
      <c r="N67" s="8"/>
      <c r="O67" s="8"/>
      <c r="P67" s="8"/>
      <c r="Q67" s="8"/>
      <c r="R67" s="8"/>
      <c r="S67" s="367"/>
      <c r="T67" s="367"/>
      <c r="U67" s="367"/>
      <c r="V67" s="367"/>
      <c r="W67" s="8"/>
      <c r="X67" s="8"/>
      <c r="Y67" s="8"/>
      <c r="Z67" s="8"/>
      <c r="AA67" s="8"/>
      <c r="AB67" s="8"/>
    </row>
    <row r="68">
      <c r="A68" s="8"/>
      <c r="B68" s="8"/>
      <c r="C68" s="8"/>
      <c r="D68" s="8"/>
      <c r="E68" s="8"/>
      <c r="F68" s="366"/>
      <c r="G68" s="8"/>
      <c r="H68" s="8"/>
      <c r="I68" s="8"/>
      <c r="J68" s="8"/>
      <c r="K68" s="8"/>
      <c r="L68" s="8"/>
      <c r="M68" s="8"/>
      <c r="N68" s="8"/>
      <c r="O68" s="8"/>
      <c r="P68" s="8"/>
      <c r="Q68" s="8"/>
      <c r="R68" s="8"/>
      <c r="S68" s="367"/>
      <c r="T68" s="367"/>
      <c r="U68" s="367"/>
      <c r="V68" s="367"/>
      <c r="W68" s="8"/>
      <c r="X68" s="8"/>
      <c r="Y68" s="8"/>
      <c r="Z68" s="8"/>
      <c r="AA68" s="8"/>
      <c r="AB68" s="8"/>
    </row>
    <row r="69">
      <c r="A69" s="8"/>
      <c r="B69" s="8"/>
      <c r="C69" s="8"/>
      <c r="D69" s="8"/>
      <c r="E69" s="8"/>
      <c r="F69" s="366"/>
      <c r="G69" s="8"/>
      <c r="H69" s="8"/>
      <c r="I69" s="8"/>
      <c r="J69" s="8"/>
      <c r="K69" s="8"/>
      <c r="L69" s="8"/>
      <c r="M69" s="8"/>
      <c r="N69" s="8"/>
      <c r="O69" s="8"/>
      <c r="P69" s="8"/>
      <c r="Q69" s="8"/>
      <c r="R69" s="8"/>
      <c r="S69" s="367"/>
      <c r="T69" s="367"/>
      <c r="U69" s="367"/>
      <c r="V69" s="367"/>
      <c r="W69" s="8"/>
      <c r="X69" s="8"/>
      <c r="Y69" s="8"/>
      <c r="Z69" s="8"/>
      <c r="AA69" s="8"/>
      <c r="AB69" s="8"/>
    </row>
    <row r="70">
      <c r="A70" s="8"/>
      <c r="B70" s="8"/>
      <c r="C70" s="8"/>
      <c r="D70" s="8"/>
      <c r="E70" s="8"/>
      <c r="F70" s="366"/>
      <c r="G70" s="8"/>
      <c r="H70" s="8"/>
      <c r="I70" s="8"/>
      <c r="J70" s="8"/>
      <c r="K70" s="8"/>
      <c r="L70" s="8"/>
      <c r="M70" s="8"/>
      <c r="N70" s="8"/>
      <c r="O70" s="8"/>
      <c r="P70" s="8"/>
      <c r="Q70" s="8"/>
      <c r="R70" s="8"/>
      <c r="S70" s="367"/>
      <c r="T70" s="367"/>
      <c r="U70" s="367"/>
      <c r="V70" s="367"/>
      <c r="W70" s="8"/>
      <c r="X70" s="8"/>
      <c r="Y70" s="8"/>
      <c r="Z70" s="8"/>
      <c r="AA70" s="8"/>
      <c r="AB70" s="8"/>
    </row>
    <row r="71">
      <c r="A71" s="8"/>
      <c r="B71" s="8"/>
      <c r="C71" s="8"/>
      <c r="D71" s="8"/>
      <c r="E71" s="8"/>
      <c r="F71" s="366"/>
      <c r="G71" s="8"/>
      <c r="H71" s="8"/>
      <c r="I71" s="8"/>
      <c r="J71" s="8"/>
      <c r="K71" s="8"/>
      <c r="L71" s="8"/>
      <c r="M71" s="8"/>
      <c r="N71" s="8"/>
      <c r="O71" s="8"/>
      <c r="P71" s="8"/>
      <c r="Q71" s="8"/>
      <c r="R71" s="8"/>
      <c r="S71" s="367"/>
      <c r="T71" s="367"/>
      <c r="U71" s="367"/>
      <c r="V71" s="367"/>
      <c r="W71" s="8"/>
      <c r="X71" s="8"/>
      <c r="Y71" s="8"/>
      <c r="Z71" s="8"/>
      <c r="AA71" s="8"/>
      <c r="AB71" s="8"/>
    </row>
    <row r="72">
      <c r="A72" s="8"/>
      <c r="B72" s="8"/>
      <c r="C72" s="8"/>
      <c r="D72" s="8"/>
      <c r="E72" s="8"/>
      <c r="F72" s="366"/>
      <c r="G72" s="8"/>
      <c r="H72" s="8"/>
      <c r="I72" s="8"/>
      <c r="J72" s="8"/>
      <c r="K72" s="8"/>
      <c r="L72" s="8"/>
      <c r="M72" s="8"/>
      <c r="N72" s="8"/>
      <c r="O72" s="8"/>
      <c r="P72" s="8"/>
      <c r="Q72" s="8"/>
      <c r="R72" s="8"/>
      <c r="S72" s="367"/>
      <c r="T72" s="367"/>
      <c r="U72" s="367"/>
      <c r="V72" s="367"/>
      <c r="W72" s="8"/>
      <c r="X72" s="8"/>
      <c r="Y72" s="8"/>
      <c r="Z72" s="8"/>
      <c r="AA72" s="8"/>
      <c r="AB72" s="8"/>
    </row>
    <row r="73">
      <c r="A73" s="8"/>
      <c r="B73" s="8"/>
      <c r="C73" s="8"/>
      <c r="D73" s="8"/>
      <c r="E73" s="8"/>
      <c r="F73" s="366"/>
      <c r="G73" s="8"/>
      <c r="H73" s="8"/>
      <c r="I73" s="8"/>
      <c r="J73" s="8"/>
      <c r="K73" s="8"/>
      <c r="L73" s="8"/>
      <c r="M73" s="8"/>
      <c r="N73" s="8"/>
      <c r="O73" s="8"/>
      <c r="P73" s="8"/>
      <c r="Q73" s="8"/>
      <c r="R73" s="8"/>
      <c r="S73" s="367"/>
      <c r="T73" s="367"/>
      <c r="U73" s="367"/>
      <c r="V73" s="367"/>
      <c r="W73" s="8"/>
      <c r="X73" s="8"/>
      <c r="Y73" s="8"/>
      <c r="Z73" s="8"/>
      <c r="AA73" s="8"/>
      <c r="AB73" s="8"/>
    </row>
    <row r="74">
      <c r="A74" s="8"/>
      <c r="B74" s="8"/>
      <c r="C74" s="8"/>
      <c r="D74" s="8"/>
      <c r="E74" s="8"/>
      <c r="F74" s="366"/>
      <c r="G74" s="8"/>
      <c r="H74" s="8"/>
      <c r="I74" s="8"/>
      <c r="J74" s="8"/>
      <c r="K74" s="8"/>
      <c r="L74" s="8"/>
      <c r="M74" s="8"/>
      <c r="N74" s="8"/>
      <c r="O74" s="8"/>
      <c r="P74" s="8"/>
      <c r="Q74" s="8"/>
      <c r="R74" s="8"/>
      <c r="S74" s="367"/>
      <c r="T74" s="367"/>
      <c r="U74" s="367"/>
      <c r="V74" s="367"/>
      <c r="W74" s="8"/>
      <c r="X74" s="8"/>
      <c r="Y74" s="8"/>
      <c r="Z74" s="8"/>
      <c r="AA74" s="8"/>
      <c r="AB74" s="8"/>
    </row>
    <row r="75">
      <c r="A75" s="8"/>
      <c r="B75" s="8"/>
      <c r="C75" s="8"/>
      <c r="D75" s="8"/>
      <c r="E75" s="8"/>
      <c r="F75" s="366"/>
      <c r="G75" s="8"/>
      <c r="H75" s="8"/>
      <c r="I75" s="8"/>
      <c r="J75" s="8"/>
      <c r="K75" s="8"/>
      <c r="L75" s="8"/>
      <c r="M75" s="8"/>
      <c r="N75" s="8"/>
      <c r="O75" s="8"/>
      <c r="P75" s="8"/>
      <c r="Q75" s="8"/>
      <c r="R75" s="8"/>
      <c r="S75" s="367"/>
      <c r="T75" s="367"/>
      <c r="U75" s="367"/>
      <c r="V75" s="367"/>
      <c r="W75" s="8"/>
      <c r="X75" s="8"/>
      <c r="Y75" s="8"/>
      <c r="Z75" s="8"/>
      <c r="AA75" s="8"/>
      <c r="AB75" s="8"/>
    </row>
    <row r="76">
      <c r="A76" s="8"/>
      <c r="B76" s="8"/>
      <c r="C76" s="8"/>
      <c r="D76" s="8"/>
      <c r="E76" s="8"/>
      <c r="F76" s="366"/>
      <c r="G76" s="8"/>
      <c r="H76" s="8"/>
      <c r="I76" s="8"/>
      <c r="J76" s="8"/>
      <c r="K76" s="8"/>
      <c r="L76" s="8"/>
      <c r="M76" s="8"/>
      <c r="N76" s="8"/>
      <c r="O76" s="8"/>
      <c r="P76" s="8"/>
      <c r="Q76" s="8"/>
      <c r="R76" s="8"/>
      <c r="S76" s="367"/>
      <c r="T76" s="367"/>
      <c r="U76" s="367"/>
      <c r="V76" s="367"/>
      <c r="W76" s="8"/>
      <c r="X76" s="8"/>
      <c r="Y76" s="8"/>
      <c r="Z76" s="8"/>
      <c r="AA76" s="8"/>
      <c r="AB76" s="8"/>
    </row>
    <row r="77">
      <c r="A77" s="8"/>
      <c r="B77" s="8"/>
      <c r="C77" s="8"/>
      <c r="D77" s="8"/>
      <c r="E77" s="8"/>
      <c r="F77" s="366"/>
      <c r="G77" s="8"/>
      <c r="H77" s="8"/>
      <c r="I77" s="8"/>
      <c r="J77" s="8"/>
      <c r="K77" s="8"/>
      <c r="L77" s="8"/>
      <c r="M77" s="8"/>
      <c r="N77" s="8"/>
      <c r="O77" s="8"/>
      <c r="P77" s="8"/>
      <c r="Q77" s="8"/>
      <c r="R77" s="8"/>
      <c r="S77" s="367"/>
      <c r="T77" s="367"/>
      <c r="U77" s="367"/>
      <c r="V77" s="367"/>
      <c r="W77" s="8"/>
      <c r="X77" s="8"/>
      <c r="Y77" s="8"/>
      <c r="Z77" s="8"/>
      <c r="AA77" s="8"/>
      <c r="AB77" s="8"/>
    </row>
    <row r="78">
      <c r="A78" s="8"/>
      <c r="B78" s="8"/>
      <c r="C78" s="8"/>
      <c r="D78" s="8"/>
      <c r="E78" s="8"/>
      <c r="F78" s="366"/>
      <c r="G78" s="8"/>
      <c r="H78" s="8"/>
      <c r="I78" s="8"/>
      <c r="J78" s="8"/>
      <c r="K78" s="8"/>
      <c r="L78" s="8"/>
      <c r="M78" s="8"/>
      <c r="N78" s="8"/>
      <c r="O78" s="8"/>
      <c r="P78" s="8"/>
      <c r="Q78" s="8"/>
      <c r="R78" s="8"/>
      <c r="S78" s="367"/>
      <c r="T78" s="367"/>
      <c r="U78" s="367"/>
      <c r="V78" s="367"/>
      <c r="W78" s="8"/>
      <c r="X78" s="8"/>
      <c r="Y78" s="8"/>
      <c r="Z78" s="8"/>
      <c r="AA78" s="8"/>
      <c r="AB78" s="8"/>
    </row>
    <row r="79">
      <c r="A79" s="8"/>
      <c r="B79" s="8"/>
      <c r="C79" s="8"/>
      <c r="D79" s="8"/>
      <c r="E79" s="8"/>
      <c r="F79" s="366"/>
      <c r="G79" s="8"/>
      <c r="H79" s="8"/>
      <c r="I79" s="8"/>
      <c r="J79" s="8"/>
      <c r="K79" s="8"/>
      <c r="L79" s="8"/>
      <c r="M79" s="8"/>
      <c r="N79" s="8"/>
      <c r="O79" s="8"/>
      <c r="P79" s="8"/>
      <c r="Q79" s="8"/>
      <c r="R79" s="8"/>
      <c r="S79" s="367"/>
      <c r="T79" s="367"/>
      <c r="U79" s="367"/>
      <c r="V79" s="367"/>
      <c r="W79" s="8"/>
      <c r="X79" s="8"/>
      <c r="Y79" s="8"/>
      <c r="Z79" s="8"/>
      <c r="AA79" s="8"/>
      <c r="AB79" s="8"/>
    </row>
    <row r="80">
      <c r="A80" s="8"/>
      <c r="B80" s="8"/>
      <c r="C80" s="8"/>
      <c r="D80" s="8"/>
      <c r="E80" s="8"/>
      <c r="F80" s="366"/>
      <c r="G80" s="8"/>
      <c r="H80" s="8"/>
      <c r="I80" s="8"/>
      <c r="J80" s="8"/>
      <c r="K80" s="8"/>
      <c r="L80" s="8"/>
      <c r="M80" s="8"/>
      <c r="N80" s="8"/>
      <c r="O80" s="8"/>
      <c r="P80" s="8"/>
      <c r="Q80" s="8"/>
      <c r="R80" s="8"/>
      <c r="S80" s="367"/>
      <c r="T80" s="367"/>
      <c r="U80" s="367"/>
      <c r="V80" s="367"/>
      <c r="W80" s="8"/>
      <c r="X80" s="8"/>
      <c r="Y80" s="8"/>
      <c r="Z80" s="8"/>
      <c r="AA80" s="8"/>
      <c r="AB80" s="8"/>
    </row>
    <row r="81">
      <c r="A81" s="8"/>
      <c r="B81" s="8"/>
      <c r="C81" s="8"/>
      <c r="D81" s="8"/>
      <c r="E81" s="8"/>
      <c r="F81" s="366"/>
      <c r="G81" s="8"/>
      <c r="H81" s="8"/>
      <c r="I81" s="8"/>
      <c r="J81" s="8"/>
      <c r="K81" s="8"/>
      <c r="L81" s="8"/>
      <c r="M81" s="8"/>
      <c r="N81" s="8"/>
      <c r="O81" s="8"/>
      <c r="P81" s="8"/>
      <c r="Q81" s="8"/>
      <c r="R81" s="8"/>
      <c r="S81" s="367"/>
      <c r="T81" s="367"/>
      <c r="U81" s="367"/>
      <c r="V81" s="367"/>
      <c r="W81" s="8"/>
      <c r="X81" s="8"/>
      <c r="Y81" s="8"/>
      <c r="Z81" s="8"/>
      <c r="AA81" s="8"/>
      <c r="AB81" s="8"/>
    </row>
    <row r="82">
      <c r="A82" s="8"/>
      <c r="B82" s="8"/>
      <c r="C82" s="8"/>
      <c r="D82" s="8"/>
      <c r="E82" s="8"/>
      <c r="F82" s="366"/>
      <c r="G82" s="8"/>
      <c r="H82" s="8"/>
      <c r="I82" s="8"/>
      <c r="J82" s="8"/>
      <c r="K82" s="8"/>
      <c r="L82" s="8"/>
      <c r="M82" s="8"/>
      <c r="N82" s="8"/>
      <c r="O82" s="8"/>
      <c r="P82" s="8"/>
      <c r="Q82" s="8"/>
      <c r="R82" s="8"/>
      <c r="S82" s="367"/>
      <c r="T82" s="367"/>
      <c r="U82" s="367"/>
      <c r="V82" s="367"/>
      <c r="W82" s="8"/>
      <c r="X82" s="8"/>
      <c r="Y82" s="8"/>
      <c r="Z82" s="8"/>
      <c r="AA82" s="8"/>
      <c r="AB82" s="8"/>
    </row>
    <row r="83">
      <c r="A83" s="8"/>
      <c r="B83" s="8"/>
      <c r="C83" s="8"/>
      <c r="D83" s="8"/>
      <c r="E83" s="8"/>
      <c r="F83" s="366"/>
      <c r="G83" s="8"/>
      <c r="H83" s="8"/>
      <c r="I83" s="8"/>
      <c r="J83" s="8"/>
      <c r="K83" s="8"/>
      <c r="L83" s="8"/>
      <c r="M83" s="8"/>
      <c r="N83" s="8"/>
      <c r="O83" s="8"/>
      <c r="P83" s="8"/>
      <c r="Q83" s="8"/>
      <c r="R83" s="8"/>
      <c r="S83" s="367"/>
      <c r="T83" s="367"/>
      <c r="U83" s="367"/>
      <c r="V83" s="367"/>
      <c r="W83" s="8"/>
      <c r="X83" s="8"/>
      <c r="Y83" s="8"/>
      <c r="Z83" s="8"/>
      <c r="AA83" s="8"/>
      <c r="AB83" s="8"/>
    </row>
    <row r="84">
      <c r="A84" s="8"/>
      <c r="B84" s="8"/>
      <c r="C84" s="8"/>
      <c r="D84" s="8"/>
      <c r="E84" s="8"/>
      <c r="F84" s="366"/>
      <c r="G84" s="8"/>
      <c r="H84" s="8"/>
      <c r="I84" s="8"/>
      <c r="J84" s="8"/>
      <c r="K84" s="8"/>
      <c r="L84" s="8"/>
      <c r="M84" s="8"/>
      <c r="N84" s="8"/>
      <c r="O84" s="8"/>
      <c r="P84" s="8"/>
      <c r="Q84" s="8"/>
      <c r="R84" s="8"/>
      <c r="S84" s="367"/>
      <c r="T84" s="367"/>
      <c r="U84" s="367"/>
      <c r="V84" s="367"/>
      <c r="W84" s="8"/>
      <c r="X84" s="8"/>
      <c r="Y84" s="8"/>
      <c r="Z84" s="8"/>
      <c r="AA84" s="8"/>
      <c r="AB84" s="8"/>
    </row>
    <row r="85">
      <c r="A85" s="8"/>
      <c r="B85" s="8"/>
      <c r="C85" s="8"/>
      <c r="D85" s="8"/>
      <c r="E85" s="8"/>
      <c r="F85" s="366"/>
      <c r="G85" s="8"/>
      <c r="H85" s="8"/>
      <c r="I85" s="8"/>
      <c r="J85" s="8"/>
      <c r="K85" s="8"/>
      <c r="L85" s="8"/>
      <c r="M85" s="8"/>
      <c r="N85" s="8"/>
      <c r="O85" s="8"/>
      <c r="P85" s="8"/>
      <c r="Q85" s="8"/>
      <c r="R85" s="8"/>
      <c r="S85" s="367"/>
      <c r="T85" s="367"/>
      <c r="U85" s="367"/>
      <c r="V85" s="367"/>
      <c r="W85" s="8"/>
      <c r="X85" s="8"/>
      <c r="Y85" s="8"/>
      <c r="Z85" s="8"/>
      <c r="AA85" s="8"/>
      <c r="AB85" s="8"/>
    </row>
    <row r="86">
      <c r="A86" s="8"/>
      <c r="B86" s="8"/>
      <c r="C86" s="8"/>
      <c r="D86" s="8"/>
      <c r="E86" s="8"/>
      <c r="F86" s="366"/>
      <c r="G86" s="8"/>
      <c r="H86" s="8"/>
      <c r="I86" s="8"/>
      <c r="J86" s="8"/>
      <c r="K86" s="8"/>
      <c r="L86" s="8"/>
      <c r="M86" s="8"/>
      <c r="N86" s="8"/>
      <c r="O86" s="8"/>
      <c r="P86" s="8"/>
      <c r="Q86" s="8"/>
      <c r="R86" s="8"/>
      <c r="S86" s="367"/>
      <c r="T86" s="367"/>
      <c r="U86" s="367"/>
      <c r="V86" s="367"/>
      <c r="W86" s="8"/>
      <c r="X86" s="8"/>
      <c r="Y86" s="8"/>
      <c r="Z86" s="8"/>
      <c r="AA86" s="8"/>
      <c r="AB86" s="8"/>
    </row>
    <row r="87">
      <c r="A87" s="8"/>
      <c r="B87" s="8"/>
      <c r="C87" s="8"/>
      <c r="D87" s="8"/>
      <c r="E87" s="8"/>
      <c r="F87" s="366"/>
      <c r="G87" s="8"/>
      <c r="H87" s="8"/>
      <c r="I87" s="8"/>
      <c r="J87" s="8"/>
      <c r="K87" s="8"/>
      <c r="L87" s="8"/>
      <c r="M87" s="8"/>
      <c r="N87" s="8"/>
      <c r="O87" s="8"/>
      <c r="P87" s="8"/>
      <c r="Q87" s="8"/>
      <c r="R87" s="8"/>
      <c r="S87" s="367"/>
      <c r="T87" s="367"/>
      <c r="U87" s="367"/>
      <c r="V87" s="367"/>
      <c r="W87" s="8"/>
      <c r="X87" s="8"/>
      <c r="Y87" s="8"/>
      <c r="Z87" s="8"/>
      <c r="AA87" s="8"/>
      <c r="AB87" s="8"/>
    </row>
    <row r="88">
      <c r="A88" s="8"/>
      <c r="B88" s="8"/>
      <c r="C88" s="8"/>
      <c r="D88" s="8"/>
      <c r="E88" s="8"/>
      <c r="F88" s="366"/>
      <c r="G88" s="8"/>
      <c r="H88" s="8"/>
      <c r="I88" s="8"/>
      <c r="J88" s="8"/>
      <c r="K88" s="8"/>
      <c r="L88" s="8"/>
      <c r="M88" s="8"/>
      <c r="N88" s="8"/>
      <c r="O88" s="8"/>
      <c r="P88" s="8"/>
      <c r="Q88" s="8"/>
      <c r="R88" s="8"/>
      <c r="S88" s="367"/>
      <c r="T88" s="367"/>
      <c r="U88" s="367"/>
      <c r="V88" s="367"/>
      <c r="W88" s="8"/>
      <c r="X88" s="8"/>
      <c r="Y88" s="8"/>
      <c r="Z88" s="8"/>
      <c r="AA88" s="8"/>
      <c r="AB88" s="8"/>
    </row>
    <row r="89">
      <c r="A89" s="8"/>
      <c r="B89" s="8"/>
      <c r="C89" s="8"/>
      <c r="D89" s="8"/>
      <c r="E89" s="8"/>
      <c r="F89" s="366"/>
      <c r="G89" s="8"/>
      <c r="H89" s="8"/>
      <c r="I89" s="8"/>
      <c r="J89" s="8"/>
      <c r="K89" s="8"/>
      <c r="L89" s="8"/>
      <c r="M89" s="8"/>
      <c r="N89" s="8"/>
      <c r="O89" s="8"/>
      <c r="P89" s="8"/>
      <c r="Q89" s="8"/>
      <c r="R89" s="8"/>
      <c r="S89" s="367"/>
      <c r="T89" s="367"/>
      <c r="U89" s="367"/>
      <c r="V89" s="367"/>
      <c r="W89" s="8"/>
      <c r="X89" s="8"/>
      <c r="Y89" s="8"/>
      <c r="Z89" s="8"/>
      <c r="AA89" s="8"/>
      <c r="AB89" s="8"/>
    </row>
    <row r="90">
      <c r="A90" s="8"/>
      <c r="B90" s="8"/>
      <c r="C90" s="8"/>
      <c r="D90" s="8"/>
      <c r="E90" s="8"/>
      <c r="F90" s="366"/>
      <c r="G90" s="8"/>
      <c r="H90" s="8"/>
      <c r="I90" s="8"/>
      <c r="J90" s="8"/>
      <c r="K90" s="8"/>
      <c r="L90" s="8"/>
      <c r="M90" s="8"/>
      <c r="N90" s="8"/>
      <c r="O90" s="8"/>
      <c r="P90" s="8"/>
      <c r="Q90" s="8"/>
      <c r="R90" s="8"/>
      <c r="S90" s="367"/>
      <c r="T90" s="367"/>
      <c r="U90" s="367"/>
      <c r="V90" s="367"/>
      <c r="W90" s="8"/>
      <c r="X90" s="8"/>
      <c r="Y90" s="8"/>
      <c r="Z90" s="8"/>
      <c r="AA90" s="8"/>
      <c r="AB90" s="8"/>
    </row>
    <row r="91">
      <c r="A91" s="8"/>
      <c r="B91" s="8"/>
      <c r="C91" s="8"/>
      <c r="D91" s="8"/>
      <c r="E91" s="8"/>
      <c r="F91" s="366"/>
      <c r="G91" s="8"/>
      <c r="H91" s="8"/>
      <c r="I91" s="8"/>
      <c r="J91" s="8"/>
      <c r="K91" s="8"/>
      <c r="L91" s="8"/>
      <c r="M91" s="8"/>
      <c r="N91" s="8"/>
      <c r="O91" s="8"/>
      <c r="P91" s="8"/>
      <c r="Q91" s="8"/>
      <c r="R91" s="8"/>
      <c r="S91" s="367"/>
      <c r="T91" s="367"/>
      <c r="U91" s="367"/>
      <c r="V91" s="367"/>
      <c r="W91" s="8"/>
      <c r="X91" s="8"/>
      <c r="Y91" s="8"/>
      <c r="Z91" s="8"/>
      <c r="AA91" s="8"/>
      <c r="AB91" s="8"/>
    </row>
    <row r="92">
      <c r="A92" s="8"/>
      <c r="B92" s="8"/>
      <c r="C92" s="8"/>
      <c r="D92" s="8"/>
      <c r="E92" s="8"/>
      <c r="F92" s="366"/>
      <c r="G92" s="8"/>
      <c r="H92" s="8"/>
      <c r="I92" s="8"/>
      <c r="J92" s="8"/>
      <c r="K92" s="8"/>
      <c r="L92" s="8"/>
      <c r="M92" s="8"/>
      <c r="N92" s="8"/>
      <c r="O92" s="8"/>
      <c r="P92" s="8"/>
      <c r="Q92" s="8"/>
      <c r="R92" s="8"/>
      <c r="S92" s="367"/>
      <c r="T92" s="367"/>
      <c r="U92" s="367"/>
      <c r="V92" s="367"/>
      <c r="W92" s="8"/>
      <c r="X92" s="8"/>
      <c r="Y92" s="8"/>
      <c r="Z92" s="8"/>
      <c r="AA92" s="8"/>
      <c r="AB92" s="8"/>
    </row>
    <row r="93">
      <c r="A93" s="8"/>
      <c r="B93" s="8"/>
      <c r="C93" s="8"/>
      <c r="D93" s="8"/>
      <c r="E93" s="8"/>
      <c r="F93" s="366"/>
      <c r="G93" s="8"/>
      <c r="H93" s="8"/>
      <c r="I93" s="8"/>
      <c r="J93" s="8"/>
      <c r="K93" s="8"/>
      <c r="L93" s="8"/>
      <c r="M93" s="8"/>
      <c r="N93" s="8"/>
      <c r="O93" s="8"/>
      <c r="P93" s="8"/>
      <c r="Q93" s="8"/>
      <c r="R93" s="8"/>
      <c r="S93" s="367"/>
      <c r="T93" s="367"/>
      <c r="U93" s="367"/>
      <c r="V93" s="367"/>
      <c r="W93" s="8"/>
      <c r="X93" s="8"/>
      <c r="Y93" s="8"/>
      <c r="Z93" s="8"/>
      <c r="AA93" s="8"/>
      <c r="AB93" s="8"/>
    </row>
    <row r="94">
      <c r="A94" s="8"/>
      <c r="B94" s="8"/>
      <c r="C94" s="8"/>
      <c r="D94" s="8"/>
      <c r="E94" s="8"/>
      <c r="F94" s="366"/>
      <c r="G94" s="8"/>
      <c r="H94" s="8"/>
      <c r="I94" s="8"/>
      <c r="J94" s="8"/>
      <c r="K94" s="8"/>
      <c r="L94" s="8"/>
      <c r="M94" s="8"/>
      <c r="N94" s="8"/>
      <c r="O94" s="8"/>
      <c r="P94" s="8"/>
      <c r="Q94" s="8"/>
      <c r="R94" s="8"/>
      <c r="S94" s="367"/>
      <c r="T94" s="367"/>
      <c r="U94" s="367"/>
      <c r="V94" s="367"/>
      <c r="W94" s="8"/>
      <c r="X94" s="8"/>
      <c r="Y94" s="8"/>
      <c r="Z94" s="8"/>
      <c r="AA94" s="8"/>
      <c r="AB94" s="8"/>
    </row>
    <row r="95">
      <c r="A95" s="8"/>
      <c r="B95" s="8"/>
      <c r="C95" s="8"/>
      <c r="D95" s="8"/>
      <c r="E95" s="8"/>
      <c r="F95" s="366"/>
      <c r="G95" s="8"/>
      <c r="H95" s="8"/>
      <c r="I95" s="8"/>
      <c r="J95" s="8"/>
      <c r="K95" s="8"/>
      <c r="L95" s="8"/>
      <c r="M95" s="8"/>
      <c r="N95" s="8"/>
      <c r="O95" s="8"/>
      <c r="P95" s="8"/>
      <c r="Q95" s="8"/>
      <c r="R95" s="8"/>
      <c r="S95" s="367"/>
      <c r="T95" s="367"/>
      <c r="U95" s="367"/>
      <c r="V95" s="367"/>
      <c r="W95" s="8"/>
      <c r="X95" s="8"/>
      <c r="Y95" s="8"/>
      <c r="Z95" s="8"/>
      <c r="AA95" s="8"/>
      <c r="AB95" s="8"/>
    </row>
    <row r="96">
      <c r="A96" s="8"/>
      <c r="B96" s="8"/>
      <c r="C96" s="8"/>
      <c r="D96" s="8"/>
      <c r="E96" s="8"/>
      <c r="F96" s="366"/>
      <c r="G96" s="8"/>
      <c r="H96" s="8"/>
      <c r="I96" s="8"/>
      <c r="J96" s="8"/>
      <c r="K96" s="8"/>
      <c r="L96" s="8"/>
      <c r="M96" s="8"/>
      <c r="N96" s="8"/>
      <c r="O96" s="8"/>
      <c r="P96" s="8"/>
      <c r="Q96" s="8"/>
      <c r="R96" s="8"/>
      <c r="S96" s="367"/>
      <c r="T96" s="367"/>
      <c r="U96" s="367"/>
      <c r="V96" s="367"/>
      <c r="W96" s="8"/>
      <c r="X96" s="8"/>
      <c r="Y96" s="8"/>
      <c r="Z96" s="8"/>
      <c r="AA96" s="8"/>
      <c r="AB96" s="8"/>
    </row>
    <row r="97">
      <c r="A97" s="8"/>
      <c r="B97" s="8"/>
      <c r="C97" s="8"/>
      <c r="D97" s="8"/>
      <c r="E97" s="8"/>
      <c r="F97" s="366"/>
      <c r="G97" s="8"/>
      <c r="H97" s="8"/>
      <c r="I97" s="8"/>
      <c r="J97" s="8"/>
      <c r="K97" s="8"/>
      <c r="L97" s="8"/>
      <c r="M97" s="8"/>
      <c r="N97" s="8"/>
      <c r="O97" s="8"/>
      <c r="P97" s="8"/>
      <c r="Q97" s="8"/>
      <c r="R97" s="8"/>
      <c r="S97" s="367"/>
      <c r="T97" s="367"/>
      <c r="U97" s="367"/>
      <c r="V97" s="367"/>
      <c r="W97" s="8"/>
      <c r="X97" s="8"/>
      <c r="Y97" s="8"/>
      <c r="Z97" s="8"/>
      <c r="AA97" s="8"/>
      <c r="AB97" s="8"/>
    </row>
    <row r="98">
      <c r="A98" s="8"/>
      <c r="B98" s="8"/>
      <c r="C98" s="8"/>
      <c r="D98" s="8"/>
      <c r="E98" s="8"/>
      <c r="F98" s="366"/>
      <c r="G98" s="8"/>
      <c r="H98" s="8"/>
      <c r="I98" s="8"/>
      <c r="J98" s="8"/>
      <c r="K98" s="8"/>
      <c r="L98" s="8"/>
      <c r="M98" s="8"/>
      <c r="N98" s="8"/>
      <c r="O98" s="8"/>
      <c r="P98" s="8"/>
      <c r="Q98" s="8"/>
      <c r="R98" s="8"/>
      <c r="S98" s="367"/>
      <c r="T98" s="367"/>
      <c r="U98" s="367"/>
      <c r="V98" s="367"/>
      <c r="W98" s="8"/>
      <c r="X98" s="8"/>
      <c r="Y98" s="8"/>
      <c r="Z98" s="8"/>
      <c r="AA98" s="8"/>
      <c r="AB98" s="8"/>
    </row>
    <row r="99">
      <c r="A99" s="8"/>
      <c r="B99" s="8"/>
      <c r="C99" s="8"/>
      <c r="D99" s="8"/>
      <c r="E99" s="8"/>
      <c r="F99" s="366"/>
      <c r="G99" s="8"/>
      <c r="H99" s="8"/>
      <c r="I99" s="8"/>
      <c r="J99" s="8"/>
      <c r="K99" s="8"/>
      <c r="L99" s="8"/>
      <c r="M99" s="8"/>
      <c r="N99" s="8"/>
      <c r="O99" s="8"/>
      <c r="P99" s="8"/>
      <c r="Q99" s="8"/>
      <c r="R99" s="8"/>
      <c r="S99" s="367"/>
      <c r="T99" s="367"/>
      <c r="U99" s="367"/>
      <c r="V99" s="367"/>
      <c r="W99" s="8"/>
      <c r="X99" s="8"/>
      <c r="Y99" s="8"/>
      <c r="Z99" s="8"/>
      <c r="AA99" s="8"/>
      <c r="AB99" s="8"/>
    </row>
    <row r="100">
      <c r="A100" s="8"/>
      <c r="B100" s="8"/>
      <c r="C100" s="8"/>
      <c r="D100" s="8"/>
      <c r="E100" s="8"/>
      <c r="F100" s="366"/>
      <c r="G100" s="8"/>
      <c r="H100" s="8"/>
      <c r="I100" s="8"/>
      <c r="J100" s="8"/>
      <c r="K100" s="8"/>
      <c r="L100" s="8"/>
      <c r="M100" s="8"/>
      <c r="N100" s="8"/>
      <c r="O100" s="8"/>
      <c r="P100" s="8"/>
      <c r="Q100" s="8"/>
      <c r="R100" s="8"/>
      <c r="S100" s="367"/>
      <c r="T100" s="367"/>
      <c r="U100" s="367"/>
      <c r="V100" s="367"/>
      <c r="W100" s="8"/>
      <c r="X100" s="8"/>
      <c r="Y100" s="8"/>
      <c r="Z100" s="8"/>
      <c r="AA100" s="8"/>
      <c r="AB100" s="8"/>
    </row>
    <row r="101">
      <c r="A101" s="8"/>
      <c r="B101" s="8"/>
      <c r="C101" s="8"/>
      <c r="D101" s="8"/>
      <c r="E101" s="8"/>
      <c r="F101" s="366"/>
      <c r="G101" s="8"/>
      <c r="H101" s="8"/>
      <c r="I101" s="8"/>
      <c r="J101" s="8"/>
      <c r="K101" s="8"/>
      <c r="L101" s="8"/>
      <c r="M101" s="8"/>
      <c r="N101" s="8"/>
      <c r="O101" s="8"/>
      <c r="P101" s="8"/>
      <c r="Q101" s="8"/>
      <c r="R101" s="8"/>
      <c r="S101" s="367"/>
      <c r="T101" s="367"/>
      <c r="U101" s="367"/>
      <c r="V101" s="367"/>
      <c r="W101" s="8"/>
      <c r="X101" s="8"/>
      <c r="Y101" s="8"/>
      <c r="Z101" s="8"/>
      <c r="AA101" s="8"/>
      <c r="AB101" s="8"/>
    </row>
    <row r="102">
      <c r="A102" s="8"/>
      <c r="B102" s="8"/>
      <c r="C102" s="8"/>
      <c r="D102" s="8"/>
      <c r="E102" s="8"/>
      <c r="F102" s="366"/>
      <c r="G102" s="8"/>
      <c r="H102" s="8"/>
      <c r="I102" s="8"/>
      <c r="J102" s="8"/>
      <c r="K102" s="8"/>
      <c r="L102" s="8"/>
      <c r="M102" s="8"/>
      <c r="N102" s="8"/>
      <c r="O102" s="8"/>
      <c r="P102" s="8"/>
      <c r="Q102" s="8"/>
      <c r="R102" s="8"/>
      <c r="S102" s="367"/>
      <c r="T102" s="367"/>
      <c r="U102" s="367"/>
      <c r="V102" s="367"/>
      <c r="W102" s="8"/>
      <c r="X102" s="8"/>
      <c r="Y102" s="8"/>
      <c r="Z102" s="8"/>
      <c r="AA102" s="8"/>
      <c r="AB102" s="8"/>
    </row>
    <row r="103">
      <c r="A103" s="8"/>
      <c r="B103" s="8"/>
      <c r="C103" s="8"/>
      <c r="D103" s="8"/>
      <c r="E103" s="8"/>
      <c r="F103" s="366"/>
      <c r="G103" s="8"/>
      <c r="H103" s="8"/>
      <c r="I103" s="8"/>
      <c r="J103" s="8"/>
      <c r="K103" s="8"/>
      <c r="L103" s="8"/>
      <c r="M103" s="8"/>
      <c r="N103" s="8"/>
      <c r="O103" s="8"/>
      <c r="P103" s="8"/>
      <c r="Q103" s="8"/>
      <c r="R103" s="8"/>
      <c r="S103" s="367"/>
      <c r="T103" s="367"/>
      <c r="U103" s="367"/>
      <c r="V103" s="367"/>
      <c r="W103" s="8"/>
      <c r="X103" s="8"/>
      <c r="Y103" s="8"/>
      <c r="Z103" s="8"/>
      <c r="AA103" s="8"/>
      <c r="AB103" s="8"/>
    </row>
    <row r="104">
      <c r="A104" s="8"/>
      <c r="B104" s="8"/>
      <c r="C104" s="8"/>
      <c r="D104" s="8"/>
      <c r="E104" s="8"/>
      <c r="F104" s="366"/>
      <c r="G104" s="8"/>
      <c r="H104" s="8"/>
      <c r="I104" s="8"/>
      <c r="J104" s="8"/>
      <c r="K104" s="8"/>
      <c r="L104" s="8"/>
      <c r="M104" s="8"/>
      <c r="N104" s="8"/>
      <c r="O104" s="8"/>
      <c r="P104" s="8"/>
      <c r="Q104" s="8"/>
      <c r="R104" s="8"/>
      <c r="S104" s="367"/>
      <c r="T104" s="367"/>
      <c r="U104" s="367"/>
      <c r="V104" s="367"/>
      <c r="W104" s="8"/>
      <c r="X104" s="8"/>
      <c r="Y104" s="8"/>
      <c r="Z104" s="8"/>
      <c r="AA104" s="8"/>
      <c r="AB104" s="8"/>
    </row>
    <row r="105">
      <c r="A105" s="8"/>
      <c r="B105" s="8"/>
      <c r="C105" s="8"/>
      <c r="D105" s="8"/>
      <c r="E105" s="8"/>
      <c r="F105" s="366"/>
      <c r="G105" s="8"/>
      <c r="H105" s="8"/>
      <c r="I105" s="8"/>
      <c r="J105" s="8"/>
      <c r="K105" s="8"/>
      <c r="L105" s="8"/>
      <c r="M105" s="8"/>
      <c r="N105" s="8"/>
      <c r="O105" s="8"/>
      <c r="P105" s="8"/>
      <c r="Q105" s="8"/>
      <c r="R105" s="8"/>
      <c r="S105" s="367"/>
      <c r="T105" s="367"/>
      <c r="U105" s="367"/>
      <c r="V105" s="367"/>
      <c r="W105" s="8"/>
      <c r="X105" s="8"/>
      <c r="Y105" s="8"/>
      <c r="Z105" s="8"/>
      <c r="AA105" s="8"/>
      <c r="AB105" s="8"/>
    </row>
    <row r="106">
      <c r="A106" s="8"/>
      <c r="B106" s="8"/>
      <c r="C106" s="8"/>
      <c r="D106" s="8"/>
      <c r="E106" s="8"/>
      <c r="F106" s="366"/>
      <c r="G106" s="8"/>
      <c r="H106" s="8"/>
      <c r="I106" s="8"/>
      <c r="J106" s="8"/>
      <c r="K106" s="8"/>
      <c r="L106" s="8"/>
      <c r="M106" s="8"/>
      <c r="N106" s="8"/>
      <c r="O106" s="8"/>
      <c r="P106" s="8"/>
      <c r="Q106" s="8"/>
      <c r="R106" s="8"/>
      <c r="S106" s="367"/>
      <c r="T106" s="367"/>
      <c r="U106" s="367"/>
      <c r="V106" s="367"/>
      <c r="W106" s="8"/>
      <c r="X106" s="8"/>
      <c r="Y106" s="8"/>
      <c r="Z106" s="8"/>
      <c r="AA106" s="8"/>
      <c r="AB106" s="8"/>
    </row>
    <row r="107">
      <c r="A107" s="8"/>
      <c r="B107" s="8"/>
      <c r="C107" s="8"/>
      <c r="D107" s="8"/>
      <c r="E107" s="8"/>
      <c r="F107" s="366"/>
      <c r="G107" s="8"/>
      <c r="H107" s="8"/>
      <c r="I107" s="8"/>
      <c r="J107" s="8"/>
      <c r="K107" s="8"/>
      <c r="L107" s="8"/>
      <c r="M107" s="8"/>
      <c r="N107" s="8"/>
      <c r="O107" s="8"/>
      <c r="P107" s="8"/>
      <c r="Q107" s="8"/>
      <c r="R107" s="8"/>
      <c r="S107" s="367"/>
      <c r="T107" s="367"/>
      <c r="U107" s="367"/>
      <c r="V107" s="367"/>
      <c r="W107" s="8"/>
      <c r="X107" s="8"/>
      <c r="Y107" s="8"/>
      <c r="Z107" s="8"/>
      <c r="AA107" s="8"/>
      <c r="AB107" s="8"/>
    </row>
    <row r="108">
      <c r="A108" s="8"/>
      <c r="B108" s="8"/>
      <c r="C108" s="8"/>
      <c r="D108" s="8"/>
      <c r="E108" s="8"/>
      <c r="F108" s="366"/>
      <c r="G108" s="8"/>
      <c r="H108" s="8"/>
      <c r="I108" s="8"/>
      <c r="J108" s="8"/>
      <c r="K108" s="8"/>
      <c r="L108" s="8"/>
      <c r="M108" s="8"/>
      <c r="N108" s="8"/>
      <c r="O108" s="8"/>
      <c r="P108" s="8"/>
      <c r="Q108" s="8"/>
      <c r="R108" s="8"/>
      <c r="S108" s="367"/>
      <c r="T108" s="367"/>
      <c r="U108" s="367"/>
      <c r="V108" s="367"/>
      <c r="W108" s="8"/>
      <c r="X108" s="8"/>
      <c r="Y108" s="8"/>
      <c r="Z108" s="8"/>
      <c r="AA108" s="8"/>
      <c r="AB108" s="8"/>
    </row>
    <row r="109">
      <c r="A109" s="8"/>
      <c r="B109" s="8"/>
      <c r="C109" s="8"/>
      <c r="D109" s="8"/>
      <c r="E109" s="8"/>
      <c r="F109" s="366"/>
      <c r="G109" s="8"/>
      <c r="H109" s="8"/>
      <c r="I109" s="8"/>
      <c r="J109" s="8"/>
      <c r="K109" s="8"/>
      <c r="L109" s="8"/>
      <c r="M109" s="8"/>
      <c r="N109" s="8"/>
      <c r="O109" s="8"/>
      <c r="P109" s="8"/>
      <c r="Q109" s="8"/>
      <c r="R109" s="8"/>
      <c r="S109" s="367"/>
      <c r="T109" s="367"/>
      <c r="U109" s="367"/>
      <c r="V109" s="367"/>
      <c r="W109" s="8"/>
      <c r="X109" s="8"/>
      <c r="Y109" s="8"/>
      <c r="Z109" s="8"/>
      <c r="AA109" s="8"/>
      <c r="AB109" s="8"/>
    </row>
    <row r="110">
      <c r="A110" s="8"/>
      <c r="B110" s="8"/>
      <c r="C110" s="8"/>
      <c r="D110" s="8"/>
      <c r="E110" s="8"/>
      <c r="F110" s="366"/>
      <c r="G110" s="8"/>
      <c r="H110" s="8"/>
      <c r="I110" s="8"/>
      <c r="J110" s="8"/>
      <c r="K110" s="8"/>
      <c r="L110" s="8"/>
      <c r="M110" s="8"/>
      <c r="N110" s="8"/>
      <c r="O110" s="8"/>
      <c r="P110" s="8"/>
      <c r="Q110" s="8"/>
      <c r="R110" s="8"/>
      <c r="S110" s="367"/>
      <c r="T110" s="367"/>
      <c r="U110" s="367"/>
      <c r="V110" s="367"/>
      <c r="W110" s="8"/>
      <c r="X110" s="8"/>
      <c r="Y110" s="8"/>
      <c r="Z110" s="8"/>
      <c r="AA110" s="8"/>
      <c r="AB110" s="8"/>
    </row>
    <row r="111">
      <c r="A111" s="8"/>
      <c r="B111" s="8"/>
      <c r="C111" s="8"/>
      <c r="D111" s="8"/>
      <c r="E111" s="8"/>
      <c r="F111" s="366"/>
      <c r="G111" s="8"/>
      <c r="H111" s="8"/>
      <c r="I111" s="8"/>
      <c r="J111" s="8"/>
      <c r="K111" s="8"/>
      <c r="L111" s="8"/>
      <c r="M111" s="8"/>
      <c r="N111" s="8"/>
      <c r="O111" s="8"/>
      <c r="P111" s="8"/>
      <c r="Q111" s="8"/>
      <c r="R111" s="8"/>
      <c r="S111" s="367"/>
      <c r="T111" s="367"/>
      <c r="U111" s="367"/>
      <c r="V111" s="367"/>
      <c r="W111" s="8"/>
      <c r="X111" s="8"/>
      <c r="Y111" s="8"/>
      <c r="Z111" s="8"/>
      <c r="AA111" s="8"/>
      <c r="AB111" s="8"/>
    </row>
    <row r="112">
      <c r="A112" s="8"/>
      <c r="B112" s="8"/>
      <c r="C112" s="8"/>
      <c r="D112" s="8"/>
      <c r="E112" s="8"/>
      <c r="F112" s="366"/>
      <c r="G112" s="8"/>
      <c r="H112" s="8"/>
      <c r="I112" s="8"/>
      <c r="J112" s="8"/>
      <c r="K112" s="8"/>
      <c r="L112" s="8"/>
      <c r="M112" s="8"/>
      <c r="N112" s="8"/>
      <c r="O112" s="8"/>
      <c r="P112" s="8"/>
      <c r="Q112" s="8"/>
      <c r="R112" s="8"/>
      <c r="S112" s="367"/>
      <c r="T112" s="367"/>
      <c r="U112" s="367"/>
      <c r="V112" s="367"/>
      <c r="W112" s="8"/>
      <c r="X112" s="8"/>
      <c r="Y112" s="8"/>
      <c r="Z112" s="8"/>
      <c r="AA112" s="8"/>
      <c r="AB112" s="8"/>
    </row>
    <row r="113">
      <c r="A113" s="8"/>
      <c r="B113" s="8"/>
      <c r="C113" s="8"/>
      <c r="D113" s="8"/>
      <c r="E113" s="8"/>
      <c r="F113" s="366"/>
      <c r="G113" s="8"/>
      <c r="H113" s="8"/>
      <c r="I113" s="8"/>
      <c r="J113" s="8"/>
      <c r="K113" s="8"/>
      <c r="L113" s="8"/>
      <c r="M113" s="8"/>
      <c r="N113" s="8"/>
      <c r="O113" s="8"/>
      <c r="P113" s="8"/>
      <c r="Q113" s="8"/>
      <c r="R113" s="8"/>
      <c r="S113" s="367"/>
      <c r="T113" s="367"/>
      <c r="U113" s="367"/>
      <c r="V113" s="367"/>
      <c r="W113" s="8"/>
      <c r="X113" s="8"/>
      <c r="Y113" s="8"/>
      <c r="Z113" s="8"/>
      <c r="AA113" s="8"/>
      <c r="AB113" s="8"/>
    </row>
    <row r="114">
      <c r="A114" s="8"/>
      <c r="B114" s="8"/>
      <c r="C114" s="8"/>
      <c r="D114" s="8"/>
      <c r="E114" s="8"/>
      <c r="F114" s="366"/>
      <c r="G114" s="8"/>
      <c r="H114" s="8"/>
      <c r="I114" s="8"/>
      <c r="J114" s="8"/>
      <c r="K114" s="8"/>
      <c r="L114" s="8"/>
      <c r="M114" s="8"/>
      <c r="N114" s="8"/>
      <c r="O114" s="8"/>
      <c r="P114" s="8"/>
      <c r="Q114" s="8"/>
      <c r="R114" s="8"/>
      <c r="S114" s="367"/>
      <c r="T114" s="367"/>
      <c r="U114" s="367"/>
      <c r="V114" s="367"/>
      <c r="W114" s="8"/>
      <c r="X114" s="8"/>
      <c r="Y114" s="8"/>
      <c r="Z114" s="8"/>
      <c r="AA114" s="8"/>
      <c r="AB114" s="8"/>
    </row>
    <row r="115">
      <c r="A115" s="8"/>
      <c r="B115" s="8"/>
      <c r="C115" s="8"/>
      <c r="D115" s="8"/>
      <c r="E115" s="8"/>
      <c r="F115" s="366"/>
      <c r="G115" s="8"/>
      <c r="H115" s="8"/>
      <c r="I115" s="8"/>
      <c r="J115" s="8"/>
      <c r="K115" s="8"/>
      <c r="L115" s="8"/>
      <c r="M115" s="8"/>
      <c r="N115" s="8"/>
      <c r="O115" s="8"/>
      <c r="P115" s="8"/>
      <c r="Q115" s="8"/>
      <c r="R115" s="8"/>
      <c r="S115" s="367"/>
      <c r="T115" s="367"/>
      <c r="U115" s="367"/>
      <c r="V115" s="367"/>
      <c r="W115" s="8"/>
      <c r="X115" s="8"/>
      <c r="Y115" s="8"/>
      <c r="Z115" s="8"/>
      <c r="AA115" s="8"/>
      <c r="AB115" s="8"/>
    </row>
    <row r="116">
      <c r="A116" s="8"/>
      <c r="B116" s="8"/>
      <c r="C116" s="8"/>
      <c r="D116" s="8"/>
      <c r="E116" s="8"/>
      <c r="F116" s="366"/>
      <c r="G116" s="8"/>
      <c r="H116" s="8"/>
      <c r="I116" s="8"/>
      <c r="J116" s="8"/>
      <c r="K116" s="8"/>
      <c r="L116" s="8"/>
      <c r="M116" s="8"/>
      <c r="N116" s="8"/>
      <c r="O116" s="8"/>
      <c r="P116" s="8"/>
      <c r="Q116" s="8"/>
      <c r="R116" s="8"/>
      <c r="S116" s="367"/>
      <c r="T116" s="367"/>
      <c r="U116" s="367"/>
      <c r="V116" s="367"/>
      <c r="W116" s="8"/>
      <c r="X116" s="8"/>
      <c r="Y116" s="8"/>
      <c r="Z116" s="8"/>
      <c r="AA116" s="8"/>
      <c r="AB116" s="8"/>
    </row>
    <row r="117">
      <c r="A117" s="8"/>
      <c r="B117" s="8"/>
      <c r="C117" s="8"/>
      <c r="D117" s="8"/>
      <c r="E117" s="8"/>
      <c r="F117" s="366"/>
      <c r="G117" s="8"/>
      <c r="H117" s="8"/>
      <c r="I117" s="8"/>
      <c r="J117" s="8"/>
      <c r="K117" s="8"/>
      <c r="L117" s="8"/>
      <c r="M117" s="8"/>
      <c r="N117" s="8"/>
      <c r="O117" s="8"/>
      <c r="P117" s="8"/>
      <c r="Q117" s="8"/>
      <c r="R117" s="8"/>
      <c r="S117" s="367"/>
      <c r="T117" s="367"/>
      <c r="U117" s="367"/>
      <c r="V117" s="367"/>
      <c r="W117" s="8"/>
      <c r="X117" s="8"/>
      <c r="Y117" s="8"/>
      <c r="Z117" s="8"/>
      <c r="AA117" s="8"/>
      <c r="AB117" s="8"/>
    </row>
    <row r="118">
      <c r="A118" s="8"/>
      <c r="B118" s="8"/>
      <c r="C118" s="8"/>
      <c r="D118" s="8"/>
      <c r="E118" s="8"/>
      <c r="F118" s="366"/>
      <c r="G118" s="8"/>
      <c r="H118" s="8"/>
      <c r="I118" s="8"/>
      <c r="J118" s="8"/>
      <c r="K118" s="8"/>
      <c r="L118" s="8"/>
      <c r="M118" s="8"/>
      <c r="N118" s="8"/>
      <c r="O118" s="8"/>
      <c r="P118" s="8"/>
      <c r="Q118" s="8"/>
      <c r="R118" s="8"/>
      <c r="S118" s="367"/>
      <c r="T118" s="367"/>
      <c r="U118" s="367"/>
      <c r="V118" s="367"/>
      <c r="W118" s="8"/>
      <c r="X118" s="8"/>
      <c r="Y118" s="8"/>
      <c r="Z118" s="8"/>
      <c r="AA118" s="8"/>
      <c r="AB118" s="8"/>
    </row>
    <row r="119">
      <c r="A119" s="8"/>
      <c r="B119" s="8"/>
      <c r="C119" s="8"/>
      <c r="D119" s="8"/>
      <c r="E119" s="8"/>
      <c r="F119" s="366"/>
      <c r="G119" s="8"/>
      <c r="H119" s="8"/>
      <c r="I119" s="8"/>
      <c r="J119" s="8"/>
      <c r="K119" s="8"/>
      <c r="L119" s="8"/>
      <c r="M119" s="8"/>
      <c r="N119" s="8"/>
      <c r="O119" s="8"/>
      <c r="P119" s="8"/>
      <c r="Q119" s="8"/>
      <c r="R119" s="8"/>
      <c r="S119" s="367"/>
      <c r="T119" s="367"/>
      <c r="U119" s="367"/>
      <c r="V119" s="367"/>
      <c r="W119" s="8"/>
      <c r="X119" s="8"/>
      <c r="Y119" s="8"/>
      <c r="Z119" s="8"/>
      <c r="AA119" s="8"/>
      <c r="AB119" s="8"/>
    </row>
    <row r="120">
      <c r="A120" s="8"/>
      <c r="B120" s="8"/>
      <c r="C120" s="8"/>
      <c r="D120" s="8"/>
      <c r="E120" s="8"/>
      <c r="F120" s="366"/>
      <c r="G120" s="8"/>
      <c r="H120" s="8"/>
      <c r="I120" s="8"/>
      <c r="J120" s="8"/>
      <c r="K120" s="8"/>
      <c r="L120" s="8"/>
      <c r="M120" s="8"/>
      <c r="N120" s="8"/>
      <c r="O120" s="8"/>
      <c r="P120" s="8"/>
      <c r="Q120" s="8"/>
      <c r="R120" s="8"/>
      <c r="S120" s="367"/>
      <c r="T120" s="367"/>
      <c r="U120" s="367"/>
      <c r="V120" s="367"/>
      <c r="W120" s="8"/>
      <c r="X120" s="8"/>
      <c r="Y120" s="8"/>
      <c r="Z120" s="8"/>
      <c r="AA120" s="8"/>
      <c r="AB120" s="8"/>
    </row>
    <row r="121">
      <c r="A121" s="8"/>
      <c r="B121" s="8"/>
      <c r="C121" s="8"/>
      <c r="D121" s="8"/>
      <c r="E121" s="8"/>
      <c r="F121" s="366"/>
      <c r="G121" s="8"/>
      <c r="H121" s="8"/>
      <c r="I121" s="8"/>
      <c r="J121" s="8"/>
      <c r="K121" s="8"/>
      <c r="L121" s="8"/>
      <c r="M121" s="8"/>
      <c r="N121" s="8"/>
      <c r="O121" s="8"/>
      <c r="P121" s="8"/>
      <c r="Q121" s="8"/>
      <c r="R121" s="8"/>
      <c r="S121" s="367"/>
      <c r="T121" s="367"/>
      <c r="U121" s="367"/>
      <c r="V121" s="367"/>
      <c r="W121" s="8"/>
      <c r="X121" s="8"/>
      <c r="Y121" s="8"/>
      <c r="Z121" s="8"/>
      <c r="AA121" s="8"/>
      <c r="AB121" s="8"/>
    </row>
    <row r="122">
      <c r="A122" s="8"/>
      <c r="B122" s="8"/>
      <c r="C122" s="8"/>
      <c r="D122" s="8"/>
      <c r="E122" s="8"/>
      <c r="F122" s="366"/>
      <c r="G122" s="8"/>
      <c r="H122" s="8"/>
      <c r="I122" s="8"/>
      <c r="J122" s="8"/>
      <c r="K122" s="8"/>
      <c r="L122" s="8"/>
      <c r="M122" s="8"/>
      <c r="N122" s="8"/>
      <c r="O122" s="8"/>
      <c r="P122" s="8"/>
      <c r="Q122" s="8"/>
      <c r="R122" s="8"/>
      <c r="S122" s="367"/>
      <c r="T122" s="367"/>
      <c r="U122" s="367"/>
      <c r="V122" s="367"/>
      <c r="W122" s="8"/>
      <c r="X122" s="8"/>
      <c r="Y122" s="8"/>
      <c r="Z122" s="8"/>
      <c r="AA122" s="8"/>
      <c r="AB122" s="8"/>
    </row>
    <row r="123">
      <c r="A123" s="8"/>
      <c r="B123" s="8"/>
      <c r="C123" s="8"/>
      <c r="D123" s="8"/>
      <c r="E123" s="8"/>
      <c r="F123" s="366"/>
      <c r="G123" s="8"/>
      <c r="H123" s="8"/>
      <c r="I123" s="8"/>
      <c r="J123" s="8"/>
      <c r="K123" s="8"/>
      <c r="L123" s="8"/>
      <c r="M123" s="8"/>
      <c r="N123" s="8"/>
      <c r="O123" s="8"/>
      <c r="P123" s="8"/>
      <c r="Q123" s="8"/>
      <c r="R123" s="8"/>
      <c r="S123" s="367"/>
      <c r="T123" s="367"/>
      <c r="U123" s="367"/>
      <c r="V123" s="367"/>
      <c r="W123" s="8"/>
      <c r="X123" s="8"/>
      <c r="Y123" s="8"/>
      <c r="Z123" s="8"/>
      <c r="AA123" s="8"/>
      <c r="AB123" s="8"/>
    </row>
    <row r="124">
      <c r="A124" s="8"/>
      <c r="B124" s="8"/>
      <c r="C124" s="8"/>
      <c r="D124" s="8"/>
      <c r="E124" s="8"/>
      <c r="F124" s="366"/>
      <c r="G124" s="8"/>
      <c r="H124" s="8"/>
      <c r="I124" s="8"/>
      <c r="J124" s="8"/>
      <c r="K124" s="8"/>
      <c r="L124" s="8"/>
      <c r="M124" s="8"/>
      <c r="N124" s="8"/>
      <c r="O124" s="8"/>
      <c r="P124" s="8"/>
      <c r="Q124" s="8"/>
      <c r="R124" s="8"/>
      <c r="S124" s="367"/>
      <c r="T124" s="367"/>
      <c r="U124" s="367"/>
      <c r="V124" s="367"/>
      <c r="W124" s="8"/>
      <c r="X124" s="8"/>
      <c r="Y124" s="8"/>
      <c r="Z124" s="8"/>
      <c r="AA124" s="8"/>
      <c r="AB124" s="8"/>
    </row>
    <row r="125">
      <c r="A125" s="8"/>
      <c r="B125" s="8"/>
      <c r="C125" s="8"/>
      <c r="D125" s="8"/>
      <c r="E125" s="8"/>
      <c r="F125" s="366"/>
      <c r="G125" s="8"/>
      <c r="H125" s="8"/>
      <c r="I125" s="8"/>
      <c r="J125" s="8"/>
      <c r="K125" s="8"/>
      <c r="L125" s="8"/>
      <c r="M125" s="8"/>
      <c r="N125" s="8"/>
      <c r="O125" s="8"/>
      <c r="P125" s="8"/>
      <c r="Q125" s="8"/>
      <c r="R125" s="8"/>
      <c r="S125" s="367"/>
      <c r="T125" s="367"/>
      <c r="U125" s="367"/>
      <c r="V125" s="367"/>
      <c r="W125" s="8"/>
      <c r="X125" s="8"/>
      <c r="Y125" s="8"/>
      <c r="Z125" s="8"/>
      <c r="AA125" s="8"/>
      <c r="AB125" s="8"/>
    </row>
    <row r="126">
      <c r="A126" s="8"/>
      <c r="B126" s="8"/>
      <c r="C126" s="8"/>
      <c r="D126" s="8"/>
      <c r="E126" s="8"/>
      <c r="F126" s="366"/>
      <c r="G126" s="8"/>
      <c r="H126" s="8"/>
      <c r="I126" s="8"/>
      <c r="J126" s="8"/>
      <c r="K126" s="8"/>
      <c r="L126" s="8"/>
      <c r="M126" s="8"/>
      <c r="N126" s="8"/>
      <c r="O126" s="8"/>
      <c r="P126" s="8"/>
      <c r="Q126" s="8"/>
      <c r="R126" s="8"/>
      <c r="S126" s="367"/>
      <c r="T126" s="367"/>
      <c r="U126" s="367"/>
      <c r="V126" s="367"/>
      <c r="W126" s="8"/>
      <c r="X126" s="8"/>
      <c r="Y126" s="8"/>
      <c r="Z126" s="8"/>
      <c r="AA126" s="8"/>
      <c r="AB126" s="8"/>
    </row>
    <row r="127">
      <c r="A127" s="8"/>
      <c r="B127" s="8"/>
      <c r="C127" s="8"/>
      <c r="D127" s="8"/>
      <c r="E127" s="8"/>
      <c r="F127" s="366"/>
      <c r="G127" s="8"/>
      <c r="H127" s="8"/>
      <c r="I127" s="8"/>
      <c r="J127" s="8"/>
      <c r="K127" s="8"/>
      <c r="L127" s="8"/>
      <c r="M127" s="8"/>
      <c r="N127" s="8"/>
      <c r="O127" s="8"/>
      <c r="P127" s="8"/>
      <c r="Q127" s="8"/>
      <c r="R127" s="8"/>
      <c r="S127" s="367"/>
      <c r="T127" s="367"/>
      <c r="U127" s="367"/>
      <c r="V127" s="367"/>
      <c r="W127" s="8"/>
      <c r="X127" s="8"/>
      <c r="Y127" s="8"/>
      <c r="Z127" s="8"/>
      <c r="AA127" s="8"/>
      <c r="AB127" s="8"/>
    </row>
    <row r="128">
      <c r="A128" s="8"/>
      <c r="B128" s="8"/>
      <c r="C128" s="8"/>
      <c r="D128" s="8"/>
      <c r="E128" s="8"/>
      <c r="F128" s="366"/>
      <c r="G128" s="8"/>
      <c r="H128" s="8"/>
      <c r="I128" s="8"/>
      <c r="J128" s="8"/>
      <c r="K128" s="8"/>
      <c r="L128" s="8"/>
      <c r="M128" s="8"/>
      <c r="N128" s="8"/>
      <c r="O128" s="8"/>
      <c r="P128" s="8"/>
      <c r="Q128" s="8"/>
      <c r="R128" s="8"/>
      <c r="S128" s="367"/>
      <c r="T128" s="367"/>
      <c r="U128" s="367"/>
      <c r="V128" s="367"/>
      <c r="W128" s="8"/>
      <c r="X128" s="8"/>
      <c r="Y128" s="8"/>
      <c r="Z128" s="8"/>
      <c r="AA128" s="8"/>
      <c r="AB128" s="8"/>
    </row>
    <row r="129">
      <c r="A129" s="8"/>
      <c r="B129" s="8"/>
      <c r="C129" s="8"/>
      <c r="D129" s="8"/>
      <c r="E129" s="8"/>
      <c r="F129" s="366"/>
      <c r="G129" s="8"/>
      <c r="H129" s="8"/>
      <c r="I129" s="8"/>
      <c r="J129" s="8"/>
      <c r="K129" s="8"/>
      <c r="L129" s="8"/>
      <c r="M129" s="8"/>
      <c r="N129" s="8"/>
      <c r="O129" s="8"/>
      <c r="P129" s="8"/>
      <c r="Q129" s="8"/>
      <c r="R129" s="8"/>
      <c r="S129" s="367"/>
      <c r="T129" s="367"/>
      <c r="U129" s="367"/>
      <c r="V129" s="367"/>
      <c r="W129" s="8"/>
      <c r="X129" s="8"/>
      <c r="Y129" s="8"/>
      <c r="Z129" s="8"/>
      <c r="AA129" s="8"/>
      <c r="AB129" s="8"/>
    </row>
    <row r="130">
      <c r="A130" s="8"/>
      <c r="B130" s="8"/>
      <c r="C130" s="8"/>
      <c r="D130" s="8"/>
      <c r="E130" s="8"/>
      <c r="F130" s="366"/>
      <c r="G130" s="8"/>
      <c r="H130" s="8"/>
      <c r="I130" s="8"/>
      <c r="J130" s="8"/>
      <c r="K130" s="8"/>
      <c r="L130" s="8"/>
      <c r="M130" s="8"/>
      <c r="N130" s="8"/>
      <c r="O130" s="8"/>
      <c r="P130" s="8"/>
      <c r="Q130" s="8"/>
      <c r="R130" s="8"/>
      <c r="S130" s="367"/>
      <c r="T130" s="367"/>
      <c r="U130" s="367"/>
      <c r="V130" s="367"/>
      <c r="W130" s="8"/>
      <c r="X130" s="8"/>
      <c r="Y130" s="8"/>
      <c r="Z130" s="8"/>
      <c r="AA130" s="8"/>
      <c r="AB130" s="8"/>
    </row>
    <row r="131">
      <c r="A131" s="8"/>
      <c r="B131" s="8"/>
      <c r="C131" s="8"/>
      <c r="D131" s="8"/>
      <c r="E131" s="8"/>
      <c r="F131" s="366"/>
      <c r="G131" s="8"/>
      <c r="H131" s="8"/>
      <c r="I131" s="8"/>
      <c r="J131" s="8"/>
      <c r="K131" s="8"/>
      <c r="L131" s="8"/>
      <c r="M131" s="8"/>
      <c r="N131" s="8"/>
      <c r="O131" s="8"/>
      <c r="P131" s="8"/>
      <c r="Q131" s="8"/>
      <c r="R131" s="8"/>
      <c r="S131" s="367"/>
      <c r="T131" s="367"/>
      <c r="U131" s="367"/>
      <c r="V131" s="367"/>
      <c r="W131" s="8"/>
      <c r="X131" s="8"/>
      <c r="Y131" s="8"/>
      <c r="Z131" s="8"/>
      <c r="AA131" s="8"/>
      <c r="AB131" s="8"/>
    </row>
    <row r="132">
      <c r="A132" s="8"/>
      <c r="B132" s="8"/>
      <c r="C132" s="8"/>
      <c r="D132" s="8"/>
      <c r="E132" s="8"/>
      <c r="F132" s="366"/>
      <c r="G132" s="8"/>
      <c r="H132" s="8"/>
      <c r="I132" s="8"/>
      <c r="J132" s="8"/>
      <c r="K132" s="8"/>
      <c r="L132" s="8"/>
      <c r="M132" s="8"/>
      <c r="N132" s="8"/>
      <c r="O132" s="8"/>
      <c r="P132" s="8"/>
      <c r="Q132" s="8"/>
      <c r="R132" s="8"/>
      <c r="S132" s="367"/>
      <c r="T132" s="367"/>
      <c r="U132" s="367"/>
      <c r="V132" s="367"/>
      <c r="W132" s="8"/>
      <c r="X132" s="8"/>
      <c r="Y132" s="8"/>
      <c r="Z132" s="8"/>
      <c r="AA132" s="8"/>
      <c r="AB132" s="8"/>
    </row>
    <row r="133">
      <c r="A133" s="8"/>
      <c r="B133" s="8"/>
      <c r="C133" s="8"/>
      <c r="D133" s="8"/>
      <c r="E133" s="8"/>
      <c r="F133" s="366"/>
      <c r="G133" s="8"/>
      <c r="H133" s="8"/>
      <c r="I133" s="8"/>
      <c r="J133" s="8"/>
      <c r="K133" s="8"/>
      <c r="L133" s="8"/>
      <c r="M133" s="8"/>
      <c r="N133" s="8"/>
      <c r="O133" s="8"/>
      <c r="P133" s="8"/>
      <c r="Q133" s="8"/>
      <c r="R133" s="8"/>
      <c r="S133" s="367"/>
      <c r="T133" s="367"/>
      <c r="U133" s="367"/>
      <c r="V133" s="367"/>
      <c r="W133" s="8"/>
      <c r="X133" s="8"/>
      <c r="Y133" s="8"/>
      <c r="Z133" s="8"/>
      <c r="AA133" s="8"/>
      <c r="AB133" s="8"/>
    </row>
    <row r="134">
      <c r="A134" s="8"/>
      <c r="B134" s="8"/>
      <c r="C134" s="8"/>
      <c r="D134" s="8"/>
      <c r="E134" s="8"/>
      <c r="F134" s="366"/>
      <c r="G134" s="8"/>
      <c r="H134" s="8"/>
      <c r="I134" s="8"/>
      <c r="J134" s="8"/>
      <c r="K134" s="8"/>
      <c r="L134" s="8"/>
      <c r="M134" s="8"/>
      <c r="N134" s="8"/>
      <c r="O134" s="8"/>
      <c r="P134" s="8"/>
      <c r="Q134" s="8"/>
      <c r="R134" s="8"/>
      <c r="S134" s="367"/>
      <c r="T134" s="367"/>
      <c r="U134" s="367"/>
      <c r="V134" s="367"/>
      <c r="W134" s="8"/>
      <c r="X134" s="8"/>
      <c r="Y134" s="8"/>
      <c r="Z134" s="8"/>
      <c r="AA134" s="8"/>
      <c r="AB134" s="8"/>
    </row>
    <row r="135">
      <c r="A135" s="8"/>
      <c r="B135" s="8"/>
      <c r="C135" s="8"/>
      <c r="D135" s="8"/>
      <c r="E135" s="8"/>
      <c r="F135" s="366"/>
      <c r="G135" s="8"/>
      <c r="H135" s="8"/>
      <c r="I135" s="8"/>
      <c r="J135" s="8"/>
      <c r="K135" s="8"/>
      <c r="L135" s="8"/>
      <c r="M135" s="8"/>
      <c r="N135" s="8"/>
      <c r="O135" s="8"/>
      <c r="P135" s="8"/>
      <c r="Q135" s="8"/>
      <c r="R135" s="8"/>
      <c r="S135" s="367"/>
      <c r="T135" s="367"/>
      <c r="U135" s="367"/>
      <c r="V135" s="367"/>
      <c r="W135" s="8"/>
      <c r="X135" s="8"/>
      <c r="Y135" s="8"/>
      <c r="Z135" s="8"/>
      <c r="AA135" s="8"/>
      <c r="AB135" s="8"/>
    </row>
    <row r="136">
      <c r="A136" s="8"/>
      <c r="B136" s="8"/>
      <c r="C136" s="8"/>
      <c r="D136" s="8"/>
      <c r="E136" s="8"/>
      <c r="F136" s="366"/>
      <c r="G136" s="8"/>
      <c r="H136" s="8"/>
      <c r="I136" s="8"/>
      <c r="J136" s="8"/>
      <c r="K136" s="8"/>
      <c r="L136" s="8"/>
      <c r="M136" s="8"/>
      <c r="N136" s="8"/>
      <c r="O136" s="8"/>
      <c r="P136" s="8"/>
      <c r="Q136" s="8"/>
      <c r="R136" s="8"/>
      <c r="S136" s="367"/>
      <c r="T136" s="367"/>
      <c r="U136" s="367"/>
      <c r="V136" s="367"/>
      <c r="W136" s="8"/>
      <c r="X136" s="8"/>
      <c r="Y136" s="8"/>
      <c r="Z136" s="8"/>
      <c r="AA136" s="8"/>
      <c r="AB136" s="8"/>
    </row>
    <row r="137">
      <c r="A137" s="8"/>
      <c r="B137" s="8"/>
      <c r="C137" s="8"/>
      <c r="D137" s="8"/>
      <c r="E137" s="8"/>
      <c r="F137" s="366"/>
      <c r="G137" s="8"/>
      <c r="H137" s="8"/>
      <c r="I137" s="8"/>
      <c r="J137" s="8"/>
      <c r="K137" s="8"/>
      <c r="L137" s="8"/>
      <c r="M137" s="8"/>
      <c r="N137" s="8"/>
      <c r="O137" s="8"/>
      <c r="P137" s="8"/>
      <c r="Q137" s="8"/>
      <c r="R137" s="8"/>
      <c r="S137" s="367"/>
      <c r="T137" s="367"/>
      <c r="U137" s="367"/>
      <c r="V137" s="367"/>
      <c r="W137" s="8"/>
      <c r="X137" s="8"/>
      <c r="Y137" s="8"/>
      <c r="Z137" s="8"/>
      <c r="AA137" s="8"/>
      <c r="AB137" s="8"/>
    </row>
    <row r="138">
      <c r="A138" s="8"/>
      <c r="B138" s="8"/>
      <c r="C138" s="8"/>
      <c r="D138" s="8"/>
      <c r="E138" s="8"/>
      <c r="F138" s="366"/>
      <c r="G138" s="8"/>
      <c r="H138" s="8"/>
      <c r="I138" s="8"/>
      <c r="J138" s="8"/>
      <c r="K138" s="8"/>
      <c r="L138" s="8"/>
      <c r="M138" s="8"/>
      <c r="N138" s="8"/>
      <c r="O138" s="8"/>
      <c r="P138" s="8"/>
      <c r="Q138" s="8"/>
      <c r="R138" s="8"/>
      <c r="S138" s="367"/>
      <c r="T138" s="367"/>
      <c r="U138" s="367"/>
      <c r="V138" s="367"/>
      <c r="W138" s="8"/>
      <c r="X138" s="8"/>
      <c r="Y138" s="8"/>
      <c r="Z138" s="8"/>
      <c r="AA138" s="8"/>
      <c r="AB138" s="8"/>
    </row>
    <row r="139">
      <c r="A139" s="8"/>
      <c r="B139" s="8"/>
      <c r="C139" s="8"/>
      <c r="D139" s="8"/>
      <c r="E139" s="8"/>
      <c r="F139" s="366"/>
      <c r="G139" s="8"/>
      <c r="H139" s="8"/>
      <c r="I139" s="8"/>
      <c r="J139" s="8"/>
      <c r="K139" s="8"/>
      <c r="L139" s="8"/>
      <c r="M139" s="8"/>
      <c r="N139" s="8"/>
      <c r="O139" s="8"/>
      <c r="P139" s="8"/>
      <c r="Q139" s="8"/>
      <c r="R139" s="8"/>
      <c r="S139" s="367"/>
      <c r="T139" s="367"/>
      <c r="U139" s="367"/>
      <c r="V139" s="367"/>
      <c r="W139" s="8"/>
      <c r="X139" s="8"/>
      <c r="Y139" s="8"/>
      <c r="Z139" s="8"/>
      <c r="AA139" s="8"/>
      <c r="AB139" s="8"/>
    </row>
    <row r="140">
      <c r="A140" s="8"/>
      <c r="B140" s="8"/>
      <c r="C140" s="8"/>
      <c r="D140" s="8"/>
      <c r="E140" s="8"/>
      <c r="F140" s="366"/>
      <c r="G140" s="8"/>
      <c r="H140" s="8"/>
      <c r="I140" s="8"/>
      <c r="J140" s="8"/>
      <c r="K140" s="8"/>
      <c r="L140" s="8"/>
      <c r="M140" s="8"/>
      <c r="N140" s="8"/>
      <c r="O140" s="8"/>
      <c r="P140" s="8"/>
      <c r="Q140" s="8"/>
      <c r="R140" s="8"/>
      <c r="S140" s="367"/>
      <c r="T140" s="367"/>
      <c r="U140" s="367"/>
      <c r="V140" s="367"/>
      <c r="W140" s="8"/>
      <c r="X140" s="8"/>
      <c r="Y140" s="8"/>
      <c r="Z140" s="8"/>
      <c r="AA140" s="8"/>
      <c r="AB140" s="8"/>
    </row>
    <row r="141">
      <c r="A141" s="8"/>
      <c r="B141" s="8"/>
      <c r="C141" s="8"/>
      <c r="D141" s="8"/>
      <c r="E141" s="8"/>
      <c r="F141" s="366"/>
      <c r="G141" s="8"/>
      <c r="H141" s="8"/>
      <c r="I141" s="8"/>
      <c r="J141" s="8"/>
      <c r="K141" s="8"/>
      <c r="L141" s="8"/>
      <c r="M141" s="8"/>
      <c r="N141" s="8"/>
      <c r="O141" s="8"/>
      <c r="P141" s="8"/>
      <c r="Q141" s="8"/>
      <c r="R141" s="8"/>
      <c r="S141" s="367"/>
      <c r="T141" s="367"/>
      <c r="U141" s="367"/>
      <c r="V141" s="367"/>
      <c r="W141" s="8"/>
      <c r="X141" s="8"/>
      <c r="Y141" s="8"/>
      <c r="Z141" s="8"/>
      <c r="AA141" s="8"/>
      <c r="AB141" s="8"/>
    </row>
    <row r="142">
      <c r="A142" s="8"/>
      <c r="B142" s="8"/>
      <c r="C142" s="8"/>
      <c r="D142" s="8"/>
      <c r="E142" s="8"/>
      <c r="F142" s="366"/>
      <c r="G142" s="8"/>
      <c r="H142" s="8"/>
      <c r="I142" s="8"/>
      <c r="J142" s="8"/>
      <c r="K142" s="8"/>
      <c r="L142" s="8"/>
      <c r="M142" s="8"/>
      <c r="N142" s="8"/>
      <c r="O142" s="8"/>
      <c r="P142" s="8"/>
      <c r="Q142" s="8"/>
      <c r="R142" s="8"/>
      <c r="S142" s="367"/>
      <c r="T142" s="367"/>
      <c r="U142" s="367"/>
      <c r="V142" s="367"/>
      <c r="W142" s="8"/>
      <c r="X142" s="8"/>
      <c r="Y142" s="8"/>
      <c r="Z142" s="8"/>
      <c r="AA142" s="8"/>
      <c r="AB142" s="8"/>
    </row>
    <row r="143">
      <c r="A143" s="8"/>
      <c r="B143" s="8"/>
      <c r="C143" s="8"/>
      <c r="D143" s="8"/>
      <c r="E143" s="8"/>
      <c r="F143" s="366"/>
      <c r="G143" s="8"/>
      <c r="H143" s="8"/>
      <c r="I143" s="8"/>
      <c r="J143" s="8"/>
      <c r="K143" s="8"/>
      <c r="L143" s="8"/>
      <c r="M143" s="8"/>
      <c r="N143" s="8"/>
      <c r="O143" s="8"/>
      <c r="P143" s="8"/>
      <c r="Q143" s="8"/>
      <c r="R143" s="8"/>
      <c r="S143" s="367"/>
      <c r="T143" s="367"/>
      <c r="U143" s="367"/>
      <c r="V143" s="367"/>
      <c r="W143" s="8"/>
      <c r="X143" s="8"/>
      <c r="Y143" s="8"/>
      <c r="Z143" s="8"/>
      <c r="AA143" s="8"/>
      <c r="AB143" s="8"/>
    </row>
    <row r="144">
      <c r="A144" s="8"/>
      <c r="B144" s="8"/>
      <c r="C144" s="8"/>
      <c r="D144" s="8"/>
      <c r="E144" s="8"/>
      <c r="F144" s="366"/>
      <c r="G144" s="8"/>
      <c r="H144" s="8"/>
      <c r="I144" s="8"/>
      <c r="J144" s="8"/>
      <c r="K144" s="8"/>
      <c r="L144" s="8"/>
      <c r="M144" s="8"/>
      <c r="N144" s="8"/>
      <c r="O144" s="8"/>
      <c r="P144" s="8"/>
      <c r="Q144" s="8"/>
      <c r="R144" s="8"/>
      <c r="S144" s="367"/>
      <c r="T144" s="367"/>
      <c r="U144" s="367"/>
      <c r="V144" s="367"/>
      <c r="W144" s="8"/>
      <c r="X144" s="8"/>
      <c r="Y144" s="8"/>
      <c r="Z144" s="8"/>
      <c r="AA144" s="8"/>
      <c r="AB144" s="8"/>
    </row>
    <row r="145">
      <c r="A145" s="8"/>
      <c r="B145" s="8"/>
      <c r="C145" s="8"/>
      <c r="D145" s="8"/>
      <c r="E145" s="8"/>
      <c r="F145" s="366"/>
      <c r="G145" s="8"/>
      <c r="H145" s="8"/>
      <c r="I145" s="8"/>
      <c r="J145" s="8"/>
      <c r="K145" s="8"/>
      <c r="L145" s="8"/>
      <c r="M145" s="8"/>
      <c r="N145" s="8"/>
      <c r="O145" s="8"/>
      <c r="P145" s="8"/>
      <c r="Q145" s="8"/>
      <c r="R145" s="8"/>
      <c r="S145" s="367"/>
      <c r="T145" s="367"/>
      <c r="U145" s="367"/>
      <c r="V145" s="367"/>
      <c r="W145" s="8"/>
      <c r="X145" s="8"/>
      <c r="Y145" s="8"/>
      <c r="Z145" s="8"/>
      <c r="AA145" s="8"/>
      <c r="AB145" s="8"/>
    </row>
    <row r="146">
      <c r="A146" s="8"/>
      <c r="B146" s="8"/>
      <c r="C146" s="8"/>
      <c r="D146" s="8"/>
      <c r="E146" s="8"/>
      <c r="F146" s="366"/>
      <c r="G146" s="8"/>
      <c r="H146" s="8"/>
      <c r="I146" s="8"/>
      <c r="J146" s="8"/>
      <c r="K146" s="8"/>
      <c r="L146" s="8"/>
      <c r="M146" s="8"/>
      <c r="N146" s="8"/>
      <c r="O146" s="8"/>
      <c r="P146" s="8"/>
      <c r="Q146" s="8"/>
      <c r="R146" s="8"/>
      <c r="S146" s="367"/>
      <c r="T146" s="367"/>
      <c r="U146" s="367"/>
      <c r="V146" s="367"/>
      <c r="W146" s="8"/>
      <c r="X146" s="8"/>
      <c r="Y146" s="8"/>
      <c r="Z146" s="8"/>
      <c r="AA146" s="8"/>
      <c r="AB146" s="8"/>
    </row>
    <row r="147">
      <c r="A147" s="8"/>
      <c r="B147" s="8"/>
      <c r="C147" s="8"/>
      <c r="D147" s="8"/>
      <c r="E147" s="8"/>
      <c r="F147" s="366"/>
      <c r="G147" s="8"/>
      <c r="H147" s="8"/>
      <c r="I147" s="8"/>
      <c r="J147" s="8"/>
      <c r="K147" s="8"/>
      <c r="L147" s="8"/>
      <c r="M147" s="8"/>
      <c r="N147" s="8"/>
      <c r="O147" s="8"/>
      <c r="P147" s="8"/>
      <c r="Q147" s="8"/>
      <c r="R147" s="8"/>
      <c r="S147" s="367"/>
      <c r="T147" s="367"/>
      <c r="U147" s="367"/>
      <c r="V147" s="367"/>
      <c r="W147" s="8"/>
      <c r="X147" s="8"/>
      <c r="Y147" s="8"/>
      <c r="Z147" s="8"/>
      <c r="AA147" s="8"/>
      <c r="AB147" s="8"/>
    </row>
    <row r="148">
      <c r="A148" s="8"/>
      <c r="B148" s="8"/>
      <c r="C148" s="8"/>
      <c r="D148" s="8"/>
      <c r="E148" s="8"/>
      <c r="F148" s="366"/>
      <c r="G148" s="8"/>
      <c r="H148" s="8"/>
      <c r="I148" s="8"/>
      <c r="J148" s="8"/>
      <c r="K148" s="8"/>
      <c r="L148" s="8"/>
      <c r="M148" s="8"/>
      <c r="N148" s="8"/>
      <c r="O148" s="8"/>
      <c r="P148" s="8"/>
      <c r="Q148" s="8"/>
      <c r="R148" s="8"/>
      <c r="S148" s="367"/>
      <c r="T148" s="367"/>
      <c r="U148" s="367"/>
      <c r="V148" s="367"/>
      <c r="W148" s="8"/>
      <c r="X148" s="8"/>
      <c r="Y148" s="8"/>
      <c r="Z148" s="8"/>
      <c r="AA148" s="8"/>
      <c r="AB148" s="8"/>
    </row>
    <row r="149">
      <c r="A149" s="8"/>
      <c r="B149" s="8"/>
      <c r="C149" s="8"/>
      <c r="D149" s="8"/>
      <c r="E149" s="8"/>
      <c r="F149" s="366"/>
      <c r="G149" s="8"/>
      <c r="H149" s="8"/>
      <c r="I149" s="8"/>
      <c r="J149" s="8"/>
      <c r="K149" s="8"/>
      <c r="L149" s="8"/>
      <c r="M149" s="8"/>
      <c r="N149" s="8"/>
      <c r="O149" s="8"/>
      <c r="P149" s="8"/>
      <c r="Q149" s="8"/>
      <c r="R149" s="8"/>
      <c r="S149" s="367"/>
      <c r="T149" s="367"/>
      <c r="U149" s="367"/>
      <c r="V149" s="367"/>
      <c r="W149" s="8"/>
      <c r="X149" s="8"/>
      <c r="Y149" s="8"/>
      <c r="Z149" s="8"/>
      <c r="AA149" s="8"/>
      <c r="AB149" s="8"/>
    </row>
    <row r="150">
      <c r="A150" s="8"/>
      <c r="B150" s="8"/>
      <c r="C150" s="8"/>
      <c r="D150" s="8"/>
      <c r="E150" s="8"/>
      <c r="F150" s="366"/>
      <c r="G150" s="8"/>
      <c r="H150" s="8"/>
      <c r="I150" s="8"/>
      <c r="J150" s="8"/>
      <c r="K150" s="8"/>
      <c r="L150" s="8"/>
      <c r="M150" s="8"/>
      <c r="N150" s="8"/>
      <c r="O150" s="8"/>
      <c r="P150" s="8"/>
      <c r="Q150" s="8"/>
      <c r="R150" s="8"/>
      <c r="S150" s="367"/>
      <c r="T150" s="367"/>
      <c r="U150" s="367"/>
      <c r="V150" s="367"/>
      <c r="W150" s="8"/>
      <c r="X150" s="8"/>
      <c r="Y150" s="8"/>
      <c r="Z150" s="8"/>
      <c r="AA150" s="8"/>
      <c r="AB150" s="8"/>
    </row>
    <row r="151">
      <c r="A151" s="8"/>
      <c r="B151" s="8"/>
      <c r="C151" s="8"/>
      <c r="D151" s="8"/>
      <c r="E151" s="8"/>
      <c r="F151" s="366"/>
      <c r="G151" s="8"/>
      <c r="H151" s="8"/>
      <c r="I151" s="8"/>
      <c r="J151" s="8"/>
      <c r="K151" s="8"/>
      <c r="L151" s="8"/>
      <c r="M151" s="8"/>
      <c r="N151" s="8"/>
      <c r="O151" s="8"/>
      <c r="P151" s="8"/>
      <c r="Q151" s="8"/>
      <c r="R151" s="8"/>
      <c r="S151" s="367"/>
      <c r="T151" s="367"/>
      <c r="U151" s="367"/>
      <c r="V151" s="367"/>
      <c r="W151" s="8"/>
      <c r="X151" s="8"/>
      <c r="Y151" s="8"/>
      <c r="Z151" s="8"/>
      <c r="AA151" s="8"/>
      <c r="AB151" s="8"/>
    </row>
    <row r="152">
      <c r="A152" s="8"/>
      <c r="B152" s="8"/>
      <c r="C152" s="8"/>
      <c r="D152" s="8"/>
      <c r="E152" s="8"/>
      <c r="F152" s="366"/>
      <c r="G152" s="8"/>
      <c r="H152" s="8"/>
      <c r="I152" s="8"/>
      <c r="J152" s="8"/>
      <c r="K152" s="8"/>
      <c r="L152" s="8"/>
      <c r="M152" s="8"/>
      <c r="N152" s="8"/>
      <c r="O152" s="8"/>
      <c r="P152" s="8"/>
      <c r="Q152" s="8"/>
      <c r="R152" s="8"/>
      <c r="S152" s="367"/>
      <c r="T152" s="367"/>
      <c r="U152" s="367"/>
      <c r="V152" s="367"/>
      <c r="W152" s="8"/>
      <c r="X152" s="8"/>
      <c r="Y152" s="8"/>
      <c r="Z152" s="8"/>
      <c r="AA152" s="8"/>
      <c r="AB152" s="8"/>
    </row>
    <row r="153">
      <c r="A153" s="8"/>
      <c r="B153" s="8"/>
      <c r="C153" s="8"/>
      <c r="D153" s="8"/>
      <c r="E153" s="8"/>
      <c r="F153" s="366"/>
      <c r="G153" s="8"/>
      <c r="H153" s="8"/>
      <c r="I153" s="8"/>
      <c r="J153" s="8"/>
      <c r="K153" s="8"/>
      <c r="L153" s="8"/>
      <c r="M153" s="8"/>
      <c r="N153" s="8"/>
      <c r="O153" s="8"/>
      <c r="P153" s="8"/>
      <c r="Q153" s="8"/>
      <c r="R153" s="8"/>
      <c r="S153" s="367"/>
      <c r="T153" s="367"/>
      <c r="U153" s="367"/>
      <c r="V153" s="367"/>
      <c r="W153" s="8"/>
      <c r="X153" s="8"/>
      <c r="Y153" s="8"/>
      <c r="Z153" s="8"/>
      <c r="AA153" s="8"/>
      <c r="AB153" s="8"/>
    </row>
    <row r="154">
      <c r="A154" s="8"/>
      <c r="B154" s="8"/>
      <c r="C154" s="8"/>
      <c r="D154" s="8"/>
      <c r="E154" s="8"/>
      <c r="F154" s="366"/>
      <c r="G154" s="8"/>
      <c r="H154" s="8"/>
      <c r="I154" s="8"/>
      <c r="J154" s="8"/>
      <c r="K154" s="8"/>
      <c r="L154" s="8"/>
      <c r="M154" s="8"/>
      <c r="N154" s="8"/>
      <c r="O154" s="8"/>
      <c r="P154" s="8"/>
      <c r="Q154" s="8"/>
      <c r="R154" s="8"/>
      <c r="S154" s="367"/>
      <c r="T154" s="367"/>
      <c r="U154" s="367"/>
      <c r="V154" s="367"/>
      <c r="W154" s="8"/>
      <c r="X154" s="8"/>
      <c r="Y154" s="8"/>
      <c r="Z154" s="8"/>
      <c r="AA154" s="8"/>
      <c r="AB154" s="8"/>
    </row>
    <row r="155">
      <c r="A155" s="8"/>
      <c r="B155" s="8"/>
      <c r="C155" s="8"/>
      <c r="D155" s="8"/>
      <c r="E155" s="8"/>
      <c r="F155" s="366"/>
      <c r="G155" s="8"/>
      <c r="H155" s="8"/>
      <c r="I155" s="8"/>
      <c r="J155" s="8"/>
      <c r="K155" s="8"/>
      <c r="L155" s="8"/>
      <c r="M155" s="8"/>
      <c r="N155" s="8"/>
      <c r="O155" s="8"/>
      <c r="P155" s="8"/>
      <c r="Q155" s="8"/>
      <c r="R155" s="8"/>
      <c r="S155" s="367"/>
      <c r="T155" s="367"/>
      <c r="U155" s="367"/>
      <c r="V155" s="367"/>
      <c r="W155" s="8"/>
      <c r="X155" s="8"/>
      <c r="Y155" s="8"/>
      <c r="Z155" s="8"/>
      <c r="AA155" s="8"/>
      <c r="AB155" s="8"/>
    </row>
    <row r="156">
      <c r="A156" s="8"/>
      <c r="B156" s="8"/>
      <c r="C156" s="8"/>
      <c r="D156" s="8"/>
      <c r="E156" s="8"/>
      <c r="F156" s="366"/>
      <c r="G156" s="8"/>
      <c r="H156" s="8"/>
      <c r="I156" s="8"/>
      <c r="J156" s="8"/>
      <c r="K156" s="8"/>
      <c r="L156" s="8"/>
      <c r="M156" s="8"/>
      <c r="N156" s="8"/>
      <c r="O156" s="8"/>
      <c r="P156" s="8"/>
      <c r="Q156" s="8"/>
      <c r="R156" s="8"/>
      <c r="S156" s="367"/>
      <c r="T156" s="367"/>
      <c r="U156" s="367"/>
      <c r="V156" s="367"/>
      <c r="W156" s="8"/>
      <c r="X156" s="8"/>
      <c r="Y156" s="8"/>
      <c r="Z156" s="8"/>
      <c r="AA156" s="8"/>
      <c r="AB156" s="8"/>
    </row>
    <row r="157">
      <c r="A157" s="8"/>
      <c r="B157" s="8"/>
      <c r="C157" s="8"/>
      <c r="D157" s="8"/>
      <c r="E157" s="8"/>
      <c r="F157" s="366"/>
      <c r="G157" s="8"/>
      <c r="H157" s="8"/>
      <c r="I157" s="8"/>
      <c r="J157" s="8"/>
      <c r="K157" s="8"/>
      <c r="L157" s="8"/>
      <c r="M157" s="8"/>
      <c r="N157" s="8"/>
      <c r="O157" s="8"/>
      <c r="P157" s="8"/>
      <c r="Q157" s="8"/>
      <c r="R157" s="8"/>
      <c r="S157" s="367"/>
      <c r="T157" s="367"/>
      <c r="U157" s="367"/>
      <c r="V157" s="367"/>
      <c r="W157" s="8"/>
      <c r="X157" s="8"/>
      <c r="Y157" s="8"/>
      <c r="Z157" s="8"/>
      <c r="AA157" s="8"/>
      <c r="AB157" s="8"/>
    </row>
    <row r="158">
      <c r="A158" s="8"/>
      <c r="B158" s="8"/>
      <c r="C158" s="8"/>
      <c r="D158" s="8"/>
      <c r="E158" s="8"/>
      <c r="F158" s="366"/>
      <c r="G158" s="8"/>
      <c r="H158" s="8"/>
      <c r="I158" s="8"/>
      <c r="J158" s="8"/>
      <c r="K158" s="8"/>
      <c r="L158" s="8"/>
      <c r="M158" s="8"/>
      <c r="N158" s="8"/>
      <c r="O158" s="8"/>
      <c r="P158" s="8"/>
      <c r="Q158" s="8"/>
      <c r="R158" s="8"/>
      <c r="S158" s="367"/>
      <c r="T158" s="367"/>
      <c r="U158" s="367"/>
      <c r="V158" s="367"/>
      <c r="W158" s="8"/>
      <c r="X158" s="8"/>
      <c r="Y158" s="8"/>
      <c r="Z158" s="8"/>
      <c r="AA158" s="8"/>
      <c r="AB158" s="8"/>
    </row>
    <row r="159">
      <c r="A159" s="8"/>
      <c r="B159" s="8"/>
      <c r="C159" s="8"/>
      <c r="D159" s="8"/>
      <c r="E159" s="8"/>
      <c r="F159" s="366"/>
      <c r="G159" s="8"/>
      <c r="H159" s="8"/>
      <c r="I159" s="8"/>
      <c r="J159" s="8"/>
      <c r="K159" s="8"/>
      <c r="L159" s="8"/>
      <c r="M159" s="8"/>
      <c r="N159" s="8"/>
      <c r="O159" s="8"/>
      <c r="P159" s="8"/>
      <c r="Q159" s="8"/>
      <c r="R159" s="8"/>
      <c r="S159" s="367"/>
      <c r="T159" s="367"/>
      <c r="U159" s="367"/>
      <c r="V159" s="367"/>
      <c r="W159" s="8"/>
      <c r="X159" s="8"/>
      <c r="Y159" s="8"/>
      <c r="Z159" s="8"/>
      <c r="AA159" s="8"/>
      <c r="AB159" s="8"/>
    </row>
    <row r="160">
      <c r="A160" s="8"/>
      <c r="B160" s="8"/>
      <c r="C160" s="8"/>
      <c r="D160" s="8"/>
      <c r="E160" s="8"/>
      <c r="F160" s="366"/>
      <c r="G160" s="8"/>
      <c r="H160" s="8"/>
      <c r="I160" s="8"/>
      <c r="J160" s="8"/>
      <c r="K160" s="8"/>
      <c r="L160" s="8"/>
      <c r="M160" s="8"/>
      <c r="N160" s="8"/>
      <c r="O160" s="8"/>
      <c r="P160" s="8"/>
      <c r="Q160" s="8"/>
      <c r="R160" s="8"/>
      <c r="S160" s="367"/>
      <c r="T160" s="367"/>
      <c r="U160" s="367"/>
      <c r="V160" s="367"/>
      <c r="W160" s="8"/>
      <c r="X160" s="8"/>
      <c r="Y160" s="8"/>
      <c r="Z160" s="8"/>
      <c r="AA160" s="8"/>
      <c r="AB160" s="8"/>
    </row>
    <row r="161">
      <c r="A161" s="8"/>
      <c r="B161" s="8"/>
      <c r="C161" s="8"/>
      <c r="D161" s="8"/>
      <c r="E161" s="8"/>
      <c r="F161" s="366"/>
      <c r="G161" s="8"/>
      <c r="H161" s="8"/>
      <c r="I161" s="8"/>
      <c r="J161" s="8"/>
      <c r="K161" s="8"/>
      <c r="L161" s="8"/>
      <c r="M161" s="8"/>
      <c r="N161" s="8"/>
      <c r="O161" s="8"/>
      <c r="P161" s="8"/>
      <c r="Q161" s="8"/>
      <c r="R161" s="8"/>
      <c r="S161" s="367"/>
      <c r="T161" s="367"/>
      <c r="U161" s="367"/>
      <c r="V161" s="367"/>
      <c r="W161" s="8"/>
      <c r="X161" s="8"/>
      <c r="Y161" s="8"/>
      <c r="Z161" s="8"/>
      <c r="AA161" s="8"/>
      <c r="AB161" s="8"/>
    </row>
    <row r="162">
      <c r="A162" s="8"/>
      <c r="B162" s="8"/>
      <c r="C162" s="8"/>
      <c r="D162" s="8"/>
      <c r="E162" s="8"/>
      <c r="F162" s="366"/>
      <c r="G162" s="8"/>
      <c r="H162" s="8"/>
      <c r="I162" s="8"/>
      <c r="J162" s="8"/>
      <c r="K162" s="8"/>
      <c r="L162" s="8"/>
      <c r="M162" s="8"/>
      <c r="N162" s="8"/>
      <c r="O162" s="8"/>
      <c r="P162" s="8"/>
      <c r="Q162" s="8"/>
      <c r="R162" s="8"/>
      <c r="S162" s="367"/>
      <c r="T162" s="367"/>
      <c r="U162" s="367"/>
      <c r="V162" s="367"/>
      <c r="W162" s="8"/>
      <c r="X162" s="8"/>
      <c r="Y162" s="8"/>
      <c r="Z162" s="8"/>
      <c r="AA162" s="8"/>
      <c r="AB162" s="8"/>
    </row>
    <row r="163">
      <c r="A163" s="8"/>
      <c r="B163" s="8"/>
      <c r="C163" s="8"/>
      <c r="D163" s="8"/>
      <c r="E163" s="8"/>
      <c r="F163" s="366"/>
      <c r="G163" s="8"/>
      <c r="H163" s="8"/>
      <c r="I163" s="8"/>
      <c r="J163" s="8"/>
      <c r="K163" s="8"/>
      <c r="L163" s="8"/>
      <c r="M163" s="8"/>
      <c r="N163" s="8"/>
      <c r="O163" s="8"/>
      <c r="P163" s="8"/>
      <c r="Q163" s="8"/>
      <c r="R163" s="8"/>
      <c r="S163" s="367"/>
      <c r="T163" s="367"/>
      <c r="U163" s="367"/>
      <c r="V163" s="367"/>
      <c r="W163" s="8"/>
      <c r="X163" s="8"/>
      <c r="Y163" s="8"/>
      <c r="Z163" s="8"/>
      <c r="AA163" s="8"/>
      <c r="AB163" s="8"/>
    </row>
    <row r="164">
      <c r="A164" s="8"/>
      <c r="B164" s="8"/>
      <c r="C164" s="8"/>
      <c r="D164" s="8"/>
      <c r="E164" s="8"/>
      <c r="F164" s="366"/>
      <c r="G164" s="8"/>
      <c r="H164" s="8"/>
      <c r="I164" s="8"/>
      <c r="J164" s="8"/>
      <c r="K164" s="8"/>
      <c r="L164" s="8"/>
      <c r="M164" s="8"/>
      <c r="N164" s="8"/>
      <c r="O164" s="8"/>
      <c r="P164" s="8"/>
      <c r="Q164" s="8"/>
      <c r="R164" s="8"/>
      <c r="S164" s="367"/>
      <c r="T164" s="367"/>
      <c r="U164" s="367"/>
      <c r="V164" s="367"/>
      <c r="W164" s="8"/>
      <c r="X164" s="8"/>
      <c r="Y164" s="8"/>
      <c r="Z164" s="8"/>
      <c r="AA164" s="8"/>
      <c r="AB164" s="8"/>
    </row>
    <row r="165">
      <c r="A165" s="8"/>
      <c r="B165" s="8"/>
      <c r="C165" s="8"/>
      <c r="D165" s="8"/>
      <c r="E165" s="8"/>
      <c r="F165" s="366"/>
      <c r="G165" s="8"/>
      <c r="H165" s="8"/>
      <c r="I165" s="8"/>
      <c r="J165" s="8"/>
      <c r="K165" s="8"/>
      <c r="L165" s="8"/>
      <c r="M165" s="8"/>
      <c r="N165" s="8"/>
      <c r="O165" s="8"/>
      <c r="P165" s="8"/>
      <c r="Q165" s="8"/>
      <c r="R165" s="8"/>
      <c r="S165" s="367"/>
      <c r="T165" s="367"/>
      <c r="U165" s="367"/>
      <c r="V165" s="367"/>
      <c r="W165" s="8"/>
      <c r="X165" s="8"/>
      <c r="Y165" s="8"/>
      <c r="Z165" s="8"/>
      <c r="AA165" s="8"/>
      <c r="AB165" s="8"/>
    </row>
    <row r="166">
      <c r="A166" s="8"/>
      <c r="B166" s="8"/>
      <c r="C166" s="8"/>
      <c r="D166" s="8"/>
      <c r="E166" s="8"/>
      <c r="F166" s="366"/>
      <c r="G166" s="8"/>
      <c r="H166" s="8"/>
      <c r="I166" s="8"/>
      <c r="J166" s="8"/>
      <c r="K166" s="8"/>
      <c r="L166" s="8"/>
      <c r="M166" s="8"/>
      <c r="N166" s="8"/>
      <c r="O166" s="8"/>
      <c r="P166" s="8"/>
      <c r="Q166" s="8"/>
      <c r="R166" s="8"/>
      <c r="S166" s="367"/>
      <c r="T166" s="367"/>
      <c r="U166" s="367"/>
      <c r="V166" s="367"/>
      <c r="W166" s="8"/>
      <c r="X166" s="8"/>
      <c r="Y166" s="8"/>
      <c r="Z166" s="8"/>
      <c r="AA166" s="8"/>
      <c r="AB166" s="8"/>
    </row>
    <row r="167">
      <c r="A167" s="8"/>
      <c r="B167" s="8"/>
      <c r="C167" s="8"/>
      <c r="D167" s="8"/>
      <c r="E167" s="8"/>
      <c r="F167" s="366"/>
      <c r="G167" s="8"/>
      <c r="H167" s="8"/>
      <c r="I167" s="8"/>
      <c r="J167" s="8"/>
      <c r="K167" s="8"/>
      <c r="L167" s="8"/>
      <c r="M167" s="8"/>
      <c r="N167" s="8"/>
      <c r="O167" s="8"/>
      <c r="P167" s="8"/>
      <c r="Q167" s="8"/>
      <c r="R167" s="8"/>
      <c r="S167" s="367"/>
      <c r="T167" s="367"/>
      <c r="U167" s="367"/>
      <c r="V167" s="367"/>
      <c r="W167" s="8"/>
      <c r="X167" s="8"/>
      <c r="Y167" s="8"/>
      <c r="Z167" s="8"/>
      <c r="AA167" s="8"/>
      <c r="AB167" s="8"/>
    </row>
    <row r="168">
      <c r="A168" s="8"/>
      <c r="B168" s="8"/>
      <c r="C168" s="8"/>
      <c r="D168" s="8"/>
      <c r="E168" s="8"/>
      <c r="F168" s="366"/>
      <c r="G168" s="8"/>
      <c r="H168" s="8"/>
      <c r="I168" s="8"/>
      <c r="J168" s="8"/>
      <c r="K168" s="8"/>
      <c r="L168" s="8"/>
      <c r="M168" s="8"/>
      <c r="N168" s="8"/>
      <c r="O168" s="8"/>
      <c r="P168" s="8"/>
      <c r="Q168" s="8"/>
      <c r="R168" s="8"/>
      <c r="S168" s="367"/>
      <c r="T168" s="367"/>
      <c r="U168" s="367"/>
      <c r="V168" s="367"/>
      <c r="W168" s="8"/>
      <c r="X168" s="8"/>
      <c r="Y168" s="8"/>
      <c r="Z168" s="8"/>
      <c r="AA168" s="8"/>
      <c r="AB168" s="8"/>
    </row>
    <row r="169">
      <c r="A169" s="8"/>
      <c r="B169" s="8"/>
      <c r="C169" s="8"/>
      <c r="D169" s="8"/>
      <c r="E169" s="8"/>
      <c r="F169" s="366"/>
      <c r="G169" s="8"/>
      <c r="H169" s="8"/>
      <c r="I169" s="8"/>
      <c r="J169" s="8"/>
      <c r="K169" s="8"/>
      <c r="L169" s="8"/>
      <c r="M169" s="8"/>
      <c r="N169" s="8"/>
      <c r="O169" s="8"/>
      <c r="P169" s="8"/>
      <c r="Q169" s="8"/>
      <c r="R169" s="8"/>
      <c r="S169" s="367"/>
      <c r="T169" s="367"/>
      <c r="U169" s="367"/>
      <c r="V169" s="367"/>
      <c r="W169" s="8"/>
      <c r="X169" s="8"/>
      <c r="Y169" s="8"/>
      <c r="Z169" s="8"/>
      <c r="AA169" s="8"/>
      <c r="AB169" s="8"/>
    </row>
    <row r="170">
      <c r="A170" s="8"/>
      <c r="B170" s="8"/>
      <c r="C170" s="8"/>
      <c r="D170" s="8"/>
      <c r="E170" s="8"/>
      <c r="F170" s="366"/>
      <c r="G170" s="8"/>
      <c r="H170" s="8"/>
      <c r="I170" s="8"/>
      <c r="J170" s="8"/>
      <c r="K170" s="8"/>
      <c r="L170" s="8"/>
      <c r="M170" s="8"/>
      <c r="N170" s="8"/>
      <c r="O170" s="8"/>
      <c r="P170" s="8"/>
      <c r="Q170" s="8"/>
      <c r="R170" s="8"/>
      <c r="S170" s="367"/>
      <c r="T170" s="367"/>
      <c r="U170" s="367"/>
      <c r="V170" s="367"/>
      <c r="W170" s="8"/>
      <c r="X170" s="8"/>
      <c r="Y170" s="8"/>
      <c r="Z170" s="8"/>
      <c r="AA170" s="8"/>
      <c r="AB170" s="8"/>
    </row>
    <row r="171">
      <c r="A171" s="8"/>
      <c r="B171" s="8"/>
      <c r="C171" s="8"/>
      <c r="D171" s="8"/>
      <c r="E171" s="8"/>
      <c r="F171" s="366"/>
      <c r="G171" s="8"/>
      <c r="H171" s="8"/>
      <c r="I171" s="8"/>
      <c r="J171" s="8"/>
      <c r="K171" s="8"/>
      <c r="L171" s="8"/>
      <c r="M171" s="8"/>
      <c r="N171" s="8"/>
      <c r="O171" s="8"/>
      <c r="P171" s="8"/>
      <c r="Q171" s="8"/>
      <c r="R171" s="8"/>
      <c r="S171" s="367"/>
      <c r="T171" s="367"/>
      <c r="U171" s="367"/>
      <c r="V171" s="367"/>
      <c r="W171" s="8"/>
      <c r="X171" s="8"/>
      <c r="Y171" s="8"/>
      <c r="Z171" s="8"/>
      <c r="AA171" s="8"/>
      <c r="AB171" s="8"/>
    </row>
    <row r="172">
      <c r="A172" s="8"/>
      <c r="B172" s="8"/>
      <c r="C172" s="8"/>
      <c r="D172" s="8"/>
      <c r="E172" s="8"/>
      <c r="F172" s="366"/>
      <c r="G172" s="8"/>
      <c r="H172" s="8"/>
      <c r="I172" s="8"/>
      <c r="J172" s="8"/>
      <c r="K172" s="8"/>
      <c r="L172" s="8"/>
      <c r="M172" s="8"/>
      <c r="N172" s="8"/>
      <c r="O172" s="8"/>
      <c r="P172" s="8"/>
      <c r="Q172" s="8"/>
      <c r="R172" s="8"/>
      <c r="S172" s="367"/>
      <c r="T172" s="367"/>
      <c r="U172" s="367"/>
      <c r="V172" s="367"/>
      <c r="W172" s="8"/>
      <c r="X172" s="8"/>
      <c r="Y172" s="8"/>
      <c r="Z172" s="8"/>
      <c r="AA172" s="8"/>
      <c r="AB172" s="8"/>
    </row>
    <row r="173">
      <c r="A173" s="8"/>
      <c r="B173" s="8"/>
      <c r="C173" s="8"/>
      <c r="D173" s="8"/>
      <c r="E173" s="8"/>
      <c r="F173" s="366"/>
      <c r="G173" s="8"/>
      <c r="H173" s="8"/>
      <c r="I173" s="8"/>
      <c r="J173" s="8"/>
      <c r="K173" s="8"/>
      <c r="L173" s="8"/>
      <c r="M173" s="8"/>
      <c r="N173" s="8"/>
      <c r="O173" s="8"/>
      <c r="P173" s="8"/>
      <c r="Q173" s="8"/>
      <c r="R173" s="8"/>
      <c r="S173" s="367"/>
      <c r="T173" s="367"/>
      <c r="U173" s="367"/>
      <c r="V173" s="367"/>
      <c r="W173" s="8"/>
      <c r="X173" s="8"/>
      <c r="Y173" s="8"/>
      <c r="Z173" s="8"/>
      <c r="AA173" s="8"/>
      <c r="AB173" s="8"/>
    </row>
    <row r="174">
      <c r="A174" s="8"/>
      <c r="B174" s="8"/>
      <c r="C174" s="8"/>
      <c r="D174" s="8"/>
      <c r="E174" s="8"/>
      <c r="F174" s="366"/>
      <c r="G174" s="8"/>
      <c r="H174" s="8"/>
      <c r="I174" s="8"/>
      <c r="J174" s="8"/>
      <c r="K174" s="8"/>
      <c r="L174" s="8"/>
      <c r="M174" s="8"/>
      <c r="N174" s="8"/>
      <c r="O174" s="8"/>
      <c r="P174" s="8"/>
      <c r="Q174" s="8"/>
      <c r="R174" s="8"/>
      <c r="S174" s="367"/>
      <c r="T174" s="367"/>
      <c r="U174" s="367"/>
      <c r="V174" s="367"/>
      <c r="W174" s="8"/>
      <c r="X174" s="8"/>
      <c r="Y174" s="8"/>
      <c r="Z174" s="8"/>
      <c r="AA174" s="8"/>
      <c r="AB174" s="8"/>
    </row>
    <row r="175">
      <c r="A175" s="8"/>
      <c r="B175" s="8"/>
      <c r="C175" s="8"/>
      <c r="D175" s="8"/>
      <c r="E175" s="8"/>
      <c r="F175" s="366"/>
      <c r="G175" s="8"/>
      <c r="H175" s="8"/>
      <c r="I175" s="8"/>
      <c r="J175" s="8"/>
      <c r="K175" s="8"/>
      <c r="L175" s="8"/>
      <c r="M175" s="8"/>
      <c r="N175" s="8"/>
      <c r="O175" s="8"/>
      <c r="P175" s="8"/>
      <c r="Q175" s="8"/>
      <c r="R175" s="8"/>
      <c r="S175" s="367"/>
      <c r="T175" s="367"/>
      <c r="U175" s="367"/>
      <c r="V175" s="367"/>
      <c r="W175" s="8"/>
      <c r="X175" s="8"/>
      <c r="Y175" s="8"/>
      <c r="Z175" s="8"/>
      <c r="AA175" s="8"/>
      <c r="AB175" s="8"/>
    </row>
    <row r="176">
      <c r="A176" s="8"/>
      <c r="B176" s="8"/>
      <c r="C176" s="8"/>
      <c r="D176" s="8"/>
      <c r="E176" s="8"/>
      <c r="F176" s="366"/>
      <c r="G176" s="8"/>
      <c r="H176" s="8"/>
      <c r="I176" s="8"/>
      <c r="J176" s="8"/>
      <c r="K176" s="8"/>
      <c r="L176" s="8"/>
      <c r="M176" s="8"/>
      <c r="N176" s="8"/>
      <c r="O176" s="8"/>
      <c r="P176" s="8"/>
      <c r="Q176" s="8"/>
      <c r="R176" s="8"/>
      <c r="S176" s="367"/>
      <c r="T176" s="367"/>
      <c r="U176" s="367"/>
      <c r="V176" s="367"/>
      <c r="W176" s="8"/>
      <c r="X176" s="8"/>
      <c r="Y176" s="8"/>
      <c r="Z176" s="8"/>
      <c r="AA176" s="8"/>
      <c r="AB176" s="8"/>
    </row>
    <row r="177">
      <c r="A177" s="8"/>
      <c r="B177" s="8"/>
      <c r="C177" s="8"/>
      <c r="D177" s="8"/>
      <c r="E177" s="8"/>
      <c r="F177" s="366"/>
      <c r="G177" s="8"/>
      <c r="H177" s="8"/>
      <c r="I177" s="8"/>
      <c r="J177" s="8"/>
      <c r="K177" s="8"/>
      <c r="L177" s="8"/>
      <c r="M177" s="8"/>
      <c r="N177" s="8"/>
      <c r="O177" s="8"/>
      <c r="P177" s="8"/>
      <c r="Q177" s="8"/>
      <c r="R177" s="8"/>
      <c r="S177" s="367"/>
      <c r="T177" s="367"/>
      <c r="U177" s="367"/>
      <c r="V177" s="367"/>
      <c r="W177" s="8"/>
      <c r="X177" s="8"/>
      <c r="Y177" s="8"/>
      <c r="Z177" s="8"/>
      <c r="AA177" s="8"/>
      <c r="AB177" s="8"/>
    </row>
    <row r="178">
      <c r="A178" s="8"/>
      <c r="B178" s="8"/>
      <c r="C178" s="8"/>
      <c r="D178" s="8"/>
      <c r="E178" s="8"/>
      <c r="F178" s="366"/>
      <c r="G178" s="8"/>
      <c r="H178" s="8"/>
      <c r="I178" s="8"/>
      <c r="J178" s="8"/>
      <c r="K178" s="8"/>
      <c r="L178" s="8"/>
      <c r="M178" s="8"/>
      <c r="N178" s="8"/>
      <c r="O178" s="8"/>
      <c r="P178" s="8"/>
      <c r="Q178" s="8"/>
      <c r="R178" s="8"/>
      <c r="S178" s="367"/>
      <c r="T178" s="367"/>
      <c r="U178" s="367"/>
      <c r="V178" s="367"/>
      <c r="W178" s="8"/>
      <c r="X178" s="8"/>
      <c r="Y178" s="8"/>
      <c r="Z178" s="8"/>
      <c r="AA178" s="8"/>
      <c r="AB178" s="8"/>
    </row>
    <row r="179">
      <c r="A179" s="8"/>
      <c r="B179" s="8"/>
      <c r="C179" s="8"/>
      <c r="D179" s="8"/>
      <c r="E179" s="8"/>
      <c r="F179" s="366"/>
      <c r="G179" s="8"/>
      <c r="H179" s="8"/>
      <c r="I179" s="8"/>
      <c r="J179" s="8"/>
      <c r="K179" s="8"/>
      <c r="L179" s="8"/>
      <c r="M179" s="8"/>
      <c r="N179" s="8"/>
      <c r="O179" s="8"/>
      <c r="P179" s="8"/>
      <c r="Q179" s="8"/>
      <c r="R179" s="8"/>
      <c r="S179" s="367"/>
      <c r="T179" s="367"/>
      <c r="U179" s="367"/>
      <c r="V179" s="367"/>
      <c r="W179" s="8"/>
      <c r="X179" s="8"/>
      <c r="Y179" s="8"/>
      <c r="Z179" s="8"/>
      <c r="AA179" s="8"/>
      <c r="AB179" s="8"/>
    </row>
    <row r="180">
      <c r="A180" s="8"/>
      <c r="B180" s="8"/>
      <c r="C180" s="8"/>
      <c r="D180" s="8"/>
      <c r="E180" s="8"/>
      <c r="F180" s="366"/>
      <c r="G180" s="8"/>
      <c r="H180" s="8"/>
      <c r="I180" s="8"/>
      <c r="J180" s="8"/>
      <c r="K180" s="8"/>
      <c r="L180" s="8"/>
      <c r="M180" s="8"/>
      <c r="N180" s="8"/>
      <c r="O180" s="8"/>
      <c r="P180" s="8"/>
      <c r="Q180" s="8"/>
      <c r="R180" s="8"/>
      <c r="S180" s="367"/>
      <c r="T180" s="367"/>
      <c r="U180" s="367"/>
      <c r="V180" s="367"/>
      <c r="W180" s="8"/>
      <c r="X180" s="8"/>
      <c r="Y180" s="8"/>
      <c r="Z180" s="8"/>
      <c r="AA180" s="8"/>
      <c r="AB180" s="8"/>
    </row>
    <row r="181">
      <c r="A181" s="8"/>
      <c r="B181" s="8"/>
      <c r="C181" s="8"/>
      <c r="D181" s="8"/>
      <c r="E181" s="8"/>
      <c r="F181" s="366"/>
      <c r="G181" s="8"/>
      <c r="H181" s="8"/>
      <c r="I181" s="8"/>
      <c r="J181" s="8"/>
      <c r="K181" s="8"/>
      <c r="L181" s="8"/>
      <c r="M181" s="8"/>
      <c r="N181" s="8"/>
      <c r="O181" s="8"/>
      <c r="P181" s="8"/>
      <c r="Q181" s="8"/>
      <c r="R181" s="8"/>
      <c r="S181" s="367"/>
      <c r="T181" s="367"/>
      <c r="U181" s="367"/>
      <c r="V181" s="367"/>
      <c r="W181" s="8"/>
      <c r="X181" s="8"/>
      <c r="Y181" s="8"/>
      <c r="Z181" s="8"/>
      <c r="AA181" s="8"/>
      <c r="AB181" s="8"/>
    </row>
    <row r="182">
      <c r="A182" s="8"/>
      <c r="B182" s="8"/>
      <c r="C182" s="8"/>
      <c r="D182" s="8"/>
      <c r="E182" s="8"/>
      <c r="F182" s="366"/>
      <c r="G182" s="8"/>
      <c r="H182" s="8"/>
      <c r="I182" s="8"/>
      <c r="J182" s="8"/>
      <c r="K182" s="8"/>
      <c r="L182" s="8"/>
      <c r="M182" s="8"/>
      <c r="N182" s="8"/>
      <c r="O182" s="8"/>
      <c r="P182" s="8"/>
      <c r="Q182" s="8"/>
      <c r="R182" s="8"/>
      <c r="S182" s="367"/>
      <c r="T182" s="367"/>
      <c r="U182" s="367"/>
      <c r="V182" s="367"/>
      <c r="W182" s="8"/>
      <c r="X182" s="8"/>
      <c r="Y182" s="8"/>
      <c r="Z182" s="8"/>
      <c r="AA182" s="8"/>
      <c r="AB182" s="8"/>
    </row>
    <row r="183">
      <c r="A183" s="8"/>
      <c r="B183" s="8"/>
      <c r="C183" s="8"/>
      <c r="D183" s="8"/>
      <c r="E183" s="8"/>
      <c r="F183" s="366"/>
      <c r="G183" s="8"/>
      <c r="H183" s="8"/>
      <c r="I183" s="8"/>
      <c r="J183" s="8"/>
      <c r="K183" s="8"/>
      <c r="L183" s="8"/>
      <c r="M183" s="8"/>
      <c r="N183" s="8"/>
      <c r="O183" s="8"/>
      <c r="P183" s="8"/>
      <c r="Q183" s="8"/>
      <c r="R183" s="8"/>
      <c r="S183" s="367"/>
      <c r="T183" s="367"/>
      <c r="U183" s="367"/>
      <c r="V183" s="367"/>
      <c r="W183" s="8"/>
      <c r="X183" s="8"/>
      <c r="Y183" s="8"/>
      <c r="Z183" s="8"/>
      <c r="AA183" s="8"/>
      <c r="AB183" s="8"/>
    </row>
    <row r="184">
      <c r="A184" s="8"/>
      <c r="B184" s="8"/>
      <c r="C184" s="8"/>
      <c r="D184" s="8"/>
      <c r="E184" s="8"/>
      <c r="F184" s="366"/>
      <c r="G184" s="8"/>
      <c r="H184" s="8"/>
      <c r="I184" s="8"/>
      <c r="J184" s="8"/>
      <c r="K184" s="8"/>
      <c r="L184" s="8"/>
      <c r="M184" s="8"/>
      <c r="N184" s="8"/>
      <c r="O184" s="8"/>
      <c r="P184" s="8"/>
      <c r="Q184" s="8"/>
      <c r="R184" s="8"/>
      <c r="S184" s="367"/>
      <c r="T184" s="367"/>
      <c r="U184" s="367"/>
      <c r="V184" s="367"/>
      <c r="W184" s="8"/>
      <c r="X184" s="8"/>
      <c r="Y184" s="8"/>
      <c r="Z184" s="8"/>
      <c r="AA184" s="8"/>
      <c r="AB184" s="8"/>
    </row>
    <row r="185">
      <c r="A185" s="8"/>
      <c r="B185" s="8"/>
      <c r="C185" s="8"/>
      <c r="D185" s="8"/>
      <c r="E185" s="8"/>
      <c r="F185" s="366"/>
      <c r="G185" s="8"/>
      <c r="H185" s="8"/>
      <c r="I185" s="8"/>
      <c r="J185" s="8"/>
      <c r="K185" s="8"/>
      <c r="L185" s="8"/>
      <c r="M185" s="8"/>
      <c r="N185" s="8"/>
      <c r="O185" s="8"/>
      <c r="P185" s="8"/>
      <c r="Q185" s="8"/>
      <c r="R185" s="8"/>
      <c r="S185" s="367"/>
      <c r="T185" s="367"/>
      <c r="U185" s="367"/>
      <c r="V185" s="367"/>
      <c r="W185" s="8"/>
      <c r="X185" s="8"/>
      <c r="Y185" s="8"/>
      <c r="Z185" s="8"/>
      <c r="AA185" s="8"/>
      <c r="AB185" s="8"/>
    </row>
    <row r="186">
      <c r="A186" s="8"/>
      <c r="B186" s="8"/>
      <c r="C186" s="8"/>
      <c r="D186" s="8"/>
      <c r="E186" s="8"/>
      <c r="F186" s="366"/>
      <c r="G186" s="8"/>
      <c r="H186" s="8"/>
      <c r="I186" s="8"/>
      <c r="J186" s="8"/>
      <c r="K186" s="8"/>
      <c r="L186" s="8"/>
      <c r="M186" s="8"/>
      <c r="N186" s="8"/>
      <c r="O186" s="8"/>
      <c r="P186" s="8"/>
      <c r="Q186" s="8"/>
      <c r="R186" s="8"/>
      <c r="S186" s="367"/>
      <c r="T186" s="367"/>
      <c r="U186" s="367"/>
      <c r="V186" s="367"/>
      <c r="W186" s="8"/>
      <c r="X186" s="8"/>
      <c r="Y186" s="8"/>
      <c r="Z186" s="8"/>
      <c r="AA186" s="8"/>
      <c r="AB186" s="8"/>
    </row>
    <row r="187">
      <c r="A187" s="8"/>
      <c r="B187" s="8"/>
      <c r="C187" s="8"/>
      <c r="D187" s="8"/>
      <c r="E187" s="8"/>
      <c r="F187" s="366"/>
      <c r="G187" s="8"/>
      <c r="H187" s="8"/>
      <c r="I187" s="8"/>
      <c r="J187" s="8"/>
      <c r="K187" s="8"/>
      <c r="L187" s="8"/>
      <c r="M187" s="8"/>
      <c r="N187" s="8"/>
      <c r="O187" s="8"/>
      <c r="P187" s="8"/>
      <c r="Q187" s="8"/>
      <c r="R187" s="8"/>
      <c r="S187" s="367"/>
      <c r="T187" s="367"/>
      <c r="U187" s="367"/>
      <c r="V187" s="367"/>
      <c r="W187" s="8"/>
      <c r="X187" s="8"/>
      <c r="Y187" s="8"/>
      <c r="Z187" s="8"/>
      <c r="AA187" s="8"/>
      <c r="AB187" s="8"/>
    </row>
    <row r="188">
      <c r="A188" s="8"/>
      <c r="B188" s="8"/>
      <c r="C188" s="8"/>
      <c r="D188" s="8"/>
      <c r="E188" s="8"/>
      <c r="F188" s="366"/>
      <c r="G188" s="8"/>
      <c r="H188" s="8"/>
      <c r="I188" s="8"/>
      <c r="J188" s="8"/>
      <c r="K188" s="8"/>
      <c r="L188" s="8"/>
      <c r="M188" s="8"/>
      <c r="N188" s="8"/>
      <c r="O188" s="8"/>
      <c r="P188" s="8"/>
      <c r="Q188" s="8"/>
      <c r="R188" s="8"/>
      <c r="S188" s="367"/>
      <c r="T188" s="367"/>
      <c r="U188" s="367"/>
      <c r="V188" s="367"/>
      <c r="W188" s="8"/>
      <c r="X188" s="8"/>
      <c r="Y188" s="8"/>
      <c r="Z188" s="8"/>
      <c r="AA188" s="8"/>
      <c r="AB188" s="8"/>
    </row>
    <row r="189">
      <c r="A189" s="8"/>
      <c r="B189" s="8"/>
      <c r="C189" s="8"/>
      <c r="D189" s="8"/>
      <c r="E189" s="8"/>
      <c r="F189" s="366"/>
      <c r="G189" s="8"/>
      <c r="H189" s="8"/>
      <c r="I189" s="8"/>
      <c r="J189" s="8"/>
      <c r="K189" s="8"/>
      <c r="L189" s="8"/>
      <c r="M189" s="8"/>
      <c r="N189" s="8"/>
      <c r="O189" s="8"/>
      <c r="P189" s="8"/>
      <c r="Q189" s="8"/>
      <c r="R189" s="8"/>
      <c r="S189" s="367"/>
      <c r="T189" s="367"/>
      <c r="U189" s="367"/>
      <c r="V189" s="367"/>
      <c r="W189" s="8"/>
      <c r="X189" s="8"/>
      <c r="Y189" s="8"/>
      <c r="Z189" s="8"/>
      <c r="AA189" s="8"/>
      <c r="AB189" s="8"/>
    </row>
    <row r="190">
      <c r="A190" s="8"/>
      <c r="B190" s="8"/>
      <c r="C190" s="8"/>
      <c r="D190" s="8"/>
      <c r="E190" s="8"/>
      <c r="F190" s="366"/>
      <c r="G190" s="8"/>
      <c r="H190" s="8"/>
      <c r="I190" s="8"/>
      <c r="J190" s="8"/>
      <c r="K190" s="8"/>
      <c r="L190" s="8"/>
      <c r="M190" s="8"/>
      <c r="N190" s="8"/>
      <c r="O190" s="8"/>
      <c r="P190" s="8"/>
      <c r="Q190" s="8"/>
      <c r="R190" s="8"/>
      <c r="S190" s="367"/>
      <c r="T190" s="367"/>
      <c r="U190" s="367"/>
      <c r="V190" s="367"/>
      <c r="W190" s="8"/>
      <c r="X190" s="8"/>
      <c r="Y190" s="8"/>
      <c r="Z190" s="8"/>
      <c r="AA190" s="8"/>
      <c r="AB190" s="8"/>
    </row>
    <row r="191">
      <c r="A191" s="8"/>
      <c r="B191" s="8"/>
      <c r="C191" s="8"/>
      <c r="D191" s="8"/>
      <c r="E191" s="8"/>
      <c r="F191" s="366"/>
      <c r="G191" s="8"/>
      <c r="H191" s="8"/>
      <c r="I191" s="8"/>
      <c r="J191" s="8"/>
      <c r="K191" s="8"/>
      <c r="L191" s="8"/>
      <c r="M191" s="8"/>
      <c r="N191" s="8"/>
      <c r="O191" s="8"/>
      <c r="P191" s="8"/>
      <c r="Q191" s="8"/>
      <c r="R191" s="8"/>
      <c r="S191" s="367"/>
      <c r="T191" s="367"/>
      <c r="U191" s="367"/>
      <c r="V191" s="367"/>
      <c r="W191" s="8"/>
      <c r="X191" s="8"/>
      <c r="Y191" s="8"/>
      <c r="Z191" s="8"/>
      <c r="AA191" s="8"/>
      <c r="AB191" s="8"/>
    </row>
    <row r="192">
      <c r="A192" s="8"/>
      <c r="B192" s="8"/>
      <c r="C192" s="8"/>
      <c r="D192" s="8"/>
      <c r="E192" s="8"/>
      <c r="F192" s="366"/>
      <c r="G192" s="8"/>
      <c r="H192" s="8"/>
      <c r="I192" s="8"/>
      <c r="J192" s="8"/>
      <c r="K192" s="8"/>
      <c r="L192" s="8"/>
      <c r="M192" s="8"/>
      <c r="N192" s="8"/>
      <c r="O192" s="8"/>
      <c r="P192" s="8"/>
      <c r="Q192" s="8"/>
      <c r="R192" s="8"/>
      <c r="S192" s="367"/>
      <c r="T192" s="367"/>
      <c r="U192" s="367"/>
      <c r="V192" s="367"/>
      <c r="W192" s="8"/>
      <c r="X192" s="8"/>
      <c r="Y192" s="8"/>
      <c r="Z192" s="8"/>
      <c r="AA192" s="8"/>
      <c r="AB192" s="8"/>
    </row>
    <row r="193">
      <c r="A193" s="8"/>
      <c r="B193" s="8"/>
      <c r="C193" s="8"/>
      <c r="D193" s="8"/>
      <c r="E193" s="8"/>
      <c r="F193" s="366"/>
      <c r="G193" s="8"/>
      <c r="H193" s="8"/>
      <c r="I193" s="8"/>
      <c r="J193" s="8"/>
      <c r="K193" s="8"/>
      <c r="L193" s="8"/>
      <c r="M193" s="8"/>
      <c r="N193" s="8"/>
      <c r="O193" s="8"/>
      <c r="P193" s="8"/>
      <c r="Q193" s="8"/>
      <c r="R193" s="8"/>
      <c r="S193" s="367"/>
      <c r="T193" s="367"/>
      <c r="U193" s="367"/>
      <c r="V193" s="367"/>
      <c r="W193" s="8"/>
      <c r="X193" s="8"/>
      <c r="Y193" s="8"/>
      <c r="Z193" s="8"/>
      <c r="AA193" s="8"/>
      <c r="AB193" s="8"/>
    </row>
    <row r="194">
      <c r="A194" s="8"/>
      <c r="B194" s="8"/>
      <c r="C194" s="8"/>
      <c r="D194" s="8"/>
      <c r="E194" s="8"/>
      <c r="F194" s="366"/>
      <c r="G194" s="8"/>
      <c r="H194" s="8"/>
      <c r="I194" s="8"/>
      <c r="J194" s="8"/>
      <c r="K194" s="8"/>
      <c r="L194" s="8"/>
      <c r="M194" s="8"/>
      <c r="N194" s="8"/>
      <c r="O194" s="8"/>
      <c r="P194" s="8"/>
      <c r="Q194" s="8"/>
      <c r="R194" s="8"/>
      <c r="S194" s="367"/>
      <c r="T194" s="367"/>
      <c r="U194" s="367"/>
      <c r="V194" s="367"/>
      <c r="W194" s="8"/>
      <c r="X194" s="8"/>
      <c r="Y194" s="8"/>
      <c r="Z194" s="8"/>
      <c r="AA194" s="8"/>
      <c r="AB194" s="8"/>
    </row>
    <row r="195">
      <c r="A195" s="8"/>
      <c r="B195" s="8"/>
      <c r="C195" s="8"/>
      <c r="D195" s="8"/>
      <c r="E195" s="8"/>
      <c r="F195" s="366"/>
      <c r="G195" s="8"/>
      <c r="H195" s="8"/>
      <c r="I195" s="8"/>
      <c r="J195" s="8"/>
      <c r="K195" s="8"/>
      <c r="L195" s="8"/>
      <c r="M195" s="8"/>
      <c r="N195" s="8"/>
      <c r="O195" s="8"/>
      <c r="P195" s="8"/>
      <c r="Q195" s="8"/>
      <c r="R195" s="8"/>
      <c r="S195" s="367"/>
      <c r="T195" s="367"/>
      <c r="U195" s="367"/>
      <c r="V195" s="367"/>
      <c r="W195" s="8"/>
      <c r="X195" s="8"/>
      <c r="Y195" s="8"/>
      <c r="Z195" s="8"/>
      <c r="AA195" s="8"/>
      <c r="AB195" s="8"/>
    </row>
    <row r="196">
      <c r="A196" s="8"/>
      <c r="B196" s="8"/>
      <c r="C196" s="8"/>
      <c r="D196" s="8"/>
      <c r="E196" s="8"/>
      <c r="F196" s="366"/>
      <c r="G196" s="8"/>
      <c r="H196" s="8"/>
      <c r="I196" s="8"/>
      <c r="J196" s="8"/>
      <c r="K196" s="8"/>
      <c r="L196" s="8"/>
      <c r="M196" s="8"/>
      <c r="N196" s="8"/>
      <c r="O196" s="8"/>
      <c r="P196" s="8"/>
      <c r="Q196" s="8"/>
      <c r="R196" s="8"/>
      <c r="S196" s="367"/>
      <c r="T196" s="367"/>
      <c r="U196" s="367"/>
      <c r="V196" s="367"/>
      <c r="W196" s="8"/>
      <c r="X196" s="8"/>
      <c r="Y196" s="8"/>
      <c r="Z196" s="8"/>
      <c r="AA196" s="8"/>
      <c r="AB196" s="8"/>
    </row>
    <row r="197">
      <c r="A197" s="8"/>
      <c r="B197" s="8"/>
      <c r="C197" s="8"/>
      <c r="D197" s="8"/>
      <c r="E197" s="8"/>
      <c r="F197" s="366"/>
      <c r="G197" s="8"/>
      <c r="H197" s="8"/>
      <c r="I197" s="8"/>
      <c r="J197" s="8"/>
      <c r="K197" s="8"/>
      <c r="L197" s="8"/>
      <c r="M197" s="8"/>
      <c r="N197" s="8"/>
      <c r="O197" s="8"/>
      <c r="P197" s="8"/>
      <c r="Q197" s="8"/>
      <c r="R197" s="8"/>
      <c r="S197" s="367"/>
      <c r="T197" s="367"/>
      <c r="U197" s="367"/>
      <c r="V197" s="367"/>
      <c r="W197" s="8"/>
      <c r="X197" s="8"/>
      <c r="Y197" s="8"/>
      <c r="Z197" s="8"/>
      <c r="AA197" s="8"/>
      <c r="AB197" s="8"/>
    </row>
    <row r="198">
      <c r="A198" s="8"/>
      <c r="B198" s="8"/>
      <c r="C198" s="8"/>
      <c r="D198" s="8"/>
      <c r="E198" s="8"/>
      <c r="F198" s="366"/>
      <c r="G198" s="8"/>
      <c r="H198" s="8"/>
      <c r="I198" s="8"/>
      <c r="J198" s="8"/>
      <c r="K198" s="8"/>
      <c r="L198" s="8"/>
      <c r="M198" s="8"/>
      <c r="N198" s="8"/>
      <c r="O198" s="8"/>
      <c r="P198" s="8"/>
      <c r="Q198" s="8"/>
      <c r="R198" s="8"/>
      <c r="S198" s="367"/>
      <c r="T198" s="367"/>
      <c r="U198" s="367"/>
      <c r="V198" s="367"/>
      <c r="W198" s="8"/>
      <c r="X198" s="8"/>
      <c r="Y198" s="8"/>
      <c r="Z198" s="8"/>
      <c r="AA198" s="8"/>
      <c r="AB198" s="8"/>
    </row>
    <row r="199">
      <c r="A199" s="8"/>
      <c r="B199" s="8"/>
      <c r="C199" s="8"/>
      <c r="D199" s="8"/>
      <c r="E199" s="8"/>
      <c r="F199" s="366"/>
      <c r="G199" s="8"/>
      <c r="H199" s="8"/>
      <c r="I199" s="8"/>
      <c r="J199" s="8"/>
      <c r="K199" s="8"/>
      <c r="L199" s="8"/>
      <c r="M199" s="8"/>
      <c r="N199" s="8"/>
      <c r="O199" s="8"/>
      <c r="P199" s="8"/>
      <c r="Q199" s="8"/>
      <c r="R199" s="8"/>
      <c r="S199" s="367"/>
      <c r="T199" s="367"/>
      <c r="U199" s="367"/>
      <c r="V199" s="367"/>
      <c r="W199" s="8"/>
      <c r="X199" s="8"/>
      <c r="Y199" s="8"/>
      <c r="Z199" s="8"/>
      <c r="AA199" s="8"/>
      <c r="AB199" s="8"/>
    </row>
    <row r="200">
      <c r="A200" s="8"/>
      <c r="B200" s="8"/>
      <c r="C200" s="8"/>
      <c r="D200" s="8"/>
      <c r="E200" s="8"/>
      <c r="F200" s="366"/>
      <c r="G200" s="8"/>
      <c r="H200" s="8"/>
      <c r="I200" s="8"/>
      <c r="J200" s="8"/>
      <c r="K200" s="8"/>
      <c r="L200" s="8"/>
      <c r="M200" s="8"/>
      <c r="N200" s="8"/>
      <c r="O200" s="8"/>
      <c r="P200" s="8"/>
      <c r="Q200" s="8"/>
      <c r="R200" s="8"/>
      <c r="S200" s="367"/>
      <c r="T200" s="367"/>
      <c r="U200" s="367"/>
      <c r="V200" s="367"/>
      <c r="W200" s="8"/>
      <c r="X200" s="8"/>
      <c r="Y200" s="8"/>
      <c r="Z200" s="8"/>
      <c r="AA200" s="8"/>
      <c r="AB200" s="8"/>
    </row>
    <row r="201">
      <c r="A201" s="8"/>
      <c r="B201" s="8"/>
      <c r="C201" s="8"/>
      <c r="D201" s="8"/>
      <c r="E201" s="8"/>
      <c r="F201" s="366"/>
      <c r="G201" s="8"/>
      <c r="H201" s="8"/>
      <c r="I201" s="8"/>
      <c r="J201" s="8"/>
      <c r="K201" s="8"/>
      <c r="L201" s="8"/>
      <c r="M201" s="8"/>
      <c r="N201" s="8"/>
      <c r="O201" s="8"/>
      <c r="P201" s="8"/>
      <c r="Q201" s="8"/>
      <c r="R201" s="8"/>
      <c r="S201" s="367"/>
      <c r="T201" s="367"/>
      <c r="U201" s="367"/>
      <c r="V201" s="367"/>
      <c r="W201" s="8"/>
      <c r="X201" s="8"/>
      <c r="Y201" s="8"/>
      <c r="Z201" s="8"/>
      <c r="AA201" s="8"/>
      <c r="AB201" s="8"/>
    </row>
    <row r="202">
      <c r="A202" s="8"/>
      <c r="B202" s="8"/>
      <c r="C202" s="8"/>
      <c r="D202" s="8"/>
      <c r="E202" s="8"/>
      <c r="F202" s="366"/>
      <c r="G202" s="8"/>
      <c r="H202" s="8"/>
      <c r="I202" s="8"/>
      <c r="J202" s="8"/>
      <c r="K202" s="8"/>
      <c r="L202" s="8"/>
      <c r="M202" s="8"/>
      <c r="N202" s="8"/>
      <c r="O202" s="8"/>
      <c r="P202" s="8"/>
      <c r="Q202" s="8"/>
      <c r="R202" s="8"/>
      <c r="S202" s="367"/>
      <c r="T202" s="367"/>
      <c r="U202" s="367"/>
      <c r="V202" s="367"/>
      <c r="W202" s="8"/>
      <c r="X202" s="8"/>
      <c r="Y202" s="8"/>
      <c r="Z202" s="8"/>
      <c r="AA202" s="8"/>
      <c r="AB202" s="8"/>
    </row>
    <row r="203">
      <c r="A203" s="8"/>
      <c r="B203" s="8"/>
      <c r="C203" s="8"/>
      <c r="D203" s="8"/>
      <c r="E203" s="8"/>
      <c r="F203" s="366"/>
      <c r="G203" s="8"/>
      <c r="H203" s="8"/>
      <c r="I203" s="8"/>
      <c r="J203" s="8"/>
      <c r="K203" s="8"/>
      <c r="L203" s="8"/>
      <c r="M203" s="8"/>
      <c r="N203" s="8"/>
      <c r="O203" s="8"/>
      <c r="P203" s="8"/>
      <c r="Q203" s="8"/>
      <c r="R203" s="8"/>
      <c r="S203" s="367"/>
      <c r="T203" s="367"/>
      <c r="U203" s="367"/>
      <c r="V203" s="367"/>
      <c r="W203" s="8"/>
      <c r="X203" s="8"/>
      <c r="Y203" s="8"/>
      <c r="Z203" s="8"/>
      <c r="AA203" s="8"/>
      <c r="AB203" s="8"/>
    </row>
    <row r="204">
      <c r="A204" s="8"/>
      <c r="B204" s="8"/>
      <c r="C204" s="8"/>
      <c r="D204" s="8"/>
      <c r="E204" s="8"/>
      <c r="F204" s="366"/>
      <c r="G204" s="8"/>
      <c r="H204" s="8"/>
      <c r="I204" s="8"/>
      <c r="J204" s="8"/>
      <c r="K204" s="8"/>
      <c r="L204" s="8"/>
      <c r="M204" s="8"/>
      <c r="N204" s="8"/>
      <c r="O204" s="8"/>
      <c r="P204" s="8"/>
      <c r="Q204" s="8"/>
      <c r="R204" s="8"/>
      <c r="S204" s="367"/>
      <c r="T204" s="367"/>
      <c r="U204" s="367"/>
      <c r="V204" s="367"/>
      <c r="W204" s="8"/>
      <c r="X204" s="8"/>
      <c r="Y204" s="8"/>
      <c r="Z204" s="8"/>
      <c r="AA204" s="8"/>
      <c r="AB204" s="8"/>
    </row>
    <row r="205">
      <c r="A205" s="8"/>
      <c r="B205" s="8"/>
      <c r="C205" s="8"/>
      <c r="D205" s="8"/>
      <c r="E205" s="8"/>
      <c r="F205" s="366"/>
      <c r="G205" s="8"/>
      <c r="H205" s="8"/>
      <c r="I205" s="8"/>
      <c r="J205" s="8"/>
      <c r="K205" s="8"/>
      <c r="L205" s="8"/>
      <c r="M205" s="8"/>
      <c r="N205" s="8"/>
      <c r="O205" s="8"/>
      <c r="P205" s="8"/>
      <c r="Q205" s="8"/>
      <c r="R205" s="8"/>
      <c r="S205" s="367"/>
      <c r="T205" s="367"/>
      <c r="U205" s="367"/>
      <c r="V205" s="367"/>
      <c r="W205" s="8"/>
      <c r="X205" s="8"/>
      <c r="Y205" s="8"/>
      <c r="Z205" s="8"/>
      <c r="AA205" s="8"/>
      <c r="AB205" s="8"/>
    </row>
    <row r="206">
      <c r="A206" s="8"/>
      <c r="B206" s="8"/>
      <c r="C206" s="8"/>
      <c r="D206" s="8"/>
      <c r="E206" s="8"/>
      <c r="F206" s="366"/>
      <c r="G206" s="8"/>
      <c r="H206" s="8"/>
      <c r="I206" s="8"/>
      <c r="J206" s="8"/>
      <c r="K206" s="8"/>
      <c r="L206" s="8"/>
      <c r="M206" s="8"/>
      <c r="N206" s="8"/>
      <c r="O206" s="8"/>
      <c r="P206" s="8"/>
      <c r="Q206" s="8"/>
      <c r="R206" s="8"/>
      <c r="S206" s="367"/>
      <c r="T206" s="367"/>
      <c r="U206" s="367"/>
      <c r="V206" s="367"/>
      <c r="W206" s="8"/>
      <c r="X206" s="8"/>
      <c r="Y206" s="8"/>
      <c r="Z206" s="8"/>
      <c r="AA206" s="8"/>
      <c r="AB206" s="8"/>
    </row>
    <row r="207">
      <c r="A207" s="8"/>
      <c r="B207" s="8"/>
      <c r="C207" s="8"/>
      <c r="D207" s="8"/>
      <c r="E207" s="8"/>
      <c r="F207" s="366"/>
      <c r="G207" s="8"/>
      <c r="H207" s="8"/>
      <c r="I207" s="8"/>
      <c r="J207" s="8"/>
      <c r="K207" s="8"/>
      <c r="L207" s="8"/>
      <c r="M207" s="8"/>
      <c r="N207" s="8"/>
      <c r="O207" s="8"/>
      <c r="P207" s="8"/>
      <c r="Q207" s="8"/>
      <c r="R207" s="8"/>
      <c r="S207" s="367"/>
      <c r="T207" s="367"/>
      <c r="U207" s="367"/>
      <c r="V207" s="367"/>
      <c r="W207" s="8"/>
      <c r="X207" s="8"/>
      <c r="Y207" s="8"/>
      <c r="Z207" s="8"/>
      <c r="AA207" s="8"/>
      <c r="AB207" s="8"/>
    </row>
    <row r="208">
      <c r="A208" s="8"/>
      <c r="B208" s="8"/>
      <c r="C208" s="8"/>
      <c r="D208" s="8"/>
      <c r="E208" s="8"/>
      <c r="F208" s="366"/>
      <c r="G208" s="8"/>
      <c r="H208" s="8"/>
      <c r="I208" s="8"/>
      <c r="J208" s="8"/>
      <c r="K208" s="8"/>
      <c r="L208" s="8"/>
      <c r="M208" s="8"/>
      <c r="N208" s="8"/>
      <c r="O208" s="8"/>
      <c r="P208" s="8"/>
      <c r="Q208" s="8"/>
      <c r="R208" s="8"/>
      <c r="S208" s="367"/>
      <c r="T208" s="367"/>
      <c r="U208" s="367"/>
      <c r="V208" s="367"/>
      <c r="W208" s="8"/>
      <c r="X208" s="8"/>
      <c r="Y208" s="8"/>
      <c r="Z208" s="8"/>
      <c r="AA208" s="8"/>
      <c r="AB208" s="8"/>
    </row>
    <row r="209">
      <c r="A209" s="8"/>
      <c r="B209" s="8"/>
      <c r="C209" s="8"/>
      <c r="D209" s="8"/>
      <c r="E209" s="8"/>
      <c r="F209" s="366"/>
      <c r="G209" s="8"/>
      <c r="H209" s="8"/>
      <c r="I209" s="8"/>
      <c r="J209" s="8"/>
      <c r="K209" s="8"/>
      <c r="L209" s="8"/>
      <c r="M209" s="8"/>
      <c r="N209" s="8"/>
      <c r="O209" s="8"/>
      <c r="P209" s="8"/>
      <c r="Q209" s="8"/>
      <c r="R209" s="8"/>
      <c r="S209" s="367"/>
      <c r="T209" s="367"/>
      <c r="U209" s="367"/>
      <c r="V209" s="367"/>
      <c r="W209" s="8"/>
      <c r="X209" s="8"/>
      <c r="Y209" s="8"/>
      <c r="Z209" s="8"/>
      <c r="AA209" s="8"/>
      <c r="AB209" s="8"/>
    </row>
    <row r="210">
      <c r="A210" s="8"/>
      <c r="B210" s="8"/>
      <c r="C210" s="8"/>
      <c r="D210" s="8"/>
      <c r="E210" s="8"/>
      <c r="F210" s="366"/>
      <c r="G210" s="8"/>
      <c r="H210" s="8"/>
      <c r="I210" s="8"/>
      <c r="J210" s="8"/>
      <c r="K210" s="8"/>
      <c r="L210" s="8"/>
      <c r="M210" s="8"/>
      <c r="N210" s="8"/>
      <c r="O210" s="8"/>
      <c r="P210" s="8"/>
      <c r="Q210" s="8"/>
      <c r="R210" s="8"/>
      <c r="S210" s="367"/>
      <c r="T210" s="367"/>
      <c r="U210" s="367"/>
      <c r="V210" s="367"/>
      <c r="W210" s="8"/>
      <c r="X210" s="8"/>
      <c r="Y210" s="8"/>
      <c r="Z210" s="8"/>
      <c r="AA210" s="8"/>
      <c r="AB210" s="8"/>
    </row>
    <row r="211">
      <c r="A211" s="8"/>
      <c r="B211" s="8"/>
      <c r="C211" s="8"/>
      <c r="D211" s="8"/>
      <c r="E211" s="8"/>
      <c r="F211" s="366"/>
      <c r="G211" s="8"/>
      <c r="H211" s="8"/>
      <c r="I211" s="8"/>
      <c r="J211" s="8"/>
      <c r="K211" s="8"/>
      <c r="L211" s="8"/>
      <c r="M211" s="8"/>
      <c r="N211" s="8"/>
      <c r="O211" s="8"/>
      <c r="P211" s="8"/>
      <c r="Q211" s="8"/>
      <c r="R211" s="8"/>
      <c r="S211" s="367"/>
      <c r="T211" s="367"/>
      <c r="U211" s="367"/>
      <c r="V211" s="367"/>
      <c r="W211" s="8"/>
      <c r="X211" s="8"/>
      <c r="Y211" s="8"/>
      <c r="Z211" s="8"/>
      <c r="AA211" s="8"/>
      <c r="AB211" s="8"/>
    </row>
    <row r="212">
      <c r="A212" s="8"/>
      <c r="B212" s="8"/>
      <c r="C212" s="8"/>
      <c r="D212" s="8"/>
      <c r="E212" s="8"/>
      <c r="F212" s="366"/>
      <c r="G212" s="8"/>
      <c r="H212" s="8"/>
      <c r="I212" s="8"/>
      <c r="J212" s="8"/>
      <c r="K212" s="8"/>
      <c r="L212" s="8"/>
      <c r="M212" s="8"/>
      <c r="N212" s="8"/>
      <c r="O212" s="8"/>
      <c r="P212" s="8"/>
      <c r="Q212" s="8"/>
      <c r="R212" s="8"/>
      <c r="S212" s="367"/>
      <c r="T212" s="367"/>
      <c r="U212" s="367"/>
      <c r="V212" s="367"/>
      <c r="W212" s="8"/>
      <c r="X212" s="8"/>
      <c r="Y212" s="8"/>
      <c r="Z212" s="8"/>
      <c r="AA212" s="8"/>
      <c r="AB212" s="8"/>
    </row>
    <row r="213">
      <c r="A213" s="8"/>
      <c r="B213" s="8"/>
      <c r="C213" s="8"/>
      <c r="D213" s="8"/>
      <c r="E213" s="8"/>
      <c r="F213" s="366"/>
      <c r="G213" s="8"/>
      <c r="H213" s="8"/>
      <c r="I213" s="8"/>
      <c r="J213" s="8"/>
      <c r="K213" s="8"/>
      <c r="L213" s="8"/>
      <c r="M213" s="8"/>
      <c r="N213" s="8"/>
      <c r="O213" s="8"/>
      <c r="P213" s="8"/>
      <c r="Q213" s="8"/>
      <c r="R213" s="8"/>
      <c r="S213" s="367"/>
      <c r="T213" s="367"/>
      <c r="U213" s="367"/>
      <c r="V213" s="367"/>
      <c r="W213" s="8"/>
      <c r="X213" s="8"/>
      <c r="Y213" s="8"/>
      <c r="Z213" s="8"/>
      <c r="AA213" s="8"/>
      <c r="AB213" s="8"/>
    </row>
    <row r="214">
      <c r="A214" s="8"/>
      <c r="B214" s="8"/>
      <c r="C214" s="8"/>
      <c r="D214" s="8"/>
      <c r="E214" s="8"/>
      <c r="F214" s="366"/>
      <c r="G214" s="8"/>
      <c r="H214" s="8"/>
      <c r="I214" s="8"/>
      <c r="J214" s="8"/>
      <c r="K214" s="8"/>
      <c r="L214" s="8"/>
      <c r="M214" s="8"/>
      <c r="N214" s="8"/>
      <c r="O214" s="8"/>
      <c r="P214" s="8"/>
      <c r="Q214" s="8"/>
      <c r="R214" s="8"/>
      <c r="S214" s="367"/>
      <c r="T214" s="367"/>
      <c r="U214" s="367"/>
      <c r="V214" s="367"/>
      <c r="W214" s="8"/>
      <c r="X214" s="8"/>
      <c r="Y214" s="8"/>
      <c r="Z214" s="8"/>
      <c r="AA214" s="8"/>
      <c r="AB214" s="8"/>
    </row>
    <row r="215">
      <c r="A215" s="8"/>
      <c r="B215" s="8"/>
      <c r="C215" s="8"/>
      <c r="D215" s="8"/>
      <c r="E215" s="8"/>
      <c r="F215" s="366"/>
      <c r="G215" s="8"/>
      <c r="H215" s="8"/>
      <c r="I215" s="8"/>
      <c r="J215" s="8"/>
      <c r="K215" s="8"/>
      <c r="L215" s="8"/>
      <c r="M215" s="8"/>
      <c r="N215" s="8"/>
      <c r="O215" s="8"/>
      <c r="P215" s="8"/>
      <c r="Q215" s="8"/>
      <c r="R215" s="8"/>
      <c r="S215" s="367"/>
      <c r="T215" s="367"/>
      <c r="U215" s="367"/>
      <c r="V215" s="367"/>
      <c r="W215" s="8"/>
      <c r="X215" s="8"/>
      <c r="Y215" s="8"/>
      <c r="Z215" s="8"/>
      <c r="AA215" s="8"/>
      <c r="AB215" s="8"/>
    </row>
    <row r="216">
      <c r="A216" s="8"/>
      <c r="B216" s="8"/>
      <c r="C216" s="8"/>
      <c r="D216" s="8"/>
      <c r="E216" s="8"/>
      <c r="F216" s="366"/>
      <c r="G216" s="8"/>
      <c r="H216" s="8"/>
      <c r="I216" s="8"/>
      <c r="J216" s="8"/>
      <c r="K216" s="8"/>
      <c r="L216" s="8"/>
      <c r="M216" s="8"/>
      <c r="N216" s="8"/>
      <c r="O216" s="8"/>
      <c r="P216" s="8"/>
      <c r="Q216" s="8"/>
      <c r="R216" s="8"/>
      <c r="S216" s="367"/>
      <c r="T216" s="367"/>
      <c r="U216" s="367"/>
      <c r="V216" s="367"/>
      <c r="W216" s="8"/>
      <c r="X216" s="8"/>
      <c r="Y216" s="8"/>
      <c r="Z216" s="8"/>
      <c r="AA216" s="8"/>
      <c r="AB216" s="8"/>
    </row>
    <row r="217">
      <c r="A217" s="8"/>
      <c r="B217" s="8"/>
      <c r="C217" s="8"/>
      <c r="D217" s="8"/>
      <c r="E217" s="8"/>
      <c r="F217" s="366"/>
      <c r="G217" s="8"/>
      <c r="H217" s="8"/>
      <c r="I217" s="8"/>
      <c r="J217" s="8"/>
      <c r="K217" s="8"/>
      <c r="L217" s="8"/>
      <c r="M217" s="8"/>
      <c r="N217" s="8"/>
      <c r="O217" s="8"/>
      <c r="P217" s="8"/>
      <c r="Q217" s="8"/>
      <c r="R217" s="8"/>
      <c r="S217" s="367"/>
      <c r="T217" s="367"/>
      <c r="U217" s="367"/>
      <c r="V217" s="367"/>
      <c r="W217" s="8"/>
      <c r="X217" s="8"/>
      <c r="Y217" s="8"/>
      <c r="Z217" s="8"/>
      <c r="AA217" s="8"/>
      <c r="AB217" s="8"/>
    </row>
    <row r="218">
      <c r="A218" s="8"/>
      <c r="B218" s="8"/>
      <c r="C218" s="8"/>
      <c r="D218" s="8"/>
      <c r="E218" s="8"/>
      <c r="F218" s="366"/>
      <c r="G218" s="8"/>
      <c r="H218" s="8"/>
      <c r="I218" s="8"/>
      <c r="J218" s="8"/>
      <c r="K218" s="8"/>
      <c r="L218" s="8"/>
      <c r="M218" s="8"/>
      <c r="N218" s="8"/>
      <c r="O218" s="8"/>
      <c r="P218" s="8"/>
      <c r="Q218" s="8"/>
      <c r="R218" s="8"/>
      <c r="S218" s="367"/>
      <c r="T218" s="367"/>
      <c r="U218" s="367"/>
      <c r="V218" s="367"/>
      <c r="W218" s="8"/>
      <c r="X218" s="8"/>
      <c r="Y218" s="8"/>
      <c r="Z218" s="8"/>
      <c r="AA218" s="8"/>
      <c r="AB218" s="8"/>
    </row>
    <row r="219">
      <c r="A219" s="8"/>
      <c r="B219" s="8"/>
      <c r="C219" s="8"/>
      <c r="D219" s="8"/>
      <c r="E219" s="8"/>
      <c r="F219" s="366"/>
      <c r="G219" s="8"/>
      <c r="H219" s="8"/>
      <c r="I219" s="8"/>
      <c r="J219" s="8"/>
      <c r="K219" s="8"/>
      <c r="L219" s="8"/>
      <c r="M219" s="8"/>
      <c r="N219" s="8"/>
      <c r="O219" s="8"/>
      <c r="P219" s="8"/>
      <c r="Q219" s="8"/>
      <c r="R219" s="8"/>
      <c r="S219" s="367"/>
      <c r="T219" s="367"/>
      <c r="U219" s="367"/>
      <c r="V219" s="367"/>
      <c r="W219" s="8"/>
      <c r="X219" s="8"/>
      <c r="Y219" s="8"/>
      <c r="Z219" s="8"/>
      <c r="AA219" s="8"/>
      <c r="AB219" s="8"/>
    </row>
    <row r="220">
      <c r="A220" s="8"/>
      <c r="B220" s="8"/>
      <c r="C220" s="8"/>
      <c r="D220" s="8"/>
      <c r="E220" s="8"/>
      <c r="F220" s="366"/>
      <c r="G220" s="8"/>
      <c r="H220" s="8"/>
      <c r="I220" s="8"/>
      <c r="J220" s="8"/>
      <c r="K220" s="8"/>
      <c r="L220" s="8"/>
      <c r="M220" s="8"/>
      <c r="N220" s="8"/>
      <c r="O220" s="8"/>
      <c r="P220" s="8"/>
      <c r="Q220" s="8"/>
      <c r="R220" s="8"/>
      <c r="S220" s="367"/>
      <c r="T220" s="367"/>
      <c r="U220" s="367"/>
      <c r="V220" s="367"/>
      <c r="W220" s="8"/>
      <c r="X220" s="8"/>
      <c r="Y220" s="8"/>
      <c r="Z220" s="8"/>
      <c r="AA220" s="8"/>
      <c r="AB220" s="8"/>
    </row>
    <row r="221">
      <c r="A221" s="8"/>
      <c r="B221" s="8"/>
      <c r="C221" s="8"/>
      <c r="D221" s="8"/>
      <c r="E221" s="8"/>
      <c r="F221" s="366"/>
      <c r="G221" s="8"/>
      <c r="H221" s="8"/>
      <c r="I221" s="8"/>
      <c r="J221" s="8"/>
      <c r="K221" s="8"/>
      <c r="L221" s="8"/>
      <c r="M221" s="8"/>
      <c r="N221" s="8"/>
      <c r="O221" s="8"/>
      <c r="P221" s="8"/>
      <c r="Q221" s="8"/>
      <c r="R221" s="8"/>
      <c r="S221" s="367"/>
      <c r="T221" s="367"/>
      <c r="U221" s="367"/>
      <c r="V221" s="367"/>
      <c r="W221" s="8"/>
      <c r="X221" s="8"/>
      <c r="Y221" s="8"/>
      <c r="Z221" s="8"/>
      <c r="AA221" s="8"/>
      <c r="AB221" s="8"/>
    </row>
    <row r="222">
      <c r="A222" s="8"/>
      <c r="B222" s="8"/>
      <c r="C222" s="8"/>
      <c r="D222" s="8"/>
      <c r="E222" s="8"/>
      <c r="F222" s="366"/>
      <c r="G222" s="8"/>
      <c r="H222" s="8"/>
      <c r="I222" s="8"/>
      <c r="J222" s="8"/>
      <c r="K222" s="8"/>
      <c r="L222" s="8"/>
      <c r="M222" s="8"/>
      <c r="N222" s="8"/>
      <c r="O222" s="8"/>
      <c r="P222" s="8"/>
      <c r="Q222" s="8"/>
      <c r="R222" s="8"/>
      <c r="S222" s="367"/>
      <c r="T222" s="367"/>
      <c r="U222" s="367"/>
      <c r="V222" s="367"/>
      <c r="W222" s="8"/>
      <c r="X222" s="8"/>
      <c r="Y222" s="8"/>
      <c r="Z222" s="8"/>
      <c r="AA222" s="8"/>
      <c r="AB222" s="8"/>
    </row>
    <row r="223">
      <c r="A223" s="8"/>
      <c r="B223" s="8"/>
      <c r="C223" s="8"/>
      <c r="D223" s="8"/>
      <c r="E223" s="8"/>
      <c r="F223" s="366"/>
      <c r="G223" s="8"/>
      <c r="H223" s="8"/>
      <c r="I223" s="8"/>
      <c r="J223" s="8"/>
      <c r="K223" s="8"/>
      <c r="L223" s="8"/>
      <c r="M223" s="8"/>
      <c r="N223" s="8"/>
      <c r="O223" s="8"/>
      <c r="P223" s="8"/>
      <c r="Q223" s="8"/>
      <c r="R223" s="8"/>
      <c r="S223" s="367"/>
      <c r="T223" s="367"/>
      <c r="U223" s="367"/>
      <c r="V223" s="367"/>
      <c r="W223" s="8"/>
      <c r="X223" s="8"/>
      <c r="Y223" s="8"/>
      <c r="Z223" s="8"/>
      <c r="AA223" s="8"/>
      <c r="AB223" s="8"/>
    </row>
    <row r="224">
      <c r="A224" s="8"/>
      <c r="B224" s="8"/>
      <c r="C224" s="8"/>
      <c r="D224" s="8"/>
      <c r="E224" s="8"/>
      <c r="F224" s="366"/>
      <c r="G224" s="8"/>
      <c r="H224" s="8"/>
      <c r="I224" s="8"/>
      <c r="J224" s="8"/>
      <c r="K224" s="8"/>
      <c r="L224" s="8"/>
      <c r="M224" s="8"/>
      <c r="N224" s="8"/>
      <c r="O224" s="8"/>
      <c r="P224" s="8"/>
      <c r="Q224" s="8"/>
      <c r="R224" s="8"/>
      <c r="S224" s="367"/>
      <c r="T224" s="367"/>
      <c r="U224" s="367"/>
      <c r="V224" s="367"/>
      <c r="W224" s="8"/>
      <c r="X224" s="8"/>
      <c r="Y224" s="8"/>
      <c r="Z224" s="8"/>
      <c r="AA224" s="8"/>
      <c r="AB224" s="8"/>
    </row>
    <row r="225">
      <c r="A225" s="8"/>
      <c r="B225" s="8"/>
      <c r="C225" s="8"/>
      <c r="D225" s="8"/>
      <c r="E225" s="8"/>
      <c r="F225" s="366"/>
      <c r="G225" s="8"/>
      <c r="H225" s="8"/>
      <c r="I225" s="8"/>
      <c r="J225" s="8"/>
      <c r="K225" s="8"/>
      <c r="L225" s="8"/>
      <c r="M225" s="8"/>
      <c r="N225" s="8"/>
      <c r="O225" s="8"/>
      <c r="P225" s="8"/>
      <c r="Q225" s="8"/>
      <c r="R225" s="8"/>
      <c r="S225" s="367"/>
      <c r="T225" s="367"/>
      <c r="U225" s="367"/>
      <c r="V225" s="367"/>
      <c r="W225" s="8"/>
      <c r="X225" s="8"/>
      <c r="Y225" s="8"/>
      <c r="Z225" s="8"/>
      <c r="AA225" s="8"/>
      <c r="AB225" s="8"/>
    </row>
    <row r="226">
      <c r="A226" s="8"/>
      <c r="B226" s="8"/>
      <c r="C226" s="8"/>
      <c r="D226" s="8"/>
      <c r="E226" s="8"/>
      <c r="F226" s="366"/>
      <c r="G226" s="8"/>
      <c r="H226" s="8"/>
      <c r="I226" s="8"/>
      <c r="J226" s="8"/>
      <c r="K226" s="8"/>
      <c r="L226" s="8"/>
      <c r="M226" s="8"/>
      <c r="N226" s="8"/>
      <c r="O226" s="8"/>
      <c r="P226" s="8"/>
      <c r="Q226" s="8"/>
      <c r="R226" s="8"/>
      <c r="S226" s="367"/>
      <c r="T226" s="367"/>
      <c r="U226" s="367"/>
      <c r="V226" s="367"/>
      <c r="W226" s="8"/>
      <c r="X226" s="8"/>
      <c r="Y226" s="8"/>
      <c r="Z226" s="8"/>
      <c r="AA226" s="8"/>
      <c r="AB226" s="8"/>
    </row>
    <row r="227">
      <c r="A227" s="8"/>
      <c r="B227" s="8"/>
      <c r="C227" s="8"/>
      <c r="D227" s="8"/>
      <c r="E227" s="8"/>
      <c r="F227" s="366"/>
      <c r="G227" s="8"/>
      <c r="H227" s="8"/>
      <c r="I227" s="8"/>
      <c r="J227" s="8"/>
      <c r="K227" s="8"/>
      <c r="L227" s="8"/>
      <c r="M227" s="8"/>
      <c r="N227" s="8"/>
      <c r="O227" s="8"/>
      <c r="P227" s="8"/>
      <c r="Q227" s="8"/>
      <c r="R227" s="8"/>
      <c r="S227" s="367"/>
      <c r="T227" s="367"/>
      <c r="U227" s="367"/>
      <c r="V227" s="367"/>
      <c r="W227" s="8"/>
      <c r="X227" s="8"/>
      <c r="Y227" s="8"/>
      <c r="Z227" s="8"/>
      <c r="AA227" s="8"/>
      <c r="AB227" s="8"/>
    </row>
    <row r="228">
      <c r="A228" s="8"/>
      <c r="B228" s="8"/>
      <c r="C228" s="8"/>
      <c r="D228" s="8"/>
      <c r="E228" s="8"/>
      <c r="F228" s="366"/>
      <c r="G228" s="8"/>
      <c r="H228" s="8"/>
      <c r="I228" s="8"/>
      <c r="J228" s="8"/>
      <c r="K228" s="8"/>
      <c r="L228" s="8"/>
      <c r="M228" s="8"/>
      <c r="N228" s="8"/>
      <c r="O228" s="8"/>
      <c r="P228" s="8"/>
      <c r="Q228" s="8"/>
      <c r="R228" s="8"/>
      <c r="S228" s="367"/>
      <c r="T228" s="367"/>
      <c r="U228" s="367"/>
      <c r="V228" s="367"/>
      <c r="W228" s="8"/>
      <c r="X228" s="8"/>
      <c r="Y228" s="8"/>
      <c r="Z228" s="8"/>
      <c r="AA228" s="8"/>
      <c r="AB228" s="8"/>
    </row>
    <row r="229">
      <c r="A229" s="8"/>
      <c r="B229" s="8"/>
      <c r="C229" s="8"/>
      <c r="D229" s="8"/>
      <c r="E229" s="8"/>
      <c r="F229" s="366"/>
      <c r="G229" s="8"/>
      <c r="H229" s="8"/>
      <c r="I229" s="8"/>
      <c r="J229" s="8"/>
      <c r="K229" s="8"/>
      <c r="L229" s="8"/>
      <c r="M229" s="8"/>
      <c r="N229" s="8"/>
      <c r="O229" s="8"/>
      <c r="P229" s="8"/>
      <c r="Q229" s="8"/>
      <c r="R229" s="8"/>
      <c r="S229" s="367"/>
      <c r="T229" s="367"/>
      <c r="U229" s="367"/>
      <c r="V229" s="367"/>
      <c r="W229" s="8"/>
      <c r="X229" s="8"/>
      <c r="Y229" s="8"/>
      <c r="Z229" s="8"/>
      <c r="AA229" s="8"/>
      <c r="AB229" s="8"/>
    </row>
    <row r="230">
      <c r="A230" s="8"/>
      <c r="B230" s="8"/>
      <c r="C230" s="8"/>
      <c r="D230" s="8"/>
      <c r="E230" s="8"/>
      <c r="F230" s="366"/>
      <c r="G230" s="8"/>
      <c r="H230" s="8"/>
      <c r="I230" s="8"/>
      <c r="J230" s="8"/>
      <c r="K230" s="8"/>
      <c r="L230" s="8"/>
      <c r="M230" s="8"/>
      <c r="N230" s="8"/>
      <c r="O230" s="8"/>
      <c r="P230" s="8"/>
      <c r="Q230" s="8"/>
      <c r="R230" s="8"/>
      <c r="S230" s="367"/>
      <c r="T230" s="367"/>
      <c r="U230" s="367"/>
      <c r="V230" s="367"/>
      <c r="W230" s="8"/>
      <c r="X230" s="8"/>
      <c r="Y230" s="8"/>
      <c r="Z230" s="8"/>
      <c r="AA230" s="8"/>
      <c r="AB230" s="8"/>
    </row>
    <row r="231">
      <c r="A231" s="8"/>
      <c r="B231" s="8"/>
      <c r="C231" s="8"/>
      <c r="D231" s="8"/>
      <c r="E231" s="8"/>
      <c r="F231" s="366"/>
      <c r="G231" s="8"/>
      <c r="H231" s="8"/>
      <c r="I231" s="8"/>
      <c r="J231" s="8"/>
      <c r="K231" s="8"/>
      <c r="L231" s="8"/>
      <c r="M231" s="8"/>
      <c r="N231" s="8"/>
      <c r="O231" s="8"/>
      <c r="P231" s="8"/>
      <c r="Q231" s="8"/>
      <c r="R231" s="8"/>
      <c r="S231" s="367"/>
      <c r="T231" s="367"/>
      <c r="U231" s="367"/>
      <c r="V231" s="367"/>
      <c r="W231" s="8"/>
      <c r="X231" s="8"/>
      <c r="Y231" s="8"/>
      <c r="Z231" s="8"/>
      <c r="AA231" s="8"/>
      <c r="AB231" s="8"/>
    </row>
    <row r="232">
      <c r="A232" s="8"/>
      <c r="B232" s="8"/>
      <c r="C232" s="8"/>
      <c r="D232" s="8"/>
      <c r="E232" s="8"/>
      <c r="F232" s="366"/>
      <c r="G232" s="8"/>
      <c r="H232" s="8"/>
      <c r="I232" s="8"/>
      <c r="J232" s="8"/>
      <c r="K232" s="8"/>
      <c r="L232" s="8"/>
      <c r="M232" s="8"/>
      <c r="N232" s="8"/>
      <c r="O232" s="8"/>
      <c r="P232" s="8"/>
      <c r="Q232" s="8"/>
      <c r="R232" s="8"/>
      <c r="S232" s="367"/>
      <c r="T232" s="367"/>
      <c r="U232" s="367"/>
      <c r="V232" s="367"/>
      <c r="W232" s="8"/>
      <c r="X232" s="8"/>
      <c r="Y232" s="8"/>
      <c r="Z232" s="8"/>
      <c r="AA232" s="8"/>
      <c r="AB232" s="8"/>
    </row>
    <row r="233">
      <c r="A233" s="8"/>
      <c r="B233" s="8"/>
      <c r="C233" s="8"/>
      <c r="D233" s="8"/>
      <c r="E233" s="8"/>
      <c r="F233" s="366"/>
      <c r="G233" s="8"/>
      <c r="H233" s="8"/>
      <c r="I233" s="8"/>
      <c r="J233" s="8"/>
      <c r="K233" s="8"/>
      <c r="L233" s="8"/>
      <c r="M233" s="8"/>
      <c r="N233" s="8"/>
      <c r="O233" s="8"/>
      <c r="P233" s="8"/>
      <c r="Q233" s="8"/>
      <c r="R233" s="8"/>
      <c r="S233" s="367"/>
      <c r="T233" s="367"/>
      <c r="U233" s="367"/>
      <c r="V233" s="367"/>
      <c r="W233" s="8"/>
      <c r="X233" s="8"/>
      <c r="Y233" s="8"/>
      <c r="Z233" s="8"/>
      <c r="AA233" s="8"/>
      <c r="AB233" s="8"/>
    </row>
    <row r="234">
      <c r="A234" s="8"/>
      <c r="B234" s="8"/>
      <c r="C234" s="8"/>
      <c r="D234" s="8"/>
      <c r="E234" s="8"/>
      <c r="F234" s="366"/>
      <c r="G234" s="8"/>
      <c r="H234" s="8"/>
      <c r="I234" s="8"/>
      <c r="J234" s="8"/>
      <c r="K234" s="8"/>
      <c r="L234" s="8"/>
      <c r="M234" s="8"/>
      <c r="N234" s="8"/>
      <c r="O234" s="8"/>
      <c r="P234" s="8"/>
      <c r="Q234" s="8"/>
      <c r="R234" s="8"/>
      <c r="S234" s="367"/>
      <c r="T234" s="367"/>
      <c r="U234" s="367"/>
      <c r="V234" s="367"/>
      <c r="W234" s="8"/>
      <c r="X234" s="8"/>
      <c r="Y234" s="8"/>
      <c r="Z234" s="8"/>
      <c r="AA234" s="8"/>
      <c r="AB234" s="8"/>
    </row>
    <row r="235">
      <c r="A235" s="8"/>
      <c r="B235" s="8"/>
      <c r="C235" s="8"/>
      <c r="D235" s="8"/>
      <c r="E235" s="8"/>
      <c r="F235" s="366"/>
      <c r="G235" s="8"/>
      <c r="H235" s="8"/>
      <c r="I235" s="8"/>
      <c r="J235" s="8"/>
      <c r="K235" s="8"/>
      <c r="L235" s="8"/>
      <c r="M235" s="8"/>
      <c r="N235" s="8"/>
      <c r="O235" s="8"/>
      <c r="P235" s="8"/>
      <c r="Q235" s="8"/>
      <c r="R235" s="8"/>
      <c r="S235" s="367"/>
      <c r="T235" s="367"/>
      <c r="U235" s="367"/>
      <c r="V235" s="367"/>
      <c r="W235" s="8"/>
      <c r="X235" s="8"/>
      <c r="Y235" s="8"/>
      <c r="Z235" s="8"/>
      <c r="AA235" s="8"/>
      <c r="AB235" s="8"/>
    </row>
    <row r="236">
      <c r="A236" s="8"/>
      <c r="B236" s="8"/>
      <c r="C236" s="8"/>
      <c r="D236" s="8"/>
      <c r="E236" s="8"/>
      <c r="F236" s="366"/>
      <c r="G236" s="8"/>
      <c r="H236" s="8"/>
      <c r="I236" s="8"/>
      <c r="J236" s="8"/>
      <c r="K236" s="8"/>
      <c r="L236" s="8"/>
      <c r="M236" s="8"/>
      <c r="N236" s="8"/>
      <c r="O236" s="8"/>
      <c r="P236" s="8"/>
      <c r="Q236" s="8"/>
      <c r="R236" s="8"/>
      <c r="S236" s="367"/>
      <c r="T236" s="367"/>
      <c r="U236" s="367"/>
      <c r="V236" s="367"/>
      <c r="W236" s="8"/>
      <c r="X236" s="8"/>
      <c r="Y236" s="8"/>
      <c r="Z236" s="8"/>
      <c r="AA236" s="8"/>
      <c r="AB236" s="8"/>
    </row>
    <row r="237">
      <c r="A237" s="8"/>
      <c r="B237" s="8"/>
      <c r="C237" s="8"/>
      <c r="D237" s="8"/>
      <c r="E237" s="8"/>
      <c r="F237" s="366"/>
      <c r="G237" s="8"/>
      <c r="H237" s="8"/>
      <c r="I237" s="8"/>
      <c r="J237" s="8"/>
      <c r="K237" s="8"/>
      <c r="L237" s="8"/>
      <c r="M237" s="8"/>
      <c r="N237" s="8"/>
      <c r="O237" s="8"/>
      <c r="P237" s="8"/>
      <c r="Q237" s="8"/>
      <c r="R237" s="8"/>
      <c r="S237" s="367"/>
      <c r="T237" s="367"/>
      <c r="U237" s="367"/>
      <c r="V237" s="367"/>
      <c r="W237" s="8"/>
      <c r="X237" s="8"/>
      <c r="Y237" s="8"/>
      <c r="Z237" s="8"/>
      <c r="AA237" s="8"/>
      <c r="AB237" s="8"/>
    </row>
    <row r="238">
      <c r="A238" s="8"/>
      <c r="B238" s="8"/>
      <c r="C238" s="8"/>
      <c r="D238" s="8"/>
      <c r="E238" s="8"/>
      <c r="F238" s="366"/>
      <c r="G238" s="8"/>
      <c r="H238" s="8"/>
      <c r="I238" s="8"/>
      <c r="J238" s="8"/>
      <c r="K238" s="8"/>
      <c r="L238" s="8"/>
      <c r="M238" s="8"/>
      <c r="N238" s="8"/>
      <c r="O238" s="8"/>
      <c r="P238" s="8"/>
      <c r="Q238" s="8"/>
      <c r="R238" s="8"/>
      <c r="S238" s="367"/>
      <c r="T238" s="367"/>
      <c r="U238" s="367"/>
      <c r="V238" s="367"/>
      <c r="W238" s="8"/>
      <c r="X238" s="8"/>
      <c r="Y238" s="8"/>
      <c r="Z238" s="8"/>
      <c r="AA238" s="8"/>
      <c r="AB238" s="8"/>
    </row>
    <row r="239">
      <c r="A239" s="8"/>
      <c r="B239" s="8"/>
      <c r="C239" s="8"/>
      <c r="D239" s="8"/>
      <c r="E239" s="8"/>
      <c r="F239" s="366"/>
      <c r="G239" s="8"/>
      <c r="H239" s="8"/>
      <c r="I239" s="8"/>
      <c r="J239" s="8"/>
      <c r="K239" s="8"/>
      <c r="L239" s="8"/>
      <c r="M239" s="8"/>
      <c r="N239" s="8"/>
      <c r="O239" s="8"/>
      <c r="P239" s="8"/>
      <c r="Q239" s="8"/>
      <c r="R239" s="8"/>
      <c r="S239" s="367"/>
      <c r="T239" s="367"/>
      <c r="U239" s="367"/>
      <c r="V239" s="367"/>
      <c r="W239" s="8"/>
      <c r="X239" s="8"/>
      <c r="Y239" s="8"/>
      <c r="Z239" s="8"/>
      <c r="AA239" s="8"/>
      <c r="AB239" s="8"/>
    </row>
    <row r="240">
      <c r="A240" s="8"/>
      <c r="B240" s="8"/>
      <c r="C240" s="8"/>
      <c r="D240" s="8"/>
      <c r="E240" s="8"/>
      <c r="F240" s="366"/>
      <c r="G240" s="8"/>
      <c r="H240" s="8"/>
      <c r="I240" s="8"/>
      <c r="J240" s="8"/>
      <c r="K240" s="8"/>
      <c r="L240" s="8"/>
      <c r="M240" s="8"/>
      <c r="N240" s="8"/>
      <c r="O240" s="8"/>
      <c r="P240" s="8"/>
      <c r="Q240" s="8"/>
      <c r="R240" s="8"/>
      <c r="S240" s="367"/>
      <c r="T240" s="367"/>
      <c r="U240" s="367"/>
      <c r="V240" s="367"/>
      <c r="W240" s="8"/>
      <c r="X240" s="8"/>
      <c r="Y240" s="8"/>
      <c r="Z240" s="8"/>
      <c r="AA240" s="8"/>
      <c r="AB240" s="8"/>
    </row>
    <row r="241">
      <c r="A241" s="8"/>
      <c r="B241" s="8"/>
      <c r="C241" s="8"/>
      <c r="D241" s="8"/>
      <c r="E241" s="8"/>
      <c r="F241" s="366"/>
      <c r="G241" s="8"/>
      <c r="H241" s="8"/>
      <c r="I241" s="8"/>
      <c r="J241" s="8"/>
      <c r="K241" s="8"/>
      <c r="L241" s="8"/>
      <c r="M241" s="8"/>
      <c r="N241" s="8"/>
      <c r="O241" s="8"/>
      <c r="P241" s="8"/>
      <c r="Q241" s="8"/>
      <c r="R241" s="8"/>
      <c r="S241" s="367"/>
      <c r="T241" s="367"/>
      <c r="U241" s="367"/>
      <c r="V241" s="367"/>
      <c r="W241" s="8"/>
      <c r="X241" s="8"/>
      <c r="Y241" s="8"/>
      <c r="Z241" s="8"/>
      <c r="AA241" s="8"/>
      <c r="AB241" s="8"/>
    </row>
    <row r="242">
      <c r="A242" s="8"/>
      <c r="B242" s="8"/>
      <c r="C242" s="8"/>
      <c r="D242" s="8"/>
      <c r="E242" s="8"/>
      <c r="F242" s="366"/>
      <c r="G242" s="8"/>
      <c r="H242" s="8"/>
      <c r="I242" s="8"/>
      <c r="J242" s="8"/>
      <c r="K242" s="8"/>
      <c r="L242" s="8"/>
      <c r="M242" s="8"/>
      <c r="N242" s="8"/>
      <c r="O242" s="8"/>
      <c r="P242" s="8"/>
      <c r="Q242" s="8"/>
      <c r="R242" s="8"/>
      <c r="S242" s="367"/>
      <c r="T242" s="367"/>
      <c r="U242" s="367"/>
      <c r="V242" s="367"/>
      <c r="W242" s="8"/>
      <c r="X242" s="8"/>
      <c r="Y242" s="8"/>
      <c r="Z242" s="8"/>
      <c r="AA242" s="8"/>
      <c r="AB242" s="8"/>
    </row>
    <row r="243">
      <c r="A243" s="8"/>
      <c r="B243" s="8"/>
      <c r="C243" s="8"/>
      <c r="D243" s="8"/>
      <c r="E243" s="8"/>
      <c r="F243" s="366"/>
      <c r="G243" s="8"/>
      <c r="H243" s="8"/>
      <c r="I243" s="8"/>
      <c r="J243" s="8"/>
      <c r="K243" s="8"/>
      <c r="L243" s="8"/>
      <c r="M243" s="8"/>
      <c r="N243" s="8"/>
      <c r="O243" s="8"/>
      <c r="P243" s="8"/>
      <c r="Q243" s="8"/>
      <c r="R243" s="8"/>
      <c r="S243" s="367"/>
      <c r="T243" s="367"/>
      <c r="U243" s="367"/>
      <c r="V243" s="367"/>
      <c r="W243" s="8"/>
      <c r="X243" s="8"/>
      <c r="Y243" s="8"/>
      <c r="Z243" s="8"/>
      <c r="AA243" s="8"/>
      <c r="AB243" s="8"/>
    </row>
    <row r="244">
      <c r="A244" s="8"/>
      <c r="B244" s="8"/>
      <c r="C244" s="8"/>
      <c r="D244" s="8"/>
      <c r="E244" s="8"/>
      <c r="F244" s="366"/>
      <c r="G244" s="8"/>
      <c r="H244" s="8"/>
      <c r="I244" s="8"/>
      <c r="J244" s="8"/>
      <c r="K244" s="8"/>
      <c r="L244" s="8"/>
      <c r="M244" s="8"/>
      <c r="N244" s="8"/>
      <c r="O244" s="8"/>
      <c r="P244" s="8"/>
      <c r="Q244" s="8"/>
      <c r="R244" s="8"/>
      <c r="S244" s="367"/>
      <c r="T244" s="367"/>
      <c r="U244" s="367"/>
      <c r="V244" s="367"/>
      <c r="W244" s="8"/>
      <c r="X244" s="8"/>
      <c r="Y244" s="8"/>
      <c r="Z244" s="8"/>
      <c r="AA244" s="8"/>
      <c r="AB244" s="8"/>
    </row>
    <row r="245">
      <c r="A245" s="8"/>
      <c r="B245" s="8"/>
      <c r="C245" s="8"/>
      <c r="D245" s="8"/>
      <c r="E245" s="8"/>
      <c r="F245" s="366"/>
      <c r="G245" s="8"/>
      <c r="H245" s="8"/>
      <c r="I245" s="8"/>
      <c r="J245" s="8"/>
      <c r="K245" s="8"/>
      <c r="L245" s="8"/>
      <c r="M245" s="8"/>
      <c r="N245" s="8"/>
      <c r="O245" s="8"/>
      <c r="P245" s="8"/>
      <c r="Q245" s="8"/>
      <c r="R245" s="8"/>
      <c r="S245" s="367"/>
      <c r="T245" s="367"/>
      <c r="U245" s="367"/>
      <c r="V245" s="367"/>
      <c r="W245" s="8"/>
      <c r="X245" s="8"/>
      <c r="Y245" s="8"/>
      <c r="Z245" s="8"/>
      <c r="AA245" s="8"/>
      <c r="AB245" s="8"/>
    </row>
    <row r="246">
      <c r="A246" s="8"/>
      <c r="B246" s="8"/>
      <c r="C246" s="8"/>
      <c r="D246" s="8"/>
      <c r="E246" s="8"/>
      <c r="F246" s="366"/>
      <c r="G246" s="8"/>
      <c r="H246" s="8"/>
      <c r="I246" s="8"/>
      <c r="J246" s="8"/>
      <c r="K246" s="8"/>
      <c r="L246" s="8"/>
      <c r="M246" s="8"/>
      <c r="N246" s="8"/>
      <c r="O246" s="8"/>
      <c r="P246" s="8"/>
      <c r="Q246" s="8"/>
      <c r="R246" s="8"/>
      <c r="S246" s="367"/>
      <c r="T246" s="367"/>
      <c r="U246" s="367"/>
      <c r="V246" s="367"/>
      <c r="W246" s="8"/>
      <c r="X246" s="8"/>
      <c r="Y246" s="8"/>
      <c r="Z246" s="8"/>
      <c r="AA246" s="8"/>
      <c r="AB246" s="8"/>
    </row>
    <row r="247">
      <c r="A247" s="8"/>
      <c r="B247" s="8"/>
      <c r="C247" s="8"/>
      <c r="D247" s="8"/>
      <c r="E247" s="8"/>
      <c r="F247" s="366"/>
      <c r="G247" s="8"/>
      <c r="H247" s="8"/>
      <c r="I247" s="8"/>
      <c r="J247" s="8"/>
      <c r="K247" s="8"/>
      <c r="L247" s="8"/>
      <c r="M247" s="8"/>
      <c r="N247" s="8"/>
      <c r="O247" s="8"/>
      <c r="P247" s="8"/>
      <c r="Q247" s="8"/>
      <c r="R247" s="8"/>
      <c r="S247" s="367"/>
      <c r="T247" s="367"/>
      <c r="U247" s="367"/>
      <c r="V247" s="367"/>
      <c r="W247" s="8"/>
      <c r="X247" s="8"/>
      <c r="Y247" s="8"/>
      <c r="Z247" s="8"/>
      <c r="AA247" s="8"/>
      <c r="AB247" s="8"/>
    </row>
    <row r="248">
      <c r="A248" s="8"/>
      <c r="B248" s="8"/>
      <c r="C248" s="8"/>
      <c r="D248" s="8"/>
      <c r="E248" s="8"/>
      <c r="F248" s="366"/>
      <c r="G248" s="8"/>
      <c r="H248" s="8"/>
      <c r="I248" s="8"/>
      <c r="J248" s="8"/>
      <c r="K248" s="8"/>
      <c r="L248" s="8"/>
      <c r="M248" s="8"/>
      <c r="N248" s="8"/>
      <c r="O248" s="8"/>
      <c r="P248" s="8"/>
      <c r="Q248" s="8"/>
      <c r="R248" s="8"/>
      <c r="S248" s="367"/>
      <c r="T248" s="367"/>
      <c r="U248" s="367"/>
      <c r="V248" s="367"/>
      <c r="W248" s="8"/>
      <c r="X248" s="8"/>
      <c r="Y248" s="8"/>
      <c r="Z248" s="8"/>
      <c r="AA248" s="8"/>
      <c r="AB248" s="8"/>
    </row>
    <row r="249">
      <c r="A249" s="8"/>
      <c r="B249" s="8"/>
      <c r="C249" s="8"/>
      <c r="D249" s="8"/>
      <c r="E249" s="8"/>
      <c r="F249" s="366"/>
      <c r="G249" s="8"/>
      <c r="H249" s="8"/>
      <c r="I249" s="8"/>
      <c r="J249" s="8"/>
      <c r="K249" s="8"/>
      <c r="L249" s="8"/>
      <c r="M249" s="8"/>
      <c r="N249" s="8"/>
      <c r="O249" s="8"/>
      <c r="P249" s="8"/>
      <c r="Q249" s="8"/>
      <c r="R249" s="8"/>
      <c r="S249" s="367"/>
      <c r="T249" s="367"/>
      <c r="U249" s="367"/>
      <c r="V249" s="367"/>
      <c r="W249" s="8"/>
      <c r="X249" s="8"/>
      <c r="Y249" s="8"/>
      <c r="Z249" s="8"/>
      <c r="AA249" s="8"/>
      <c r="AB249" s="8"/>
    </row>
    <row r="250">
      <c r="A250" s="8"/>
      <c r="B250" s="8"/>
      <c r="C250" s="8"/>
      <c r="D250" s="8"/>
      <c r="E250" s="8"/>
      <c r="F250" s="366"/>
      <c r="G250" s="8"/>
      <c r="H250" s="8"/>
      <c r="I250" s="8"/>
      <c r="J250" s="8"/>
      <c r="K250" s="8"/>
      <c r="L250" s="8"/>
      <c r="M250" s="8"/>
      <c r="N250" s="8"/>
      <c r="O250" s="8"/>
      <c r="P250" s="8"/>
      <c r="Q250" s="8"/>
      <c r="R250" s="8"/>
      <c r="S250" s="367"/>
      <c r="T250" s="367"/>
      <c r="U250" s="367"/>
      <c r="V250" s="367"/>
      <c r="W250" s="8"/>
      <c r="X250" s="8"/>
      <c r="Y250" s="8"/>
      <c r="Z250" s="8"/>
      <c r="AA250" s="8"/>
      <c r="AB250" s="8"/>
    </row>
    <row r="251">
      <c r="A251" s="8"/>
      <c r="B251" s="8"/>
      <c r="C251" s="8"/>
      <c r="D251" s="8"/>
      <c r="E251" s="8"/>
      <c r="F251" s="366"/>
      <c r="G251" s="8"/>
      <c r="H251" s="8"/>
      <c r="I251" s="8"/>
      <c r="J251" s="8"/>
      <c r="K251" s="8"/>
      <c r="L251" s="8"/>
      <c r="M251" s="8"/>
      <c r="N251" s="8"/>
      <c r="O251" s="8"/>
      <c r="P251" s="8"/>
      <c r="Q251" s="8"/>
      <c r="R251" s="8"/>
      <c r="S251" s="367"/>
      <c r="T251" s="367"/>
      <c r="U251" s="367"/>
      <c r="V251" s="367"/>
      <c r="W251" s="8"/>
      <c r="X251" s="8"/>
      <c r="Y251" s="8"/>
      <c r="Z251" s="8"/>
      <c r="AA251" s="8"/>
      <c r="AB251" s="8"/>
    </row>
    <row r="252">
      <c r="A252" s="8"/>
      <c r="B252" s="8"/>
      <c r="C252" s="8"/>
      <c r="D252" s="8"/>
      <c r="E252" s="8"/>
      <c r="F252" s="366"/>
      <c r="G252" s="8"/>
      <c r="H252" s="8"/>
      <c r="I252" s="8"/>
      <c r="J252" s="8"/>
      <c r="K252" s="8"/>
      <c r="L252" s="8"/>
      <c r="M252" s="8"/>
      <c r="N252" s="8"/>
      <c r="O252" s="8"/>
      <c r="P252" s="8"/>
      <c r="Q252" s="8"/>
      <c r="R252" s="8"/>
      <c r="S252" s="367"/>
      <c r="T252" s="367"/>
      <c r="U252" s="367"/>
      <c r="V252" s="367"/>
      <c r="W252" s="8"/>
      <c r="X252" s="8"/>
      <c r="Y252" s="8"/>
      <c r="Z252" s="8"/>
      <c r="AA252" s="8"/>
      <c r="AB252" s="8"/>
    </row>
    <row r="253">
      <c r="A253" s="8"/>
      <c r="B253" s="8"/>
      <c r="C253" s="8"/>
      <c r="D253" s="8"/>
      <c r="E253" s="8"/>
      <c r="F253" s="366"/>
      <c r="G253" s="8"/>
      <c r="H253" s="8"/>
      <c r="I253" s="8"/>
      <c r="J253" s="8"/>
      <c r="K253" s="8"/>
      <c r="L253" s="8"/>
      <c r="M253" s="8"/>
      <c r="N253" s="8"/>
      <c r="O253" s="8"/>
      <c r="P253" s="8"/>
      <c r="Q253" s="8"/>
      <c r="R253" s="8"/>
      <c r="S253" s="367"/>
      <c r="T253" s="367"/>
      <c r="U253" s="367"/>
      <c r="V253" s="367"/>
      <c r="W253" s="8"/>
      <c r="X253" s="8"/>
      <c r="Y253" s="8"/>
      <c r="Z253" s="8"/>
      <c r="AA253" s="8"/>
      <c r="AB253" s="8"/>
    </row>
    <row r="254">
      <c r="A254" s="8"/>
      <c r="B254" s="8"/>
      <c r="C254" s="8"/>
      <c r="D254" s="8"/>
      <c r="E254" s="8"/>
      <c r="F254" s="366"/>
      <c r="G254" s="8"/>
      <c r="H254" s="8"/>
      <c r="I254" s="8"/>
      <c r="J254" s="8"/>
      <c r="K254" s="8"/>
      <c r="L254" s="8"/>
      <c r="M254" s="8"/>
      <c r="N254" s="8"/>
      <c r="O254" s="8"/>
      <c r="P254" s="8"/>
      <c r="Q254" s="8"/>
      <c r="R254" s="8"/>
      <c r="S254" s="367"/>
      <c r="T254" s="367"/>
      <c r="U254" s="367"/>
      <c r="V254" s="367"/>
      <c r="W254" s="8"/>
      <c r="X254" s="8"/>
      <c r="Y254" s="8"/>
      <c r="Z254" s="8"/>
      <c r="AA254" s="8"/>
      <c r="AB254" s="8"/>
    </row>
    <row r="255">
      <c r="A255" s="8"/>
      <c r="B255" s="8"/>
      <c r="C255" s="8"/>
      <c r="D255" s="8"/>
      <c r="E255" s="8"/>
      <c r="F255" s="366"/>
      <c r="G255" s="8"/>
      <c r="H255" s="8"/>
      <c r="I255" s="8"/>
      <c r="J255" s="8"/>
      <c r="K255" s="8"/>
      <c r="L255" s="8"/>
      <c r="M255" s="8"/>
      <c r="N255" s="8"/>
      <c r="O255" s="8"/>
      <c r="P255" s="8"/>
      <c r="Q255" s="8"/>
      <c r="R255" s="8"/>
      <c r="S255" s="367"/>
      <c r="T255" s="367"/>
      <c r="U255" s="367"/>
      <c r="V255" s="367"/>
      <c r="W255" s="8"/>
      <c r="X255" s="8"/>
      <c r="Y255" s="8"/>
      <c r="Z255" s="8"/>
      <c r="AA255" s="8"/>
      <c r="AB255" s="8"/>
    </row>
    <row r="256">
      <c r="A256" s="8"/>
      <c r="B256" s="8"/>
      <c r="C256" s="8"/>
      <c r="D256" s="8"/>
      <c r="E256" s="8"/>
      <c r="F256" s="366"/>
      <c r="G256" s="8"/>
      <c r="H256" s="8"/>
      <c r="I256" s="8"/>
      <c r="J256" s="8"/>
      <c r="K256" s="8"/>
      <c r="L256" s="8"/>
      <c r="M256" s="8"/>
      <c r="N256" s="8"/>
      <c r="O256" s="8"/>
      <c r="P256" s="8"/>
      <c r="Q256" s="8"/>
      <c r="R256" s="8"/>
      <c r="S256" s="367"/>
      <c r="T256" s="367"/>
      <c r="U256" s="367"/>
      <c r="V256" s="367"/>
      <c r="W256" s="8"/>
      <c r="X256" s="8"/>
      <c r="Y256" s="8"/>
      <c r="Z256" s="8"/>
      <c r="AA256" s="8"/>
      <c r="AB256" s="8"/>
    </row>
    <row r="257">
      <c r="A257" s="8"/>
      <c r="B257" s="8"/>
      <c r="C257" s="8"/>
      <c r="D257" s="8"/>
      <c r="E257" s="8"/>
      <c r="F257" s="366"/>
      <c r="G257" s="8"/>
      <c r="H257" s="8"/>
      <c r="I257" s="8"/>
      <c r="J257" s="8"/>
      <c r="K257" s="8"/>
      <c r="L257" s="8"/>
      <c r="M257" s="8"/>
      <c r="N257" s="8"/>
      <c r="O257" s="8"/>
      <c r="P257" s="8"/>
      <c r="Q257" s="8"/>
      <c r="R257" s="8"/>
      <c r="S257" s="367"/>
      <c r="T257" s="367"/>
      <c r="U257" s="367"/>
      <c r="V257" s="367"/>
      <c r="W257" s="8"/>
      <c r="X257" s="8"/>
      <c r="Y257" s="8"/>
      <c r="Z257" s="8"/>
      <c r="AA257" s="8"/>
      <c r="AB257" s="8"/>
    </row>
    <row r="258">
      <c r="A258" s="8"/>
      <c r="B258" s="8"/>
      <c r="C258" s="8"/>
      <c r="D258" s="8"/>
      <c r="E258" s="8"/>
      <c r="F258" s="366"/>
      <c r="G258" s="8"/>
      <c r="H258" s="8"/>
      <c r="I258" s="8"/>
      <c r="J258" s="8"/>
      <c r="K258" s="8"/>
      <c r="L258" s="8"/>
      <c r="M258" s="8"/>
      <c r="N258" s="8"/>
      <c r="O258" s="8"/>
      <c r="P258" s="8"/>
      <c r="Q258" s="8"/>
      <c r="R258" s="8"/>
      <c r="S258" s="367"/>
      <c r="T258" s="367"/>
      <c r="U258" s="367"/>
      <c r="V258" s="367"/>
      <c r="W258" s="8"/>
      <c r="X258" s="8"/>
      <c r="Y258" s="8"/>
      <c r="Z258" s="8"/>
      <c r="AA258" s="8"/>
      <c r="AB258" s="8"/>
    </row>
    <row r="259">
      <c r="A259" s="8"/>
      <c r="B259" s="8"/>
      <c r="C259" s="8"/>
      <c r="D259" s="8"/>
      <c r="E259" s="8"/>
      <c r="F259" s="366"/>
      <c r="G259" s="8"/>
      <c r="H259" s="8"/>
      <c r="I259" s="8"/>
      <c r="J259" s="8"/>
      <c r="K259" s="8"/>
      <c r="L259" s="8"/>
      <c r="M259" s="8"/>
      <c r="N259" s="8"/>
      <c r="O259" s="8"/>
      <c r="P259" s="8"/>
      <c r="Q259" s="8"/>
      <c r="R259" s="8"/>
      <c r="S259" s="367"/>
      <c r="T259" s="367"/>
      <c r="U259" s="367"/>
      <c r="V259" s="367"/>
      <c r="W259" s="8"/>
      <c r="X259" s="8"/>
      <c r="Y259" s="8"/>
      <c r="Z259" s="8"/>
      <c r="AA259" s="8"/>
      <c r="AB259" s="8"/>
    </row>
    <row r="260">
      <c r="A260" s="8"/>
      <c r="B260" s="8"/>
      <c r="C260" s="8"/>
      <c r="D260" s="8"/>
      <c r="E260" s="8"/>
      <c r="F260" s="366"/>
      <c r="G260" s="8"/>
      <c r="H260" s="8"/>
      <c r="I260" s="8"/>
      <c r="J260" s="8"/>
      <c r="K260" s="8"/>
      <c r="L260" s="8"/>
      <c r="M260" s="8"/>
      <c r="N260" s="8"/>
      <c r="O260" s="8"/>
      <c r="P260" s="8"/>
      <c r="Q260" s="8"/>
      <c r="R260" s="8"/>
      <c r="S260" s="367"/>
      <c r="T260" s="367"/>
      <c r="U260" s="367"/>
      <c r="V260" s="367"/>
      <c r="W260" s="8"/>
      <c r="X260" s="8"/>
      <c r="Y260" s="8"/>
      <c r="Z260" s="8"/>
      <c r="AA260" s="8"/>
      <c r="AB260" s="8"/>
    </row>
    <row r="261">
      <c r="A261" s="8"/>
      <c r="B261" s="8"/>
      <c r="C261" s="8"/>
      <c r="D261" s="8"/>
      <c r="E261" s="8"/>
      <c r="F261" s="366"/>
      <c r="G261" s="8"/>
      <c r="H261" s="8"/>
      <c r="I261" s="8"/>
      <c r="J261" s="8"/>
      <c r="K261" s="8"/>
      <c r="L261" s="8"/>
      <c r="M261" s="8"/>
      <c r="N261" s="8"/>
      <c r="O261" s="8"/>
      <c r="P261" s="8"/>
      <c r="Q261" s="8"/>
      <c r="R261" s="8"/>
      <c r="S261" s="367"/>
      <c r="T261" s="367"/>
      <c r="U261" s="367"/>
      <c r="V261" s="367"/>
      <c r="W261" s="8"/>
      <c r="X261" s="8"/>
      <c r="Y261" s="8"/>
      <c r="Z261" s="8"/>
      <c r="AA261" s="8"/>
      <c r="AB261" s="8"/>
    </row>
    <row r="262">
      <c r="A262" s="8"/>
      <c r="B262" s="8"/>
      <c r="C262" s="8"/>
      <c r="D262" s="8"/>
      <c r="E262" s="8"/>
      <c r="F262" s="366"/>
      <c r="G262" s="8"/>
      <c r="H262" s="8"/>
      <c r="I262" s="8"/>
      <c r="J262" s="8"/>
      <c r="K262" s="8"/>
      <c r="L262" s="8"/>
      <c r="M262" s="8"/>
      <c r="N262" s="8"/>
      <c r="O262" s="8"/>
      <c r="P262" s="8"/>
      <c r="Q262" s="8"/>
      <c r="R262" s="8"/>
      <c r="S262" s="367"/>
      <c r="T262" s="367"/>
      <c r="U262" s="367"/>
      <c r="V262" s="367"/>
      <c r="W262" s="8"/>
      <c r="X262" s="8"/>
      <c r="Y262" s="8"/>
      <c r="Z262" s="8"/>
      <c r="AA262" s="8"/>
      <c r="AB262" s="8"/>
    </row>
    <row r="263">
      <c r="A263" s="8"/>
      <c r="B263" s="8"/>
      <c r="C263" s="8"/>
      <c r="D263" s="8"/>
      <c r="E263" s="8"/>
      <c r="F263" s="366"/>
      <c r="G263" s="8"/>
      <c r="H263" s="8"/>
      <c r="I263" s="8"/>
      <c r="J263" s="8"/>
      <c r="K263" s="8"/>
      <c r="L263" s="8"/>
      <c r="M263" s="8"/>
      <c r="N263" s="8"/>
      <c r="O263" s="8"/>
      <c r="P263" s="8"/>
      <c r="Q263" s="8"/>
      <c r="R263" s="8"/>
      <c r="S263" s="367"/>
      <c r="T263" s="367"/>
      <c r="U263" s="367"/>
      <c r="V263" s="367"/>
      <c r="W263" s="8"/>
      <c r="X263" s="8"/>
      <c r="Y263" s="8"/>
      <c r="Z263" s="8"/>
      <c r="AA263" s="8"/>
      <c r="AB263" s="8"/>
    </row>
    <row r="264">
      <c r="A264" s="8"/>
      <c r="B264" s="8"/>
      <c r="C264" s="8"/>
      <c r="D264" s="8"/>
      <c r="E264" s="8"/>
      <c r="F264" s="366"/>
      <c r="G264" s="8"/>
      <c r="H264" s="8"/>
      <c r="I264" s="8"/>
      <c r="J264" s="8"/>
      <c r="K264" s="8"/>
      <c r="L264" s="8"/>
      <c r="M264" s="8"/>
      <c r="N264" s="8"/>
      <c r="O264" s="8"/>
      <c r="P264" s="8"/>
      <c r="Q264" s="8"/>
      <c r="R264" s="8"/>
      <c r="S264" s="367"/>
      <c r="T264" s="367"/>
      <c r="U264" s="367"/>
      <c r="V264" s="367"/>
      <c r="W264" s="8"/>
      <c r="X264" s="8"/>
      <c r="Y264" s="8"/>
      <c r="Z264" s="8"/>
      <c r="AA264" s="8"/>
      <c r="AB264" s="8"/>
    </row>
    <row r="265">
      <c r="A265" s="8"/>
      <c r="B265" s="8"/>
      <c r="C265" s="8"/>
      <c r="D265" s="8"/>
      <c r="E265" s="8"/>
      <c r="F265" s="366"/>
      <c r="G265" s="8"/>
      <c r="H265" s="8"/>
      <c r="I265" s="8"/>
      <c r="J265" s="8"/>
      <c r="K265" s="8"/>
      <c r="L265" s="8"/>
      <c r="M265" s="8"/>
      <c r="N265" s="8"/>
      <c r="O265" s="8"/>
      <c r="P265" s="8"/>
      <c r="Q265" s="8"/>
      <c r="R265" s="8"/>
      <c r="S265" s="367"/>
      <c r="T265" s="367"/>
      <c r="U265" s="367"/>
      <c r="V265" s="367"/>
      <c r="W265" s="8"/>
      <c r="X265" s="8"/>
      <c r="Y265" s="8"/>
      <c r="Z265" s="8"/>
      <c r="AA265" s="8"/>
      <c r="AB265" s="8"/>
    </row>
    <row r="266">
      <c r="A266" s="8"/>
      <c r="B266" s="8"/>
      <c r="C266" s="8"/>
      <c r="D266" s="8"/>
      <c r="E266" s="8"/>
      <c r="F266" s="366"/>
      <c r="G266" s="8"/>
      <c r="H266" s="8"/>
      <c r="I266" s="8"/>
      <c r="J266" s="8"/>
      <c r="K266" s="8"/>
      <c r="L266" s="8"/>
      <c r="M266" s="8"/>
      <c r="N266" s="8"/>
      <c r="O266" s="8"/>
      <c r="P266" s="8"/>
      <c r="Q266" s="8"/>
      <c r="R266" s="8"/>
      <c r="S266" s="367"/>
      <c r="T266" s="367"/>
      <c r="U266" s="367"/>
      <c r="V266" s="367"/>
      <c r="W266" s="8"/>
      <c r="X266" s="8"/>
      <c r="Y266" s="8"/>
      <c r="Z266" s="8"/>
      <c r="AA266" s="8"/>
      <c r="AB266" s="8"/>
    </row>
    <row r="267">
      <c r="A267" s="8"/>
      <c r="B267" s="8"/>
      <c r="C267" s="8"/>
      <c r="D267" s="8"/>
      <c r="E267" s="8"/>
      <c r="F267" s="366"/>
      <c r="G267" s="8"/>
      <c r="H267" s="8"/>
      <c r="I267" s="8"/>
      <c r="J267" s="8"/>
      <c r="K267" s="8"/>
      <c r="L267" s="8"/>
      <c r="M267" s="8"/>
      <c r="N267" s="8"/>
      <c r="O267" s="8"/>
      <c r="P267" s="8"/>
      <c r="Q267" s="8"/>
      <c r="R267" s="8"/>
      <c r="S267" s="367"/>
      <c r="T267" s="367"/>
      <c r="U267" s="367"/>
      <c r="V267" s="367"/>
      <c r="W267" s="8"/>
      <c r="X267" s="8"/>
      <c r="Y267" s="8"/>
      <c r="Z267" s="8"/>
      <c r="AA267" s="8"/>
      <c r="AB267" s="8"/>
    </row>
    <row r="268">
      <c r="A268" s="8"/>
      <c r="B268" s="8"/>
      <c r="C268" s="8"/>
      <c r="D268" s="8"/>
      <c r="E268" s="8"/>
      <c r="F268" s="366"/>
      <c r="G268" s="8"/>
      <c r="H268" s="8"/>
      <c r="I268" s="8"/>
      <c r="J268" s="8"/>
      <c r="K268" s="8"/>
      <c r="L268" s="8"/>
      <c r="M268" s="8"/>
      <c r="N268" s="8"/>
      <c r="O268" s="8"/>
      <c r="P268" s="8"/>
      <c r="Q268" s="8"/>
      <c r="R268" s="8"/>
      <c r="S268" s="367"/>
      <c r="T268" s="367"/>
      <c r="U268" s="367"/>
      <c r="V268" s="367"/>
      <c r="W268" s="8"/>
      <c r="X268" s="8"/>
      <c r="Y268" s="8"/>
      <c r="Z268" s="8"/>
      <c r="AA268" s="8"/>
      <c r="AB268" s="8"/>
    </row>
    <row r="269">
      <c r="A269" s="8"/>
      <c r="B269" s="8"/>
      <c r="C269" s="8"/>
      <c r="D269" s="8"/>
      <c r="E269" s="8"/>
      <c r="F269" s="366"/>
      <c r="G269" s="8"/>
      <c r="H269" s="8"/>
      <c r="I269" s="8"/>
      <c r="J269" s="8"/>
      <c r="K269" s="8"/>
      <c r="L269" s="8"/>
      <c r="M269" s="8"/>
      <c r="N269" s="8"/>
      <c r="O269" s="8"/>
      <c r="P269" s="8"/>
      <c r="Q269" s="8"/>
      <c r="R269" s="8"/>
      <c r="S269" s="367"/>
      <c r="T269" s="367"/>
      <c r="U269" s="367"/>
      <c r="V269" s="367"/>
      <c r="W269" s="8"/>
      <c r="X269" s="8"/>
      <c r="Y269" s="8"/>
      <c r="Z269" s="8"/>
      <c r="AA269" s="8"/>
      <c r="AB269" s="8"/>
    </row>
    <row r="270">
      <c r="A270" s="8"/>
      <c r="B270" s="8"/>
      <c r="C270" s="8"/>
      <c r="D270" s="8"/>
      <c r="E270" s="8"/>
      <c r="F270" s="366"/>
      <c r="G270" s="8"/>
      <c r="H270" s="8"/>
      <c r="I270" s="8"/>
      <c r="J270" s="8"/>
      <c r="K270" s="8"/>
      <c r="L270" s="8"/>
      <c r="M270" s="8"/>
      <c r="N270" s="8"/>
      <c r="O270" s="8"/>
      <c r="P270" s="8"/>
      <c r="Q270" s="8"/>
      <c r="R270" s="8"/>
      <c r="S270" s="367"/>
      <c r="T270" s="367"/>
      <c r="U270" s="367"/>
      <c r="V270" s="367"/>
      <c r="W270" s="8"/>
      <c r="X270" s="8"/>
      <c r="Y270" s="8"/>
      <c r="Z270" s="8"/>
      <c r="AA270" s="8"/>
      <c r="AB270" s="8"/>
    </row>
    <row r="271">
      <c r="A271" s="8"/>
      <c r="B271" s="8"/>
      <c r="C271" s="8"/>
      <c r="D271" s="8"/>
      <c r="E271" s="8"/>
      <c r="F271" s="366"/>
      <c r="G271" s="8"/>
      <c r="H271" s="8"/>
      <c r="I271" s="8"/>
      <c r="J271" s="8"/>
      <c r="K271" s="8"/>
      <c r="L271" s="8"/>
      <c r="M271" s="8"/>
      <c r="N271" s="8"/>
      <c r="O271" s="8"/>
      <c r="P271" s="8"/>
      <c r="Q271" s="8"/>
      <c r="R271" s="8"/>
      <c r="S271" s="367"/>
      <c r="T271" s="367"/>
      <c r="U271" s="367"/>
      <c r="V271" s="367"/>
      <c r="W271" s="8"/>
      <c r="X271" s="8"/>
      <c r="Y271" s="8"/>
      <c r="Z271" s="8"/>
      <c r="AA271" s="8"/>
      <c r="AB271" s="8"/>
    </row>
    <row r="272">
      <c r="A272" s="8"/>
      <c r="B272" s="8"/>
      <c r="C272" s="8"/>
      <c r="D272" s="8"/>
      <c r="E272" s="8"/>
      <c r="F272" s="366"/>
      <c r="G272" s="8"/>
      <c r="H272" s="8"/>
      <c r="I272" s="8"/>
      <c r="J272" s="8"/>
      <c r="K272" s="8"/>
      <c r="L272" s="8"/>
      <c r="M272" s="8"/>
      <c r="N272" s="8"/>
      <c r="O272" s="8"/>
      <c r="P272" s="8"/>
      <c r="Q272" s="8"/>
      <c r="R272" s="8"/>
      <c r="S272" s="367"/>
      <c r="T272" s="367"/>
      <c r="U272" s="367"/>
      <c r="V272" s="367"/>
      <c r="W272" s="8"/>
      <c r="X272" s="8"/>
      <c r="Y272" s="8"/>
      <c r="Z272" s="8"/>
      <c r="AA272" s="8"/>
      <c r="AB272" s="8"/>
    </row>
    <row r="273">
      <c r="A273" s="8"/>
      <c r="B273" s="8"/>
      <c r="C273" s="8"/>
      <c r="D273" s="8"/>
      <c r="E273" s="8"/>
      <c r="F273" s="366"/>
      <c r="G273" s="8"/>
      <c r="H273" s="8"/>
      <c r="I273" s="8"/>
      <c r="J273" s="8"/>
      <c r="K273" s="8"/>
      <c r="L273" s="8"/>
      <c r="M273" s="8"/>
      <c r="N273" s="8"/>
      <c r="O273" s="8"/>
      <c r="P273" s="8"/>
      <c r="Q273" s="8"/>
      <c r="R273" s="8"/>
      <c r="S273" s="367"/>
      <c r="T273" s="367"/>
      <c r="U273" s="367"/>
      <c r="V273" s="367"/>
      <c r="W273" s="8"/>
      <c r="X273" s="8"/>
      <c r="Y273" s="8"/>
      <c r="Z273" s="8"/>
      <c r="AA273" s="8"/>
      <c r="AB273" s="8"/>
    </row>
    <row r="274">
      <c r="A274" s="8"/>
      <c r="B274" s="8"/>
      <c r="C274" s="8"/>
      <c r="D274" s="8"/>
      <c r="E274" s="8"/>
      <c r="F274" s="366"/>
      <c r="G274" s="8"/>
      <c r="H274" s="8"/>
      <c r="I274" s="8"/>
      <c r="J274" s="8"/>
      <c r="K274" s="8"/>
      <c r="L274" s="8"/>
      <c r="M274" s="8"/>
      <c r="N274" s="8"/>
      <c r="O274" s="8"/>
      <c r="P274" s="8"/>
      <c r="Q274" s="8"/>
      <c r="R274" s="8"/>
      <c r="S274" s="367"/>
      <c r="T274" s="367"/>
      <c r="U274" s="367"/>
      <c r="V274" s="367"/>
      <c r="W274" s="8"/>
      <c r="X274" s="8"/>
      <c r="Y274" s="8"/>
      <c r="Z274" s="8"/>
      <c r="AA274" s="8"/>
      <c r="AB274" s="8"/>
    </row>
    <row r="275">
      <c r="A275" s="8"/>
      <c r="B275" s="8"/>
      <c r="C275" s="8"/>
      <c r="D275" s="8"/>
      <c r="E275" s="8"/>
      <c r="F275" s="366"/>
      <c r="G275" s="8"/>
      <c r="H275" s="8"/>
      <c r="I275" s="8"/>
      <c r="J275" s="8"/>
      <c r="K275" s="8"/>
      <c r="L275" s="8"/>
      <c r="M275" s="8"/>
      <c r="N275" s="8"/>
      <c r="O275" s="8"/>
      <c r="P275" s="8"/>
      <c r="Q275" s="8"/>
      <c r="R275" s="8"/>
      <c r="S275" s="367"/>
      <c r="T275" s="367"/>
      <c r="U275" s="367"/>
      <c r="V275" s="367"/>
      <c r="W275" s="8"/>
      <c r="X275" s="8"/>
      <c r="Y275" s="8"/>
      <c r="Z275" s="8"/>
      <c r="AA275" s="8"/>
      <c r="AB275" s="8"/>
    </row>
    <row r="276">
      <c r="A276" s="8"/>
      <c r="B276" s="8"/>
      <c r="C276" s="8"/>
      <c r="D276" s="8"/>
      <c r="E276" s="8"/>
      <c r="F276" s="366"/>
      <c r="G276" s="8"/>
      <c r="H276" s="8"/>
      <c r="I276" s="8"/>
      <c r="J276" s="8"/>
      <c r="K276" s="8"/>
      <c r="L276" s="8"/>
      <c r="M276" s="8"/>
      <c r="N276" s="8"/>
      <c r="O276" s="8"/>
      <c r="P276" s="8"/>
      <c r="Q276" s="8"/>
      <c r="R276" s="8"/>
      <c r="S276" s="367"/>
      <c r="T276" s="367"/>
      <c r="U276" s="367"/>
      <c r="V276" s="367"/>
      <c r="W276" s="8"/>
      <c r="X276" s="8"/>
      <c r="Y276" s="8"/>
      <c r="Z276" s="8"/>
      <c r="AA276" s="8"/>
      <c r="AB276" s="8"/>
    </row>
    <row r="277">
      <c r="A277" s="8"/>
      <c r="B277" s="8"/>
      <c r="C277" s="8"/>
      <c r="D277" s="8"/>
      <c r="E277" s="8"/>
      <c r="F277" s="366"/>
      <c r="G277" s="8"/>
      <c r="H277" s="8"/>
      <c r="I277" s="8"/>
      <c r="J277" s="8"/>
      <c r="K277" s="8"/>
      <c r="L277" s="8"/>
      <c r="M277" s="8"/>
      <c r="N277" s="8"/>
      <c r="O277" s="8"/>
      <c r="P277" s="8"/>
      <c r="Q277" s="8"/>
      <c r="R277" s="8"/>
      <c r="S277" s="367"/>
      <c r="T277" s="367"/>
      <c r="U277" s="367"/>
      <c r="V277" s="367"/>
      <c r="W277" s="8"/>
      <c r="X277" s="8"/>
      <c r="Y277" s="8"/>
      <c r="Z277" s="8"/>
      <c r="AA277" s="8"/>
      <c r="AB277" s="8"/>
    </row>
    <row r="278">
      <c r="A278" s="8"/>
      <c r="B278" s="8"/>
      <c r="C278" s="8"/>
      <c r="D278" s="8"/>
      <c r="E278" s="8"/>
      <c r="F278" s="366"/>
      <c r="G278" s="8"/>
      <c r="H278" s="8"/>
      <c r="I278" s="8"/>
      <c r="J278" s="8"/>
      <c r="K278" s="8"/>
      <c r="L278" s="8"/>
      <c r="M278" s="8"/>
      <c r="N278" s="8"/>
      <c r="O278" s="8"/>
      <c r="P278" s="8"/>
      <c r="Q278" s="8"/>
      <c r="R278" s="8"/>
      <c r="S278" s="367"/>
      <c r="T278" s="367"/>
      <c r="U278" s="367"/>
      <c r="V278" s="367"/>
      <c r="W278" s="8"/>
      <c r="X278" s="8"/>
      <c r="Y278" s="8"/>
      <c r="Z278" s="8"/>
      <c r="AA278" s="8"/>
      <c r="AB278" s="8"/>
    </row>
    <row r="279">
      <c r="A279" s="8"/>
      <c r="B279" s="8"/>
      <c r="C279" s="8"/>
      <c r="D279" s="8"/>
      <c r="E279" s="8"/>
      <c r="F279" s="366"/>
      <c r="G279" s="8"/>
      <c r="H279" s="8"/>
      <c r="I279" s="8"/>
      <c r="J279" s="8"/>
      <c r="K279" s="8"/>
      <c r="L279" s="8"/>
      <c r="M279" s="8"/>
      <c r="N279" s="8"/>
      <c r="O279" s="8"/>
      <c r="P279" s="8"/>
      <c r="Q279" s="8"/>
      <c r="R279" s="8"/>
      <c r="S279" s="367"/>
      <c r="T279" s="367"/>
      <c r="U279" s="367"/>
      <c r="V279" s="367"/>
      <c r="W279" s="8"/>
      <c r="X279" s="8"/>
      <c r="Y279" s="8"/>
      <c r="Z279" s="8"/>
      <c r="AA279" s="8"/>
      <c r="AB279" s="8"/>
    </row>
    <row r="280">
      <c r="A280" s="8"/>
      <c r="B280" s="8"/>
      <c r="C280" s="8"/>
      <c r="D280" s="8"/>
      <c r="E280" s="8"/>
      <c r="F280" s="366"/>
      <c r="G280" s="8"/>
      <c r="H280" s="8"/>
      <c r="I280" s="8"/>
      <c r="J280" s="8"/>
      <c r="K280" s="8"/>
      <c r="L280" s="8"/>
      <c r="M280" s="8"/>
      <c r="N280" s="8"/>
      <c r="O280" s="8"/>
      <c r="P280" s="8"/>
      <c r="Q280" s="8"/>
      <c r="R280" s="8"/>
      <c r="S280" s="367"/>
      <c r="T280" s="367"/>
      <c r="U280" s="367"/>
      <c r="V280" s="367"/>
      <c r="W280" s="8"/>
      <c r="X280" s="8"/>
      <c r="Y280" s="8"/>
      <c r="Z280" s="8"/>
      <c r="AA280" s="8"/>
      <c r="AB280" s="8"/>
    </row>
    <row r="281">
      <c r="A281" s="8"/>
      <c r="B281" s="8"/>
      <c r="C281" s="8"/>
      <c r="D281" s="8"/>
      <c r="E281" s="8"/>
      <c r="F281" s="366"/>
      <c r="G281" s="8"/>
      <c r="H281" s="8"/>
      <c r="I281" s="8"/>
      <c r="J281" s="8"/>
      <c r="K281" s="8"/>
      <c r="L281" s="8"/>
      <c r="M281" s="8"/>
      <c r="N281" s="8"/>
      <c r="O281" s="8"/>
      <c r="P281" s="8"/>
      <c r="Q281" s="8"/>
      <c r="R281" s="8"/>
      <c r="S281" s="367"/>
      <c r="T281" s="367"/>
      <c r="U281" s="367"/>
      <c r="V281" s="367"/>
      <c r="W281" s="8"/>
      <c r="X281" s="8"/>
      <c r="Y281" s="8"/>
      <c r="Z281" s="8"/>
      <c r="AA281" s="8"/>
      <c r="AB281" s="8"/>
    </row>
    <row r="282">
      <c r="A282" s="8"/>
      <c r="B282" s="8"/>
      <c r="C282" s="8"/>
      <c r="D282" s="8"/>
      <c r="E282" s="8"/>
      <c r="F282" s="366"/>
      <c r="G282" s="8"/>
      <c r="H282" s="8"/>
      <c r="I282" s="8"/>
      <c r="J282" s="8"/>
      <c r="K282" s="8"/>
      <c r="L282" s="8"/>
      <c r="M282" s="8"/>
      <c r="N282" s="8"/>
      <c r="O282" s="8"/>
      <c r="P282" s="8"/>
      <c r="Q282" s="8"/>
      <c r="R282" s="8"/>
      <c r="S282" s="367"/>
      <c r="T282" s="367"/>
      <c r="U282" s="367"/>
      <c r="V282" s="367"/>
      <c r="W282" s="8"/>
      <c r="X282" s="8"/>
      <c r="Y282" s="8"/>
      <c r="Z282" s="8"/>
      <c r="AA282" s="8"/>
      <c r="AB282" s="8"/>
    </row>
    <row r="283">
      <c r="A283" s="8"/>
      <c r="B283" s="8"/>
      <c r="C283" s="8"/>
      <c r="D283" s="8"/>
      <c r="E283" s="8"/>
      <c r="F283" s="366"/>
      <c r="G283" s="8"/>
      <c r="H283" s="8"/>
      <c r="I283" s="8"/>
      <c r="J283" s="8"/>
      <c r="K283" s="8"/>
      <c r="L283" s="8"/>
      <c r="M283" s="8"/>
      <c r="N283" s="8"/>
      <c r="O283" s="8"/>
      <c r="P283" s="8"/>
      <c r="Q283" s="8"/>
      <c r="R283" s="8"/>
      <c r="S283" s="367"/>
      <c r="T283" s="367"/>
      <c r="U283" s="367"/>
      <c r="V283" s="367"/>
      <c r="W283" s="8"/>
      <c r="X283" s="8"/>
      <c r="Y283" s="8"/>
      <c r="Z283" s="8"/>
      <c r="AA283" s="8"/>
      <c r="AB283" s="8"/>
    </row>
    <row r="284">
      <c r="A284" s="8"/>
      <c r="B284" s="8"/>
      <c r="C284" s="8"/>
      <c r="D284" s="8"/>
      <c r="E284" s="8"/>
      <c r="F284" s="366"/>
      <c r="G284" s="8"/>
      <c r="H284" s="8"/>
      <c r="I284" s="8"/>
      <c r="J284" s="8"/>
      <c r="K284" s="8"/>
      <c r="L284" s="8"/>
      <c r="M284" s="8"/>
      <c r="N284" s="8"/>
      <c r="O284" s="8"/>
      <c r="P284" s="8"/>
      <c r="Q284" s="8"/>
      <c r="R284" s="8"/>
      <c r="S284" s="367"/>
      <c r="T284" s="367"/>
      <c r="U284" s="367"/>
      <c r="V284" s="367"/>
      <c r="W284" s="8"/>
      <c r="X284" s="8"/>
      <c r="Y284" s="8"/>
      <c r="Z284" s="8"/>
      <c r="AA284" s="8"/>
      <c r="AB284" s="8"/>
    </row>
    <row r="285">
      <c r="A285" s="8"/>
      <c r="B285" s="8"/>
      <c r="C285" s="8"/>
      <c r="D285" s="8"/>
      <c r="E285" s="8"/>
      <c r="F285" s="366"/>
      <c r="G285" s="8"/>
      <c r="H285" s="8"/>
      <c r="I285" s="8"/>
      <c r="J285" s="8"/>
      <c r="K285" s="8"/>
      <c r="L285" s="8"/>
      <c r="M285" s="8"/>
      <c r="N285" s="8"/>
      <c r="O285" s="8"/>
      <c r="P285" s="8"/>
      <c r="Q285" s="8"/>
      <c r="R285" s="8"/>
      <c r="S285" s="367"/>
      <c r="T285" s="367"/>
      <c r="U285" s="367"/>
      <c r="V285" s="367"/>
      <c r="W285" s="8"/>
      <c r="X285" s="8"/>
      <c r="Y285" s="8"/>
      <c r="Z285" s="8"/>
      <c r="AA285" s="8"/>
      <c r="AB285" s="8"/>
    </row>
    <row r="286">
      <c r="A286" s="8"/>
      <c r="B286" s="8"/>
      <c r="C286" s="8"/>
      <c r="D286" s="8"/>
      <c r="E286" s="8"/>
      <c r="F286" s="366"/>
      <c r="G286" s="8"/>
      <c r="H286" s="8"/>
      <c r="I286" s="8"/>
      <c r="J286" s="8"/>
      <c r="K286" s="8"/>
      <c r="L286" s="8"/>
      <c r="M286" s="8"/>
      <c r="N286" s="8"/>
      <c r="O286" s="8"/>
      <c r="P286" s="8"/>
      <c r="Q286" s="8"/>
      <c r="R286" s="8"/>
      <c r="S286" s="367"/>
      <c r="T286" s="367"/>
      <c r="U286" s="367"/>
      <c r="V286" s="367"/>
      <c r="W286" s="8"/>
      <c r="X286" s="8"/>
      <c r="Y286" s="8"/>
      <c r="Z286" s="8"/>
      <c r="AA286" s="8"/>
      <c r="AB286" s="8"/>
    </row>
    <row r="287">
      <c r="A287" s="8"/>
      <c r="B287" s="8"/>
      <c r="C287" s="8"/>
      <c r="D287" s="8"/>
      <c r="E287" s="8"/>
      <c r="F287" s="366"/>
      <c r="G287" s="8"/>
      <c r="H287" s="8"/>
      <c r="I287" s="8"/>
      <c r="J287" s="8"/>
      <c r="K287" s="8"/>
      <c r="L287" s="8"/>
      <c r="M287" s="8"/>
      <c r="N287" s="8"/>
      <c r="O287" s="8"/>
      <c r="P287" s="8"/>
      <c r="Q287" s="8"/>
      <c r="R287" s="8"/>
      <c r="S287" s="367"/>
      <c r="T287" s="367"/>
      <c r="U287" s="367"/>
      <c r="V287" s="367"/>
      <c r="W287" s="8"/>
      <c r="X287" s="8"/>
      <c r="Y287" s="8"/>
      <c r="Z287" s="8"/>
      <c r="AA287" s="8"/>
      <c r="AB287" s="8"/>
    </row>
    <row r="288">
      <c r="A288" s="8"/>
      <c r="B288" s="8"/>
      <c r="C288" s="8"/>
      <c r="D288" s="8"/>
      <c r="E288" s="8"/>
      <c r="F288" s="366"/>
      <c r="G288" s="8"/>
      <c r="H288" s="8"/>
      <c r="I288" s="8"/>
      <c r="J288" s="8"/>
      <c r="K288" s="8"/>
      <c r="L288" s="8"/>
      <c r="M288" s="8"/>
      <c r="N288" s="8"/>
      <c r="O288" s="8"/>
      <c r="P288" s="8"/>
      <c r="Q288" s="8"/>
      <c r="R288" s="8"/>
      <c r="S288" s="367"/>
      <c r="T288" s="367"/>
      <c r="U288" s="367"/>
      <c r="V288" s="367"/>
      <c r="W288" s="8"/>
      <c r="X288" s="8"/>
      <c r="Y288" s="8"/>
      <c r="Z288" s="8"/>
      <c r="AA288" s="8"/>
      <c r="AB288" s="8"/>
    </row>
    <row r="289">
      <c r="A289" s="8"/>
      <c r="B289" s="8"/>
      <c r="C289" s="8"/>
      <c r="D289" s="8"/>
      <c r="E289" s="8"/>
      <c r="F289" s="366"/>
      <c r="G289" s="8"/>
      <c r="H289" s="8"/>
      <c r="I289" s="8"/>
      <c r="J289" s="8"/>
      <c r="K289" s="8"/>
      <c r="L289" s="8"/>
      <c r="M289" s="8"/>
      <c r="N289" s="8"/>
      <c r="O289" s="8"/>
      <c r="P289" s="8"/>
      <c r="Q289" s="8"/>
      <c r="R289" s="8"/>
      <c r="S289" s="367"/>
      <c r="T289" s="367"/>
      <c r="U289" s="367"/>
      <c r="V289" s="367"/>
      <c r="W289" s="8"/>
      <c r="X289" s="8"/>
      <c r="Y289" s="8"/>
      <c r="Z289" s="8"/>
      <c r="AA289" s="8"/>
      <c r="AB289" s="8"/>
    </row>
    <row r="290">
      <c r="A290" s="8"/>
      <c r="B290" s="8"/>
      <c r="C290" s="8"/>
      <c r="D290" s="8"/>
      <c r="E290" s="8"/>
      <c r="F290" s="366"/>
      <c r="G290" s="8"/>
      <c r="H290" s="8"/>
      <c r="I290" s="8"/>
      <c r="J290" s="8"/>
      <c r="K290" s="8"/>
      <c r="L290" s="8"/>
      <c r="M290" s="8"/>
      <c r="N290" s="8"/>
      <c r="O290" s="8"/>
      <c r="P290" s="8"/>
      <c r="Q290" s="8"/>
      <c r="R290" s="8"/>
      <c r="S290" s="367"/>
      <c r="T290" s="367"/>
      <c r="U290" s="367"/>
      <c r="V290" s="367"/>
      <c r="W290" s="8"/>
      <c r="X290" s="8"/>
      <c r="Y290" s="8"/>
      <c r="Z290" s="8"/>
      <c r="AA290" s="8"/>
      <c r="AB290" s="8"/>
    </row>
    <row r="291">
      <c r="A291" s="8"/>
      <c r="B291" s="8"/>
      <c r="C291" s="8"/>
      <c r="D291" s="8"/>
      <c r="E291" s="8"/>
      <c r="F291" s="366"/>
      <c r="G291" s="8"/>
      <c r="H291" s="8"/>
      <c r="I291" s="8"/>
      <c r="J291" s="8"/>
      <c r="K291" s="8"/>
      <c r="L291" s="8"/>
      <c r="M291" s="8"/>
      <c r="N291" s="8"/>
      <c r="O291" s="8"/>
      <c r="P291" s="8"/>
      <c r="Q291" s="8"/>
      <c r="R291" s="8"/>
      <c r="S291" s="367"/>
      <c r="T291" s="367"/>
      <c r="U291" s="367"/>
      <c r="V291" s="367"/>
      <c r="W291" s="8"/>
      <c r="X291" s="8"/>
      <c r="Y291" s="8"/>
      <c r="Z291" s="8"/>
      <c r="AA291" s="8"/>
      <c r="AB291" s="8"/>
    </row>
    <row r="292">
      <c r="A292" s="8"/>
      <c r="B292" s="8"/>
      <c r="C292" s="8"/>
      <c r="D292" s="8"/>
      <c r="E292" s="8"/>
      <c r="F292" s="366"/>
      <c r="G292" s="8"/>
      <c r="H292" s="8"/>
      <c r="I292" s="8"/>
      <c r="J292" s="8"/>
      <c r="K292" s="8"/>
      <c r="L292" s="8"/>
      <c r="M292" s="8"/>
      <c r="N292" s="8"/>
      <c r="O292" s="8"/>
      <c r="P292" s="8"/>
      <c r="Q292" s="8"/>
      <c r="R292" s="8"/>
      <c r="S292" s="367"/>
      <c r="T292" s="367"/>
      <c r="U292" s="367"/>
      <c r="V292" s="367"/>
      <c r="W292" s="8"/>
      <c r="X292" s="8"/>
      <c r="Y292" s="8"/>
      <c r="Z292" s="8"/>
      <c r="AA292" s="8"/>
      <c r="AB292" s="8"/>
    </row>
    <row r="293">
      <c r="A293" s="8"/>
      <c r="B293" s="8"/>
      <c r="C293" s="8"/>
      <c r="D293" s="8"/>
      <c r="E293" s="8"/>
      <c r="F293" s="366"/>
      <c r="G293" s="8"/>
      <c r="H293" s="8"/>
      <c r="I293" s="8"/>
      <c r="J293" s="8"/>
      <c r="K293" s="8"/>
      <c r="L293" s="8"/>
      <c r="M293" s="8"/>
      <c r="N293" s="8"/>
      <c r="O293" s="8"/>
      <c r="P293" s="8"/>
      <c r="Q293" s="8"/>
      <c r="R293" s="8"/>
      <c r="S293" s="367"/>
      <c r="T293" s="367"/>
      <c r="U293" s="367"/>
      <c r="V293" s="367"/>
      <c r="W293" s="8"/>
      <c r="X293" s="8"/>
      <c r="Y293" s="8"/>
      <c r="Z293" s="8"/>
      <c r="AA293" s="8"/>
      <c r="AB293" s="8"/>
    </row>
    <row r="294">
      <c r="A294" s="8"/>
      <c r="B294" s="8"/>
      <c r="C294" s="8"/>
      <c r="D294" s="8"/>
      <c r="E294" s="8"/>
      <c r="F294" s="366"/>
      <c r="G294" s="8"/>
      <c r="H294" s="8"/>
      <c r="I294" s="8"/>
      <c r="J294" s="8"/>
      <c r="K294" s="8"/>
      <c r="L294" s="8"/>
      <c r="M294" s="8"/>
      <c r="N294" s="8"/>
      <c r="O294" s="8"/>
      <c r="P294" s="8"/>
      <c r="Q294" s="8"/>
      <c r="R294" s="8"/>
      <c r="S294" s="367"/>
      <c r="T294" s="367"/>
      <c r="U294" s="367"/>
      <c r="V294" s="367"/>
      <c r="W294" s="8"/>
      <c r="X294" s="8"/>
      <c r="Y294" s="8"/>
      <c r="Z294" s="8"/>
      <c r="AA294" s="8"/>
      <c r="AB294" s="8"/>
    </row>
    <row r="295">
      <c r="A295" s="8"/>
      <c r="B295" s="8"/>
      <c r="C295" s="8"/>
      <c r="D295" s="8"/>
      <c r="E295" s="8"/>
      <c r="F295" s="366"/>
      <c r="G295" s="8"/>
      <c r="H295" s="8"/>
      <c r="I295" s="8"/>
      <c r="J295" s="8"/>
      <c r="K295" s="8"/>
      <c r="L295" s="8"/>
      <c r="M295" s="8"/>
      <c r="N295" s="8"/>
      <c r="O295" s="8"/>
      <c r="P295" s="8"/>
      <c r="Q295" s="8"/>
      <c r="R295" s="8"/>
      <c r="S295" s="367"/>
      <c r="T295" s="367"/>
      <c r="U295" s="367"/>
      <c r="V295" s="367"/>
      <c r="W295" s="8"/>
      <c r="X295" s="8"/>
      <c r="Y295" s="8"/>
      <c r="Z295" s="8"/>
      <c r="AA295" s="8"/>
      <c r="AB295" s="8"/>
    </row>
    <row r="296">
      <c r="A296" s="8"/>
      <c r="B296" s="8"/>
      <c r="C296" s="8"/>
      <c r="D296" s="8"/>
      <c r="E296" s="8"/>
      <c r="F296" s="366"/>
      <c r="G296" s="8"/>
      <c r="H296" s="8"/>
      <c r="I296" s="8"/>
      <c r="J296" s="8"/>
      <c r="K296" s="8"/>
      <c r="L296" s="8"/>
      <c r="M296" s="8"/>
      <c r="N296" s="8"/>
      <c r="O296" s="8"/>
      <c r="P296" s="8"/>
      <c r="Q296" s="8"/>
      <c r="R296" s="8"/>
      <c r="S296" s="367"/>
      <c r="T296" s="367"/>
      <c r="U296" s="367"/>
      <c r="V296" s="367"/>
      <c r="W296" s="8"/>
      <c r="X296" s="8"/>
      <c r="Y296" s="8"/>
      <c r="Z296" s="8"/>
      <c r="AA296" s="8"/>
      <c r="AB296" s="8"/>
    </row>
    <row r="297">
      <c r="A297" s="8"/>
      <c r="B297" s="8"/>
      <c r="C297" s="8"/>
      <c r="D297" s="8"/>
      <c r="E297" s="8"/>
      <c r="F297" s="366"/>
      <c r="G297" s="8"/>
      <c r="H297" s="8"/>
      <c r="I297" s="8"/>
      <c r="J297" s="8"/>
      <c r="K297" s="8"/>
      <c r="L297" s="8"/>
      <c r="M297" s="8"/>
      <c r="N297" s="8"/>
      <c r="O297" s="8"/>
      <c r="P297" s="8"/>
      <c r="Q297" s="8"/>
      <c r="R297" s="8"/>
      <c r="S297" s="367"/>
      <c r="T297" s="367"/>
      <c r="U297" s="367"/>
      <c r="V297" s="367"/>
      <c r="W297" s="8"/>
      <c r="X297" s="8"/>
      <c r="Y297" s="8"/>
      <c r="Z297" s="8"/>
      <c r="AA297" s="8"/>
      <c r="AB297" s="8"/>
    </row>
    <row r="298">
      <c r="A298" s="8"/>
      <c r="B298" s="8"/>
      <c r="C298" s="8"/>
      <c r="D298" s="8"/>
      <c r="E298" s="8"/>
      <c r="F298" s="366"/>
      <c r="G298" s="8"/>
      <c r="H298" s="8"/>
      <c r="I298" s="8"/>
      <c r="J298" s="8"/>
      <c r="K298" s="8"/>
      <c r="L298" s="8"/>
      <c r="M298" s="8"/>
      <c r="N298" s="8"/>
      <c r="O298" s="8"/>
      <c r="P298" s="8"/>
      <c r="Q298" s="8"/>
      <c r="R298" s="8"/>
      <c r="S298" s="367"/>
      <c r="T298" s="367"/>
      <c r="U298" s="367"/>
      <c r="V298" s="367"/>
      <c r="W298" s="8"/>
      <c r="X298" s="8"/>
      <c r="Y298" s="8"/>
      <c r="Z298" s="8"/>
      <c r="AA298" s="8"/>
      <c r="AB298" s="8"/>
    </row>
    <row r="299">
      <c r="A299" s="8"/>
      <c r="B299" s="8"/>
      <c r="C299" s="8"/>
      <c r="D299" s="8"/>
      <c r="E299" s="8"/>
      <c r="F299" s="366"/>
      <c r="G299" s="8"/>
      <c r="H299" s="8"/>
      <c r="I299" s="8"/>
      <c r="J299" s="8"/>
      <c r="K299" s="8"/>
      <c r="L299" s="8"/>
      <c r="M299" s="8"/>
      <c r="N299" s="8"/>
      <c r="O299" s="8"/>
      <c r="P299" s="8"/>
      <c r="Q299" s="8"/>
      <c r="R299" s="8"/>
      <c r="S299" s="367"/>
      <c r="T299" s="367"/>
      <c r="U299" s="367"/>
      <c r="V299" s="367"/>
      <c r="W299" s="8"/>
      <c r="X299" s="8"/>
      <c r="Y299" s="8"/>
      <c r="Z299" s="8"/>
      <c r="AA299" s="8"/>
      <c r="AB299" s="8"/>
    </row>
    <row r="300">
      <c r="A300" s="8"/>
      <c r="B300" s="8"/>
      <c r="C300" s="8"/>
      <c r="D300" s="8"/>
      <c r="E300" s="8"/>
      <c r="F300" s="366"/>
      <c r="G300" s="8"/>
      <c r="H300" s="8"/>
      <c r="I300" s="8"/>
      <c r="J300" s="8"/>
      <c r="K300" s="8"/>
      <c r="L300" s="8"/>
      <c r="M300" s="8"/>
      <c r="N300" s="8"/>
      <c r="O300" s="8"/>
      <c r="P300" s="8"/>
      <c r="Q300" s="8"/>
      <c r="R300" s="8"/>
      <c r="S300" s="367"/>
      <c r="T300" s="367"/>
      <c r="U300" s="367"/>
      <c r="V300" s="367"/>
      <c r="W300" s="8"/>
      <c r="X300" s="8"/>
      <c r="Y300" s="8"/>
      <c r="Z300" s="8"/>
      <c r="AA300" s="8"/>
      <c r="AB300" s="8"/>
    </row>
    <row r="301">
      <c r="A301" s="8"/>
      <c r="B301" s="8"/>
      <c r="C301" s="8"/>
      <c r="D301" s="8"/>
      <c r="E301" s="8"/>
      <c r="F301" s="366"/>
      <c r="G301" s="8"/>
      <c r="H301" s="8"/>
      <c r="I301" s="8"/>
      <c r="J301" s="8"/>
      <c r="K301" s="8"/>
      <c r="L301" s="8"/>
      <c r="M301" s="8"/>
      <c r="N301" s="8"/>
      <c r="O301" s="8"/>
      <c r="P301" s="8"/>
      <c r="Q301" s="8"/>
      <c r="R301" s="8"/>
      <c r="S301" s="367"/>
      <c r="T301" s="367"/>
      <c r="U301" s="367"/>
      <c r="V301" s="367"/>
      <c r="W301" s="8"/>
      <c r="X301" s="8"/>
      <c r="Y301" s="8"/>
      <c r="Z301" s="8"/>
      <c r="AA301" s="8"/>
      <c r="AB301" s="8"/>
    </row>
    <row r="302">
      <c r="A302" s="8"/>
      <c r="B302" s="8"/>
      <c r="C302" s="8"/>
      <c r="D302" s="8"/>
      <c r="E302" s="8"/>
      <c r="F302" s="366"/>
      <c r="G302" s="8"/>
      <c r="H302" s="8"/>
      <c r="I302" s="8"/>
      <c r="J302" s="8"/>
      <c r="K302" s="8"/>
      <c r="L302" s="8"/>
      <c r="M302" s="8"/>
      <c r="N302" s="8"/>
      <c r="O302" s="8"/>
      <c r="P302" s="8"/>
      <c r="Q302" s="8"/>
      <c r="R302" s="8"/>
      <c r="S302" s="367"/>
      <c r="T302" s="367"/>
      <c r="U302" s="367"/>
      <c r="V302" s="367"/>
      <c r="W302" s="8"/>
      <c r="X302" s="8"/>
      <c r="Y302" s="8"/>
      <c r="Z302" s="8"/>
      <c r="AA302" s="8"/>
      <c r="AB302" s="8"/>
    </row>
    <row r="303">
      <c r="A303" s="8"/>
      <c r="B303" s="8"/>
      <c r="C303" s="8"/>
      <c r="D303" s="8"/>
      <c r="E303" s="8"/>
      <c r="F303" s="366"/>
      <c r="G303" s="8"/>
      <c r="H303" s="8"/>
      <c r="I303" s="8"/>
      <c r="J303" s="8"/>
      <c r="K303" s="8"/>
      <c r="L303" s="8"/>
      <c r="M303" s="8"/>
      <c r="N303" s="8"/>
      <c r="O303" s="8"/>
      <c r="P303" s="8"/>
      <c r="Q303" s="8"/>
      <c r="R303" s="8"/>
      <c r="S303" s="367"/>
      <c r="T303" s="367"/>
      <c r="U303" s="367"/>
      <c r="V303" s="367"/>
      <c r="W303" s="8"/>
      <c r="X303" s="8"/>
      <c r="Y303" s="8"/>
      <c r="Z303" s="8"/>
      <c r="AA303" s="8"/>
      <c r="AB303" s="8"/>
    </row>
    <row r="304">
      <c r="A304" s="8"/>
      <c r="B304" s="8"/>
      <c r="C304" s="8"/>
      <c r="D304" s="8"/>
      <c r="E304" s="8"/>
      <c r="F304" s="366"/>
      <c r="G304" s="8"/>
      <c r="H304" s="8"/>
      <c r="I304" s="8"/>
      <c r="J304" s="8"/>
      <c r="K304" s="8"/>
      <c r="L304" s="8"/>
      <c r="M304" s="8"/>
      <c r="N304" s="8"/>
      <c r="O304" s="8"/>
      <c r="P304" s="8"/>
      <c r="Q304" s="8"/>
      <c r="R304" s="8"/>
      <c r="S304" s="367"/>
      <c r="T304" s="367"/>
      <c r="U304" s="367"/>
      <c r="V304" s="367"/>
      <c r="W304" s="8"/>
      <c r="X304" s="8"/>
      <c r="Y304" s="8"/>
      <c r="Z304" s="8"/>
      <c r="AA304" s="8"/>
      <c r="AB304" s="8"/>
    </row>
    <row r="305">
      <c r="A305" s="8"/>
      <c r="B305" s="8"/>
      <c r="C305" s="8"/>
      <c r="D305" s="8"/>
      <c r="E305" s="8"/>
      <c r="F305" s="366"/>
      <c r="G305" s="8"/>
      <c r="H305" s="8"/>
      <c r="I305" s="8"/>
      <c r="J305" s="8"/>
      <c r="K305" s="8"/>
      <c r="L305" s="8"/>
      <c r="M305" s="8"/>
      <c r="N305" s="8"/>
      <c r="O305" s="8"/>
      <c r="P305" s="8"/>
      <c r="Q305" s="8"/>
      <c r="R305" s="8"/>
      <c r="S305" s="367"/>
      <c r="T305" s="367"/>
      <c r="U305" s="367"/>
      <c r="V305" s="367"/>
      <c r="W305" s="8"/>
      <c r="X305" s="8"/>
      <c r="Y305" s="8"/>
      <c r="Z305" s="8"/>
      <c r="AA305" s="8"/>
      <c r="AB305" s="8"/>
    </row>
    <row r="306">
      <c r="A306" s="8"/>
      <c r="B306" s="8"/>
      <c r="C306" s="8"/>
      <c r="D306" s="8"/>
      <c r="E306" s="8"/>
      <c r="F306" s="366"/>
      <c r="G306" s="8"/>
      <c r="H306" s="8"/>
      <c r="I306" s="8"/>
      <c r="J306" s="8"/>
      <c r="K306" s="8"/>
      <c r="L306" s="8"/>
      <c r="M306" s="8"/>
      <c r="N306" s="8"/>
      <c r="O306" s="8"/>
      <c r="P306" s="8"/>
      <c r="Q306" s="8"/>
      <c r="R306" s="8"/>
      <c r="S306" s="367"/>
      <c r="T306" s="367"/>
      <c r="U306" s="367"/>
      <c r="V306" s="367"/>
      <c r="W306" s="8"/>
      <c r="X306" s="8"/>
      <c r="Y306" s="8"/>
      <c r="Z306" s="8"/>
      <c r="AA306" s="8"/>
      <c r="AB306" s="8"/>
    </row>
    <row r="307">
      <c r="A307" s="8"/>
      <c r="B307" s="8"/>
      <c r="C307" s="8"/>
      <c r="D307" s="8"/>
      <c r="E307" s="8"/>
      <c r="F307" s="366"/>
      <c r="G307" s="8"/>
      <c r="H307" s="8"/>
      <c r="I307" s="8"/>
      <c r="J307" s="8"/>
      <c r="K307" s="8"/>
      <c r="L307" s="8"/>
      <c r="M307" s="8"/>
      <c r="N307" s="8"/>
      <c r="O307" s="8"/>
      <c r="P307" s="8"/>
      <c r="Q307" s="8"/>
      <c r="R307" s="8"/>
      <c r="S307" s="367"/>
      <c r="T307" s="367"/>
      <c r="U307" s="367"/>
      <c r="V307" s="367"/>
      <c r="W307" s="8"/>
      <c r="X307" s="8"/>
      <c r="Y307" s="8"/>
      <c r="Z307" s="8"/>
      <c r="AA307" s="8"/>
      <c r="AB307" s="8"/>
    </row>
    <row r="308">
      <c r="A308" s="8"/>
      <c r="B308" s="8"/>
      <c r="C308" s="8"/>
      <c r="D308" s="8"/>
      <c r="E308" s="8"/>
      <c r="F308" s="366"/>
      <c r="G308" s="8"/>
      <c r="H308" s="8"/>
      <c r="I308" s="8"/>
      <c r="J308" s="8"/>
      <c r="K308" s="8"/>
      <c r="L308" s="8"/>
      <c r="M308" s="8"/>
      <c r="N308" s="8"/>
      <c r="O308" s="8"/>
      <c r="P308" s="8"/>
      <c r="Q308" s="8"/>
      <c r="R308" s="8"/>
      <c r="S308" s="367"/>
      <c r="T308" s="367"/>
      <c r="U308" s="367"/>
      <c r="V308" s="367"/>
      <c r="W308" s="8"/>
      <c r="X308" s="8"/>
      <c r="Y308" s="8"/>
      <c r="Z308" s="8"/>
      <c r="AA308" s="8"/>
      <c r="AB308" s="8"/>
    </row>
    <row r="309">
      <c r="A309" s="8"/>
      <c r="B309" s="8"/>
      <c r="C309" s="8"/>
      <c r="D309" s="8"/>
      <c r="E309" s="8"/>
      <c r="F309" s="366"/>
      <c r="G309" s="8"/>
      <c r="H309" s="8"/>
      <c r="I309" s="8"/>
      <c r="J309" s="8"/>
      <c r="K309" s="8"/>
      <c r="L309" s="8"/>
      <c r="M309" s="8"/>
      <c r="N309" s="8"/>
      <c r="O309" s="8"/>
      <c r="P309" s="8"/>
      <c r="Q309" s="8"/>
      <c r="R309" s="8"/>
      <c r="S309" s="367"/>
      <c r="T309" s="367"/>
      <c r="U309" s="367"/>
      <c r="V309" s="367"/>
      <c r="W309" s="8"/>
      <c r="X309" s="8"/>
      <c r="Y309" s="8"/>
      <c r="Z309" s="8"/>
      <c r="AA309" s="8"/>
      <c r="AB309" s="8"/>
    </row>
    <row r="310">
      <c r="A310" s="8"/>
      <c r="B310" s="8"/>
      <c r="C310" s="8"/>
      <c r="D310" s="8"/>
      <c r="E310" s="8"/>
      <c r="F310" s="366"/>
      <c r="G310" s="8"/>
      <c r="H310" s="8"/>
      <c r="I310" s="8"/>
      <c r="J310" s="8"/>
      <c r="K310" s="8"/>
      <c r="L310" s="8"/>
      <c r="M310" s="8"/>
      <c r="N310" s="8"/>
      <c r="O310" s="8"/>
      <c r="P310" s="8"/>
      <c r="Q310" s="8"/>
      <c r="R310" s="8"/>
      <c r="S310" s="367"/>
      <c r="T310" s="367"/>
      <c r="U310" s="367"/>
      <c r="V310" s="367"/>
      <c r="W310" s="8"/>
      <c r="X310" s="8"/>
      <c r="Y310" s="8"/>
      <c r="Z310" s="8"/>
      <c r="AA310" s="8"/>
      <c r="AB310" s="8"/>
    </row>
    <row r="311">
      <c r="A311" s="8"/>
      <c r="B311" s="8"/>
      <c r="C311" s="8"/>
      <c r="D311" s="8"/>
      <c r="E311" s="8"/>
      <c r="F311" s="366"/>
      <c r="G311" s="8"/>
      <c r="H311" s="8"/>
      <c r="I311" s="8"/>
      <c r="J311" s="8"/>
      <c r="K311" s="8"/>
      <c r="L311" s="8"/>
      <c r="M311" s="8"/>
      <c r="N311" s="8"/>
      <c r="O311" s="8"/>
      <c r="P311" s="8"/>
      <c r="Q311" s="8"/>
      <c r="R311" s="8"/>
      <c r="S311" s="367"/>
      <c r="T311" s="367"/>
      <c r="U311" s="367"/>
      <c r="V311" s="367"/>
      <c r="W311" s="8"/>
      <c r="X311" s="8"/>
      <c r="Y311" s="8"/>
      <c r="Z311" s="8"/>
      <c r="AA311" s="8"/>
      <c r="AB311" s="8"/>
    </row>
    <row r="312">
      <c r="A312" s="8"/>
      <c r="B312" s="8"/>
      <c r="C312" s="8"/>
      <c r="D312" s="8"/>
      <c r="E312" s="8"/>
      <c r="F312" s="366"/>
      <c r="G312" s="8"/>
      <c r="H312" s="8"/>
      <c r="I312" s="8"/>
      <c r="J312" s="8"/>
      <c r="K312" s="8"/>
      <c r="L312" s="8"/>
      <c r="M312" s="8"/>
      <c r="N312" s="8"/>
      <c r="O312" s="8"/>
      <c r="P312" s="8"/>
      <c r="Q312" s="8"/>
      <c r="R312" s="8"/>
      <c r="S312" s="367"/>
      <c r="T312" s="367"/>
      <c r="U312" s="367"/>
      <c r="V312" s="367"/>
      <c r="W312" s="8"/>
      <c r="X312" s="8"/>
      <c r="Y312" s="8"/>
      <c r="Z312" s="8"/>
      <c r="AA312" s="8"/>
      <c r="AB312" s="8"/>
    </row>
    <row r="313">
      <c r="A313" s="8"/>
      <c r="B313" s="8"/>
      <c r="C313" s="8"/>
      <c r="D313" s="8"/>
      <c r="E313" s="8"/>
      <c r="F313" s="366"/>
      <c r="G313" s="8"/>
      <c r="H313" s="8"/>
      <c r="I313" s="8"/>
      <c r="J313" s="8"/>
      <c r="K313" s="8"/>
      <c r="L313" s="8"/>
      <c r="M313" s="8"/>
      <c r="N313" s="8"/>
      <c r="O313" s="8"/>
      <c r="P313" s="8"/>
      <c r="Q313" s="8"/>
      <c r="R313" s="8"/>
      <c r="S313" s="367"/>
      <c r="T313" s="367"/>
      <c r="U313" s="367"/>
      <c r="V313" s="367"/>
      <c r="W313" s="8"/>
      <c r="X313" s="8"/>
      <c r="Y313" s="8"/>
      <c r="Z313" s="8"/>
      <c r="AA313" s="8"/>
      <c r="AB313" s="8"/>
    </row>
    <row r="314">
      <c r="A314" s="8"/>
      <c r="B314" s="8"/>
      <c r="C314" s="8"/>
      <c r="D314" s="8"/>
      <c r="E314" s="8"/>
      <c r="F314" s="366"/>
      <c r="G314" s="8"/>
      <c r="H314" s="8"/>
      <c r="I314" s="8"/>
      <c r="J314" s="8"/>
      <c r="K314" s="8"/>
      <c r="L314" s="8"/>
      <c r="M314" s="8"/>
      <c r="N314" s="8"/>
      <c r="O314" s="8"/>
      <c r="P314" s="8"/>
      <c r="Q314" s="8"/>
      <c r="R314" s="8"/>
      <c r="S314" s="367"/>
      <c r="T314" s="367"/>
      <c r="U314" s="367"/>
      <c r="V314" s="367"/>
      <c r="W314" s="8"/>
      <c r="X314" s="8"/>
      <c r="Y314" s="8"/>
      <c r="Z314" s="8"/>
      <c r="AA314" s="8"/>
      <c r="AB314" s="8"/>
    </row>
    <row r="315">
      <c r="A315" s="8"/>
      <c r="B315" s="8"/>
      <c r="C315" s="8"/>
      <c r="D315" s="8"/>
      <c r="E315" s="8"/>
      <c r="F315" s="366"/>
      <c r="G315" s="8"/>
      <c r="H315" s="8"/>
      <c r="I315" s="8"/>
      <c r="J315" s="8"/>
      <c r="K315" s="8"/>
      <c r="L315" s="8"/>
      <c r="M315" s="8"/>
      <c r="N315" s="8"/>
      <c r="O315" s="8"/>
      <c r="P315" s="8"/>
      <c r="Q315" s="8"/>
      <c r="R315" s="8"/>
      <c r="S315" s="367"/>
      <c r="T315" s="367"/>
      <c r="U315" s="367"/>
      <c r="V315" s="367"/>
      <c r="W315" s="8"/>
      <c r="X315" s="8"/>
      <c r="Y315" s="8"/>
      <c r="Z315" s="8"/>
      <c r="AA315" s="8"/>
      <c r="AB315" s="8"/>
    </row>
    <row r="316">
      <c r="A316" s="8"/>
      <c r="B316" s="8"/>
      <c r="C316" s="8"/>
      <c r="D316" s="8"/>
      <c r="E316" s="8"/>
      <c r="F316" s="366"/>
      <c r="G316" s="8"/>
      <c r="H316" s="8"/>
      <c r="I316" s="8"/>
      <c r="J316" s="8"/>
      <c r="K316" s="8"/>
      <c r="L316" s="8"/>
      <c r="M316" s="8"/>
      <c r="N316" s="8"/>
      <c r="O316" s="8"/>
      <c r="P316" s="8"/>
      <c r="Q316" s="8"/>
      <c r="R316" s="8"/>
      <c r="S316" s="367"/>
      <c r="T316" s="367"/>
      <c r="U316" s="367"/>
      <c r="V316" s="367"/>
      <c r="W316" s="8"/>
      <c r="X316" s="8"/>
      <c r="Y316" s="8"/>
      <c r="Z316" s="8"/>
      <c r="AA316" s="8"/>
      <c r="AB316" s="8"/>
    </row>
    <row r="317">
      <c r="A317" s="8"/>
      <c r="B317" s="8"/>
      <c r="C317" s="8"/>
      <c r="D317" s="8"/>
      <c r="E317" s="8"/>
      <c r="F317" s="366"/>
      <c r="G317" s="8"/>
      <c r="H317" s="8"/>
      <c r="I317" s="8"/>
      <c r="J317" s="8"/>
      <c r="K317" s="8"/>
      <c r="L317" s="8"/>
      <c r="M317" s="8"/>
      <c r="N317" s="8"/>
      <c r="O317" s="8"/>
      <c r="P317" s="8"/>
      <c r="Q317" s="8"/>
      <c r="R317" s="8"/>
      <c r="S317" s="367"/>
      <c r="T317" s="367"/>
      <c r="U317" s="367"/>
      <c r="V317" s="367"/>
      <c r="W317" s="8"/>
      <c r="X317" s="8"/>
      <c r="Y317" s="8"/>
      <c r="Z317" s="8"/>
      <c r="AA317" s="8"/>
      <c r="AB317" s="8"/>
    </row>
    <row r="318">
      <c r="A318" s="8"/>
      <c r="B318" s="8"/>
      <c r="C318" s="8"/>
      <c r="D318" s="8"/>
      <c r="E318" s="8"/>
      <c r="F318" s="366"/>
      <c r="G318" s="8"/>
      <c r="H318" s="8"/>
      <c r="I318" s="8"/>
      <c r="J318" s="8"/>
      <c r="K318" s="8"/>
      <c r="L318" s="8"/>
      <c r="M318" s="8"/>
      <c r="N318" s="8"/>
      <c r="O318" s="8"/>
      <c r="P318" s="8"/>
      <c r="Q318" s="8"/>
      <c r="R318" s="8"/>
      <c r="S318" s="367"/>
      <c r="T318" s="367"/>
      <c r="U318" s="367"/>
      <c r="V318" s="367"/>
      <c r="W318" s="8"/>
      <c r="X318" s="8"/>
      <c r="Y318" s="8"/>
      <c r="Z318" s="8"/>
      <c r="AA318" s="8"/>
      <c r="AB318" s="8"/>
    </row>
    <row r="319">
      <c r="A319" s="8"/>
      <c r="B319" s="8"/>
      <c r="C319" s="8"/>
      <c r="D319" s="8"/>
      <c r="E319" s="8"/>
      <c r="F319" s="366"/>
      <c r="G319" s="8"/>
      <c r="H319" s="8"/>
      <c r="I319" s="8"/>
      <c r="J319" s="8"/>
      <c r="K319" s="8"/>
      <c r="L319" s="8"/>
      <c r="M319" s="8"/>
      <c r="N319" s="8"/>
      <c r="O319" s="8"/>
      <c r="P319" s="8"/>
      <c r="Q319" s="8"/>
      <c r="R319" s="8"/>
      <c r="S319" s="367"/>
      <c r="T319" s="367"/>
      <c r="U319" s="367"/>
      <c r="V319" s="367"/>
      <c r="W319" s="8"/>
      <c r="X319" s="8"/>
      <c r="Y319" s="8"/>
      <c r="Z319" s="8"/>
      <c r="AA319" s="8"/>
      <c r="AB319" s="8"/>
    </row>
    <row r="320">
      <c r="A320" s="8"/>
      <c r="B320" s="8"/>
      <c r="C320" s="8"/>
      <c r="D320" s="8"/>
      <c r="E320" s="8"/>
      <c r="F320" s="366"/>
      <c r="G320" s="8"/>
      <c r="H320" s="8"/>
      <c r="I320" s="8"/>
      <c r="J320" s="8"/>
      <c r="K320" s="8"/>
      <c r="L320" s="8"/>
      <c r="M320" s="8"/>
      <c r="N320" s="8"/>
      <c r="O320" s="8"/>
      <c r="P320" s="8"/>
      <c r="Q320" s="8"/>
      <c r="R320" s="8"/>
      <c r="S320" s="367"/>
      <c r="T320" s="367"/>
      <c r="U320" s="367"/>
      <c r="V320" s="367"/>
      <c r="W320" s="8"/>
      <c r="X320" s="8"/>
      <c r="Y320" s="8"/>
      <c r="Z320" s="8"/>
      <c r="AA320" s="8"/>
      <c r="AB320" s="8"/>
    </row>
    <row r="321">
      <c r="A321" s="8"/>
      <c r="B321" s="8"/>
      <c r="C321" s="8"/>
      <c r="D321" s="8"/>
      <c r="E321" s="8"/>
      <c r="F321" s="366"/>
      <c r="G321" s="8"/>
      <c r="H321" s="8"/>
      <c r="I321" s="8"/>
      <c r="J321" s="8"/>
      <c r="K321" s="8"/>
      <c r="L321" s="8"/>
      <c r="M321" s="8"/>
      <c r="N321" s="8"/>
      <c r="O321" s="8"/>
      <c r="P321" s="8"/>
      <c r="Q321" s="8"/>
      <c r="R321" s="8"/>
      <c r="S321" s="367"/>
      <c r="T321" s="367"/>
      <c r="U321" s="367"/>
      <c r="V321" s="367"/>
      <c r="W321" s="8"/>
      <c r="X321" s="8"/>
      <c r="Y321" s="8"/>
      <c r="Z321" s="8"/>
      <c r="AA321" s="8"/>
      <c r="AB321" s="8"/>
    </row>
    <row r="322">
      <c r="A322" s="8"/>
      <c r="B322" s="8"/>
      <c r="C322" s="8"/>
      <c r="D322" s="8"/>
      <c r="E322" s="8"/>
      <c r="F322" s="366"/>
      <c r="G322" s="8"/>
      <c r="H322" s="8"/>
      <c r="I322" s="8"/>
      <c r="J322" s="8"/>
      <c r="K322" s="8"/>
      <c r="L322" s="8"/>
      <c r="M322" s="8"/>
      <c r="N322" s="8"/>
      <c r="O322" s="8"/>
      <c r="P322" s="8"/>
      <c r="Q322" s="8"/>
      <c r="R322" s="8"/>
      <c r="S322" s="367"/>
      <c r="T322" s="367"/>
      <c r="U322" s="367"/>
      <c r="V322" s="367"/>
      <c r="W322" s="8"/>
      <c r="X322" s="8"/>
      <c r="Y322" s="8"/>
      <c r="Z322" s="8"/>
      <c r="AA322" s="8"/>
      <c r="AB322" s="8"/>
    </row>
    <row r="323">
      <c r="A323" s="8"/>
      <c r="B323" s="8"/>
      <c r="C323" s="8"/>
      <c r="D323" s="8"/>
      <c r="E323" s="8"/>
      <c r="F323" s="366"/>
      <c r="G323" s="8"/>
      <c r="H323" s="8"/>
      <c r="I323" s="8"/>
      <c r="J323" s="8"/>
      <c r="K323" s="8"/>
      <c r="L323" s="8"/>
      <c r="M323" s="8"/>
      <c r="N323" s="8"/>
      <c r="O323" s="8"/>
      <c r="P323" s="8"/>
      <c r="Q323" s="8"/>
      <c r="R323" s="8"/>
      <c r="S323" s="367"/>
      <c r="T323" s="367"/>
      <c r="U323" s="367"/>
      <c r="V323" s="367"/>
      <c r="W323" s="8"/>
      <c r="X323" s="8"/>
      <c r="Y323" s="8"/>
      <c r="Z323" s="8"/>
      <c r="AA323" s="8"/>
      <c r="AB323" s="8"/>
    </row>
    <row r="324">
      <c r="A324" s="8"/>
      <c r="B324" s="8"/>
      <c r="C324" s="8"/>
      <c r="D324" s="8"/>
      <c r="E324" s="8"/>
      <c r="F324" s="366"/>
      <c r="G324" s="8"/>
      <c r="H324" s="8"/>
      <c r="I324" s="8"/>
      <c r="J324" s="8"/>
      <c r="K324" s="8"/>
      <c r="L324" s="8"/>
      <c r="M324" s="8"/>
      <c r="N324" s="8"/>
      <c r="O324" s="8"/>
      <c r="P324" s="8"/>
      <c r="Q324" s="8"/>
      <c r="R324" s="8"/>
      <c r="S324" s="367"/>
      <c r="T324" s="367"/>
      <c r="U324" s="367"/>
      <c r="V324" s="367"/>
      <c r="W324" s="8"/>
      <c r="X324" s="8"/>
      <c r="Y324" s="8"/>
      <c r="Z324" s="8"/>
      <c r="AA324" s="8"/>
      <c r="AB324" s="8"/>
    </row>
    <row r="325">
      <c r="A325" s="8"/>
      <c r="B325" s="8"/>
      <c r="C325" s="8"/>
      <c r="D325" s="8"/>
      <c r="E325" s="8"/>
      <c r="F325" s="366"/>
      <c r="G325" s="8"/>
      <c r="H325" s="8"/>
      <c r="I325" s="8"/>
      <c r="J325" s="8"/>
      <c r="K325" s="8"/>
      <c r="L325" s="8"/>
      <c r="M325" s="8"/>
      <c r="N325" s="8"/>
      <c r="O325" s="8"/>
      <c r="P325" s="8"/>
      <c r="Q325" s="8"/>
      <c r="R325" s="8"/>
      <c r="S325" s="367"/>
      <c r="T325" s="367"/>
      <c r="U325" s="367"/>
      <c r="V325" s="367"/>
      <c r="W325" s="8"/>
      <c r="X325" s="8"/>
      <c r="Y325" s="8"/>
      <c r="Z325" s="8"/>
      <c r="AA325" s="8"/>
      <c r="AB325" s="8"/>
    </row>
    <row r="326">
      <c r="A326" s="8"/>
      <c r="B326" s="8"/>
      <c r="C326" s="8"/>
      <c r="D326" s="8"/>
      <c r="E326" s="8"/>
      <c r="F326" s="366"/>
      <c r="G326" s="8"/>
      <c r="H326" s="8"/>
      <c r="I326" s="8"/>
      <c r="J326" s="8"/>
      <c r="K326" s="8"/>
      <c r="L326" s="8"/>
      <c r="M326" s="8"/>
      <c r="N326" s="8"/>
      <c r="O326" s="8"/>
      <c r="P326" s="8"/>
      <c r="Q326" s="8"/>
      <c r="R326" s="8"/>
      <c r="S326" s="367"/>
      <c r="T326" s="367"/>
      <c r="U326" s="367"/>
      <c r="V326" s="367"/>
      <c r="W326" s="8"/>
      <c r="X326" s="8"/>
      <c r="Y326" s="8"/>
      <c r="Z326" s="8"/>
      <c r="AA326" s="8"/>
      <c r="AB326" s="8"/>
    </row>
    <row r="327">
      <c r="A327" s="8"/>
      <c r="B327" s="8"/>
      <c r="C327" s="8"/>
      <c r="D327" s="8"/>
      <c r="E327" s="8"/>
      <c r="F327" s="366"/>
      <c r="G327" s="8"/>
      <c r="H327" s="8"/>
      <c r="I327" s="8"/>
      <c r="J327" s="8"/>
      <c r="K327" s="8"/>
      <c r="L327" s="8"/>
      <c r="M327" s="8"/>
      <c r="N327" s="8"/>
      <c r="O327" s="8"/>
      <c r="P327" s="8"/>
      <c r="Q327" s="8"/>
      <c r="R327" s="8"/>
      <c r="S327" s="367"/>
      <c r="T327" s="367"/>
      <c r="U327" s="367"/>
      <c r="V327" s="367"/>
      <c r="W327" s="8"/>
      <c r="X327" s="8"/>
      <c r="Y327" s="8"/>
      <c r="Z327" s="8"/>
      <c r="AA327" s="8"/>
      <c r="AB327" s="8"/>
    </row>
    <row r="328">
      <c r="A328" s="8"/>
      <c r="B328" s="8"/>
      <c r="C328" s="8"/>
      <c r="D328" s="8"/>
      <c r="E328" s="8"/>
      <c r="F328" s="366"/>
      <c r="G328" s="8"/>
      <c r="H328" s="8"/>
      <c r="I328" s="8"/>
      <c r="J328" s="8"/>
      <c r="K328" s="8"/>
      <c r="L328" s="8"/>
      <c r="M328" s="8"/>
      <c r="N328" s="8"/>
      <c r="O328" s="8"/>
      <c r="P328" s="8"/>
      <c r="Q328" s="8"/>
      <c r="R328" s="8"/>
      <c r="S328" s="367"/>
      <c r="T328" s="367"/>
      <c r="U328" s="367"/>
      <c r="V328" s="367"/>
      <c r="W328" s="8"/>
      <c r="X328" s="8"/>
      <c r="Y328" s="8"/>
      <c r="Z328" s="8"/>
      <c r="AA328" s="8"/>
      <c r="AB328" s="8"/>
    </row>
    <row r="329">
      <c r="A329" s="8"/>
      <c r="B329" s="8"/>
      <c r="C329" s="8"/>
      <c r="D329" s="8"/>
      <c r="E329" s="8"/>
      <c r="F329" s="366"/>
      <c r="G329" s="8"/>
      <c r="H329" s="8"/>
      <c r="I329" s="8"/>
      <c r="J329" s="8"/>
      <c r="K329" s="8"/>
      <c r="L329" s="8"/>
      <c r="M329" s="8"/>
      <c r="N329" s="8"/>
      <c r="O329" s="8"/>
      <c r="P329" s="8"/>
      <c r="Q329" s="8"/>
      <c r="R329" s="8"/>
      <c r="S329" s="367"/>
      <c r="T329" s="367"/>
      <c r="U329" s="367"/>
      <c r="V329" s="367"/>
      <c r="W329" s="8"/>
      <c r="X329" s="8"/>
      <c r="Y329" s="8"/>
      <c r="Z329" s="8"/>
      <c r="AA329" s="8"/>
      <c r="AB329" s="8"/>
    </row>
    <row r="330">
      <c r="A330" s="8"/>
      <c r="B330" s="8"/>
      <c r="C330" s="8"/>
      <c r="D330" s="8"/>
      <c r="E330" s="8"/>
      <c r="F330" s="366"/>
      <c r="G330" s="8"/>
      <c r="H330" s="8"/>
      <c r="I330" s="8"/>
      <c r="J330" s="8"/>
      <c r="K330" s="8"/>
      <c r="L330" s="8"/>
      <c r="M330" s="8"/>
      <c r="N330" s="8"/>
      <c r="O330" s="8"/>
      <c r="P330" s="8"/>
      <c r="Q330" s="8"/>
      <c r="R330" s="8"/>
      <c r="S330" s="367"/>
      <c r="T330" s="367"/>
      <c r="U330" s="367"/>
      <c r="V330" s="367"/>
      <c r="W330" s="8"/>
      <c r="X330" s="8"/>
      <c r="Y330" s="8"/>
      <c r="Z330" s="8"/>
      <c r="AA330" s="8"/>
      <c r="AB330" s="8"/>
    </row>
    <row r="331">
      <c r="A331" s="8"/>
      <c r="B331" s="8"/>
      <c r="C331" s="8"/>
      <c r="D331" s="8"/>
      <c r="E331" s="8"/>
      <c r="F331" s="366"/>
      <c r="G331" s="8"/>
      <c r="H331" s="8"/>
      <c r="I331" s="8"/>
      <c r="J331" s="8"/>
      <c r="K331" s="8"/>
      <c r="L331" s="8"/>
      <c r="M331" s="8"/>
      <c r="N331" s="8"/>
      <c r="O331" s="8"/>
      <c r="P331" s="8"/>
      <c r="Q331" s="8"/>
      <c r="R331" s="8"/>
      <c r="S331" s="367"/>
      <c r="T331" s="367"/>
      <c r="U331" s="367"/>
      <c r="V331" s="367"/>
      <c r="W331" s="8"/>
      <c r="X331" s="8"/>
      <c r="Y331" s="8"/>
      <c r="Z331" s="8"/>
      <c r="AA331" s="8"/>
      <c r="AB331" s="8"/>
    </row>
    <row r="332">
      <c r="A332" s="8"/>
      <c r="B332" s="8"/>
      <c r="C332" s="8"/>
      <c r="D332" s="8"/>
      <c r="E332" s="8"/>
      <c r="F332" s="366"/>
      <c r="G332" s="8"/>
      <c r="H332" s="8"/>
      <c r="I332" s="8"/>
      <c r="J332" s="8"/>
      <c r="K332" s="8"/>
      <c r="L332" s="8"/>
      <c r="M332" s="8"/>
      <c r="N332" s="8"/>
      <c r="O332" s="8"/>
      <c r="P332" s="8"/>
      <c r="Q332" s="8"/>
      <c r="R332" s="8"/>
      <c r="S332" s="367"/>
      <c r="T332" s="367"/>
      <c r="U332" s="367"/>
      <c r="V332" s="367"/>
      <c r="W332" s="8"/>
      <c r="X332" s="8"/>
      <c r="Y332" s="8"/>
      <c r="Z332" s="8"/>
      <c r="AA332" s="8"/>
      <c r="AB332" s="8"/>
    </row>
    <row r="333">
      <c r="A333" s="8"/>
      <c r="B333" s="8"/>
      <c r="C333" s="8"/>
      <c r="D333" s="8"/>
      <c r="E333" s="8"/>
      <c r="F333" s="366"/>
      <c r="G333" s="8"/>
      <c r="H333" s="8"/>
      <c r="I333" s="8"/>
      <c r="J333" s="8"/>
      <c r="K333" s="8"/>
      <c r="L333" s="8"/>
      <c r="M333" s="8"/>
      <c r="N333" s="8"/>
      <c r="O333" s="8"/>
      <c r="P333" s="8"/>
      <c r="Q333" s="8"/>
      <c r="R333" s="8"/>
      <c r="S333" s="367"/>
      <c r="T333" s="367"/>
      <c r="U333" s="367"/>
      <c r="V333" s="367"/>
      <c r="W333" s="8"/>
      <c r="X333" s="8"/>
      <c r="Y333" s="8"/>
      <c r="Z333" s="8"/>
      <c r="AA333" s="8"/>
      <c r="AB333" s="8"/>
    </row>
    <row r="334">
      <c r="A334" s="8"/>
      <c r="B334" s="8"/>
      <c r="C334" s="8"/>
      <c r="D334" s="8"/>
      <c r="E334" s="8"/>
      <c r="F334" s="366"/>
      <c r="G334" s="8"/>
      <c r="H334" s="8"/>
      <c r="I334" s="8"/>
      <c r="J334" s="8"/>
      <c r="K334" s="8"/>
      <c r="L334" s="8"/>
      <c r="M334" s="8"/>
      <c r="N334" s="8"/>
      <c r="O334" s="8"/>
      <c r="P334" s="8"/>
      <c r="Q334" s="8"/>
      <c r="R334" s="8"/>
      <c r="S334" s="367"/>
      <c r="T334" s="367"/>
      <c r="U334" s="367"/>
      <c r="V334" s="367"/>
      <c r="W334" s="8"/>
      <c r="X334" s="8"/>
      <c r="Y334" s="8"/>
      <c r="Z334" s="8"/>
      <c r="AA334" s="8"/>
      <c r="AB334" s="8"/>
    </row>
    <row r="335">
      <c r="A335" s="8"/>
      <c r="B335" s="8"/>
      <c r="C335" s="8"/>
      <c r="D335" s="8"/>
      <c r="E335" s="8"/>
      <c r="F335" s="366"/>
      <c r="G335" s="8"/>
      <c r="H335" s="8"/>
      <c r="I335" s="8"/>
      <c r="J335" s="8"/>
      <c r="K335" s="8"/>
      <c r="L335" s="8"/>
      <c r="M335" s="8"/>
      <c r="N335" s="8"/>
      <c r="O335" s="8"/>
      <c r="P335" s="8"/>
      <c r="Q335" s="8"/>
      <c r="R335" s="8"/>
      <c r="S335" s="367"/>
      <c r="T335" s="367"/>
      <c r="U335" s="367"/>
      <c r="V335" s="367"/>
      <c r="W335" s="8"/>
      <c r="X335" s="8"/>
      <c r="Y335" s="8"/>
      <c r="Z335" s="8"/>
      <c r="AA335" s="8"/>
      <c r="AB335" s="8"/>
    </row>
    <row r="336">
      <c r="A336" s="8"/>
      <c r="B336" s="8"/>
      <c r="C336" s="8"/>
      <c r="D336" s="8"/>
      <c r="E336" s="8"/>
      <c r="F336" s="366"/>
      <c r="G336" s="8"/>
      <c r="H336" s="8"/>
      <c r="I336" s="8"/>
      <c r="J336" s="8"/>
      <c r="K336" s="8"/>
      <c r="L336" s="8"/>
      <c r="M336" s="8"/>
      <c r="N336" s="8"/>
      <c r="O336" s="8"/>
      <c r="P336" s="8"/>
      <c r="Q336" s="8"/>
      <c r="R336" s="8"/>
      <c r="S336" s="367"/>
      <c r="T336" s="367"/>
      <c r="U336" s="367"/>
      <c r="V336" s="367"/>
      <c r="W336" s="8"/>
      <c r="X336" s="8"/>
      <c r="Y336" s="8"/>
      <c r="Z336" s="8"/>
      <c r="AA336" s="8"/>
      <c r="AB336" s="8"/>
    </row>
    <row r="337">
      <c r="A337" s="8"/>
      <c r="B337" s="8"/>
      <c r="C337" s="8"/>
      <c r="D337" s="8"/>
      <c r="E337" s="8"/>
      <c r="F337" s="366"/>
      <c r="G337" s="8"/>
      <c r="H337" s="8"/>
      <c r="I337" s="8"/>
      <c r="J337" s="8"/>
      <c r="K337" s="8"/>
      <c r="L337" s="8"/>
      <c r="M337" s="8"/>
      <c r="N337" s="8"/>
      <c r="O337" s="8"/>
      <c r="P337" s="8"/>
      <c r="Q337" s="8"/>
      <c r="R337" s="8"/>
      <c r="S337" s="367"/>
      <c r="T337" s="367"/>
      <c r="U337" s="367"/>
      <c r="V337" s="367"/>
      <c r="W337" s="8"/>
      <c r="X337" s="8"/>
      <c r="Y337" s="8"/>
      <c r="Z337" s="8"/>
      <c r="AA337" s="8"/>
      <c r="AB337" s="8"/>
    </row>
    <row r="338">
      <c r="A338" s="8"/>
      <c r="B338" s="8"/>
      <c r="C338" s="8"/>
      <c r="D338" s="8"/>
      <c r="E338" s="8"/>
      <c r="F338" s="366"/>
      <c r="G338" s="8"/>
      <c r="H338" s="8"/>
      <c r="I338" s="8"/>
      <c r="J338" s="8"/>
      <c r="K338" s="8"/>
      <c r="L338" s="8"/>
      <c r="M338" s="8"/>
      <c r="N338" s="8"/>
      <c r="O338" s="8"/>
      <c r="P338" s="8"/>
      <c r="Q338" s="8"/>
      <c r="R338" s="8"/>
      <c r="S338" s="367"/>
      <c r="T338" s="367"/>
      <c r="U338" s="367"/>
      <c r="V338" s="367"/>
      <c r="W338" s="8"/>
      <c r="X338" s="8"/>
      <c r="Y338" s="8"/>
      <c r="Z338" s="8"/>
      <c r="AA338" s="8"/>
      <c r="AB338" s="8"/>
    </row>
    <row r="339">
      <c r="A339" s="8"/>
      <c r="B339" s="8"/>
      <c r="C339" s="8"/>
      <c r="D339" s="8"/>
      <c r="E339" s="8"/>
      <c r="F339" s="366"/>
      <c r="G339" s="8"/>
      <c r="H339" s="8"/>
      <c r="I339" s="8"/>
      <c r="J339" s="8"/>
      <c r="K339" s="8"/>
      <c r="L339" s="8"/>
      <c r="M339" s="8"/>
      <c r="N339" s="8"/>
      <c r="O339" s="8"/>
      <c r="P339" s="8"/>
      <c r="Q339" s="8"/>
      <c r="R339" s="8"/>
      <c r="S339" s="367"/>
      <c r="T339" s="367"/>
      <c r="U339" s="367"/>
      <c r="V339" s="367"/>
      <c r="W339" s="8"/>
      <c r="X339" s="8"/>
      <c r="Y339" s="8"/>
      <c r="Z339" s="8"/>
      <c r="AA339" s="8"/>
      <c r="AB339" s="8"/>
    </row>
    <row r="340">
      <c r="A340" s="8"/>
      <c r="B340" s="8"/>
      <c r="C340" s="8"/>
      <c r="D340" s="8"/>
      <c r="E340" s="8"/>
      <c r="F340" s="366"/>
      <c r="G340" s="8"/>
      <c r="H340" s="8"/>
      <c r="I340" s="8"/>
      <c r="J340" s="8"/>
      <c r="K340" s="8"/>
      <c r="L340" s="8"/>
      <c r="M340" s="8"/>
      <c r="N340" s="8"/>
      <c r="O340" s="8"/>
      <c r="P340" s="8"/>
      <c r="Q340" s="8"/>
      <c r="R340" s="8"/>
      <c r="S340" s="367"/>
      <c r="T340" s="367"/>
      <c r="U340" s="367"/>
      <c r="V340" s="367"/>
      <c r="W340" s="8"/>
      <c r="X340" s="8"/>
      <c r="Y340" s="8"/>
      <c r="Z340" s="8"/>
      <c r="AA340" s="8"/>
      <c r="AB340" s="8"/>
    </row>
    <row r="341">
      <c r="A341" s="8"/>
      <c r="B341" s="8"/>
      <c r="C341" s="8"/>
      <c r="D341" s="8"/>
      <c r="E341" s="8"/>
      <c r="F341" s="366"/>
      <c r="G341" s="8"/>
      <c r="H341" s="8"/>
      <c r="I341" s="8"/>
      <c r="J341" s="8"/>
      <c r="K341" s="8"/>
      <c r="L341" s="8"/>
      <c r="M341" s="8"/>
      <c r="N341" s="8"/>
      <c r="O341" s="8"/>
      <c r="P341" s="8"/>
      <c r="Q341" s="8"/>
      <c r="R341" s="8"/>
      <c r="S341" s="367"/>
      <c r="T341" s="367"/>
      <c r="U341" s="367"/>
      <c r="V341" s="367"/>
      <c r="W341" s="8"/>
      <c r="X341" s="8"/>
      <c r="Y341" s="8"/>
      <c r="Z341" s="8"/>
      <c r="AA341" s="8"/>
      <c r="AB341" s="8"/>
    </row>
    <row r="342">
      <c r="A342" s="8"/>
      <c r="B342" s="8"/>
      <c r="C342" s="8"/>
      <c r="D342" s="8"/>
      <c r="E342" s="8"/>
      <c r="F342" s="366"/>
      <c r="G342" s="8"/>
      <c r="H342" s="8"/>
      <c r="I342" s="8"/>
      <c r="J342" s="8"/>
      <c r="K342" s="8"/>
      <c r="L342" s="8"/>
      <c r="M342" s="8"/>
      <c r="N342" s="8"/>
      <c r="O342" s="8"/>
      <c r="P342" s="8"/>
      <c r="Q342" s="8"/>
      <c r="R342" s="8"/>
      <c r="S342" s="367"/>
      <c r="T342" s="367"/>
      <c r="U342" s="367"/>
      <c r="V342" s="367"/>
      <c r="W342" s="8"/>
      <c r="X342" s="8"/>
      <c r="Y342" s="8"/>
      <c r="Z342" s="8"/>
      <c r="AA342" s="8"/>
      <c r="AB342" s="8"/>
    </row>
    <row r="343">
      <c r="A343" s="8"/>
      <c r="B343" s="8"/>
      <c r="C343" s="8"/>
      <c r="D343" s="8"/>
      <c r="E343" s="8"/>
      <c r="F343" s="366"/>
      <c r="G343" s="8"/>
      <c r="H343" s="8"/>
      <c r="I343" s="8"/>
      <c r="J343" s="8"/>
      <c r="K343" s="8"/>
      <c r="L343" s="8"/>
      <c r="M343" s="8"/>
      <c r="N343" s="8"/>
      <c r="O343" s="8"/>
      <c r="P343" s="8"/>
      <c r="Q343" s="8"/>
      <c r="R343" s="8"/>
      <c r="S343" s="367"/>
      <c r="T343" s="367"/>
      <c r="U343" s="367"/>
      <c r="V343" s="367"/>
      <c r="W343" s="8"/>
      <c r="X343" s="8"/>
      <c r="Y343" s="8"/>
      <c r="Z343" s="8"/>
      <c r="AA343" s="8"/>
      <c r="AB343" s="8"/>
    </row>
    <row r="344">
      <c r="A344" s="8"/>
      <c r="B344" s="8"/>
      <c r="C344" s="8"/>
      <c r="D344" s="8"/>
      <c r="E344" s="8"/>
      <c r="F344" s="366"/>
      <c r="G344" s="8"/>
      <c r="H344" s="8"/>
      <c r="I344" s="8"/>
      <c r="J344" s="8"/>
      <c r="K344" s="8"/>
      <c r="L344" s="8"/>
      <c r="M344" s="8"/>
      <c r="N344" s="8"/>
      <c r="O344" s="8"/>
      <c r="P344" s="8"/>
      <c r="Q344" s="8"/>
      <c r="R344" s="8"/>
      <c r="S344" s="367"/>
      <c r="T344" s="367"/>
      <c r="U344" s="367"/>
      <c r="V344" s="367"/>
      <c r="W344" s="8"/>
      <c r="X344" s="8"/>
      <c r="Y344" s="8"/>
      <c r="Z344" s="8"/>
      <c r="AA344" s="8"/>
      <c r="AB344" s="8"/>
    </row>
    <row r="345">
      <c r="A345" s="8"/>
      <c r="B345" s="8"/>
      <c r="C345" s="8"/>
      <c r="D345" s="8"/>
      <c r="E345" s="8"/>
      <c r="F345" s="366"/>
      <c r="G345" s="8"/>
      <c r="H345" s="8"/>
      <c r="I345" s="8"/>
      <c r="J345" s="8"/>
      <c r="K345" s="8"/>
      <c r="L345" s="8"/>
      <c r="M345" s="8"/>
      <c r="N345" s="8"/>
      <c r="O345" s="8"/>
      <c r="P345" s="8"/>
      <c r="Q345" s="8"/>
      <c r="R345" s="8"/>
      <c r="S345" s="367"/>
      <c r="T345" s="367"/>
      <c r="U345" s="367"/>
      <c r="V345" s="367"/>
      <c r="W345" s="8"/>
      <c r="X345" s="8"/>
      <c r="Y345" s="8"/>
      <c r="Z345" s="8"/>
      <c r="AA345" s="8"/>
      <c r="AB345" s="8"/>
    </row>
    <row r="346">
      <c r="A346" s="8"/>
      <c r="B346" s="8"/>
      <c r="C346" s="8"/>
      <c r="D346" s="8"/>
      <c r="E346" s="8"/>
      <c r="F346" s="366"/>
      <c r="G346" s="8"/>
      <c r="H346" s="8"/>
      <c r="I346" s="8"/>
      <c r="J346" s="8"/>
      <c r="K346" s="8"/>
      <c r="L346" s="8"/>
      <c r="M346" s="8"/>
      <c r="N346" s="8"/>
      <c r="O346" s="8"/>
      <c r="P346" s="8"/>
      <c r="Q346" s="8"/>
      <c r="R346" s="8"/>
      <c r="S346" s="367"/>
      <c r="T346" s="367"/>
      <c r="U346" s="367"/>
      <c r="V346" s="367"/>
      <c r="W346" s="8"/>
      <c r="X346" s="8"/>
      <c r="Y346" s="8"/>
      <c r="Z346" s="8"/>
      <c r="AA346" s="8"/>
      <c r="AB346" s="8"/>
    </row>
    <row r="347">
      <c r="A347" s="8"/>
      <c r="B347" s="8"/>
      <c r="C347" s="8"/>
      <c r="D347" s="8"/>
      <c r="E347" s="8"/>
      <c r="F347" s="366"/>
      <c r="G347" s="8"/>
      <c r="H347" s="8"/>
      <c r="I347" s="8"/>
      <c r="J347" s="8"/>
      <c r="K347" s="8"/>
      <c r="L347" s="8"/>
      <c r="M347" s="8"/>
      <c r="N347" s="8"/>
      <c r="O347" s="8"/>
      <c r="P347" s="8"/>
      <c r="Q347" s="8"/>
      <c r="R347" s="8"/>
      <c r="S347" s="367"/>
      <c r="T347" s="367"/>
      <c r="U347" s="367"/>
      <c r="V347" s="367"/>
      <c r="W347" s="8"/>
      <c r="X347" s="8"/>
      <c r="Y347" s="8"/>
      <c r="Z347" s="8"/>
      <c r="AA347" s="8"/>
      <c r="AB347" s="8"/>
    </row>
    <row r="348">
      <c r="A348" s="8"/>
      <c r="B348" s="8"/>
      <c r="C348" s="8"/>
      <c r="D348" s="8"/>
      <c r="E348" s="8"/>
      <c r="F348" s="366"/>
      <c r="G348" s="8"/>
      <c r="H348" s="8"/>
      <c r="I348" s="8"/>
      <c r="J348" s="8"/>
      <c r="K348" s="8"/>
      <c r="L348" s="8"/>
      <c r="M348" s="8"/>
      <c r="N348" s="8"/>
      <c r="O348" s="8"/>
      <c r="P348" s="8"/>
      <c r="Q348" s="8"/>
      <c r="R348" s="8"/>
      <c r="S348" s="367"/>
      <c r="T348" s="367"/>
      <c r="U348" s="367"/>
      <c r="V348" s="367"/>
      <c r="W348" s="8"/>
      <c r="X348" s="8"/>
      <c r="Y348" s="8"/>
      <c r="Z348" s="8"/>
      <c r="AA348" s="8"/>
      <c r="AB348" s="8"/>
    </row>
    <row r="349">
      <c r="A349" s="8"/>
      <c r="B349" s="8"/>
      <c r="C349" s="8"/>
      <c r="D349" s="8"/>
      <c r="E349" s="8"/>
      <c r="F349" s="366"/>
      <c r="G349" s="8"/>
      <c r="H349" s="8"/>
      <c r="I349" s="8"/>
      <c r="J349" s="8"/>
      <c r="K349" s="8"/>
      <c r="L349" s="8"/>
      <c r="M349" s="8"/>
      <c r="N349" s="8"/>
      <c r="O349" s="8"/>
      <c r="P349" s="8"/>
      <c r="Q349" s="8"/>
      <c r="R349" s="8"/>
      <c r="S349" s="367"/>
      <c r="T349" s="367"/>
      <c r="U349" s="367"/>
      <c r="V349" s="367"/>
      <c r="W349" s="8"/>
      <c r="X349" s="8"/>
      <c r="Y349" s="8"/>
      <c r="Z349" s="8"/>
      <c r="AA349" s="8"/>
      <c r="AB349" s="8"/>
    </row>
    <row r="350">
      <c r="A350" s="8"/>
      <c r="B350" s="8"/>
      <c r="C350" s="8"/>
      <c r="D350" s="8"/>
      <c r="E350" s="8"/>
      <c r="F350" s="366"/>
      <c r="G350" s="8"/>
      <c r="H350" s="8"/>
      <c r="I350" s="8"/>
      <c r="J350" s="8"/>
      <c r="K350" s="8"/>
      <c r="L350" s="8"/>
      <c r="M350" s="8"/>
      <c r="N350" s="8"/>
      <c r="O350" s="8"/>
      <c r="P350" s="8"/>
      <c r="Q350" s="8"/>
      <c r="R350" s="8"/>
      <c r="S350" s="367"/>
      <c r="T350" s="367"/>
      <c r="U350" s="367"/>
      <c r="V350" s="367"/>
      <c r="W350" s="8"/>
      <c r="X350" s="8"/>
      <c r="Y350" s="8"/>
      <c r="Z350" s="8"/>
      <c r="AA350" s="8"/>
      <c r="AB350" s="8"/>
    </row>
    <row r="351">
      <c r="A351" s="8"/>
      <c r="B351" s="8"/>
      <c r="C351" s="8"/>
      <c r="D351" s="8"/>
      <c r="E351" s="8"/>
      <c r="F351" s="366"/>
      <c r="G351" s="8"/>
      <c r="H351" s="8"/>
      <c r="I351" s="8"/>
      <c r="J351" s="8"/>
      <c r="K351" s="8"/>
      <c r="L351" s="8"/>
      <c r="M351" s="8"/>
      <c r="N351" s="8"/>
      <c r="O351" s="8"/>
      <c r="P351" s="8"/>
      <c r="Q351" s="8"/>
      <c r="R351" s="8"/>
      <c r="S351" s="367"/>
      <c r="T351" s="367"/>
      <c r="U351" s="367"/>
      <c r="V351" s="367"/>
      <c r="W351" s="8"/>
      <c r="X351" s="8"/>
      <c r="Y351" s="8"/>
      <c r="Z351" s="8"/>
      <c r="AA351" s="8"/>
      <c r="AB351" s="8"/>
    </row>
    <row r="352">
      <c r="A352" s="8"/>
      <c r="B352" s="8"/>
      <c r="C352" s="8"/>
      <c r="D352" s="8"/>
      <c r="E352" s="8"/>
      <c r="F352" s="366"/>
      <c r="G352" s="8"/>
      <c r="H352" s="8"/>
      <c r="I352" s="8"/>
      <c r="J352" s="8"/>
      <c r="K352" s="8"/>
      <c r="L352" s="8"/>
      <c r="M352" s="8"/>
      <c r="N352" s="8"/>
      <c r="O352" s="8"/>
      <c r="P352" s="8"/>
      <c r="Q352" s="8"/>
      <c r="R352" s="8"/>
      <c r="S352" s="367"/>
      <c r="T352" s="367"/>
      <c r="U352" s="367"/>
      <c r="V352" s="367"/>
      <c r="W352" s="8"/>
      <c r="X352" s="8"/>
      <c r="Y352" s="8"/>
      <c r="Z352" s="8"/>
      <c r="AA352" s="8"/>
      <c r="AB352" s="8"/>
    </row>
    <row r="353">
      <c r="A353" s="8"/>
      <c r="B353" s="8"/>
      <c r="C353" s="8"/>
      <c r="D353" s="8"/>
      <c r="E353" s="8"/>
      <c r="F353" s="366"/>
      <c r="G353" s="8"/>
      <c r="H353" s="8"/>
      <c r="I353" s="8"/>
      <c r="J353" s="8"/>
      <c r="K353" s="8"/>
      <c r="L353" s="8"/>
      <c r="M353" s="8"/>
      <c r="N353" s="8"/>
      <c r="O353" s="8"/>
      <c r="P353" s="8"/>
      <c r="Q353" s="8"/>
      <c r="R353" s="8"/>
      <c r="S353" s="367"/>
      <c r="T353" s="367"/>
      <c r="U353" s="367"/>
      <c r="V353" s="367"/>
      <c r="W353" s="8"/>
      <c r="X353" s="8"/>
      <c r="Y353" s="8"/>
      <c r="Z353" s="8"/>
      <c r="AA353" s="8"/>
      <c r="AB353" s="8"/>
    </row>
    <row r="354">
      <c r="A354" s="8"/>
      <c r="B354" s="8"/>
      <c r="C354" s="8"/>
      <c r="D354" s="8"/>
      <c r="E354" s="8"/>
      <c r="F354" s="366"/>
      <c r="G354" s="8"/>
      <c r="H354" s="8"/>
      <c r="I354" s="8"/>
      <c r="J354" s="8"/>
      <c r="K354" s="8"/>
      <c r="L354" s="8"/>
      <c r="M354" s="8"/>
      <c r="N354" s="8"/>
      <c r="O354" s="8"/>
      <c r="P354" s="8"/>
      <c r="Q354" s="8"/>
      <c r="R354" s="8"/>
      <c r="S354" s="367"/>
      <c r="T354" s="367"/>
      <c r="U354" s="367"/>
      <c r="V354" s="367"/>
      <c r="W354" s="8"/>
      <c r="X354" s="8"/>
      <c r="Y354" s="8"/>
      <c r="Z354" s="8"/>
      <c r="AA354" s="8"/>
      <c r="AB354" s="8"/>
    </row>
    <row r="355">
      <c r="A355" s="8"/>
      <c r="B355" s="8"/>
      <c r="C355" s="8"/>
      <c r="D355" s="8"/>
      <c r="E355" s="8"/>
      <c r="F355" s="366"/>
      <c r="G355" s="8"/>
      <c r="H355" s="8"/>
      <c r="I355" s="8"/>
      <c r="J355" s="8"/>
      <c r="K355" s="8"/>
      <c r="L355" s="8"/>
      <c r="M355" s="8"/>
      <c r="N355" s="8"/>
      <c r="O355" s="8"/>
      <c r="P355" s="8"/>
      <c r="Q355" s="8"/>
      <c r="R355" s="8"/>
      <c r="S355" s="367"/>
      <c r="T355" s="367"/>
      <c r="U355" s="367"/>
      <c r="V355" s="367"/>
      <c r="W355" s="8"/>
      <c r="X355" s="8"/>
      <c r="Y355" s="8"/>
      <c r="Z355" s="8"/>
      <c r="AA355" s="8"/>
      <c r="AB355" s="8"/>
    </row>
    <row r="356">
      <c r="A356" s="8"/>
      <c r="B356" s="8"/>
      <c r="C356" s="8"/>
      <c r="D356" s="8"/>
      <c r="E356" s="8"/>
      <c r="F356" s="366"/>
      <c r="G356" s="8"/>
      <c r="H356" s="8"/>
      <c r="I356" s="8"/>
      <c r="J356" s="8"/>
      <c r="K356" s="8"/>
      <c r="L356" s="8"/>
      <c r="M356" s="8"/>
      <c r="N356" s="8"/>
      <c r="O356" s="8"/>
      <c r="P356" s="8"/>
      <c r="Q356" s="8"/>
      <c r="R356" s="8"/>
      <c r="S356" s="367"/>
      <c r="T356" s="367"/>
      <c r="U356" s="367"/>
      <c r="V356" s="367"/>
      <c r="W356" s="8"/>
      <c r="X356" s="8"/>
      <c r="Y356" s="8"/>
      <c r="Z356" s="8"/>
      <c r="AA356" s="8"/>
      <c r="AB356" s="8"/>
    </row>
    <row r="357">
      <c r="A357" s="8"/>
      <c r="B357" s="8"/>
      <c r="C357" s="8"/>
      <c r="D357" s="8"/>
      <c r="E357" s="8"/>
      <c r="F357" s="366"/>
      <c r="G357" s="8"/>
      <c r="H357" s="8"/>
      <c r="I357" s="8"/>
      <c r="J357" s="8"/>
      <c r="K357" s="8"/>
      <c r="L357" s="8"/>
      <c r="M357" s="8"/>
      <c r="N357" s="8"/>
      <c r="O357" s="8"/>
      <c r="P357" s="8"/>
      <c r="Q357" s="8"/>
      <c r="R357" s="8"/>
      <c r="S357" s="367"/>
      <c r="T357" s="367"/>
      <c r="U357" s="367"/>
      <c r="V357" s="367"/>
      <c r="W357" s="8"/>
      <c r="X357" s="8"/>
      <c r="Y357" s="8"/>
      <c r="Z357" s="8"/>
      <c r="AA357" s="8"/>
      <c r="AB357" s="8"/>
    </row>
    <row r="358">
      <c r="A358" s="8"/>
      <c r="B358" s="8"/>
      <c r="C358" s="8"/>
      <c r="D358" s="8"/>
      <c r="E358" s="8"/>
      <c r="F358" s="366"/>
      <c r="G358" s="8"/>
      <c r="H358" s="8"/>
      <c r="I358" s="8"/>
      <c r="J358" s="8"/>
      <c r="K358" s="8"/>
      <c r="L358" s="8"/>
      <c r="M358" s="8"/>
      <c r="N358" s="8"/>
      <c r="O358" s="8"/>
      <c r="P358" s="8"/>
      <c r="Q358" s="8"/>
      <c r="R358" s="8"/>
      <c r="S358" s="367"/>
      <c r="T358" s="367"/>
      <c r="U358" s="367"/>
      <c r="V358" s="367"/>
      <c r="W358" s="8"/>
      <c r="X358" s="8"/>
      <c r="Y358" s="8"/>
      <c r="Z358" s="8"/>
      <c r="AA358" s="8"/>
      <c r="AB358" s="8"/>
    </row>
    <row r="359">
      <c r="A359" s="8"/>
      <c r="B359" s="8"/>
      <c r="C359" s="8"/>
      <c r="D359" s="8"/>
      <c r="E359" s="8"/>
      <c r="F359" s="366"/>
      <c r="G359" s="8"/>
      <c r="H359" s="8"/>
      <c r="I359" s="8"/>
      <c r="J359" s="8"/>
      <c r="K359" s="8"/>
      <c r="L359" s="8"/>
      <c r="M359" s="8"/>
      <c r="N359" s="8"/>
      <c r="O359" s="8"/>
      <c r="P359" s="8"/>
      <c r="Q359" s="8"/>
      <c r="R359" s="8"/>
      <c r="S359" s="367"/>
      <c r="T359" s="367"/>
      <c r="U359" s="367"/>
      <c r="V359" s="367"/>
      <c r="W359" s="8"/>
      <c r="X359" s="8"/>
      <c r="Y359" s="8"/>
      <c r="Z359" s="8"/>
      <c r="AA359" s="8"/>
      <c r="AB359" s="8"/>
    </row>
    <row r="360">
      <c r="A360" s="8"/>
      <c r="B360" s="8"/>
      <c r="C360" s="8"/>
      <c r="D360" s="8"/>
      <c r="E360" s="8"/>
      <c r="F360" s="366"/>
      <c r="G360" s="8"/>
      <c r="H360" s="8"/>
      <c r="I360" s="8"/>
      <c r="J360" s="8"/>
      <c r="K360" s="8"/>
      <c r="L360" s="8"/>
      <c r="M360" s="8"/>
      <c r="N360" s="8"/>
      <c r="O360" s="8"/>
      <c r="P360" s="8"/>
      <c r="Q360" s="8"/>
      <c r="R360" s="8"/>
      <c r="S360" s="367"/>
      <c r="T360" s="367"/>
      <c r="U360" s="367"/>
      <c r="V360" s="367"/>
      <c r="W360" s="8"/>
      <c r="X360" s="8"/>
      <c r="Y360" s="8"/>
      <c r="Z360" s="8"/>
      <c r="AA360" s="8"/>
      <c r="AB360" s="8"/>
    </row>
    <row r="361">
      <c r="A361" s="8"/>
      <c r="B361" s="8"/>
      <c r="C361" s="8"/>
      <c r="D361" s="8"/>
      <c r="E361" s="8"/>
      <c r="F361" s="366"/>
      <c r="G361" s="8"/>
      <c r="H361" s="8"/>
      <c r="I361" s="8"/>
      <c r="J361" s="8"/>
      <c r="K361" s="8"/>
      <c r="L361" s="8"/>
      <c r="M361" s="8"/>
      <c r="N361" s="8"/>
      <c r="O361" s="8"/>
      <c r="P361" s="8"/>
      <c r="Q361" s="8"/>
      <c r="R361" s="8"/>
      <c r="S361" s="367"/>
      <c r="T361" s="367"/>
      <c r="U361" s="367"/>
      <c r="V361" s="367"/>
      <c r="W361" s="8"/>
      <c r="X361" s="8"/>
      <c r="Y361" s="8"/>
      <c r="Z361" s="8"/>
      <c r="AA361" s="8"/>
      <c r="AB361" s="8"/>
    </row>
    <row r="362">
      <c r="A362" s="8"/>
      <c r="B362" s="8"/>
      <c r="C362" s="8"/>
      <c r="D362" s="8"/>
      <c r="E362" s="8"/>
      <c r="F362" s="366"/>
      <c r="G362" s="8"/>
      <c r="H362" s="8"/>
      <c r="I362" s="8"/>
      <c r="J362" s="8"/>
      <c r="K362" s="8"/>
      <c r="L362" s="8"/>
      <c r="M362" s="8"/>
      <c r="N362" s="8"/>
      <c r="O362" s="8"/>
      <c r="P362" s="8"/>
      <c r="Q362" s="8"/>
      <c r="R362" s="8"/>
      <c r="S362" s="367"/>
      <c r="T362" s="367"/>
      <c r="U362" s="367"/>
      <c r="V362" s="367"/>
      <c r="W362" s="8"/>
      <c r="X362" s="8"/>
      <c r="Y362" s="8"/>
      <c r="Z362" s="8"/>
      <c r="AA362" s="8"/>
      <c r="AB362" s="8"/>
    </row>
    <row r="363">
      <c r="A363" s="8"/>
      <c r="B363" s="8"/>
      <c r="C363" s="8"/>
      <c r="D363" s="8"/>
      <c r="E363" s="8"/>
      <c r="F363" s="366"/>
      <c r="G363" s="8"/>
      <c r="H363" s="8"/>
      <c r="I363" s="8"/>
      <c r="J363" s="8"/>
      <c r="K363" s="8"/>
      <c r="L363" s="8"/>
      <c r="M363" s="8"/>
      <c r="N363" s="8"/>
      <c r="O363" s="8"/>
      <c r="P363" s="8"/>
      <c r="Q363" s="8"/>
      <c r="R363" s="8"/>
      <c r="S363" s="367"/>
      <c r="T363" s="367"/>
      <c r="U363" s="367"/>
      <c r="V363" s="367"/>
      <c r="W363" s="8"/>
      <c r="X363" s="8"/>
      <c r="Y363" s="8"/>
      <c r="Z363" s="8"/>
      <c r="AA363" s="8"/>
      <c r="AB363" s="8"/>
    </row>
    <row r="364">
      <c r="A364" s="8"/>
      <c r="B364" s="8"/>
      <c r="C364" s="8"/>
      <c r="D364" s="8"/>
      <c r="E364" s="8"/>
      <c r="F364" s="366"/>
      <c r="G364" s="8"/>
      <c r="H364" s="8"/>
      <c r="I364" s="8"/>
      <c r="J364" s="8"/>
      <c r="K364" s="8"/>
      <c r="L364" s="8"/>
      <c r="M364" s="8"/>
      <c r="N364" s="8"/>
      <c r="O364" s="8"/>
      <c r="P364" s="8"/>
      <c r="Q364" s="8"/>
      <c r="R364" s="8"/>
      <c r="S364" s="367"/>
      <c r="T364" s="367"/>
      <c r="U364" s="367"/>
      <c r="V364" s="367"/>
      <c r="W364" s="8"/>
      <c r="X364" s="8"/>
      <c r="Y364" s="8"/>
      <c r="Z364" s="8"/>
      <c r="AA364" s="8"/>
      <c r="AB364" s="8"/>
    </row>
    <row r="365">
      <c r="A365" s="8"/>
      <c r="B365" s="8"/>
      <c r="C365" s="8"/>
      <c r="D365" s="8"/>
      <c r="E365" s="8"/>
      <c r="F365" s="366"/>
      <c r="G365" s="8"/>
      <c r="H365" s="8"/>
      <c r="I365" s="8"/>
      <c r="J365" s="8"/>
      <c r="K365" s="8"/>
      <c r="L365" s="8"/>
      <c r="M365" s="8"/>
      <c r="N365" s="8"/>
      <c r="O365" s="8"/>
      <c r="P365" s="8"/>
      <c r="Q365" s="8"/>
      <c r="R365" s="8"/>
      <c r="S365" s="367"/>
      <c r="T365" s="367"/>
      <c r="U365" s="367"/>
      <c r="V365" s="367"/>
      <c r="W365" s="8"/>
      <c r="X365" s="8"/>
      <c r="Y365" s="8"/>
      <c r="Z365" s="8"/>
      <c r="AA365" s="8"/>
      <c r="AB365" s="8"/>
    </row>
    <row r="366">
      <c r="A366" s="8"/>
      <c r="B366" s="8"/>
      <c r="C366" s="8"/>
      <c r="D366" s="8"/>
      <c r="E366" s="8"/>
      <c r="F366" s="366"/>
      <c r="G366" s="8"/>
      <c r="H366" s="8"/>
      <c r="I366" s="8"/>
      <c r="J366" s="8"/>
      <c r="K366" s="8"/>
      <c r="L366" s="8"/>
      <c r="M366" s="8"/>
      <c r="N366" s="8"/>
      <c r="O366" s="8"/>
      <c r="P366" s="8"/>
      <c r="Q366" s="8"/>
      <c r="R366" s="8"/>
      <c r="S366" s="367"/>
      <c r="T366" s="367"/>
      <c r="U366" s="367"/>
      <c r="V366" s="367"/>
      <c r="W366" s="8"/>
      <c r="X366" s="8"/>
      <c r="Y366" s="8"/>
      <c r="Z366" s="8"/>
      <c r="AA366" s="8"/>
      <c r="AB366" s="8"/>
    </row>
    <row r="367">
      <c r="A367" s="8"/>
      <c r="B367" s="8"/>
      <c r="C367" s="8"/>
      <c r="D367" s="8"/>
      <c r="E367" s="8"/>
      <c r="F367" s="366"/>
      <c r="G367" s="8"/>
      <c r="H367" s="8"/>
      <c r="I367" s="8"/>
      <c r="J367" s="8"/>
      <c r="K367" s="8"/>
      <c r="L367" s="8"/>
      <c r="M367" s="8"/>
      <c r="N367" s="8"/>
      <c r="O367" s="8"/>
      <c r="P367" s="8"/>
      <c r="Q367" s="8"/>
      <c r="R367" s="8"/>
      <c r="S367" s="367"/>
      <c r="T367" s="367"/>
      <c r="U367" s="367"/>
      <c r="V367" s="367"/>
      <c r="W367" s="8"/>
      <c r="X367" s="8"/>
      <c r="Y367" s="8"/>
      <c r="Z367" s="8"/>
      <c r="AA367" s="8"/>
      <c r="AB367" s="8"/>
    </row>
    <row r="368">
      <c r="A368" s="8"/>
      <c r="B368" s="8"/>
      <c r="C368" s="8"/>
      <c r="D368" s="8"/>
      <c r="E368" s="8"/>
      <c r="F368" s="366"/>
      <c r="G368" s="8"/>
      <c r="H368" s="8"/>
      <c r="I368" s="8"/>
      <c r="J368" s="8"/>
      <c r="K368" s="8"/>
      <c r="L368" s="8"/>
      <c r="M368" s="8"/>
      <c r="N368" s="8"/>
      <c r="O368" s="8"/>
      <c r="P368" s="8"/>
      <c r="Q368" s="8"/>
      <c r="R368" s="8"/>
      <c r="S368" s="367"/>
      <c r="T368" s="367"/>
      <c r="U368" s="367"/>
      <c r="V368" s="367"/>
      <c r="W368" s="8"/>
      <c r="X368" s="8"/>
      <c r="Y368" s="8"/>
      <c r="Z368" s="8"/>
      <c r="AA368" s="8"/>
      <c r="AB368" s="8"/>
    </row>
    <row r="369">
      <c r="A369" s="8"/>
      <c r="B369" s="8"/>
      <c r="C369" s="8"/>
      <c r="D369" s="8"/>
      <c r="E369" s="8"/>
      <c r="F369" s="366"/>
      <c r="G369" s="8"/>
      <c r="H369" s="8"/>
      <c r="I369" s="8"/>
      <c r="J369" s="8"/>
      <c r="K369" s="8"/>
      <c r="L369" s="8"/>
      <c r="M369" s="8"/>
      <c r="N369" s="8"/>
      <c r="O369" s="8"/>
      <c r="P369" s="8"/>
      <c r="Q369" s="8"/>
      <c r="R369" s="8"/>
      <c r="S369" s="367"/>
      <c r="T369" s="367"/>
      <c r="U369" s="367"/>
      <c r="V369" s="367"/>
      <c r="W369" s="8"/>
      <c r="X369" s="8"/>
      <c r="Y369" s="8"/>
      <c r="Z369" s="8"/>
      <c r="AA369" s="8"/>
      <c r="AB369" s="8"/>
    </row>
    <row r="370">
      <c r="A370" s="8"/>
      <c r="B370" s="8"/>
      <c r="C370" s="8"/>
      <c r="D370" s="8"/>
      <c r="E370" s="8"/>
      <c r="F370" s="366"/>
      <c r="G370" s="8"/>
      <c r="H370" s="8"/>
      <c r="I370" s="8"/>
      <c r="J370" s="8"/>
      <c r="K370" s="8"/>
      <c r="L370" s="8"/>
      <c r="M370" s="8"/>
      <c r="N370" s="8"/>
      <c r="O370" s="8"/>
      <c r="P370" s="8"/>
      <c r="Q370" s="8"/>
      <c r="R370" s="8"/>
      <c r="S370" s="367"/>
      <c r="T370" s="367"/>
      <c r="U370" s="367"/>
      <c r="V370" s="367"/>
      <c r="W370" s="8"/>
      <c r="X370" s="8"/>
      <c r="Y370" s="8"/>
      <c r="Z370" s="8"/>
      <c r="AA370" s="8"/>
      <c r="AB370" s="8"/>
    </row>
    <row r="371">
      <c r="A371" s="8"/>
      <c r="B371" s="8"/>
      <c r="C371" s="8"/>
      <c r="D371" s="8"/>
      <c r="E371" s="8"/>
      <c r="F371" s="366"/>
      <c r="G371" s="8"/>
      <c r="H371" s="8"/>
      <c r="I371" s="8"/>
      <c r="J371" s="8"/>
      <c r="K371" s="8"/>
      <c r="L371" s="8"/>
      <c r="M371" s="8"/>
      <c r="N371" s="8"/>
      <c r="O371" s="8"/>
      <c r="P371" s="8"/>
      <c r="Q371" s="8"/>
      <c r="R371" s="8"/>
      <c r="S371" s="367"/>
      <c r="T371" s="367"/>
      <c r="U371" s="367"/>
      <c r="V371" s="367"/>
      <c r="W371" s="8"/>
      <c r="X371" s="8"/>
      <c r="Y371" s="8"/>
      <c r="Z371" s="8"/>
      <c r="AA371" s="8"/>
      <c r="AB371" s="8"/>
    </row>
    <row r="372">
      <c r="A372" s="8"/>
      <c r="B372" s="8"/>
      <c r="C372" s="8"/>
      <c r="D372" s="8"/>
      <c r="E372" s="8"/>
      <c r="F372" s="366"/>
      <c r="G372" s="8"/>
      <c r="H372" s="8"/>
      <c r="I372" s="8"/>
      <c r="J372" s="8"/>
      <c r="K372" s="8"/>
      <c r="L372" s="8"/>
      <c r="M372" s="8"/>
      <c r="N372" s="8"/>
      <c r="O372" s="8"/>
      <c r="P372" s="8"/>
      <c r="Q372" s="8"/>
      <c r="R372" s="8"/>
      <c r="S372" s="367"/>
      <c r="T372" s="367"/>
      <c r="U372" s="367"/>
      <c r="V372" s="367"/>
      <c r="W372" s="8"/>
      <c r="X372" s="8"/>
      <c r="Y372" s="8"/>
      <c r="Z372" s="8"/>
      <c r="AA372" s="8"/>
      <c r="AB372" s="8"/>
    </row>
    <row r="373">
      <c r="A373" s="8"/>
      <c r="B373" s="8"/>
      <c r="C373" s="8"/>
      <c r="D373" s="8"/>
      <c r="E373" s="8"/>
      <c r="F373" s="366"/>
      <c r="G373" s="8"/>
      <c r="H373" s="8"/>
      <c r="I373" s="8"/>
      <c r="J373" s="8"/>
      <c r="K373" s="8"/>
      <c r="L373" s="8"/>
      <c r="M373" s="8"/>
      <c r="N373" s="8"/>
      <c r="O373" s="8"/>
      <c r="P373" s="8"/>
      <c r="Q373" s="8"/>
      <c r="R373" s="8"/>
      <c r="S373" s="367"/>
      <c r="T373" s="367"/>
      <c r="U373" s="367"/>
      <c r="V373" s="367"/>
      <c r="W373" s="8"/>
      <c r="X373" s="8"/>
      <c r="Y373" s="8"/>
      <c r="Z373" s="8"/>
      <c r="AA373" s="8"/>
      <c r="AB373" s="8"/>
    </row>
    <row r="374">
      <c r="A374" s="8"/>
      <c r="B374" s="8"/>
      <c r="C374" s="8"/>
      <c r="D374" s="8"/>
      <c r="E374" s="8"/>
      <c r="F374" s="366"/>
      <c r="G374" s="8"/>
      <c r="H374" s="8"/>
      <c r="I374" s="8"/>
      <c r="J374" s="8"/>
      <c r="K374" s="8"/>
      <c r="L374" s="8"/>
      <c r="M374" s="8"/>
      <c r="N374" s="8"/>
      <c r="O374" s="8"/>
      <c r="P374" s="8"/>
      <c r="Q374" s="8"/>
      <c r="R374" s="8"/>
      <c r="S374" s="367"/>
      <c r="T374" s="367"/>
      <c r="U374" s="367"/>
      <c r="V374" s="367"/>
      <c r="W374" s="8"/>
      <c r="X374" s="8"/>
      <c r="Y374" s="8"/>
      <c r="Z374" s="8"/>
      <c r="AA374" s="8"/>
      <c r="AB374" s="8"/>
    </row>
    <row r="375">
      <c r="A375" s="8"/>
      <c r="B375" s="8"/>
      <c r="C375" s="8"/>
      <c r="D375" s="8"/>
      <c r="E375" s="8"/>
      <c r="F375" s="366"/>
      <c r="G375" s="8"/>
      <c r="H375" s="8"/>
      <c r="I375" s="8"/>
      <c r="J375" s="8"/>
      <c r="K375" s="8"/>
      <c r="L375" s="8"/>
      <c r="M375" s="8"/>
      <c r="N375" s="8"/>
      <c r="O375" s="8"/>
      <c r="P375" s="8"/>
      <c r="Q375" s="8"/>
      <c r="R375" s="8"/>
      <c r="S375" s="367"/>
      <c r="T375" s="367"/>
      <c r="U375" s="367"/>
      <c r="V375" s="367"/>
      <c r="W375" s="8"/>
      <c r="X375" s="8"/>
      <c r="Y375" s="8"/>
      <c r="Z375" s="8"/>
      <c r="AA375" s="8"/>
      <c r="AB375" s="8"/>
    </row>
    <row r="376">
      <c r="A376" s="8"/>
      <c r="B376" s="8"/>
      <c r="C376" s="8"/>
      <c r="D376" s="8"/>
      <c r="E376" s="8"/>
      <c r="F376" s="366"/>
      <c r="G376" s="8"/>
      <c r="H376" s="8"/>
      <c r="I376" s="8"/>
      <c r="J376" s="8"/>
      <c r="K376" s="8"/>
      <c r="L376" s="8"/>
      <c r="M376" s="8"/>
      <c r="N376" s="8"/>
      <c r="O376" s="8"/>
      <c r="P376" s="8"/>
      <c r="Q376" s="8"/>
      <c r="R376" s="8"/>
      <c r="S376" s="367"/>
      <c r="T376" s="367"/>
      <c r="U376" s="367"/>
      <c r="V376" s="367"/>
      <c r="W376" s="8"/>
      <c r="X376" s="8"/>
      <c r="Y376" s="8"/>
      <c r="Z376" s="8"/>
      <c r="AA376" s="8"/>
      <c r="AB376" s="8"/>
    </row>
    <row r="377">
      <c r="A377" s="8"/>
      <c r="B377" s="8"/>
      <c r="C377" s="8"/>
      <c r="D377" s="8"/>
      <c r="E377" s="8"/>
      <c r="F377" s="366"/>
      <c r="G377" s="8"/>
      <c r="H377" s="8"/>
      <c r="I377" s="8"/>
      <c r="J377" s="8"/>
      <c r="K377" s="8"/>
      <c r="L377" s="8"/>
      <c r="M377" s="8"/>
      <c r="N377" s="8"/>
      <c r="O377" s="8"/>
      <c r="P377" s="8"/>
      <c r="Q377" s="8"/>
      <c r="R377" s="8"/>
      <c r="S377" s="367"/>
      <c r="T377" s="367"/>
      <c r="U377" s="367"/>
      <c r="V377" s="367"/>
      <c r="W377" s="8"/>
      <c r="X377" s="8"/>
      <c r="Y377" s="8"/>
      <c r="Z377" s="8"/>
      <c r="AA377" s="8"/>
      <c r="AB377" s="8"/>
    </row>
    <row r="378">
      <c r="A378" s="8"/>
      <c r="B378" s="8"/>
      <c r="C378" s="8"/>
      <c r="D378" s="8"/>
      <c r="E378" s="8"/>
      <c r="F378" s="366"/>
      <c r="G378" s="8"/>
      <c r="H378" s="8"/>
      <c r="I378" s="8"/>
      <c r="J378" s="8"/>
      <c r="K378" s="8"/>
      <c r="L378" s="8"/>
      <c r="M378" s="8"/>
      <c r="N378" s="8"/>
      <c r="O378" s="8"/>
      <c r="P378" s="8"/>
      <c r="Q378" s="8"/>
      <c r="R378" s="8"/>
      <c r="S378" s="367"/>
      <c r="T378" s="367"/>
      <c r="U378" s="367"/>
      <c r="V378" s="367"/>
      <c r="W378" s="8"/>
      <c r="X378" s="8"/>
      <c r="Y378" s="8"/>
      <c r="Z378" s="8"/>
      <c r="AA378" s="8"/>
      <c r="AB378" s="8"/>
    </row>
    <row r="379">
      <c r="A379" s="8"/>
      <c r="B379" s="8"/>
      <c r="C379" s="8"/>
      <c r="D379" s="8"/>
      <c r="E379" s="8"/>
      <c r="F379" s="366"/>
      <c r="G379" s="8"/>
      <c r="H379" s="8"/>
      <c r="I379" s="8"/>
      <c r="J379" s="8"/>
      <c r="K379" s="8"/>
      <c r="L379" s="8"/>
      <c r="M379" s="8"/>
      <c r="N379" s="8"/>
      <c r="O379" s="8"/>
      <c r="P379" s="8"/>
      <c r="Q379" s="8"/>
      <c r="R379" s="8"/>
      <c r="S379" s="367"/>
      <c r="T379" s="367"/>
      <c r="U379" s="367"/>
      <c r="V379" s="367"/>
      <c r="W379" s="8"/>
      <c r="X379" s="8"/>
      <c r="Y379" s="8"/>
      <c r="Z379" s="8"/>
      <c r="AA379" s="8"/>
      <c r="AB379" s="8"/>
    </row>
    <row r="380">
      <c r="A380" s="8"/>
      <c r="B380" s="8"/>
      <c r="C380" s="8"/>
      <c r="D380" s="8"/>
      <c r="E380" s="8"/>
      <c r="F380" s="366"/>
      <c r="G380" s="8"/>
      <c r="H380" s="8"/>
      <c r="I380" s="8"/>
      <c r="J380" s="8"/>
      <c r="K380" s="8"/>
      <c r="L380" s="8"/>
      <c r="M380" s="8"/>
      <c r="N380" s="8"/>
      <c r="O380" s="8"/>
      <c r="P380" s="8"/>
      <c r="Q380" s="8"/>
      <c r="R380" s="8"/>
      <c r="S380" s="367"/>
      <c r="T380" s="367"/>
      <c r="U380" s="367"/>
      <c r="V380" s="367"/>
      <c r="W380" s="8"/>
      <c r="X380" s="8"/>
      <c r="Y380" s="8"/>
      <c r="Z380" s="8"/>
      <c r="AA380" s="8"/>
      <c r="AB380" s="8"/>
    </row>
    <row r="381">
      <c r="A381" s="8"/>
      <c r="B381" s="8"/>
      <c r="C381" s="8"/>
      <c r="D381" s="8"/>
      <c r="E381" s="8"/>
      <c r="F381" s="366"/>
      <c r="G381" s="8"/>
      <c r="H381" s="8"/>
      <c r="I381" s="8"/>
      <c r="J381" s="8"/>
      <c r="K381" s="8"/>
      <c r="L381" s="8"/>
      <c r="M381" s="8"/>
      <c r="N381" s="8"/>
      <c r="O381" s="8"/>
      <c r="P381" s="8"/>
      <c r="Q381" s="8"/>
      <c r="R381" s="8"/>
      <c r="S381" s="367"/>
      <c r="T381" s="367"/>
      <c r="U381" s="367"/>
      <c r="V381" s="367"/>
      <c r="W381" s="8"/>
      <c r="X381" s="8"/>
      <c r="Y381" s="8"/>
      <c r="Z381" s="8"/>
      <c r="AA381" s="8"/>
      <c r="AB381" s="8"/>
    </row>
    <row r="382">
      <c r="A382" s="8"/>
      <c r="B382" s="8"/>
      <c r="C382" s="8"/>
      <c r="D382" s="8"/>
      <c r="E382" s="8"/>
      <c r="F382" s="366"/>
      <c r="G382" s="8"/>
      <c r="H382" s="8"/>
      <c r="I382" s="8"/>
      <c r="J382" s="8"/>
      <c r="K382" s="8"/>
      <c r="L382" s="8"/>
      <c r="M382" s="8"/>
      <c r="N382" s="8"/>
      <c r="O382" s="8"/>
      <c r="P382" s="8"/>
      <c r="Q382" s="8"/>
      <c r="R382" s="8"/>
      <c r="S382" s="367"/>
      <c r="T382" s="367"/>
      <c r="U382" s="367"/>
      <c r="V382" s="367"/>
      <c r="W382" s="8"/>
      <c r="X382" s="8"/>
      <c r="Y382" s="8"/>
      <c r="Z382" s="8"/>
      <c r="AA382" s="8"/>
      <c r="AB382" s="8"/>
    </row>
    <row r="383">
      <c r="A383" s="8"/>
      <c r="B383" s="8"/>
      <c r="C383" s="8"/>
      <c r="D383" s="8"/>
      <c r="E383" s="8"/>
      <c r="F383" s="366"/>
      <c r="G383" s="8"/>
      <c r="H383" s="8"/>
      <c r="I383" s="8"/>
      <c r="J383" s="8"/>
      <c r="K383" s="8"/>
      <c r="L383" s="8"/>
      <c r="M383" s="8"/>
      <c r="N383" s="8"/>
      <c r="O383" s="8"/>
      <c r="P383" s="8"/>
      <c r="Q383" s="8"/>
      <c r="R383" s="8"/>
      <c r="S383" s="367"/>
      <c r="T383" s="367"/>
      <c r="U383" s="367"/>
      <c r="V383" s="367"/>
      <c r="W383" s="8"/>
      <c r="X383" s="8"/>
      <c r="Y383" s="8"/>
      <c r="Z383" s="8"/>
      <c r="AA383" s="8"/>
      <c r="AB383" s="8"/>
    </row>
    <row r="384">
      <c r="A384" s="8"/>
      <c r="B384" s="8"/>
      <c r="C384" s="8"/>
      <c r="D384" s="8"/>
      <c r="E384" s="8"/>
      <c r="F384" s="366"/>
      <c r="G384" s="8"/>
      <c r="H384" s="8"/>
      <c r="I384" s="8"/>
      <c r="J384" s="8"/>
      <c r="K384" s="8"/>
      <c r="L384" s="8"/>
      <c r="M384" s="8"/>
      <c r="N384" s="8"/>
      <c r="O384" s="8"/>
      <c r="P384" s="8"/>
      <c r="Q384" s="8"/>
      <c r="R384" s="8"/>
      <c r="S384" s="367"/>
      <c r="T384" s="367"/>
      <c r="U384" s="367"/>
      <c r="V384" s="367"/>
      <c r="W384" s="8"/>
      <c r="X384" s="8"/>
      <c r="Y384" s="8"/>
      <c r="Z384" s="8"/>
      <c r="AA384" s="8"/>
      <c r="AB384" s="8"/>
    </row>
    <row r="385">
      <c r="A385" s="8"/>
      <c r="B385" s="8"/>
      <c r="C385" s="8"/>
      <c r="D385" s="8"/>
      <c r="E385" s="8"/>
      <c r="F385" s="366"/>
      <c r="G385" s="8"/>
      <c r="H385" s="8"/>
      <c r="I385" s="8"/>
      <c r="J385" s="8"/>
      <c r="K385" s="8"/>
      <c r="L385" s="8"/>
      <c r="M385" s="8"/>
      <c r="N385" s="8"/>
      <c r="O385" s="8"/>
      <c r="P385" s="8"/>
      <c r="Q385" s="8"/>
      <c r="R385" s="8"/>
      <c r="S385" s="367"/>
      <c r="T385" s="367"/>
      <c r="U385" s="367"/>
      <c r="V385" s="367"/>
      <c r="W385" s="8"/>
      <c r="X385" s="8"/>
      <c r="Y385" s="8"/>
      <c r="Z385" s="8"/>
      <c r="AA385" s="8"/>
      <c r="AB385" s="8"/>
    </row>
    <row r="386">
      <c r="A386" s="8"/>
      <c r="B386" s="8"/>
      <c r="C386" s="8"/>
      <c r="D386" s="8"/>
      <c r="E386" s="8"/>
      <c r="F386" s="366"/>
      <c r="G386" s="8"/>
      <c r="H386" s="8"/>
      <c r="I386" s="8"/>
      <c r="J386" s="8"/>
      <c r="K386" s="8"/>
      <c r="L386" s="8"/>
      <c r="M386" s="8"/>
      <c r="N386" s="8"/>
      <c r="O386" s="8"/>
      <c r="P386" s="8"/>
      <c r="Q386" s="8"/>
      <c r="R386" s="8"/>
      <c r="S386" s="367"/>
      <c r="T386" s="367"/>
      <c r="U386" s="367"/>
      <c r="V386" s="367"/>
      <c r="W386" s="8"/>
      <c r="X386" s="8"/>
      <c r="Y386" s="8"/>
      <c r="Z386" s="8"/>
      <c r="AA386" s="8"/>
      <c r="AB386" s="8"/>
    </row>
    <row r="387">
      <c r="A387" s="8"/>
      <c r="B387" s="8"/>
      <c r="C387" s="8"/>
      <c r="D387" s="8"/>
      <c r="E387" s="8"/>
      <c r="F387" s="366"/>
      <c r="G387" s="8"/>
      <c r="H387" s="8"/>
      <c r="I387" s="8"/>
      <c r="J387" s="8"/>
      <c r="K387" s="8"/>
      <c r="L387" s="8"/>
      <c r="M387" s="8"/>
      <c r="N387" s="8"/>
      <c r="O387" s="8"/>
      <c r="P387" s="8"/>
      <c r="Q387" s="8"/>
      <c r="R387" s="8"/>
      <c r="S387" s="367"/>
      <c r="T387" s="367"/>
      <c r="U387" s="367"/>
      <c r="V387" s="367"/>
      <c r="W387" s="8"/>
      <c r="X387" s="8"/>
      <c r="Y387" s="8"/>
      <c r="Z387" s="8"/>
      <c r="AA387" s="8"/>
      <c r="AB387" s="8"/>
    </row>
    <row r="388">
      <c r="A388" s="8"/>
      <c r="B388" s="8"/>
      <c r="C388" s="8"/>
      <c r="D388" s="8"/>
      <c r="E388" s="8"/>
      <c r="F388" s="366"/>
      <c r="G388" s="8"/>
      <c r="H388" s="8"/>
      <c r="I388" s="8"/>
      <c r="J388" s="8"/>
      <c r="K388" s="8"/>
      <c r="L388" s="8"/>
      <c r="M388" s="8"/>
      <c r="N388" s="8"/>
      <c r="O388" s="8"/>
      <c r="P388" s="8"/>
      <c r="Q388" s="8"/>
      <c r="R388" s="8"/>
      <c r="S388" s="367"/>
      <c r="T388" s="367"/>
      <c r="U388" s="367"/>
      <c r="V388" s="367"/>
      <c r="W388" s="8"/>
      <c r="X388" s="8"/>
      <c r="Y388" s="8"/>
      <c r="Z388" s="8"/>
      <c r="AA388" s="8"/>
      <c r="AB388" s="8"/>
    </row>
    <row r="389">
      <c r="A389" s="8"/>
      <c r="B389" s="8"/>
      <c r="C389" s="8"/>
      <c r="D389" s="8"/>
      <c r="E389" s="8"/>
      <c r="F389" s="366"/>
      <c r="G389" s="8"/>
      <c r="H389" s="8"/>
      <c r="I389" s="8"/>
      <c r="J389" s="8"/>
      <c r="K389" s="8"/>
      <c r="L389" s="8"/>
      <c r="M389" s="8"/>
      <c r="N389" s="8"/>
      <c r="O389" s="8"/>
      <c r="P389" s="8"/>
      <c r="Q389" s="8"/>
      <c r="R389" s="8"/>
      <c r="S389" s="367"/>
      <c r="T389" s="367"/>
      <c r="U389" s="367"/>
      <c r="V389" s="367"/>
      <c r="W389" s="8"/>
      <c r="X389" s="8"/>
      <c r="Y389" s="8"/>
      <c r="Z389" s="8"/>
      <c r="AA389" s="8"/>
      <c r="AB389" s="8"/>
    </row>
    <row r="390">
      <c r="A390" s="8"/>
      <c r="B390" s="8"/>
      <c r="C390" s="8"/>
      <c r="D390" s="8"/>
      <c r="E390" s="8"/>
      <c r="F390" s="366"/>
      <c r="G390" s="8"/>
      <c r="H390" s="8"/>
      <c r="I390" s="8"/>
      <c r="J390" s="8"/>
      <c r="K390" s="8"/>
      <c r="L390" s="8"/>
      <c r="M390" s="8"/>
      <c r="N390" s="8"/>
      <c r="O390" s="8"/>
      <c r="P390" s="8"/>
      <c r="Q390" s="8"/>
      <c r="R390" s="8"/>
      <c r="S390" s="367"/>
      <c r="T390" s="367"/>
      <c r="U390" s="367"/>
      <c r="V390" s="367"/>
      <c r="W390" s="8"/>
      <c r="X390" s="8"/>
      <c r="Y390" s="8"/>
      <c r="Z390" s="8"/>
      <c r="AA390" s="8"/>
      <c r="AB390" s="8"/>
    </row>
    <row r="391">
      <c r="A391" s="8"/>
      <c r="B391" s="8"/>
      <c r="C391" s="8"/>
      <c r="D391" s="8"/>
      <c r="E391" s="8"/>
      <c r="F391" s="366"/>
      <c r="G391" s="8"/>
      <c r="H391" s="8"/>
      <c r="I391" s="8"/>
      <c r="J391" s="8"/>
      <c r="K391" s="8"/>
      <c r="L391" s="8"/>
      <c r="M391" s="8"/>
      <c r="N391" s="8"/>
      <c r="O391" s="8"/>
      <c r="P391" s="8"/>
      <c r="Q391" s="8"/>
      <c r="R391" s="8"/>
      <c r="S391" s="367"/>
      <c r="T391" s="367"/>
      <c r="U391" s="367"/>
      <c r="V391" s="367"/>
      <c r="W391" s="8"/>
      <c r="X391" s="8"/>
      <c r="Y391" s="8"/>
      <c r="Z391" s="8"/>
      <c r="AA391" s="8"/>
      <c r="AB391" s="8"/>
    </row>
    <row r="392">
      <c r="A392" s="8"/>
      <c r="B392" s="8"/>
      <c r="C392" s="8"/>
      <c r="D392" s="8"/>
      <c r="E392" s="8"/>
      <c r="F392" s="366"/>
      <c r="G392" s="8"/>
      <c r="H392" s="8"/>
      <c r="I392" s="8"/>
      <c r="J392" s="8"/>
      <c r="K392" s="8"/>
      <c r="L392" s="8"/>
      <c r="M392" s="8"/>
      <c r="N392" s="8"/>
      <c r="O392" s="8"/>
      <c r="P392" s="8"/>
      <c r="Q392" s="8"/>
      <c r="R392" s="8"/>
      <c r="S392" s="367"/>
      <c r="T392" s="367"/>
      <c r="U392" s="367"/>
      <c r="V392" s="367"/>
      <c r="W392" s="8"/>
      <c r="X392" s="8"/>
      <c r="Y392" s="8"/>
      <c r="Z392" s="8"/>
      <c r="AA392" s="8"/>
      <c r="AB392" s="8"/>
    </row>
    <row r="393">
      <c r="A393" s="8"/>
      <c r="B393" s="8"/>
      <c r="C393" s="8"/>
      <c r="D393" s="8"/>
      <c r="E393" s="8"/>
      <c r="F393" s="366"/>
      <c r="G393" s="8"/>
      <c r="H393" s="8"/>
      <c r="I393" s="8"/>
      <c r="J393" s="8"/>
      <c r="K393" s="8"/>
      <c r="L393" s="8"/>
      <c r="M393" s="8"/>
      <c r="N393" s="8"/>
      <c r="O393" s="8"/>
      <c r="P393" s="8"/>
      <c r="Q393" s="8"/>
      <c r="R393" s="8"/>
      <c r="S393" s="367"/>
      <c r="T393" s="367"/>
      <c r="U393" s="367"/>
      <c r="V393" s="367"/>
      <c r="W393" s="8"/>
      <c r="X393" s="8"/>
      <c r="Y393" s="8"/>
      <c r="Z393" s="8"/>
      <c r="AA393" s="8"/>
      <c r="AB393" s="8"/>
    </row>
    <row r="394">
      <c r="A394" s="8"/>
      <c r="B394" s="8"/>
      <c r="C394" s="8"/>
      <c r="D394" s="8"/>
      <c r="E394" s="8"/>
      <c r="F394" s="366"/>
      <c r="G394" s="8"/>
      <c r="H394" s="8"/>
      <c r="I394" s="8"/>
      <c r="J394" s="8"/>
      <c r="K394" s="8"/>
      <c r="L394" s="8"/>
      <c r="M394" s="8"/>
      <c r="N394" s="8"/>
      <c r="O394" s="8"/>
      <c r="P394" s="8"/>
      <c r="Q394" s="8"/>
      <c r="R394" s="8"/>
      <c r="S394" s="367"/>
      <c r="T394" s="367"/>
      <c r="U394" s="367"/>
      <c r="V394" s="367"/>
      <c r="W394" s="8"/>
      <c r="X394" s="8"/>
      <c r="Y394" s="8"/>
      <c r="Z394" s="8"/>
      <c r="AA394" s="8"/>
      <c r="AB394" s="8"/>
    </row>
    <row r="395">
      <c r="A395" s="8"/>
      <c r="B395" s="8"/>
      <c r="C395" s="8"/>
      <c r="D395" s="8"/>
      <c r="E395" s="8"/>
      <c r="F395" s="366"/>
      <c r="G395" s="8"/>
      <c r="H395" s="8"/>
      <c r="I395" s="8"/>
      <c r="J395" s="8"/>
      <c r="K395" s="8"/>
      <c r="L395" s="8"/>
      <c r="M395" s="8"/>
      <c r="N395" s="8"/>
      <c r="O395" s="8"/>
      <c r="P395" s="8"/>
      <c r="Q395" s="8"/>
      <c r="R395" s="8"/>
      <c r="S395" s="367"/>
      <c r="T395" s="367"/>
      <c r="U395" s="367"/>
      <c r="V395" s="367"/>
      <c r="W395" s="8"/>
      <c r="X395" s="8"/>
      <c r="Y395" s="8"/>
      <c r="Z395" s="8"/>
      <c r="AA395" s="8"/>
      <c r="AB395" s="8"/>
    </row>
    <row r="396">
      <c r="A396" s="8"/>
      <c r="B396" s="8"/>
      <c r="C396" s="8"/>
      <c r="D396" s="8"/>
      <c r="E396" s="8"/>
      <c r="F396" s="366"/>
      <c r="G396" s="8"/>
      <c r="H396" s="8"/>
      <c r="I396" s="8"/>
      <c r="J396" s="8"/>
      <c r="K396" s="8"/>
      <c r="L396" s="8"/>
      <c r="M396" s="8"/>
      <c r="N396" s="8"/>
      <c r="O396" s="8"/>
      <c r="P396" s="8"/>
      <c r="Q396" s="8"/>
      <c r="R396" s="8"/>
      <c r="S396" s="367"/>
      <c r="T396" s="367"/>
      <c r="U396" s="367"/>
      <c r="V396" s="367"/>
      <c r="W396" s="8"/>
      <c r="X396" s="8"/>
      <c r="Y396" s="8"/>
      <c r="Z396" s="8"/>
      <c r="AA396" s="8"/>
      <c r="AB396" s="8"/>
    </row>
    <row r="397">
      <c r="A397" s="8"/>
      <c r="B397" s="8"/>
      <c r="C397" s="8"/>
      <c r="D397" s="8"/>
      <c r="E397" s="8"/>
      <c r="F397" s="366"/>
      <c r="G397" s="8"/>
      <c r="H397" s="8"/>
      <c r="I397" s="8"/>
      <c r="J397" s="8"/>
      <c r="K397" s="8"/>
      <c r="L397" s="8"/>
      <c r="M397" s="8"/>
      <c r="N397" s="8"/>
      <c r="O397" s="8"/>
      <c r="P397" s="8"/>
      <c r="Q397" s="8"/>
      <c r="R397" s="8"/>
      <c r="S397" s="367"/>
      <c r="T397" s="367"/>
      <c r="U397" s="367"/>
      <c r="V397" s="367"/>
      <c r="W397" s="8"/>
      <c r="X397" s="8"/>
      <c r="Y397" s="8"/>
      <c r="Z397" s="8"/>
      <c r="AA397" s="8"/>
      <c r="AB397" s="8"/>
    </row>
    <row r="398">
      <c r="A398" s="8"/>
      <c r="B398" s="8"/>
      <c r="C398" s="8"/>
      <c r="D398" s="8"/>
      <c r="E398" s="8"/>
      <c r="F398" s="366"/>
      <c r="G398" s="8"/>
      <c r="H398" s="8"/>
      <c r="I398" s="8"/>
      <c r="J398" s="8"/>
      <c r="K398" s="8"/>
      <c r="L398" s="8"/>
      <c r="M398" s="8"/>
      <c r="N398" s="8"/>
      <c r="O398" s="8"/>
      <c r="P398" s="8"/>
      <c r="Q398" s="8"/>
      <c r="R398" s="8"/>
      <c r="S398" s="367"/>
      <c r="T398" s="367"/>
      <c r="U398" s="367"/>
      <c r="V398" s="367"/>
      <c r="W398" s="8"/>
      <c r="X398" s="8"/>
      <c r="Y398" s="8"/>
      <c r="Z398" s="8"/>
      <c r="AA398" s="8"/>
      <c r="AB398" s="8"/>
    </row>
    <row r="399">
      <c r="A399" s="8"/>
      <c r="B399" s="8"/>
      <c r="C399" s="8"/>
      <c r="D399" s="8"/>
      <c r="E399" s="8"/>
      <c r="F399" s="366"/>
      <c r="G399" s="8"/>
      <c r="H399" s="8"/>
      <c r="I399" s="8"/>
      <c r="J399" s="8"/>
      <c r="K399" s="8"/>
      <c r="L399" s="8"/>
      <c r="M399" s="8"/>
      <c r="N399" s="8"/>
      <c r="O399" s="8"/>
      <c r="P399" s="8"/>
      <c r="Q399" s="8"/>
      <c r="R399" s="8"/>
      <c r="S399" s="367"/>
      <c r="T399" s="367"/>
      <c r="U399" s="367"/>
      <c r="V399" s="367"/>
      <c r="W399" s="8"/>
      <c r="X399" s="8"/>
      <c r="Y399" s="8"/>
      <c r="Z399" s="8"/>
      <c r="AA399" s="8"/>
      <c r="AB399" s="8"/>
    </row>
    <row r="400">
      <c r="A400" s="8"/>
      <c r="B400" s="8"/>
      <c r="C400" s="8"/>
      <c r="D400" s="8"/>
      <c r="E400" s="8"/>
      <c r="F400" s="366"/>
      <c r="G400" s="8"/>
      <c r="H400" s="8"/>
      <c r="I400" s="8"/>
      <c r="J400" s="8"/>
      <c r="K400" s="8"/>
      <c r="L400" s="8"/>
      <c r="M400" s="8"/>
      <c r="N400" s="8"/>
      <c r="O400" s="8"/>
      <c r="P400" s="8"/>
      <c r="Q400" s="8"/>
      <c r="R400" s="8"/>
      <c r="S400" s="367"/>
      <c r="T400" s="367"/>
      <c r="U400" s="367"/>
      <c r="V400" s="367"/>
      <c r="W400" s="8"/>
      <c r="X400" s="8"/>
      <c r="Y400" s="8"/>
      <c r="Z400" s="8"/>
      <c r="AA400" s="8"/>
      <c r="AB400" s="8"/>
    </row>
    <row r="401">
      <c r="A401" s="8"/>
      <c r="B401" s="8"/>
      <c r="C401" s="8"/>
      <c r="D401" s="8"/>
      <c r="E401" s="8"/>
      <c r="F401" s="366"/>
      <c r="G401" s="8"/>
      <c r="H401" s="8"/>
      <c r="I401" s="8"/>
      <c r="J401" s="8"/>
      <c r="K401" s="8"/>
      <c r="L401" s="8"/>
      <c r="M401" s="8"/>
      <c r="N401" s="8"/>
      <c r="O401" s="8"/>
      <c r="P401" s="8"/>
      <c r="Q401" s="8"/>
      <c r="R401" s="8"/>
      <c r="S401" s="367"/>
      <c r="T401" s="367"/>
      <c r="U401" s="367"/>
      <c r="V401" s="367"/>
      <c r="W401" s="8"/>
      <c r="X401" s="8"/>
      <c r="Y401" s="8"/>
      <c r="Z401" s="8"/>
      <c r="AA401" s="8"/>
      <c r="AB401" s="8"/>
    </row>
    <row r="402">
      <c r="A402" s="8"/>
      <c r="B402" s="8"/>
      <c r="C402" s="8"/>
      <c r="D402" s="8"/>
      <c r="E402" s="8"/>
      <c r="F402" s="366"/>
      <c r="G402" s="8"/>
      <c r="H402" s="8"/>
      <c r="I402" s="8"/>
      <c r="J402" s="8"/>
      <c r="K402" s="8"/>
      <c r="L402" s="8"/>
      <c r="M402" s="8"/>
      <c r="N402" s="8"/>
      <c r="O402" s="8"/>
      <c r="P402" s="8"/>
      <c r="Q402" s="8"/>
      <c r="R402" s="8"/>
      <c r="S402" s="367"/>
      <c r="T402" s="367"/>
      <c r="U402" s="367"/>
      <c r="V402" s="367"/>
      <c r="W402" s="8"/>
      <c r="X402" s="8"/>
      <c r="Y402" s="8"/>
      <c r="Z402" s="8"/>
      <c r="AA402" s="8"/>
      <c r="AB402" s="8"/>
    </row>
    <row r="403">
      <c r="A403" s="8"/>
      <c r="B403" s="8"/>
      <c r="C403" s="8"/>
      <c r="D403" s="8"/>
      <c r="E403" s="8"/>
      <c r="F403" s="366"/>
      <c r="G403" s="8"/>
      <c r="H403" s="8"/>
      <c r="I403" s="8"/>
      <c r="J403" s="8"/>
      <c r="K403" s="8"/>
      <c r="L403" s="8"/>
      <c r="M403" s="8"/>
      <c r="N403" s="8"/>
      <c r="O403" s="8"/>
      <c r="P403" s="8"/>
      <c r="Q403" s="8"/>
      <c r="R403" s="8"/>
      <c r="S403" s="367"/>
      <c r="T403" s="367"/>
      <c r="U403" s="367"/>
      <c r="V403" s="367"/>
      <c r="W403" s="8"/>
      <c r="X403" s="8"/>
      <c r="Y403" s="8"/>
      <c r="Z403" s="8"/>
      <c r="AA403" s="8"/>
      <c r="AB403" s="8"/>
    </row>
    <row r="404">
      <c r="A404" s="8"/>
      <c r="B404" s="8"/>
      <c r="C404" s="8"/>
      <c r="D404" s="8"/>
      <c r="E404" s="8"/>
      <c r="F404" s="366"/>
      <c r="G404" s="8"/>
      <c r="H404" s="8"/>
      <c r="I404" s="8"/>
      <c r="J404" s="8"/>
      <c r="K404" s="8"/>
      <c r="L404" s="8"/>
      <c r="M404" s="8"/>
      <c r="N404" s="8"/>
      <c r="O404" s="8"/>
      <c r="P404" s="8"/>
      <c r="Q404" s="8"/>
      <c r="R404" s="8"/>
      <c r="S404" s="367"/>
      <c r="T404" s="367"/>
      <c r="U404" s="367"/>
      <c r="V404" s="367"/>
      <c r="W404" s="8"/>
      <c r="X404" s="8"/>
      <c r="Y404" s="8"/>
      <c r="Z404" s="8"/>
      <c r="AA404" s="8"/>
      <c r="AB404" s="8"/>
    </row>
    <row r="405">
      <c r="A405" s="8"/>
      <c r="B405" s="8"/>
      <c r="C405" s="8"/>
      <c r="D405" s="8"/>
      <c r="E405" s="8"/>
      <c r="F405" s="366"/>
      <c r="G405" s="8"/>
      <c r="H405" s="8"/>
      <c r="I405" s="8"/>
      <c r="J405" s="8"/>
      <c r="K405" s="8"/>
      <c r="L405" s="8"/>
      <c r="M405" s="8"/>
      <c r="N405" s="8"/>
      <c r="O405" s="8"/>
      <c r="P405" s="8"/>
      <c r="Q405" s="8"/>
      <c r="R405" s="8"/>
      <c r="S405" s="367"/>
      <c r="T405" s="367"/>
      <c r="U405" s="367"/>
      <c r="V405" s="367"/>
      <c r="W405" s="8"/>
      <c r="X405" s="8"/>
      <c r="Y405" s="8"/>
      <c r="Z405" s="8"/>
      <c r="AA405" s="8"/>
      <c r="AB405" s="8"/>
    </row>
    <row r="406">
      <c r="A406" s="8"/>
      <c r="B406" s="8"/>
      <c r="C406" s="8"/>
      <c r="D406" s="8"/>
      <c r="E406" s="8"/>
      <c r="F406" s="366"/>
      <c r="G406" s="8"/>
      <c r="H406" s="8"/>
      <c r="I406" s="8"/>
      <c r="J406" s="8"/>
      <c r="K406" s="8"/>
      <c r="L406" s="8"/>
      <c r="M406" s="8"/>
      <c r="N406" s="8"/>
      <c r="O406" s="8"/>
      <c r="P406" s="8"/>
      <c r="Q406" s="8"/>
      <c r="R406" s="8"/>
      <c r="S406" s="367"/>
      <c r="T406" s="367"/>
      <c r="U406" s="367"/>
      <c r="V406" s="367"/>
      <c r="W406" s="8"/>
      <c r="X406" s="8"/>
      <c r="Y406" s="8"/>
      <c r="Z406" s="8"/>
      <c r="AA406" s="8"/>
      <c r="AB406" s="8"/>
    </row>
    <row r="407">
      <c r="A407" s="8"/>
      <c r="B407" s="8"/>
      <c r="C407" s="8"/>
      <c r="D407" s="8"/>
      <c r="E407" s="8"/>
      <c r="F407" s="366"/>
      <c r="G407" s="8"/>
      <c r="H407" s="8"/>
      <c r="I407" s="8"/>
      <c r="J407" s="8"/>
      <c r="K407" s="8"/>
      <c r="L407" s="8"/>
      <c r="M407" s="8"/>
      <c r="N407" s="8"/>
      <c r="O407" s="8"/>
      <c r="P407" s="8"/>
      <c r="Q407" s="8"/>
      <c r="R407" s="8"/>
      <c r="S407" s="367"/>
      <c r="T407" s="367"/>
      <c r="U407" s="367"/>
      <c r="V407" s="367"/>
      <c r="W407" s="8"/>
      <c r="X407" s="8"/>
      <c r="Y407" s="8"/>
      <c r="Z407" s="8"/>
      <c r="AA407" s="8"/>
      <c r="AB407" s="8"/>
    </row>
    <row r="408">
      <c r="A408" s="8"/>
      <c r="B408" s="8"/>
      <c r="C408" s="8"/>
      <c r="D408" s="8"/>
      <c r="E408" s="8"/>
      <c r="F408" s="366"/>
      <c r="G408" s="8"/>
      <c r="H408" s="8"/>
      <c r="I408" s="8"/>
      <c r="J408" s="8"/>
      <c r="K408" s="8"/>
      <c r="L408" s="8"/>
      <c r="M408" s="8"/>
      <c r="N408" s="8"/>
      <c r="O408" s="8"/>
      <c r="P408" s="8"/>
      <c r="Q408" s="8"/>
      <c r="R408" s="8"/>
      <c r="S408" s="367"/>
      <c r="T408" s="367"/>
      <c r="U408" s="367"/>
      <c r="V408" s="367"/>
      <c r="W408" s="8"/>
      <c r="X408" s="8"/>
      <c r="Y408" s="8"/>
      <c r="Z408" s="8"/>
      <c r="AA408" s="8"/>
      <c r="AB408" s="8"/>
    </row>
    <row r="409">
      <c r="A409" s="8"/>
      <c r="B409" s="8"/>
      <c r="C409" s="8"/>
      <c r="D409" s="8"/>
      <c r="E409" s="8"/>
      <c r="F409" s="366"/>
      <c r="G409" s="8"/>
      <c r="H409" s="8"/>
      <c r="I409" s="8"/>
      <c r="J409" s="8"/>
      <c r="K409" s="8"/>
      <c r="L409" s="8"/>
      <c r="M409" s="8"/>
      <c r="N409" s="8"/>
      <c r="O409" s="8"/>
      <c r="P409" s="8"/>
      <c r="Q409" s="8"/>
      <c r="R409" s="8"/>
      <c r="S409" s="367"/>
      <c r="T409" s="367"/>
      <c r="U409" s="367"/>
      <c r="V409" s="367"/>
      <c r="W409" s="8"/>
      <c r="X409" s="8"/>
      <c r="Y409" s="8"/>
      <c r="Z409" s="8"/>
      <c r="AA409" s="8"/>
      <c r="AB409" s="8"/>
    </row>
    <row r="410">
      <c r="A410" s="8"/>
      <c r="B410" s="8"/>
      <c r="C410" s="8"/>
      <c r="D410" s="8"/>
      <c r="E410" s="8"/>
      <c r="F410" s="366"/>
      <c r="G410" s="8"/>
      <c r="H410" s="8"/>
      <c r="I410" s="8"/>
      <c r="J410" s="8"/>
      <c r="K410" s="8"/>
      <c r="L410" s="8"/>
      <c r="M410" s="8"/>
      <c r="N410" s="8"/>
      <c r="O410" s="8"/>
      <c r="P410" s="8"/>
      <c r="Q410" s="8"/>
      <c r="R410" s="8"/>
      <c r="S410" s="367"/>
      <c r="T410" s="367"/>
      <c r="U410" s="367"/>
      <c r="V410" s="367"/>
      <c r="W410" s="8"/>
      <c r="X410" s="8"/>
      <c r="Y410" s="8"/>
      <c r="Z410" s="8"/>
      <c r="AA410" s="8"/>
      <c r="AB410" s="8"/>
    </row>
    <row r="411">
      <c r="A411" s="8"/>
      <c r="B411" s="8"/>
      <c r="C411" s="8"/>
      <c r="D411" s="8"/>
      <c r="E411" s="8"/>
      <c r="F411" s="366"/>
      <c r="G411" s="8"/>
      <c r="H411" s="8"/>
      <c r="I411" s="8"/>
      <c r="J411" s="8"/>
      <c r="K411" s="8"/>
      <c r="L411" s="8"/>
      <c r="M411" s="8"/>
      <c r="N411" s="8"/>
      <c r="O411" s="8"/>
      <c r="P411" s="8"/>
      <c r="Q411" s="8"/>
      <c r="R411" s="8"/>
      <c r="S411" s="367"/>
      <c r="T411" s="367"/>
      <c r="U411" s="367"/>
      <c r="V411" s="367"/>
      <c r="W411" s="8"/>
      <c r="X411" s="8"/>
      <c r="Y411" s="8"/>
      <c r="Z411" s="8"/>
      <c r="AA411" s="8"/>
      <c r="AB411" s="8"/>
    </row>
    <row r="412">
      <c r="A412" s="8"/>
      <c r="B412" s="8"/>
      <c r="C412" s="8"/>
      <c r="D412" s="8"/>
      <c r="E412" s="8"/>
      <c r="F412" s="366"/>
      <c r="G412" s="8"/>
      <c r="H412" s="8"/>
      <c r="I412" s="8"/>
      <c r="J412" s="8"/>
      <c r="K412" s="8"/>
      <c r="L412" s="8"/>
      <c r="M412" s="8"/>
      <c r="N412" s="8"/>
      <c r="O412" s="8"/>
      <c r="P412" s="8"/>
      <c r="Q412" s="8"/>
      <c r="R412" s="8"/>
      <c r="S412" s="367"/>
      <c r="T412" s="367"/>
      <c r="U412" s="367"/>
      <c r="V412" s="367"/>
      <c r="W412" s="8"/>
      <c r="X412" s="8"/>
      <c r="Y412" s="8"/>
      <c r="Z412" s="8"/>
      <c r="AA412" s="8"/>
      <c r="AB412" s="8"/>
    </row>
    <row r="413">
      <c r="A413" s="8"/>
      <c r="B413" s="8"/>
      <c r="C413" s="8"/>
      <c r="D413" s="8"/>
      <c r="E413" s="8"/>
      <c r="F413" s="366"/>
      <c r="G413" s="8"/>
      <c r="H413" s="8"/>
      <c r="I413" s="8"/>
      <c r="J413" s="8"/>
      <c r="K413" s="8"/>
      <c r="L413" s="8"/>
      <c r="M413" s="8"/>
      <c r="N413" s="8"/>
      <c r="O413" s="8"/>
      <c r="P413" s="8"/>
      <c r="Q413" s="8"/>
      <c r="R413" s="8"/>
      <c r="S413" s="367"/>
      <c r="T413" s="367"/>
      <c r="U413" s="367"/>
      <c r="V413" s="367"/>
      <c r="W413" s="8"/>
      <c r="X413" s="8"/>
      <c r="Y413" s="8"/>
      <c r="Z413" s="8"/>
      <c r="AA413" s="8"/>
      <c r="AB413" s="8"/>
    </row>
    <row r="414">
      <c r="A414" s="8"/>
      <c r="B414" s="8"/>
      <c r="C414" s="8"/>
      <c r="D414" s="8"/>
      <c r="E414" s="8"/>
      <c r="F414" s="366"/>
      <c r="G414" s="8"/>
      <c r="H414" s="8"/>
      <c r="I414" s="8"/>
      <c r="J414" s="8"/>
      <c r="K414" s="8"/>
      <c r="L414" s="8"/>
      <c r="M414" s="8"/>
      <c r="N414" s="8"/>
      <c r="O414" s="8"/>
      <c r="P414" s="8"/>
      <c r="Q414" s="8"/>
      <c r="R414" s="8"/>
      <c r="S414" s="367"/>
      <c r="T414" s="367"/>
      <c r="U414" s="367"/>
      <c r="V414" s="367"/>
      <c r="W414" s="8"/>
      <c r="X414" s="8"/>
      <c r="Y414" s="8"/>
      <c r="Z414" s="8"/>
      <c r="AA414" s="8"/>
      <c r="AB414" s="8"/>
    </row>
    <row r="415">
      <c r="A415" s="8"/>
      <c r="B415" s="8"/>
      <c r="C415" s="8"/>
      <c r="D415" s="8"/>
      <c r="E415" s="8"/>
      <c r="F415" s="366"/>
      <c r="G415" s="8"/>
      <c r="H415" s="8"/>
      <c r="I415" s="8"/>
      <c r="J415" s="8"/>
      <c r="K415" s="8"/>
      <c r="L415" s="8"/>
      <c r="M415" s="8"/>
      <c r="N415" s="8"/>
      <c r="O415" s="8"/>
      <c r="P415" s="8"/>
      <c r="Q415" s="8"/>
      <c r="R415" s="8"/>
      <c r="S415" s="367"/>
      <c r="T415" s="367"/>
      <c r="U415" s="367"/>
      <c r="V415" s="367"/>
      <c r="W415" s="8"/>
      <c r="X415" s="8"/>
      <c r="Y415" s="8"/>
      <c r="Z415" s="8"/>
      <c r="AA415" s="8"/>
      <c r="AB415" s="8"/>
    </row>
    <row r="416">
      <c r="A416" s="8"/>
      <c r="B416" s="8"/>
      <c r="C416" s="8"/>
      <c r="D416" s="8"/>
      <c r="E416" s="8"/>
      <c r="F416" s="366"/>
      <c r="G416" s="8"/>
      <c r="H416" s="8"/>
      <c r="I416" s="8"/>
      <c r="J416" s="8"/>
      <c r="K416" s="8"/>
      <c r="L416" s="8"/>
      <c r="M416" s="8"/>
      <c r="N416" s="8"/>
      <c r="O416" s="8"/>
      <c r="P416" s="8"/>
      <c r="Q416" s="8"/>
      <c r="R416" s="8"/>
      <c r="S416" s="367"/>
      <c r="T416" s="367"/>
      <c r="U416" s="367"/>
      <c r="V416" s="367"/>
      <c r="W416" s="8"/>
      <c r="X416" s="8"/>
      <c r="Y416" s="8"/>
      <c r="Z416" s="8"/>
      <c r="AA416" s="8"/>
      <c r="AB416" s="8"/>
    </row>
    <row r="417">
      <c r="A417" s="8"/>
      <c r="B417" s="8"/>
      <c r="C417" s="8"/>
      <c r="D417" s="8"/>
      <c r="E417" s="8"/>
      <c r="F417" s="366"/>
      <c r="G417" s="8"/>
      <c r="H417" s="8"/>
      <c r="I417" s="8"/>
      <c r="J417" s="8"/>
      <c r="K417" s="8"/>
      <c r="L417" s="8"/>
      <c r="M417" s="8"/>
      <c r="N417" s="8"/>
      <c r="O417" s="8"/>
      <c r="P417" s="8"/>
      <c r="Q417" s="8"/>
      <c r="R417" s="8"/>
      <c r="S417" s="367"/>
      <c r="T417" s="367"/>
      <c r="U417" s="367"/>
      <c r="V417" s="367"/>
      <c r="W417" s="8"/>
      <c r="X417" s="8"/>
      <c r="Y417" s="8"/>
      <c r="Z417" s="8"/>
      <c r="AA417" s="8"/>
      <c r="AB417" s="8"/>
    </row>
    <row r="418">
      <c r="A418" s="8"/>
      <c r="B418" s="8"/>
      <c r="C418" s="8"/>
      <c r="D418" s="8"/>
      <c r="E418" s="8"/>
      <c r="F418" s="366"/>
      <c r="G418" s="8"/>
      <c r="H418" s="8"/>
      <c r="I418" s="8"/>
      <c r="J418" s="8"/>
      <c r="K418" s="8"/>
      <c r="L418" s="8"/>
      <c r="M418" s="8"/>
      <c r="N418" s="8"/>
      <c r="O418" s="8"/>
      <c r="P418" s="8"/>
      <c r="Q418" s="8"/>
      <c r="R418" s="8"/>
      <c r="S418" s="367"/>
      <c r="T418" s="367"/>
      <c r="U418" s="367"/>
      <c r="V418" s="367"/>
      <c r="W418" s="8"/>
      <c r="X418" s="8"/>
      <c r="Y418" s="8"/>
      <c r="Z418" s="8"/>
      <c r="AA418" s="8"/>
      <c r="AB418" s="8"/>
    </row>
    <row r="419">
      <c r="A419" s="8"/>
      <c r="B419" s="8"/>
      <c r="C419" s="8"/>
      <c r="D419" s="8"/>
      <c r="E419" s="8"/>
      <c r="F419" s="366"/>
      <c r="G419" s="8"/>
      <c r="H419" s="8"/>
      <c r="I419" s="8"/>
      <c r="J419" s="8"/>
      <c r="K419" s="8"/>
      <c r="L419" s="8"/>
      <c r="M419" s="8"/>
      <c r="N419" s="8"/>
      <c r="O419" s="8"/>
      <c r="P419" s="8"/>
      <c r="Q419" s="8"/>
      <c r="R419" s="8"/>
      <c r="S419" s="367"/>
      <c r="T419" s="367"/>
      <c r="U419" s="367"/>
      <c r="V419" s="367"/>
      <c r="W419" s="8"/>
      <c r="X419" s="8"/>
      <c r="Y419" s="8"/>
      <c r="Z419" s="8"/>
      <c r="AA419" s="8"/>
      <c r="AB419" s="8"/>
    </row>
    <row r="420">
      <c r="A420" s="8"/>
      <c r="B420" s="8"/>
      <c r="C420" s="8"/>
      <c r="D420" s="8"/>
      <c r="E420" s="8"/>
      <c r="F420" s="366"/>
      <c r="G420" s="8"/>
      <c r="H420" s="8"/>
      <c r="I420" s="8"/>
      <c r="J420" s="8"/>
      <c r="K420" s="8"/>
      <c r="L420" s="8"/>
      <c r="M420" s="8"/>
      <c r="N420" s="8"/>
      <c r="O420" s="8"/>
      <c r="P420" s="8"/>
      <c r="Q420" s="8"/>
      <c r="R420" s="8"/>
      <c r="S420" s="367"/>
      <c r="T420" s="367"/>
      <c r="U420" s="367"/>
      <c r="V420" s="367"/>
      <c r="W420" s="8"/>
      <c r="X420" s="8"/>
      <c r="Y420" s="8"/>
      <c r="Z420" s="8"/>
      <c r="AA420" s="8"/>
      <c r="AB420" s="8"/>
    </row>
    <row r="421">
      <c r="A421" s="8"/>
      <c r="B421" s="8"/>
      <c r="C421" s="8"/>
      <c r="D421" s="8"/>
      <c r="E421" s="8"/>
      <c r="F421" s="366"/>
      <c r="G421" s="8"/>
      <c r="H421" s="8"/>
      <c r="I421" s="8"/>
      <c r="J421" s="8"/>
      <c r="K421" s="8"/>
      <c r="L421" s="8"/>
      <c r="M421" s="8"/>
      <c r="N421" s="8"/>
      <c r="O421" s="8"/>
      <c r="P421" s="8"/>
      <c r="Q421" s="8"/>
      <c r="R421" s="8"/>
      <c r="S421" s="367"/>
      <c r="T421" s="367"/>
      <c r="U421" s="367"/>
      <c r="V421" s="367"/>
      <c r="W421" s="8"/>
      <c r="X421" s="8"/>
      <c r="Y421" s="8"/>
      <c r="Z421" s="8"/>
      <c r="AA421" s="8"/>
      <c r="AB421" s="8"/>
    </row>
    <row r="422">
      <c r="A422" s="8"/>
      <c r="B422" s="8"/>
      <c r="C422" s="8"/>
      <c r="D422" s="8"/>
      <c r="E422" s="8"/>
      <c r="F422" s="366"/>
      <c r="G422" s="8"/>
      <c r="H422" s="8"/>
      <c r="I422" s="8"/>
      <c r="J422" s="8"/>
      <c r="K422" s="8"/>
      <c r="L422" s="8"/>
      <c r="M422" s="8"/>
      <c r="N422" s="8"/>
      <c r="O422" s="8"/>
      <c r="P422" s="8"/>
      <c r="Q422" s="8"/>
      <c r="R422" s="8"/>
      <c r="S422" s="367"/>
      <c r="T422" s="367"/>
      <c r="U422" s="367"/>
      <c r="V422" s="367"/>
      <c r="W422" s="8"/>
      <c r="X422" s="8"/>
      <c r="Y422" s="8"/>
      <c r="Z422" s="8"/>
      <c r="AA422" s="8"/>
      <c r="AB422" s="8"/>
    </row>
    <row r="423">
      <c r="A423" s="8"/>
      <c r="B423" s="8"/>
      <c r="C423" s="8"/>
      <c r="D423" s="8"/>
      <c r="E423" s="8"/>
      <c r="F423" s="366"/>
      <c r="G423" s="8"/>
      <c r="H423" s="8"/>
      <c r="I423" s="8"/>
      <c r="J423" s="8"/>
      <c r="K423" s="8"/>
      <c r="L423" s="8"/>
      <c r="M423" s="8"/>
      <c r="N423" s="8"/>
      <c r="O423" s="8"/>
      <c r="P423" s="8"/>
      <c r="Q423" s="8"/>
      <c r="R423" s="8"/>
      <c r="S423" s="367"/>
      <c r="T423" s="367"/>
      <c r="U423" s="367"/>
      <c r="V423" s="367"/>
      <c r="W423" s="8"/>
      <c r="X423" s="8"/>
      <c r="Y423" s="8"/>
      <c r="Z423" s="8"/>
      <c r="AA423" s="8"/>
      <c r="AB423" s="8"/>
    </row>
    <row r="424">
      <c r="A424" s="8"/>
      <c r="B424" s="8"/>
      <c r="C424" s="8"/>
      <c r="D424" s="8"/>
      <c r="E424" s="8"/>
      <c r="F424" s="366"/>
      <c r="G424" s="8"/>
      <c r="H424" s="8"/>
      <c r="I424" s="8"/>
      <c r="J424" s="8"/>
      <c r="K424" s="8"/>
      <c r="L424" s="8"/>
      <c r="M424" s="8"/>
      <c r="N424" s="8"/>
      <c r="O424" s="8"/>
      <c r="P424" s="8"/>
      <c r="Q424" s="8"/>
      <c r="R424" s="8"/>
      <c r="S424" s="367"/>
      <c r="T424" s="367"/>
      <c r="U424" s="367"/>
      <c r="V424" s="367"/>
      <c r="W424" s="8"/>
      <c r="X424" s="8"/>
      <c r="Y424" s="8"/>
      <c r="Z424" s="8"/>
      <c r="AA424" s="8"/>
      <c r="AB424" s="8"/>
    </row>
    <row r="425">
      <c r="A425" s="8"/>
      <c r="B425" s="8"/>
      <c r="C425" s="8"/>
      <c r="D425" s="8"/>
      <c r="E425" s="8"/>
      <c r="F425" s="366"/>
      <c r="G425" s="8"/>
      <c r="H425" s="8"/>
      <c r="I425" s="8"/>
      <c r="J425" s="8"/>
      <c r="K425" s="8"/>
      <c r="L425" s="8"/>
      <c r="M425" s="8"/>
      <c r="N425" s="8"/>
      <c r="O425" s="8"/>
      <c r="P425" s="8"/>
      <c r="Q425" s="8"/>
      <c r="R425" s="8"/>
      <c r="S425" s="367"/>
      <c r="T425" s="367"/>
      <c r="U425" s="367"/>
      <c r="V425" s="367"/>
      <c r="W425" s="8"/>
      <c r="X425" s="8"/>
      <c r="Y425" s="8"/>
      <c r="Z425" s="8"/>
      <c r="AA425" s="8"/>
      <c r="AB425" s="8"/>
    </row>
    <row r="426">
      <c r="A426" s="8"/>
      <c r="B426" s="8"/>
      <c r="C426" s="8"/>
      <c r="D426" s="8"/>
      <c r="E426" s="8"/>
      <c r="F426" s="366"/>
      <c r="G426" s="8"/>
      <c r="H426" s="8"/>
      <c r="I426" s="8"/>
      <c r="J426" s="8"/>
      <c r="K426" s="8"/>
      <c r="L426" s="8"/>
      <c r="M426" s="8"/>
      <c r="N426" s="8"/>
      <c r="O426" s="8"/>
      <c r="P426" s="8"/>
      <c r="Q426" s="8"/>
      <c r="R426" s="8"/>
      <c r="S426" s="367"/>
      <c r="T426" s="367"/>
      <c r="U426" s="367"/>
      <c r="V426" s="367"/>
      <c r="W426" s="8"/>
      <c r="X426" s="8"/>
      <c r="Y426" s="8"/>
      <c r="Z426" s="8"/>
      <c r="AA426" s="8"/>
      <c r="AB426" s="8"/>
    </row>
    <row r="427">
      <c r="A427" s="8"/>
      <c r="B427" s="8"/>
      <c r="C427" s="8"/>
      <c r="D427" s="8"/>
      <c r="E427" s="8"/>
      <c r="F427" s="366"/>
      <c r="G427" s="8"/>
      <c r="H427" s="8"/>
      <c r="I427" s="8"/>
      <c r="J427" s="8"/>
      <c r="K427" s="8"/>
      <c r="L427" s="8"/>
      <c r="M427" s="8"/>
      <c r="N427" s="8"/>
      <c r="O427" s="8"/>
      <c r="P427" s="8"/>
      <c r="Q427" s="8"/>
      <c r="R427" s="8"/>
      <c r="S427" s="367"/>
      <c r="T427" s="367"/>
      <c r="U427" s="367"/>
      <c r="V427" s="367"/>
      <c r="W427" s="8"/>
      <c r="X427" s="8"/>
      <c r="Y427" s="8"/>
      <c r="Z427" s="8"/>
      <c r="AA427" s="8"/>
      <c r="AB427" s="8"/>
    </row>
    <row r="428">
      <c r="A428" s="8"/>
      <c r="B428" s="8"/>
      <c r="C428" s="8"/>
      <c r="D428" s="8"/>
      <c r="E428" s="8"/>
      <c r="F428" s="366"/>
      <c r="G428" s="8"/>
      <c r="H428" s="8"/>
      <c r="I428" s="8"/>
      <c r="J428" s="8"/>
      <c r="K428" s="8"/>
      <c r="L428" s="8"/>
      <c r="M428" s="8"/>
      <c r="N428" s="8"/>
      <c r="O428" s="8"/>
      <c r="P428" s="8"/>
      <c r="Q428" s="8"/>
      <c r="R428" s="8"/>
      <c r="S428" s="367"/>
      <c r="T428" s="367"/>
      <c r="U428" s="367"/>
      <c r="V428" s="367"/>
      <c r="W428" s="8"/>
      <c r="X428" s="8"/>
      <c r="Y428" s="8"/>
      <c r="Z428" s="8"/>
      <c r="AA428" s="8"/>
      <c r="AB428" s="8"/>
    </row>
    <row r="429">
      <c r="A429" s="8"/>
      <c r="B429" s="8"/>
      <c r="C429" s="8"/>
      <c r="D429" s="8"/>
      <c r="E429" s="8"/>
      <c r="F429" s="366"/>
      <c r="G429" s="8"/>
      <c r="H429" s="8"/>
      <c r="I429" s="8"/>
      <c r="J429" s="8"/>
      <c r="K429" s="8"/>
      <c r="L429" s="8"/>
      <c r="M429" s="8"/>
      <c r="N429" s="8"/>
      <c r="O429" s="8"/>
      <c r="P429" s="8"/>
      <c r="Q429" s="8"/>
      <c r="R429" s="8"/>
      <c r="S429" s="367"/>
      <c r="T429" s="367"/>
      <c r="U429" s="367"/>
      <c r="V429" s="367"/>
      <c r="W429" s="8"/>
      <c r="X429" s="8"/>
      <c r="Y429" s="8"/>
      <c r="Z429" s="8"/>
      <c r="AA429" s="8"/>
      <c r="AB429" s="8"/>
    </row>
    <row r="430">
      <c r="A430" s="8"/>
      <c r="B430" s="8"/>
      <c r="C430" s="8"/>
      <c r="D430" s="8"/>
      <c r="E430" s="8"/>
      <c r="F430" s="366"/>
      <c r="G430" s="8"/>
      <c r="H430" s="8"/>
      <c r="I430" s="8"/>
      <c r="J430" s="8"/>
      <c r="K430" s="8"/>
      <c r="L430" s="8"/>
      <c r="M430" s="8"/>
      <c r="N430" s="8"/>
      <c r="O430" s="8"/>
      <c r="P430" s="8"/>
      <c r="Q430" s="8"/>
      <c r="R430" s="8"/>
      <c r="S430" s="367"/>
      <c r="T430" s="367"/>
      <c r="U430" s="367"/>
      <c r="V430" s="367"/>
      <c r="W430" s="8"/>
      <c r="X430" s="8"/>
      <c r="Y430" s="8"/>
      <c r="Z430" s="8"/>
      <c r="AA430" s="8"/>
      <c r="AB430" s="8"/>
    </row>
    <row r="431">
      <c r="A431" s="8"/>
      <c r="B431" s="8"/>
      <c r="C431" s="8"/>
      <c r="D431" s="8"/>
      <c r="E431" s="8"/>
      <c r="F431" s="366"/>
      <c r="G431" s="8"/>
      <c r="H431" s="8"/>
      <c r="I431" s="8"/>
      <c r="J431" s="8"/>
      <c r="K431" s="8"/>
      <c r="L431" s="8"/>
      <c r="M431" s="8"/>
      <c r="N431" s="8"/>
      <c r="O431" s="8"/>
      <c r="P431" s="8"/>
      <c r="Q431" s="8"/>
      <c r="R431" s="8"/>
      <c r="S431" s="367"/>
      <c r="T431" s="367"/>
      <c r="U431" s="367"/>
      <c r="V431" s="367"/>
      <c r="W431" s="8"/>
      <c r="X431" s="8"/>
      <c r="Y431" s="8"/>
      <c r="Z431" s="8"/>
      <c r="AA431" s="8"/>
      <c r="AB431" s="8"/>
    </row>
    <row r="432">
      <c r="A432" s="8"/>
      <c r="B432" s="8"/>
      <c r="C432" s="8"/>
      <c r="D432" s="8"/>
      <c r="E432" s="8"/>
      <c r="F432" s="366"/>
      <c r="G432" s="8"/>
      <c r="H432" s="8"/>
      <c r="I432" s="8"/>
      <c r="J432" s="8"/>
      <c r="K432" s="8"/>
      <c r="L432" s="8"/>
      <c r="M432" s="8"/>
      <c r="N432" s="8"/>
      <c r="O432" s="8"/>
      <c r="P432" s="8"/>
      <c r="Q432" s="8"/>
      <c r="R432" s="8"/>
      <c r="S432" s="367"/>
      <c r="T432" s="367"/>
      <c r="U432" s="367"/>
      <c r="V432" s="367"/>
      <c r="W432" s="8"/>
      <c r="X432" s="8"/>
      <c r="Y432" s="8"/>
      <c r="Z432" s="8"/>
      <c r="AA432" s="8"/>
      <c r="AB432" s="8"/>
    </row>
    <row r="433">
      <c r="A433" s="8"/>
      <c r="B433" s="8"/>
      <c r="C433" s="8"/>
      <c r="D433" s="8"/>
      <c r="E433" s="8"/>
      <c r="F433" s="366"/>
      <c r="G433" s="8"/>
      <c r="H433" s="8"/>
      <c r="I433" s="8"/>
      <c r="J433" s="8"/>
      <c r="K433" s="8"/>
      <c r="L433" s="8"/>
      <c r="M433" s="8"/>
      <c r="N433" s="8"/>
      <c r="O433" s="8"/>
      <c r="P433" s="8"/>
      <c r="Q433" s="8"/>
      <c r="R433" s="8"/>
      <c r="S433" s="367"/>
      <c r="T433" s="367"/>
      <c r="U433" s="367"/>
      <c r="V433" s="367"/>
      <c r="W433" s="8"/>
      <c r="X433" s="8"/>
      <c r="Y433" s="8"/>
      <c r="Z433" s="8"/>
      <c r="AA433" s="8"/>
      <c r="AB433" s="8"/>
    </row>
    <row r="434">
      <c r="A434" s="8"/>
      <c r="B434" s="8"/>
      <c r="C434" s="8"/>
      <c r="D434" s="8"/>
      <c r="E434" s="8"/>
      <c r="F434" s="366"/>
      <c r="G434" s="8"/>
      <c r="H434" s="8"/>
      <c r="I434" s="8"/>
      <c r="J434" s="8"/>
      <c r="K434" s="8"/>
      <c r="L434" s="8"/>
      <c r="M434" s="8"/>
      <c r="N434" s="8"/>
      <c r="O434" s="8"/>
      <c r="P434" s="8"/>
      <c r="Q434" s="8"/>
      <c r="R434" s="8"/>
      <c r="S434" s="367"/>
      <c r="T434" s="367"/>
      <c r="U434" s="367"/>
      <c r="V434" s="367"/>
      <c r="W434" s="8"/>
      <c r="X434" s="8"/>
      <c r="Y434" s="8"/>
      <c r="Z434" s="8"/>
      <c r="AA434" s="8"/>
      <c r="AB434" s="8"/>
    </row>
    <row r="435">
      <c r="A435" s="8"/>
      <c r="B435" s="8"/>
      <c r="C435" s="8"/>
      <c r="D435" s="8"/>
      <c r="E435" s="8"/>
      <c r="F435" s="366"/>
      <c r="G435" s="8"/>
      <c r="H435" s="8"/>
      <c r="I435" s="8"/>
      <c r="J435" s="8"/>
      <c r="K435" s="8"/>
      <c r="L435" s="8"/>
      <c r="M435" s="8"/>
      <c r="N435" s="8"/>
      <c r="O435" s="8"/>
      <c r="P435" s="8"/>
      <c r="Q435" s="8"/>
      <c r="R435" s="8"/>
      <c r="S435" s="367"/>
      <c r="T435" s="367"/>
      <c r="U435" s="367"/>
      <c r="V435" s="367"/>
      <c r="W435" s="8"/>
      <c r="X435" s="8"/>
      <c r="Y435" s="8"/>
      <c r="Z435" s="8"/>
      <c r="AA435" s="8"/>
      <c r="AB435" s="8"/>
    </row>
    <row r="436">
      <c r="A436" s="8"/>
      <c r="B436" s="8"/>
      <c r="C436" s="8"/>
      <c r="D436" s="8"/>
      <c r="E436" s="8"/>
      <c r="F436" s="366"/>
      <c r="G436" s="8"/>
      <c r="H436" s="8"/>
      <c r="I436" s="8"/>
      <c r="J436" s="8"/>
      <c r="K436" s="8"/>
      <c r="L436" s="8"/>
      <c r="M436" s="8"/>
      <c r="N436" s="8"/>
      <c r="O436" s="8"/>
      <c r="P436" s="8"/>
      <c r="Q436" s="8"/>
      <c r="R436" s="8"/>
      <c r="S436" s="367"/>
      <c r="T436" s="367"/>
      <c r="U436" s="367"/>
      <c r="V436" s="367"/>
      <c r="W436" s="8"/>
      <c r="X436" s="8"/>
      <c r="Y436" s="8"/>
      <c r="Z436" s="8"/>
      <c r="AA436" s="8"/>
      <c r="AB436" s="8"/>
    </row>
    <row r="437">
      <c r="A437" s="8"/>
      <c r="B437" s="8"/>
      <c r="C437" s="8"/>
      <c r="D437" s="8"/>
      <c r="E437" s="8"/>
      <c r="F437" s="366"/>
      <c r="G437" s="8"/>
      <c r="H437" s="8"/>
      <c r="I437" s="8"/>
      <c r="J437" s="8"/>
      <c r="K437" s="8"/>
      <c r="L437" s="8"/>
      <c r="M437" s="8"/>
      <c r="N437" s="8"/>
      <c r="O437" s="8"/>
      <c r="P437" s="8"/>
      <c r="Q437" s="8"/>
      <c r="R437" s="8"/>
      <c r="S437" s="367"/>
      <c r="T437" s="367"/>
      <c r="U437" s="367"/>
      <c r="V437" s="367"/>
      <c r="W437" s="8"/>
      <c r="X437" s="8"/>
      <c r="Y437" s="8"/>
      <c r="Z437" s="8"/>
      <c r="AA437" s="8"/>
      <c r="AB437" s="8"/>
    </row>
    <row r="438">
      <c r="A438" s="8"/>
      <c r="B438" s="8"/>
      <c r="C438" s="8"/>
      <c r="D438" s="8"/>
      <c r="E438" s="8"/>
      <c r="F438" s="366"/>
      <c r="G438" s="8"/>
      <c r="H438" s="8"/>
      <c r="I438" s="8"/>
      <c r="J438" s="8"/>
      <c r="K438" s="8"/>
      <c r="L438" s="8"/>
      <c r="M438" s="8"/>
      <c r="N438" s="8"/>
      <c r="O438" s="8"/>
      <c r="P438" s="8"/>
      <c r="Q438" s="8"/>
      <c r="R438" s="8"/>
      <c r="S438" s="367"/>
      <c r="T438" s="367"/>
      <c r="U438" s="367"/>
      <c r="V438" s="367"/>
      <c r="W438" s="8"/>
      <c r="X438" s="8"/>
      <c r="Y438" s="8"/>
      <c r="Z438" s="8"/>
      <c r="AA438" s="8"/>
      <c r="AB438" s="8"/>
    </row>
    <row r="439">
      <c r="A439" s="8"/>
      <c r="B439" s="8"/>
      <c r="C439" s="8"/>
      <c r="D439" s="8"/>
      <c r="E439" s="8"/>
      <c r="F439" s="366"/>
      <c r="G439" s="8"/>
      <c r="H439" s="8"/>
      <c r="I439" s="8"/>
      <c r="J439" s="8"/>
      <c r="K439" s="8"/>
      <c r="L439" s="8"/>
      <c r="M439" s="8"/>
      <c r="N439" s="8"/>
      <c r="O439" s="8"/>
      <c r="P439" s="8"/>
      <c r="Q439" s="8"/>
      <c r="R439" s="8"/>
      <c r="S439" s="367"/>
      <c r="T439" s="367"/>
      <c r="U439" s="367"/>
      <c r="V439" s="367"/>
      <c r="W439" s="8"/>
      <c r="X439" s="8"/>
      <c r="Y439" s="8"/>
      <c r="Z439" s="8"/>
      <c r="AA439" s="8"/>
      <c r="AB439" s="8"/>
    </row>
    <row r="440">
      <c r="A440" s="8"/>
      <c r="B440" s="8"/>
      <c r="C440" s="8"/>
      <c r="D440" s="8"/>
      <c r="E440" s="8"/>
      <c r="F440" s="366"/>
      <c r="G440" s="8"/>
      <c r="H440" s="8"/>
      <c r="I440" s="8"/>
      <c r="J440" s="8"/>
      <c r="K440" s="8"/>
      <c r="L440" s="8"/>
      <c r="M440" s="8"/>
      <c r="N440" s="8"/>
      <c r="O440" s="8"/>
      <c r="P440" s="8"/>
      <c r="Q440" s="8"/>
      <c r="R440" s="8"/>
      <c r="S440" s="367"/>
      <c r="T440" s="367"/>
      <c r="U440" s="367"/>
      <c r="V440" s="367"/>
      <c r="W440" s="8"/>
      <c r="X440" s="8"/>
      <c r="Y440" s="8"/>
      <c r="Z440" s="8"/>
      <c r="AA440" s="8"/>
      <c r="AB440" s="8"/>
    </row>
    <row r="441">
      <c r="A441" s="8"/>
      <c r="B441" s="8"/>
      <c r="C441" s="8"/>
      <c r="D441" s="8"/>
      <c r="E441" s="8"/>
      <c r="F441" s="366"/>
      <c r="G441" s="8"/>
      <c r="H441" s="8"/>
      <c r="I441" s="8"/>
      <c r="J441" s="8"/>
      <c r="K441" s="8"/>
      <c r="L441" s="8"/>
      <c r="M441" s="8"/>
      <c r="N441" s="8"/>
      <c r="O441" s="8"/>
      <c r="P441" s="8"/>
      <c r="Q441" s="8"/>
      <c r="R441" s="8"/>
      <c r="S441" s="367"/>
      <c r="T441" s="367"/>
      <c r="U441" s="367"/>
      <c r="V441" s="367"/>
      <c r="W441" s="8"/>
      <c r="X441" s="8"/>
      <c r="Y441" s="8"/>
      <c r="Z441" s="8"/>
      <c r="AA441" s="8"/>
      <c r="AB441" s="8"/>
    </row>
    <row r="442">
      <c r="A442" s="8"/>
      <c r="B442" s="8"/>
      <c r="C442" s="8"/>
      <c r="D442" s="8"/>
      <c r="E442" s="8"/>
      <c r="F442" s="366"/>
      <c r="G442" s="8"/>
      <c r="H442" s="8"/>
      <c r="I442" s="8"/>
      <c r="J442" s="8"/>
      <c r="K442" s="8"/>
      <c r="L442" s="8"/>
      <c r="M442" s="8"/>
      <c r="N442" s="8"/>
      <c r="O442" s="8"/>
      <c r="P442" s="8"/>
      <c r="Q442" s="8"/>
      <c r="R442" s="8"/>
      <c r="S442" s="367"/>
      <c r="T442" s="367"/>
      <c r="U442" s="367"/>
      <c r="V442" s="367"/>
      <c r="W442" s="8"/>
      <c r="X442" s="8"/>
      <c r="Y442" s="8"/>
      <c r="Z442" s="8"/>
      <c r="AA442" s="8"/>
      <c r="AB442" s="8"/>
    </row>
    <row r="443">
      <c r="A443" s="8"/>
      <c r="B443" s="8"/>
      <c r="C443" s="8"/>
      <c r="D443" s="8"/>
      <c r="E443" s="8"/>
      <c r="F443" s="366"/>
      <c r="G443" s="8"/>
      <c r="H443" s="8"/>
      <c r="I443" s="8"/>
      <c r="J443" s="8"/>
      <c r="K443" s="8"/>
      <c r="L443" s="8"/>
      <c r="M443" s="8"/>
      <c r="N443" s="8"/>
      <c r="O443" s="8"/>
      <c r="P443" s="8"/>
      <c r="Q443" s="8"/>
      <c r="R443" s="8"/>
      <c r="S443" s="367"/>
      <c r="T443" s="367"/>
      <c r="U443" s="367"/>
      <c r="V443" s="367"/>
      <c r="W443" s="8"/>
      <c r="X443" s="8"/>
      <c r="Y443" s="8"/>
      <c r="Z443" s="8"/>
      <c r="AA443" s="8"/>
      <c r="AB443" s="8"/>
    </row>
    <row r="444">
      <c r="A444" s="8"/>
      <c r="B444" s="8"/>
      <c r="C444" s="8"/>
      <c r="D444" s="8"/>
      <c r="E444" s="8"/>
      <c r="F444" s="366"/>
      <c r="G444" s="8"/>
      <c r="H444" s="8"/>
      <c r="I444" s="8"/>
      <c r="J444" s="8"/>
      <c r="K444" s="8"/>
      <c r="L444" s="8"/>
      <c r="M444" s="8"/>
      <c r="N444" s="8"/>
      <c r="O444" s="8"/>
      <c r="P444" s="8"/>
      <c r="Q444" s="8"/>
      <c r="R444" s="8"/>
      <c r="S444" s="367"/>
      <c r="T444" s="367"/>
      <c r="U444" s="367"/>
      <c r="V444" s="367"/>
      <c r="W444" s="8"/>
      <c r="X444" s="8"/>
      <c r="Y444" s="8"/>
      <c r="Z444" s="8"/>
      <c r="AA444" s="8"/>
      <c r="AB444" s="8"/>
    </row>
    <row r="445">
      <c r="A445" s="8"/>
      <c r="B445" s="8"/>
      <c r="C445" s="8"/>
      <c r="D445" s="8"/>
      <c r="E445" s="8"/>
      <c r="F445" s="366"/>
      <c r="G445" s="8"/>
      <c r="H445" s="8"/>
      <c r="I445" s="8"/>
      <c r="J445" s="8"/>
      <c r="K445" s="8"/>
      <c r="L445" s="8"/>
      <c r="M445" s="8"/>
      <c r="N445" s="8"/>
      <c r="O445" s="8"/>
      <c r="P445" s="8"/>
      <c r="Q445" s="8"/>
      <c r="R445" s="8"/>
      <c r="S445" s="367"/>
      <c r="T445" s="367"/>
      <c r="U445" s="367"/>
      <c r="V445" s="367"/>
      <c r="W445" s="8"/>
      <c r="X445" s="8"/>
      <c r="Y445" s="8"/>
      <c r="Z445" s="8"/>
      <c r="AA445" s="8"/>
      <c r="AB445" s="8"/>
    </row>
    <row r="446">
      <c r="A446" s="8"/>
      <c r="B446" s="8"/>
      <c r="C446" s="8"/>
      <c r="D446" s="8"/>
      <c r="E446" s="8"/>
      <c r="F446" s="366"/>
      <c r="G446" s="8"/>
      <c r="H446" s="8"/>
      <c r="I446" s="8"/>
      <c r="J446" s="8"/>
      <c r="K446" s="8"/>
      <c r="L446" s="8"/>
      <c r="M446" s="8"/>
      <c r="N446" s="8"/>
      <c r="O446" s="8"/>
      <c r="P446" s="8"/>
      <c r="Q446" s="8"/>
      <c r="R446" s="8"/>
      <c r="S446" s="367"/>
      <c r="T446" s="367"/>
      <c r="U446" s="367"/>
      <c r="V446" s="367"/>
      <c r="W446" s="8"/>
      <c r="X446" s="8"/>
      <c r="Y446" s="8"/>
      <c r="Z446" s="8"/>
      <c r="AA446" s="8"/>
      <c r="AB446" s="8"/>
    </row>
    <row r="447">
      <c r="A447" s="8"/>
      <c r="B447" s="8"/>
      <c r="C447" s="8"/>
      <c r="D447" s="8"/>
      <c r="E447" s="8"/>
      <c r="F447" s="366"/>
      <c r="G447" s="8"/>
      <c r="H447" s="8"/>
      <c r="I447" s="8"/>
      <c r="J447" s="8"/>
      <c r="K447" s="8"/>
      <c r="L447" s="8"/>
      <c r="M447" s="8"/>
      <c r="N447" s="8"/>
      <c r="O447" s="8"/>
      <c r="P447" s="8"/>
      <c r="Q447" s="8"/>
      <c r="R447" s="8"/>
      <c r="S447" s="367"/>
      <c r="T447" s="367"/>
      <c r="U447" s="367"/>
      <c r="V447" s="367"/>
      <c r="W447" s="8"/>
      <c r="X447" s="8"/>
      <c r="Y447" s="8"/>
      <c r="Z447" s="8"/>
      <c r="AA447" s="8"/>
      <c r="AB447" s="8"/>
    </row>
    <row r="448">
      <c r="A448" s="8"/>
      <c r="B448" s="8"/>
      <c r="C448" s="8"/>
      <c r="D448" s="8"/>
      <c r="E448" s="8"/>
      <c r="F448" s="366"/>
      <c r="G448" s="8"/>
      <c r="H448" s="8"/>
      <c r="I448" s="8"/>
      <c r="J448" s="8"/>
      <c r="K448" s="8"/>
      <c r="L448" s="8"/>
      <c r="M448" s="8"/>
      <c r="N448" s="8"/>
      <c r="O448" s="8"/>
      <c r="P448" s="8"/>
      <c r="Q448" s="8"/>
      <c r="R448" s="8"/>
      <c r="S448" s="367"/>
      <c r="T448" s="367"/>
      <c r="U448" s="367"/>
      <c r="V448" s="367"/>
      <c r="W448" s="8"/>
      <c r="X448" s="8"/>
      <c r="Y448" s="8"/>
      <c r="Z448" s="8"/>
      <c r="AA448" s="8"/>
      <c r="AB448" s="8"/>
    </row>
    <row r="449">
      <c r="A449" s="8"/>
      <c r="B449" s="8"/>
      <c r="C449" s="8"/>
      <c r="D449" s="8"/>
      <c r="E449" s="8"/>
      <c r="F449" s="366"/>
      <c r="G449" s="8"/>
      <c r="H449" s="8"/>
      <c r="I449" s="8"/>
      <c r="J449" s="8"/>
      <c r="K449" s="8"/>
      <c r="L449" s="8"/>
      <c r="M449" s="8"/>
      <c r="N449" s="8"/>
      <c r="O449" s="8"/>
      <c r="P449" s="8"/>
      <c r="Q449" s="8"/>
      <c r="R449" s="8"/>
      <c r="S449" s="367"/>
      <c r="T449" s="367"/>
      <c r="U449" s="367"/>
      <c r="V449" s="367"/>
      <c r="W449" s="8"/>
      <c r="X449" s="8"/>
      <c r="Y449" s="8"/>
      <c r="Z449" s="8"/>
      <c r="AA449" s="8"/>
      <c r="AB449" s="8"/>
    </row>
    <row r="450">
      <c r="A450" s="8"/>
      <c r="B450" s="8"/>
      <c r="C450" s="8"/>
      <c r="D450" s="8"/>
      <c r="E450" s="8"/>
      <c r="F450" s="366"/>
      <c r="G450" s="8"/>
      <c r="H450" s="8"/>
      <c r="I450" s="8"/>
      <c r="J450" s="8"/>
      <c r="K450" s="8"/>
      <c r="L450" s="8"/>
      <c r="M450" s="8"/>
      <c r="N450" s="8"/>
      <c r="O450" s="8"/>
      <c r="P450" s="8"/>
      <c r="Q450" s="8"/>
      <c r="R450" s="8"/>
      <c r="S450" s="367"/>
      <c r="T450" s="367"/>
      <c r="U450" s="367"/>
      <c r="V450" s="367"/>
      <c r="W450" s="8"/>
      <c r="X450" s="8"/>
      <c r="Y450" s="8"/>
      <c r="Z450" s="8"/>
      <c r="AA450" s="8"/>
      <c r="AB450" s="8"/>
    </row>
    <row r="451">
      <c r="A451" s="8"/>
      <c r="B451" s="8"/>
      <c r="C451" s="8"/>
      <c r="D451" s="8"/>
      <c r="E451" s="8"/>
      <c r="F451" s="366"/>
      <c r="G451" s="8"/>
      <c r="H451" s="8"/>
      <c r="I451" s="8"/>
      <c r="J451" s="8"/>
      <c r="K451" s="8"/>
      <c r="L451" s="8"/>
      <c r="M451" s="8"/>
      <c r="N451" s="8"/>
      <c r="O451" s="8"/>
      <c r="P451" s="8"/>
      <c r="Q451" s="8"/>
      <c r="R451" s="8"/>
      <c r="S451" s="367"/>
      <c r="T451" s="367"/>
      <c r="U451" s="367"/>
      <c r="V451" s="367"/>
      <c r="W451" s="8"/>
      <c r="X451" s="8"/>
      <c r="Y451" s="8"/>
      <c r="Z451" s="8"/>
      <c r="AA451" s="8"/>
      <c r="AB451" s="8"/>
    </row>
    <row r="452">
      <c r="A452" s="8"/>
      <c r="B452" s="8"/>
      <c r="C452" s="8"/>
      <c r="D452" s="8"/>
      <c r="E452" s="8"/>
      <c r="F452" s="366"/>
      <c r="G452" s="8"/>
      <c r="H452" s="8"/>
      <c r="I452" s="8"/>
      <c r="J452" s="8"/>
      <c r="K452" s="8"/>
      <c r="L452" s="8"/>
      <c r="M452" s="8"/>
      <c r="N452" s="8"/>
      <c r="O452" s="8"/>
      <c r="P452" s="8"/>
      <c r="Q452" s="8"/>
      <c r="R452" s="8"/>
      <c r="S452" s="367"/>
      <c r="T452" s="367"/>
      <c r="U452" s="367"/>
      <c r="V452" s="367"/>
      <c r="W452" s="8"/>
      <c r="X452" s="8"/>
      <c r="Y452" s="8"/>
      <c r="Z452" s="8"/>
      <c r="AA452" s="8"/>
      <c r="AB452" s="8"/>
    </row>
    <row r="453">
      <c r="A453" s="8"/>
      <c r="B453" s="8"/>
      <c r="C453" s="8"/>
      <c r="D453" s="8"/>
      <c r="E453" s="8"/>
      <c r="F453" s="366"/>
      <c r="G453" s="8"/>
      <c r="H453" s="8"/>
      <c r="I453" s="8"/>
      <c r="J453" s="8"/>
      <c r="K453" s="8"/>
      <c r="L453" s="8"/>
      <c r="M453" s="8"/>
      <c r="N453" s="8"/>
      <c r="O453" s="8"/>
      <c r="P453" s="8"/>
      <c r="Q453" s="8"/>
      <c r="R453" s="8"/>
      <c r="S453" s="367"/>
      <c r="T453" s="367"/>
      <c r="U453" s="367"/>
      <c r="V453" s="367"/>
      <c r="W453" s="8"/>
      <c r="X453" s="8"/>
      <c r="Y453" s="8"/>
      <c r="Z453" s="8"/>
      <c r="AA453" s="8"/>
      <c r="AB453" s="8"/>
    </row>
    <row r="454">
      <c r="A454" s="8"/>
      <c r="B454" s="8"/>
      <c r="C454" s="8"/>
      <c r="D454" s="8"/>
      <c r="E454" s="8"/>
      <c r="F454" s="366"/>
      <c r="G454" s="8"/>
      <c r="H454" s="8"/>
      <c r="I454" s="8"/>
      <c r="J454" s="8"/>
      <c r="K454" s="8"/>
      <c r="L454" s="8"/>
      <c r="M454" s="8"/>
      <c r="N454" s="8"/>
      <c r="O454" s="8"/>
      <c r="P454" s="8"/>
      <c r="Q454" s="8"/>
      <c r="R454" s="8"/>
      <c r="S454" s="367"/>
      <c r="T454" s="367"/>
      <c r="U454" s="367"/>
      <c r="V454" s="367"/>
      <c r="W454" s="8"/>
      <c r="X454" s="8"/>
      <c r="Y454" s="8"/>
      <c r="Z454" s="8"/>
      <c r="AA454" s="8"/>
      <c r="AB454" s="8"/>
    </row>
    <row r="455">
      <c r="A455" s="8"/>
      <c r="B455" s="8"/>
      <c r="C455" s="8"/>
      <c r="D455" s="8"/>
      <c r="E455" s="8"/>
      <c r="F455" s="366"/>
      <c r="G455" s="8"/>
      <c r="H455" s="8"/>
      <c r="I455" s="8"/>
      <c r="J455" s="8"/>
      <c r="K455" s="8"/>
      <c r="L455" s="8"/>
      <c r="M455" s="8"/>
      <c r="N455" s="8"/>
      <c r="O455" s="8"/>
      <c r="P455" s="8"/>
      <c r="Q455" s="8"/>
      <c r="R455" s="8"/>
      <c r="S455" s="367"/>
      <c r="T455" s="367"/>
      <c r="U455" s="367"/>
      <c r="V455" s="367"/>
      <c r="W455" s="8"/>
      <c r="X455" s="8"/>
      <c r="Y455" s="8"/>
      <c r="Z455" s="8"/>
      <c r="AA455" s="8"/>
      <c r="AB455" s="8"/>
    </row>
    <row r="456">
      <c r="A456" s="8"/>
      <c r="B456" s="8"/>
      <c r="C456" s="8"/>
      <c r="D456" s="8"/>
      <c r="E456" s="8"/>
      <c r="F456" s="366"/>
      <c r="G456" s="8"/>
      <c r="H456" s="8"/>
      <c r="I456" s="8"/>
      <c r="J456" s="8"/>
      <c r="K456" s="8"/>
      <c r="L456" s="8"/>
      <c r="M456" s="8"/>
      <c r="N456" s="8"/>
      <c r="O456" s="8"/>
      <c r="P456" s="8"/>
      <c r="Q456" s="8"/>
      <c r="R456" s="8"/>
      <c r="S456" s="367"/>
      <c r="T456" s="367"/>
      <c r="U456" s="367"/>
      <c r="V456" s="367"/>
      <c r="W456" s="8"/>
      <c r="X456" s="8"/>
      <c r="Y456" s="8"/>
      <c r="Z456" s="8"/>
      <c r="AA456" s="8"/>
      <c r="AB456" s="8"/>
    </row>
    <row r="457">
      <c r="A457" s="8"/>
      <c r="B457" s="8"/>
      <c r="C457" s="8"/>
      <c r="D457" s="8"/>
      <c r="E457" s="8"/>
      <c r="F457" s="366"/>
      <c r="G457" s="8"/>
      <c r="H457" s="8"/>
      <c r="I457" s="8"/>
      <c r="J457" s="8"/>
      <c r="K457" s="8"/>
      <c r="L457" s="8"/>
      <c r="M457" s="8"/>
      <c r="N457" s="8"/>
      <c r="O457" s="8"/>
      <c r="P457" s="8"/>
      <c r="Q457" s="8"/>
      <c r="R457" s="8"/>
      <c r="S457" s="367"/>
      <c r="T457" s="367"/>
      <c r="U457" s="367"/>
      <c r="V457" s="367"/>
      <c r="W457" s="8"/>
      <c r="X457" s="8"/>
      <c r="Y457" s="8"/>
      <c r="Z457" s="8"/>
      <c r="AA457" s="8"/>
      <c r="AB457" s="8"/>
    </row>
    <row r="458">
      <c r="A458" s="8"/>
      <c r="B458" s="8"/>
      <c r="C458" s="8"/>
      <c r="D458" s="8"/>
      <c r="E458" s="8"/>
      <c r="F458" s="366"/>
      <c r="G458" s="8"/>
      <c r="H458" s="8"/>
      <c r="I458" s="8"/>
      <c r="J458" s="8"/>
      <c r="K458" s="8"/>
      <c r="L458" s="8"/>
      <c r="M458" s="8"/>
      <c r="N458" s="8"/>
      <c r="O458" s="8"/>
      <c r="P458" s="8"/>
      <c r="Q458" s="8"/>
      <c r="R458" s="8"/>
      <c r="S458" s="367"/>
      <c r="T458" s="367"/>
      <c r="U458" s="367"/>
      <c r="V458" s="367"/>
      <c r="W458" s="8"/>
      <c r="X458" s="8"/>
      <c r="Y458" s="8"/>
      <c r="Z458" s="8"/>
      <c r="AA458" s="8"/>
      <c r="AB458" s="8"/>
    </row>
    <row r="459">
      <c r="A459" s="8"/>
      <c r="B459" s="8"/>
      <c r="C459" s="8"/>
      <c r="D459" s="8"/>
      <c r="E459" s="8"/>
      <c r="F459" s="366"/>
      <c r="G459" s="8"/>
      <c r="H459" s="8"/>
      <c r="I459" s="8"/>
      <c r="J459" s="8"/>
      <c r="K459" s="8"/>
      <c r="L459" s="8"/>
      <c r="M459" s="8"/>
      <c r="N459" s="8"/>
      <c r="O459" s="8"/>
      <c r="P459" s="8"/>
      <c r="Q459" s="8"/>
      <c r="R459" s="8"/>
      <c r="S459" s="367"/>
      <c r="T459" s="367"/>
      <c r="U459" s="367"/>
      <c r="V459" s="367"/>
      <c r="W459" s="8"/>
      <c r="X459" s="8"/>
      <c r="Y459" s="8"/>
      <c r="Z459" s="8"/>
      <c r="AA459" s="8"/>
      <c r="AB459" s="8"/>
    </row>
    <row r="460">
      <c r="A460" s="8"/>
      <c r="B460" s="8"/>
      <c r="C460" s="8"/>
      <c r="D460" s="8"/>
      <c r="E460" s="8"/>
      <c r="F460" s="366"/>
      <c r="G460" s="8"/>
      <c r="H460" s="8"/>
      <c r="I460" s="8"/>
      <c r="J460" s="8"/>
      <c r="K460" s="8"/>
      <c r="L460" s="8"/>
      <c r="M460" s="8"/>
      <c r="N460" s="8"/>
      <c r="O460" s="8"/>
      <c r="P460" s="8"/>
      <c r="Q460" s="8"/>
      <c r="R460" s="8"/>
      <c r="S460" s="367"/>
      <c r="T460" s="367"/>
      <c r="U460" s="367"/>
      <c r="V460" s="367"/>
      <c r="W460" s="8"/>
      <c r="X460" s="8"/>
      <c r="Y460" s="8"/>
      <c r="Z460" s="8"/>
      <c r="AA460" s="8"/>
      <c r="AB460" s="8"/>
    </row>
    <row r="461">
      <c r="A461" s="8"/>
      <c r="B461" s="8"/>
      <c r="C461" s="8"/>
      <c r="D461" s="8"/>
      <c r="E461" s="8"/>
      <c r="F461" s="366"/>
      <c r="G461" s="8"/>
      <c r="H461" s="8"/>
      <c r="I461" s="8"/>
      <c r="J461" s="8"/>
      <c r="K461" s="8"/>
      <c r="L461" s="8"/>
      <c r="M461" s="8"/>
      <c r="N461" s="8"/>
      <c r="O461" s="8"/>
      <c r="P461" s="8"/>
      <c r="Q461" s="8"/>
      <c r="R461" s="8"/>
      <c r="S461" s="367"/>
      <c r="T461" s="367"/>
      <c r="U461" s="367"/>
      <c r="V461" s="367"/>
      <c r="W461" s="8"/>
      <c r="X461" s="8"/>
      <c r="Y461" s="8"/>
      <c r="Z461" s="8"/>
      <c r="AA461" s="8"/>
      <c r="AB461" s="8"/>
    </row>
    <row r="462">
      <c r="A462" s="8"/>
      <c r="B462" s="8"/>
      <c r="C462" s="8"/>
      <c r="D462" s="8"/>
      <c r="E462" s="8"/>
      <c r="F462" s="366"/>
      <c r="G462" s="8"/>
      <c r="H462" s="8"/>
      <c r="I462" s="8"/>
      <c r="J462" s="8"/>
      <c r="K462" s="8"/>
      <c r="L462" s="8"/>
      <c r="M462" s="8"/>
      <c r="N462" s="8"/>
      <c r="O462" s="8"/>
      <c r="P462" s="8"/>
      <c r="Q462" s="8"/>
      <c r="R462" s="8"/>
      <c r="S462" s="367"/>
      <c r="T462" s="367"/>
      <c r="U462" s="367"/>
      <c r="V462" s="367"/>
      <c r="W462" s="8"/>
      <c r="X462" s="8"/>
      <c r="Y462" s="8"/>
      <c r="Z462" s="8"/>
      <c r="AA462" s="8"/>
      <c r="AB462" s="8"/>
    </row>
    <row r="463">
      <c r="A463" s="8"/>
      <c r="B463" s="8"/>
      <c r="C463" s="8"/>
      <c r="D463" s="8"/>
      <c r="E463" s="8"/>
      <c r="F463" s="366"/>
      <c r="G463" s="8"/>
      <c r="H463" s="8"/>
      <c r="I463" s="8"/>
      <c r="J463" s="8"/>
      <c r="K463" s="8"/>
      <c r="L463" s="8"/>
      <c r="M463" s="8"/>
      <c r="N463" s="8"/>
      <c r="O463" s="8"/>
      <c r="P463" s="8"/>
      <c r="Q463" s="8"/>
      <c r="R463" s="8"/>
      <c r="S463" s="367"/>
      <c r="T463" s="367"/>
      <c r="U463" s="367"/>
      <c r="V463" s="367"/>
      <c r="W463" s="8"/>
      <c r="X463" s="8"/>
      <c r="Y463" s="8"/>
      <c r="Z463" s="8"/>
      <c r="AA463" s="8"/>
      <c r="AB463" s="8"/>
    </row>
    <row r="464">
      <c r="A464" s="8"/>
      <c r="B464" s="8"/>
      <c r="C464" s="8"/>
      <c r="D464" s="8"/>
      <c r="E464" s="8"/>
      <c r="F464" s="366"/>
      <c r="G464" s="8"/>
      <c r="H464" s="8"/>
      <c r="I464" s="8"/>
      <c r="J464" s="8"/>
      <c r="K464" s="8"/>
      <c r="L464" s="8"/>
      <c r="M464" s="8"/>
      <c r="N464" s="8"/>
      <c r="O464" s="8"/>
      <c r="P464" s="8"/>
      <c r="Q464" s="8"/>
      <c r="R464" s="8"/>
      <c r="S464" s="367"/>
      <c r="T464" s="367"/>
      <c r="U464" s="367"/>
      <c r="V464" s="367"/>
      <c r="W464" s="8"/>
      <c r="X464" s="8"/>
      <c r="Y464" s="8"/>
      <c r="Z464" s="8"/>
      <c r="AA464" s="8"/>
      <c r="AB464" s="8"/>
    </row>
    <row r="465">
      <c r="A465" s="8"/>
      <c r="B465" s="8"/>
      <c r="C465" s="8"/>
      <c r="D465" s="8"/>
      <c r="E465" s="8"/>
      <c r="F465" s="366"/>
      <c r="G465" s="8"/>
      <c r="H465" s="8"/>
      <c r="I465" s="8"/>
      <c r="J465" s="8"/>
      <c r="K465" s="8"/>
      <c r="L465" s="8"/>
      <c r="M465" s="8"/>
      <c r="N465" s="8"/>
      <c r="O465" s="8"/>
      <c r="P465" s="8"/>
      <c r="Q465" s="8"/>
      <c r="R465" s="8"/>
      <c r="S465" s="367"/>
      <c r="T465" s="367"/>
      <c r="U465" s="367"/>
      <c r="V465" s="367"/>
      <c r="W465" s="8"/>
      <c r="X465" s="8"/>
      <c r="Y465" s="8"/>
      <c r="Z465" s="8"/>
      <c r="AA465" s="8"/>
      <c r="AB465" s="8"/>
    </row>
    <row r="466">
      <c r="A466" s="8"/>
      <c r="B466" s="8"/>
      <c r="C466" s="8"/>
      <c r="D466" s="8"/>
      <c r="E466" s="8"/>
      <c r="F466" s="366"/>
      <c r="G466" s="8"/>
      <c r="H466" s="8"/>
      <c r="I466" s="8"/>
      <c r="J466" s="8"/>
      <c r="K466" s="8"/>
      <c r="L466" s="8"/>
      <c r="M466" s="8"/>
      <c r="N466" s="8"/>
      <c r="O466" s="8"/>
      <c r="P466" s="8"/>
      <c r="Q466" s="8"/>
      <c r="R466" s="8"/>
      <c r="S466" s="367"/>
      <c r="T466" s="367"/>
      <c r="U466" s="367"/>
      <c r="V466" s="367"/>
      <c r="W466" s="8"/>
      <c r="X466" s="8"/>
      <c r="Y466" s="8"/>
      <c r="Z466" s="8"/>
      <c r="AA466" s="8"/>
      <c r="AB466" s="8"/>
    </row>
    <row r="467">
      <c r="A467" s="8"/>
      <c r="B467" s="8"/>
      <c r="C467" s="8"/>
      <c r="D467" s="8"/>
      <c r="E467" s="8"/>
      <c r="F467" s="366"/>
      <c r="G467" s="8"/>
      <c r="H467" s="8"/>
      <c r="I467" s="8"/>
      <c r="J467" s="8"/>
      <c r="K467" s="8"/>
      <c r="L467" s="8"/>
      <c r="M467" s="8"/>
      <c r="N467" s="8"/>
      <c r="O467" s="8"/>
      <c r="P467" s="8"/>
      <c r="Q467" s="8"/>
      <c r="R467" s="8"/>
      <c r="S467" s="367"/>
      <c r="T467" s="367"/>
      <c r="U467" s="367"/>
      <c r="V467" s="367"/>
      <c r="W467" s="8"/>
      <c r="X467" s="8"/>
      <c r="Y467" s="8"/>
      <c r="Z467" s="8"/>
      <c r="AA467" s="8"/>
      <c r="AB467" s="8"/>
    </row>
    <row r="468">
      <c r="A468" s="8"/>
      <c r="B468" s="8"/>
      <c r="C468" s="8"/>
      <c r="D468" s="8"/>
      <c r="E468" s="8"/>
      <c r="F468" s="366"/>
      <c r="G468" s="8"/>
      <c r="H468" s="8"/>
      <c r="I468" s="8"/>
      <c r="J468" s="8"/>
      <c r="K468" s="8"/>
      <c r="L468" s="8"/>
      <c r="M468" s="8"/>
      <c r="N468" s="8"/>
      <c r="O468" s="8"/>
      <c r="P468" s="8"/>
      <c r="Q468" s="8"/>
      <c r="R468" s="8"/>
      <c r="S468" s="367"/>
      <c r="T468" s="367"/>
      <c r="U468" s="367"/>
      <c r="V468" s="367"/>
      <c r="W468" s="8"/>
      <c r="X468" s="8"/>
      <c r="Y468" s="8"/>
      <c r="Z468" s="8"/>
      <c r="AA468" s="8"/>
      <c r="AB468" s="8"/>
    </row>
    <row r="469">
      <c r="A469" s="8"/>
      <c r="B469" s="8"/>
      <c r="C469" s="8"/>
      <c r="D469" s="8"/>
      <c r="E469" s="8"/>
      <c r="F469" s="366"/>
      <c r="G469" s="8"/>
      <c r="H469" s="8"/>
      <c r="I469" s="8"/>
      <c r="J469" s="8"/>
      <c r="K469" s="8"/>
      <c r="L469" s="8"/>
      <c r="M469" s="8"/>
      <c r="N469" s="8"/>
      <c r="O469" s="8"/>
      <c r="P469" s="8"/>
      <c r="Q469" s="8"/>
      <c r="R469" s="8"/>
      <c r="S469" s="367"/>
      <c r="T469" s="367"/>
      <c r="U469" s="367"/>
      <c r="V469" s="367"/>
      <c r="W469" s="8"/>
      <c r="X469" s="8"/>
      <c r="Y469" s="8"/>
      <c r="Z469" s="8"/>
      <c r="AA469" s="8"/>
      <c r="AB469" s="8"/>
    </row>
    <row r="470">
      <c r="A470" s="8"/>
      <c r="B470" s="8"/>
      <c r="C470" s="8"/>
      <c r="D470" s="8"/>
      <c r="E470" s="8"/>
      <c r="F470" s="366"/>
      <c r="G470" s="8"/>
      <c r="H470" s="8"/>
      <c r="I470" s="8"/>
      <c r="J470" s="8"/>
      <c r="K470" s="8"/>
      <c r="L470" s="8"/>
      <c r="M470" s="8"/>
      <c r="N470" s="8"/>
      <c r="O470" s="8"/>
      <c r="P470" s="8"/>
      <c r="Q470" s="8"/>
      <c r="R470" s="8"/>
      <c r="S470" s="367"/>
      <c r="T470" s="367"/>
      <c r="U470" s="367"/>
      <c r="V470" s="367"/>
      <c r="W470" s="8"/>
      <c r="X470" s="8"/>
      <c r="Y470" s="8"/>
      <c r="Z470" s="8"/>
      <c r="AA470" s="8"/>
      <c r="AB470" s="8"/>
    </row>
    <row r="471">
      <c r="A471" s="8"/>
      <c r="B471" s="8"/>
      <c r="C471" s="8"/>
      <c r="D471" s="8"/>
      <c r="E471" s="8"/>
      <c r="F471" s="366"/>
      <c r="G471" s="8"/>
      <c r="H471" s="8"/>
      <c r="I471" s="8"/>
      <c r="J471" s="8"/>
      <c r="K471" s="8"/>
      <c r="L471" s="8"/>
      <c r="M471" s="8"/>
      <c r="N471" s="8"/>
      <c r="O471" s="8"/>
      <c r="P471" s="8"/>
      <c r="Q471" s="8"/>
      <c r="R471" s="8"/>
      <c r="S471" s="367"/>
      <c r="T471" s="367"/>
      <c r="U471" s="367"/>
      <c r="V471" s="367"/>
      <c r="W471" s="8"/>
      <c r="X471" s="8"/>
      <c r="Y471" s="8"/>
      <c r="Z471" s="8"/>
      <c r="AA471" s="8"/>
      <c r="AB471" s="8"/>
    </row>
    <row r="472">
      <c r="A472" s="8"/>
      <c r="B472" s="8"/>
      <c r="C472" s="8"/>
      <c r="D472" s="8"/>
      <c r="E472" s="8"/>
      <c r="F472" s="366"/>
      <c r="G472" s="8"/>
      <c r="H472" s="8"/>
      <c r="I472" s="8"/>
      <c r="J472" s="8"/>
      <c r="K472" s="8"/>
      <c r="L472" s="8"/>
      <c r="M472" s="8"/>
      <c r="N472" s="8"/>
      <c r="O472" s="8"/>
      <c r="P472" s="8"/>
      <c r="Q472" s="8"/>
      <c r="R472" s="8"/>
      <c r="S472" s="367"/>
      <c r="T472" s="367"/>
      <c r="U472" s="367"/>
      <c r="V472" s="367"/>
      <c r="W472" s="8"/>
      <c r="X472" s="8"/>
      <c r="Y472" s="8"/>
      <c r="Z472" s="8"/>
      <c r="AA472" s="8"/>
      <c r="AB472" s="8"/>
    </row>
    <row r="473">
      <c r="A473" s="8"/>
      <c r="B473" s="8"/>
      <c r="C473" s="8"/>
      <c r="D473" s="8"/>
      <c r="E473" s="8"/>
      <c r="F473" s="366"/>
      <c r="G473" s="8"/>
      <c r="H473" s="8"/>
      <c r="I473" s="8"/>
      <c r="J473" s="8"/>
      <c r="K473" s="8"/>
      <c r="L473" s="8"/>
      <c r="M473" s="8"/>
      <c r="N473" s="8"/>
      <c r="O473" s="8"/>
      <c r="P473" s="8"/>
      <c r="Q473" s="8"/>
      <c r="R473" s="8"/>
      <c r="S473" s="367"/>
      <c r="T473" s="367"/>
      <c r="U473" s="367"/>
      <c r="V473" s="367"/>
      <c r="W473" s="8"/>
      <c r="X473" s="8"/>
      <c r="Y473" s="8"/>
      <c r="Z473" s="8"/>
      <c r="AA473" s="8"/>
      <c r="AB473" s="8"/>
    </row>
    <row r="474">
      <c r="A474" s="8"/>
      <c r="B474" s="8"/>
      <c r="C474" s="8"/>
      <c r="D474" s="8"/>
      <c r="E474" s="8"/>
      <c r="F474" s="366"/>
      <c r="G474" s="8"/>
      <c r="H474" s="8"/>
      <c r="I474" s="8"/>
      <c r="J474" s="8"/>
      <c r="K474" s="8"/>
      <c r="L474" s="8"/>
      <c r="M474" s="8"/>
      <c r="N474" s="8"/>
      <c r="O474" s="8"/>
      <c r="P474" s="8"/>
      <c r="Q474" s="8"/>
      <c r="R474" s="8"/>
      <c r="S474" s="367"/>
      <c r="T474" s="367"/>
      <c r="U474" s="367"/>
      <c r="V474" s="367"/>
      <c r="W474" s="8"/>
      <c r="X474" s="8"/>
      <c r="Y474" s="8"/>
      <c r="Z474" s="8"/>
      <c r="AA474" s="8"/>
      <c r="AB474" s="8"/>
    </row>
    <row r="475">
      <c r="A475" s="8"/>
      <c r="B475" s="8"/>
      <c r="C475" s="8"/>
      <c r="D475" s="8"/>
      <c r="E475" s="8"/>
      <c r="F475" s="366"/>
      <c r="G475" s="8"/>
      <c r="H475" s="8"/>
      <c r="I475" s="8"/>
      <c r="J475" s="8"/>
      <c r="K475" s="8"/>
      <c r="L475" s="8"/>
      <c r="M475" s="8"/>
      <c r="N475" s="8"/>
      <c r="O475" s="8"/>
      <c r="P475" s="8"/>
      <c r="Q475" s="8"/>
      <c r="R475" s="8"/>
      <c r="S475" s="367"/>
      <c r="T475" s="367"/>
      <c r="U475" s="367"/>
      <c r="V475" s="367"/>
      <c r="W475" s="8"/>
      <c r="X475" s="8"/>
      <c r="Y475" s="8"/>
      <c r="Z475" s="8"/>
      <c r="AA475" s="8"/>
      <c r="AB475" s="8"/>
    </row>
    <row r="476">
      <c r="A476" s="8"/>
      <c r="B476" s="8"/>
      <c r="C476" s="8"/>
      <c r="D476" s="8"/>
      <c r="E476" s="8"/>
      <c r="F476" s="366"/>
      <c r="G476" s="8"/>
      <c r="H476" s="8"/>
      <c r="I476" s="8"/>
      <c r="J476" s="8"/>
      <c r="K476" s="8"/>
      <c r="L476" s="8"/>
      <c r="M476" s="8"/>
      <c r="N476" s="8"/>
      <c r="O476" s="8"/>
      <c r="P476" s="8"/>
      <c r="Q476" s="8"/>
      <c r="R476" s="8"/>
      <c r="S476" s="367"/>
      <c r="T476" s="367"/>
      <c r="U476" s="367"/>
      <c r="V476" s="367"/>
      <c r="W476" s="8"/>
      <c r="X476" s="8"/>
      <c r="Y476" s="8"/>
      <c r="Z476" s="8"/>
      <c r="AA476" s="8"/>
      <c r="AB476" s="8"/>
    </row>
    <row r="477">
      <c r="A477" s="8"/>
      <c r="B477" s="8"/>
      <c r="C477" s="8"/>
      <c r="D477" s="8"/>
      <c r="E477" s="8"/>
      <c r="F477" s="366"/>
      <c r="G477" s="8"/>
      <c r="H477" s="8"/>
      <c r="I477" s="8"/>
      <c r="J477" s="8"/>
      <c r="K477" s="8"/>
      <c r="L477" s="8"/>
      <c r="M477" s="8"/>
      <c r="N477" s="8"/>
      <c r="O477" s="8"/>
      <c r="P477" s="8"/>
      <c r="Q477" s="8"/>
      <c r="R477" s="8"/>
      <c r="S477" s="367"/>
      <c r="T477" s="367"/>
      <c r="U477" s="367"/>
      <c r="V477" s="367"/>
      <c r="W477" s="8"/>
      <c r="X477" s="8"/>
      <c r="Y477" s="8"/>
      <c r="Z477" s="8"/>
      <c r="AA477" s="8"/>
      <c r="AB477" s="8"/>
    </row>
    <row r="478">
      <c r="A478" s="8"/>
      <c r="B478" s="8"/>
      <c r="C478" s="8"/>
      <c r="D478" s="8"/>
      <c r="E478" s="8"/>
      <c r="F478" s="366"/>
      <c r="G478" s="8"/>
      <c r="H478" s="8"/>
      <c r="I478" s="8"/>
      <c r="J478" s="8"/>
      <c r="K478" s="8"/>
      <c r="L478" s="8"/>
      <c r="M478" s="8"/>
      <c r="N478" s="8"/>
      <c r="O478" s="8"/>
      <c r="P478" s="8"/>
      <c r="Q478" s="8"/>
      <c r="R478" s="8"/>
      <c r="S478" s="367"/>
      <c r="T478" s="367"/>
      <c r="U478" s="367"/>
      <c r="V478" s="367"/>
      <c r="W478" s="8"/>
      <c r="X478" s="8"/>
      <c r="Y478" s="8"/>
      <c r="Z478" s="8"/>
      <c r="AA478" s="8"/>
      <c r="AB478" s="8"/>
    </row>
    <row r="479">
      <c r="A479" s="8"/>
      <c r="B479" s="8"/>
      <c r="C479" s="8"/>
      <c r="D479" s="8"/>
      <c r="E479" s="8"/>
      <c r="F479" s="366"/>
      <c r="G479" s="8"/>
      <c r="H479" s="8"/>
      <c r="I479" s="8"/>
      <c r="J479" s="8"/>
      <c r="K479" s="8"/>
      <c r="L479" s="8"/>
      <c r="M479" s="8"/>
      <c r="N479" s="8"/>
      <c r="O479" s="8"/>
      <c r="P479" s="8"/>
      <c r="Q479" s="8"/>
      <c r="R479" s="8"/>
      <c r="S479" s="367"/>
      <c r="T479" s="367"/>
      <c r="U479" s="367"/>
      <c r="V479" s="367"/>
      <c r="W479" s="8"/>
      <c r="X479" s="8"/>
      <c r="Y479" s="8"/>
      <c r="Z479" s="8"/>
      <c r="AA479" s="8"/>
      <c r="AB479" s="8"/>
    </row>
    <row r="480">
      <c r="A480" s="8"/>
      <c r="B480" s="8"/>
      <c r="C480" s="8"/>
      <c r="D480" s="8"/>
      <c r="E480" s="8"/>
      <c r="F480" s="366"/>
      <c r="G480" s="8"/>
      <c r="H480" s="8"/>
      <c r="I480" s="8"/>
      <c r="J480" s="8"/>
      <c r="K480" s="8"/>
      <c r="L480" s="8"/>
      <c r="M480" s="8"/>
      <c r="N480" s="8"/>
      <c r="O480" s="8"/>
      <c r="P480" s="8"/>
      <c r="Q480" s="8"/>
      <c r="R480" s="8"/>
      <c r="S480" s="367"/>
      <c r="T480" s="367"/>
      <c r="U480" s="367"/>
      <c r="V480" s="367"/>
      <c r="W480" s="8"/>
      <c r="X480" s="8"/>
      <c r="Y480" s="8"/>
      <c r="Z480" s="8"/>
      <c r="AA480" s="8"/>
      <c r="AB480" s="8"/>
    </row>
    <row r="481">
      <c r="A481" s="8"/>
      <c r="B481" s="8"/>
      <c r="C481" s="8"/>
      <c r="D481" s="8"/>
      <c r="E481" s="8"/>
      <c r="F481" s="366"/>
      <c r="G481" s="8"/>
      <c r="H481" s="8"/>
      <c r="I481" s="8"/>
      <c r="J481" s="8"/>
      <c r="K481" s="8"/>
      <c r="L481" s="8"/>
      <c r="M481" s="8"/>
      <c r="N481" s="8"/>
      <c r="O481" s="8"/>
      <c r="P481" s="8"/>
      <c r="Q481" s="8"/>
      <c r="R481" s="8"/>
      <c r="S481" s="367"/>
      <c r="T481" s="367"/>
      <c r="U481" s="367"/>
      <c r="V481" s="367"/>
      <c r="W481" s="8"/>
      <c r="X481" s="8"/>
      <c r="Y481" s="8"/>
      <c r="Z481" s="8"/>
      <c r="AA481" s="8"/>
      <c r="AB481" s="8"/>
    </row>
    <row r="482">
      <c r="A482" s="8"/>
      <c r="B482" s="8"/>
      <c r="C482" s="8"/>
      <c r="D482" s="8"/>
      <c r="E482" s="8"/>
      <c r="F482" s="366"/>
      <c r="G482" s="8"/>
      <c r="H482" s="8"/>
      <c r="I482" s="8"/>
      <c r="J482" s="8"/>
      <c r="K482" s="8"/>
      <c r="L482" s="8"/>
      <c r="M482" s="8"/>
      <c r="N482" s="8"/>
      <c r="O482" s="8"/>
      <c r="P482" s="8"/>
      <c r="Q482" s="8"/>
      <c r="R482" s="8"/>
      <c r="S482" s="367"/>
      <c r="T482" s="367"/>
      <c r="U482" s="367"/>
      <c r="V482" s="367"/>
      <c r="W482" s="8"/>
      <c r="X482" s="8"/>
      <c r="Y482" s="8"/>
      <c r="Z482" s="8"/>
      <c r="AA482" s="8"/>
      <c r="AB482" s="8"/>
    </row>
    <row r="483">
      <c r="A483" s="8"/>
      <c r="B483" s="8"/>
      <c r="C483" s="8"/>
      <c r="D483" s="8"/>
      <c r="E483" s="8"/>
      <c r="F483" s="366"/>
      <c r="G483" s="8"/>
      <c r="H483" s="8"/>
      <c r="I483" s="8"/>
      <c r="J483" s="8"/>
      <c r="K483" s="8"/>
      <c r="L483" s="8"/>
      <c r="M483" s="8"/>
      <c r="N483" s="8"/>
      <c r="O483" s="8"/>
      <c r="P483" s="8"/>
      <c r="Q483" s="8"/>
      <c r="R483" s="8"/>
      <c r="S483" s="367"/>
      <c r="T483" s="367"/>
      <c r="U483" s="367"/>
      <c r="V483" s="367"/>
      <c r="W483" s="8"/>
      <c r="X483" s="8"/>
      <c r="Y483" s="8"/>
      <c r="Z483" s="8"/>
      <c r="AA483" s="8"/>
      <c r="AB483" s="8"/>
    </row>
    <row r="484">
      <c r="A484" s="8"/>
      <c r="B484" s="8"/>
      <c r="C484" s="8"/>
      <c r="D484" s="8"/>
      <c r="E484" s="8"/>
      <c r="F484" s="366"/>
      <c r="G484" s="8"/>
      <c r="H484" s="8"/>
      <c r="I484" s="8"/>
      <c r="J484" s="8"/>
      <c r="K484" s="8"/>
      <c r="L484" s="8"/>
      <c r="M484" s="8"/>
      <c r="N484" s="8"/>
      <c r="O484" s="8"/>
      <c r="P484" s="8"/>
      <c r="Q484" s="8"/>
      <c r="R484" s="8"/>
      <c r="S484" s="367"/>
      <c r="T484" s="367"/>
      <c r="U484" s="367"/>
      <c r="V484" s="367"/>
      <c r="W484" s="8"/>
      <c r="X484" s="8"/>
      <c r="Y484" s="8"/>
      <c r="Z484" s="8"/>
      <c r="AA484" s="8"/>
      <c r="AB484" s="8"/>
    </row>
    <row r="485">
      <c r="A485" s="8"/>
      <c r="B485" s="8"/>
      <c r="C485" s="8"/>
      <c r="D485" s="8"/>
      <c r="E485" s="8"/>
      <c r="F485" s="366"/>
      <c r="G485" s="8"/>
      <c r="H485" s="8"/>
      <c r="I485" s="8"/>
      <c r="J485" s="8"/>
      <c r="K485" s="8"/>
      <c r="L485" s="8"/>
      <c r="M485" s="8"/>
      <c r="N485" s="8"/>
      <c r="O485" s="8"/>
      <c r="P485" s="8"/>
      <c r="Q485" s="8"/>
      <c r="R485" s="8"/>
      <c r="S485" s="367"/>
      <c r="T485" s="367"/>
      <c r="U485" s="367"/>
      <c r="V485" s="367"/>
      <c r="W485" s="8"/>
      <c r="X485" s="8"/>
      <c r="Y485" s="8"/>
      <c r="Z485" s="8"/>
      <c r="AA485" s="8"/>
      <c r="AB485" s="8"/>
    </row>
    <row r="486">
      <c r="A486" s="8"/>
      <c r="B486" s="8"/>
      <c r="C486" s="8"/>
      <c r="D486" s="8"/>
      <c r="E486" s="8"/>
      <c r="F486" s="366"/>
      <c r="G486" s="8"/>
      <c r="H486" s="8"/>
      <c r="I486" s="8"/>
      <c r="J486" s="8"/>
      <c r="K486" s="8"/>
      <c r="L486" s="8"/>
      <c r="M486" s="8"/>
      <c r="N486" s="8"/>
      <c r="O486" s="8"/>
      <c r="P486" s="8"/>
      <c r="Q486" s="8"/>
      <c r="R486" s="8"/>
      <c r="S486" s="367"/>
      <c r="T486" s="367"/>
      <c r="U486" s="367"/>
      <c r="V486" s="367"/>
      <c r="W486" s="8"/>
      <c r="X486" s="8"/>
      <c r="Y486" s="8"/>
      <c r="Z486" s="8"/>
      <c r="AA486" s="8"/>
      <c r="AB486" s="8"/>
    </row>
    <row r="487">
      <c r="A487" s="8"/>
      <c r="B487" s="8"/>
      <c r="C487" s="8"/>
      <c r="D487" s="8"/>
      <c r="E487" s="8"/>
      <c r="F487" s="366"/>
      <c r="G487" s="8"/>
      <c r="H487" s="8"/>
      <c r="I487" s="8"/>
      <c r="J487" s="8"/>
      <c r="K487" s="8"/>
      <c r="L487" s="8"/>
      <c r="M487" s="8"/>
      <c r="N487" s="8"/>
      <c r="O487" s="8"/>
      <c r="P487" s="8"/>
      <c r="Q487" s="8"/>
      <c r="R487" s="8"/>
      <c r="S487" s="367"/>
      <c r="T487" s="367"/>
      <c r="U487" s="367"/>
      <c r="V487" s="367"/>
      <c r="W487" s="8"/>
      <c r="X487" s="8"/>
      <c r="Y487" s="8"/>
      <c r="Z487" s="8"/>
      <c r="AA487" s="8"/>
      <c r="AB487" s="8"/>
    </row>
    <row r="488">
      <c r="A488" s="8"/>
      <c r="B488" s="8"/>
      <c r="C488" s="8"/>
      <c r="D488" s="8"/>
      <c r="E488" s="8"/>
      <c r="F488" s="366"/>
      <c r="G488" s="8"/>
      <c r="H488" s="8"/>
      <c r="I488" s="8"/>
      <c r="J488" s="8"/>
      <c r="K488" s="8"/>
      <c r="L488" s="8"/>
      <c r="M488" s="8"/>
      <c r="N488" s="8"/>
      <c r="O488" s="8"/>
      <c r="P488" s="8"/>
      <c r="Q488" s="8"/>
      <c r="R488" s="8"/>
      <c r="S488" s="367"/>
      <c r="T488" s="367"/>
      <c r="U488" s="367"/>
      <c r="V488" s="367"/>
      <c r="W488" s="8"/>
      <c r="X488" s="8"/>
      <c r="Y488" s="8"/>
      <c r="Z488" s="8"/>
      <c r="AA488" s="8"/>
      <c r="AB488" s="8"/>
    </row>
    <row r="489">
      <c r="A489" s="8"/>
      <c r="B489" s="8"/>
      <c r="C489" s="8"/>
      <c r="D489" s="8"/>
      <c r="E489" s="8"/>
      <c r="F489" s="366"/>
      <c r="G489" s="8"/>
      <c r="H489" s="8"/>
      <c r="I489" s="8"/>
      <c r="J489" s="8"/>
      <c r="K489" s="8"/>
      <c r="L489" s="8"/>
      <c r="M489" s="8"/>
      <c r="N489" s="8"/>
      <c r="O489" s="8"/>
      <c r="P489" s="8"/>
      <c r="Q489" s="8"/>
      <c r="R489" s="8"/>
      <c r="S489" s="367"/>
      <c r="T489" s="367"/>
      <c r="U489" s="367"/>
      <c r="V489" s="367"/>
      <c r="W489" s="8"/>
      <c r="X489" s="8"/>
      <c r="Y489" s="8"/>
      <c r="Z489" s="8"/>
      <c r="AA489" s="8"/>
      <c r="AB489" s="8"/>
    </row>
    <row r="490">
      <c r="A490" s="8"/>
      <c r="B490" s="8"/>
      <c r="C490" s="8"/>
      <c r="D490" s="8"/>
      <c r="E490" s="8"/>
      <c r="F490" s="366"/>
      <c r="G490" s="8"/>
      <c r="H490" s="8"/>
      <c r="I490" s="8"/>
      <c r="J490" s="8"/>
      <c r="K490" s="8"/>
      <c r="L490" s="8"/>
      <c r="M490" s="8"/>
      <c r="N490" s="8"/>
      <c r="O490" s="8"/>
      <c r="P490" s="8"/>
      <c r="Q490" s="8"/>
      <c r="R490" s="8"/>
      <c r="S490" s="367"/>
      <c r="T490" s="367"/>
      <c r="U490" s="367"/>
      <c r="V490" s="367"/>
      <c r="W490" s="8"/>
      <c r="X490" s="8"/>
      <c r="Y490" s="8"/>
      <c r="Z490" s="8"/>
      <c r="AA490" s="8"/>
      <c r="AB490" s="8"/>
    </row>
    <row r="491">
      <c r="A491" s="8"/>
      <c r="B491" s="8"/>
      <c r="C491" s="8"/>
      <c r="D491" s="8"/>
      <c r="E491" s="8"/>
      <c r="F491" s="366"/>
      <c r="G491" s="8"/>
      <c r="H491" s="8"/>
      <c r="I491" s="8"/>
      <c r="J491" s="8"/>
      <c r="K491" s="8"/>
      <c r="L491" s="8"/>
      <c r="M491" s="8"/>
      <c r="N491" s="8"/>
      <c r="O491" s="8"/>
      <c r="P491" s="8"/>
      <c r="Q491" s="8"/>
      <c r="R491" s="8"/>
      <c r="S491" s="367"/>
      <c r="T491" s="367"/>
      <c r="U491" s="367"/>
      <c r="V491" s="367"/>
      <c r="W491" s="8"/>
      <c r="X491" s="8"/>
      <c r="Y491" s="8"/>
      <c r="Z491" s="8"/>
      <c r="AA491" s="8"/>
      <c r="AB491" s="8"/>
    </row>
    <row r="492">
      <c r="A492" s="8"/>
      <c r="B492" s="8"/>
      <c r="C492" s="8"/>
      <c r="D492" s="8"/>
      <c r="E492" s="8"/>
      <c r="F492" s="366"/>
      <c r="G492" s="8"/>
      <c r="H492" s="8"/>
      <c r="I492" s="8"/>
      <c r="J492" s="8"/>
      <c r="K492" s="8"/>
      <c r="L492" s="8"/>
      <c r="M492" s="8"/>
      <c r="N492" s="8"/>
      <c r="O492" s="8"/>
      <c r="P492" s="8"/>
      <c r="Q492" s="8"/>
      <c r="R492" s="8"/>
      <c r="S492" s="367"/>
      <c r="T492" s="367"/>
      <c r="U492" s="367"/>
      <c r="V492" s="367"/>
      <c r="W492" s="8"/>
      <c r="X492" s="8"/>
      <c r="Y492" s="8"/>
      <c r="Z492" s="8"/>
      <c r="AA492" s="8"/>
      <c r="AB492" s="8"/>
    </row>
    <row r="493">
      <c r="A493" s="8"/>
      <c r="B493" s="8"/>
      <c r="C493" s="8"/>
      <c r="D493" s="8"/>
      <c r="E493" s="8"/>
      <c r="F493" s="366"/>
      <c r="G493" s="8"/>
      <c r="H493" s="8"/>
      <c r="I493" s="8"/>
      <c r="J493" s="8"/>
      <c r="K493" s="8"/>
      <c r="L493" s="8"/>
      <c r="M493" s="8"/>
      <c r="N493" s="8"/>
      <c r="O493" s="8"/>
      <c r="P493" s="8"/>
      <c r="Q493" s="8"/>
      <c r="R493" s="8"/>
      <c r="S493" s="367"/>
      <c r="T493" s="367"/>
      <c r="U493" s="367"/>
      <c r="V493" s="367"/>
      <c r="W493" s="8"/>
      <c r="X493" s="8"/>
      <c r="Y493" s="8"/>
      <c r="Z493" s="8"/>
      <c r="AA493" s="8"/>
      <c r="AB493" s="8"/>
    </row>
    <row r="494">
      <c r="A494" s="8"/>
      <c r="B494" s="8"/>
      <c r="C494" s="8"/>
      <c r="D494" s="8"/>
      <c r="E494" s="8"/>
      <c r="F494" s="366"/>
      <c r="G494" s="8"/>
      <c r="H494" s="8"/>
      <c r="I494" s="8"/>
      <c r="J494" s="8"/>
      <c r="K494" s="8"/>
      <c r="L494" s="8"/>
      <c r="M494" s="8"/>
      <c r="N494" s="8"/>
      <c r="O494" s="8"/>
      <c r="P494" s="8"/>
      <c r="Q494" s="8"/>
      <c r="R494" s="8"/>
      <c r="S494" s="367"/>
      <c r="T494" s="367"/>
      <c r="U494" s="367"/>
      <c r="V494" s="367"/>
      <c r="W494" s="8"/>
      <c r="X494" s="8"/>
      <c r="Y494" s="8"/>
      <c r="Z494" s="8"/>
      <c r="AA494" s="8"/>
      <c r="AB494" s="8"/>
    </row>
    <row r="495">
      <c r="A495" s="8"/>
      <c r="B495" s="8"/>
      <c r="C495" s="8"/>
      <c r="D495" s="8"/>
      <c r="E495" s="8"/>
      <c r="F495" s="366"/>
      <c r="G495" s="8"/>
      <c r="H495" s="8"/>
      <c r="I495" s="8"/>
      <c r="J495" s="8"/>
      <c r="K495" s="8"/>
      <c r="L495" s="8"/>
      <c r="M495" s="8"/>
      <c r="N495" s="8"/>
      <c r="O495" s="8"/>
      <c r="P495" s="8"/>
      <c r="Q495" s="8"/>
      <c r="R495" s="8"/>
      <c r="S495" s="367"/>
      <c r="T495" s="367"/>
      <c r="U495" s="367"/>
      <c r="V495" s="367"/>
      <c r="W495" s="8"/>
      <c r="X495" s="8"/>
      <c r="Y495" s="8"/>
      <c r="Z495" s="8"/>
      <c r="AA495" s="8"/>
      <c r="AB495" s="8"/>
    </row>
    <row r="496">
      <c r="A496" s="8"/>
      <c r="B496" s="8"/>
      <c r="C496" s="8"/>
      <c r="D496" s="8"/>
      <c r="E496" s="8"/>
      <c r="F496" s="366"/>
      <c r="G496" s="8"/>
      <c r="H496" s="8"/>
      <c r="I496" s="8"/>
      <c r="J496" s="8"/>
      <c r="K496" s="8"/>
      <c r="L496" s="8"/>
      <c r="M496" s="8"/>
      <c r="N496" s="8"/>
      <c r="O496" s="8"/>
      <c r="P496" s="8"/>
      <c r="Q496" s="8"/>
      <c r="R496" s="8"/>
      <c r="S496" s="367"/>
      <c r="T496" s="367"/>
      <c r="U496" s="367"/>
      <c r="V496" s="367"/>
      <c r="W496" s="8"/>
      <c r="X496" s="8"/>
      <c r="Y496" s="8"/>
      <c r="Z496" s="8"/>
      <c r="AA496" s="8"/>
      <c r="AB496" s="8"/>
    </row>
    <row r="497">
      <c r="A497" s="8"/>
      <c r="B497" s="8"/>
      <c r="C497" s="8"/>
      <c r="D497" s="8"/>
      <c r="E497" s="8"/>
      <c r="F497" s="366"/>
      <c r="G497" s="8"/>
      <c r="H497" s="8"/>
      <c r="I497" s="8"/>
      <c r="J497" s="8"/>
      <c r="K497" s="8"/>
      <c r="L497" s="8"/>
      <c r="M497" s="8"/>
      <c r="N497" s="8"/>
      <c r="O497" s="8"/>
      <c r="P497" s="8"/>
      <c r="Q497" s="8"/>
      <c r="R497" s="8"/>
      <c r="S497" s="367"/>
      <c r="T497" s="367"/>
      <c r="U497" s="367"/>
      <c r="V497" s="367"/>
      <c r="W497" s="8"/>
      <c r="X497" s="8"/>
      <c r="Y497" s="8"/>
      <c r="Z497" s="8"/>
      <c r="AA497" s="8"/>
      <c r="AB497" s="8"/>
    </row>
    <row r="498">
      <c r="A498" s="8"/>
      <c r="B498" s="8"/>
      <c r="C498" s="8"/>
      <c r="D498" s="8"/>
      <c r="E498" s="8"/>
      <c r="F498" s="366"/>
      <c r="G498" s="8"/>
      <c r="H498" s="8"/>
      <c r="I498" s="8"/>
      <c r="J498" s="8"/>
      <c r="K498" s="8"/>
      <c r="L498" s="8"/>
      <c r="M498" s="8"/>
      <c r="N498" s="8"/>
      <c r="O498" s="8"/>
      <c r="P498" s="8"/>
      <c r="Q498" s="8"/>
      <c r="R498" s="8"/>
      <c r="S498" s="367"/>
      <c r="T498" s="367"/>
      <c r="U498" s="367"/>
      <c r="V498" s="367"/>
      <c r="W498" s="8"/>
      <c r="X498" s="8"/>
      <c r="Y498" s="8"/>
      <c r="Z498" s="8"/>
      <c r="AA498" s="8"/>
      <c r="AB498" s="8"/>
    </row>
    <row r="499">
      <c r="A499" s="8"/>
      <c r="B499" s="8"/>
      <c r="C499" s="8"/>
      <c r="D499" s="8"/>
      <c r="E499" s="8"/>
      <c r="F499" s="366"/>
      <c r="G499" s="8"/>
      <c r="H499" s="8"/>
      <c r="I499" s="8"/>
      <c r="J499" s="8"/>
      <c r="K499" s="8"/>
      <c r="L499" s="8"/>
      <c r="M499" s="8"/>
      <c r="N499" s="8"/>
      <c r="O499" s="8"/>
      <c r="P499" s="8"/>
      <c r="Q499" s="8"/>
      <c r="R499" s="8"/>
      <c r="S499" s="367"/>
      <c r="T499" s="367"/>
      <c r="U499" s="367"/>
      <c r="V499" s="367"/>
      <c r="W499" s="8"/>
      <c r="X499" s="8"/>
      <c r="Y499" s="8"/>
      <c r="Z499" s="8"/>
      <c r="AA499" s="8"/>
      <c r="AB499" s="8"/>
    </row>
    <row r="500">
      <c r="A500" s="8"/>
      <c r="B500" s="8"/>
      <c r="C500" s="8"/>
      <c r="D500" s="8"/>
      <c r="E500" s="8"/>
      <c r="F500" s="366"/>
      <c r="G500" s="8"/>
      <c r="H500" s="8"/>
      <c r="I500" s="8"/>
      <c r="J500" s="8"/>
      <c r="K500" s="8"/>
      <c r="L500" s="8"/>
      <c r="M500" s="8"/>
      <c r="N500" s="8"/>
      <c r="O500" s="8"/>
      <c r="P500" s="8"/>
      <c r="Q500" s="8"/>
      <c r="R500" s="8"/>
      <c r="S500" s="367"/>
      <c r="T500" s="367"/>
      <c r="U500" s="367"/>
      <c r="V500" s="367"/>
      <c r="W500" s="8"/>
      <c r="X500" s="8"/>
      <c r="Y500" s="8"/>
      <c r="Z500" s="8"/>
      <c r="AA500" s="8"/>
      <c r="AB500" s="8"/>
    </row>
    <row r="501">
      <c r="A501" s="8"/>
      <c r="B501" s="8"/>
      <c r="C501" s="8"/>
      <c r="D501" s="8"/>
      <c r="E501" s="8"/>
      <c r="F501" s="366"/>
      <c r="G501" s="8"/>
      <c r="H501" s="8"/>
      <c r="I501" s="8"/>
      <c r="J501" s="8"/>
      <c r="K501" s="8"/>
      <c r="L501" s="8"/>
      <c r="M501" s="8"/>
      <c r="N501" s="8"/>
      <c r="O501" s="8"/>
      <c r="P501" s="8"/>
      <c r="Q501" s="8"/>
      <c r="R501" s="8"/>
      <c r="S501" s="367"/>
      <c r="T501" s="367"/>
      <c r="U501" s="367"/>
      <c r="V501" s="367"/>
      <c r="W501" s="8"/>
      <c r="X501" s="8"/>
      <c r="Y501" s="8"/>
      <c r="Z501" s="8"/>
      <c r="AA501" s="8"/>
      <c r="AB501" s="8"/>
    </row>
    <row r="502">
      <c r="A502" s="8"/>
      <c r="B502" s="8"/>
      <c r="C502" s="8"/>
      <c r="D502" s="8"/>
      <c r="E502" s="8"/>
      <c r="F502" s="366"/>
      <c r="G502" s="8"/>
      <c r="H502" s="8"/>
      <c r="I502" s="8"/>
      <c r="J502" s="8"/>
      <c r="K502" s="8"/>
      <c r="L502" s="8"/>
      <c r="M502" s="8"/>
      <c r="N502" s="8"/>
      <c r="O502" s="8"/>
      <c r="P502" s="8"/>
      <c r="Q502" s="8"/>
      <c r="R502" s="8"/>
      <c r="S502" s="367"/>
      <c r="T502" s="367"/>
      <c r="U502" s="367"/>
      <c r="V502" s="367"/>
      <c r="W502" s="8"/>
      <c r="X502" s="8"/>
      <c r="Y502" s="8"/>
      <c r="Z502" s="8"/>
      <c r="AA502" s="8"/>
      <c r="AB502" s="8"/>
    </row>
    <row r="503">
      <c r="A503" s="8"/>
      <c r="B503" s="8"/>
      <c r="C503" s="8"/>
      <c r="D503" s="8"/>
      <c r="E503" s="8"/>
      <c r="F503" s="366"/>
      <c r="G503" s="8"/>
      <c r="H503" s="8"/>
      <c r="I503" s="8"/>
      <c r="J503" s="8"/>
      <c r="K503" s="8"/>
      <c r="L503" s="8"/>
      <c r="M503" s="8"/>
      <c r="N503" s="8"/>
      <c r="O503" s="8"/>
      <c r="P503" s="8"/>
      <c r="Q503" s="8"/>
      <c r="R503" s="8"/>
      <c r="S503" s="367"/>
      <c r="T503" s="367"/>
      <c r="U503" s="367"/>
      <c r="V503" s="367"/>
      <c r="W503" s="8"/>
      <c r="X503" s="8"/>
      <c r="Y503" s="8"/>
      <c r="Z503" s="8"/>
      <c r="AA503" s="8"/>
      <c r="AB503" s="8"/>
    </row>
    <row r="504">
      <c r="A504" s="8"/>
      <c r="B504" s="8"/>
      <c r="C504" s="8"/>
      <c r="D504" s="8"/>
      <c r="E504" s="8"/>
      <c r="F504" s="366"/>
      <c r="G504" s="8"/>
      <c r="H504" s="8"/>
      <c r="I504" s="8"/>
      <c r="J504" s="8"/>
      <c r="K504" s="8"/>
      <c r="L504" s="8"/>
      <c r="M504" s="8"/>
      <c r="N504" s="8"/>
      <c r="O504" s="8"/>
      <c r="P504" s="8"/>
      <c r="Q504" s="8"/>
      <c r="R504" s="8"/>
      <c r="S504" s="367"/>
      <c r="T504" s="367"/>
      <c r="U504" s="367"/>
      <c r="V504" s="367"/>
      <c r="W504" s="8"/>
      <c r="X504" s="8"/>
      <c r="Y504" s="8"/>
      <c r="Z504" s="8"/>
      <c r="AA504" s="8"/>
      <c r="AB504" s="8"/>
    </row>
    <row r="505">
      <c r="A505" s="8"/>
      <c r="B505" s="8"/>
      <c r="C505" s="8"/>
      <c r="D505" s="8"/>
      <c r="E505" s="8"/>
      <c r="F505" s="366"/>
      <c r="G505" s="8"/>
      <c r="H505" s="8"/>
      <c r="I505" s="8"/>
      <c r="J505" s="8"/>
      <c r="K505" s="8"/>
      <c r="L505" s="8"/>
      <c r="M505" s="8"/>
      <c r="N505" s="8"/>
      <c r="O505" s="8"/>
      <c r="P505" s="8"/>
      <c r="Q505" s="8"/>
      <c r="R505" s="8"/>
      <c r="S505" s="367"/>
      <c r="T505" s="367"/>
      <c r="U505" s="367"/>
      <c r="V505" s="367"/>
      <c r="W505" s="8"/>
      <c r="X505" s="8"/>
      <c r="Y505" s="8"/>
      <c r="Z505" s="8"/>
      <c r="AA505" s="8"/>
      <c r="AB505" s="8"/>
    </row>
    <row r="506">
      <c r="A506" s="8"/>
      <c r="B506" s="8"/>
      <c r="C506" s="8"/>
      <c r="D506" s="8"/>
      <c r="E506" s="8"/>
      <c r="F506" s="366"/>
      <c r="G506" s="8"/>
      <c r="H506" s="8"/>
      <c r="I506" s="8"/>
      <c r="J506" s="8"/>
      <c r="K506" s="8"/>
      <c r="L506" s="8"/>
      <c r="M506" s="8"/>
      <c r="N506" s="8"/>
      <c r="O506" s="8"/>
      <c r="P506" s="8"/>
      <c r="Q506" s="8"/>
      <c r="R506" s="8"/>
      <c r="S506" s="367"/>
      <c r="T506" s="367"/>
      <c r="U506" s="367"/>
      <c r="V506" s="367"/>
      <c r="W506" s="8"/>
      <c r="X506" s="8"/>
      <c r="Y506" s="8"/>
      <c r="Z506" s="8"/>
      <c r="AA506" s="8"/>
      <c r="AB506" s="8"/>
    </row>
    <row r="507">
      <c r="A507" s="8"/>
      <c r="B507" s="8"/>
      <c r="C507" s="8"/>
      <c r="D507" s="8"/>
      <c r="E507" s="8"/>
      <c r="F507" s="366"/>
      <c r="G507" s="8"/>
      <c r="H507" s="8"/>
      <c r="I507" s="8"/>
      <c r="J507" s="8"/>
      <c r="K507" s="8"/>
      <c r="L507" s="8"/>
      <c r="M507" s="8"/>
      <c r="N507" s="8"/>
      <c r="O507" s="8"/>
      <c r="P507" s="8"/>
      <c r="Q507" s="8"/>
      <c r="R507" s="8"/>
      <c r="S507" s="367"/>
      <c r="T507" s="367"/>
      <c r="U507" s="367"/>
      <c r="V507" s="367"/>
      <c r="W507" s="8"/>
      <c r="X507" s="8"/>
      <c r="Y507" s="8"/>
      <c r="Z507" s="8"/>
      <c r="AA507" s="8"/>
      <c r="AB507" s="8"/>
    </row>
    <row r="508">
      <c r="A508" s="8"/>
      <c r="B508" s="8"/>
      <c r="C508" s="8"/>
      <c r="D508" s="8"/>
      <c r="E508" s="8"/>
      <c r="F508" s="366"/>
      <c r="G508" s="8"/>
      <c r="H508" s="8"/>
      <c r="I508" s="8"/>
      <c r="J508" s="8"/>
      <c r="K508" s="8"/>
      <c r="L508" s="8"/>
      <c r="M508" s="8"/>
      <c r="N508" s="8"/>
      <c r="O508" s="8"/>
      <c r="P508" s="8"/>
      <c r="Q508" s="8"/>
      <c r="R508" s="8"/>
      <c r="S508" s="367"/>
      <c r="T508" s="367"/>
      <c r="U508" s="367"/>
      <c r="V508" s="367"/>
      <c r="W508" s="8"/>
      <c r="X508" s="8"/>
      <c r="Y508" s="8"/>
      <c r="Z508" s="8"/>
      <c r="AA508" s="8"/>
      <c r="AB508" s="8"/>
    </row>
    <row r="509">
      <c r="A509" s="8"/>
      <c r="B509" s="8"/>
      <c r="C509" s="8"/>
      <c r="D509" s="8"/>
      <c r="E509" s="8"/>
      <c r="F509" s="366"/>
      <c r="G509" s="8"/>
      <c r="H509" s="8"/>
      <c r="I509" s="8"/>
      <c r="J509" s="8"/>
      <c r="K509" s="8"/>
      <c r="L509" s="8"/>
      <c r="M509" s="8"/>
      <c r="N509" s="8"/>
      <c r="O509" s="8"/>
      <c r="P509" s="8"/>
      <c r="Q509" s="8"/>
      <c r="R509" s="8"/>
      <c r="S509" s="367"/>
      <c r="T509" s="367"/>
      <c r="U509" s="367"/>
      <c r="V509" s="367"/>
      <c r="W509" s="8"/>
      <c r="X509" s="8"/>
      <c r="Y509" s="8"/>
      <c r="Z509" s="8"/>
      <c r="AA509" s="8"/>
      <c r="AB509" s="8"/>
    </row>
    <row r="510">
      <c r="A510" s="8"/>
      <c r="B510" s="8"/>
      <c r="C510" s="8"/>
      <c r="D510" s="8"/>
      <c r="E510" s="8"/>
      <c r="F510" s="366"/>
      <c r="G510" s="8"/>
      <c r="H510" s="8"/>
      <c r="I510" s="8"/>
      <c r="J510" s="8"/>
      <c r="K510" s="8"/>
      <c r="L510" s="8"/>
      <c r="M510" s="8"/>
      <c r="N510" s="8"/>
      <c r="O510" s="8"/>
      <c r="P510" s="8"/>
      <c r="Q510" s="8"/>
      <c r="R510" s="8"/>
      <c r="S510" s="367"/>
      <c r="T510" s="367"/>
      <c r="U510" s="367"/>
      <c r="V510" s="367"/>
      <c r="W510" s="8"/>
      <c r="X510" s="8"/>
      <c r="Y510" s="8"/>
      <c r="Z510" s="8"/>
      <c r="AA510" s="8"/>
      <c r="AB510" s="8"/>
    </row>
    <row r="511">
      <c r="A511" s="8"/>
      <c r="B511" s="8"/>
      <c r="C511" s="8"/>
      <c r="D511" s="8"/>
      <c r="E511" s="8"/>
      <c r="F511" s="366"/>
      <c r="G511" s="8"/>
      <c r="H511" s="8"/>
      <c r="I511" s="8"/>
      <c r="J511" s="8"/>
      <c r="K511" s="8"/>
      <c r="L511" s="8"/>
      <c r="M511" s="8"/>
      <c r="N511" s="8"/>
      <c r="O511" s="8"/>
      <c r="P511" s="8"/>
      <c r="Q511" s="8"/>
      <c r="R511" s="8"/>
      <c r="S511" s="367"/>
      <c r="T511" s="367"/>
      <c r="U511" s="367"/>
      <c r="V511" s="367"/>
      <c r="W511" s="8"/>
      <c r="X511" s="8"/>
      <c r="Y511" s="8"/>
      <c r="Z511" s="8"/>
      <c r="AA511" s="8"/>
      <c r="AB511" s="8"/>
    </row>
    <row r="512">
      <c r="A512" s="8"/>
      <c r="B512" s="8"/>
      <c r="C512" s="8"/>
      <c r="D512" s="8"/>
      <c r="E512" s="8"/>
      <c r="F512" s="366"/>
      <c r="G512" s="8"/>
      <c r="H512" s="8"/>
      <c r="I512" s="8"/>
      <c r="J512" s="8"/>
      <c r="K512" s="8"/>
      <c r="L512" s="8"/>
      <c r="M512" s="8"/>
      <c r="N512" s="8"/>
      <c r="O512" s="8"/>
      <c r="P512" s="8"/>
      <c r="Q512" s="8"/>
      <c r="R512" s="8"/>
      <c r="S512" s="367"/>
      <c r="T512" s="367"/>
      <c r="U512" s="367"/>
      <c r="V512" s="367"/>
      <c r="W512" s="8"/>
      <c r="X512" s="8"/>
      <c r="Y512" s="8"/>
      <c r="Z512" s="8"/>
      <c r="AA512" s="8"/>
      <c r="AB512" s="8"/>
    </row>
    <row r="513">
      <c r="A513" s="8"/>
      <c r="B513" s="8"/>
      <c r="C513" s="8"/>
      <c r="D513" s="8"/>
      <c r="E513" s="8"/>
      <c r="F513" s="366"/>
      <c r="G513" s="8"/>
      <c r="H513" s="8"/>
      <c r="I513" s="8"/>
      <c r="J513" s="8"/>
      <c r="K513" s="8"/>
      <c r="L513" s="8"/>
      <c r="M513" s="8"/>
      <c r="N513" s="8"/>
      <c r="O513" s="8"/>
      <c r="P513" s="8"/>
      <c r="Q513" s="8"/>
      <c r="R513" s="8"/>
      <c r="S513" s="367"/>
      <c r="T513" s="367"/>
      <c r="U513" s="367"/>
      <c r="V513" s="367"/>
      <c r="W513" s="8"/>
      <c r="X513" s="8"/>
      <c r="Y513" s="8"/>
      <c r="Z513" s="8"/>
      <c r="AA513" s="8"/>
      <c r="AB513" s="8"/>
    </row>
    <row r="514">
      <c r="A514" s="8"/>
      <c r="B514" s="8"/>
      <c r="C514" s="8"/>
      <c r="D514" s="8"/>
      <c r="E514" s="8"/>
      <c r="F514" s="366"/>
      <c r="G514" s="8"/>
      <c r="H514" s="8"/>
      <c r="I514" s="8"/>
      <c r="J514" s="8"/>
      <c r="K514" s="8"/>
      <c r="L514" s="8"/>
      <c r="M514" s="8"/>
      <c r="N514" s="8"/>
      <c r="O514" s="8"/>
      <c r="P514" s="8"/>
      <c r="Q514" s="8"/>
      <c r="R514" s="8"/>
      <c r="S514" s="367"/>
      <c r="T514" s="367"/>
      <c r="U514" s="367"/>
      <c r="V514" s="367"/>
      <c r="W514" s="8"/>
      <c r="X514" s="8"/>
      <c r="Y514" s="8"/>
      <c r="Z514" s="8"/>
      <c r="AA514" s="8"/>
      <c r="AB514" s="8"/>
    </row>
    <row r="515">
      <c r="A515" s="8"/>
      <c r="B515" s="8"/>
      <c r="C515" s="8"/>
      <c r="D515" s="8"/>
      <c r="E515" s="8"/>
      <c r="F515" s="366"/>
      <c r="G515" s="8"/>
      <c r="H515" s="8"/>
      <c r="I515" s="8"/>
      <c r="J515" s="8"/>
      <c r="K515" s="8"/>
      <c r="L515" s="8"/>
      <c r="M515" s="8"/>
      <c r="N515" s="8"/>
      <c r="O515" s="8"/>
      <c r="P515" s="8"/>
      <c r="Q515" s="8"/>
      <c r="R515" s="8"/>
      <c r="S515" s="367"/>
      <c r="T515" s="367"/>
      <c r="U515" s="367"/>
      <c r="V515" s="367"/>
      <c r="W515" s="8"/>
      <c r="X515" s="8"/>
      <c r="Y515" s="8"/>
      <c r="Z515" s="8"/>
      <c r="AA515" s="8"/>
      <c r="AB515" s="8"/>
    </row>
    <row r="516">
      <c r="A516" s="8"/>
      <c r="B516" s="8"/>
      <c r="C516" s="8"/>
      <c r="D516" s="8"/>
      <c r="E516" s="8"/>
      <c r="F516" s="366"/>
      <c r="G516" s="8"/>
      <c r="H516" s="8"/>
      <c r="I516" s="8"/>
      <c r="J516" s="8"/>
      <c r="K516" s="8"/>
      <c r="L516" s="8"/>
      <c r="M516" s="8"/>
      <c r="N516" s="8"/>
      <c r="O516" s="8"/>
      <c r="P516" s="8"/>
      <c r="Q516" s="8"/>
      <c r="R516" s="8"/>
      <c r="S516" s="367"/>
      <c r="T516" s="367"/>
      <c r="U516" s="367"/>
      <c r="V516" s="367"/>
      <c r="W516" s="8"/>
      <c r="X516" s="8"/>
      <c r="Y516" s="8"/>
      <c r="Z516" s="8"/>
      <c r="AA516" s="8"/>
      <c r="AB516" s="8"/>
    </row>
    <row r="517">
      <c r="A517" s="8"/>
      <c r="B517" s="8"/>
      <c r="C517" s="8"/>
      <c r="D517" s="8"/>
      <c r="E517" s="8"/>
      <c r="F517" s="366"/>
      <c r="G517" s="8"/>
      <c r="H517" s="8"/>
      <c r="I517" s="8"/>
      <c r="J517" s="8"/>
      <c r="K517" s="8"/>
      <c r="L517" s="8"/>
      <c r="M517" s="8"/>
      <c r="N517" s="8"/>
      <c r="O517" s="8"/>
      <c r="P517" s="8"/>
      <c r="Q517" s="8"/>
      <c r="R517" s="8"/>
      <c r="S517" s="367"/>
      <c r="T517" s="367"/>
      <c r="U517" s="367"/>
      <c r="V517" s="367"/>
      <c r="W517" s="8"/>
      <c r="X517" s="8"/>
      <c r="Y517" s="8"/>
      <c r="Z517" s="8"/>
      <c r="AA517" s="8"/>
      <c r="AB517" s="8"/>
    </row>
    <row r="518">
      <c r="A518" s="8"/>
      <c r="B518" s="8"/>
      <c r="C518" s="8"/>
      <c r="D518" s="8"/>
      <c r="E518" s="8"/>
      <c r="F518" s="366"/>
      <c r="G518" s="8"/>
      <c r="H518" s="8"/>
      <c r="I518" s="8"/>
      <c r="J518" s="8"/>
      <c r="K518" s="8"/>
      <c r="L518" s="8"/>
      <c r="M518" s="8"/>
      <c r="N518" s="8"/>
      <c r="O518" s="8"/>
      <c r="P518" s="8"/>
      <c r="Q518" s="8"/>
      <c r="R518" s="8"/>
      <c r="S518" s="367"/>
      <c r="T518" s="367"/>
      <c r="U518" s="367"/>
      <c r="V518" s="367"/>
      <c r="W518" s="8"/>
      <c r="X518" s="8"/>
      <c r="Y518" s="8"/>
      <c r="Z518" s="8"/>
      <c r="AA518" s="8"/>
      <c r="AB518" s="8"/>
    </row>
    <row r="519">
      <c r="A519" s="8"/>
      <c r="B519" s="8"/>
      <c r="C519" s="8"/>
      <c r="D519" s="8"/>
      <c r="E519" s="8"/>
      <c r="F519" s="366"/>
      <c r="G519" s="8"/>
      <c r="H519" s="8"/>
      <c r="I519" s="8"/>
      <c r="J519" s="8"/>
      <c r="K519" s="8"/>
      <c r="L519" s="8"/>
      <c r="M519" s="8"/>
      <c r="N519" s="8"/>
      <c r="O519" s="8"/>
      <c r="P519" s="8"/>
      <c r="Q519" s="8"/>
      <c r="R519" s="8"/>
      <c r="S519" s="367"/>
      <c r="T519" s="367"/>
      <c r="U519" s="367"/>
      <c r="V519" s="367"/>
      <c r="W519" s="8"/>
      <c r="X519" s="8"/>
      <c r="Y519" s="8"/>
      <c r="Z519" s="8"/>
      <c r="AA519" s="8"/>
      <c r="AB519" s="8"/>
    </row>
    <row r="520">
      <c r="A520" s="8"/>
      <c r="B520" s="8"/>
      <c r="C520" s="8"/>
      <c r="D520" s="8"/>
      <c r="E520" s="8"/>
      <c r="F520" s="366"/>
      <c r="G520" s="8"/>
      <c r="H520" s="8"/>
      <c r="I520" s="8"/>
      <c r="J520" s="8"/>
      <c r="K520" s="8"/>
      <c r="L520" s="8"/>
      <c r="M520" s="8"/>
      <c r="N520" s="8"/>
      <c r="O520" s="8"/>
      <c r="P520" s="8"/>
      <c r="Q520" s="8"/>
      <c r="R520" s="8"/>
      <c r="S520" s="367"/>
      <c r="T520" s="367"/>
      <c r="U520" s="367"/>
      <c r="V520" s="367"/>
      <c r="W520" s="8"/>
      <c r="X520" s="8"/>
      <c r="Y520" s="8"/>
      <c r="Z520" s="8"/>
      <c r="AA520" s="8"/>
      <c r="AB520" s="8"/>
    </row>
    <row r="521">
      <c r="A521" s="8"/>
      <c r="B521" s="8"/>
      <c r="C521" s="8"/>
      <c r="D521" s="8"/>
      <c r="E521" s="8"/>
      <c r="F521" s="366"/>
      <c r="G521" s="8"/>
      <c r="H521" s="8"/>
      <c r="I521" s="8"/>
      <c r="J521" s="8"/>
      <c r="K521" s="8"/>
      <c r="L521" s="8"/>
      <c r="M521" s="8"/>
      <c r="N521" s="8"/>
      <c r="O521" s="8"/>
      <c r="P521" s="8"/>
      <c r="Q521" s="8"/>
      <c r="R521" s="8"/>
      <c r="S521" s="367"/>
      <c r="T521" s="367"/>
      <c r="U521" s="367"/>
      <c r="V521" s="367"/>
      <c r="W521" s="8"/>
      <c r="X521" s="8"/>
      <c r="Y521" s="8"/>
      <c r="Z521" s="8"/>
      <c r="AA521" s="8"/>
      <c r="AB521" s="8"/>
    </row>
    <row r="522">
      <c r="A522" s="8"/>
      <c r="B522" s="8"/>
      <c r="C522" s="8"/>
      <c r="D522" s="8"/>
      <c r="E522" s="8"/>
      <c r="F522" s="366"/>
      <c r="G522" s="8"/>
      <c r="H522" s="8"/>
      <c r="I522" s="8"/>
      <c r="J522" s="8"/>
      <c r="K522" s="8"/>
      <c r="L522" s="8"/>
      <c r="M522" s="8"/>
      <c r="N522" s="8"/>
      <c r="O522" s="8"/>
      <c r="P522" s="8"/>
      <c r="Q522" s="8"/>
      <c r="R522" s="8"/>
      <c r="S522" s="367"/>
      <c r="T522" s="367"/>
      <c r="U522" s="367"/>
      <c r="V522" s="367"/>
      <c r="W522" s="8"/>
      <c r="X522" s="8"/>
      <c r="Y522" s="8"/>
      <c r="Z522" s="8"/>
      <c r="AA522" s="8"/>
      <c r="AB522" s="8"/>
    </row>
    <row r="523">
      <c r="A523" s="8"/>
      <c r="B523" s="8"/>
      <c r="C523" s="8"/>
      <c r="D523" s="8"/>
      <c r="E523" s="8"/>
      <c r="F523" s="366"/>
      <c r="G523" s="8"/>
      <c r="H523" s="8"/>
      <c r="I523" s="8"/>
      <c r="J523" s="8"/>
      <c r="K523" s="8"/>
      <c r="L523" s="8"/>
      <c r="M523" s="8"/>
      <c r="N523" s="8"/>
      <c r="O523" s="8"/>
      <c r="P523" s="8"/>
      <c r="Q523" s="8"/>
      <c r="R523" s="8"/>
      <c r="S523" s="367"/>
      <c r="T523" s="367"/>
      <c r="U523" s="367"/>
      <c r="V523" s="367"/>
      <c r="W523" s="8"/>
      <c r="X523" s="8"/>
      <c r="Y523" s="8"/>
      <c r="Z523" s="8"/>
      <c r="AA523" s="8"/>
      <c r="AB523" s="8"/>
    </row>
    <row r="524">
      <c r="A524" s="8"/>
      <c r="B524" s="8"/>
      <c r="C524" s="8"/>
      <c r="D524" s="8"/>
      <c r="E524" s="8"/>
      <c r="F524" s="366"/>
      <c r="G524" s="8"/>
      <c r="H524" s="8"/>
      <c r="I524" s="8"/>
      <c r="J524" s="8"/>
      <c r="K524" s="8"/>
      <c r="L524" s="8"/>
      <c r="M524" s="8"/>
      <c r="N524" s="8"/>
      <c r="O524" s="8"/>
      <c r="P524" s="8"/>
      <c r="Q524" s="8"/>
      <c r="R524" s="8"/>
      <c r="S524" s="367"/>
      <c r="T524" s="367"/>
      <c r="U524" s="367"/>
      <c r="V524" s="367"/>
      <c r="W524" s="8"/>
      <c r="X524" s="8"/>
      <c r="Y524" s="8"/>
      <c r="Z524" s="8"/>
      <c r="AA524" s="8"/>
      <c r="AB524" s="8"/>
    </row>
    <row r="525">
      <c r="A525" s="8"/>
      <c r="B525" s="8"/>
      <c r="C525" s="8"/>
      <c r="D525" s="8"/>
      <c r="E525" s="8"/>
      <c r="F525" s="366"/>
      <c r="G525" s="8"/>
      <c r="H525" s="8"/>
      <c r="I525" s="8"/>
      <c r="J525" s="8"/>
      <c r="K525" s="8"/>
      <c r="L525" s="8"/>
      <c r="M525" s="8"/>
      <c r="N525" s="8"/>
      <c r="O525" s="8"/>
      <c r="P525" s="8"/>
      <c r="Q525" s="8"/>
      <c r="R525" s="8"/>
      <c r="S525" s="367"/>
      <c r="T525" s="367"/>
      <c r="U525" s="367"/>
      <c r="V525" s="367"/>
      <c r="W525" s="8"/>
      <c r="X525" s="8"/>
      <c r="Y525" s="8"/>
      <c r="Z525" s="8"/>
      <c r="AA525" s="8"/>
      <c r="AB525" s="8"/>
    </row>
    <row r="526">
      <c r="A526" s="8"/>
      <c r="B526" s="8"/>
      <c r="C526" s="8"/>
      <c r="D526" s="8"/>
      <c r="E526" s="8"/>
      <c r="F526" s="366"/>
      <c r="G526" s="8"/>
      <c r="H526" s="8"/>
      <c r="I526" s="8"/>
      <c r="J526" s="8"/>
      <c r="K526" s="8"/>
      <c r="L526" s="8"/>
      <c r="M526" s="8"/>
      <c r="N526" s="8"/>
      <c r="O526" s="8"/>
      <c r="P526" s="8"/>
      <c r="Q526" s="8"/>
      <c r="R526" s="8"/>
      <c r="S526" s="367"/>
      <c r="T526" s="367"/>
      <c r="U526" s="367"/>
      <c r="V526" s="367"/>
      <c r="W526" s="8"/>
      <c r="X526" s="8"/>
      <c r="Y526" s="8"/>
      <c r="Z526" s="8"/>
      <c r="AA526" s="8"/>
      <c r="AB526" s="8"/>
    </row>
    <row r="527">
      <c r="A527" s="8"/>
      <c r="B527" s="8"/>
      <c r="C527" s="8"/>
      <c r="D527" s="8"/>
      <c r="E527" s="8"/>
      <c r="F527" s="366"/>
      <c r="G527" s="8"/>
      <c r="H527" s="8"/>
      <c r="I527" s="8"/>
      <c r="J527" s="8"/>
      <c r="K527" s="8"/>
      <c r="L527" s="8"/>
      <c r="M527" s="8"/>
      <c r="N527" s="8"/>
      <c r="O527" s="8"/>
      <c r="P527" s="8"/>
      <c r="Q527" s="8"/>
      <c r="R527" s="8"/>
      <c r="S527" s="367"/>
      <c r="T527" s="367"/>
      <c r="U527" s="367"/>
      <c r="V527" s="367"/>
      <c r="W527" s="8"/>
      <c r="X527" s="8"/>
      <c r="Y527" s="8"/>
      <c r="Z527" s="8"/>
      <c r="AA527" s="8"/>
      <c r="AB527" s="8"/>
    </row>
    <row r="528">
      <c r="A528" s="8"/>
      <c r="B528" s="8"/>
      <c r="C528" s="8"/>
      <c r="D528" s="8"/>
      <c r="E528" s="8"/>
      <c r="F528" s="366"/>
      <c r="G528" s="8"/>
      <c r="H528" s="8"/>
      <c r="I528" s="8"/>
      <c r="J528" s="8"/>
      <c r="K528" s="8"/>
      <c r="L528" s="8"/>
      <c r="M528" s="8"/>
      <c r="N528" s="8"/>
      <c r="O528" s="8"/>
      <c r="P528" s="8"/>
      <c r="Q528" s="8"/>
      <c r="R528" s="8"/>
      <c r="S528" s="367"/>
      <c r="T528" s="367"/>
      <c r="U528" s="367"/>
      <c r="V528" s="367"/>
      <c r="W528" s="8"/>
      <c r="X528" s="8"/>
      <c r="Y528" s="8"/>
      <c r="Z528" s="8"/>
      <c r="AA528" s="8"/>
      <c r="AB528" s="8"/>
    </row>
    <row r="529">
      <c r="A529" s="8"/>
      <c r="B529" s="8"/>
      <c r="C529" s="8"/>
      <c r="D529" s="8"/>
      <c r="E529" s="8"/>
      <c r="F529" s="366"/>
      <c r="G529" s="8"/>
      <c r="H529" s="8"/>
      <c r="I529" s="8"/>
      <c r="J529" s="8"/>
      <c r="K529" s="8"/>
      <c r="L529" s="8"/>
      <c r="M529" s="8"/>
      <c r="N529" s="8"/>
      <c r="O529" s="8"/>
      <c r="P529" s="8"/>
      <c r="Q529" s="8"/>
      <c r="R529" s="8"/>
      <c r="S529" s="367"/>
      <c r="T529" s="367"/>
      <c r="U529" s="367"/>
      <c r="V529" s="367"/>
      <c r="W529" s="8"/>
      <c r="X529" s="8"/>
      <c r="Y529" s="8"/>
      <c r="Z529" s="8"/>
      <c r="AA529" s="8"/>
      <c r="AB529" s="8"/>
    </row>
    <row r="530">
      <c r="A530" s="8"/>
      <c r="B530" s="8"/>
      <c r="C530" s="8"/>
      <c r="D530" s="8"/>
      <c r="E530" s="8"/>
      <c r="F530" s="366"/>
      <c r="G530" s="8"/>
      <c r="H530" s="8"/>
      <c r="I530" s="8"/>
      <c r="J530" s="8"/>
      <c r="K530" s="8"/>
      <c r="L530" s="8"/>
      <c r="M530" s="8"/>
      <c r="N530" s="8"/>
      <c r="O530" s="8"/>
      <c r="P530" s="8"/>
      <c r="Q530" s="8"/>
      <c r="R530" s="8"/>
      <c r="S530" s="367"/>
      <c r="T530" s="367"/>
      <c r="U530" s="367"/>
      <c r="V530" s="367"/>
      <c r="W530" s="8"/>
      <c r="X530" s="8"/>
      <c r="Y530" s="8"/>
      <c r="Z530" s="8"/>
      <c r="AA530" s="8"/>
      <c r="AB530" s="8"/>
    </row>
    <row r="531">
      <c r="A531" s="8"/>
      <c r="B531" s="8"/>
      <c r="C531" s="8"/>
      <c r="D531" s="8"/>
      <c r="E531" s="8"/>
      <c r="F531" s="366"/>
      <c r="G531" s="8"/>
      <c r="H531" s="8"/>
      <c r="I531" s="8"/>
      <c r="J531" s="8"/>
      <c r="K531" s="8"/>
      <c r="L531" s="8"/>
      <c r="M531" s="8"/>
      <c r="N531" s="8"/>
      <c r="O531" s="8"/>
      <c r="P531" s="8"/>
      <c r="Q531" s="8"/>
      <c r="R531" s="8"/>
      <c r="S531" s="367"/>
      <c r="T531" s="367"/>
      <c r="U531" s="367"/>
      <c r="V531" s="367"/>
      <c r="W531" s="8"/>
      <c r="X531" s="8"/>
      <c r="Y531" s="8"/>
      <c r="Z531" s="8"/>
      <c r="AA531" s="8"/>
      <c r="AB531" s="8"/>
    </row>
    <row r="532">
      <c r="A532" s="8"/>
      <c r="B532" s="8"/>
      <c r="C532" s="8"/>
      <c r="D532" s="8"/>
      <c r="E532" s="8"/>
      <c r="F532" s="366"/>
      <c r="G532" s="8"/>
      <c r="H532" s="8"/>
      <c r="I532" s="8"/>
      <c r="J532" s="8"/>
      <c r="K532" s="8"/>
      <c r="L532" s="8"/>
      <c r="M532" s="8"/>
      <c r="N532" s="8"/>
      <c r="O532" s="8"/>
      <c r="P532" s="8"/>
      <c r="Q532" s="8"/>
      <c r="R532" s="8"/>
      <c r="S532" s="367"/>
      <c r="T532" s="367"/>
      <c r="U532" s="367"/>
      <c r="V532" s="367"/>
      <c r="W532" s="8"/>
      <c r="X532" s="8"/>
      <c r="Y532" s="8"/>
      <c r="Z532" s="8"/>
      <c r="AA532" s="8"/>
      <c r="AB532" s="8"/>
    </row>
    <row r="533">
      <c r="A533" s="8"/>
      <c r="B533" s="8"/>
      <c r="C533" s="8"/>
      <c r="D533" s="8"/>
      <c r="E533" s="8"/>
      <c r="F533" s="366"/>
      <c r="G533" s="8"/>
      <c r="H533" s="8"/>
      <c r="I533" s="8"/>
      <c r="J533" s="8"/>
      <c r="K533" s="8"/>
      <c r="L533" s="8"/>
      <c r="M533" s="8"/>
      <c r="N533" s="8"/>
      <c r="O533" s="8"/>
      <c r="P533" s="8"/>
      <c r="Q533" s="8"/>
      <c r="R533" s="8"/>
      <c r="S533" s="367"/>
      <c r="T533" s="367"/>
      <c r="U533" s="367"/>
      <c r="V533" s="367"/>
      <c r="W533" s="8"/>
      <c r="X533" s="8"/>
      <c r="Y533" s="8"/>
      <c r="Z533" s="8"/>
      <c r="AA533" s="8"/>
      <c r="AB533" s="8"/>
    </row>
    <row r="534">
      <c r="A534" s="8"/>
      <c r="B534" s="8"/>
      <c r="C534" s="8"/>
      <c r="D534" s="8"/>
      <c r="E534" s="8"/>
      <c r="F534" s="366"/>
      <c r="G534" s="8"/>
      <c r="H534" s="8"/>
      <c r="I534" s="8"/>
      <c r="J534" s="8"/>
      <c r="K534" s="8"/>
      <c r="L534" s="8"/>
      <c r="M534" s="8"/>
      <c r="N534" s="8"/>
      <c r="O534" s="8"/>
      <c r="P534" s="8"/>
      <c r="Q534" s="8"/>
      <c r="R534" s="8"/>
      <c r="S534" s="367"/>
      <c r="T534" s="367"/>
      <c r="U534" s="367"/>
      <c r="V534" s="367"/>
      <c r="W534" s="8"/>
      <c r="X534" s="8"/>
      <c r="Y534" s="8"/>
      <c r="Z534" s="8"/>
      <c r="AA534" s="8"/>
      <c r="AB534" s="8"/>
    </row>
    <row r="535">
      <c r="A535" s="8"/>
      <c r="B535" s="8"/>
      <c r="C535" s="8"/>
      <c r="D535" s="8"/>
      <c r="E535" s="8"/>
      <c r="F535" s="366"/>
      <c r="G535" s="8"/>
      <c r="H535" s="8"/>
      <c r="I535" s="8"/>
      <c r="J535" s="8"/>
      <c r="K535" s="8"/>
      <c r="L535" s="8"/>
      <c r="M535" s="8"/>
      <c r="N535" s="8"/>
      <c r="O535" s="8"/>
      <c r="P535" s="8"/>
      <c r="Q535" s="8"/>
      <c r="R535" s="8"/>
      <c r="S535" s="367"/>
      <c r="T535" s="367"/>
      <c r="U535" s="367"/>
      <c r="V535" s="367"/>
      <c r="W535" s="8"/>
      <c r="X535" s="8"/>
      <c r="Y535" s="8"/>
      <c r="Z535" s="8"/>
      <c r="AA535" s="8"/>
      <c r="AB535" s="8"/>
    </row>
    <row r="536">
      <c r="A536" s="8"/>
      <c r="B536" s="8"/>
      <c r="C536" s="8"/>
      <c r="D536" s="8"/>
      <c r="E536" s="8"/>
      <c r="F536" s="366"/>
      <c r="G536" s="8"/>
      <c r="H536" s="8"/>
      <c r="I536" s="8"/>
      <c r="J536" s="8"/>
      <c r="K536" s="8"/>
      <c r="L536" s="8"/>
      <c r="M536" s="8"/>
      <c r="N536" s="8"/>
      <c r="O536" s="8"/>
      <c r="P536" s="8"/>
      <c r="Q536" s="8"/>
      <c r="R536" s="8"/>
      <c r="S536" s="367"/>
      <c r="T536" s="367"/>
      <c r="U536" s="367"/>
      <c r="V536" s="367"/>
      <c r="W536" s="8"/>
      <c r="X536" s="8"/>
      <c r="Y536" s="8"/>
      <c r="Z536" s="8"/>
      <c r="AA536" s="8"/>
      <c r="AB536" s="8"/>
    </row>
    <row r="537">
      <c r="A537" s="8"/>
      <c r="B537" s="8"/>
      <c r="C537" s="8"/>
      <c r="D537" s="8"/>
      <c r="E537" s="8"/>
      <c r="F537" s="366"/>
      <c r="G537" s="8"/>
      <c r="H537" s="8"/>
      <c r="I537" s="8"/>
      <c r="J537" s="8"/>
      <c r="K537" s="8"/>
      <c r="L537" s="8"/>
      <c r="M537" s="8"/>
      <c r="N537" s="8"/>
      <c r="O537" s="8"/>
      <c r="P537" s="8"/>
      <c r="Q537" s="8"/>
      <c r="R537" s="8"/>
      <c r="S537" s="367"/>
      <c r="T537" s="367"/>
      <c r="U537" s="367"/>
      <c r="V537" s="367"/>
      <c r="W537" s="8"/>
      <c r="X537" s="8"/>
      <c r="Y537" s="8"/>
      <c r="Z537" s="8"/>
      <c r="AA537" s="8"/>
      <c r="AB537" s="8"/>
    </row>
    <row r="538">
      <c r="A538" s="8"/>
      <c r="B538" s="8"/>
      <c r="C538" s="8"/>
      <c r="D538" s="8"/>
      <c r="E538" s="8"/>
      <c r="F538" s="366"/>
      <c r="G538" s="8"/>
      <c r="H538" s="8"/>
      <c r="I538" s="8"/>
      <c r="J538" s="8"/>
      <c r="K538" s="8"/>
      <c r="L538" s="8"/>
      <c r="M538" s="8"/>
      <c r="N538" s="8"/>
      <c r="O538" s="8"/>
      <c r="P538" s="8"/>
      <c r="Q538" s="8"/>
      <c r="R538" s="8"/>
      <c r="S538" s="367"/>
      <c r="T538" s="367"/>
      <c r="U538" s="367"/>
      <c r="V538" s="367"/>
      <c r="W538" s="8"/>
      <c r="X538" s="8"/>
      <c r="Y538" s="8"/>
      <c r="Z538" s="8"/>
      <c r="AA538" s="8"/>
      <c r="AB538" s="8"/>
    </row>
    <row r="539">
      <c r="A539" s="8"/>
      <c r="B539" s="8"/>
      <c r="C539" s="8"/>
      <c r="D539" s="8"/>
      <c r="E539" s="8"/>
      <c r="F539" s="366"/>
      <c r="G539" s="8"/>
      <c r="H539" s="8"/>
      <c r="I539" s="8"/>
      <c r="J539" s="8"/>
      <c r="K539" s="8"/>
      <c r="L539" s="8"/>
      <c r="M539" s="8"/>
      <c r="N539" s="8"/>
      <c r="O539" s="8"/>
      <c r="P539" s="8"/>
      <c r="Q539" s="8"/>
      <c r="R539" s="8"/>
      <c r="S539" s="367"/>
      <c r="T539" s="367"/>
      <c r="U539" s="367"/>
      <c r="V539" s="367"/>
      <c r="W539" s="8"/>
      <c r="X539" s="8"/>
      <c r="Y539" s="8"/>
      <c r="Z539" s="8"/>
      <c r="AA539" s="8"/>
      <c r="AB539" s="8"/>
    </row>
    <row r="540">
      <c r="A540" s="8"/>
      <c r="B540" s="8"/>
      <c r="C540" s="8"/>
      <c r="D540" s="8"/>
      <c r="E540" s="8"/>
      <c r="F540" s="366"/>
      <c r="G540" s="8"/>
      <c r="H540" s="8"/>
      <c r="I540" s="8"/>
      <c r="J540" s="8"/>
      <c r="K540" s="8"/>
      <c r="L540" s="8"/>
      <c r="M540" s="8"/>
      <c r="N540" s="8"/>
      <c r="O540" s="8"/>
      <c r="P540" s="8"/>
      <c r="Q540" s="8"/>
      <c r="R540" s="8"/>
      <c r="S540" s="367"/>
      <c r="T540" s="367"/>
      <c r="U540" s="367"/>
      <c r="V540" s="367"/>
      <c r="W540" s="8"/>
      <c r="X540" s="8"/>
      <c r="Y540" s="8"/>
      <c r="Z540" s="8"/>
      <c r="AA540" s="8"/>
      <c r="AB540" s="8"/>
    </row>
    <row r="541">
      <c r="A541" s="8"/>
      <c r="B541" s="8"/>
      <c r="C541" s="8"/>
      <c r="D541" s="8"/>
      <c r="E541" s="8"/>
      <c r="F541" s="366"/>
      <c r="G541" s="8"/>
      <c r="H541" s="8"/>
      <c r="I541" s="8"/>
      <c r="J541" s="8"/>
      <c r="K541" s="8"/>
      <c r="L541" s="8"/>
      <c r="M541" s="8"/>
      <c r="N541" s="8"/>
      <c r="O541" s="8"/>
      <c r="P541" s="8"/>
      <c r="Q541" s="8"/>
      <c r="R541" s="8"/>
      <c r="S541" s="367"/>
      <c r="T541" s="367"/>
      <c r="U541" s="367"/>
      <c r="V541" s="367"/>
      <c r="W541" s="8"/>
      <c r="X541" s="8"/>
      <c r="Y541" s="8"/>
      <c r="Z541" s="8"/>
      <c r="AA541" s="8"/>
      <c r="AB541" s="8"/>
    </row>
    <row r="542">
      <c r="A542" s="8"/>
      <c r="B542" s="8"/>
      <c r="C542" s="8"/>
      <c r="D542" s="8"/>
      <c r="E542" s="8"/>
      <c r="F542" s="366"/>
      <c r="G542" s="8"/>
      <c r="H542" s="8"/>
      <c r="I542" s="8"/>
      <c r="J542" s="8"/>
      <c r="K542" s="8"/>
      <c r="L542" s="8"/>
      <c r="M542" s="8"/>
      <c r="N542" s="8"/>
      <c r="O542" s="8"/>
      <c r="P542" s="8"/>
      <c r="Q542" s="8"/>
      <c r="R542" s="8"/>
      <c r="S542" s="367"/>
      <c r="T542" s="367"/>
      <c r="U542" s="367"/>
      <c r="V542" s="367"/>
      <c r="W542" s="8"/>
      <c r="X542" s="8"/>
      <c r="Y542" s="8"/>
      <c r="Z542" s="8"/>
      <c r="AA542" s="8"/>
      <c r="AB542" s="8"/>
    </row>
    <row r="543">
      <c r="A543" s="8"/>
      <c r="B543" s="8"/>
      <c r="C543" s="8"/>
      <c r="D543" s="8"/>
      <c r="E543" s="8"/>
      <c r="F543" s="366"/>
      <c r="G543" s="8"/>
      <c r="H543" s="8"/>
      <c r="I543" s="8"/>
      <c r="J543" s="8"/>
      <c r="K543" s="8"/>
      <c r="L543" s="8"/>
      <c r="M543" s="8"/>
      <c r="N543" s="8"/>
      <c r="O543" s="8"/>
      <c r="P543" s="8"/>
      <c r="Q543" s="8"/>
      <c r="R543" s="8"/>
      <c r="S543" s="367"/>
      <c r="T543" s="367"/>
      <c r="U543" s="367"/>
      <c r="V543" s="367"/>
      <c r="W543" s="8"/>
      <c r="X543" s="8"/>
      <c r="Y543" s="8"/>
      <c r="Z543" s="8"/>
      <c r="AA543" s="8"/>
      <c r="AB543" s="8"/>
    </row>
    <row r="544">
      <c r="A544" s="8"/>
      <c r="B544" s="8"/>
      <c r="C544" s="8"/>
      <c r="D544" s="8"/>
      <c r="E544" s="8"/>
      <c r="F544" s="366"/>
      <c r="G544" s="8"/>
      <c r="H544" s="8"/>
      <c r="I544" s="8"/>
      <c r="J544" s="8"/>
      <c r="K544" s="8"/>
      <c r="L544" s="8"/>
      <c r="M544" s="8"/>
      <c r="N544" s="8"/>
      <c r="O544" s="8"/>
      <c r="P544" s="8"/>
      <c r="Q544" s="8"/>
      <c r="R544" s="8"/>
      <c r="S544" s="367"/>
      <c r="T544" s="367"/>
      <c r="U544" s="367"/>
      <c r="V544" s="367"/>
      <c r="W544" s="8"/>
      <c r="X544" s="8"/>
      <c r="Y544" s="8"/>
      <c r="Z544" s="8"/>
      <c r="AA544" s="8"/>
      <c r="AB544" s="8"/>
    </row>
    <row r="545">
      <c r="A545" s="8"/>
      <c r="B545" s="8"/>
      <c r="C545" s="8"/>
      <c r="D545" s="8"/>
      <c r="E545" s="8"/>
      <c r="F545" s="366"/>
      <c r="G545" s="8"/>
      <c r="H545" s="8"/>
      <c r="I545" s="8"/>
      <c r="J545" s="8"/>
      <c r="K545" s="8"/>
      <c r="L545" s="8"/>
      <c r="M545" s="8"/>
      <c r="N545" s="8"/>
      <c r="O545" s="8"/>
      <c r="P545" s="8"/>
      <c r="Q545" s="8"/>
      <c r="R545" s="8"/>
      <c r="S545" s="367"/>
      <c r="T545" s="367"/>
      <c r="U545" s="367"/>
      <c r="V545" s="367"/>
      <c r="W545" s="8"/>
      <c r="X545" s="8"/>
      <c r="Y545" s="8"/>
      <c r="Z545" s="8"/>
      <c r="AA545" s="8"/>
      <c r="AB545" s="8"/>
    </row>
    <row r="546">
      <c r="A546" s="8"/>
      <c r="B546" s="8"/>
      <c r="C546" s="8"/>
      <c r="D546" s="8"/>
      <c r="E546" s="8"/>
      <c r="F546" s="366"/>
      <c r="G546" s="8"/>
      <c r="H546" s="8"/>
      <c r="I546" s="8"/>
      <c r="J546" s="8"/>
      <c r="K546" s="8"/>
      <c r="L546" s="8"/>
      <c r="M546" s="8"/>
      <c r="N546" s="8"/>
      <c r="O546" s="8"/>
      <c r="P546" s="8"/>
      <c r="Q546" s="8"/>
      <c r="R546" s="8"/>
      <c r="S546" s="367"/>
      <c r="T546" s="367"/>
      <c r="U546" s="367"/>
      <c r="V546" s="367"/>
      <c r="W546" s="8"/>
      <c r="X546" s="8"/>
      <c r="Y546" s="8"/>
      <c r="Z546" s="8"/>
      <c r="AA546" s="8"/>
      <c r="AB546" s="8"/>
    </row>
    <row r="547">
      <c r="A547" s="8"/>
      <c r="B547" s="8"/>
      <c r="C547" s="8"/>
      <c r="D547" s="8"/>
      <c r="E547" s="8"/>
      <c r="F547" s="366"/>
      <c r="G547" s="8"/>
      <c r="H547" s="8"/>
      <c r="I547" s="8"/>
      <c r="J547" s="8"/>
      <c r="K547" s="8"/>
      <c r="L547" s="8"/>
      <c r="M547" s="8"/>
      <c r="N547" s="8"/>
      <c r="O547" s="8"/>
      <c r="P547" s="8"/>
      <c r="Q547" s="8"/>
      <c r="R547" s="8"/>
      <c r="S547" s="367"/>
      <c r="T547" s="367"/>
      <c r="U547" s="367"/>
      <c r="V547" s="367"/>
      <c r="W547" s="8"/>
      <c r="X547" s="8"/>
      <c r="Y547" s="8"/>
      <c r="Z547" s="8"/>
      <c r="AA547" s="8"/>
      <c r="AB547" s="8"/>
    </row>
    <row r="548">
      <c r="A548" s="8"/>
      <c r="B548" s="8"/>
      <c r="C548" s="8"/>
      <c r="D548" s="8"/>
      <c r="E548" s="8"/>
      <c r="F548" s="366"/>
      <c r="G548" s="8"/>
      <c r="H548" s="8"/>
      <c r="I548" s="8"/>
      <c r="J548" s="8"/>
      <c r="K548" s="8"/>
      <c r="L548" s="8"/>
      <c r="M548" s="8"/>
      <c r="N548" s="8"/>
      <c r="O548" s="8"/>
      <c r="P548" s="8"/>
      <c r="Q548" s="8"/>
      <c r="R548" s="8"/>
      <c r="S548" s="367"/>
      <c r="T548" s="367"/>
      <c r="U548" s="367"/>
      <c r="V548" s="367"/>
      <c r="W548" s="8"/>
      <c r="X548" s="8"/>
      <c r="Y548" s="8"/>
      <c r="Z548" s="8"/>
      <c r="AA548" s="8"/>
      <c r="AB548" s="8"/>
    </row>
    <row r="549">
      <c r="A549" s="8"/>
      <c r="B549" s="8"/>
      <c r="C549" s="8"/>
      <c r="D549" s="8"/>
      <c r="E549" s="8"/>
      <c r="F549" s="366"/>
      <c r="G549" s="8"/>
      <c r="H549" s="8"/>
      <c r="I549" s="8"/>
      <c r="J549" s="8"/>
      <c r="K549" s="8"/>
      <c r="L549" s="8"/>
      <c r="M549" s="8"/>
      <c r="N549" s="8"/>
      <c r="O549" s="8"/>
      <c r="P549" s="8"/>
      <c r="Q549" s="8"/>
      <c r="R549" s="8"/>
      <c r="S549" s="367"/>
      <c r="T549" s="367"/>
      <c r="U549" s="367"/>
      <c r="V549" s="367"/>
      <c r="W549" s="8"/>
      <c r="X549" s="8"/>
      <c r="Y549" s="8"/>
      <c r="Z549" s="8"/>
      <c r="AA549" s="8"/>
      <c r="AB549" s="8"/>
    </row>
    <row r="550">
      <c r="A550" s="8"/>
      <c r="B550" s="8"/>
      <c r="C550" s="8"/>
      <c r="D550" s="8"/>
      <c r="E550" s="8"/>
      <c r="F550" s="366"/>
      <c r="G550" s="8"/>
      <c r="H550" s="8"/>
      <c r="I550" s="8"/>
      <c r="J550" s="8"/>
      <c r="K550" s="8"/>
      <c r="L550" s="8"/>
      <c r="M550" s="8"/>
      <c r="N550" s="8"/>
      <c r="O550" s="8"/>
      <c r="P550" s="8"/>
      <c r="Q550" s="8"/>
      <c r="R550" s="8"/>
      <c r="S550" s="367"/>
      <c r="T550" s="367"/>
      <c r="U550" s="367"/>
      <c r="V550" s="367"/>
      <c r="W550" s="8"/>
      <c r="X550" s="8"/>
      <c r="Y550" s="8"/>
      <c r="Z550" s="8"/>
      <c r="AA550" s="8"/>
      <c r="AB550" s="8"/>
    </row>
    <row r="551">
      <c r="A551" s="8"/>
      <c r="B551" s="8"/>
      <c r="C551" s="8"/>
      <c r="D551" s="8"/>
      <c r="E551" s="8"/>
      <c r="F551" s="366"/>
      <c r="G551" s="8"/>
      <c r="H551" s="8"/>
      <c r="I551" s="8"/>
      <c r="J551" s="8"/>
      <c r="K551" s="8"/>
      <c r="L551" s="8"/>
      <c r="M551" s="8"/>
      <c r="N551" s="8"/>
      <c r="O551" s="8"/>
      <c r="P551" s="8"/>
      <c r="Q551" s="8"/>
      <c r="R551" s="8"/>
      <c r="S551" s="367"/>
      <c r="T551" s="367"/>
      <c r="U551" s="367"/>
      <c r="V551" s="367"/>
      <c r="W551" s="8"/>
      <c r="X551" s="8"/>
      <c r="Y551" s="8"/>
      <c r="Z551" s="8"/>
      <c r="AA551" s="8"/>
      <c r="AB551" s="8"/>
    </row>
    <row r="552">
      <c r="A552" s="8"/>
      <c r="B552" s="8"/>
      <c r="C552" s="8"/>
      <c r="D552" s="8"/>
      <c r="E552" s="8"/>
      <c r="F552" s="366"/>
      <c r="G552" s="8"/>
      <c r="H552" s="8"/>
      <c r="I552" s="8"/>
      <c r="J552" s="8"/>
      <c r="K552" s="8"/>
      <c r="L552" s="8"/>
      <c r="M552" s="8"/>
      <c r="N552" s="8"/>
      <c r="O552" s="8"/>
      <c r="P552" s="8"/>
      <c r="Q552" s="8"/>
      <c r="R552" s="8"/>
      <c r="S552" s="367"/>
      <c r="T552" s="367"/>
      <c r="U552" s="367"/>
      <c r="V552" s="367"/>
      <c r="W552" s="8"/>
      <c r="X552" s="8"/>
      <c r="Y552" s="8"/>
      <c r="Z552" s="8"/>
      <c r="AA552" s="8"/>
      <c r="AB552" s="8"/>
    </row>
    <row r="553">
      <c r="A553" s="8"/>
      <c r="B553" s="8"/>
      <c r="C553" s="8"/>
      <c r="D553" s="8"/>
      <c r="E553" s="8"/>
      <c r="F553" s="366"/>
      <c r="G553" s="8"/>
      <c r="H553" s="8"/>
      <c r="I553" s="8"/>
      <c r="J553" s="8"/>
      <c r="K553" s="8"/>
      <c r="L553" s="8"/>
      <c r="M553" s="8"/>
      <c r="N553" s="8"/>
      <c r="O553" s="8"/>
      <c r="P553" s="8"/>
      <c r="Q553" s="8"/>
      <c r="R553" s="8"/>
      <c r="S553" s="367"/>
      <c r="T553" s="367"/>
      <c r="U553" s="367"/>
      <c r="V553" s="367"/>
      <c r="W553" s="8"/>
      <c r="X553" s="8"/>
      <c r="Y553" s="8"/>
      <c r="Z553" s="8"/>
      <c r="AA553" s="8"/>
      <c r="AB553" s="8"/>
    </row>
    <row r="554">
      <c r="A554" s="8"/>
      <c r="B554" s="8"/>
      <c r="C554" s="8"/>
      <c r="D554" s="8"/>
      <c r="E554" s="8"/>
      <c r="F554" s="366"/>
      <c r="G554" s="8"/>
      <c r="H554" s="8"/>
      <c r="I554" s="8"/>
      <c r="J554" s="8"/>
      <c r="K554" s="8"/>
      <c r="L554" s="8"/>
      <c r="M554" s="8"/>
      <c r="N554" s="8"/>
      <c r="O554" s="8"/>
      <c r="P554" s="8"/>
      <c r="Q554" s="8"/>
      <c r="R554" s="8"/>
      <c r="S554" s="367"/>
      <c r="T554" s="367"/>
      <c r="U554" s="367"/>
      <c r="V554" s="367"/>
      <c r="W554" s="8"/>
      <c r="X554" s="8"/>
      <c r="Y554" s="8"/>
      <c r="Z554" s="8"/>
      <c r="AA554" s="8"/>
      <c r="AB554" s="8"/>
    </row>
    <row r="555">
      <c r="A555" s="8"/>
      <c r="B555" s="8"/>
      <c r="C555" s="8"/>
      <c r="D555" s="8"/>
      <c r="E555" s="8"/>
      <c r="F555" s="366"/>
      <c r="G555" s="8"/>
      <c r="H555" s="8"/>
      <c r="I555" s="8"/>
      <c r="J555" s="8"/>
      <c r="K555" s="8"/>
      <c r="L555" s="8"/>
      <c r="M555" s="8"/>
      <c r="N555" s="8"/>
      <c r="O555" s="8"/>
      <c r="P555" s="8"/>
      <c r="Q555" s="8"/>
      <c r="R555" s="8"/>
      <c r="S555" s="367"/>
      <c r="T555" s="367"/>
      <c r="U555" s="367"/>
      <c r="V555" s="367"/>
      <c r="W555" s="8"/>
      <c r="X555" s="8"/>
      <c r="Y555" s="8"/>
      <c r="Z555" s="8"/>
      <c r="AA555" s="8"/>
      <c r="AB555" s="8"/>
    </row>
    <row r="556">
      <c r="A556" s="8"/>
      <c r="B556" s="8"/>
      <c r="C556" s="8"/>
      <c r="D556" s="8"/>
      <c r="E556" s="8"/>
      <c r="F556" s="366"/>
      <c r="G556" s="8"/>
      <c r="H556" s="8"/>
      <c r="I556" s="8"/>
      <c r="J556" s="8"/>
      <c r="K556" s="8"/>
      <c r="L556" s="8"/>
      <c r="M556" s="8"/>
      <c r="N556" s="8"/>
      <c r="O556" s="8"/>
      <c r="P556" s="8"/>
      <c r="Q556" s="8"/>
      <c r="R556" s="8"/>
      <c r="S556" s="367"/>
      <c r="T556" s="367"/>
      <c r="U556" s="367"/>
      <c r="V556" s="367"/>
      <c r="W556" s="8"/>
      <c r="X556" s="8"/>
      <c r="Y556" s="8"/>
      <c r="Z556" s="8"/>
      <c r="AA556" s="8"/>
      <c r="AB556" s="8"/>
    </row>
    <row r="557">
      <c r="A557" s="8"/>
      <c r="B557" s="8"/>
      <c r="C557" s="8"/>
      <c r="D557" s="8"/>
      <c r="E557" s="8"/>
      <c r="F557" s="366"/>
      <c r="G557" s="8"/>
      <c r="H557" s="8"/>
      <c r="I557" s="8"/>
      <c r="J557" s="8"/>
      <c r="K557" s="8"/>
      <c r="L557" s="8"/>
      <c r="M557" s="8"/>
      <c r="N557" s="8"/>
      <c r="O557" s="8"/>
      <c r="P557" s="8"/>
      <c r="Q557" s="8"/>
      <c r="R557" s="8"/>
      <c r="S557" s="367"/>
      <c r="T557" s="367"/>
      <c r="U557" s="367"/>
      <c r="V557" s="367"/>
      <c r="W557" s="8"/>
      <c r="X557" s="8"/>
      <c r="Y557" s="8"/>
      <c r="Z557" s="8"/>
      <c r="AA557" s="8"/>
      <c r="AB557" s="8"/>
    </row>
    <row r="558">
      <c r="A558" s="8"/>
      <c r="B558" s="8"/>
      <c r="C558" s="8"/>
      <c r="D558" s="8"/>
      <c r="E558" s="8"/>
      <c r="F558" s="366"/>
      <c r="G558" s="8"/>
      <c r="H558" s="8"/>
      <c r="I558" s="8"/>
      <c r="J558" s="8"/>
      <c r="K558" s="8"/>
      <c r="L558" s="8"/>
      <c r="M558" s="8"/>
      <c r="N558" s="8"/>
      <c r="O558" s="8"/>
      <c r="P558" s="8"/>
      <c r="Q558" s="8"/>
      <c r="R558" s="8"/>
      <c r="S558" s="367"/>
      <c r="T558" s="367"/>
      <c r="U558" s="367"/>
      <c r="V558" s="367"/>
      <c r="W558" s="8"/>
      <c r="X558" s="8"/>
      <c r="Y558" s="8"/>
      <c r="Z558" s="8"/>
      <c r="AA558" s="8"/>
      <c r="AB558" s="8"/>
    </row>
    <row r="559">
      <c r="A559" s="8"/>
      <c r="B559" s="8"/>
      <c r="C559" s="8"/>
      <c r="D559" s="8"/>
      <c r="E559" s="8"/>
      <c r="F559" s="366"/>
      <c r="G559" s="8"/>
      <c r="H559" s="8"/>
      <c r="I559" s="8"/>
      <c r="J559" s="8"/>
      <c r="K559" s="8"/>
      <c r="L559" s="8"/>
      <c r="M559" s="8"/>
      <c r="N559" s="8"/>
      <c r="O559" s="8"/>
      <c r="P559" s="8"/>
      <c r="Q559" s="8"/>
      <c r="R559" s="8"/>
      <c r="S559" s="367"/>
      <c r="T559" s="367"/>
      <c r="U559" s="367"/>
      <c r="V559" s="367"/>
      <c r="W559" s="8"/>
      <c r="X559" s="8"/>
      <c r="Y559" s="8"/>
      <c r="Z559" s="8"/>
      <c r="AA559" s="8"/>
      <c r="AB559" s="8"/>
    </row>
    <row r="560">
      <c r="A560" s="8"/>
      <c r="B560" s="8"/>
      <c r="C560" s="8"/>
      <c r="D560" s="8"/>
      <c r="E560" s="8"/>
      <c r="F560" s="366"/>
      <c r="G560" s="8"/>
      <c r="H560" s="8"/>
      <c r="I560" s="8"/>
      <c r="J560" s="8"/>
      <c r="K560" s="8"/>
      <c r="L560" s="8"/>
      <c r="M560" s="8"/>
      <c r="N560" s="8"/>
      <c r="O560" s="8"/>
      <c r="P560" s="8"/>
      <c r="Q560" s="8"/>
      <c r="R560" s="8"/>
      <c r="S560" s="367"/>
      <c r="T560" s="367"/>
      <c r="U560" s="367"/>
      <c r="V560" s="367"/>
      <c r="W560" s="8"/>
      <c r="X560" s="8"/>
      <c r="Y560" s="8"/>
      <c r="Z560" s="8"/>
      <c r="AA560" s="8"/>
      <c r="AB560" s="8"/>
    </row>
    <row r="561">
      <c r="A561" s="8"/>
      <c r="B561" s="8"/>
      <c r="C561" s="8"/>
      <c r="D561" s="8"/>
      <c r="E561" s="8"/>
      <c r="F561" s="366"/>
      <c r="G561" s="8"/>
      <c r="H561" s="8"/>
      <c r="I561" s="8"/>
      <c r="J561" s="8"/>
      <c r="K561" s="8"/>
      <c r="L561" s="8"/>
      <c r="M561" s="8"/>
      <c r="N561" s="8"/>
      <c r="O561" s="8"/>
      <c r="P561" s="8"/>
      <c r="Q561" s="8"/>
      <c r="R561" s="8"/>
      <c r="S561" s="367"/>
      <c r="T561" s="367"/>
      <c r="U561" s="367"/>
      <c r="V561" s="367"/>
      <c r="W561" s="8"/>
      <c r="X561" s="8"/>
      <c r="Y561" s="8"/>
      <c r="Z561" s="8"/>
      <c r="AA561" s="8"/>
      <c r="AB561" s="8"/>
    </row>
    <row r="562">
      <c r="A562" s="8"/>
      <c r="B562" s="8"/>
      <c r="C562" s="8"/>
      <c r="D562" s="8"/>
      <c r="E562" s="8"/>
      <c r="F562" s="366"/>
      <c r="G562" s="8"/>
      <c r="H562" s="8"/>
      <c r="I562" s="8"/>
      <c r="J562" s="8"/>
      <c r="K562" s="8"/>
      <c r="L562" s="8"/>
      <c r="M562" s="8"/>
      <c r="N562" s="8"/>
      <c r="O562" s="8"/>
      <c r="P562" s="8"/>
      <c r="Q562" s="8"/>
      <c r="R562" s="8"/>
      <c r="S562" s="367"/>
      <c r="T562" s="367"/>
      <c r="U562" s="367"/>
      <c r="V562" s="367"/>
      <c r="W562" s="8"/>
      <c r="X562" s="8"/>
      <c r="Y562" s="8"/>
      <c r="Z562" s="8"/>
      <c r="AA562" s="8"/>
      <c r="AB562" s="8"/>
    </row>
    <row r="563">
      <c r="A563" s="8"/>
      <c r="B563" s="8"/>
      <c r="C563" s="8"/>
      <c r="D563" s="8"/>
      <c r="E563" s="8"/>
      <c r="F563" s="366"/>
      <c r="G563" s="8"/>
      <c r="H563" s="8"/>
      <c r="I563" s="8"/>
      <c r="J563" s="8"/>
      <c r="K563" s="8"/>
      <c r="L563" s="8"/>
      <c r="M563" s="8"/>
      <c r="N563" s="8"/>
      <c r="O563" s="8"/>
      <c r="P563" s="8"/>
      <c r="Q563" s="8"/>
      <c r="R563" s="8"/>
      <c r="S563" s="367"/>
      <c r="T563" s="367"/>
      <c r="U563" s="367"/>
      <c r="V563" s="367"/>
      <c r="W563" s="8"/>
      <c r="X563" s="8"/>
      <c r="Y563" s="8"/>
      <c r="Z563" s="8"/>
      <c r="AA563" s="8"/>
      <c r="AB563" s="8"/>
    </row>
    <row r="564">
      <c r="A564" s="8"/>
      <c r="B564" s="8"/>
      <c r="C564" s="8"/>
      <c r="D564" s="8"/>
      <c r="E564" s="8"/>
      <c r="F564" s="366"/>
      <c r="G564" s="8"/>
      <c r="H564" s="8"/>
      <c r="I564" s="8"/>
      <c r="J564" s="8"/>
      <c r="K564" s="8"/>
      <c r="L564" s="8"/>
      <c r="M564" s="8"/>
      <c r="N564" s="8"/>
      <c r="O564" s="8"/>
      <c r="P564" s="8"/>
      <c r="Q564" s="8"/>
      <c r="R564" s="8"/>
      <c r="S564" s="367"/>
      <c r="T564" s="367"/>
      <c r="U564" s="367"/>
      <c r="V564" s="367"/>
      <c r="W564" s="8"/>
      <c r="X564" s="8"/>
      <c r="Y564" s="8"/>
      <c r="Z564" s="8"/>
      <c r="AA564" s="8"/>
      <c r="AB564" s="8"/>
    </row>
    <row r="565">
      <c r="A565" s="8"/>
      <c r="B565" s="8"/>
      <c r="C565" s="8"/>
      <c r="D565" s="8"/>
      <c r="E565" s="8"/>
      <c r="F565" s="366"/>
      <c r="G565" s="8"/>
      <c r="H565" s="8"/>
      <c r="I565" s="8"/>
      <c r="J565" s="8"/>
      <c r="K565" s="8"/>
      <c r="L565" s="8"/>
      <c r="M565" s="8"/>
      <c r="N565" s="8"/>
      <c r="O565" s="8"/>
      <c r="P565" s="8"/>
      <c r="Q565" s="8"/>
      <c r="R565" s="8"/>
      <c r="S565" s="367"/>
      <c r="T565" s="367"/>
      <c r="U565" s="367"/>
      <c r="V565" s="367"/>
      <c r="W565" s="8"/>
      <c r="X565" s="8"/>
      <c r="Y565" s="8"/>
      <c r="Z565" s="8"/>
      <c r="AA565" s="8"/>
      <c r="AB565" s="8"/>
    </row>
    <row r="566">
      <c r="A566" s="8"/>
      <c r="B566" s="8"/>
      <c r="C566" s="8"/>
      <c r="D566" s="8"/>
      <c r="E566" s="8"/>
      <c r="F566" s="366"/>
      <c r="G566" s="8"/>
      <c r="H566" s="8"/>
      <c r="I566" s="8"/>
      <c r="J566" s="8"/>
      <c r="K566" s="8"/>
      <c r="L566" s="8"/>
      <c r="M566" s="8"/>
      <c r="N566" s="8"/>
      <c r="O566" s="8"/>
      <c r="P566" s="8"/>
      <c r="Q566" s="8"/>
      <c r="R566" s="8"/>
      <c r="S566" s="367"/>
      <c r="T566" s="367"/>
      <c r="U566" s="367"/>
      <c r="V566" s="367"/>
      <c r="W566" s="8"/>
      <c r="X566" s="8"/>
      <c r="Y566" s="8"/>
      <c r="Z566" s="8"/>
      <c r="AA566" s="8"/>
      <c r="AB566" s="8"/>
    </row>
    <row r="567">
      <c r="A567" s="8"/>
      <c r="B567" s="8"/>
      <c r="C567" s="8"/>
      <c r="D567" s="8"/>
      <c r="E567" s="8"/>
      <c r="F567" s="366"/>
      <c r="G567" s="8"/>
      <c r="H567" s="8"/>
      <c r="I567" s="8"/>
      <c r="J567" s="8"/>
      <c r="K567" s="8"/>
      <c r="L567" s="8"/>
      <c r="M567" s="8"/>
      <c r="N567" s="8"/>
      <c r="O567" s="8"/>
      <c r="P567" s="8"/>
      <c r="Q567" s="8"/>
      <c r="R567" s="8"/>
      <c r="S567" s="367"/>
      <c r="T567" s="367"/>
      <c r="U567" s="367"/>
      <c r="V567" s="367"/>
      <c r="W567" s="8"/>
      <c r="X567" s="8"/>
      <c r="Y567" s="8"/>
      <c r="Z567" s="8"/>
      <c r="AA567" s="8"/>
      <c r="AB567" s="8"/>
    </row>
    <row r="568">
      <c r="A568" s="8"/>
      <c r="B568" s="8"/>
      <c r="C568" s="8"/>
      <c r="D568" s="8"/>
      <c r="E568" s="8"/>
      <c r="F568" s="366"/>
      <c r="G568" s="8"/>
      <c r="H568" s="8"/>
      <c r="I568" s="8"/>
      <c r="J568" s="8"/>
      <c r="K568" s="8"/>
      <c r="L568" s="8"/>
      <c r="M568" s="8"/>
      <c r="N568" s="8"/>
      <c r="O568" s="8"/>
      <c r="P568" s="8"/>
      <c r="Q568" s="8"/>
      <c r="R568" s="8"/>
      <c r="S568" s="367"/>
      <c r="T568" s="367"/>
      <c r="U568" s="367"/>
      <c r="V568" s="367"/>
      <c r="W568" s="8"/>
      <c r="X568" s="8"/>
      <c r="Y568" s="8"/>
      <c r="Z568" s="8"/>
      <c r="AA568" s="8"/>
      <c r="AB568" s="8"/>
    </row>
    <row r="569">
      <c r="A569" s="8"/>
      <c r="B569" s="8"/>
      <c r="C569" s="8"/>
      <c r="D569" s="8"/>
      <c r="E569" s="8"/>
      <c r="F569" s="366"/>
      <c r="G569" s="8"/>
      <c r="H569" s="8"/>
      <c r="I569" s="8"/>
      <c r="J569" s="8"/>
      <c r="K569" s="8"/>
      <c r="L569" s="8"/>
      <c r="M569" s="8"/>
      <c r="N569" s="8"/>
      <c r="O569" s="8"/>
      <c r="P569" s="8"/>
      <c r="Q569" s="8"/>
      <c r="R569" s="8"/>
      <c r="S569" s="367"/>
      <c r="T569" s="367"/>
      <c r="U569" s="367"/>
      <c r="V569" s="367"/>
      <c r="W569" s="8"/>
      <c r="X569" s="8"/>
      <c r="Y569" s="8"/>
      <c r="Z569" s="8"/>
      <c r="AA569" s="8"/>
      <c r="AB569" s="8"/>
    </row>
    <row r="570">
      <c r="A570" s="8"/>
      <c r="B570" s="8"/>
      <c r="C570" s="8"/>
      <c r="D570" s="8"/>
      <c r="E570" s="8"/>
      <c r="F570" s="366"/>
      <c r="G570" s="8"/>
      <c r="H570" s="8"/>
      <c r="I570" s="8"/>
      <c r="J570" s="8"/>
      <c r="K570" s="8"/>
      <c r="L570" s="8"/>
      <c r="M570" s="8"/>
      <c r="N570" s="8"/>
      <c r="O570" s="8"/>
      <c r="P570" s="8"/>
      <c r="Q570" s="8"/>
      <c r="R570" s="8"/>
      <c r="S570" s="367"/>
      <c r="T570" s="367"/>
      <c r="U570" s="367"/>
      <c r="V570" s="367"/>
      <c r="W570" s="8"/>
      <c r="X570" s="8"/>
      <c r="Y570" s="8"/>
      <c r="Z570" s="8"/>
      <c r="AA570" s="8"/>
      <c r="AB570" s="8"/>
    </row>
    <row r="571">
      <c r="A571" s="8"/>
      <c r="B571" s="8"/>
      <c r="C571" s="8"/>
      <c r="D571" s="8"/>
      <c r="E571" s="8"/>
      <c r="F571" s="366"/>
      <c r="G571" s="8"/>
      <c r="H571" s="8"/>
      <c r="I571" s="8"/>
      <c r="J571" s="8"/>
      <c r="K571" s="8"/>
      <c r="L571" s="8"/>
      <c r="M571" s="8"/>
      <c r="N571" s="8"/>
      <c r="O571" s="8"/>
      <c r="P571" s="8"/>
      <c r="Q571" s="8"/>
      <c r="R571" s="8"/>
      <c r="S571" s="367"/>
      <c r="T571" s="367"/>
      <c r="U571" s="367"/>
      <c r="V571" s="367"/>
      <c r="W571" s="8"/>
      <c r="X571" s="8"/>
      <c r="Y571" s="8"/>
      <c r="Z571" s="8"/>
      <c r="AA571" s="8"/>
      <c r="AB571" s="8"/>
    </row>
    <row r="572">
      <c r="A572" s="8"/>
      <c r="B572" s="8"/>
      <c r="C572" s="8"/>
      <c r="D572" s="8"/>
      <c r="E572" s="8"/>
      <c r="F572" s="366"/>
      <c r="G572" s="8"/>
      <c r="H572" s="8"/>
      <c r="I572" s="8"/>
      <c r="J572" s="8"/>
      <c r="K572" s="8"/>
      <c r="L572" s="8"/>
      <c r="M572" s="8"/>
      <c r="N572" s="8"/>
      <c r="O572" s="8"/>
      <c r="P572" s="8"/>
      <c r="Q572" s="8"/>
      <c r="R572" s="8"/>
      <c r="S572" s="367"/>
      <c r="T572" s="367"/>
      <c r="U572" s="367"/>
      <c r="V572" s="367"/>
      <c r="W572" s="8"/>
      <c r="X572" s="8"/>
      <c r="Y572" s="8"/>
      <c r="Z572" s="8"/>
      <c r="AA572" s="8"/>
      <c r="AB572" s="8"/>
    </row>
    <row r="573">
      <c r="A573" s="8"/>
      <c r="B573" s="8"/>
      <c r="C573" s="8"/>
      <c r="D573" s="8"/>
      <c r="E573" s="8"/>
      <c r="F573" s="366"/>
      <c r="G573" s="8"/>
      <c r="H573" s="8"/>
      <c r="I573" s="8"/>
      <c r="J573" s="8"/>
      <c r="K573" s="8"/>
      <c r="L573" s="8"/>
      <c r="M573" s="8"/>
      <c r="N573" s="8"/>
      <c r="O573" s="8"/>
      <c r="P573" s="8"/>
      <c r="Q573" s="8"/>
      <c r="R573" s="8"/>
      <c r="S573" s="367"/>
      <c r="T573" s="367"/>
      <c r="U573" s="367"/>
      <c r="V573" s="367"/>
      <c r="W573" s="8"/>
      <c r="X573" s="8"/>
      <c r="Y573" s="8"/>
      <c r="Z573" s="8"/>
      <c r="AA573" s="8"/>
      <c r="AB573" s="8"/>
    </row>
    <row r="574">
      <c r="A574" s="8"/>
      <c r="B574" s="8"/>
      <c r="C574" s="8"/>
      <c r="D574" s="8"/>
      <c r="E574" s="8"/>
      <c r="F574" s="366"/>
      <c r="G574" s="8"/>
      <c r="H574" s="8"/>
      <c r="I574" s="8"/>
      <c r="J574" s="8"/>
      <c r="K574" s="8"/>
      <c r="L574" s="8"/>
      <c r="M574" s="8"/>
      <c r="N574" s="8"/>
      <c r="O574" s="8"/>
      <c r="P574" s="8"/>
      <c r="Q574" s="8"/>
      <c r="R574" s="8"/>
      <c r="S574" s="367"/>
      <c r="T574" s="367"/>
      <c r="U574" s="367"/>
      <c r="V574" s="367"/>
      <c r="W574" s="8"/>
      <c r="X574" s="8"/>
      <c r="Y574" s="8"/>
      <c r="Z574" s="8"/>
      <c r="AA574" s="8"/>
      <c r="AB574" s="8"/>
    </row>
    <row r="575">
      <c r="A575" s="8"/>
      <c r="B575" s="8"/>
      <c r="C575" s="8"/>
      <c r="D575" s="8"/>
      <c r="E575" s="8"/>
      <c r="F575" s="366"/>
      <c r="G575" s="8"/>
      <c r="H575" s="8"/>
      <c r="I575" s="8"/>
      <c r="J575" s="8"/>
      <c r="K575" s="8"/>
      <c r="L575" s="8"/>
      <c r="M575" s="8"/>
      <c r="N575" s="8"/>
      <c r="O575" s="8"/>
      <c r="P575" s="8"/>
      <c r="Q575" s="8"/>
      <c r="R575" s="8"/>
      <c r="S575" s="367"/>
      <c r="T575" s="367"/>
      <c r="U575" s="367"/>
      <c r="V575" s="367"/>
      <c r="W575" s="8"/>
      <c r="X575" s="8"/>
      <c r="Y575" s="8"/>
      <c r="Z575" s="8"/>
      <c r="AA575" s="8"/>
      <c r="AB575" s="8"/>
    </row>
    <row r="576">
      <c r="A576" s="8"/>
      <c r="B576" s="8"/>
      <c r="C576" s="8"/>
      <c r="D576" s="8"/>
      <c r="E576" s="8"/>
      <c r="F576" s="366"/>
      <c r="G576" s="8"/>
      <c r="H576" s="8"/>
      <c r="I576" s="8"/>
      <c r="J576" s="8"/>
      <c r="K576" s="8"/>
      <c r="L576" s="8"/>
      <c r="M576" s="8"/>
      <c r="N576" s="8"/>
      <c r="O576" s="8"/>
      <c r="P576" s="8"/>
      <c r="Q576" s="8"/>
      <c r="R576" s="8"/>
      <c r="S576" s="367"/>
      <c r="T576" s="367"/>
      <c r="U576" s="367"/>
      <c r="V576" s="367"/>
      <c r="W576" s="8"/>
      <c r="X576" s="8"/>
      <c r="Y576" s="8"/>
      <c r="Z576" s="8"/>
      <c r="AA576" s="8"/>
      <c r="AB576" s="8"/>
    </row>
    <row r="577">
      <c r="A577" s="8"/>
      <c r="B577" s="8"/>
      <c r="C577" s="8"/>
      <c r="D577" s="8"/>
      <c r="E577" s="8"/>
      <c r="F577" s="366"/>
      <c r="G577" s="8"/>
      <c r="H577" s="8"/>
      <c r="I577" s="8"/>
      <c r="J577" s="8"/>
      <c r="K577" s="8"/>
      <c r="L577" s="8"/>
      <c r="M577" s="8"/>
      <c r="N577" s="8"/>
      <c r="O577" s="8"/>
      <c r="P577" s="8"/>
      <c r="Q577" s="8"/>
      <c r="R577" s="8"/>
      <c r="S577" s="367"/>
      <c r="T577" s="367"/>
      <c r="U577" s="367"/>
      <c r="V577" s="367"/>
      <c r="W577" s="8"/>
      <c r="X577" s="8"/>
      <c r="Y577" s="8"/>
      <c r="Z577" s="8"/>
      <c r="AA577" s="8"/>
      <c r="AB577" s="8"/>
    </row>
    <row r="578">
      <c r="A578" s="8"/>
      <c r="B578" s="8"/>
      <c r="C578" s="8"/>
      <c r="D578" s="8"/>
      <c r="E578" s="8"/>
      <c r="F578" s="366"/>
      <c r="G578" s="8"/>
      <c r="H578" s="8"/>
      <c r="I578" s="8"/>
      <c r="J578" s="8"/>
      <c r="K578" s="8"/>
      <c r="L578" s="8"/>
      <c r="M578" s="8"/>
      <c r="N578" s="8"/>
      <c r="O578" s="8"/>
      <c r="P578" s="8"/>
      <c r="Q578" s="8"/>
      <c r="R578" s="8"/>
      <c r="S578" s="367"/>
      <c r="T578" s="367"/>
      <c r="U578" s="367"/>
      <c r="V578" s="367"/>
      <c r="W578" s="8"/>
      <c r="X578" s="8"/>
      <c r="Y578" s="8"/>
      <c r="Z578" s="8"/>
      <c r="AA578" s="8"/>
      <c r="AB578" s="8"/>
    </row>
    <row r="579">
      <c r="A579" s="8"/>
      <c r="B579" s="8"/>
      <c r="C579" s="8"/>
      <c r="D579" s="8"/>
      <c r="E579" s="8"/>
      <c r="F579" s="366"/>
      <c r="G579" s="8"/>
      <c r="H579" s="8"/>
      <c r="I579" s="8"/>
      <c r="J579" s="8"/>
      <c r="K579" s="8"/>
      <c r="L579" s="8"/>
      <c r="M579" s="8"/>
      <c r="N579" s="8"/>
      <c r="O579" s="8"/>
      <c r="P579" s="8"/>
      <c r="Q579" s="8"/>
      <c r="R579" s="8"/>
      <c r="S579" s="367"/>
      <c r="T579" s="367"/>
      <c r="U579" s="367"/>
      <c r="V579" s="367"/>
      <c r="W579" s="8"/>
      <c r="X579" s="8"/>
      <c r="Y579" s="8"/>
      <c r="Z579" s="8"/>
      <c r="AA579" s="8"/>
      <c r="AB579" s="8"/>
    </row>
    <row r="580">
      <c r="A580" s="8"/>
      <c r="B580" s="8"/>
      <c r="C580" s="8"/>
      <c r="D580" s="8"/>
      <c r="E580" s="8"/>
      <c r="F580" s="366"/>
      <c r="G580" s="8"/>
      <c r="H580" s="8"/>
      <c r="I580" s="8"/>
      <c r="J580" s="8"/>
      <c r="K580" s="8"/>
      <c r="L580" s="8"/>
      <c r="M580" s="8"/>
      <c r="N580" s="8"/>
      <c r="O580" s="8"/>
      <c r="P580" s="8"/>
      <c r="Q580" s="8"/>
      <c r="R580" s="8"/>
      <c r="S580" s="367"/>
      <c r="T580" s="367"/>
      <c r="U580" s="367"/>
      <c r="V580" s="367"/>
      <c r="W580" s="8"/>
      <c r="X580" s="8"/>
      <c r="Y580" s="8"/>
      <c r="Z580" s="8"/>
      <c r="AA580" s="8"/>
      <c r="AB580" s="8"/>
    </row>
    <row r="581">
      <c r="A581" s="8"/>
      <c r="B581" s="8"/>
      <c r="C581" s="8"/>
      <c r="D581" s="8"/>
      <c r="E581" s="8"/>
      <c r="F581" s="366"/>
      <c r="G581" s="8"/>
      <c r="H581" s="8"/>
      <c r="I581" s="8"/>
      <c r="J581" s="8"/>
      <c r="K581" s="8"/>
      <c r="L581" s="8"/>
      <c r="M581" s="8"/>
      <c r="N581" s="8"/>
      <c r="O581" s="8"/>
      <c r="P581" s="8"/>
      <c r="Q581" s="8"/>
      <c r="R581" s="8"/>
      <c r="S581" s="367"/>
      <c r="T581" s="367"/>
      <c r="U581" s="367"/>
      <c r="V581" s="367"/>
      <c r="W581" s="8"/>
      <c r="X581" s="8"/>
      <c r="Y581" s="8"/>
      <c r="Z581" s="8"/>
      <c r="AA581" s="8"/>
      <c r="AB581" s="8"/>
    </row>
    <row r="582">
      <c r="A582" s="8"/>
      <c r="B582" s="8"/>
      <c r="C582" s="8"/>
      <c r="D582" s="8"/>
      <c r="E582" s="8"/>
      <c r="F582" s="366"/>
      <c r="G582" s="8"/>
      <c r="H582" s="8"/>
      <c r="I582" s="8"/>
      <c r="J582" s="8"/>
      <c r="K582" s="8"/>
      <c r="L582" s="8"/>
      <c r="M582" s="8"/>
      <c r="N582" s="8"/>
      <c r="O582" s="8"/>
      <c r="P582" s="8"/>
      <c r="Q582" s="8"/>
      <c r="R582" s="8"/>
      <c r="S582" s="367"/>
      <c r="T582" s="367"/>
      <c r="U582" s="367"/>
      <c r="V582" s="367"/>
      <c r="W582" s="8"/>
      <c r="X582" s="8"/>
      <c r="Y582" s="8"/>
      <c r="Z582" s="8"/>
      <c r="AA582" s="8"/>
      <c r="AB582" s="8"/>
    </row>
    <row r="583">
      <c r="A583" s="8"/>
      <c r="B583" s="8"/>
      <c r="C583" s="8"/>
      <c r="D583" s="8"/>
      <c r="E583" s="8"/>
      <c r="F583" s="366"/>
      <c r="G583" s="8"/>
      <c r="H583" s="8"/>
      <c r="I583" s="8"/>
      <c r="J583" s="8"/>
      <c r="K583" s="8"/>
      <c r="L583" s="8"/>
      <c r="M583" s="8"/>
      <c r="N583" s="8"/>
      <c r="O583" s="8"/>
      <c r="P583" s="8"/>
      <c r="Q583" s="8"/>
      <c r="R583" s="8"/>
      <c r="S583" s="367"/>
      <c r="T583" s="367"/>
      <c r="U583" s="367"/>
      <c r="V583" s="367"/>
      <c r="W583" s="8"/>
      <c r="X583" s="8"/>
      <c r="Y583" s="8"/>
      <c r="Z583" s="8"/>
      <c r="AA583" s="8"/>
      <c r="AB583" s="8"/>
    </row>
    <row r="584">
      <c r="A584" s="8"/>
      <c r="B584" s="8"/>
      <c r="C584" s="8"/>
      <c r="D584" s="8"/>
      <c r="E584" s="8"/>
      <c r="F584" s="366"/>
      <c r="G584" s="8"/>
      <c r="H584" s="8"/>
      <c r="I584" s="8"/>
      <c r="J584" s="8"/>
      <c r="K584" s="8"/>
      <c r="L584" s="8"/>
      <c r="M584" s="8"/>
      <c r="N584" s="8"/>
      <c r="O584" s="8"/>
      <c r="P584" s="8"/>
      <c r="Q584" s="8"/>
      <c r="R584" s="8"/>
      <c r="S584" s="367"/>
      <c r="T584" s="367"/>
      <c r="U584" s="367"/>
      <c r="V584" s="367"/>
      <c r="W584" s="8"/>
      <c r="X584" s="8"/>
      <c r="Y584" s="8"/>
      <c r="Z584" s="8"/>
      <c r="AA584" s="8"/>
      <c r="AB584" s="8"/>
    </row>
    <row r="585">
      <c r="A585" s="8"/>
      <c r="B585" s="8"/>
      <c r="C585" s="8"/>
      <c r="D585" s="8"/>
      <c r="E585" s="8"/>
      <c r="F585" s="366"/>
      <c r="G585" s="8"/>
      <c r="H585" s="8"/>
      <c r="I585" s="8"/>
      <c r="J585" s="8"/>
      <c r="K585" s="8"/>
      <c r="L585" s="8"/>
      <c r="M585" s="8"/>
      <c r="N585" s="8"/>
      <c r="O585" s="8"/>
      <c r="P585" s="8"/>
      <c r="Q585" s="8"/>
      <c r="R585" s="8"/>
      <c r="S585" s="367"/>
      <c r="T585" s="367"/>
      <c r="U585" s="367"/>
      <c r="V585" s="367"/>
      <c r="W585" s="8"/>
      <c r="X585" s="8"/>
      <c r="Y585" s="8"/>
      <c r="Z585" s="8"/>
      <c r="AA585" s="8"/>
      <c r="AB585" s="8"/>
    </row>
    <row r="586">
      <c r="A586" s="8"/>
      <c r="B586" s="8"/>
      <c r="C586" s="8"/>
      <c r="D586" s="8"/>
      <c r="E586" s="8"/>
      <c r="F586" s="366"/>
      <c r="G586" s="8"/>
      <c r="H586" s="8"/>
      <c r="I586" s="8"/>
      <c r="J586" s="8"/>
      <c r="K586" s="8"/>
      <c r="L586" s="8"/>
      <c r="M586" s="8"/>
      <c r="N586" s="8"/>
      <c r="O586" s="8"/>
      <c r="P586" s="8"/>
      <c r="Q586" s="8"/>
      <c r="R586" s="8"/>
      <c r="S586" s="367"/>
      <c r="T586" s="367"/>
      <c r="U586" s="367"/>
      <c r="V586" s="367"/>
      <c r="W586" s="8"/>
      <c r="X586" s="8"/>
      <c r="Y586" s="8"/>
      <c r="Z586" s="8"/>
      <c r="AA586" s="8"/>
      <c r="AB586" s="8"/>
    </row>
    <row r="587">
      <c r="A587" s="8"/>
      <c r="B587" s="8"/>
      <c r="C587" s="8"/>
      <c r="D587" s="8"/>
      <c r="E587" s="8"/>
      <c r="F587" s="366"/>
      <c r="G587" s="8"/>
      <c r="H587" s="8"/>
      <c r="I587" s="8"/>
      <c r="J587" s="8"/>
      <c r="K587" s="8"/>
      <c r="L587" s="8"/>
      <c r="M587" s="8"/>
      <c r="N587" s="8"/>
      <c r="O587" s="8"/>
      <c r="P587" s="8"/>
      <c r="Q587" s="8"/>
      <c r="R587" s="8"/>
      <c r="S587" s="367"/>
      <c r="T587" s="367"/>
      <c r="U587" s="367"/>
      <c r="V587" s="367"/>
      <c r="W587" s="8"/>
      <c r="X587" s="8"/>
      <c r="Y587" s="8"/>
      <c r="Z587" s="8"/>
      <c r="AA587" s="8"/>
      <c r="AB587" s="8"/>
    </row>
    <row r="588">
      <c r="A588" s="8"/>
      <c r="B588" s="8"/>
      <c r="C588" s="8"/>
      <c r="D588" s="8"/>
      <c r="E588" s="8"/>
      <c r="F588" s="366"/>
      <c r="G588" s="8"/>
      <c r="H588" s="8"/>
      <c r="I588" s="8"/>
      <c r="J588" s="8"/>
      <c r="K588" s="8"/>
      <c r="L588" s="8"/>
      <c r="M588" s="8"/>
      <c r="N588" s="8"/>
      <c r="O588" s="8"/>
      <c r="P588" s="8"/>
      <c r="Q588" s="8"/>
      <c r="R588" s="8"/>
      <c r="S588" s="367"/>
      <c r="T588" s="367"/>
      <c r="U588" s="367"/>
      <c r="V588" s="367"/>
      <c r="W588" s="8"/>
      <c r="X588" s="8"/>
      <c r="Y588" s="8"/>
      <c r="Z588" s="8"/>
      <c r="AA588" s="8"/>
      <c r="AB588" s="8"/>
    </row>
    <row r="589">
      <c r="A589" s="8"/>
      <c r="B589" s="8"/>
      <c r="C589" s="8"/>
      <c r="D589" s="8"/>
      <c r="E589" s="8"/>
      <c r="F589" s="366"/>
      <c r="G589" s="8"/>
      <c r="H589" s="8"/>
      <c r="I589" s="8"/>
      <c r="J589" s="8"/>
      <c r="K589" s="8"/>
      <c r="L589" s="8"/>
      <c r="M589" s="8"/>
      <c r="N589" s="8"/>
      <c r="O589" s="8"/>
      <c r="P589" s="8"/>
      <c r="Q589" s="8"/>
      <c r="R589" s="8"/>
      <c r="S589" s="367"/>
      <c r="T589" s="367"/>
      <c r="U589" s="367"/>
      <c r="V589" s="367"/>
      <c r="W589" s="8"/>
      <c r="X589" s="8"/>
      <c r="Y589" s="8"/>
      <c r="Z589" s="8"/>
      <c r="AA589" s="8"/>
      <c r="AB589" s="8"/>
    </row>
    <row r="590">
      <c r="A590" s="8"/>
      <c r="B590" s="8"/>
      <c r="C590" s="8"/>
      <c r="D590" s="8"/>
      <c r="E590" s="8"/>
      <c r="F590" s="366"/>
      <c r="G590" s="8"/>
      <c r="H590" s="8"/>
      <c r="I590" s="8"/>
      <c r="J590" s="8"/>
      <c r="K590" s="8"/>
      <c r="L590" s="8"/>
      <c r="M590" s="8"/>
      <c r="N590" s="8"/>
      <c r="O590" s="8"/>
      <c r="P590" s="8"/>
      <c r="Q590" s="8"/>
      <c r="R590" s="8"/>
      <c r="S590" s="367"/>
      <c r="T590" s="367"/>
      <c r="U590" s="367"/>
      <c r="V590" s="367"/>
      <c r="W590" s="8"/>
      <c r="X590" s="8"/>
      <c r="Y590" s="8"/>
      <c r="Z590" s="8"/>
      <c r="AA590" s="8"/>
      <c r="AB590" s="8"/>
    </row>
    <row r="591">
      <c r="A591" s="8"/>
      <c r="B591" s="8"/>
      <c r="C591" s="8"/>
      <c r="D591" s="8"/>
      <c r="E591" s="8"/>
      <c r="F591" s="366"/>
      <c r="G591" s="8"/>
      <c r="H591" s="8"/>
      <c r="I591" s="8"/>
      <c r="J591" s="8"/>
      <c r="K591" s="8"/>
      <c r="L591" s="8"/>
      <c r="M591" s="8"/>
      <c r="N591" s="8"/>
      <c r="O591" s="8"/>
      <c r="P591" s="8"/>
      <c r="Q591" s="8"/>
      <c r="R591" s="8"/>
      <c r="S591" s="367"/>
      <c r="T591" s="367"/>
      <c r="U591" s="367"/>
      <c r="V591" s="367"/>
      <c r="W591" s="8"/>
      <c r="X591" s="8"/>
      <c r="Y591" s="8"/>
      <c r="Z591" s="8"/>
      <c r="AA591" s="8"/>
      <c r="AB591" s="8"/>
    </row>
    <row r="592">
      <c r="A592" s="8"/>
      <c r="B592" s="8"/>
      <c r="C592" s="8"/>
      <c r="D592" s="8"/>
      <c r="E592" s="8"/>
      <c r="F592" s="366"/>
      <c r="G592" s="8"/>
      <c r="H592" s="8"/>
      <c r="I592" s="8"/>
      <c r="J592" s="8"/>
      <c r="K592" s="8"/>
      <c r="L592" s="8"/>
      <c r="M592" s="8"/>
      <c r="N592" s="8"/>
      <c r="O592" s="8"/>
      <c r="P592" s="8"/>
      <c r="Q592" s="8"/>
      <c r="R592" s="8"/>
      <c r="S592" s="367"/>
      <c r="T592" s="367"/>
      <c r="U592" s="367"/>
      <c r="V592" s="367"/>
      <c r="W592" s="8"/>
      <c r="X592" s="8"/>
      <c r="Y592" s="8"/>
      <c r="Z592" s="8"/>
      <c r="AA592" s="8"/>
      <c r="AB592" s="8"/>
    </row>
    <row r="593">
      <c r="A593" s="8"/>
      <c r="B593" s="8"/>
      <c r="C593" s="8"/>
      <c r="D593" s="8"/>
      <c r="E593" s="8"/>
      <c r="F593" s="366"/>
      <c r="G593" s="8"/>
      <c r="H593" s="8"/>
      <c r="I593" s="8"/>
      <c r="J593" s="8"/>
      <c r="K593" s="8"/>
      <c r="L593" s="8"/>
      <c r="M593" s="8"/>
      <c r="N593" s="8"/>
      <c r="O593" s="8"/>
      <c r="P593" s="8"/>
      <c r="Q593" s="8"/>
      <c r="R593" s="8"/>
      <c r="S593" s="367"/>
      <c r="T593" s="367"/>
      <c r="U593" s="367"/>
      <c r="V593" s="367"/>
      <c r="W593" s="8"/>
      <c r="X593" s="8"/>
      <c r="Y593" s="8"/>
      <c r="Z593" s="8"/>
      <c r="AA593" s="8"/>
      <c r="AB593" s="8"/>
    </row>
    <row r="594">
      <c r="A594" s="8"/>
      <c r="B594" s="8"/>
      <c r="C594" s="8"/>
      <c r="D594" s="8"/>
      <c r="E594" s="8"/>
      <c r="F594" s="366"/>
      <c r="G594" s="8"/>
      <c r="H594" s="8"/>
      <c r="I594" s="8"/>
      <c r="J594" s="8"/>
      <c r="K594" s="8"/>
      <c r="L594" s="8"/>
      <c r="M594" s="8"/>
      <c r="N594" s="8"/>
      <c r="O594" s="8"/>
      <c r="P594" s="8"/>
      <c r="Q594" s="8"/>
      <c r="R594" s="8"/>
      <c r="S594" s="367"/>
      <c r="T594" s="367"/>
      <c r="U594" s="367"/>
      <c r="V594" s="367"/>
      <c r="W594" s="8"/>
      <c r="X594" s="8"/>
      <c r="Y594" s="8"/>
      <c r="Z594" s="8"/>
      <c r="AA594" s="8"/>
      <c r="AB594" s="8"/>
    </row>
    <row r="595">
      <c r="A595" s="8"/>
      <c r="B595" s="8"/>
      <c r="C595" s="8"/>
      <c r="D595" s="8"/>
      <c r="E595" s="8"/>
      <c r="F595" s="366"/>
      <c r="G595" s="8"/>
      <c r="H595" s="8"/>
      <c r="I595" s="8"/>
      <c r="J595" s="8"/>
      <c r="K595" s="8"/>
      <c r="L595" s="8"/>
      <c r="M595" s="8"/>
      <c r="N595" s="8"/>
      <c r="O595" s="8"/>
      <c r="P595" s="8"/>
      <c r="Q595" s="8"/>
      <c r="R595" s="8"/>
      <c r="S595" s="367"/>
      <c r="T595" s="367"/>
      <c r="U595" s="367"/>
      <c r="V595" s="367"/>
      <c r="W595" s="8"/>
      <c r="X595" s="8"/>
      <c r="Y595" s="8"/>
      <c r="Z595" s="8"/>
      <c r="AA595" s="8"/>
      <c r="AB595" s="8"/>
    </row>
    <row r="596">
      <c r="A596" s="8"/>
      <c r="B596" s="8"/>
      <c r="C596" s="8"/>
      <c r="D596" s="8"/>
      <c r="E596" s="8"/>
      <c r="F596" s="366"/>
      <c r="G596" s="8"/>
      <c r="H596" s="8"/>
      <c r="I596" s="8"/>
      <c r="J596" s="8"/>
      <c r="K596" s="8"/>
      <c r="L596" s="8"/>
      <c r="M596" s="8"/>
      <c r="N596" s="8"/>
      <c r="O596" s="8"/>
      <c r="P596" s="8"/>
      <c r="Q596" s="8"/>
      <c r="R596" s="8"/>
      <c r="S596" s="367"/>
      <c r="T596" s="367"/>
      <c r="U596" s="367"/>
      <c r="V596" s="367"/>
      <c r="W596" s="8"/>
      <c r="X596" s="8"/>
      <c r="Y596" s="8"/>
      <c r="Z596" s="8"/>
      <c r="AA596" s="8"/>
      <c r="AB596" s="8"/>
    </row>
    <row r="597">
      <c r="A597" s="8"/>
      <c r="B597" s="8"/>
      <c r="C597" s="8"/>
      <c r="D597" s="8"/>
      <c r="E597" s="8"/>
      <c r="F597" s="366"/>
      <c r="G597" s="8"/>
      <c r="H597" s="8"/>
      <c r="I597" s="8"/>
      <c r="J597" s="8"/>
      <c r="K597" s="8"/>
      <c r="L597" s="8"/>
      <c r="M597" s="8"/>
      <c r="N597" s="8"/>
      <c r="O597" s="8"/>
      <c r="P597" s="8"/>
      <c r="Q597" s="8"/>
      <c r="R597" s="8"/>
      <c r="S597" s="367"/>
      <c r="T597" s="367"/>
      <c r="U597" s="367"/>
      <c r="V597" s="367"/>
      <c r="W597" s="8"/>
      <c r="X597" s="8"/>
      <c r="Y597" s="8"/>
      <c r="Z597" s="8"/>
      <c r="AA597" s="8"/>
      <c r="AB597" s="8"/>
    </row>
    <row r="598">
      <c r="A598" s="8"/>
      <c r="B598" s="8"/>
      <c r="C598" s="8"/>
      <c r="D598" s="8"/>
      <c r="E598" s="8"/>
      <c r="F598" s="366"/>
      <c r="G598" s="8"/>
      <c r="H598" s="8"/>
      <c r="I598" s="8"/>
      <c r="J598" s="8"/>
      <c r="K598" s="8"/>
      <c r="L598" s="8"/>
      <c r="M598" s="8"/>
      <c r="N598" s="8"/>
      <c r="O598" s="8"/>
      <c r="P598" s="8"/>
      <c r="Q598" s="8"/>
      <c r="R598" s="8"/>
      <c r="S598" s="367"/>
      <c r="T598" s="367"/>
      <c r="U598" s="367"/>
      <c r="V598" s="367"/>
      <c r="W598" s="8"/>
      <c r="X598" s="8"/>
      <c r="Y598" s="8"/>
      <c r="Z598" s="8"/>
      <c r="AA598" s="8"/>
      <c r="AB598" s="8"/>
    </row>
    <row r="599">
      <c r="A599" s="8"/>
      <c r="B599" s="8"/>
      <c r="C599" s="8"/>
      <c r="D599" s="8"/>
      <c r="E599" s="8"/>
      <c r="F599" s="366"/>
      <c r="G599" s="8"/>
      <c r="H599" s="8"/>
      <c r="I599" s="8"/>
      <c r="J599" s="8"/>
      <c r="K599" s="8"/>
      <c r="L599" s="8"/>
      <c r="M599" s="8"/>
      <c r="N599" s="8"/>
      <c r="O599" s="8"/>
      <c r="P599" s="8"/>
      <c r="Q599" s="8"/>
      <c r="R599" s="8"/>
      <c r="S599" s="367"/>
      <c r="T599" s="367"/>
      <c r="U599" s="367"/>
      <c r="V599" s="367"/>
      <c r="W599" s="8"/>
      <c r="X599" s="8"/>
      <c r="Y599" s="8"/>
      <c r="Z599" s="8"/>
      <c r="AA599" s="8"/>
      <c r="AB599" s="8"/>
    </row>
    <row r="600">
      <c r="A600" s="8"/>
      <c r="B600" s="8"/>
      <c r="C600" s="8"/>
      <c r="D600" s="8"/>
      <c r="E600" s="8"/>
      <c r="F600" s="366"/>
      <c r="G600" s="8"/>
      <c r="H600" s="8"/>
      <c r="I600" s="8"/>
      <c r="J600" s="8"/>
      <c r="K600" s="8"/>
      <c r="L600" s="8"/>
      <c r="M600" s="8"/>
      <c r="N600" s="8"/>
      <c r="O600" s="8"/>
      <c r="P600" s="8"/>
      <c r="Q600" s="8"/>
      <c r="R600" s="8"/>
      <c r="S600" s="367"/>
      <c r="T600" s="367"/>
      <c r="U600" s="367"/>
      <c r="V600" s="367"/>
      <c r="W600" s="8"/>
      <c r="X600" s="8"/>
      <c r="Y600" s="8"/>
      <c r="Z600" s="8"/>
      <c r="AA600" s="8"/>
      <c r="AB600" s="8"/>
    </row>
    <row r="601">
      <c r="A601" s="8"/>
      <c r="B601" s="8"/>
      <c r="C601" s="8"/>
      <c r="D601" s="8"/>
      <c r="E601" s="8"/>
      <c r="F601" s="366"/>
      <c r="G601" s="8"/>
      <c r="H601" s="8"/>
      <c r="I601" s="8"/>
      <c r="J601" s="8"/>
      <c r="K601" s="8"/>
      <c r="L601" s="8"/>
      <c r="M601" s="8"/>
      <c r="N601" s="8"/>
      <c r="O601" s="8"/>
      <c r="P601" s="8"/>
      <c r="Q601" s="8"/>
      <c r="R601" s="8"/>
      <c r="S601" s="367"/>
      <c r="T601" s="367"/>
      <c r="U601" s="367"/>
      <c r="V601" s="367"/>
      <c r="W601" s="8"/>
      <c r="X601" s="8"/>
      <c r="Y601" s="8"/>
      <c r="Z601" s="8"/>
      <c r="AA601" s="8"/>
      <c r="AB601" s="8"/>
    </row>
    <row r="602">
      <c r="A602" s="8"/>
      <c r="B602" s="8"/>
      <c r="C602" s="8"/>
      <c r="D602" s="8"/>
      <c r="E602" s="8"/>
      <c r="F602" s="366"/>
      <c r="G602" s="8"/>
      <c r="H602" s="8"/>
      <c r="I602" s="8"/>
      <c r="J602" s="8"/>
      <c r="K602" s="8"/>
      <c r="L602" s="8"/>
      <c r="M602" s="8"/>
      <c r="N602" s="8"/>
      <c r="O602" s="8"/>
      <c r="P602" s="8"/>
      <c r="Q602" s="8"/>
      <c r="R602" s="8"/>
      <c r="S602" s="367"/>
      <c r="T602" s="367"/>
      <c r="U602" s="367"/>
      <c r="V602" s="367"/>
      <c r="W602" s="8"/>
      <c r="X602" s="8"/>
      <c r="Y602" s="8"/>
      <c r="Z602" s="8"/>
      <c r="AA602" s="8"/>
      <c r="AB602" s="8"/>
    </row>
    <row r="603">
      <c r="A603" s="8"/>
      <c r="B603" s="8"/>
      <c r="C603" s="8"/>
      <c r="D603" s="8"/>
      <c r="E603" s="8"/>
      <c r="F603" s="366"/>
      <c r="G603" s="8"/>
      <c r="H603" s="8"/>
      <c r="I603" s="8"/>
      <c r="J603" s="8"/>
      <c r="K603" s="8"/>
      <c r="L603" s="8"/>
      <c r="M603" s="8"/>
      <c r="N603" s="8"/>
      <c r="O603" s="8"/>
      <c r="P603" s="8"/>
      <c r="Q603" s="8"/>
      <c r="R603" s="8"/>
      <c r="S603" s="367"/>
      <c r="T603" s="367"/>
      <c r="U603" s="367"/>
      <c r="V603" s="367"/>
      <c r="W603" s="8"/>
      <c r="X603" s="8"/>
      <c r="Y603" s="8"/>
      <c r="Z603" s="8"/>
      <c r="AA603" s="8"/>
      <c r="AB603" s="8"/>
    </row>
    <row r="604">
      <c r="A604" s="8"/>
      <c r="B604" s="8"/>
      <c r="C604" s="8"/>
      <c r="D604" s="8"/>
      <c r="E604" s="8"/>
      <c r="F604" s="366"/>
      <c r="G604" s="8"/>
      <c r="H604" s="8"/>
      <c r="I604" s="8"/>
      <c r="J604" s="8"/>
      <c r="K604" s="8"/>
      <c r="L604" s="8"/>
      <c r="M604" s="8"/>
      <c r="N604" s="8"/>
      <c r="O604" s="8"/>
      <c r="P604" s="8"/>
      <c r="Q604" s="8"/>
      <c r="R604" s="8"/>
      <c r="S604" s="367"/>
      <c r="T604" s="367"/>
      <c r="U604" s="367"/>
      <c r="V604" s="367"/>
      <c r="W604" s="8"/>
      <c r="X604" s="8"/>
      <c r="Y604" s="8"/>
      <c r="Z604" s="8"/>
      <c r="AA604" s="8"/>
      <c r="AB604" s="8"/>
    </row>
    <row r="605">
      <c r="A605" s="8"/>
      <c r="B605" s="8"/>
      <c r="C605" s="8"/>
      <c r="D605" s="8"/>
      <c r="E605" s="8"/>
      <c r="F605" s="366"/>
      <c r="G605" s="8"/>
      <c r="H605" s="8"/>
      <c r="I605" s="8"/>
      <c r="J605" s="8"/>
      <c r="K605" s="8"/>
      <c r="L605" s="8"/>
      <c r="M605" s="8"/>
      <c r="N605" s="8"/>
      <c r="O605" s="8"/>
      <c r="P605" s="8"/>
      <c r="Q605" s="8"/>
      <c r="R605" s="8"/>
      <c r="S605" s="367"/>
      <c r="T605" s="367"/>
      <c r="U605" s="367"/>
      <c r="V605" s="367"/>
      <c r="W605" s="8"/>
      <c r="X605" s="8"/>
      <c r="Y605" s="8"/>
      <c r="Z605" s="8"/>
      <c r="AA605" s="8"/>
      <c r="AB605" s="8"/>
    </row>
    <row r="606">
      <c r="A606" s="8"/>
      <c r="B606" s="8"/>
      <c r="C606" s="8"/>
      <c r="D606" s="8"/>
      <c r="E606" s="8"/>
      <c r="F606" s="366"/>
      <c r="G606" s="8"/>
      <c r="H606" s="8"/>
      <c r="I606" s="8"/>
      <c r="J606" s="8"/>
      <c r="K606" s="8"/>
      <c r="L606" s="8"/>
      <c r="M606" s="8"/>
      <c r="N606" s="8"/>
      <c r="O606" s="8"/>
      <c r="P606" s="8"/>
      <c r="Q606" s="8"/>
      <c r="R606" s="8"/>
      <c r="S606" s="367"/>
      <c r="T606" s="367"/>
      <c r="U606" s="367"/>
      <c r="V606" s="367"/>
      <c r="W606" s="8"/>
      <c r="X606" s="8"/>
      <c r="Y606" s="8"/>
      <c r="Z606" s="8"/>
      <c r="AA606" s="8"/>
      <c r="AB606" s="8"/>
    </row>
    <row r="607">
      <c r="A607" s="8"/>
      <c r="B607" s="8"/>
      <c r="C607" s="8"/>
      <c r="D607" s="8"/>
      <c r="E607" s="8"/>
      <c r="F607" s="366"/>
      <c r="G607" s="8"/>
      <c r="H607" s="8"/>
      <c r="I607" s="8"/>
      <c r="J607" s="8"/>
      <c r="K607" s="8"/>
      <c r="L607" s="8"/>
      <c r="M607" s="8"/>
      <c r="N607" s="8"/>
      <c r="O607" s="8"/>
      <c r="P607" s="8"/>
      <c r="Q607" s="8"/>
      <c r="R607" s="8"/>
      <c r="S607" s="367"/>
      <c r="T607" s="367"/>
      <c r="U607" s="367"/>
      <c r="V607" s="367"/>
      <c r="W607" s="8"/>
      <c r="X607" s="8"/>
      <c r="Y607" s="8"/>
      <c r="Z607" s="8"/>
      <c r="AA607" s="8"/>
      <c r="AB607" s="8"/>
    </row>
    <row r="608">
      <c r="A608" s="8"/>
      <c r="B608" s="8"/>
      <c r="C608" s="8"/>
      <c r="D608" s="8"/>
      <c r="E608" s="8"/>
      <c r="F608" s="366"/>
      <c r="G608" s="8"/>
      <c r="H608" s="8"/>
      <c r="I608" s="8"/>
      <c r="J608" s="8"/>
      <c r="K608" s="8"/>
      <c r="L608" s="8"/>
      <c r="M608" s="8"/>
      <c r="N608" s="8"/>
      <c r="O608" s="8"/>
      <c r="P608" s="8"/>
      <c r="Q608" s="8"/>
      <c r="R608" s="8"/>
      <c r="S608" s="367"/>
      <c r="T608" s="367"/>
      <c r="U608" s="367"/>
      <c r="V608" s="367"/>
      <c r="W608" s="8"/>
      <c r="X608" s="8"/>
      <c r="Y608" s="8"/>
      <c r="Z608" s="8"/>
      <c r="AA608" s="8"/>
      <c r="AB608" s="8"/>
    </row>
    <row r="609">
      <c r="A609" s="8"/>
      <c r="B609" s="8"/>
      <c r="C609" s="8"/>
      <c r="D609" s="8"/>
      <c r="E609" s="8"/>
      <c r="F609" s="366"/>
      <c r="G609" s="8"/>
      <c r="H609" s="8"/>
      <c r="I609" s="8"/>
      <c r="J609" s="8"/>
      <c r="K609" s="8"/>
      <c r="L609" s="8"/>
      <c r="M609" s="8"/>
      <c r="N609" s="8"/>
      <c r="O609" s="8"/>
      <c r="P609" s="8"/>
      <c r="Q609" s="8"/>
      <c r="R609" s="8"/>
      <c r="S609" s="367"/>
      <c r="T609" s="367"/>
      <c r="U609" s="367"/>
      <c r="V609" s="367"/>
      <c r="W609" s="8"/>
      <c r="X609" s="8"/>
      <c r="Y609" s="8"/>
      <c r="Z609" s="8"/>
      <c r="AA609" s="8"/>
      <c r="AB609" s="8"/>
    </row>
    <row r="610">
      <c r="A610" s="8"/>
      <c r="B610" s="8"/>
      <c r="C610" s="8"/>
      <c r="D610" s="8"/>
      <c r="E610" s="8"/>
      <c r="F610" s="366"/>
      <c r="G610" s="8"/>
      <c r="H610" s="8"/>
      <c r="I610" s="8"/>
      <c r="J610" s="8"/>
      <c r="K610" s="8"/>
      <c r="L610" s="8"/>
      <c r="M610" s="8"/>
      <c r="N610" s="8"/>
      <c r="O610" s="8"/>
      <c r="P610" s="8"/>
      <c r="Q610" s="8"/>
      <c r="R610" s="8"/>
      <c r="S610" s="367"/>
      <c r="T610" s="367"/>
      <c r="U610" s="367"/>
      <c r="V610" s="367"/>
      <c r="W610" s="8"/>
      <c r="X610" s="8"/>
      <c r="Y610" s="8"/>
      <c r="Z610" s="8"/>
      <c r="AA610" s="8"/>
      <c r="AB610" s="8"/>
    </row>
    <row r="611">
      <c r="A611" s="8"/>
      <c r="B611" s="8"/>
      <c r="C611" s="8"/>
      <c r="D611" s="8"/>
      <c r="E611" s="8"/>
      <c r="F611" s="366"/>
      <c r="G611" s="8"/>
      <c r="H611" s="8"/>
      <c r="I611" s="8"/>
      <c r="J611" s="8"/>
      <c r="K611" s="8"/>
      <c r="L611" s="8"/>
      <c r="M611" s="8"/>
      <c r="N611" s="8"/>
      <c r="O611" s="8"/>
      <c r="P611" s="8"/>
      <c r="Q611" s="8"/>
      <c r="R611" s="8"/>
      <c r="S611" s="367"/>
      <c r="T611" s="367"/>
      <c r="U611" s="367"/>
      <c r="V611" s="367"/>
      <c r="W611" s="8"/>
      <c r="X611" s="8"/>
      <c r="Y611" s="8"/>
      <c r="Z611" s="8"/>
      <c r="AA611" s="8"/>
      <c r="AB611" s="8"/>
    </row>
    <row r="612">
      <c r="A612" s="8"/>
      <c r="B612" s="8"/>
      <c r="C612" s="8"/>
      <c r="D612" s="8"/>
      <c r="E612" s="8"/>
      <c r="F612" s="366"/>
      <c r="G612" s="8"/>
      <c r="H612" s="8"/>
      <c r="I612" s="8"/>
      <c r="J612" s="8"/>
      <c r="K612" s="8"/>
      <c r="L612" s="8"/>
      <c r="M612" s="8"/>
      <c r="N612" s="8"/>
      <c r="O612" s="8"/>
      <c r="P612" s="8"/>
      <c r="Q612" s="8"/>
      <c r="R612" s="8"/>
      <c r="S612" s="367"/>
      <c r="T612" s="367"/>
      <c r="U612" s="367"/>
      <c r="V612" s="367"/>
      <c r="W612" s="8"/>
      <c r="X612" s="8"/>
      <c r="Y612" s="8"/>
      <c r="Z612" s="8"/>
      <c r="AA612" s="8"/>
      <c r="AB612" s="8"/>
    </row>
    <row r="613">
      <c r="A613" s="8"/>
      <c r="B613" s="8"/>
      <c r="C613" s="8"/>
      <c r="D613" s="8"/>
      <c r="E613" s="8"/>
      <c r="F613" s="366"/>
      <c r="G613" s="8"/>
      <c r="H613" s="8"/>
      <c r="I613" s="8"/>
      <c r="J613" s="8"/>
      <c r="K613" s="8"/>
      <c r="L613" s="8"/>
      <c r="M613" s="8"/>
      <c r="N613" s="8"/>
      <c r="O613" s="8"/>
      <c r="P613" s="8"/>
      <c r="Q613" s="8"/>
      <c r="R613" s="8"/>
      <c r="S613" s="367"/>
      <c r="T613" s="367"/>
      <c r="U613" s="367"/>
      <c r="V613" s="367"/>
      <c r="W613" s="8"/>
      <c r="X613" s="8"/>
      <c r="Y613" s="8"/>
      <c r="Z613" s="8"/>
      <c r="AA613" s="8"/>
      <c r="AB613" s="8"/>
    </row>
    <row r="614">
      <c r="A614" s="8"/>
      <c r="B614" s="8"/>
      <c r="C614" s="8"/>
      <c r="D614" s="8"/>
      <c r="E614" s="8"/>
      <c r="F614" s="366"/>
      <c r="G614" s="8"/>
      <c r="H614" s="8"/>
      <c r="I614" s="8"/>
      <c r="J614" s="8"/>
      <c r="K614" s="8"/>
      <c r="L614" s="8"/>
      <c r="M614" s="8"/>
      <c r="N614" s="8"/>
      <c r="O614" s="8"/>
      <c r="P614" s="8"/>
      <c r="Q614" s="8"/>
      <c r="R614" s="8"/>
      <c r="S614" s="367"/>
      <c r="T614" s="367"/>
      <c r="U614" s="367"/>
      <c r="V614" s="367"/>
      <c r="W614" s="8"/>
      <c r="X614" s="8"/>
      <c r="Y614" s="8"/>
      <c r="Z614" s="8"/>
      <c r="AA614" s="8"/>
      <c r="AB614" s="8"/>
    </row>
    <row r="615">
      <c r="A615" s="8"/>
      <c r="B615" s="8"/>
      <c r="C615" s="8"/>
      <c r="D615" s="8"/>
      <c r="E615" s="8"/>
      <c r="F615" s="366"/>
      <c r="G615" s="8"/>
      <c r="H615" s="8"/>
      <c r="I615" s="8"/>
      <c r="J615" s="8"/>
      <c r="K615" s="8"/>
      <c r="L615" s="8"/>
      <c r="M615" s="8"/>
      <c r="N615" s="8"/>
      <c r="O615" s="8"/>
      <c r="P615" s="8"/>
      <c r="Q615" s="8"/>
      <c r="R615" s="8"/>
      <c r="S615" s="367"/>
      <c r="T615" s="367"/>
      <c r="U615" s="367"/>
      <c r="V615" s="367"/>
      <c r="W615" s="8"/>
      <c r="X615" s="8"/>
      <c r="Y615" s="8"/>
      <c r="Z615" s="8"/>
      <c r="AA615" s="8"/>
      <c r="AB615" s="8"/>
    </row>
    <row r="616">
      <c r="A616" s="8"/>
      <c r="B616" s="8"/>
      <c r="C616" s="8"/>
      <c r="D616" s="8"/>
      <c r="E616" s="8"/>
      <c r="F616" s="366"/>
      <c r="G616" s="8"/>
      <c r="H616" s="8"/>
      <c r="I616" s="8"/>
      <c r="J616" s="8"/>
      <c r="K616" s="8"/>
      <c r="L616" s="8"/>
      <c r="M616" s="8"/>
      <c r="N616" s="8"/>
      <c r="O616" s="8"/>
      <c r="P616" s="8"/>
      <c r="Q616" s="8"/>
      <c r="R616" s="8"/>
      <c r="S616" s="367"/>
      <c r="T616" s="367"/>
      <c r="U616" s="367"/>
      <c r="V616" s="367"/>
      <c r="W616" s="8"/>
      <c r="X616" s="8"/>
      <c r="Y616" s="8"/>
      <c r="Z616" s="8"/>
      <c r="AA616" s="8"/>
      <c r="AB616" s="8"/>
    </row>
    <row r="617">
      <c r="A617" s="8"/>
      <c r="B617" s="8"/>
      <c r="C617" s="8"/>
      <c r="D617" s="8"/>
      <c r="E617" s="8"/>
      <c r="F617" s="366"/>
      <c r="G617" s="8"/>
      <c r="H617" s="8"/>
      <c r="I617" s="8"/>
      <c r="J617" s="8"/>
      <c r="K617" s="8"/>
      <c r="L617" s="8"/>
      <c r="M617" s="8"/>
      <c r="N617" s="8"/>
      <c r="O617" s="8"/>
      <c r="P617" s="8"/>
      <c r="Q617" s="8"/>
      <c r="R617" s="8"/>
      <c r="S617" s="367"/>
      <c r="T617" s="367"/>
      <c r="U617" s="367"/>
      <c r="V617" s="367"/>
      <c r="W617" s="8"/>
      <c r="X617" s="8"/>
      <c r="Y617" s="8"/>
      <c r="Z617" s="8"/>
      <c r="AA617" s="8"/>
      <c r="AB617" s="8"/>
    </row>
    <row r="618">
      <c r="A618" s="8"/>
      <c r="B618" s="8"/>
      <c r="C618" s="8"/>
      <c r="D618" s="8"/>
      <c r="E618" s="8"/>
      <c r="F618" s="366"/>
      <c r="G618" s="8"/>
      <c r="H618" s="8"/>
      <c r="I618" s="8"/>
      <c r="J618" s="8"/>
      <c r="K618" s="8"/>
      <c r="L618" s="8"/>
      <c r="M618" s="8"/>
      <c r="N618" s="8"/>
      <c r="O618" s="8"/>
      <c r="P618" s="8"/>
      <c r="Q618" s="8"/>
      <c r="R618" s="8"/>
      <c r="S618" s="367"/>
      <c r="T618" s="367"/>
      <c r="U618" s="367"/>
      <c r="V618" s="367"/>
      <c r="W618" s="8"/>
      <c r="X618" s="8"/>
      <c r="Y618" s="8"/>
      <c r="Z618" s="8"/>
      <c r="AA618" s="8"/>
      <c r="AB618" s="8"/>
    </row>
    <row r="619">
      <c r="A619" s="8"/>
      <c r="B619" s="8"/>
      <c r="C619" s="8"/>
      <c r="D619" s="8"/>
      <c r="E619" s="8"/>
      <c r="F619" s="366"/>
      <c r="G619" s="8"/>
      <c r="H619" s="8"/>
      <c r="I619" s="8"/>
      <c r="J619" s="8"/>
      <c r="K619" s="8"/>
      <c r="L619" s="8"/>
      <c r="M619" s="8"/>
      <c r="N619" s="8"/>
      <c r="O619" s="8"/>
      <c r="P619" s="8"/>
      <c r="Q619" s="8"/>
      <c r="R619" s="8"/>
      <c r="S619" s="367"/>
      <c r="T619" s="367"/>
      <c r="U619" s="367"/>
      <c r="V619" s="367"/>
      <c r="W619" s="8"/>
      <c r="X619" s="8"/>
      <c r="Y619" s="8"/>
      <c r="Z619" s="8"/>
      <c r="AA619" s="8"/>
      <c r="AB619" s="8"/>
    </row>
    <row r="620">
      <c r="A620" s="8"/>
      <c r="B620" s="8"/>
      <c r="C620" s="8"/>
      <c r="D620" s="8"/>
      <c r="E620" s="8"/>
      <c r="F620" s="366"/>
      <c r="G620" s="8"/>
      <c r="H620" s="8"/>
      <c r="I620" s="8"/>
      <c r="J620" s="8"/>
      <c r="K620" s="8"/>
      <c r="L620" s="8"/>
      <c r="M620" s="8"/>
      <c r="N620" s="8"/>
      <c r="O620" s="8"/>
      <c r="P620" s="8"/>
      <c r="Q620" s="8"/>
      <c r="R620" s="8"/>
      <c r="S620" s="367"/>
      <c r="T620" s="367"/>
      <c r="U620" s="367"/>
      <c r="V620" s="367"/>
      <c r="W620" s="8"/>
      <c r="X620" s="8"/>
      <c r="Y620" s="8"/>
      <c r="Z620" s="8"/>
      <c r="AA620" s="8"/>
      <c r="AB620" s="8"/>
    </row>
    <row r="621">
      <c r="A621" s="8"/>
      <c r="B621" s="8"/>
      <c r="C621" s="8"/>
      <c r="D621" s="8"/>
      <c r="E621" s="8"/>
      <c r="F621" s="366"/>
      <c r="G621" s="8"/>
      <c r="H621" s="8"/>
      <c r="I621" s="8"/>
      <c r="J621" s="8"/>
      <c r="K621" s="8"/>
      <c r="L621" s="8"/>
      <c r="M621" s="8"/>
      <c r="N621" s="8"/>
      <c r="O621" s="8"/>
      <c r="P621" s="8"/>
      <c r="Q621" s="8"/>
      <c r="R621" s="8"/>
      <c r="S621" s="367"/>
      <c r="T621" s="367"/>
      <c r="U621" s="367"/>
      <c r="V621" s="367"/>
      <c r="W621" s="8"/>
      <c r="X621" s="8"/>
      <c r="Y621" s="8"/>
      <c r="Z621" s="8"/>
      <c r="AA621" s="8"/>
      <c r="AB621" s="8"/>
    </row>
    <row r="622">
      <c r="A622" s="8"/>
      <c r="B622" s="8"/>
      <c r="C622" s="8"/>
      <c r="D622" s="8"/>
      <c r="E622" s="8"/>
      <c r="F622" s="366"/>
      <c r="G622" s="8"/>
      <c r="H622" s="8"/>
      <c r="I622" s="8"/>
      <c r="J622" s="8"/>
      <c r="K622" s="8"/>
      <c r="L622" s="8"/>
      <c r="M622" s="8"/>
      <c r="N622" s="8"/>
      <c r="O622" s="8"/>
      <c r="P622" s="8"/>
      <c r="Q622" s="8"/>
      <c r="R622" s="8"/>
      <c r="S622" s="367"/>
      <c r="T622" s="367"/>
      <c r="U622" s="367"/>
      <c r="V622" s="367"/>
      <c r="W622" s="8"/>
      <c r="X622" s="8"/>
      <c r="Y622" s="8"/>
      <c r="Z622" s="8"/>
      <c r="AA622" s="8"/>
      <c r="AB622" s="8"/>
    </row>
    <row r="623">
      <c r="A623" s="8"/>
      <c r="B623" s="8"/>
      <c r="C623" s="8"/>
      <c r="D623" s="8"/>
      <c r="E623" s="8"/>
      <c r="F623" s="366"/>
      <c r="G623" s="8"/>
      <c r="H623" s="8"/>
      <c r="I623" s="8"/>
      <c r="J623" s="8"/>
      <c r="K623" s="8"/>
      <c r="L623" s="8"/>
      <c r="M623" s="8"/>
      <c r="N623" s="8"/>
      <c r="O623" s="8"/>
      <c r="P623" s="8"/>
      <c r="Q623" s="8"/>
      <c r="R623" s="8"/>
      <c r="S623" s="367"/>
      <c r="T623" s="367"/>
      <c r="U623" s="367"/>
      <c r="V623" s="367"/>
      <c r="W623" s="8"/>
      <c r="X623" s="8"/>
      <c r="Y623" s="8"/>
      <c r="Z623" s="8"/>
      <c r="AA623" s="8"/>
      <c r="AB623" s="8"/>
    </row>
    <row r="624">
      <c r="A624" s="8"/>
      <c r="B624" s="8"/>
      <c r="C624" s="8"/>
      <c r="D624" s="8"/>
      <c r="E624" s="8"/>
      <c r="F624" s="366"/>
      <c r="G624" s="8"/>
      <c r="H624" s="8"/>
      <c r="I624" s="8"/>
      <c r="J624" s="8"/>
      <c r="K624" s="8"/>
      <c r="L624" s="8"/>
      <c r="M624" s="8"/>
      <c r="N624" s="8"/>
      <c r="O624" s="8"/>
      <c r="P624" s="8"/>
      <c r="Q624" s="8"/>
      <c r="R624" s="8"/>
      <c r="S624" s="367"/>
      <c r="T624" s="367"/>
      <c r="U624" s="367"/>
      <c r="V624" s="367"/>
      <c r="W624" s="8"/>
      <c r="X624" s="8"/>
      <c r="Y624" s="8"/>
      <c r="Z624" s="8"/>
      <c r="AA624" s="8"/>
      <c r="AB624" s="8"/>
    </row>
    <row r="625">
      <c r="A625" s="8"/>
      <c r="B625" s="8"/>
      <c r="C625" s="8"/>
      <c r="D625" s="8"/>
      <c r="E625" s="8"/>
      <c r="F625" s="366"/>
      <c r="G625" s="8"/>
      <c r="H625" s="8"/>
      <c r="I625" s="8"/>
      <c r="J625" s="8"/>
      <c r="K625" s="8"/>
      <c r="L625" s="8"/>
      <c r="M625" s="8"/>
      <c r="N625" s="8"/>
      <c r="O625" s="8"/>
      <c r="P625" s="8"/>
      <c r="Q625" s="8"/>
      <c r="R625" s="8"/>
      <c r="S625" s="367"/>
      <c r="T625" s="367"/>
      <c r="U625" s="367"/>
      <c r="V625" s="367"/>
      <c r="W625" s="8"/>
      <c r="X625" s="8"/>
      <c r="Y625" s="8"/>
      <c r="Z625" s="8"/>
      <c r="AA625" s="8"/>
      <c r="AB625" s="8"/>
    </row>
    <row r="626">
      <c r="A626" s="8"/>
      <c r="B626" s="8"/>
      <c r="C626" s="8"/>
      <c r="D626" s="8"/>
      <c r="E626" s="8"/>
      <c r="F626" s="366"/>
      <c r="G626" s="8"/>
      <c r="H626" s="8"/>
      <c r="I626" s="8"/>
      <c r="J626" s="8"/>
      <c r="K626" s="8"/>
      <c r="L626" s="8"/>
      <c r="M626" s="8"/>
      <c r="N626" s="8"/>
      <c r="O626" s="8"/>
      <c r="P626" s="8"/>
      <c r="Q626" s="8"/>
      <c r="R626" s="8"/>
      <c r="S626" s="367"/>
      <c r="T626" s="367"/>
      <c r="U626" s="367"/>
      <c r="V626" s="367"/>
      <c r="W626" s="8"/>
      <c r="X626" s="8"/>
      <c r="Y626" s="8"/>
      <c r="Z626" s="8"/>
      <c r="AA626" s="8"/>
      <c r="AB626" s="8"/>
    </row>
    <row r="627">
      <c r="A627" s="8"/>
      <c r="B627" s="8"/>
      <c r="C627" s="8"/>
      <c r="D627" s="8"/>
      <c r="E627" s="8"/>
      <c r="F627" s="366"/>
      <c r="G627" s="8"/>
      <c r="H627" s="8"/>
      <c r="I627" s="8"/>
      <c r="J627" s="8"/>
      <c r="K627" s="8"/>
      <c r="L627" s="8"/>
      <c r="M627" s="8"/>
      <c r="N627" s="8"/>
      <c r="O627" s="8"/>
      <c r="P627" s="8"/>
      <c r="Q627" s="8"/>
      <c r="R627" s="8"/>
      <c r="S627" s="367"/>
      <c r="T627" s="367"/>
      <c r="U627" s="367"/>
      <c r="V627" s="367"/>
      <c r="W627" s="8"/>
      <c r="X627" s="8"/>
      <c r="Y627" s="8"/>
      <c r="Z627" s="8"/>
      <c r="AA627" s="8"/>
      <c r="AB627" s="8"/>
    </row>
    <row r="628">
      <c r="A628" s="8"/>
      <c r="B628" s="8"/>
      <c r="C628" s="8"/>
      <c r="D628" s="8"/>
      <c r="E628" s="8"/>
      <c r="F628" s="366"/>
      <c r="G628" s="8"/>
      <c r="H628" s="8"/>
      <c r="I628" s="8"/>
      <c r="J628" s="8"/>
      <c r="K628" s="8"/>
      <c r="L628" s="8"/>
      <c r="M628" s="8"/>
      <c r="N628" s="8"/>
      <c r="O628" s="8"/>
      <c r="P628" s="8"/>
      <c r="Q628" s="8"/>
      <c r="R628" s="8"/>
      <c r="S628" s="367"/>
      <c r="T628" s="367"/>
      <c r="U628" s="367"/>
      <c r="V628" s="367"/>
      <c r="W628" s="8"/>
      <c r="X628" s="8"/>
      <c r="Y628" s="8"/>
      <c r="Z628" s="8"/>
      <c r="AA628" s="8"/>
      <c r="AB628" s="8"/>
    </row>
    <row r="629">
      <c r="A629" s="8"/>
      <c r="B629" s="8"/>
      <c r="C629" s="8"/>
      <c r="D629" s="8"/>
      <c r="E629" s="8"/>
      <c r="F629" s="366"/>
      <c r="G629" s="8"/>
      <c r="H629" s="8"/>
      <c r="I629" s="8"/>
      <c r="J629" s="8"/>
      <c r="K629" s="8"/>
      <c r="L629" s="8"/>
      <c r="M629" s="8"/>
      <c r="N629" s="8"/>
      <c r="O629" s="8"/>
      <c r="P629" s="8"/>
      <c r="Q629" s="8"/>
      <c r="R629" s="8"/>
      <c r="S629" s="367"/>
      <c r="T629" s="367"/>
      <c r="U629" s="367"/>
      <c r="V629" s="367"/>
      <c r="W629" s="8"/>
      <c r="X629" s="8"/>
      <c r="Y629" s="8"/>
      <c r="Z629" s="8"/>
      <c r="AA629" s="8"/>
      <c r="AB629" s="8"/>
    </row>
    <row r="630">
      <c r="A630" s="8"/>
      <c r="B630" s="8"/>
      <c r="C630" s="8"/>
      <c r="D630" s="8"/>
      <c r="E630" s="8"/>
      <c r="F630" s="366"/>
      <c r="G630" s="8"/>
      <c r="H630" s="8"/>
      <c r="I630" s="8"/>
      <c r="J630" s="8"/>
      <c r="K630" s="8"/>
      <c r="L630" s="8"/>
      <c r="M630" s="8"/>
      <c r="N630" s="8"/>
      <c r="O630" s="8"/>
      <c r="P630" s="8"/>
      <c r="Q630" s="8"/>
      <c r="R630" s="8"/>
      <c r="S630" s="367"/>
      <c r="T630" s="367"/>
      <c r="U630" s="367"/>
      <c r="V630" s="367"/>
      <c r="W630" s="8"/>
      <c r="X630" s="8"/>
      <c r="Y630" s="8"/>
      <c r="Z630" s="8"/>
      <c r="AA630" s="8"/>
      <c r="AB630" s="8"/>
    </row>
    <row r="631">
      <c r="A631" s="8"/>
      <c r="B631" s="8"/>
      <c r="C631" s="8"/>
      <c r="D631" s="8"/>
      <c r="E631" s="8"/>
      <c r="F631" s="366"/>
      <c r="G631" s="8"/>
      <c r="H631" s="8"/>
      <c r="I631" s="8"/>
      <c r="J631" s="8"/>
      <c r="K631" s="8"/>
      <c r="L631" s="8"/>
      <c r="M631" s="8"/>
      <c r="N631" s="8"/>
      <c r="O631" s="8"/>
      <c r="P631" s="8"/>
      <c r="Q631" s="8"/>
      <c r="R631" s="8"/>
      <c r="S631" s="367"/>
      <c r="T631" s="367"/>
      <c r="U631" s="367"/>
      <c r="V631" s="367"/>
      <c r="W631" s="8"/>
      <c r="X631" s="8"/>
      <c r="Y631" s="8"/>
      <c r="Z631" s="8"/>
      <c r="AA631" s="8"/>
      <c r="AB631" s="8"/>
    </row>
    <row r="632">
      <c r="A632" s="8"/>
      <c r="B632" s="8"/>
      <c r="C632" s="8"/>
      <c r="D632" s="8"/>
      <c r="E632" s="8"/>
      <c r="F632" s="366"/>
      <c r="G632" s="8"/>
      <c r="H632" s="8"/>
      <c r="I632" s="8"/>
      <c r="J632" s="8"/>
      <c r="K632" s="8"/>
      <c r="L632" s="8"/>
      <c r="M632" s="8"/>
      <c r="N632" s="8"/>
      <c r="O632" s="8"/>
      <c r="P632" s="8"/>
      <c r="Q632" s="8"/>
      <c r="R632" s="8"/>
      <c r="S632" s="367"/>
      <c r="T632" s="367"/>
      <c r="U632" s="367"/>
      <c r="V632" s="367"/>
      <c r="W632" s="8"/>
      <c r="X632" s="8"/>
      <c r="Y632" s="8"/>
      <c r="Z632" s="8"/>
      <c r="AA632" s="8"/>
      <c r="AB632" s="8"/>
    </row>
    <row r="633">
      <c r="A633" s="8"/>
      <c r="B633" s="8"/>
      <c r="C633" s="8"/>
      <c r="D633" s="8"/>
      <c r="E633" s="8"/>
      <c r="F633" s="366"/>
      <c r="G633" s="8"/>
      <c r="H633" s="8"/>
      <c r="I633" s="8"/>
      <c r="J633" s="8"/>
      <c r="K633" s="8"/>
      <c r="L633" s="8"/>
      <c r="M633" s="8"/>
      <c r="N633" s="8"/>
      <c r="O633" s="8"/>
      <c r="P633" s="8"/>
      <c r="Q633" s="8"/>
      <c r="R633" s="8"/>
      <c r="S633" s="367"/>
      <c r="T633" s="367"/>
      <c r="U633" s="367"/>
      <c r="V633" s="367"/>
      <c r="W633" s="8"/>
      <c r="X633" s="8"/>
      <c r="Y633" s="8"/>
      <c r="Z633" s="8"/>
      <c r="AA633" s="8"/>
      <c r="AB633" s="8"/>
    </row>
    <row r="634">
      <c r="A634" s="8"/>
      <c r="B634" s="8"/>
      <c r="C634" s="8"/>
      <c r="D634" s="8"/>
      <c r="E634" s="8"/>
      <c r="F634" s="366"/>
      <c r="G634" s="8"/>
      <c r="H634" s="8"/>
      <c r="I634" s="8"/>
      <c r="J634" s="8"/>
      <c r="K634" s="8"/>
      <c r="L634" s="8"/>
      <c r="M634" s="8"/>
      <c r="N634" s="8"/>
      <c r="O634" s="8"/>
      <c r="P634" s="8"/>
      <c r="Q634" s="8"/>
      <c r="R634" s="8"/>
      <c r="S634" s="367"/>
      <c r="T634" s="367"/>
      <c r="U634" s="367"/>
      <c r="V634" s="367"/>
      <c r="W634" s="8"/>
      <c r="X634" s="8"/>
      <c r="Y634" s="8"/>
      <c r="Z634" s="8"/>
      <c r="AA634" s="8"/>
      <c r="AB634" s="8"/>
    </row>
    <row r="635">
      <c r="A635" s="8"/>
      <c r="B635" s="8"/>
      <c r="C635" s="8"/>
      <c r="D635" s="8"/>
      <c r="E635" s="8"/>
      <c r="F635" s="366"/>
      <c r="G635" s="8"/>
      <c r="H635" s="8"/>
      <c r="I635" s="8"/>
      <c r="J635" s="8"/>
      <c r="K635" s="8"/>
      <c r="L635" s="8"/>
      <c r="M635" s="8"/>
      <c r="N635" s="8"/>
      <c r="O635" s="8"/>
      <c r="P635" s="8"/>
      <c r="Q635" s="8"/>
      <c r="R635" s="8"/>
      <c r="S635" s="367"/>
      <c r="T635" s="367"/>
      <c r="U635" s="367"/>
      <c r="V635" s="367"/>
      <c r="W635" s="8"/>
      <c r="X635" s="8"/>
      <c r="Y635" s="8"/>
      <c r="Z635" s="8"/>
      <c r="AA635" s="8"/>
      <c r="AB635" s="8"/>
    </row>
    <row r="636">
      <c r="A636" s="8"/>
      <c r="B636" s="8"/>
      <c r="C636" s="8"/>
      <c r="D636" s="8"/>
      <c r="E636" s="8"/>
      <c r="F636" s="366"/>
      <c r="G636" s="8"/>
      <c r="H636" s="8"/>
      <c r="I636" s="8"/>
      <c r="J636" s="8"/>
      <c r="K636" s="8"/>
      <c r="L636" s="8"/>
      <c r="M636" s="8"/>
      <c r="N636" s="8"/>
      <c r="O636" s="8"/>
      <c r="P636" s="8"/>
      <c r="Q636" s="8"/>
      <c r="R636" s="8"/>
      <c r="S636" s="367"/>
      <c r="T636" s="367"/>
      <c r="U636" s="367"/>
      <c r="V636" s="367"/>
      <c r="W636" s="8"/>
      <c r="X636" s="8"/>
      <c r="Y636" s="8"/>
      <c r="Z636" s="8"/>
      <c r="AA636" s="8"/>
      <c r="AB636" s="8"/>
    </row>
    <row r="637">
      <c r="A637" s="8"/>
      <c r="B637" s="8"/>
      <c r="C637" s="8"/>
      <c r="D637" s="8"/>
      <c r="E637" s="8"/>
      <c r="F637" s="366"/>
      <c r="G637" s="8"/>
      <c r="H637" s="8"/>
      <c r="I637" s="8"/>
      <c r="J637" s="8"/>
      <c r="K637" s="8"/>
      <c r="L637" s="8"/>
      <c r="M637" s="8"/>
      <c r="N637" s="8"/>
      <c r="O637" s="8"/>
      <c r="P637" s="8"/>
      <c r="Q637" s="8"/>
      <c r="R637" s="8"/>
      <c r="S637" s="367"/>
      <c r="T637" s="367"/>
      <c r="U637" s="367"/>
      <c r="V637" s="367"/>
      <c r="W637" s="8"/>
      <c r="X637" s="8"/>
      <c r="Y637" s="8"/>
      <c r="Z637" s="8"/>
      <c r="AA637" s="8"/>
      <c r="AB637" s="8"/>
    </row>
    <row r="638">
      <c r="A638" s="8"/>
      <c r="B638" s="8"/>
      <c r="C638" s="8"/>
      <c r="D638" s="8"/>
      <c r="E638" s="8"/>
      <c r="F638" s="366"/>
      <c r="G638" s="8"/>
      <c r="H638" s="8"/>
      <c r="I638" s="8"/>
      <c r="J638" s="8"/>
      <c r="K638" s="8"/>
      <c r="L638" s="8"/>
      <c r="M638" s="8"/>
      <c r="N638" s="8"/>
      <c r="O638" s="8"/>
      <c r="P638" s="8"/>
      <c r="Q638" s="8"/>
      <c r="R638" s="8"/>
      <c r="S638" s="367"/>
      <c r="T638" s="367"/>
      <c r="U638" s="367"/>
      <c r="V638" s="367"/>
      <c r="W638" s="8"/>
      <c r="X638" s="8"/>
      <c r="Y638" s="8"/>
      <c r="Z638" s="8"/>
      <c r="AA638" s="8"/>
      <c r="AB638" s="8"/>
    </row>
    <row r="639">
      <c r="A639" s="8"/>
      <c r="B639" s="8"/>
      <c r="C639" s="8"/>
      <c r="D639" s="8"/>
      <c r="E639" s="8"/>
      <c r="F639" s="366"/>
      <c r="G639" s="8"/>
      <c r="H639" s="8"/>
      <c r="I639" s="8"/>
      <c r="J639" s="8"/>
      <c r="K639" s="8"/>
      <c r="L639" s="8"/>
      <c r="M639" s="8"/>
      <c r="N639" s="8"/>
      <c r="O639" s="8"/>
      <c r="P639" s="8"/>
      <c r="Q639" s="8"/>
      <c r="R639" s="8"/>
      <c r="S639" s="367"/>
      <c r="T639" s="367"/>
      <c r="U639" s="367"/>
      <c r="V639" s="367"/>
      <c r="W639" s="8"/>
      <c r="X639" s="8"/>
      <c r="Y639" s="8"/>
      <c r="Z639" s="8"/>
      <c r="AA639" s="8"/>
      <c r="AB639" s="8"/>
    </row>
    <row r="640">
      <c r="A640" s="8"/>
      <c r="B640" s="8"/>
      <c r="C640" s="8"/>
      <c r="D640" s="8"/>
      <c r="E640" s="8"/>
      <c r="F640" s="366"/>
      <c r="G640" s="8"/>
      <c r="H640" s="8"/>
      <c r="I640" s="8"/>
      <c r="J640" s="8"/>
      <c r="K640" s="8"/>
      <c r="L640" s="8"/>
      <c r="M640" s="8"/>
      <c r="N640" s="8"/>
      <c r="O640" s="8"/>
      <c r="P640" s="8"/>
      <c r="Q640" s="8"/>
      <c r="R640" s="8"/>
      <c r="S640" s="367"/>
      <c r="T640" s="367"/>
      <c r="U640" s="367"/>
      <c r="V640" s="367"/>
      <c r="W640" s="8"/>
      <c r="X640" s="8"/>
      <c r="Y640" s="8"/>
      <c r="Z640" s="8"/>
      <c r="AA640" s="8"/>
      <c r="AB640" s="8"/>
    </row>
    <row r="641">
      <c r="A641" s="8"/>
      <c r="B641" s="8"/>
      <c r="C641" s="8"/>
      <c r="D641" s="8"/>
      <c r="E641" s="8"/>
      <c r="F641" s="366"/>
      <c r="G641" s="8"/>
      <c r="H641" s="8"/>
      <c r="I641" s="8"/>
      <c r="J641" s="8"/>
      <c r="K641" s="8"/>
      <c r="L641" s="8"/>
      <c r="M641" s="8"/>
      <c r="N641" s="8"/>
      <c r="O641" s="8"/>
      <c r="P641" s="8"/>
      <c r="Q641" s="8"/>
      <c r="R641" s="8"/>
      <c r="S641" s="367"/>
      <c r="T641" s="367"/>
      <c r="U641" s="367"/>
      <c r="V641" s="367"/>
      <c r="W641" s="8"/>
      <c r="X641" s="8"/>
      <c r="Y641" s="8"/>
      <c r="Z641" s="8"/>
      <c r="AA641" s="8"/>
      <c r="AB641" s="8"/>
    </row>
    <row r="642">
      <c r="A642" s="8"/>
      <c r="B642" s="8"/>
      <c r="C642" s="8"/>
      <c r="D642" s="8"/>
      <c r="E642" s="8"/>
      <c r="F642" s="366"/>
      <c r="G642" s="8"/>
      <c r="H642" s="8"/>
      <c r="I642" s="8"/>
      <c r="J642" s="8"/>
      <c r="K642" s="8"/>
      <c r="L642" s="8"/>
      <c r="M642" s="8"/>
      <c r="N642" s="8"/>
      <c r="O642" s="8"/>
      <c r="P642" s="8"/>
      <c r="Q642" s="8"/>
      <c r="R642" s="8"/>
      <c r="S642" s="367"/>
      <c r="T642" s="367"/>
      <c r="U642" s="367"/>
      <c r="V642" s="367"/>
      <c r="W642" s="8"/>
      <c r="X642" s="8"/>
      <c r="Y642" s="8"/>
      <c r="Z642" s="8"/>
      <c r="AA642" s="8"/>
      <c r="AB642" s="8"/>
    </row>
    <row r="643">
      <c r="A643" s="8"/>
      <c r="B643" s="8"/>
      <c r="C643" s="8"/>
      <c r="D643" s="8"/>
      <c r="E643" s="8"/>
      <c r="F643" s="366"/>
      <c r="G643" s="8"/>
      <c r="H643" s="8"/>
      <c r="I643" s="8"/>
      <c r="J643" s="8"/>
      <c r="K643" s="8"/>
      <c r="L643" s="8"/>
      <c r="M643" s="8"/>
      <c r="N643" s="8"/>
      <c r="O643" s="8"/>
      <c r="P643" s="8"/>
      <c r="Q643" s="8"/>
      <c r="R643" s="8"/>
      <c r="S643" s="367"/>
      <c r="T643" s="367"/>
      <c r="U643" s="367"/>
      <c r="V643" s="367"/>
      <c r="W643" s="8"/>
      <c r="X643" s="8"/>
      <c r="Y643" s="8"/>
      <c r="Z643" s="8"/>
      <c r="AA643" s="8"/>
      <c r="AB643" s="8"/>
    </row>
    <row r="644">
      <c r="A644" s="8"/>
      <c r="B644" s="8"/>
      <c r="C644" s="8"/>
      <c r="D644" s="8"/>
      <c r="E644" s="8"/>
      <c r="F644" s="366"/>
      <c r="G644" s="8"/>
      <c r="H644" s="8"/>
      <c r="I644" s="8"/>
      <c r="J644" s="8"/>
      <c r="K644" s="8"/>
      <c r="L644" s="8"/>
      <c r="M644" s="8"/>
      <c r="N644" s="8"/>
      <c r="O644" s="8"/>
      <c r="P644" s="8"/>
      <c r="Q644" s="8"/>
      <c r="R644" s="8"/>
      <c r="S644" s="367"/>
      <c r="T644" s="367"/>
      <c r="U644" s="367"/>
      <c r="V644" s="367"/>
      <c r="W644" s="8"/>
      <c r="X644" s="8"/>
      <c r="Y644" s="8"/>
      <c r="Z644" s="8"/>
      <c r="AA644" s="8"/>
      <c r="AB644" s="8"/>
    </row>
    <row r="645">
      <c r="A645" s="8"/>
      <c r="B645" s="8"/>
      <c r="C645" s="8"/>
      <c r="D645" s="8"/>
      <c r="E645" s="8"/>
      <c r="F645" s="366"/>
      <c r="G645" s="8"/>
      <c r="H645" s="8"/>
      <c r="I645" s="8"/>
      <c r="J645" s="8"/>
      <c r="K645" s="8"/>
      <c r="L645" s="8"/>
      <c r="M645" s="8"/>
      <c r="N645" s="8"/>
      <c r="O645" s="8"/>
      <c r="P645" s="8"/>
      <c r="Q645" s="8"/>
      <c r="R645" s="8"/>
      <c r="S645" s="367"/>
      <c r="T645" s="367"/>
      <c r="U645" s="367"/>
      <c r="V645" s="367"/>
      <c r="W645" s="8"/>
      <c r="X645" s="8"/>
      <c r="Y645" s="8"/>
      <c r="Z645" s="8"/>
      <c r="AA645" s="8"/>
      <c r="AB645" s="8"/>
    </row>
    <row r="646">
      <c r="A646" s="8"/>
      <c r="B646" s="8"/>
      <c r="C646" s="8"/>
      <c r="D646" s="8"/>
      <c r="E646" s="8"/>
      <c r="F646" s="366"/>
      <c r="G646" s="8"/>
      <c r="H646" s="8"/>
      <c r="I646" s="8"/>
      <c r="J646" s="8"/>
      <c r="K646" s="8"/>
      <c r="L646" s="8"/>
      <c r="M646" s="8"/>
      <c r="N646" s="8"/>
      <c r="O646" s="8"/>
      <c r="P646" s="8"/>
      <c r="Q646" s="8"/>
      <c r="R646" s="8"/>
      <c r="S646" s="367"/>
      <c r="T646" s="367"/>
      <c r="U646" s="367"/>
      <c r="V646" s="367"/>
      <c r="W646" s="8"/>
      <c r="X646" s="8"/>
      <c r="Y646" s="8"/>
      <c r="Z646" s="8"/>
      <c r="AA646" s="8"/>
      <c r="AB646" s="8"/>
    </row>
    <row r="647">
      <c r="A647" s="8"/>
      <c r="B647" s="8"/>
      <c r="C647" s="8"/>
      <c r="D647" s="8"/>
      <c r="E647" s="8"/>
      <c r="F647" s="366"/>
      <c r="G647" s="8"/>
      <c r="H647" s="8"/>
      <c r="I647" s="8"/>
      <c r="J647" s="8"/>
      <c r="K647" s="8"/>
      <c r="L647" s="8"/>
      <c r="M647" s="8"/>
      <c r="N647" s="8"/>
      <c r="O647" s="8"/>
      <c r="P647" s="8"/>
      <c r="Q647" s="8"/>
      <c r="R647" s="8"/>
      <c r="S647" s="367"/>
      <c r="T647" s="367"/>
      <c r="U647" s="367"/>
      <c r="V647" s="367"/>
      <c r="W647" s="8"/>
      <c r="X647" s="8"/>
      <c r="Y647" s="8"/>
      <c r="Z647" s="8"/>
      <c r="AA647" s="8"/>
      <c r="AB647" s="8"/>
    </row>
    <row r="648">
      <c r="A648" s="8"/>
      <c r="B648" s="8"/>
      <c r="C648" s="8"/>
      <c r="D648" s="8"/>
      <c r="E648" s="8"/>
      <c r="F648" s="366"/>
      <c r="G648" s="8"/>
      <c r="H648" s="8"/>
      <c r="I648" s="8"/>
      <c r="J648" s="8"/>
      <c r="K648" s="8"/>
      <c r="L648" s="8"/>
      <c r="M648" s="8"/>
      <c r="N648" s="8"/>
      <c r="O648" s="8"/>
      <c r="P648" s="8"/>
      <c r="Q648" s="8"/>
      <c r="R648" s="8"/>
      <c r="S648" s="367"/>
      <c r="T648" s="367"/>
      <c r="U648" s="367"/>
      <c r="V648" s="367"/>
      <c r="W648" s="8"/>
      <c r="X648" s="8"/>
      <c r="Y648" s="8"/>
      <c r="Z648" s="8"/>
      <c r="AA648" s="8"/>
      <c r="AB648" s="8"/>
    </row>
    <row r="649">
      <c r="A649" s="8"/>
      <c r="B649" s="8"/>
      <c r="C649" s="8"/>
      <c r="D649" s="8"/>
      <c r="E649" s="8"/>
      <c r="F649" s="366"/>
      <c r="G649" s="8"/>
      <c r="H649" s="8"/>
      <c r="I649" s="8"/>
      <c r="J649" s="8"/>
      <c r="K649" s="8"/>
      <c r="L649" s="8"/>
      <c r="M649" s="8"/>
      <c r="N649" s="8"/>
      <c r="O649" s="8"/>
      <c r="P649" s="8"/>
      <c r="Q649" s="8"/>
      <c r="R649" s="8"/>
      <c r="S649" s="367"/>
      <c r="T649" s="367"/>
      <c r="U649" s="367"/>
      <c r="V649" s="367"/>
      <c r="W649" s="8"/>
      <c r="X649" s="8"/>
      <c r="Y649" s="8"/>
      <c r="Z649" s="8"/>
      <c r="AA649" s="8"/>
      <c r="AB649" s="8"/>
    </row>
    <row r="650">
      <c r="A650" s="8"/>
      <c r="B650" s="8"/>
      <c r="C650" s="8"/>
      <c r="D650" s="8"/>
      <c r="E650" s="8"/>
      <c r="F650" s="366"/>
      <c r="G650" s="8"/>
      <c r="H650" s="8"/>
      <c r="I650" s="8"/>
      <c r="J650" s="8"/>
      <c r="K650" s="8"/>
      <c r="L650" s="8"/>
      <c r="M650" s="8"/>
      <c r="N650" s="8"/>
      <c r="O650" s="8"/>
      <c r="P650" s="8"/>
      <c r="Q650" s="8"/>
      <c r="R650" s="8"/>
      <c r="S650" s="367"/>
      <c r="T650" s="367"/>
      <c r="U650" s="367"/>
      <c r="V650" s="367"/>
      <c r="W650" s="8"/>
      <c r="X650" s="8"/>
      <c r="Y650" s="8"/>
      <c r="Z650" s="8"/>
      <c r="AA650" s="8"/>
      <c r="AB650" s="8"/>
    </row>
    <row r="651">
      <c r="A651" s="8"/>
      <c r="B651" s="8"/>
      <c r="C651" s="8"/>
      <c r="D651" s="8"/>
      <c r="E651" s="8"/>
      <c r="F651" s="366"/>
      <c r="G651" s="8"/>
      <c r="H651" s="8"/>
      <c r="I651" s="8"/>
      <c r="J651" s="8"/>
      <c r="K651" s="8"/>
      <c r="L651" s="8"/>
      <c r="M651" s="8"/>
      <c r="N651" s="8"/>
      <c r="O651" s="8"/>
      <c r="P651" s="8"/>
      <c r="Q651" s="8"/>
      <c r="R651" s="8"/>
      <c r="S651" s="367"/>
      <c r="T651" s="367"/>
      <c r="U651" s="367"/>
      <c r="V651" s="367"/>
      <c r="W651" s="8"/>
      <c r="X651" s="8"/>
      <c r="Y651" s="8"/>
      <c r="Z651" s="8"/>
      <c r="AA651" s="8"/>
      <c r="AB651" s="8"/>
    </row>
    <row r="652">
      <c r="A652" s="8"/>
      <c r="B652" s="8"/>
      <c r="C652" s="8"/>
      <c r="D652" s="8"/>
      <c r="E652" s="8"/>
      <c r="F652" s="366"/>
      <c r="G652" s="8"/>
      <c r="H652" s="8"/>
      <c r="I652" s="8"/>
      <c r="J652" s="8"/>
      <c r="K652" s="8"/>
      <c r="L652" s="8"/>
      <c r="M652" s="8"/>
      <c r="N652" s="8"/>
      <c r="O652" s="8"/>
      <c r="P652" s="8"/>
      <c r="Q652" s="8"/>
      <c r="R652" s="8"/>
      <c r="S652" s="367"/>
      <c r="T652" s="367"/>
      <c r="U652" s="367"/>
      <c r="V652" s="367"/>
      <c r="W652" s="8"/>
      <c r="X652" s="8"/>
      <c r="Y652" s="8"/>
      <c r="Z652" s="8"/>
      <c r="AA652" s="8"/>
      <c r="AB652" s="8"/>
    </row>
    <row r="653">
      <c r="A653" s="8"/>
      <c r="B653" s="8"/>
      <c r="C653" s="8"/>
      <c r="D653" s="8"/>
      <c r="E653" s="8"/>
      <c r="F653" s="366"/>
      <c r="G653" s="8"/>
      <c r="H653" s="8"/>
      <c r="I653" s="8"/>
      <c r="J653" s="8"/>
      <c r="K653" s="8"/>
      <c r="L653" s="8"/>
      <c r="M653" s="8"/>
      <c r="N653" s="8"/>
      <c r="O653" s="8"/>
      <c r="P653" s="8"/>
      <c r="Q653" s="8"/>
      <c r="R653" s="8"/>
      <c r="S653" s="367"/>
      <c r="T653" s="367"/>
      <c r="U653" s="367"/>
      <c r="V653" s="367"/>
      <c r="W653" s="8"/>
      <c r="X653" s="8"/>
      <c r="Y653" s="8"/>
      <c r="Z653" s="8"/>
      <c r="AA653" s="8"/>
      <c r="AB653" s="8"/>
    </row>
    <row r="654">
      <c r="A654" s="8"/>
      <c r="B654" s="8"/>
      <c r="C654" s="8"/>
      <c r="D654" s="8"/>
      <c r="E654" s="8"/>
      <c r="F654" s="366"/>
      <c r="G654" s="8"/>
      <c r="H654" s="8"/>
      <c r="I654" s="8"/>
      <c r="J654" s="8"/>
      <c r="K654" s="8"/>
      <c r="L654" s="8"/>
      <c r="M654" s="8"/>
      <c r="N654" s="8"/>
      <c r="O654" s="8"/>
      <c r="P654" s="8"/>
      <c r="Q654" s="8"/>
      <c r="R654" s="8"/>
      <c r="S654" s="367"/>
      <c r="T654" s="367"/>
      <c r="U654" s="367"/>
      <c r="V654" s="367"/>
      <c r="W654" s="8"/>
      <c r="X654" s="8"/>
      <c r="Y654" s="8"/>
      <c r="Z654" s="8"/>
      <c r="AA654" s="8"/>
      <c r="AB654" s="8"/>
    </row>
    <row r="655">
      <c r="A655" s="8"/>
      <c r="B655" s="8"/>
      <c r="C655" s="8"/>
      <c r="D655" s="8"/>
      <c r="E655" s="8"/>
      <c r="F655" s="366"/>
      <c r="G655" s="8"/>
      <c r="H655" s="8"/>
      <c r="I655" s="8"/>
      <c r="J655" s="8"/>
      <c r="K655" s="8"/>
      <c r="L655" s="8"/>
      <c r="M655" s="8"/>
      <c r="N655" s="8"/>
      <c r="O655" s="8"/>
      <c r="P655" s="8"/>
      <c r="Q655" s="8"/>
      <c r="R655" s="8"/>
      <c r="S655" s="367"/>
      <c r="T655" s="367"/>
      <c r="U655" s="367"/>
      <c r="V655" s="367"/>
      <c r="W655" s="8"/>
      <c r="X655" s="8"/>
      <c r="Y655" s="8"/>
      <c r="Z655" s="8"/>
      <c r="AA655" s="8"/>
      <c r="AB655" s="8"/>
    </row>
    <row r="656">
      <c r="A656" s="8"/>
      <c r="B656" s="8"/>
      <c r="C656" s="8"/>
      <c r="D656" s="8"/>
      <c r="E656" s="8"/>
      <c r="F656" s="366"/>
      <c r="G656" s="8"/>
      <c r="H656" s="8"/>
      <c r="I656" s="8"/>
      <c r="J656" s="8"/>
      <c r="K656" s="8"/>
      <c r="L656" s="8"/>
      <c r="M656" s="8"/>
      <c r="N656" s="8"/>
      <c r="O656" s="8"/>
      <c r="P656" s="8"/>
      <c r="Q656" s="8"/>
      <c r="R656" s="8"/>
      <c r="S656" s="367"/>
      <c r="T656" s="367"/>
      <c r="U656" s="367"/>
      <c r="V656" s="367"/>
      <c r="W656" s="8"/>
      <c r="X656" s="8"/>
      <c r="Y656" s="8"/>
      <c r="Z656" s="8"/>
      <c r="AA656" s="8"/>
      <c r="AB656" s="8"/>
    </row>
    <row r="657">
      <c r="A657" s="8"/>
      <c r="B657" s="8"/>
      <c r="C657" s="8"/>
      <c r="D657" s="8"/>
      <c r="E657" s="8"/>
      <c r="F657" s="366"/>
      <c r="G657" s="8"/>
      <c r="H657" s="8"/>
      <c r="I657" s="8"/>
      <c r="J657" s="8"/>
      <c r="K657" s="8"/>
      <c r="L657" s="8"/>
      <c r="M657" s="8"/>
      <c r="N657" s="8"/>
      <c r="O657" s="8"/>
      <c r="P657" s="8"/>
      <c r="Q657" s="8"/>
      <c r="R657" s="8"/>
      <c r="S657" s="367"/>
      <c r="T657" s="367"/>
      <c r="U657" s="367"/>
      <c r="V657" s="367"/>
      <c r="W657" s="8"/>
      <c r="X657" s="8"/>
      <c r="Y657" s="8"/>
      <c r="Z657" s="8"/>
      <c r="AA657" s="8"/>
      <c r="AB657" s="8"/>
    </row>
    <row r="658">
      <c r="A658" s="8"/>
      <c r="B658" s="8"/>
      <c r="C658" s="8"/>
      <c r="D658" s="8"/>
      <c r="E658" s="8"/>
      <c r="F658" s="366"/>
      <c r="G658" s="8"/>
      <c r="H658" s="8"/>
      <c r="I658" s="8"/>
      <c r="J658" s="8"/>
      <c r="K658" s="8"/>
      <c r="L658" s="8"/>
      <c r="M658" s="8"/>
      <c r="N658" s="8"/>
      <c r="O658" s="8"/>
      <c r="P658" s="8"/>
      <c r="Q658" s="8"/>
      <c r="R658" s="8"/>
      <c r="S658" s="367"/>
      <c r="T658" s="367"/>
      <c r="U658" s="367"/>
      <c r="V658" s="367"/>
      <c r="W658" s="8"/>
      <c r="X658" s="8"/>
      <c r="Y658" s="8"/>
      <c r="Z658" s="8"/>
      <c r="AA658" s="8"/>
      <c r="AB658" s="8"/>
    </row>
    <row r="659">
      <c r="A659" s="8"/>
      <c r="B659" s="8"/>
      <c r="C659" s="8"/>
      <c r="D659" s="8"/>
      <c r="E659" s="8"/>
      <c r="F659" s="366"/>
      <c r="G659" s="8"/>
      <c r="H659" s="8"/>
      <c r="I659" s="8"/>
      <c r="J659" s="8"/>
      <c r="K659" s="8"/>
      <c r="L659" s="8"/>
      <c r="M659" s="8"/>
      <c r="N659" s="8"/>
      <c r="O659" s="8"/>
      <c r="P659" s="8"/>
      <c r="Q659" s="8"/>
      <c r="R659" s="8"/>
      <c r="S659" s="367"/>
      <c r="T659" s="367"/>
      <c r="U659" s="367"/>
      <c r="V659" s="367"/>
      <c r="W659" s="8"/>
      <c r="X659" s="8"/>
      <c r="Y659" s="8"/>
      <c r="Z659" s="8"/>
      <c r="AA659" s="8"/>
      <c r="AB659" s="8"/>
    </row>
    <row r="660">
      <c r="A660" s="8"/>
      <c r="B660" s="8"/>
      <c r="C660" s="8"/>
      <c r="D660" s="8"/>
      <c r="E660" s="8"/>
      <c r="F660" s="366"/>
      <c r="G660" s="8"/>
      <c r="H660" s="8"/>
      <c r="I660" s="8"/>
      <c r="J660" s="8"/>
      <c r="K660" s="8"/>
      <c r="L660" s="8"/>
      <c r="M660" s="8"/>
      <c r="N660" s="8"/>
      <c r="O660" s="8"/>
      <c r="P660" s="8"/>
      <c r="Q660" s="8"/>
      <c r="R660" s="8"/>
      <c r="S660" s="367"/>
      <c r="T660" s="367"/>
      <c r="U660" s="367"/>
      <c r="V660" s="367"/>
      <c r="W660" s="8"/>
      <c r="X660" s="8"/>
      <c r="Y660" s="8"/>
      <c r="Z660" s="8"/>
      <c r="AA660" s="8"/>
      <c r="AB660" s="8"/>
    </row>
    <row r="661">
      <c r="A661" s="8"/>
      <c r="B661" s="8"/>
      <c r="C661" s="8"/>
      <c r="D661" s="8"/>
      <c r="E661" s="8"/>
      <c r="F661" s="366"/>
      <c r="G661" s="8"/>
      <c r="H661" s="8"/>
      <c r="I661" s="8"/>
      <c r="J661" s="8"/>
      <c r="K661" s="8"/>
      <c r="L661" s="8"/>
      <c r="M661" s="8"/>
      <c r="N661" s="8"/>
      <c r="O661" s="8"/>
      <c r="P661" s="8"/>
      <c r="Q661" s="8"/>
      <c r="R661" s="8"/>
      <c r="S661" s="367"/>
      <c r="T661" s="367"/>
      <c r="U661" s="367"/>
      <c r="V661" s="367"/>
      <c r="W661" s="8"/>
      <c r="X661" s="8"/>
      <c r="Y661" s="8"/>
      <c r="Z661" s="8"/>
      <c r="AA661" s="8"/>
      <c r="AB661" s="8"/>
    </row>
    <row r="662">
      <c r="A662" s="8"/>
      <c r="B662" s="8"/>
      <c r="C662" s="8"/>
      <c r="D662" s="8"/>
      <c r="E662" s="8"/>
      <c r="F662" s="366"/>
      <c r="G662" s="8"/>
      <c r="H662" s="8"/>
      <c r="I662" s="8"/>
      <c r="J662" s="8"/>
      <c r="K662" s="8"/>
      <c r="L662" s="8"/>
      <c r="M662" s="8"/>
      <c r="N662" s="8"/>
      <c r="O662" s="8"/>
      <c r="P662" s="8"/>
      <c r="Q662" s="8"/>
      <c r="R662" s="8"/>
      <c r="S662" s="367"/>
      <c r="T662" s="367"/>
      <c r="U662" s="367"/>
      <c r="V662" s="367"/>
      <c r="W662" s="8"/>
      <c r="X662" s="8"/>
      <c r="Y662" s="8"/>
      <c r="Z662" s="8"/>
      <c r="AA662" s="8"/>
      <c r="AB662" s="8"/>
    </row>
    <row r="663">
      <c r="A663" s="8"/>
      <c r="B663" s="8"/>
      <c r="C663" s="8"/>
      <c r="D663" s="8"/>
      <c r="E663" s="8"/>
      <c r="F663" s="366"/>
      <c r="G663" s="8"/>
      <c r="H663" s="8"/>
      <c r="I663" s="8"/>
      <c r="J663" s="8"/>
      <c r="K663" s="8"/>
      <c r="L663" s="8"/>
      <c r="M663" s="8"/>
      <c r="N663" s="8"/>
      <c r="O663" s="8"/>
      <c r="P663" s="8"/>
      <c r="Q663" s="8"/>
      <c r="R663" s="8"/>
      <c r="S663" s="367"/>
      <c r="T663" s="367"/>
      <c r="U663" s="367"/>
      <c r="V663" s="367"/>
      <c r="W663" s="8"/>
      <c r="X663" s="8"/>
      <c r="Y663" s="8"/>
      <c r="Z663" s="8"/>
      <c r="AA663" s="8"/>
      <c r="AB663" s="8"/>
    </row>
    <row r="664">
      <c r="A664" s="8"/>
      <c r="B664" s="8"/>
      <c r="C664" s="8"/>
      <c r="D664" s="8"/>
      <c r="E664" s="8"/>
      <c r="F664" s="366"/>
      <c r="G664" s="8"/>
      <c r="H664" s="8"/>
      <c r="I664" s="8"/>
      <c r="J664" s="8"/>
      <c r="K664" s="8"/>
      <c r="L664" s="8"/>
      <c r="M664" s="8"/>
      <c r="N664" s="8"/>
      <c r="O664" s="8"/>
      <c r="P664" s="8"/>
      <c r="Q664" s="8"/>
      <c r="R664" s="8"/>
      <c r="S664" s="367"/>
      <c r="T664" s="367"/>
      <c r="U664" s="367"/>
      <c r="V664" s="367"/>
      <c r="W664" s="8"/>
      <c r="X664" s="8"/>
      <c r="Y664" s="8"/>
      <c r="Z664" s="8"/>
      <c r="AA664" s="8"/>
      <c r="AB664" s="8"/>
    </row>
    <row r="665">
      <c r="A665" s="8"/>
      <c r="B665" s="8"/>
      <c r="C665" s="8"/>
      <c r="D665" s="8"/>
      <c r="E665" s="8"/>
      <c r="F665" s="366"/>
      <c r="G665" s="8"/>
      <c r="H665" s="8"/>
      <c r="I665" s="8"/>
      <c r="J665" s="8"/>
      <c r="K665" s="8"/>
      <c r="L665" s="8"/>
      <c r="M665" s="8"/>
      <c r="N665" s="8"/>
      <c r="O665" s="8"/>
      <c r="P665" s="8"/>
      <c r="Q665" s="8"/>
      <c r="R665" s="8"/>
      <c r="S665" s="367"/>
      <c r="T665" s="367"/>
      <c r="U665" s="367"/>
      <c r="V665" s="367"/>
      <c r="W665" s="8"/>
      <c r="X665" s="8"/>
      <c r="Y665" s="8"/>
      <c r="Z665" s="8"/>
      <c r="AA665" s="8"/>
      <c r="AB665" s="8"/>
    </row>
    <row r="666">
      <c r="A666" s="8"/>
      <c r="B666" s="8"/>
      <c r="C666" s="8"/>
      <c r="D666" s="8"/>
      <c r="E666" s="8"/>
      <c r="F666" s="366"/>
      <c r="G666" s="8"/>
      <c r="H666" s="8"/>
      <c r="I666" s="8"/>
      <c r="J666" s="8"/>
      <c r="K666" s="8"/>
      <c r="L666" s="8"/>
      <c r="M666" s="8"/>
      <c r="N666" s="8"/>
      <c r="O666" s="8"/>
      <c r="P666" s="8"/>
      <c r="Q666" s="8"/>
      <c r="R666" s="8"/>
      <c r="S666" s="367"/>
      <c r="T666" s="367"/>
      <c r="U666" s="367"/>
      <c r="V666" s="367"/>
      <c r="W666" s="8"/>
      <c r="X666" s="8"/>
      <c r="Y666" s="8"/>
      <c r="Z666" s="8"/>
      <c r="AA666" s="8"/>
      <c r="AB666" s="8"/>
    </row>
    <row r="667">
      <c r="A667" s="8"/>
      <c r="B667" s="8"/>
      <c r="C667" s="8"/>
      <c r="D667" s="8"/>
      <c r="E667" s="8"/>
      <c r="F667" s="366"/>
      <c r="G667" s="8"/>
      <c r="H667" s="8"/>
      <c r="I667" s="8"/>
      <c r="J667" s="8"/>
      <c r="K667" s="8"/>
      <c r="L667" s="8"/>
      <c r="M667" s="8"/>
      <c r="N667" s="8"/>
      <c r="O667" s="8"/>
      <c r="P667" s="8"/>
      <c r="Q667" s="8"/>
      <c r="R667" s="8"/>
      <c r="S667" s="367"/>
      <c r="T667" s="367"/>
      <c r="U667" s="367"/>
      <c r="V667" s="367"/>
      <c r="W667" s="8"/>
      <c r="X667" s="8"/>
      <c r="Y667" s="8"/>
      <c r="Z667" s="8"/>
      <c r="AA667" s="8"/>
      <c r="AB667" s="8"/>
    </row>
    <row r="668">
      <c r="A668" s="8"/>
      <c r="B668" s="8"/>
      <c r="C668" s="8"/>
      <c r="D668" s="8"/>
      <c r="E668" s="8"/>
      <c r="F668" s="366"/>
      <c r="G668" s="8"/>
      <c r="H668" s="8"/>
      <c r="I668" s="8"/>
      <c r="J668" s="8"/>
      <c r="K668" s="8"/>
      <c r="L668" s="8"/>
      <c r="M668" s="8"/>
      <c r="N668" s="8"/>
      <c r="O668" s="8"/>
      <c r="P668" s="8"/>
      <c r="Q668" s="8"/>
      <c r="R668" s="8"/>
      <c r="S668" s="367"/>
      <c r="T668" s="367"/>
      <c r="U668" s="367"/>
      <c r="V668" s="367"/>
      <c r="W668" s="8"/>
      <c r="X668" s="8"/>
      <c r="Y668" s="8"/>
      <c r="Z668" s="8"/>
      <c r="AA668" s="8"/>
      <c r="AB668" s="8"/>
    </row>
    <row r="669">
      <c r="A669" s="8"/>
      <c r="B669" s="8"/>
      <c r="C669" s="8"/>
      <c r="D669" s="8"/>
      <c r="E669" s="8"/>
      <c r="F669" s="366"/>
      <c r="G669" s="8"/>
      <c r="H669" s="8"/>
      <c r="I669" s="8"/>
      <c r="J669" s="8"/>
      <c r="K669" s="8"/>
      <c r="L669" s="8"/>
      <c r="M669" s="8"/>
      <c r="N669" s="8"/>
      <c r="O669" s="8"/>
      <c r="P669" s="8"/>
      <c r="Q669" s="8"/>
      <c r="R669" s="8"/>
      <c r="S669" s="367"/>
      <c r="T669" s="367"/>
      <c r="U669" s="367"/>
      <c r="V669" s="367"/>
      <c r="W669" s="8"/>
      <c r="X669" s="8"/>
      <c r="Y669" s="8"/>
      <c r="Z669" s="8"/>
      <c r="AA669" s="8"/>
      <c r="AB669" s="8"/>
    </row>
    <row r="670">
      <c r="A670" s="8"/>
      <c r="B670" s="8"/>
      <c r="C670" s="8"/>
      <c r="D670" s="8"/>
      <c r="E670" s="8"/>
      <c r="F670" s="366"/>
      <c r="G670" s="8"/>
      <c r="H670" s="8"/>
      <c r="I670" s="8"/>
      <c r="J670" s="8"/>
      <c r="K670" s="8"/>
      <c r="L670" s="8"/>
      <c r="M670" s="8"/>
      <c r="N670" s="8"/>
      <c r="O670" s="8"/>
      <c r="P670" s="8"/>
      <c r="Q670" s="8"/>
      <c r="R670" s="8"/>
      <c r="S670" s="367"/>
      <c r="T670" s="367"/>
      <c r="U670" s="367"/>
      <c r="V670" s="367"/>
      <c r="W670" s="8"/>
      <c r="X670" s="8"/>
      <c r="Y670" s="8"/>
      <c r="Z670" s="8"/>
      <c r="AA670" s="8"/>
      <c r="AB670" s="8"/>
    </row>
    <row r="671">
      <c r="A671" s="8"/>
      <c r="B671" s="8"/>
      <c r="C671" s="8"/>
      <c r="D671" s="8"/>
      <c r="E671" s="8"/>
      <c r="F671" s="366"/>
      <c r="G671" s="8"/>
      <c r="H671" s="8"/>
      <c r="I671" s="8"/>
      <c r="J671" s="8"/>
      <c r="K671" s="8"/>
      <c r="L671" s="8"/>
      <c r="M671" s="8"/>
      <c r="N671" s="8"/>
      <c r="O671" s="8"/>
      <c r="P671" s="8"/>
      <c r="Q671" s="8"/>
      <c r="R671" s="8"/>
      <c r="S671" s="367"/>
      <c r="T671" s="367"/>
      <c r="U671" s="367"/>
      <c r="V671" s="367"/>
      <c r="W671" s="8"/>
      <c r="X671" s="8"/>
      <c r="Y671" s="8"/>
      <c r="Z671" s="8"/>
      <c r="AA671" s="8"/>
      <c r="AB671" s="8"/>
    </row>
    <row r="672">
      <c r="A672" s="8"/>
      <c r="B672" s="8"/>
      <c r="C672" s="8"/>
      <c r="D672" s="8"/>
      <c r="E672" s="8"/>
      <c r="F672" s="366"/>
      <c r="G672" s="8"/>
      <c r="H672" s="8"/>
      <c r="I672" s="8"/>
      <c r="J672" s="8"/>
      <c r="K672" s="8"/>
      <c r="L672" s="8"/>
      <c r="M672" s="8"/>
      <c r="N672" s="8"/>
      <c r="O672" s="8"/>
      <c r="P672" s="8"/>
      <c r="Q672" s="8"/>
      <c r="R672" s="8"/>
      <c r="S672" s="367"/>
      <c r="T672" s="367"/>
      <c r="U672" s="367"/>
      <c r="V672" s="367"/>
      <c r="W672" s="8"/>
      <c r="X672" s="8"/>
      <c r="Y672" s="8"/>
      <c r="Z672" s="8"/>
      <c r="AA672" s="8"/>
      <c r="AB672" s="8"/>
    </row>
    <row r="673">
      <c r="A673" s="8"/>
      <c r="B673" s="8"/>
      <c r="C673" s="8"/>
      <c r="D673" s="8"/>
      <c r="E673" s="8"/>
      <c r="F673" s="366"/>
      <c r="G673" s="8"/>
      <c r="H673" s="8"/>
      <c r="I673" s="8"/>
      <c r="J673" s="8"/>
      <c r="K673" s="8"/>
      <c r="L673" s="8"/>
      <c r="M673" s="8"/>
      <c r="N673" s="8"/>
      <c r="O673" s="8"/>
      <c r="P673" s="8"/>
      <c r="Q673" s="8"/>
      <c r="R673" s="8"/>
      <c r="S673" s="367"/>
      <c r="T673" s="367"/>
      <c r="U673" s="367"/>
      <c r="V673" s="367"/>
      <c r="W673" s="8"/>
      <c r="X673" s="8"/>
      <c r="Y673" s="8"/>
      <c r="Z673" s="8"/>
      <c r="AA673" s="8"/>
      <c r="AB673" s="8"/>
    </row>
    <row r="674">
      <c r="A674" s="8"/>
      <c r="B674" s="8"/>
      <c r="C674" s="8"/>
      <c r="D674" s="8"/>
      <c r="E674" s="8"/>
      <c r="F674" s="366"/>
      <c r="G674" s="8"/>
      <c r="H674" s="8"/>
      <c r="I674" s="8"/>
      <c r="J674" s="8"/>
      <c r="K674" s="8"/>
      <c r="L674" s="8"/>
      <c r="M674" s="8"/>
      <c r="N674" s="8"/>
      <c r="O674" s="8"/>
      <c r="P674" s="8"/>
      <c r="Q674" s="8"/>
      <c r="R674" s="8"/>
      <c r="S674" s="367"/>
      <c r="T674" s="367"/>
      <c r="U674" s="367"/>
      <c r="V674" s="367"/>
      <c r="W674" s="8"/>
      <c r="X674" s="8"/>
      <c r="Y674" s="8"/>
      <c r="Z674" s="8"/>
      <c r="AA674" s="8"/>
      <c r="AB674" s="8"/>
    </row>
    <row r="675">
      <c r="A675" s="8"/>
      <c r="B675" s="8"/>
      <c r="C675" s="8"/>
      <c r="D675" s="8"/>
      <c r="E675" s="8"/>
      <c r="F675" s="366"/>
      <c r="G675" s="8"/>
      <c r="H675" s="8"/>
      <c r="I675" s="8"/>
      <c r="J675" s="8"/>
      <c r="K675" s="8"/>
      <c r="L675" s="8"/>
      <c r="M675" s="8"/>
      <c r="N675" s="8"/>
      <c r="O675" s="8"/>
      <c r="P675" s="8"/>
      <c r="Q675" s="8"/>
      <c r="R675" s="8"/>
      <c r="S675" s="367"/>
      <c r="T675" s="367"/>
      <c r="U675" s="367"/>
      <c r="V675" s="367"/>
      <c r="W675" s="8"/>
      <c r="X675" s="8"/>
      <c r="Y675" s="8"/>
      <c r="Z675" s="8"/>
      <c r="AA675" s="8"/>
      <c r="AB675" s="8"/>
    </row>
    <row r="676">
      <c r="A676" s="8"/>
      <c r="B676" s="8"/>
      <c r="C676" s="8"/>
      <c r="D676" s="8"/>
      <c r="E676" s="8"/>
      <c r="F676" s="366"/>
      <c r="G676" s="8"/>
      <c r="H676" s="8"/>
      <c r="I676" s="8"/>
      <c r="J676" s="8"/>
      <c r="K676" s="8"/>
      <c r="L676" s="8"/>
      <c r="M676" s="8"/>
      <c r="N676" s="8"/>
      <c r="O676" s="8"/>
      <c r="P676" s="8"/>
      <c r="Q676" s="8"/>
      <c r="R676" s="8"/>
      <c r="S676" s="367"/>
      <c r="T676" s="367"/>
      <c r="U676" s="367"/>
      <c r="V676" s="367"/>
      <c r="W676" s="8"/>
      <c r="X676" s="8"/>
      <c r="Y676" s="8"/>
      <c r="Z676" s="8"/>
      <c r="AA676" s="8"/>
      <c r="AB676" s="8"/>
    </row>
    <row r="677">
      <c r="A677" s="8"/>
      <c r="B677" s="8"/>
      <c r="C677" s="8"/>
      <c r="D677" s="8"/>
      <c r="E677" s="8"/>
      <c r="F677" s="366"/>
      <c r="G677" s="8"/>
      <c r="H677" s="8"/>
      <c r="I677" s="8"/>
      <c r="J677" s="8"/>
      <c r="K677" s="8"/>
      <c r="L677" s="8"/>
      <c r="M677" s="8"/>
      <c r="N677" s="8"/>
      <c r="O677" s="8"/>
      <c r="P677" s="8"/>
      <c r="Q677" s="8"/>
      <c r="R677" s="8"/>
      <c r="S677" s="367"/>
      <c r="T677" s="367"/>
      <c r="U677" s="367"/>
      <c r="V677" s="367"/>
      <c r="W677" s="8"/>
      <c r="X677" s="8"/>
      <c r="Y677" s="8"/>
      <c r="Z677" s="8"/>
      <c r="AA677" s="8"/>
      <c r="AB677" s="8"/>
    </row>
    <row r="678">
      <c r="A678" s="8"/>
      <c r="B678" s="8"/>
      <c r="C678" s="8"/>
      <c r="D678" s="8"/>
      <c r="E678" s="8"/>
      <c r="F678" s="366"/>
      <c r="G678" s="8"/>
      <c r="H678" s="8"/>
      <c r="I678" s="8"/>
      <c r="J678" s="8"/>
      <c r="K678" s="8"/>
      <c r="L678" s="8"/>
      <c r="M678" s="8"/>
      <c r="N678" s="8"/>
      <c r="O678" s="8"/>
      <c r="P678" s="8"/>
      <c r="Q678" s="8"/>
      <c r="R678" s="8"/>
      <c r="S678" s="367"/>
      <c r="T678" s="367"/>
      <c r="U678" s="367"/>
      <c r="V678" s="367"/>
      <c r="W678" s="8"/>
      <c r="X678" s="8"/>
      <c r="Y678" s="8"/>
      <c r="Z678" s="8"/>
      <c r="AA678" s="8"/>
      <c r="AB678" s="8"/>
    </row>
    <row r="679">
      <c r="A679" s="8"/>
      <c r="B679" s="8"/>
      <c r="C679" s="8"/>
      <c r="D679" s="8"/>
      <c r="E679" s="8"/>
      <c r="F679" s="366"/>
      <c r="G679" s="8"/>
      <c r="H679" s="8"/>
      <c r="I679" s="8"/>
      <c r="J679" s="8"/>
      <c r="K679" s="8"/>
      <c r="L679" s="8"/>
      <c r="M679" s="8"/>
      <c r="N679" s="8"/>
      <c r="O679" s="8"/>
      <c r="P679" s="8"/>
      <c r="Q679" s="8"/>
      <c r="R679" s="8"/>
      <c r="S679" s="367"/>
      <c r="T679" s="367"/>
      <c r="U679" s="367"/>
      <c r="V679" s="367"/>
      <c r="W679" s="8"/>
      <c r="X679" s="8"/>
      <c r="Y679" s="8"/>
      <c r="Z679" s="8"/>
      <c r="AA679" s="8"/>
      <c r="AB679" s="8"/>
    </row>
    <row r="680">
      <c r="A680" s="8"/>
      <c r="B680" s="8"/>
      <c r="C680" s="8"/>
      <c r="D680" s="8"/>
      <c r="E680" s="8"/>
      <c r="F680" s="366"/>
      <c r="G680" s="8"/>
      <c r="H680" s="8"/>
      <c r="I680" s="8"/>
      <c r="J680" s="8"/>
      <c r="K680" s="8"/>
      <c r="L680" s="8"/>
      <c r="M680" s="8"/>
      <c r="N680" s="8"/>
      <c r="O680" s="8"/>
      <c r="P680" s="8"/>
      <c r="Q680" s="8"/>
      <c r="R680" s="8"/>
      <c r="S680" s="367"/>
      <c r="T680" s="367"/>
      <c r="U680" s="367"/>
      <c r="V680" s="367"/>
      <c r="W680" s="8"/>
      <c r="X680" s="8"/>
      <c r="Y680" s="8"/>
      <c r="Z680" s="8"/>
      <c r="AA680" s="8"/>
      <c r="AB680" s="8"/>
    </row>
    <row r="681">
      <c r="A681" s="8"/>
      <c r="B681" s="8"/>
      <c r="C681" s="8"/>
      <c r="D681" s="8"/>
      <c r="E681" s="8"/>
      <c r="F681" s="366"/>
      <c r="G681" s="8"/>
      <c r="H681" s="8"/>
      <c r="I681" s="8"/>
      <c r="J681" s="8"/>
      <c r="K681" s="8"/>
      <c r="L681" s="8"/>
      <c r="M681" s="8"/>
      <c r="N681" s="8"/>
      <c r="O681" s="8"/>
      <c r="P681" s="8"/>
      <c r="Q681" s="8"/>
      <c r="R681" s="8"/>
      <c r="S681" s="367"/>
      <c r="T681" s="367"/>
      <c r="U681" s="367"/>
      <c r="V681" s="367"/>
      <c r="W681" s="8"/>
      <c r="X681" s="8"/>
      <c r="Y681" s="8"/>
      <c r="Z681" s="8"/>
      <c r="AA681" s="8"/>
      <c r="AB681" s="8"/>
    </row>
    <row r="682">
      <c r="A682" s="8"/>
      <c r="B682" s="8"/>
      <c r="C682" s="8"/>
      <c r="D682" s="8"/>
      <c r="E682" s="8"/>
      <c r="F682" s="366"/>
      <c r="G682" s="8"/>
      <c r="H682" s="8"/>
      <c r="I682" s="8"/>
      <c r="J682" s="8"/>
      <c r="K682" s="8"/>
      <c r="L682" s="8"/>
      <c r="M682" s="8"/>
      <c r="N682" s="8"/>
      <c r="O682" s="8"/>
      <c r="P682" s="8"/>
      <c r="Q682" s="8"/>
      <c r="R682" s="8"/>
      <c r="S682" s="367"/>
      <c r="T682" s="367"/>
      <c r="U682" s="367"/>
      <c r="V682" s="367"/>
      <c r="W682" s="8"/>
      <c r="X682" s="8"/>
      <c r="Y682" s="8"/>
      <c r="Z682" s="8"/>
      <c r="AA682" s="8"/>
      <c r="AB682" s="8"/>
    </row>
    <row r="683">
      <c r="A683" s="8"/>
      <c r="B683" s="8"/>
      <c r="C683" s="8"/>
      <c r="D683" s="8"/>
      <c r="E683" s="8"/>
      <c r="F683" s="366"/>
      <c r="G683" s="8"/>
      <c r="H683" s="8"/>
      <c r="I683" s="8"/>
      <c r="J683" s="8"/>
      <c r="K683" s="8"/>
      <c r="L683" s="8"/>
      <c r="M683" s="8"/>
      <c r="N683" s="8"/>
      <c r="O683" s="8"/>
      <c r="P683" s="8"/>
      <c r="Q683" s="8"/>
      <c r="R683" s="8"/>
      <c r="S683" s="367"/>
      <c r="T683" s="367"/>
      <c r="U683" s="367"/>
      <c r="V683" s="367"/>
      <c r="W683" s="8"/>
      <c r="X683" s="8"/>
      <c r="Y683" s="8"/>
      <c r="Z683" s="8"/>
      <c r="AA683" s="8"/>
      <c r="AB683" s="8"/>
    </row>
    <row r="684">
      <c r="A684" s="8"/>
      <c r="B684" s="8"/>
      <c r="C684" s="8"/>
      <c r="D684" s="8"/>
      <c r="E684" s="8"/>
      <c r="F684" s="366"/>
      <c r="G684" s="8"/>
      <c r="H684" s="8"/>
      <c r="I684" s="8"/>
      <c r="J684" s="8"/>
      <c r="K684" s="8"/>
      <c r="L684" s="8"/>
      <c r="M684" s="8"/>
      <c r="N684" s="8"/>
      <c r="O684" s="8"/>
      <c r="P684" s="8"/>
      <c r="Q684" s="8"/>
      <c r="R684" s="8"/>
      <c r="S684" s="367"/>
      <c r="T684" s="367"/>
      <c r="U684" s="367"/>
      <c r="V684" s="367"/>
      <c r="W684" s="8"/>
      <c r="X684" s="8"/>
      <c r="Y684" s="8"/>
      <c r="Z684" s="8"/>
      <c r="AA684" s="8"/>
      <c r="AB684" s="8"/>
    </row>
    <row r="685">
      <c r="A685" s="8"/>
      <c r="B685" s="8"/>
      <c r="C685" s="8"/>
      <c r="D685" s="8"/>
      <c r="E685" s="8"/>
      <c r="F685" s="366"/>
      <c r="G685" s="8"/>
      <c r="H685" s="8"/>
      <c r="I685" s="8"/>
      <c r="J685" s="8"/>
      <c r="K685" s="8"/>
      <c r="L685" s="8"/>
      <c r="M685" s="8"/>
      <c r="N685" s="8"/>
      <c r="O685" s="8"/>
      <c r="P685" s="8"/>
      <c r="Q685" s="8"/>
      <c r="R685" s="8"/>
      <c r="S685" s="367"/>
      <c r="T685" s="367"/>
      <c r="U685" s="367"/>
      <c r="V685" s="367"/>
      <c r="W685" s="8"/>
      <c r="X685" s="8"/>
      <c r="Y685" s="8"/>
      <c r="Z685" s="8"/>
      <c r="AA685" s="8"/>
      <c r="AB685" s="8"/>
    </row>
    <row r="686">
      <c r="A686" s="8"/>
      <c r="B686" s="8"/>
      <c r="C686" s="8"/>
      <c r="D686" s="8"/>
      <c r="E686" s="8"/>
      <c r="F686" s="366"/>
      <c r="G686" s="8"/>
      <c r="H686" s="8"/>
      <c r="I686" s="8"/>
      <c r="J686" s="8"/>
      <c r="K686" s="8"/>
      <c r="L686" s="8"/>
      <c r="M686" s="8"/>
      <c r="N686" s="8"/>
      <c r="O686" s="8"/>
      <c r="P686" s="8"/>
      <c r="Q686" s="8"/>
      <c r="R686" s="8"/>
      <c r="S686" s="367"/>
      <c r="T686" s="367"/>
      <c r="U686" s="367"/>
      <c r="V686" s="367"/>
      <c r="W686" s="8"/>
      <c r="X686" s="8"/>
      <c r="Y686" s="8"/>
      <c r="Z686" s="8"/>
      <c r="AA686" s="8"/>
      <c r="AB686" s="8"/>
    </row>
    <row r="687">
      <c r="A687" s="8"/>
      <c r="B687" s="8"/>
      <c r="C687" s="8"/>
      <c r="D687" s="8"/>
      <c r="E687" s="8"/>
      <c r="F687" s="366"/>
      <c r="G687" s="8"/>
      <c r="H687" s="8"/>
      <c r="I687" s="8"/>
      <c r="J687" s="8"/>
      <c r="K687" s="8"/>
      <c r="L687" s="8"/>
      <c r="M687" s="8"/>
      <c r="N687" s="8"/>
      <c r="O687" s="8"/>
      <c r="P687" s="8"/>
      <c r="Q687" s="8"/>
      <c r="R687" s="8"/>
      <c r="S687" s="367"/>
      <c r="T687" s="367"/>
      <c r="U687" s="367"/>
      <c r="V687" s="367"/>
      <c r="W687" s="8"/>
      <c r="X687" s="8"/>
      <c r="Y687" s="8"/>
      <c r="Z687" s="8"/>
      <c r="AA687" s="8"/>
      <c r="AB687" s="8"/>
    </row>
    <row r="688">
      <c r="A688" s="8"/>
      <c r="B688" s="8"/>
      <c r="C688" s="8"/>
      <c r="D688" s="8"/>
      <c r="E688" s="8"/>
      <c r="F688" s="366"/>
      <c r="G688" s="8"/>
      <c r="H688" s="8"/>
      <c r="I688" s="8"/>
      <c r="J688" s="8"/>
      <c r="K688" s="8"/>
      <c r="L688" s="8"/>
      <c r="M688" s="8"/>
      <c r="N688" s="8"/>
      <c r="O688" s="8"/>
      <c r="P688" s="8"/>
      <c r="Q688" s="8"/>
      <c r="R688" s="8"/>
      <c r="S688" s="367"/>
      <c r="T688" s="367"/>
      <c r="U688" s="367"/>
      <c r="V688" s="367"/>
      <c r="W688" s="8"/>
      <c r="X688" s="8"/>
      <c r="Y688" s="8"/>
      <c r="Z688" s="8"/>
      <c r="AA688" s="8"/>
      <c r="AB688" s="8"/>
    </row>
    <row r="689">
      <c r="A689" s="8"/>
      <c r="B689" s="8"/>
      <c r="C689" s="8"/>
      <c r="D689" s="8"/>
      <c r="E689" s="8"/>
      <c r="F689" s="366"/>
      <c r="G689" s="8"/>
      <c r="H689" s="8"/>
      <c r="I689" s="8"/>
      <c r="J689" s="8"/>
      <c r="K689" s="8"/>
      <c r="L689" s="8"/>
      <c r="M689" s="8"/>
      <c r="N689" s="8"/>
      <c r="O689" s="8"/>
      <c r="P689" s="8"/>
      <c r="Q689" s="8"/>
      <c r="R689" s="8"/>
      <c r="S689" s="367"/>
      <c r="T689" s="367"/>
      <c r="U689" s="367"/>
      <c r="V689" s="367"/>
      <c r="W689" s="8"/>
      <c r="X689" s="8"/>
      <c r="Y689" s="8"/>
      <c r="Z689" s="8"/>
      <c r="AA689" s="8"/>
      <c r="AB689" s="8"/>
    </row>
    <row r="690">
      <c r="A690" s="8"/>
      <c r="B690" s="8"/>
      <c r="C690" s="8"/>
      <c r="D690" s="8"/>
      <c r="E690" s="8"/>
      <c r="F690" s="366"/>
      <c r="G690" s="8"/>
      <c r="H690" s="8"/>
      <c r="I690" s="8"/>
      <c r="J690" s="8"/>
      <c r="K690" s="8"/>
      <c r="L690" s="8"/>
      <c r="M690" s="8"/>
      <c r="N690" s="8"/>
      <c r="O690" s="8"/>
      <c r="P690" s="8"/>
      <c r="Q690" s="8"/>
      <c r="R690" s="8"/>
      <c r="S690" s="367"/>
      <c r="T690" s="367"/>
      <c r="U690" s="367"/>
      <c r="V690" s="367"/>
      <c r="W690" s="8"/>
      <c r="X690" s="8"/>
      <c r="Y690" s="8"/>
      <c r="Z690" s="8"/>
      <c r="AA690" s="8"/>
      <c r="AB690" s="8"/>
    </row>
    <row r="691">
      <c r="A691" s="8"/>
      <c r="B691" s="8"/>
      <c r="C691" s="8"/>
      <c r="D691" s="8"/>
      <c r="E691" s="8"/>
      <c r="F691" s="366"/>
      <c r="G691" s="8"/>
      <c r="H691" s="8"/>
      <c r="I691" s="8"/>
      <c r="J691" s="8"/>
      <c r="K691" s="8"/>
      <c r="L691" s="8"/>
      <c r="M691" s="8"/>
      <c r="N691" s="8"/>
      <c r="O691" s="8"/>
      <c r="P691" s="8"/>
      <c r="Q691" s="8"/>
      <c r="R691" s="8"/>
      <c r="S691" s="367"/>
      <c r="T691" s="367"/>
      <c r="U691" s="367"/>
      <c r="V691" s="367"/>
      <c r="W691" s="8"/>
      <c r="X691" s="8"/>
      <c r="Y691" s="8"/>
      <c r="Z691" s="8"/>
      <c r="AA691" s="8"/>
      <c r="AB691" s="8"/>
    </row>
    <row r="692">
      <c r="A692" s="8"/>
      <c r="B692" s="8"/>
      <c r="C692" s="8"/>
      <c r="D692" s="8"/>
      <c r="E692" s="8"/>
      <c r="F692" s="366"/>
      <c r="G692" s="8"/>
      <c r="H692" s="8"/>
      <c r="I692" s="8"/>
      <c r="J692" s="8"/>
      <c r="K692" s="8"/>
      <c r="L692" s="8"/>
      <c r="M692" s="8"/>
      <c r="N692" s="8"/>
      <c r="O692" s="8"/>
      <c r="P692" s="8"/>
      <c r="Q692" s="8"/>
      <c r="R692" s="8"/>
      <c r="S692" s="367"/>
      <c r="T692" s="367"/>
      <c r="U692" s="367"/>
      <c r="V692" s="367"/>
      <c r="W692" s="8"/>
      <c r="X692" s="8"/>
      <c r="Y692" s="8"/>
      <c r="Z692" s="8"/>
      <c r="AA692" s="8"/>
      <c r="AB692" s="8"/>
    </row>
    <row r="693">
      <c r="A693" s="8"/>
      <c r="B693" s="8"/>
      <c r="C693" s="8"/>
      <c r="D693" s="8"/>
      <c r="E693" s="8"/>
      <c r="F693" s="366"/>
      <c r="G693" s="8"/>
      <c r="H693" s="8"/>
      <c r="I693" s="8"/>
      <c r="J693" s="8"/>
      <c r="K693" s="8"/>
      <c r="L693" s="8"/>
      <c r="M693" s="8"/>
      <c r="N693" s="8"/>
      <c r="O693" s="8"/>
      <c r="P693" s="8"/>
      <c r="Q693" s="8"/>
      <c r="R693" s="8"/>
      <c r="S693" s="367"/>
      <c r="T693" s="367"/>
      <c r="U693" s="367"/>
      <c r="V693" s="367"/>
      <c r="W693" s="8"/>
      <c r="X693" s="8"/>
      <c r="Y693" s="8"/>
      <c r="Z693" s="8"/>
      <c r="AA693" s="8"/>
      <c r="AB693" s="8"/>
    </row>
    <row r="694">
      <c r="A694" s="8"/>
      <c r="B694" s="8"/>
      <c r="C694" s="8"/>
      <c r="D694" s="8"/>
      <c r="E694" s="8"/>
      <c r="F694" s="366"/>
      <c r="G694" s="8"/>
      <c r="H694" s="8"/>
      <c r="I694" s="8"/>
      <c r="J694" s="8"/>
      <c r="K694" s="8"/>
      <c r="L694" s="8"/>
      <c r="M694" s="8"/>
      <c r="N694" s="8"/>
      <c r="O694" s="8"/>
      <c r="P694" s="8"/>
      <c r="Q694" s="8"/>
      <c r="R694" s="8"/>
      <c r="S694" s="367"/>
      <c r="T694" s="367"/>
      <c r="U694" s="367"/>
      <c r="V694" s="367"/>
      <c r="W694" s="8"/>
      <c r="X694" s="8"/>
      <c r="Y694" s="8"/>
      <c r="Z694" s="8"/>
      <c r="AA694" s="8"/>
      <c r="AB694" s="8"/>
    </row>
    <row r="695">
      <c r="A695" s="8"/>
      <c r="B695" s="8"/>
      <c r="C695" s="8"/>
      <c r="D695" s="8"/>
      <c r="E695" s="8"/>
      <c r="F695" s="366"/>
      <c r="G695" s="8"/>
      <c r="H695" s="8"/>
      <c r="I695" s="8"/>
      <c r="J695" s="8"/>
      <c r="K695" s="8"/>
      <c r="L695" s="8"/>
      <c r="M695" s="8"/>
      <c r="N695" s="8"/>
      <c r="O695" s="8"/>
      <c r="P695" s="8"/>
      <c r="Q695" s="8"/>
      <c r="R695" s="8"/>
      <c r="S695" s="367"/>
      <c r="T695" s="367"/>
      <c r="U695" s="367"/>
      <c r="V695" s="367"/>
      <c r="W695" s="8"/>
      <c r="X695" s="8"/>
      <c r="Y695" s="8"/>
      <c r="Z695" s="8"/>
      <c r="AA695" s="8"/>
      <c r="AB695" s="8"/>
    </row>
    <row r="696">
      <c r="A696" s="8"/>
      <c r="B696" s="8"/>
      <c r="C696" s="8"/>
      <c r="D696" s="8"/>
      <c r="E696" s="8"/>
      <c r="F696" s="366"/>
      <c r="G696" s="8"/>
      <c r="H696" s="8"/>
      <c r="I696" s="8"/>
      <c r="J696" s="8"/>
      <c r="K696" s="8"/>
      <c r="L696" s="8"/>
      <c r="M696" s="8"/>
      <c r="N696" s="8"/>
      <c r="O696" s="8"/>
      <c r="P696" s="8"/>
      <c r="Q696" s="8"/>
      <c r="R696" s="8"/>
      <c r="S696" s="367"/>
      <c r="T696" s="367"/>
      <c r="U696" s="367"/>
      <c r="V696" s="367"/>
      <c r="W696" s="8"/>
      <c r="X696" s="8"/>
      <c r="Y696" s="8"/>
      <c r="Z696" s="8"/>
      <c r="AA696" s="8"/>
      <c r="AB696" s="8"/>
    </row>
    <row r="697">
      <c r="A697" s="8"/>
      <c r="B697" s="8"/>
      <c r="C697" s="8"/>
      <c r="D697" s="8"/>
      <c r="E697" s="8"/>
      <c r="F697" s="366"/>
      <c r="G697" s="8"/>
      <c r="H697" s="8"/>
      <c r="I697" s="8"/>
      <c r="J697" s="8"/>
      <c r="K697" s="8"/>
      <c r="L697" s="8"/>
      <c r="M697" s="8"/>
      <c r="N697" s="8"/>
      <c r="O697" s="8"/>
      <c r="P697" s="8"/>
      <c r="Q697" s="8"/>
      <c r="R697" s="8"/>
      <c r="S697" s="367"/>
      <c r="T697" s="367"/>
      <c r="U697" s="367"/>
      <c r="V697" s="367"/>
      <c r="W697" s="8"/>
      <c r="X697" s="8"/>
      <c r="Y697" s="8"/>
      <c r="Z697" s="8"/>
      <c r="AA697" s="8"/>
      <c r="AB697" s="8"/>
    </row>
    <row r="698">
      <c r="A698" s="8"/>
      <c r="B698" s="8"/>
      <c r="C698" s="8"/>
      <c r="D698" s="8"/>
      <c r="E698" s="8"/>
      <c r="F698" s="366"/>
      <c r="G698" s="8"/>
      <c r="H698" s="8"/>
      <c r="I698" s="8"/>
      <c r="J698" s="8"/>
      <c r="K698" s="8"/>
      <c r="L698" s="8"/>
      <c r="M698" s="8"/>
      <c r="N698" s="8"/>
      <c r="O698" s="8"/>
      <c r="P698" s="8"/>
      <c r="Q698" s="8"/>
      <c r="R698" s="8"/>
      <c r="S698" s="367"/>
      <c r="T698" s="367"/>
      <c r="U698" s="367"/>
      <c r="V698" s="367"/>
      <c r="W698" s="8"/>
      <c r="X698" s="8"/>
      <c r="Y698" s="8"/>
      <c r="Z698" s="8"/>
      <c r="AA698" s="8"/>
      <c r="AB698" s="8"/>
    </row>
    <row r="699">
      <c r="A699" s="8"/>
      <c r="B699" s="8"/>
      <c r="C699" s="8"/>
      <c r="D699" s="8"/>
      <c r="E699" s="8"/>
      <c r="F699" s="366"/>
      <c r="G699" s="8"/>
      <c r="H699" s="8"/>
      <c r="I699" s="8"/>
      <c r="J699" s="8"/>
      <c r="K699" s="8"/>
      <c r="L699" s="8"/>
      <c r="M699" s="8"/>
      <c r="N699" s="8"/>
      <c r="O699" s="8"/>
      <c r="P699" s="8"/>
      <c r="Q699" s="8"/>
      <c r="R699" s="8"/>
      <c r="S699" s="367"/>
      <c r="T699" s="367"/>
      <c r="U699" s="367"/>
      <c r="V699" s="367"/>
      <c r="W699" s="8"/>
      <c r="X699" s="8"/>
      <c r="Y699" s="8"/>
      <c r="Z699" s="8"/>
      <c r="AA699" s="8"/>
      <c r="AB699" s="8"/>
    </row>
    <row r="700">
      <c r="A700" s="8"/>
      <c r="B700" s="8"/>
      <c r="C700" s="8"/>
      <c r="D700" s="8"/>
      <c r="E700" s="8"/>
      <c r="F700" s="366"/>
      <c r="G700" s="8"/>
      <c r="H700" s="8"/>
      <c r="I700" s="8"/>
      <c r="J700" s="8"/>
      <c r="K700" s="8"/>
      <c r="L700" s="8"/>
      <c r="M700" s="8"/>
      <c r="N700" s="8"/>
      <c r="O700" s="8"/>
      <c r="P700" s="8"/>
      <c r="Q700" s="8"/>
      <c r="R700" s="8"/>
      <c r="S700" s="367"/>
      <c r="T700" s="367"/>
      <c r="U700" s="367"/>
      <c r="V700" s="367"/>
      <c r="W700" s="8"/>
      <c r="X700" s="8"/>
      <c r="Y700" s="8"/>
      <c r="Z700" s="8"/>
      <c r="AA700" s="8"/>
      <c r="AB700" s="8"/>
    </row>
    <row r="701">
      <c r="A701" s="8"/>
      <c r="B701" s="8"/>
      <c r="C701" s="8"/>
      <c r="D701" s="8"/>
      <c r="E701" s="8"/>
      <c r="F701" s="366"/>
      <c r="G701" s="8"/>
      <c r="H701" s="8"/>
      <c r="I701" s="8"/>
      <c r="J701" s="8"/>
      <c r="K701" s="8"/>
      <c r="L701" s="8"/>
      <c r="M701" s="8"/>
      <c r="N701" s="8"/>
      <c r="O701" s="8"/>
      <c r="P701" s="8"/>
      <c r="Q701" s="8"/>
      <c r="R701" s="8"/>
      <c r="S701" s="367"/>
      <c r="T701" s="367"/>
      <c r="U701" s="367"/>
      <c r="V701" s="367"/>
      <c r="W701" s="8"/>
      <c r="X701" s="8"/>
      <c r="Y701" s="8"/>
      <c r="Z701" s="8"/>
      <c r="AA701" s="8"/>
      <c r="AB701" s="8"/>
    </row>
    <row r="702">
      <c r="A702" s="8"/>
      <c r="B702" s="8"/>
      <c r="C702" s="8"/>
      <c r="D702" s="8"/>
      <c r="E702" s="8"/>
      <c r="F702" s="366"/>
      <c r="G702" s="8"/>
      <c r="H702" s="8"/>
      <c r="I702" s="8"/>
      <c r="J702" s="8"/>
      <c r="K702" s="8"/>
      <c r="L702" s="8"/>
      <c r="M702" s="8"/>
      <c r="N702" s="8"/>
      <c r="O702" s="8"/>
      <c r="P702" s="8"/>
      <c r="Q702" s="8"/>
      <c r="R702" s="8"/>
      <c r="S702" s="367"/>
      <c r="T702" s="367"/>
      <c r="U702" s="367"/>
      <c r="V702" s="367"/>
      <c r="W702" s="8"/>
      <c r="X702" s="8"/>
      <c r="Y702" s="8"/>
      <c r="Z702" s="8"/>
      <c r="AA702" s="8"/>
      <c r="AB702" s="8"/>
    </row>
    <row r="703">
      <c r="A703" s="8"/>
      <c r="B703" s="8"/>
      <c r="C703" s="8"/>
      <c r="D703" s="8"/>
      <c r="E703" s="8"/>
      <c r="F703" s="366"/>
      <c r="G703" s="8"/>
      <c r="H703" s="8"/>
      <c r="I703" s="8"/>
      <c r="J703" s="8"/>
      <c r="K703" s="8"/>
      <c r="L703" s="8"/>
      <c r="M703" s="8"/>
      <c r="N703" s="8"/>
      <c r="O703" s="8"/>
      <c r="P703" s="8"/>
      <c r="Q703" s="8"/>
      <c r="R703" s="8"/>
      <c r="S703" s="367"/>
      <c r="T703" s="367"/>
      <c r="U703" s="367"/>
      <c r="V703" s="367"/>
      <c r="W703" s="8"/>
      <c r="X703" s="8"/>
      <c r="Y703" s="8"/>
      <c r="Z703" s="8"/>
      <c r="AA703" s="8"/>
      <c r="AB703" s="8"/>
    </row>
    <row r="704">
      <c r="A704" s="8"/>
      <c r="B704" s="8"/>
      <c r="C704" s="8"/>
      <c r="D704" s="8"/>
      <c r="E704" s="8"/>
      <c r="F704" s="366"/>
      <c r="G704" s="8"/>
      <c r="H704" s="8"/>
      <c r="I704" s="8"/>
      <c r="J704" s="8"/>
      <c r="K704" s="8"/>
      <c r="L704" s="8"/>
      <c r="M704" s="8"/>
      <c r="N704" s="8"/>
      <c r="O704" s="8"/>
      <c r="P704" s="8"/>
      <c r="Q704" s="8"/>
      <c r="R704" s="8"/>
      <c r="S704" s="367"/>
      <c r="T704" s="367"/>
      <c r="U704" s="367"/>
      <c r="V704" s="367"/>
      <c r="W704" s="8"/>
      <c r="X704" s="8"/>
      <c r="Y704" s="8"/>
      <c r="Z704" s="8"/>
      <c r="AA704" s="8"/>
      <c r="AB704" s="8"/>
    </row>
    <row r="705">
      <c r="A705" s="8"/>
      <c r="B705" s="8"/>
      <c r="C705" s="8"/>
      <c r="D705" s="8"/>
      <c r="E705" s="8"/>
      <c r="F705" s="366"/>
      <c r="G705" s="8"/>
      <c r="H705" s="8"/>
      <c r="I705" s="8"/>
      <c r="J705" s="8"/>
      <c r="K705" s="8"/>
      <c r="L705" s="8"/>
      <c r="M705" s="8"/>
      <c r="N705" s="8"/>
      <c r="O705" s="8"/>
      <c r="P705" s="8"/>
      <c r="Q705" s="8"/>
      <c r="R705" s="8"/>
      <c r="S705" s="367"/>
      <c r="T705" s="367"/>
      <c r="U705" s="367"/>
      <c r="V705" s="367"/>
      <c r="W705" s="8"/>
      <c r="X705" s="8"/>
      <c r="Y705" s="8"/>
      <c r="Z705" s="8"/>
      <c r="AA705" s="8"/>
      <c r="AB705" s="8"/>
    </row>
    <row r="706">
      <c r="A706" s="8"/>
      <c r="B706" s="8"/>
      <c r="C706" s="8"/>
      <c r="D706" s="8"/>
      <c r="E706" s="8"/>
      <c r="F706" s="366"/>
      <c r="G706" s="8"/>
      <c r="H706" s="8"/>
      <c r="I706" s="8"/>
      <c r="J706" s="8"/>
      <c r="K706" s="8"/>
      <c r="L706" s="8"/>
      <c r="M706" s="8"/>
      <c r="N706" s="8"/>
      <c r="O706" s="8"/>
      <c r="P706" s="8"/>
      <c r="Q706" s="8"/>
      <c r="R706" s="8"/>
      <c r="S706" s="367"/>
      <c r="T706" s="367"/>
      <c r="U706" s="367"/>
      <c r="V706" s="367"/>
      <c r="W706" s="8"/>
      <c r="X706" s="8"/>
      <c r="Y706" s="8"/>
      <c r="Z706" s="8"/>
      <c r="AA706" s="8"/>
      <c r="AB706" s="8"/>
    </row>
    <row r="707">
      <c r="A707" s="8"/>
      <c r="B707" s="8"/>
      <c r="C707" s="8"/>
      <c r="D707" s="8"/>
      <c r="E707" s="8"/>
      <c r="F707" s="366"/>
      <c r="G707" s="8"/>
      <c r="H707" s="8"/>
      <c r="I707" s="8"/>
      <c r="J707" s="8"/>
      <c r="K707" s="8"/>
      <c r="L707" s="8"/>
      <c r="M707" s="8"/>
      <c r="N707" s="8"/>
      <c r="O707" s="8"/>
      <c r="P707" s="8"/>
      <c r="Q707" s="8"/>
      <c r="R707" s="8"/>
      <c r="S707" s="367"/>
      <c r="T707" s="367"/>
      <c r="U707" s="367"/>
      <c r="V707" s="367"/>
      <c r="W707" s="8"/>
      <c r="X707" s="8"/>
      <c r="Y707" s="8"/>
      <c r="Z707" s="8"/>
      <c r="AA707" s="8"/>
      <c r="AB707" s="8"/>
    </row>
    <row r="708">
      <c r="A708" s="8"/>
      <c r="B708" s="8"/>
      <c r="C708" s="8"/>
      <c r="D708" s="8"/>
      <c r="E708" s="8"/>
      <c r="F708" s="366"/>
      <c r="G708" s="8"/>
      <c r="H708" s="8"/>
      <c r="I708" s="8"/>
      <c r="J708" s="8"/>
      <c r="K708" s="8"/>
      <c r="L708" s="8"/>
      <c r="M708" s="8"/>
      <c r="N708" s="8"/>
      <c r="O708" s="8"/>
      <c r="P708" s="8"/>
      <c r="Q708" s="8"/>
      <c r="R708" s="8"/>
      <c r="S708" s="367"/>
      <c r="T708" s="367"/>
      <c r="U708" s="367"/>
      <c r="V708" s="367"/>
      <c r="W708" s="8"/>
      <c r="X708" s="8"/>
      <c r="Y708" s="8"/>
      <c r="Z708" s="8"/>
      <c r="AA708" s="8"/>
      <c r="AB708" s="8"/>
    </row>
    <row r="709">
      <c r="A709" s="8"/>
      <c r="B709" s="8"/>
      <c r="C709" s="8"/>
      <c r="D709" s="8"/>
      <c r="E709" s="8"/>
      <c r="F709" s="366"/>
      <c r="G709" s="8"/>
      <c r="H709" s="8"/>
      <c r="I709" s="8"/>
      <c r="J709" s="8"/>
      <c r="K709" s="8"/>
      <c r="L709" s="8"/>
      <c r="M709" s="8"/>
      <c r="N709" s="8"/>
      <c r="O709" s="8"/>
      <c r="P709" s="8"/>
      <c r="Q709" s="8"/>
      <c r="R709" s="8"/>
      <c r="S709" s="367"/>
      <c r="T709" s="367"/>
      <c r="U709" s="367"/>
      <c r="V709" s="367"/>
      <c r="W709" s="8"/>
      <c r="X709" s="8"/>
      <c r="Y709" s="8"/>
      <c r="Z709" s="8"/>
      <c r="AA709" s="8"/>
      <c r="AB709" s="8"/>
    </row>
    <row r="710">
      <c r="A710" s="8"/>
      <c r="B710" s="8"/>
      <c r="C710" s="8"/>
      <c r="D710" s="8"/>
      <c r="E710" s="8"/>
      <c r="F710" s="366"/>
      <c r="G710" s="8"/>
      <c r="H710" s="8"/>
      <c r="I710" s="8"/>
      <c r="J710" s="8"/>
      <c r="K710" s="8"/>
      <c r="L710" s="8"/>
      <c r="M710" s="8"/>
      <c r="N710" s="8"/>
      <c r="O710" s="8"/>
      <c r="P710" s="8"/>
      <c r="Q710" s="8"/>
      <c r="R710" s="8"/>
      <c r="S710" s="367"/>
      <c r="T710" s="367"/>
      <c r="U710" s="367"/>
      <c r="V710" s="367"/>
      <c r="W710" s="8"/>
      <c r="X710" s="8"/>
      <c r="Y710" s="8"/>
      <c r="Z710" s="8"/>
      <c r="AA710" s="8"/>
      <c r="AB710" s="8"/>
    </row>
    <row r="711">
      <c r="A711" s="8"/>
      <c r="B711" s="8"/>
      <c r="C711" s="8"/>
      <c r="D711" s="8"/>
      <c r="E711" s="8"/>
      <c r="F711" s="366"/>
      <c r="G711" s="8"/>
      <c r="H711" s="8"/>
      <c r="I711" s="8"/>
      <c r="J711" s="8"/>
      <c r="K711" s="8"/>
      <c r="L711" s="8"/>
      <c r="M711" s="8"/>
      <c r="N711" s="8"/>
      <c r="O711" s="8"/>
      <c r="P711" s="8"/>
      <c r="Q711" s="8"/>
      <c r="R711" s="8"/>
      <c r="S711" s="367"/>
      <c r="T711" s="367"/>
      <c r="U711" s="367"/>
      <c r="V711" s="367"/>
      <c r="W711" s="8"/>
      <c r="X711" s="8"/>
      <c r="Y711" s="8"/>
      <c r="Z711" s="8"/>
      <c r="AA711" s="8"/>
      <c r="AB711" s="8"/>
    </row>
    <row r="712">
      <c r="A712" s="8"/>
      <c r="B712" s="8"/>
      <c r="C712" s="8"/>
      <c r="D712" s="8"/>
      <c r="E712" s="8"/>
      <c r="F712" s="366"/>
      <c r="G712" s="8"/>
      <c r="H712" s="8"/>
      <c r="I712" s="8"/>
      <c r="J712" s="8"/>
      <c r="K712" s="8"/>
      <c r="L712" s="8"/>
      <c r="M712" s="8"/>
      <c r="N712" s="8"/>
      <c r="O712" s="8"/>
      <c r="P712" s="8"/>
      <c r="Q712" s="8"/>
      <c r="R712" s="8"/>
      <c r="S712" s="367"/>
      <c r="T712" s="367"/>
      <c r="U712" s="367"/>
      <c r="V712" s="367"/>
      <c r="W712" s="8"/>
      <c r="X712" s="8"/>
      <c r="Y712" s="8"/>
      <c r="Z712" s="8"/>
      <c r="AA712" s="8"/>
      <c r="AB712" s="8"/>
    </row>
    <row r="713">
      <c r="A713" s="8"/>
      <c r="B713" s="8"/>
      <c r="C713" s="8"/>
      <c r="D713" s="8"/>
      <c r="E713" s="8"/>
      <c r="F713" s="366"/>
      <c r="G713" s="8"/>
      <c r="H713" s="8"/>
      <c r="I713" s="8"/>
      <c r="J713" s="8"/>
      <c r="K713" s="8"/>
      <c r="L713" s="8"/>
      <c r="M713" s="8"/>
      <c r="N713" s="8"/>
      <c r="O713" s="8"/>
      <c r="P713" s="8"/>
      <c r="Q713" s="8"/>
      <c r="R713" s="8"/>
      <c r="S713" s="367"/>
      <c r="T713" s="367"/>
      <c r="U713" s="367"/>
      <c r="V713" s="367"/>
      <c r="W713" s="8"/>
      <c r="X713" s="8"/>
      <c r="Y713" s="8"/>
      <c r="Z713" s="8"/>
      <c r="AA713" s="8"/>
      <c r="AB713" s="8"/>
    </row>
    <row r="714">
      <c r="A714" s="8"/>
      <c r="B714" s="8"/>
      <c r="C714" s="8"/>
      <c r="D714" s="8"/>
      <c r="E714" s="8"/>
      <c r="F714" s="366"/>
      <c r="G714" s="8"/>
      <c r="H714" s="8"/>
      <c r="I714" s="8"/>
      <c r="J714" s="8"/>
      <c r="K714" s="8"/>
      <c r="L714" s="8"/>
      <c r="M714" s="8"/>
      <c r="N714" s="8"/>
      <c r="O714" s="8"/>
      <c r="P714" s="8"/>
      <c r="Q714" s="8"/>
      <c r="R714" s="8"/>
      <c r="S714" s="367"/>
      <c r="T714" s="367"/>
      <c r="U714" s="367"/>
      <c r="V714" s="367"/>
      <c r="W714" s="8"/>
      <c r="X714" s="8"/>
      <c r="Y714" s="8"/>
      <c r="Z714" s="8"/>
      <c r="AA714" s="8"/>
      <c r="AB714" s="8"/>
    </row>
    <row r="715">
      <c r="A715" s="8"/>
      <c r="B715" s="8"/>
      <c r="C715" s="8"/>
      <c r="D715" s="8"/>
      <c r="E715" s="8"/>
      <c r="F715" s="366"/>
      <c r="G715" s="8"/>
      <c r="H715" s="8"/>
      <c r="I715" s="8"/>
      <c r="J715" s="8"/>
      <c r="K715" s="8"/>
      <c r="L715" s="8"/>
      <c r="M715" s="8"/>
      <c r="N715" s="8"/>
      <c r="O715" s="8"/>
      <c r="P715" s="8"/>
      <c r="Q715" s="8"/>
      <c r="R715" s="8"/>
      <c r="S715" s="367"/>
      <c r="T715" s="367"/>
      <c r="U715" s="367"/>
      <c r="V715" s="367"/>
      <c r="W715" s="8"/>
      <c r="X715" s="8"/>
      <c r="Y715" s="8"/>
      <c r="Z715" s="8"/>
      <c r="AA715" s="8"/>
      <c r="AB715" s="8"/>
    </row>
    <row r="716">
      <c r="A716" s="8"/>
      <c r="B716" s="8"/>
      <c r="C716" s="8"/>
      <c r="D716" s="8"/>
      <c r="E716" s="8"/>
      <c r="F716" s="366"/>
      <c r="G716" s="8"/>
      <c r="H716" s="8"/>
      <c r="I716" s="8"/>
      <c r="J716" s="8"/>
      <c r="K716" s="8"/>
      <c r="L716" s="8"/>
      <c r="M716" s="8"/>
      <c r="N716" s="8"/>
      <c r="O716" s="8"/>
      <c r="P716" s="8"/>
      <c r="Q716" s="8"/>
      <c r="R716" s="8"/>
      <c r="S716" s="367"/>
      <c r="T716" s="367"/>
      <c r="U716" s="367"/>
      <c r="V716" s="367"/>
      <c r="W716" s="8"/>
      <c r="X716" s="8"/>
      <c r="Y716" s="8"/>
      <c r="Z716" s="8"/>
      <c r="AA716" s="8"/>
      <c r="AB716" s="8"/>
    </row>
    <row r="717">
      <c r="A717" s="8"/>
      <c r="B717" s="8"/>
      <c r="C717" s="8"/>
      <c r="D717" s="8"/>
      <c r="E717" s="8"/>
      <c r="F717" s="366"/>
      <c r="G717" s="8"/>
      <c r="H717" s="8"/>
      <c r="I717" s="8"/>
      <c r="J717" s="8"/>
      <c r="K717" s="8"/>
      <c r="L717" s="8"/>
      <c r="M717" s="8"/>
      <c r="N717" s="8"/>
      <c r="O717" s="8"/>
      <c r="P717" s="8"/>
      <c r="Q717" s="8"/>
      <c r="R717" s="8"/>
      <c r="S717" s="367"/>
      <c r="T717" s="367"/>
      <c r="U717" s="367"/>
      <c r="V717" s="367"/>
      <c r="W717" s="8"/>
      <c r="X717" s="8"/>
      <c r="Y717" s="8"/>
      <c r="Z717" s="8"/>
      <c r="AA717" s="8"/>
      <c r="AB717" s="8"/>
    </row>
    <row r="718">
      <c r="A718" s="8"/>
      <c r="B718" s="8"/>
      <c r="C718" s="8"/>
      <c r="D718" s="8"/>
      <c r="E718" s="8"/>
      <c r="F718" s="366"/>
      <c r="G718" s="8"/>
      <c r="H718" s="8"/>
      <c r="I718" s="8"/>
      <c r="J718" s="8"/>
      <c r="K718" s="8"/>
      <c r="L718" s="8"/>
      <c r="M718" s="8"/>
      <c r="N718" s="8"/>
      <c r="O718" s="8"/>
      <c r="P718" s="8"/>
      <c r="Q718" s="8"/>
      <c r="R718" s="8"/>
      <c r="S718" s="367"/>
      <c r="T718" s="367"/>
      <c r="U718" s="367"/>
      <c r="V718" s="367"/>
      <c r="W718" s="8"/>
      <c r="X718" s="8"/>
      <c r="Y718" s="8"/>
      <c r="Z718" s="8"/>
      <c r="AA718" s="8"/>
      <c r="AB718" s="8"/>
    </row>
    <row r="719">
      <c r="A719" s="8"/>
      <c r="B719" s="8"/>
      <c r="C719" s="8"/>
      <c r="D719" s="8"/>
      <c r="E719" s="8"/>
      <c r="F719" s="366"/>
      <c r="G719" s="8"/>
      <c r="H719" s="8"/>
      <c r="I719" s="8"/>
      <c r="J719" s="8"/>
      <c r="K719" s="8"/>
      <c r="L719" s="8"/>
      <c r="M719" s="8"/>
      <c r="N719" s="8"/>
      <c r="O719" s="8"/>
      <c r="P719" s="8"/>
      <c r="Q719" s="8"/>
      <c r="R719" s="8"/>
      <c r="S719" s="367"/>
      <c r="T719" s="367"/>
      <c r="U719" s="367"/>
      <c r="V719" s="367"/>
      <c r="W719" s="8"/>
      <c r="X719" s="8"/>
      <c r="Y719" s="8"/>
      <c r="Z719" s="8"/>
      <c r="AA719" s="8"/>
      <c r="AB719" s="8"/>
    </row>
    <row r="720">
      <c r="A720" s="8"/>
      <c r="B720" s="8"/>
      <c r="C720" s="8"/>
      <c r="D720" s="8"/>
      <c r="E720" s="8"/>
      <c r="F720" s="366"/>
      <c r="G720" s="8"/>
      <c r="H720" s="8"/>
      <c r="I720" s="8"/>
      <c r="J720" s="8"/>
      <c r="K720" s="8"/>
      <c r="L720" s="8"/>
      <c r="M720" s="8"/>
      <c r="N720" s="8"/>
      <c r="O720" s="8"/>
      <c r="P720" s="8"/>
      <c r="Q720" s="8"/>
      <c r="R720" s="8"/>
      <c r="S720" s="367"/>
      <c r="T720" s="367"/>
      <c r="U720" s="367"/>
      <c r="V720" s="367"/>
      <c r="W720" s="8"/>
      <c r="X720" s="8"/>
      <c r="Y720" s="8"/>
      <c r="Z720" s="8"/>
      <c r="AA720" s="8"/>
      <c r="AB720" s="8"/>
    </row>
    <row r="721">
      <c r="A721" s="8"/>
      <c r="B721" s="8"/>
      <c r="C721" s="8"/>
      <c r="D721" s="8"/>
      <c r="E721" s="8"/>
      <c r="F721" s="366"/>
      <c r="G721" s="8"/>
      <c r="H721" s="8"/>
      <c r="I721" s="8"/>
      <c r="J721" s="8"/>
      <c r="K721" s="8"/>
      <c r="L721" s="8"/>
      <c r="M721" s="8"/>
      <c r="N721" s="8"/>
      <c r="O721" s="8"/>
      <c r="P721" s="8"/>
      <c r="Q721" s="8"/>
      <c r="R721" s="8"/>
      <c r="S721" s="367"/>
      <c r="T721" s="367"/>
      <c r="U721" s="367"/>
      <c r="V721" s="367"/>
      <c r="W721" s="8"/>
      <c r="X721" s="8"/>
      <c r="Y721" s="8"/>
      <c r="Z721" s="8"/>
      <c r="AA721" s="8"/>
      <c r="AB721" s="8"/>
    </row>
    <row r="722">
      <c r="A722" s="8"/>
      <c r="B722" s="8"/>
      <c r="C722" s="8"/>
      <c r="D722" s="8"/>
      <c r="E722" s="8"/>
      <c r="F722" s="366"/>
      <c r="G722" s="8"/>
      <c r="H722" s="8"/>
      <c r="I722" s="8"/>
      <c r="J722" s="8"/>
      <c r="K722" s="8"/>
      <c r="L722" s="8"/>
      <c r="M722" s="8"/>
      <c r="N722" s="8"/>
      <c r="O722" s="8"/>
      <c r="P722" s="8"/>
      <c r="Q722" s="8"/>
      <c r="R722" s="8"/>
      <c r="S722" s="367"/>
      <c r="T722" s="367"/>
      <c r="U722" s="367"/>
      <c r="V722" s="367"/>
      <c r="W722" s="8"/>
      <c r="X722" s="8"/>
      <c r="Y722" s="8"/>
      <c r="Z722" s="8"/>
      <c r="AA722" s="8"/>
      <c r="AB722" s="8"/>
    </row>
    <row r="723">
      <c r="A723" s="8"/>
      <c r="B723" s="8"/>
      <c r="C723" s="8"/>
      <c r="D723" s="8"/>
      <c r="E723" s="8"/>
      <c r="F723" s="366"/>
      <c r="G723" s="8"/>
      <c r="H723" s="8"/>
      <c r="I723" s="8"/>
      <c r="J723" s="8"/>
      <c r="K723" s="8"/>
      <c r="L723" s="8"/>
      <c r="M723" s="8"/>
      <c r="N723" s="8"/>
      <c r="O723" s="8"/>
      <c r="P723" s="8"/>
      <c r="Q723" s="8"/>
      <c r="R723" s="8"/>
      <c r="S723" s="367"/>
      <c r="T723" s="367"/>
      <c r="U723" s="367"/>
      <c r="V723" s="367"/>
      <c r="W723" s="8"/>
      <c r="X723" s="8"/>
      <c r="Y723" s="8"/>
      <c r="Z723" s="8"/>
      <c r="AA723" s="8"/>
      <c r="AB723" s="8"/>
    </row>
    <row r="724">
      <c r="A724" s="8"/>
      <c r="B724" s="8"/>
      <c r="C724" s="8"/>
      <c r="D724" s="8"/>
      <c r="E724" s="8"/>
      <c r="F724" s="366"/>
      <c r="G724" s="8"/>
      <c r="H724" s="8"/>
      <c r="I724" s="8"/>
      <c r="J724" s="8"/>
      <c r="K724" s="8"/>
      <c r="L724" s="8"/>
      <c r="M724" s="8"/>
      <c r="N724" s="8"/>
      <c r="O724" s="8"/>
      <c r="P724" s="8"/>
      <c r="Q724" s="8"/>
      <c r="R724" s="8"/>
      <c r="S724" s="367"/>
      <c r="T724" s="367"/>
      <c r="U724" s="367"/>
      <c r="V724" s="367"/>
      <c r="W724" s="8"/>
      <c r="X724" s="8"/>
      <c r="Y724" s="8"/>
      <c r="Z724" s="8"/>
      <c r="AA724" s="8"/>
      <c r="AB724" s="8"/>
    </row>
    <row r="725">
      <c r="A725" s="8"/>
      <c r="B725" s="8"/>
      <c r="C725" s="8"/>
      <c r="D725" s="8"/>
      <c r="E725" s="8"/>
      <c r="F725" s="366"/>
      <c r="G725" s="8"/>
      <c r="H725" s="8"/>
      <c r="I725" s="8"/>
      <c r="J725" s="8"/>
      <c r="K725" s="8"/>
      <c r="L725" s="8"/>
      <c r="M725" s="8"/>
      <c r="N725" s="8"/>
      <c r="O725" s="8"/>
      <c r="P725" s="8"/>
      <c r="Q725" s="8"/>
      <c r="R725" s="8"/>
      <c r="S725" s="367"/>
      <c r="T725" s="367"/>
      <c r="U725" s="367"/>
      <c r="V725" s="367"/>
      <c r="W725" s="8"/>
      <c r="X725" s="8"/>
      <c r="Y725" s="8"/>
      <c r="Z725" s="8"/>
      <c r="AA725" s="8"/>
      <c r="AB725" s="8"/>
    </row>
    <row r="726">
      <c r="A726" s="8"/>
      <c r="B726" s="8"/>
      <c r="C726" s="8"/>
      <c r="D726" s="8"/>
      <c r="E726" s="8"/>
      <c r="F726" s="366"/>
      <c r="G726" s="8"/>
      <c r="H726" s="8"/>
      <c r="I726" s="8"/>
      <c r="J726" s="8"/>
      <c r="K726" s="8"/>
      <c r="L726" s="8"/>
      <c r="M726" s="8"/>
      <c r="N726" s="8"/>
      <c r="O726" s="8"/>
      <c r="P726" s="8"/>
      <c r="Q726" s="8"/>
      <c r="R726" s="8"/>
      <c r="S726" s="367"/>
      <c r="T726" s="367"/>
      <c r="U726" s="367"/>
      <c r="V726" s="367"/>
      <c r="W726" s="8"/>
      <c r="X726" s="8"/>
      <c r="Y726" s="8"/>
      <c r="Z726" s="8"/>
      <c r="AA726" s="8"/>
      <c r="AB726" s="8"/>
    </row>
    <row r="727">
      <c r="A727" s="8"/>
      <c r="B727" s="8"/>
      <c r="C727" s="8"/>
      <c r="D727" s="8"/>
      <c r="E727" s="8"/>
      <c r="F727" s="366"/>
      <c r="G727" s="8"/>
      <c r="H727" s="8"/>
      <c r="I727" s="8"/>
      <c r="J727" s="8"/>
      <c r="K727" s="8"/>
      <c r="L727" s="8"/>
      <c r="M727" s="8"/>
      <c r="N727" s="8"/>
      <c r="O727" s="8"/>
      <c r="P727" s="8"/>
      <c r="Q727" s="8"/>
      <c r="R727" s="8"/>
      <c r="S727" s="367"/>
      <c r="T727" s="367"/>
      <c r="U727" s="367"/>
      <c r="V727" s="367"/>
      <c r="W727" s="8"/>
      <c r="X727" s="8"/>
      <c r="Y727" s="8"/>
      <c r="Z727" s="8"/>
      <c r="AA727" s="8"/>
      <c r="AB727" s="8"/>
    </row>
    <row r="728">
      <c r="A728" s="8"/>
      <c r="B728" s="8"/>
      <c r="C728" s="8"/>
      <c r="D728" s="8"/>
      <c r="E728" s="8"/>
      <c r="F728" s="366"/>
      <c r="G728" s="8"/>
      <c r="H728" s="8"/>
      <c r="I728" s="8"/>
      <c r="J728" s="8"/>
      <c r="K728" s="8"/>
      <c r="L728" s="8"/>
      <c r="M728" s="8"/>
      <c r="N728" s="8"/>
      <c r="O728" s="8"/>
      <c r="P728" s="8"/>
      <c r="Q728" s="8"/>
      <c r="R728" s="8"/>
      <c r="S728" s="367"/>
      <c r="T728" s="367"/>
      <c r="U728" s="367"/>
      <c r="V728" s="367"/>
      <c r="W728" s="8"/>
      <c r="X728" s="8"/>
      <c r="Y728" s="8"/>
      <c r="Z728" s="8"/>
      <c r="AA728" s="8"/>
      <c r="AB728" s="8"/>
    </row>
    <row r="729">
      <c r="A729" s="8"/>
      <c r="B729" s="8"/>
      <c r="C729" s="8"/>
      <c r="D729" s="8"/>
      <c r="E729" s="8"/>
      <c r="F729" s="366"/>
      <c r="G729" s="8"/>
      <c r="H729" s="8"/>
      <c r="I729" s="8"/>
      <c r="J729" s="8"/>
      <c r="K729" s="8"/>
      <c r="L729" s="8"/>
      <c r="M729" s="8"/>
      <c r="N729" s="8"/>
      <c r="O729" s="8"/>
      <c r="P729" s="8"/>
      <c r="Q729" s="8"/>
      <c r="R729" s="8"/>
      <c r="S729" s="367"/>
      <c r="T729" s="367"/>
      <c r="U729" s="367"/>
      <c r="V729" s="367"/>
      <c r="W729" s="8"/>
      <c r="X729" s="8"/>
      <c r="Y729" s="8"/>
      <c r="Z729" s="8"/>
      <c r="AA729" s="8"/>
      <c r="AB729" s="8"/>
    </row>
    <row r="730">
      <c r="A730" s="8"/>
      <c r="B730" s="8"/>
      <c r="C730" s="8"/>
      <c r="D730" s="8"/>
      <c r="E730" s="8"/>
      <c r="F730" s="366"/>
      <c r="G730" s="8"/>
      <c r="H730" s="8"/>
      <c r="I730" s="8"/>
      <c r="J730" s="8"/>
      <c r="K730" s="8"/>
      <c r="L730" s="8"/>
      <c r="M730" s="8"/>
      <c r="N730" s="8"/>
      <c r="O730" s="8"/>
      <c r="P730" s="8"/>
      <c r="Q730" s="8"/>
      <c r="R730" s="8"/>
      <c r="S730" s="367"/>
      <c r="T730" s="367"/>
      <c r="U730" s="367"/>
      <c r="V730" s="367"/>
      <c r="W730" s="8"/>
      <c r="X730" s="8"/>
      <c r="Y730" s="8"/>
      <c r="Z730" s="8"/>
      <c r="AA730" s="8"/>
      <c r="AB730" s="8"/>
    </row>
    <row r="731">
      <c r="A731" s="8"/>
      <c r="B731" s="8"/>
      <c r="C731" s="8"/>
      <c r="D731" s="8"/>
      <c r="E731" s="8"/>
      <c r="F731" s="366"/>
      <c r="G731" s="8"/>
      <c r="H731" s="8"/>
      <c r="I731" s="8"/>
      <c r="J731" s="8"/>
      <c r="K731" s="8"/>
      <c r="L731" s="8"/>
      <c r="M731" s="8"/>
      <c r="N731" s="8"/>
      <c r="O731" s="8"/>
      <c r="P731" s="8"/>
      <c r="Q731" s="8"/>
      <c r="R731" s="8"/>
      <c r="S731" s="367"/>
      <c r="T731" s="367"/>
      <c r="U731" s="367"/>
      <c r="V731" s="367"/>
      <c r="W731" s="8"/>
      <c r="X731" s="8"/>
      <c r="Y731" s="8"/>
      <c r="Z731" s="8"/>
      <c r="AA731" s="8"/>
      <c r="AB731" s="8"/>
    </row>
    <row r="732">
      <c r="A732" s="8"/>
      <c r="B732" s="8"/>
      <c r="C732" s="8"/>
      <c r="D732" s="8"/>
      <c r="E732" s="8"/>
      <c r="F732" s="366"/>
      <c r="G732" s="8"/>
      <c r="H732" s="8"/>
      <c r="I732" s="8"/>
      <c r="J732" s="8"/>
      <c r="K732" s="8"/>
      <c r="L732" s="8"/>
      <c r="M732" s="8"/>
      <c r="N732" s="8"/>
      <c r="O732" s="8"/>
      <c r="P732" s="8"/>
      <c r="Q732" s="8"/>
      <c r="R732" s="8"/>
      <c r="S732" s="367"/>
      <c r="T732" s="367"/>
      <c r="U732" s="367"/>
      <c r="V732" s="367"/>
      <c r="W732" s="8"/>
      <c r="X732" s="8"/>
      <c r="Y732" s="8"/>
      <c r="Z732" s="8"/>
      <c r="AA732" s="8"/>
      <c r="AB732" s="8"/>
    </row>
    <row r="733">
      <c r="A733" s="8"/>
      <c r="B733" s="8"/>
      <c r="C733" s="8"/>
      <c r="D733" s="8"/>
      <c r="E733" s="8"/>
      <c r="F733" s="366"/>
      <c r="G733" s="8"/>
      <c r="H733" s="8"/>
      <c r="I733" s="8"/>
      <c r="J733" s="8"/>
      <c r="K733" s="8"/>
      <c r="L733" s="8"/>
      <c r="M733" s="8"/>
      <c r="N733" s="8"/>
      <c r="O733" s="8"/>
      <c r="P733" s="8"/>
      <c r="Q733" s="8"/>
      <c r="R733" s="8"/>
      <c r="S733" s="367"/>
      <c r="T733" s="367"/>
      <c r="U733" s="367"/>
      <c r="V733" s="367"/>
      <c r="W733" s="8"/>
      <c r="X733" s="8"/>
      <c r="Y733" s="8"/>
      <c r="Z733" s="8"/>
      <c r="AA733" s="8"/>
      <c r="AB733" s="8"/>
    </row>
    <row r="734">
      <c r="A734" s="8"/>
      <c r="B734" s="8"/>
      <c r="C734" s="8"/>
      <c r="D734" s="8"/>
      <c r="E734" s="8"/>
      <c r="F734" s="366"/>
      <c r="G734" s="8"/>
      <c r="H734" s="8"/>
      <c r="I734" s="8"/>
      <c r="J734" s="8"/>
      <c r="K734" s="8"/>
      <c r="L734" s="8"/>
      <c r="M734" s="8"/>
      <c r="N734" s="8"/>
      <c r="O734" s="8"/>
      <c r="P734" s="8"/>
      <c r="Q734" s="8"/>
      <c r="R734" s="8"/>
      <c r="S734" s="367"/>
      <c r="T734" s="367"/>
      <c r="U734" s="367"/>
      <c r="V734" s="367"/>
      <c r="W734" s="8"/>
      <c r="X734" s="8"/>
      <c r="Y734" s="8"/>
      <c r="Z734" s="8"/>
      <c r="AA734" s="8"/>
      <c r="AB734" s="8"/>
    </row>
    <row r="735">
      <c r="A735" s="8"/>
      <c r="B735" s="8"/>
      <c r="C735" s="8"/>
      <c r="D735" s="8"/>
      <c r="E735" s="8"/>
      <c r="F735" s="366"/>
      <c r="G735" s="8"/>
      <c r="H735" s="8"/>
      <c r="I735" s="8"/>
      <c r="J735" s="8"/>
      <c r="K735" s="8"/>
      <c r="L735" s="8"/>
      <c r="M735" s="8"/>
      <c r="N735" s="8"/>
      <c r="O735" s="8"/>
      <c r="P735" s="8"/>
      <c r="Q735" s="8"/>
      <c r="R735" s="8"/>
      <c r="S735" s="367"/>
      <c r="T735" s="367"/>
      <c r="U735" s="367"/>
      <c r="V735" s="367"/>
      <c r="W735" s="8"/>
      <c r="X735" s="8"/>
      <c r="Y735" s="8"/>
      <c r="Z735" s="8"/>
      <c r="AA735" s="8"/>
      <c r="AB735" s="8"/>
    </row>
    <row r="736">
      <c r="A736" s="8"/>
      <c r="B736" s="8"/>
      <c r="C736" s="8"/>
      <c r="D736" s="8"/>
      <c r="E736" s="8"/>
      <c r="F736" s="366"/>
      <c r="G736" s="8"/>
      <c r="H736" s="8"/>
      <c r="I736" s="8"/>
      <c r="J736" s="8"/>
      <c r="K736" s="8"/>
      <c r="L736" s="8"/>
      <c r="M736" s="8"/>
      <c r="N736" s="8"/>
      <c r="O736" s="8"/>
      <c r="P736" s="8"/>
      <c r="Q736" s="8"/>
      <c r="R736" s="8"/>
      <c r="S736" s="367"/>
      <c r="T736" s="367"/>
      <c r="U736" s="367"/>
      <c r="V736" s="367"/>
      <c r="W736" s="8"/>
      <c r="X736" s="8"/>
      <c r="Y736" s="8"/>
      <c r="Z736" s="8"/>
      <c r="AA736" s="8"/>
      <c r="AB736" s="8"/>
    </row>
    <row r="737">
      <c r="A737" s="8"/>
      <c r="B737" s="8"/>
      <c r="C737" s="8"/>
      <c r="D737" s="8"/>
      <c r="E737" s="8"/>
      <c r="F737" s="366"/>
      <c r="G737" s="8"/>
      <c r="H737" s="8"/>
      <c r="I737" s="8"/>
      <c r="J737" s="8"/>
      <c r="K737" s="8"/>
      <c r="L737" s="8"/>
      <c r="M737" s="8"/>
      <c r="N737" s="8"/>
      <c r="O737" s="8"/>
      <c r="P737" s="8"/>
      <c r="Q737" s="8"/>
      <c r="R737" s="8"/>
      <c r="S737" s="367"/>
      <c r="T737" s="367"/>
      <c r="U737" s="367"/>
      <c r="V737" s="367"/>
      <c r="W737" s="8"/>
      <c r="X737" s="8"/>
      <c r="Y737" s="8"/>
      <c r="Z737" s="8"/>
      <c r="AA737" s="8"/>
      <c r="AB737" s="8"/>
    </row>
    <row r="738">
      <c r="A738" s="8"/>
      <c r="B738" s="8"/>
      <c r="C738" s="8"/>
      <c r="D738" s="8"/>
      <c r="E738" s="8"/>
      <c r="F738" s="366"/>
      <c r="G738" s="8"/>
      <c r="H738" s="8"/>
      <c r="I738" s="8"/>
      <c r="J738" s="8"/>
      <c r="K738" s="8"/>
      <c r="L738" s="8"/>
      <c r="M738" s="8"/>
      <c r="N738" s="8"/>
      <c r="O738" s="8"/>
      <c r="P738" s="8"/>
      <c r="Q738" s="8"/>
      <c r="R738" s="8"/>
      <c r="S738" s="367"/>
      <c r="T738" s="367"/>
      <c r="U738" s="367"/>
      <c r="V738" s="367"/>
      <c r="W738" s="8"/>
      <c r="X738" s="8"/>
      <c r="Y738" s="8"/>
      <c r="Z738" s="8"/>
      <c r="AA738" s="8"/>
      <c r="AB738" s="8"/>
    </row>
    <row r="739">
      <c r="A739" s="8"/>
      <c r="B739" s="8"/>
      <c r="C739" s="8"/>
      <c r="D739" s="8"/>
      <c r="E739" s="8"/>
      <c r="F739" s="366"/>
      <c r="G739" s="8"/>
      <c r="H739" s="8"/>
      <c r="I739" s="8"/>
      <c r="J739" s="8"/>
      <c r="K739" s="8"/>
      <c r="L739" s="8"/>
      <c r="M739" s="8"/>
      <c r="N739" s="8"/>
      <c r="O739" s="8"/>
      <c r="P739" s="8"/>
      <c r="Q739" s="8"/>
      <c r="R739" s="8"/>
      <c r="S739" s="367"/>
      <c r="T739" s="367"/>
      <c r="U739" s="367"/>
      <c r="V739" s="367"/>
      <c r="W739" s="8"/>
      <c r="X739" s="8"/>
      <c r="Y739" s="8"/>
      <c r="Z739" s="8"/>
      <c r="AA739" s="8"/>
      <c r="AB739" s="8"/>
    </row>
    <row r="740">
      <c r="A740" s="8"/>
      <c r="B740" s="8"/>
      <c r="C740" s="8"/>
      <c r="D740" s="8"/>
      <c r="E740" s="8"/>
      <c r="F740" s="366"/>
      <c r="G740" s="8"/>
      <c r="H740" s="8"/>
      <c r="I740" s="8"/>
      <c r="J740" s="8"/>
      <c r="K740" s="8"/>
      <c r="L740" s="8"/>
      <c r="M740" s="8"/>
      <c r="N740" s="8"/>
      <c r="O740" s="8"/>
      <c r="P740" s="8"/>
      <c r="Q740" s="8"/>
      <c r="R740" s="8"/>
      <c r="S740" s="367"/>
      <c r="T740" s="367"/>
      <c r="U740" s="367"/>
      <c r="V740" s="367"/>
      <c r="W740" s="8"/>
      <c r="X740" s="8"/>
      <c r="Y740" s="8"/>
      <c r="Z740" s="8"/>
      <c r="AA740" s="8"/>
      <c r="AB740" s="8"/>
    </row>
    <row r="741">
      <c r="A741" s="8"/>
      <c r="B741" s="8"/>
      <c r="C741" s="8"/>
      <c r="D741" s="8"/>
      <c r="E741" s="8"/>
      <c r="F741" s="366"/>
      <c r="G741" s="8"/>
      <c r="H741" s="8"/>
      <c r="I741" s="8"/>
      <c r="J741" s="8"/>
      <c r="K741" s="8"/>
      <c r="L741" s="8"/>
      <c r="M741" s="8"/>
      <c r="N741" s="8"/>
      <c r="O741" s="8"/>
      <c r="P741" s="8"/>
      <c r="Q741" s="8"/>
      <c r="R741" s="8"/>
      <c r="S741" s="367"/>
      <c r="T741" s="367"/>
      <c r="U741" s="367"/>
      <c r="V741" s="367"/>
      <c r="W741" s="8"/>
      <c r="X741" s="8"/>
      <c r="Y741" s="8"/>
      <c r="Z741" s="8"/>
      <c r="AA741" s="8"/>
      <c r="AB741" s="8"/>
    </row>
    <row r="742">
      <c r="A742" s="8"/>
      <c r="B742" s="8"/>
      <c r="C742" s="8"/>
      <c r="D742" s="8"/>
      <c r="E742" s="8"/>
      <c r="F742" s="366"/>
      <c r="G742" s="8"/>
      <c r="H742" s="8"/>
      <c r="I742" s="8"/>
      <c r="J742" s="8"/>
      <c r="K742" s="8"/>
      <c r="L742" s="8"/>
      <c r="M742" s="8"/>
      <c r="N742" s="8"/>
      <c r="O742" s="8"/>
      <c r="P742" s="8"/>
      <c r="Q742" s="8"/>
      <c r="R742" s="8"/>
      <c r="S742" s="367"/>
      <c r="T742" s="367"/>
      <c r="U742" s="367"/>
      <c r="V742" s="367"/>
      <c r="W742" s="8"/>
      <c r="X742" s="8"/>
      <c r="Y742" s="8"/>
      <c r="Z742" s="8"/>
      <c r="AA742" s="8"/>
      <c r="AB742" s="8"/>
    </row>
    <row r="743">
      <c r="A743" s="8"/>
      <c r="B743" s="8"/>
      <c r="C743" s="8"/>
      <c r="D743" s="8"/>
      <c r="E743" s="8"/>
      <c r="F743" s="366"/>
      <c r="G743" s="8"/>
      <c r="H743" s="8"/>
      <c r="I743" s="8"/>
      <c r="J743" s="8"/>
      <c r="K743" s="8"/>
      <c r="L743" s="8"/>
      <c r="M743" s="8"/>
      <c r="N743" s="8"/>
      <c r="O743" s="8"/>
      <c r="P743" s="8"/>
      <c r="Q743" s="8"/>
      <c r="R743" s="8"/>
      <c r="S743" s="367"/>
      <c r="T743" s="367"/>
      <c r="U743" s="367"/>
      <c r="V743" s="367"/>
      <c r="W743" s="8"/>
      <c r="X743" s="8"/>
      <c r="Y743" s="8"/>
      <c r="Z743" s="8"/>
      <c r="AA743" s="8"/>
      <c r="AB743" s="8"/>
    </row>
    <row r="744">
      <c r="A744" s="8"/>
      <c r="B744" s="8"/>
      <c r="C744" s="8"/>
      <c r="D744" s="8"/>
      <c r="E744" s="8"/>
      <c r="F744" s="366"/>
      <c r="G744" s="8"/>
      <c r="H744" s="8"/>
      <c r="I744" s="8"/>
      <c r="J744" s="8"/>
      <c r="K744" s="8"/>
      <c r="L744" s="8"/>
      <c r="M744" s="8"/>
      <c r="N744" s="8"/>
      <c r="O744" s="8"/>
      <c r="P744" s="8"/>
      <c r="Q744" s="8"/>
      <c r="R744" s="8"/>
      <c r="S744" s="367"/>
      <c r="T744" s="367"/>
      <c r="U744" s="367"/>
      <c r="V744" s="367"/>
      <c r="W744" s="8"/>
      <c r="X744" s="8"/>
      <c r="Y744" s="8"/>
      <c r="Z744" s="8"/>
      <c r="AA744" s="8"/>
      <c r="AB744" s="8"/>
    </row>
    <row r="745">
      <c r="A745" s="8"/>
      <c r="B745" s="8"/>
      <c r="C745" s="8"/>
      <c r="D745" s="8"/>
      <c r="E745" s="8"/>
      <c r="F745" s="366"/>
      <c r="G745" s="8"/>
      <c r="H745" s="8"/>
      <c r="I745" s="8"/>
      <c r="J745" s="8"/>
      <c r="K745" s="8"/>
      <c r="L745" s="8"/>
      <c r="M745" s="8"/>
      <c r="N745" s="8"/>
      <c r="O745" s="8"/>
      <c r="P745" s="8"/>
      <c r="Q745" s="8"/>
      <c r="R745" s="8"/>
      <c r="S745" s="367"/>
      <c r="T745" s="367"/>
      <c r="U745" s="367"/>
      <c r="V745" s="367"/>
      <c r="W745" s="8"/>
      <c r="X745" s="8"/>
      <c r="Y745" s="8"/>
      <c r="Z745" s="8"/>
      <c r="AA745" s="8"/>
      <c r="AB745" s="8"/>
    </row>
    <row r="746">
      <c r="A746" s="8"/>
      <c r="B746" s="8"/>
      <c r="C746" s="8"/>
      <c r="D746" s="8"/>
      <c r="E746" s="8"/>
      <c r="F746" s="366"/>
      <c r="G746" s="8"/>
      <c r="H746" s="8"/>
      <c r="I746" s="8"/>
      <c r="J746" s="8"/>
      <c r="K746" s="8"/>
      <c r="L746" s="8"/>
      <c r="M746" s="8"/>
      <c r="N746" s="8"/>
      <c r="O746" s="8"/>
      <c r="P746" s="8"/>
      <c r="Q746" s="8"/>
      <c r="R746" s="8"/>
      <c r="S746" s="367"/>
      <c r="T746" s="367"/>
      <c r="U746" s="367"/>
      <c r="V746" s="367"/>
      <c r="W746" s="8"/>
      <c r="X746" s="8"/>
      <c r="Y746" s="8"/>
      <c r="Z746" s="8"/>
      <c r="AA746" s="8"/>
      <c r="AB746" s="8"/>
    </row>
    <row r="747">
      <c r="A747" s="8"/>
      <c r="B747" s="8"/>
      <c r="C747" s="8"/>
      <c r="D747" s="8"/>
      <c r="E747" s="8"/>
      <c r="F747" s="366"/>
      <c r="G747" s="8"/>
      <c r="H747" s="8"/>
      <c r="I747" s="8"/>
      <c r="J747" s="8"/>
      <c r="K747" s="8"/>
      <c r="L747" s="8"/>
      <c r="M747" s="8"/>
      <c r="N747" s="8"/>
      <c r="O747" s="8"/>
      <c r="P747" s="8"/>
      <c r="Q747" s="8"/>
      <c r="R747" s="8"/>
      <c r="S747" s="367"/>
      <c r="T747" s="367"/>
      <c r="U747" s="367"/>
      <c r="V747" s="367"/>
      <c r="W747" s="8"/>
      <c r="X747" s="8"/>
      <c r="Y747" s="8"/>
      <c r="Z747" s="8"/>
      <c r="AA747" s="8"/>
      <c r="AB747" s="8"/>
    </row>
    <row r="748">
      <c r="A748" s="8"/>
      <c r="B748" s="8"/>
      <c r="C748" s="8"/>
      <c r="D748" s="8"/>
      <c r="E748" s="8"/>
      <c r="F748" s="366"/>
      <c r="G748" s="8"/>
      <c r="H748" s="8"/>
      <c r="I748" s="8"/>
      <c r="J748" s="8"/>
      <c r="K748" s="8"/>
      <c r="L748" s="8"/>
      <c r="M748" s="8"/>
      <c r="N748" s="8"/>
      <c r="O748" s="8"/>
      <c r="P748" s="8"/>
      <c r="Q748" s="8"/>
      <c r="R748" s="8"/>
      <c r="S748" s="367"/>
      <c r="T748" s="367"/>
      <c r="U748" s="367"/>
      <c r="V748" s="367"/>
      <c r="W748" s="8"/>
      <c r="X748" s="8"/>
      <c r="Y748" s="8"/>
      <c r="Z748" s="8"/>
      <c r="AA748" s="8"/>
      <c r="AB748" s="8"/>
    </row>
    <row r="749">
      <c r="A749" s="8"/>
      <c r="B749" s="8"/>
      <c r="C749" s="8"/>
      <c r="D749" s="8"/>
      <c r="E749" s="8"/>
      <c r="F749" s="366"/>
      <c r="G749" s="8"/>
      <c r="H749" s="8"/>
      <c r="I749" s="8"/>
      <c r="J749" s="8"/>
      <c r="K749" s="8"/>
      <c r="L749" s="8"/>
      <c r="M749" s="8"/>
      <c r="N749" s="8"/>
      <c r="O749" s="8"/>
      <c r="P749" s="8"/>
      <c r="Q749" s="8"/>
      <c r="R749" s="8"/>
      <c r="S749" s="367"/>
      <c r="T749" s="367"/>
      <c r="U749" s="367"/>
      <c r="V749" s="367"/>
      <c r="W749" s="8"/>
      <c r="X749" s="8"/>
      <c r="Y749" s="8"/>
      <c r="Z749" s="8"/>
      <c r="AA749" s="8"/>
      <c r="AB749" s="8"/>
    </row>
    <row r="750">
      <c r="A750" s="8"/>
      <c r="B750" s="8"/>
      <c r="C750" s="8"/>
      <c r="D750" s="8"/>
      <c r="E750" s="8"/>
      <c r="F750" s="366"/>
      <c r="G750" s="8"/>
      <c r="H750" s="8"/>
      <c r="I750" s="8"/>
      <c r="J750" s="8"/>
      <c r="K750" s="8"/>
      <c r="L750" s="8"/>
      <c r="M750" s="8"/>
      <c r="N750" s="8"/>
      <c r="O750" s="8"/>
      <c r="P750" s="8"/>
      <c r="Q750" s="8"/>
      <c r="R750" s="8"/>
      <c r="S750" s="367"/>
      <c r="T750" s="367"/>
      <c r="U750" s="367"/>
      <c r="V750" s="367"/>
      <c r="W750" s="8"/>
      <c r="X750" s="8"/>
      <c r="Y750" s="8"/>
      <c r="Z750" s="8"/>
      <c r="AA750" s="8"/>
      <c r="AB750" s="8"/>
    </row>
    <row r="751">
      <c r="A751" s="8"/>
      <c r="B751" s="8"/>
      <c r="C751" s="8"/>
      <c r="D751" s="8"/>
      <c r="E751" s="8"/>
      <c r="F751" s="366"/>
      <c r="G751" s="8"/>
      <c r="H751" s="8"/>
      <c r="I751" s="8"/>
      <c r="J751" s="8"/>
      <c r="K751" s="8"/>
      <c r="L751" s="8"/>
      <c r="M751" s="8"/>
      <c r="N751" s="8"/>
      <c r="O751" s="8"/>
      <c r="P751" s="8"/>
      <c r="Q751" s="8"/>
      <c r="R751" s="8"/>
      <c r="S751" s="367"/>
      <c r="T751" s="367"/>
      <c r="U751" s="367"/>
      <c r="V751" s="367"/>
      <c r="W751" s="8"/>
      <c r="X751" s="8"/>
      <c r="Y751" s="8"/>
      <c r="Z751" s="8"/>
      <c r="AA751" s="8"/>
      <c r="AB751" s="8"/>
    </row>
    <row r="752">
      <c r="A752" s="8"/>
      <c r="B752" s="8"/>
      <c r="C752" s="8"/>
      <c r="D752" s="8"/>
      <c r="E752" s="8"/>
      <c r="F752" s="366"/>
      <c r="G752" s="8"/>
      <c r="H752" s="8"/>
      <c r="I752" s="8"/>
      <c r="J752" s="8"/>
      <c r="K752" s="8"/>
      <c r="L752" s="8"/>
      <c r="M752" s="8"/>
      <c r="N752" s="8"/>
      <c r="O752" s="8"/>
      <c r="P752" s="8"/>
      <c r="Q752" s="8"/>
      <c r="R752" s="8"/>
      <c r="S752" s="367"/>
      <c r="T752" s="367"/>
      <c r="U752" s="367"/>
      <c r="V752" s="367"/>
      <c r="W752" s="8"/>
      <c r="X752" s="8"/>
      <c r="Y752" s="8"/>
      <c r="Z752" s="8"/>
      <c r="AA752" s="8"/>
      <c r="AB752" s="8"/>
    </row>
    <row r="753">
      <c r="A753" s="8"/>
      <c r="B753" s="8"/>
      <c r="C753" s="8"/>
      <c r="D753" s="8"/>
      <c r="E753" s="8"/>
      <c r="F753" s="366"/>
      <c r="G753" s="8"/>
      <c r="H753" s="8"/>
      <c r="I753" s="8"/>
      <c r="J753" s="8"/>
      <c r="K753" s="8"/>
      <c r="L753" s="8"/>
      <c r="M753" s="8"/>
      <c r="N753" s="8"/>
      <c r="O753" s="8"/>
      <c r="P753" s="8"/>
      <c r="Q753" s="8"/>
      <c r="R753" s="8"/>
      <c r="S753" s="367"/>
      <c r="T753" s="367"/>
      <c r="U753" s="367"/>
      <c r="V753" s="367"/>
      <c r="W753" s="8"/>
      <c r="X753" s="8"/>
      <c r="Y753" s="8"/>
      <c r="Z753" s="8"/>
      <c r="AA753" s="8"/>
      <c r="AB753" s="8"/>
    </row>
    <row r="754">
      <c r="A754" s="8"/>
      <c r="B754" s="8"/>
      <c r="C754" s="8"/>
      <c r="D754" s="8"/>
      <c r="E754" s="8"/>
      <c r="F754" s="366"/>
      <c r="G754" s="8"/>
      <c r="H754" s="8"/>
      <c r="I754" s="8"/>
      <c r="J754" s="8"/>
      <c r="K754" s="8"/>
      <c r="L754" s="8"/>
      <c r="M754" s="8"/>
      <c r="N754" s="8"/>
      <c r="O754" s="8"/>
      <c r="P754" s="8"/>
      <c r="Q754" s="8"/>
      <c r="R754" s="8"/>
      <c r="S754" s="367"/>
      <c r="T754" s="367"/>
      <c r="U754" s="367"/>
      <c r="V754" s="367"/>
      <c r="W754" s="8"/>
      <c r="X754" s="8"/>
      <c r="Y754" s="8"/>
      <c r="Z754" s="8"/>
      <c r="AA754" s="8"/>
      <c r="AB754" s="8"/>
    </row>
    <row r="755">
      <c r="A755" s="8"/>
      <c r="B755" s="8"/>
      <c r="C755" s="8"/>
      <c r="D755" s="8"/>
      <c r="E755" s="8"/>
      <c r="F755" s="366"/>
      <c r="G755" s="8"/>
      <c r="H755" s="8"/>
      <c r="I755" s="8"/>
      <c r="J755" s="8"/>
      <c r="K755" s="8"/>
      <c r="L755" s="8"/>
      <c r="M755" s="8"/>
      <c r="N755" s="8"/>
      <c r="O755" s="8"/>
      <c r="P755" s="8"/>
      <c r="Q755" s="8"/>
      <c r="R755" s="8"/>
      <c r="S755" s="367"/>
      <c r="T755" s="367"/>
      <c r="U755" s="367"/>
      <c r="V755" s="367"/>
      <c r="W755" s="8"/>
      <c r="X755" s="8"/>
      <c r="Y755" s="8"/>
      <c r="Z755" s="8"/>
      <c r="AA755" s="8"/>
      <c r="AB755" s="8"/>
    </row>
    <row r="756">
      <c r="A756" s="8"/>
      <c r="B756" s="8"/>
      <c r="C756" s="8"/>
      <c r="D756" s="8"/>
      <c r="E756" s="8"/>
      <c r="F756" s="366"/>
      <c r="G756" s="8"/>
      <c r="H756" s="8"/>
      <c r="I756" s="8"/>
      <c r="J756" s="8"/>
      <c r="K756" s="8"/>
      <c r="L756" s="8"/>
      <c r="M756" s="8"/>
      <c r="N756" s="8"/>
      <c r="O756" s="8"/>
      <c r="P756" s="8"/>
      <c r="Q756" s="8"/>
      <c r="R756" s="8"/>
      <c r="S756" s="367"/>
      <c r="T756" s="367"/>
      <c r="U756" s="367"/>
      <c r="V756" s="367"/>
      <c r="W756" s="8"/>
      <c r="X756" s="8"/>
      <c r="Y756" s="8"/>
      <c r="Z756" s="8"/>
      <c r="AA756" s="8"/>
      <c r="AB756" s="8"/>
    </row>
    <row r="757">
      <c r="A757" s="8"/>
      <c r="B757" s="8"/>
      <c r="C757" s="8"/>
      <c r="D757" s="8"/>
      <c r="E757" s="8"/>
      <c r="F757" s="366"/>
      <c r="G757" s="8"/>
      <c r="H757" s="8"/>
      <c r="I757" s="8"/>
      <c r="J757" s="8"/>
      <c r="K757" s="8"/>
      <c r="L757" s="8"/>
      <c r="M757" s="8"/>
      <c r="N757" s="8"/>
      <c r="O757" s="8"/>
      <c r="P757" s="8"/>
      <c r="Q757" s="8"/>
      <c r="R757" s="8"/>
      <c r="S757" s="367"/>
      <c r="T757" s="367"/>
      <c r="U757" s="367"/>
      <c r="V757" s="367"/>
      <c r="W757" s="8"/>
      <c r="X757" s="8"/>
      <c r="Y757" s="8"/>
      <c r="Z757" s="8"/>
      <c r="AA757" s="8"/>
      <c r="AB757" s="8"/>
    </row>
    <row r="758">
      <c r="A758" s="8"/>
      <c r="B758" s="8"/>
      <c r="C758" s="8"/>
      <c r="D758" s="8"/>
      <c r="E758" s="8"/>
      <c r="F758" s="366"/>
      <c r="G758" s="8"/>
      <c r="H758" s="8"/>
      <c r="I758" s="8"/>
      <c r="J758" s="8"/>
      <c r="K758" s="8"/>
      <c r="L758" s="8"/>
      <c r="M758" s="8"/>
      <c r="N758" s="8"/>
      <c r="O758" s="8"/>
      <c r="P758" s="8"/>
      <c r="Q758" s="8"/>
      <c r="R758" s="8"/>
      <c r="S758" s="367"/>
      <c r="T758" s="367"/>
      <c r="U758" s="367"/>
      <c r="V758" s="367"/>
      <c r="W758" s="8"/>
      <c r="X758" s="8"/>
      <c r="Y758" s="8"/>
      <c r="Z758" s="8"/>
      <c r="AA758" s="8"/>
      <c r="AB758" s="8"/>
    </row>
    <row r="759">
      <c r="A759" s="8"/>
      <c r="B759" s="8"/>
      <c r="C759" s="8"/>
      <c r="D759" s="8"/>
      <c r="E759" s="8"/>
      <c r="F759" s="366"/>
      <c r="G759" s="8"/>
      <c r="H759" s="8"/>
      <c r="I759" s="8"/>
      <c r="J759" s="8"/>
      <c r="K759" s="8"/>
      <c r="L759" s="8"/>
      <c r="M759" s="8"/>
      <c r="N759" s="8"/>
      <c r="O759" s="8"/>
      <c r="P759" s="8"/>
      <c r="Q759" s="8"/>
      <c r="R759" s="8"/>
      <c r="S759" s="367"/>
      <c r="T759" s="367"/>
      <c r="U759" s="367"/>
      <c r="V759" s="367"/>
      <c r="W759" s="8"/>
      <c r="X759" s="8"/>
      <c r="Y759" s="8"/>
      <c r="Z759" s="8"/>
      <c r="AA759" s="8"/>
      <c r="AB759" s="8"/>
    </row>
    <row r="760">
      <c r="A760" s="8"/>
      <c r="B760" s="8"/>
      <c r="C760" s="8"/>
      <c r="D760" s="8"/>
      <c r="E760" s="8"/>
      <c r="F760" s="366"/>
      <c r="G760" s="8"/>
      <c r="H760" s="8"/>
      <c r="I760" s="8"/>
      <c r="J760" s="8"/>
      <c r="K760" s="8"/>
      <c r="L760" s="8"/>
      <c r="M760" s="8"/>
      <c r="N760" s="8"/>
      <c r="O760" s="8"/>
      <c r="P760" s="8"/>
      <c r="Q760" s="8"/>
      <c r="R760" s="8"/>
      <c r="S760" s="367"/>
      <c r="T760" s="367"/>
      <c r="U760" s="367"/>
      <c r="V760" s="367"/>
      <c r="W760" s="8"/>
      <c r="X760" s="8"/>
      <c r="Y760" s="8"/>
      <c r="Z760" s="8"/>
      <c r="AA760" s="8"/>
      <c r="AB760" s="8"/>
    </row>
    <row r="761">
      <c r="A761" s="8"/>
      <c r="B761" s="8"/>
      <c r="C761" s="8"/>
      <c r="D761" s="8"/>
      <c r="E761" s="8"/>
      <c r="F761" s="366"/>
      <c r="G761" s="8"/>
      <c r="H761" s="8"/>
      <c r="I761" s="8"/>
      <c r="J761" s="8"/>
      <c r="K761" s="8"/>
      <c r="L761" s="8"/>
      <c r="M761" s="8"/>
      <c r="N761" s="8"/>
      <c r="O761" s="8"/>
      <c r="P761" s="8"/>
      <c r="Q761" s="8"/>
      <c r="R761" s="8"/>
      <c r="S761" s="367"/>
      <c r="T761" s="367"/>
      <c r="U761" s="367"/>
      <c r="V761" s="367"/>
      <c r="W761" s="8"/>
      <c r="X761" s="8"/>
      <c r="Y761" s="8"/>
      <c r="Z761" s="8"/>
      <c r="AA761" s="8"/>
      <c r="AB761" s="8"/>
    </row>
    <row r="762">
      <c r="A762" s="8"/>
      <c r="B762" s="8"/>
      <c r="C762" s="8"/>
      <c r="D762" s="8"/>
      <c r="E762" s="8"/>
      <c r="F762" s="366"/>
      <c r="G762" s="8"/>
      <c r="H762" s="8"/>
      <c r="I762" s="8"/>
      <c r="J762" s="8"/>
      <c r="K762" s="8"/>
      <c r="L762" s="8"/>
      <c r="M762" s="8"/>
      <c r="N762" s="8"/>
      <c r="O762" s="8"/>
      <c r="P762" s="8"/>
      <c r="Q762" s="8"/>
      <c r="R762" s="8"/>
      <c r="S762" s="367"/>
      <c r="T762" s="367"/>
      <c r="U762" s="367"/>
      <c r="V762" s="367"/>
      <c r="W762" s="8"/>
      <c r="X762" s="8"/>
      <c r="Y762" s="8"/>
      <c r="Z762" s="8"/>
      <c r="AA762" s="8"/>
      <c r="AB762" s="8"/>
    </row>
    <row r="763">
      <c r="A763" s="8"/>
      <c r="B763" s="8"/>
      <c r="C763" s="8"/>
      <c r="D763" s="8"/>
      <c r="E763" s="8"/>
      <c r="F763" s="366"/>
      <c r="G763" s="8"/>
      <c r="H763" s="8"/>
      <c r="I763" s="8"/>
      <c r="J763" s="8"/>
      <c r="K763" s="8"/>
      <c r="L763" s="8"/>
      <c r="M763" s="8"/>
      <c r="N763" s="8"/>
      <c r="O763" s="8"/>
      <c r="P763" s="8"/>
      <c r="Q763" s="8"/>
      <c r="R763" s="8"/>
      <c r="S763" s="367"/>
      <c r="T763" s="367"/>
      <c r="U763" s="367"/>
      <c r="V763" s="367"/>
      <c r="W763" s="8"/>
      <c r="X763" s="8"/>
      <c r="Y763" s="8"/>
      <c r="Z763" s="8"/>
      <c r="AA763" s="8"/>
      <c r="AB763" s="8"/>
    </row>
    <row r="764">
      <c r="A764" s="8"/>
      <c r="B764" s="8"/>
      <c r="C764" s="8"/>
      <c r="D764" s="8"/>
      <c r="E764" s="8"/>
      <c r="F764" s="366"/>
      <c r="G764" s="8"/>
      <c r="H764" s="8"/>
      <c r="I764" s="8"/>
      <c r="J764" s="8"/>
      <c r="K764" s="8"/>
      <c r="L764" s="8"/>
      <c r="M764" s="8"/>
      <c r="N764" s="8"/>
      <c r="O764" s="8"/>
      <c r="P764" s="8"/>
      <c r="Q764" s="8"/>
      <c r="R764" s="8"/>
      <c r="S764" s="367"/>
      <c r="T764" s="367"/>
      <c r="U764" s="367"/>
      <c r="V764" s="367"/>
      <c r="W764" s="8"/>
      <c r="X764" s="8"/>
      <c r="Y764" s="8"/>
      <c r="Z764" s="8"/>
      <c r="AA764" s="8"/>
      <c r="AB764" s="8"/>
    </row>
    <row r="765">
      <c r="A765" s="8"/>
      <c r="B765" s="8"/>
      <c r="C765" s="8"/>
      <c r="D765" s="8"/>
      <c r="E765" s="8"/>
      <c r="F765" s="366"/>
      <c r="G765" s="8"/>
      <c r="H765" s="8"/>
      <c r="I765" s="8"/>
      <c r="J765" s="8"/>
      <c r="K765" s="8"/>
      <c r="L765" s="8"/>
      <c r="M765" s="8"/>
      <c r="N765" s="8"/>
      <c r="O765" s="8"/>
      <c r="P765" s="8"/>
      <c r="Q765" s="8"/>
      <c r="R765" s="8"/>
      <c r="S765" s="367"/>
      <c r="T765" s="367"/>
      <c r="U765" s="367"/>
      <c r="V765" s="367"/>
      <c r="W765" s="8"/>
      <c r="X765" s="8"/>
      <c r="Y765" s="8"/>
      <c r="Z765" s="8"/>
      <c r="AA765" s="8"/>
      <c r="AB765" s="8"/>
    </row>
    <row r="766">
      <c r="A766" s="8"/>
      <c r="B766" s="8"/>
      <c r="C766" s="8"/>
      <c r="D766" s="8"/>
      <c r="E766" s="8"/>
      <c r="F766" s="366"/>
      <c r="G766" s="8"/>
      <c r="H766" s="8"/>
      <c r="I766" s="8"/>
      <c r="J766" s="8"/>
      <c r="K766" s="8"/>
      <c r="L766" s="8"/>
      <c r="M766" s="8"/>
      <c r="N766" s="8"/>
      <c r="O766" s="8"/>
      <c r="P766" s="8"/>
      <c r="Q766" s="8"/>
      <c r="R766" s="8"/>
      <c r="S766" s="367"/>
      <c r="T766" s="367"/>
      <c r="U766" s="367"/>
      <c r="V766" s="367"/>
      <c r="W766" s="8"/>
      <c r="X766" s="8"/>
      <c r="Y766" s="8"/>
      <c r="Z766" s="8"/>
      <c r="AA766" s="8"/>
      <c r="AB766" s="8"/>
    </row>
    <row r="767">
      <c r="A767" s="8"/>
      <c r="B767" s="8"/>
      <c r="C767" s="8"/>
      <c r="D767" s="8"/>
      <c r="E767" s="8"/>
      <c r="F767" s="366"/>
      <c r="G767" s="8"/>
      <c r="H767" s="8"/>
      <c r="I767" s="8"/>
      <c r="J767" s="8"/>
      <c r="K767" s="8"/>
      <c r="L767" s="8"/>
      <c r="M767" s="8"/>
      <c r="N767" s="8"/>
      <c r="O767" s="8"/>
      <c r="P767" s="8"/>
      <c r="Q767" s="8"/>
      <c r="R767" s="8"/>
      <c r="S767" s="367"/>
      <c r="T767" s="367"/>
      <c r="U767" s="367"/>
      <c r="V767" s="367"/>
      <c r="W767" s="8"/>
      <c r="X767" s="8"/>
      <c r="Y767" s="8"/>
      <c r="Z767" s="8"/>
      <c r="AA767" s="8"/>
      <c r="AB767" s="8"/>
    </row>
    <row r="768">
      <c r="A768" s="8"/>
      <c r="B768" s="8"/>
      <c r="C768" s="8"/>
      <c r="D768" s="8"/>
      <c r="E768" s="8"/>
      <c r="F768" s="366"/>
      <c r="G768" s="8"/>
      <c r="H768" s="8"/>
      <c r="I768" s="8"/>
      <c r="J768" s="8"/>
      <c r="K768" s="8"/>
      <c r="L768" s="8"/>
      <c r="M768" s="8"/>
      <c r="N768" s="8"/>
      <c r="O768" s="8"/>
      <c r="P768" s="8"/>
      <c r="Q768" s="8"/>
      <c r="R768" s="8"/>
      <c r="S768" s="367"/>
      <c r="T768" s="367"/>
      <c r="U768" s="367"/>
      <c r="V768" s="367"/>
      <c r="W768" s="8"/>
      <c r="X768" s="8"/>
      <c r="Y768" s="8"/>
      <c r="Z768" s="8"/>
      <c r="AA768" s="8"/>
      <c r="AB768" s="8"/>
    </row>
    <row r="769">
      <c r="A769" s="8"/>
      <c r="B769" s="8"/>
      <c r="C769" s="8"/>
      <c r="D769" s="8"/>
      <c r="E769" s="8"/>
      <c r="F769" s="366"/>
      <c r="G769" s="8"/>
      <c r="H769" s="8"/>
      <c r="I769" s="8"/>
      <c r="J769" s="8"/>
      <c r="K769" s="8"/>
      <c r="L769" s="8"/>
      <c r="M769" s="8"/>
      <c r="N769" s="8"/>
      <c r="O769" s="8"/>
      <c r="P769" s="8"/>
      <c r="Q769" s="8"/>
      <c r="R769" s="8"/>
      <c r="S769" s="367"/>
      <c r="T769" s="367"/>
      <c r="U769" s="367"/>
      <c r="V769" s="367"/>
      <c r="W769" s="8"/>
      <c r="X769" s="8"/>
      <c r="Y769" s="8"/>
      <c r="Z769" s="8"/>
      <c r="AA769" s="8"/>
      <c r="AB769" s="8"/>
    </row>
    <row r="770">
      <c r="A770" s="8"/>
      <c r="B770" s="8"/>
      <c r="C770" s="8"/>
      <c r="D770" s="8"/>
      <c r="E770" s="8"/>
      <c r="F770" s="366"/>
      <c r="G770" s="8"/>
      <c r="H770" s="8"/>
      <c r="I770" s="8"/>
      <c r="J770" s="8"/>
      <c r="K770" s="8"/>
      <c r="L770" s="8"/>
      <c r="M770" s="8"/>
      <c r="N770" s="8"/>
      <c r="O770" s="8"/>
      <c r="P770" s="8"/>
      <c r="Q770" s="8"/>
      <c r="R770" s="8"/>
      <c r="S770" s="367"/>
      <c r="T770" s="367"/>
      <c r="U770" s="367"/>
      <c r="V770" s="367"/>
      <c r="W770" s="8"/>
      <c r="X770" s="8"/>
      <c r="Y770" s="8"/>
      <c r="Z770" s="8"/>
      <c r="AA770" s="8"/>
      <c r="AB770" s="8"/>
    </row>
    <row r="771">
      <c r="A771" s="8"/>
      <c r="B771" s="8"/>
      <c r="C771" s="8"/>
      <c r="D771" s="8"/>
      <c r="E771" s="8"/>
      <c r="F771" s="366"/>
      <c r="G771" s="8"/>
      <c r="H771" s="8"/>
      <c r="I771" s="8"/>
      <c r="J771" s="8"/>
      <c r="K771" s="8"/>
      <c r="L771" s="8"/>
      <c r="M771" s="8"/>
      <c r="N771" s="8"/>
      <c r="O771" s="8"/>
      <c r="P771" s="8"/>
      <c r="Q771" s="8"/>
      <c r="R771" s="8"/>
      <c r="S771" s="367"/>
      <c r="T771" s="367"/>
      <c r="U771" s="367"/>
      <c r="V771" s="367"/>
      <c r="W771" s="8"/>
      <c r="X771" s="8"/>
      <c r="Y771" s="8"/>
      <c r="Z771" s="8"/>
      <c r="AA771" s="8"/>
      <c r="AB771" s="8"/>
    </row>
    <row r="772">
      <c r="A772" s="8"/>
      <c r="B772" s="8"/>
      <c r="C772" s="8"/>
      <c r="D772" s="8"/>
      <c r="E772" s="8"/>
      <c r="F772" s="366"/>
      <c r="G772" s="8"/>
      <c r="H772" s="8"/>
      <c r="I772" s="8"/>
      <c r="J772" s="8"/>
      <c r="K772" s="8"/>
      <c r="L772" s="8"/>
      <c r="M772" s="8"/>
      <c r="N772" s="8"/>
      <c r="O772" s="8"/>
      <c r="P772" s="8"/>
      <c r="Q772" s="8"/>
      <c r="R772" s="8"/>
      <c r="S772" s="367"/>
      <c r="T772" s="367"/>
      <c r="U772" s="367"/>
      <c r="V772" s="367"/>
      <c r="W772" s="8"/>
      <c r="X772" s="8"/>
      <c r="Y772" s="8"/>
      <c r="Z772" s="8"/>
      <c r="AA772" s="8"/>
      <c r="AB772" s="8"/>
    </row>
    <row r="773">
      <c r="A773" s="8"/>
      <c r="B773" s="8"/>
      <c r="C773" s="8"/>
      <c r="D773" s="8"/>
      <c r="E773" s="8"/>
      <c r="F773" s="366"/>
      <c r="G773" s="8"/>
      <c r="H773" s="8"/>
      <c r="I773" s="8"/>
      <c r="J773" s="8"/>
      <c r="K773" s="8"/>
      <c r="L773" s="8"/>
      <c r="M773" s="8"/>
      <c r="N773" s="8"/>
      <c r="O773" s="8"/>
      <c r="P773" s="8"/>
      <c r="Q773" s="8"/>
      <c r="R773" s="8"/>
      <c r="S773" s="367"/>
      <c r="T773" s="367"/>
      <c r="U773" s="367"/>
      <c r="V773" s="367"/>
      <c r="W773" s="8"/>
      <c r="X773" s="8"/>
      <c r="Y773" s="8"/>
      <c r="Z773" s="8"/>
      <c r="AA773" s="8"/>
      <c r="AB773" s="8"/>
    </row>
    <row r="774">
      <c r="A774" s="8"/>
      <c r="B774" s="8"/>
      <c r="C774" s="8"/>
      <c r="D774" s="8"/>
      <c r="E774" s="8"/>
      <c r="F774" s="366"/>
      <c r="G774" s="8"/>
      <c r="H774" s="8"/>
      <c r="I774" s="8"/>
      <c r="J774" s="8"/>
      <c r="K774" s="8"/>
      <c r="L774" s="8"/>
      <c r="M774" s="8"/>
      <c r="N774" s="8"/>
      <c r="O774" s="8"/>
      <c r="P774" s="8"/>
      <c r="Q774" s="8"/>
      <c r="R774" s="8"/>
      <c r="S774" s="367"/>
      <c r="T774" s="367"/>
      <c r="U774" s="367"/>
      <c r="V774" s="367"/>
      <c r="W774" s="8"/>
      <c r="X774" s="8"/>
      <c r="Y774" s="8"/>
      <c r="Z774" s="8"/>
      <c r="AA774" s="8"/>
      <c r="AB774" s="8"/>
    </row>
    <row r="775">
      <c r="A775" s="8"/>
      <c r="B775" s="8"/>
      <c r="C775" s="8"/>
      <c r="D775" s="8"/>
      <c r="E775" s="8"/>
      <c r="F775" s="366"/>
      <c r="G775" s="8"/>
      <c r="H775" s="8"/>
      <c r="I775" s="8"/>
      <c r="J775" s="8"/>
      <c r="K775" s="8"/>
      <c r="L775" s="8"/>
      <c r="M775" s="8"/>
      <c r="N775" s="8"/>
      <c r="O775" s="8"/>
      <c r="P775" s="8"/>
      <c r="Q775" s="8"/>
      <c r="R775" s="8"/>
      <c r="S775" s="367"/>
      <c r="T775" s="367"/>
      <c r="U775" s="367"/>
      <c r="V775" s="367"/>
      <c r="W775" s="8"/>
      <c r="X775" s="8"/>
      <c r="Y775" s="8"/>
      <c r="Z775" s="8"/>
      <c r="AA775" s="8"/>
      <c r="AB775" s="8"/>
    </row>
    <row r="776">
      <c r="A776" s="8"/>
      <c r="B776" s="8"/>
      <c r="C776" s="8"/>
      <c r="D776" s="8"/>
      <c r="E776" s="8"/>
      <c r="F776" s="366"/>
      <c r="G776" s="8"/>
      <c r="H776" s="8"/>
      <c r="I776" s="8"/>
      <c r="J776" s="8"/>
      <c r="K776" s="8"/>
      <c r="L776" s="8"/>
      <c r="M776" s="8"/>
      <c r="N776" s="8"/>
      <c r="O776" s="8"/>
      <c r="P776" s="8"/>
      <c r="Q776" s="8"/>
      <c r="R776" s="8"/>
      <c r="S776" s="367"/>
      <c r="T776" s="367"/>
      <c r="U776" s="367"/>
      <c r="V776" s="367"/>
      <c r="W776" s="8"/>
      <c r="X776" s="8"/>
      <c r="Y776" s="8"/>
      <c r="Z776" s="8"/>
      <c r="AA776" s="8"/>
      <c r="AB776" s="8"/>
    </row>
    <row r="777">
      <c r="A777" s="8"/>
      <c r="B777" s="8"/>
      <c r="C777" s="8"/>
      <c r="D777" s="8"/>
      <c r="E777" s="8"/>
      <c r="F777" s="366"/>
      <c r="G777" s="8"/>
      <c r="H777" s="8"/>
      <c r="I777" s="8"/>
      <c r="J777" s="8"/>
      <c r="K777" s="8"/>
      <c r="L777" s="8"/>
      <c r="M777" s="8"/>
      <c r="N777" s="8"/>
      <c r="O777" s="8"/>
      <c r="P777" s="8"/>
      <c r="Q777" s="8"/>
      <c r="R777" s="8"/>
      <c r="S777" s="367"/>
      <c r="T777" s="367"/>
      <c r="U777" s="367"/>
      <c r="V777" s="367"/>
      <c r="W777" s="8"/>
      <c r="X777" s="8"/>
      <c r="Y777" s="8"/>
      <c r="Z777" s="8"/>
      <c r="AA777" s="8"/>
      <c r="AB777" s="8"/>
    </row>
    <row r="778">
      <c r="A778" s="8"/>
      <c r="B778" s="8"/>
      <c r="C778" s="8"/>
      <c r="D778" s="8"/>
      <c r="E778" s="8"/>
      <c r="F778" s="366"/>
      <c r="G778" s="8"/>
      <c r="H778" s="8"/>
      <c r="I778" s="8"/>
      <c r="J778" s="8"/>
      <c r="K778" s="8"/>
      <c r="L778" s="8"/>
      <c r="M778" s="8"/>
      <c r="N778" s="8"/>
      <c r="O778" s="8"/>
      <c r="P778" s="8"/>
      <c r="Q778" s="8"/>
      <c r="R778" s="8"/>
      <c r="S778" s="367"/>
      <c r="T778" s="367"/>
      <c r="U778" s="367"/>
      <c r="V778" s="367"/>
      <c r="W778" s="8"/>
      <c r="X778" s="8"/>
      <c r="Y778" s="8"/>
      <c r="Z778" s="8"/>
      <c r="AA778" s="8"/>
      <c r="AB778" s="8"/>
    </row>
    <row r="779">
      <c r="A779" s="8"/>
      <c r="B779" s="8"/>
      <c r="C779" s="8"/>
      <c r="D779" s="8"/>
      <c r="E779" s="8"/>
      <c r="F779" s="366"/>
      <c r="G779" s="8"/>
      <c r="H779" s="8"/>
      <c r="I779" s="8"/>
      <c r="J779" s="8"/>
      <c r="K779" s="8"/>
      <c r="L779" s="8"/>
      <c r="M779" s="8"/>
      <c r="N779" s="8"/>
      <c r="O779" s="8"/>
      <c r="P779" s="8"/>
      <c r="Q779" s="8"/>
      <c r="R779" s="8"/>
      <c r="S779" s="367"/>
      <c r="T779" s="367"/>
      <c r="U779" s="367"/>
      <c r="V779" s="367"/>
      <c r="W779" s="8"/>
      <c r="X779" s="8"/>
      <c r="Y779" s="8"/>
      <c r="Z779" s="8"/>
      <c r="AA779" s="8"/>
      <c r="AB779" s="8"/>
    </row>
    <row r="780">
      <c r="A780" s="8"/>
      <c r="B780" s="8"/>
      <c r="C780" s="8"/>
      <c r="D780" s="8"/>
      <c r="E780" s="8"/>
      <c r="F780" s="366"/>
      <c r="G780" s="8"/>
      <c r="H780" s="8"/>
      <c r="I780" s="8"/>
      <c r="J780" s="8"/>
      <c r="K780" s="8"/>
      <c r="L780" s="8"/>
      <c r="M780" s="8"/>
      <c r="N780" s="8"/>
      <c r="O780" s="8"/>
      <c r="P780" s="8"/>
      <c r="Q780" s="8"/>
      <c r="R780" s="8"/>
      <c r="S780" s="367"/>
      <c r="T780" s="367"/>
      <c r="U780" s="367"/>
      <c r="V780" s="367"/>
      <c r="W780" s="8"/>
      <c r="X780" s="8"/>
      <c r="Y780" s="8"/>
      <c r="Z780" s="8"/>
      <c r="AA780" s="8"/>
      <c r="AB780" s="8"/>
    </row>
    <row r="781">
      <c r="A781" s="8"/>
      <c r="B781" s="8"/>
      <c r="C781" s="8"/>
      <c r="D781" s="8"/>
      <c r="E781" s="8"/>
      <c r="F781" s="366"/>
      <c r="G781" s="8"/>
      <c r="H781" s="8"/>
      <c r="I781" s="8"/>
      <c r="J781" s="8"/>
      <c r="K781" s="8"/>
      <c r="L781" s="8"/>
      <c r="M781" s="8"/>
      <c r="N781" s="8"/>
      <c r="O781" s="8"/>
      <c r="P781" s="8"/>
      <c r="Q781" s="8"/>
      <c r="R781" s="8"/>
      <c r="S781" s="367"/>
      <c r="T781" s="367"/>
      <c r="U781" s="367"/>
      <c r="V781" s="367"/>
      <c r="W781" s="8"/>
      <c r="X781" s="8"/>
      <c r="Y781" s="8"/>
      <c r="Z781" s="8"/>
      <c r="AA781" s="8"/>
      <c r="AB781" s="8"/>
    </row>
    <row r="782">
      <c r="A782" s="8"/>
      <c r="B782" s="8"/>
      <c r="C782" s="8"/>
      <c r="D782" s="8"/>
      <c r="E782" s="8"/>
      <c r="F782" s="366"/>
      <c r="G782" s="8"/>
      <c r="H782" s="8"/>
      <c r="I782" s="8"/>
      <c r="J782" s="8"/>
      <c r="K782" s="8"/>
      <c r="L782" s="8"/>
      <c r="M782" s="8"/>
      <c r="N782" s="8"/>
      <c r="O782" s="8"/>
      <c r="P782" s="8"/>
      <c r="Q782" s="8"/>
      <c r="R782" s="8"/>
      <c r="S782" s="367"/>
      <c r="T782" s="367"/>
      <c r="U782" s="367"/>
      <c r="V782" s="367"/>
      <c r="W782" s="8"/>
      <c r="X782" s="8"/>
      <c r="Y782" s="8"/>
      <c r="Z782" s="8"/>
      <c r="AA782" s="8"/>
      <c r="AB782" s="8"/>
    </row>
    <row r="783">
      <c r="A783" s="8"/>
      <c r="B783" s="8"/>
      <c r="C783" s="8"/>
      <c r="D783" s="8"/>
      <c r="E783" s="8"/>
      <c r="F783" s="366"/>
      <c r="G783" s="8"/>
      <c r="H783" s="8"/>
      <c r="I783" s="8"/>
      <c r="J783" s="8"/>
      <c r="K783" s="8"/>
      <c r="L783" s="8"/>
      <c r="M783" s="8"/>
      <c r="N783" s="8"/>
      <c r="O783" s="8"/>
      <c r="P783" s="8"/>
      <c r="Q783" s="8"/>
      <c r="R783" s="8"/>
      <c r="S783" s="367"/>
      <c r="T783" s="367"/>
      <c r="U783" s="367"/>
      <c r="V783" s="367"/>
      <c r="W783" s="8"/>
      <c r="X783" s="8"/>
      <c r="Y783" s="8"/>
      <c r="Z783" s="8"/>
      <c r="AA783" s="8"/>
      <c r="AB783" s="8"/>
    </row>
    <row r="784">
      <c r="A784" s="8"/>
      <c r="B784" s="8"/>
      <c r="C784" s="8"/>
      <c r="D784" s="8"/>
      <c r="E784" s="8"/>
      <c r="F784" s="366"/>
      <c r="G784" s="8"/>
      <c r="H784" s="8"/>
      <c r="I784" s="8"/>
      <c r="J784" s="8"/>
      <c r="K784" s="8"/>
      <c r="L784" s="8"/>
      <c r="M784" s="8"/>
      <c r="N784" s="8"/>
      <c r="O784" s="8"/>
      <c r="P784" s="8"/>
      <c r="Q784" s="8"/>
      <c r="R784" s="8"/>
      <c r="S784" s="367"/>
      <c r="T784" s="367"/>
      <c r="U784" s="367"/>
      <c r="V784" s="367"/>
      <c r="W784" s="8"/>
      <c r="X784" s="8"/>
      <c r="Y784" s="8"/>
      <c r="Z784" s="8"/>
      <c r="AA784" s="8"/>
      <c r="AB784" s="8"/>
    </row>
    <row r="785">
      <c r="A785" s="8"/>
      <c r="B785" s="8"/>
      <c r="C785" s="8"/>
      <c r="D785" s="8"/>
      <c r="E785" s="8"/>
      <c r="F785" s="366"/>
      <c r="G785" s="8"/>
      <c r="H785" s="8"/>
      <c r="I785" s="8"/>
      <c r="J785" s="8"/>
      <c r="K785" s="8"/>
      <c r="L785" s="8"/>
      <c r="M785" s="8"/>
      <c r="N785" s="8"/>
      <c r="O785" s="8"/>
      <c r="P785" s="8"/>
      <c r="Q785" s="8"/>
      <c r="R785" s="8"/>
      <c r="S785" s="367"/>
      <c r="T785" s="367"/>
      <c r="U785" s="367"/>
      <c r="V785" s="367"/>
      <c r="W785" s="8"/>
      <c r="X785" s="8"/>
      <c r="Y785" s="8"/>
      <c r="Z785" s="8"/>
      <c r="AA785" s="8"/>
      <c r="AB785" s="8"/>
    </row>
    <row r="786">
      <c r="A786" s="8"/>
      <c r="B786" s="8"/>
      <c r="C786" s="8"/>
      <c r="D786" s="8"/>
      <c r="E786" s="8"/>
      <c r="F786" s="366"/>
      <c r="G786" s="8"/>
      <c r="H786" s="8"/>
      <c r="I786" s="8"/>
      <c r="J786" s="8"/>
      <c r="K786" s="8"/>
      <c r="L786" s="8"/>
      <c r="M786" s="8"/>
      <c r="N786" s="8"/>
      <c r="O786" s="8"/>
      <c r="P786" s="8"/>
      <c r="Q786" s="8"/>
      <c r="R786" s="8"/>
      <c r="S786" s="367"/>
      <c r="T786" s="367"/>
      <c r="U786" s="367"/>
      <c r="V786" s="367"/>
      <c r="W786" s="8"/>
      <c r="X786" s="8"/>
      <c r="Y786" s="8"/>
      <c r="Z786" s="8"/>
      <c r="AA786" s="8"/>
      <c r="AB786" s="8"/>
    </row>
    <row r="787">
      <c r="A787" s="8"/>
      <c r="B787" s="8"/>
      <c r="C787" s="8"/>
      <c r="D787" s="8"/>
      <c r="E787" s="8"/>
      <c r="F787" s="366"/>
      <c r="G787" s="8"/>
      <c r="H787" s="8"/>
      <c r="I787" s="8"/>
      <c r="J787" s="8"/>
      <c r="K787" s="8"/>
      <c r="L787" s="8"/>
      <c r="M787" s="8"/>
      <c r="N787" s="8"/>
      <c r="O787" s="8"/>
      <c r="P787" s="8"/>
      <c r="Q787" s="8"/>
      <c r="R787" s="8"/>
      <c r="S787" s="367"/>
      <c r="T787" s="367"/>
      <c r="U787" s="367"/>
      <c r="V787" s="367"/>
      <c r="W787" s="8"/>
      <c r="X787" s="8"/>
      <c r="Y787" s="8"/>
      <c r="Z787" s="8"/>
      <c r="AA787" s="8"/>
      <c r="AB787" s="8"/>
    </row>
    <row r="788">
      <c r="A788" s="8"/>
      <c r="B788" s="8"/>
      <c r="C788" s="8"/>
      <c r="D788" s="8"/>
      <c r="E788" s="8"/>
      <c r="F788" s="366"/>
      <c r="G788" s="8"/>
      <c r="H788" s="8"/>
      <c r="I788" s="8"/>
      <c r="J788" s="8"/>
      <c r="K788" s="8"/>
      <c r="L788" s="8"/>
      <c r="M788" s="8"/>
      <c r="N788" s="8"/>
      <c r="O788" s="8"/>
      <c r="P788" s="8"/>
      <c r="Q788" s="8"/>
      <c r="R788" s="8"/>
      <c r="S788" s="367"/>
      <c r="T788" s="367"/>
      <c r="U788" s="367"/>
      <c r="V788" s="367"/>
      <c r="W788" s="8"/>
      <c r="X788" s="8"/>
      <c r="Y788" s="8"/>
      <c r="Z788" s="8"/>
      <c r="AA788" s="8"/>
      <c r="AB788" s="8"/>
    </row>
    <row r="789">
      <c r="A789" s="8"/>
      <c r="B789" s="8"/>
      <c r="C789" s="8"/>
      <c r="D789" s="8"/>
      <c r="E789" s="8"/>
      <c r="F789" s="366"/>
      <c r="G789" s="8"/>
      <c r="H789" s="8"/>
      <c r="I789" s="8"/>
      <c r="J789" s="8"/>
      <c r="K789" s="8"/>
      <c r="L789" s="8"/>
      <c r="M789" s="8"/>
      <c r="N789" s="8"/>
      <c r="O789" s="8"/>
      <c r="P789" s="8"/>
      <c r="Q789" s="8"/>
      <c r="R789" s="8"/>
      <c r="S789" s="367"/>
      <c r="T789" s="367"/>
      <c r="U789" s="367"/>
      <c r="V789" s="367"/>
      <c r="W789" s="8"/>
      <c r="X789" s="8"/>
      <c r="Y789" s="8"/>
      <c r="Z789" s="8"/>
      <c r="AA789" s="8"/>
      <c r="AB789" s="8"/>
    </row>
    <row r="790">
      <c r="A790" s="8"/>
      <c r="B790" s="8"/>
      <c r="C790" s="8"/>
      <c r="D790" s="8"/>
      <c r="E790" s="8"/>
      <c r="F790" s="366"/>
      <c r="G790" s="8"/>
      <c r="H790" s="8"/>
      <c r="I790" s="8"/>
      <c r="J790" s="8"/>
      <c r="K790" s="8"/>
      <c r="L790" s="8"/>
      <c r="M790" s="8"/>
      <c r="N790" s="8"/>
      <c r="O790" s="8"/>
      <c r="P790" s="8"/>
      <c r="Q790" s="8"/>
      <c r="R790" s="8"/>
      <c r="S790" s="367"/>
      <c r="T790" s="367"/>
      <c r="U790" s="367"/>
      <c r="V790" s="367"/>
      <c r="W790" s="8"/>
      <c r="X790" s="8"/>
      <c r="Y790" s="8"/>
      <c r="Z790" s="8"/>
      <c r="AA790" s="8"/>
      <c r="AB790" s="8"/>
    </row>
    <row r="791">
      <c r="A791" s="8"/>
      <c r="B791" s="8"/>
      <c r="C791" s="8"/>
      <c r="D791" s="8"/>
      <c r="E791" s="8"/>
      <c r="F791" s="366"/>
      <c r="G791" s="8"/>
      <c r="H791" s="8"/>
      <c r="I791" s="8"/>
      <c r="J791" s="8"/>
      <c r="K791" s="8"/>
      <c r="L791" s="8"/>
      <c r="M791" s="8"/>
      <c r="N791" s="8"/>
      <c r="O791" s="8"/>
      <c r="P791" s="8"/>
      <c r="Q791" s="8"/>
      <c r="R791" s="8"/>
      <c r="S791" s="367"/>
      <c r="T791" s="367"/>
      <c r="U791" s="367"/>
      <c r="V791" s="367"/>
      <c r="W791" s="8"/>
      <c r="X791" s="8"/>
      <c r="Y791" s="8"/>
      <c r="Z791" s="8"/>
      <c r="AA791" s="8"/>
      <c r="AB791" s="8"/>
    </row>
    <row r="792">
      <c r="A792" s="8"/>
      <c r="B792" s="8"/>
      <c r="C792" s="8"/>
      <c r="D792" s="8"/>
      <c r="E792" s="8"/>
      <c r="F792" s="366"/>
      <c r="G792" s="8"/>
      <c r="H792" s="8"/>
      <c r="I792" s="8"/>
      <c r="J792" s="8"/>
      <c r="K792" s="8"/>
      <c r="L792" s="8"/>
      <c r="M792" s="8"/>
      <c r="N792" s="8"/>
      <c r="O792" s="8"/>
      <c r="P792" s="8"/>
      <c r="Q792" s="8"/>
      <c r="R792" s="8"/>
      <c r="S792" s="367"/>
      <c r="T792" s="367"/>
      <c r="U792" s="367"/>
      <c r="V792" s="367"/>
      <c r="W792" s="8"/>
      <c r="X792" s="8"/>
      <c r="Y792" s="8"/>
      <c r="Z792" s="8"/>
      <c r="AA792" s="8"/>
      <c r="AB792" s="8"/>
    </row>
    <row r="793">
      <c r="A793" s="8"/>
      <c r="B793" s="8"/>
      <c r="C793" s="8"/>
      <c r="D793" s="8"/>
      <c r="E793" s="8"/>
      <c r="F793" s="366"/>
      <c r="G793" s="8"/>
      <c r="H793" s="8"/>
      <c r="I793" s="8"/>
      <c r="J793" s="8"/>
      <c r="K793" s="8"/>
      <c r="L793" s="8"/>
      <c r="M793" s="8"/>
      <c r="N793" s="8"/>
      <c r="O793" s="8"/>
      <c r="P793" s="8"/>
      <c r="Q793" s="8"/>
      <c r="R793" s="8"/>
      <c r="S793" s="367"/>
      <c r="T793" s="367"/>
      <c r="U793" s="367"/>
      <c r="V793" s="367"/>
      <c r="W793" s="8"/>
      <c r="X793" s="8"/>
      <c r="Y793" s="8"/>
      <c r="Z793" s="8"/>
      <c r="AA793" s="8"/>
      <c r="AB793" s="8"/>
    </row>
    <row r="794">
      <c r="A794" s="8"/>
      <c r="B794" s="8"/>
      <c r="C794" s="8"/>
      <c r="D794" s="8"/>
      <c r="E794" s="8"/>
      <c r="F794" s="366"/>
      <c r="G794" s="8"/>
      <c r="H794" s="8"/>
      <c r="I794" s="8"/>
      <c r="J794" s="8"/>
      <c r="K794" s="8"/>
      <c r="L794" s="8"/>
      <c r="M794" s="8"/>
      <c r="N794" s="8"/>
      <c r="O794" s="8"/>
      <c r="P794" s="8"/>
      <c r="Q794" s="8"/>
      <c r="R794" s="8"/>
      <c r="S794" s="367"/>
      <c r="T794" s="367"/>
      <c r="U794" s="367"/>
      <c r="V794" s="367"/>
      <c r="W794" s="8"/>
      <c r="X794" s="8"/>
      <c r="Y794" s="8"/>
      <c r="Z794" s="8"/>
      <c r="AA794" s="8"/>
      <c r="AB794" s="8"/>
    </row>
    <row r="795">
      <c r="A795" s="8"/>
      <c r="B795" s="8"/>
      <c r="C795" s="8"/>
      <c r="D795" s="8"/>
      <c r="E795" s="8"/>
      <c r="F795" s="366"/>
      <c r="G795" s="8"/>
      <c r="H795" s="8"/>
      <c r="I795" s="8"/>
      <c r="J795" s="8"/>
      <c r="K795" s="8"/>
      <c r="L795" s="8"/>
      <c r="M795" s="8"/>
      <c r="N795" s="8"/>
      <c r="O795" s="8"/>
      <c r="P795" s="8"/>
      <c r="Q795" s="8"/>
      <c r="R795" s="8"/>
      <c r="S795" s="367"/>
      <c r="T795" s="367"/>
      <c r="U795" s="367"/>
      <c r="V795" s="367"/>
      <c r="W795" s="8"/>
      <c r="X795" s="8"/>
      <c r="Y795" s="8"/>
      <c r="Z795" s="8"/>
      <c r="AA795" s="8"/>
      <c r="AB795" s="8"/>
    </row>
    <row r="796">
      <c r="A796" s="8"/>
      <c r="B796" s="8"/>
      <c r="C796" s="8"/>
      <c r="D796" s="8"/>
      <c r="E796" s="8"/>
      <c r="F796" s="366"/>
      <c r="G796" s="8"/>
      <c r="H796" s="8"/>
      <c r="I796" s="8"/>
      <c r="J796" s="8"/>
      <c r="K796" s="8"/>
      <c r="L796" s="8"/>
      <c r="M796" s="8"/>
      <c r="N796" s="8"/>
      <c r="O796" s="8"/>
      <c r="P796" s="8"/>
      <c r="Q796" s="8"/>
      <c r="R796" s="8"/>
      <c r="S796" s="367"/>
      <c r="T796" s="367"/>
      <c r="U796" s="367"/>
      <c r="V796" s="367"/>
      <c r="W796" s="8"/>
      <c r="X796" s="8"/>
      <c r="Y796" s="8"/>
      <c r="Z796" s="8"/>
      <c r="AA796" s="8"/>
      <c r="AB796" s="8"/>
    </row>
    <row r="797">
      <c r="A797" s="8"/>
      <c r="B797" s="8"/>
      <c r="C797" s="8"/>
      <c r="D797" s="8"/>
      <c r="E797" s="8"/>
      <c r="F797" s="366"/>
      <c r="G797" s="8"/>
      <c r="H797" s="8"/>
      <c r="I797" s="8"/>
      <c r="J797" s="8"/>
      <c r="K797" s="8"/>
      <c r="L797" s="8"/>
      <c r="M797" s="8"/>
      <c r="N797" s="8"/>
      <c r="O797" s="8"/>
      <c r="P797" s="8"/>
      <c r="Q797" s="8"/>
      <c r="R797" s="8"/>
      <c r="S797" s="367"/>
      <c r="T797" s="367"/>
      <c r="U797" s="367"/>
      <c r="V797" s="367"/>
      <c r="W797" s="8"/>
      <c r="X797" s="8"/>
      <c r="Y797" s="8"/>
      <c r="Z797" s="8"/>
      <c r="AA797" s="8"/>
      <c r="AB797" s="8"/>
    </row>
    <row r="798">
      <c r="A798" s="8"/>
      <c r="B798" s="8"/>
      <c r="C798" s="8"/>
      <c r="D798" s="8"/>
      <c r="E798" s="8"/>
      <c r="F798" s="366"/>
      <c r="G798" s="8"/>
      <c r="H798" s="8"/>
      <c r="I798" s="8"/>
      <c r="J798" s="8"/>
      <c r="K798" s="8"/>
      <c r="L798" s="8"/>
      <c r="M798" s="8"/>
      <c r="N798" s="8"/>
      <c r="O798" s="8"/>
      <c r="P798" s="8"/>
      <c r="Q798" s="8"/>
      <c r="R798" s="8"/>
      <c r="S798" s="367"/>
      <c r="T798" s="367"/>
      <c r="U798" s="367"/>
      <c r="V798" s="367"/>
      <c r="W798" s="8"/>
      <c r="X798" s="8"/>
      <c r="Y798" s="8"/>
      <c r="Z798" s="8"/>
      <c r="AA798" s="8"/>
      <c r="AB798" s="8"/>
    </row>
    <row r="799">
      <c r="A799" s="8"/>
      <c r="B799" s="8"/>
      <c r="C799" s="8"/>
      <c r="D799" s="8"/>
      <c r="E799" s="8"/>
      <c r="F799" s="366"/>
      <c r="G799" s="8"/>
      <c r="H799" s="8"/>
      <c r="I799" s="8"/>
      <c r="J799" s="8"/>
      <c r="K799" s="8"/>
      <c r="L799" s="8"/>
      <c r="M799" s="8"/>
      <c r="N799" s="8"/>
      <c r="O799" s="8"/>
      <c r="P799" s="8"/>
      <c r="Q799" s="8"/>
      <c r="R799" s="8"/>
      <c r="S799" s="367"/>
      <c r="T799" s="367"/>
      <c r="U799" s="367"/>
      <c r="V799" s="367"/>
      <c r="W799" s="8"/>
      <c r="X799" s="8"/>
      <c r="Y799" s="8"/>
      <c r="Z799" s="8"/>
      <c r="AA799" s="8"/>
      <c r="AB799" s="8"/>
    </row>
    <row r="800">
      <c r="A800" s="8"/>
      <c r="B800" s="8"/>
      <c r="C800" s="8"/>
      <c r="D800" s="8"/>
      <c r="E800" s="8"/>
      <c r="F800" s="366"/>
      <c r="G800" s="8"/>
      <c r="H800" s="8"/>
      <c r="I800" s="8"/>
      <c r="J800" s="8"/>
      <c r="K800" s="8"/>
      <c r="L800" s="8"/>
      <c r="M800" s="8"/>
      <c r="N800" s="8"/>
      <c r="O800" s="8"/>
      <c r="P800" s="8"/>
      <c r="Q800" s="8"/>
      <c r="R800" s="8"/>
      <c r="S800" s="367"/>
      <c r="T800" s="367"/>
      <c r="U800" s="367"/>
      <c r="V800" s="367"/>
      <c r="W800" s="8"/>
      <c r="X800" s="8"/>
      <c r="Y800" s="8"/>
      <c r="Z800" s="8"/>
      <c r="AA800" s="8"/>
      <c r="AB800" s="8"/>
    </row>
    <row r="801">
      <c r="A801" s="8"/>
      <c r="B801" s="8"/>
      <c r="C801" s="8"/>
      <c r="D801" s="8"/>
      <c r="E801" s="8"/>
      <c r="F801" s="366"/>
      <c r="G801" s="8"/>
      <c r="H801" s="8"/>
      <c r="I801" s="8"/>
      <c r="J801" s="8"/>
      <c r="K801" s="8"/>
      <c r="L801" s="8"/>
      <c r="M801" s="8"/>
      <c r="N801" s="8"/>
      <c r="O801" s="8"/>
      <c r="P801" s="8"/>
      <c r="Q801" s="8"/>
      <c r="R801" s="8"/>
      <c r="S801" s="367"/>
      <c r="T801" s="367"/>
      <c r="U801" s="367"/>
      <c r="V801" s="367"/>
      <c r="W801" s="8"/>
      <c r="X801" s="8"/>
      <c r="Y801" s="8"/>
      <c r="Z801" s="8"/>
      <c r="AA801" s="8"/>
      <c r="AB801" s="8"/>
    </row>
    <row r="802">
      <c r="A802" s="8"/>
      <c r="B802" s="8"/>
      <c r="C802" s="8"/>
      <c r="D802" s="8"/>
      <c r="E802" s="8"/>
      <c r="F802" s="366"/>
      <c r="G802" s="8"/>
      <c r="H802" s="8"/>
      <c r="I802" s="8"/>
      <c r="J802" s="8"/>
      <c r="K802" s="8"/>
      <c r="L802" s="8"/>
      <c r="M802" s="8"/>
      <c r="N802" s="8"/>
      <c r="O802" s="8"/>
      <c r="P802" s="8"/>
      <c r="Q802" s="8"/>
      <c r="R802" s="8"/>
      <c r="S802" s="367"/>
      <c r="T802" s="367"/>
      <c r="U802" s="367"/>
      <c r="V802" s="367"/>
      <c r="W802" s="8"/>
      <c r="X802" s="8"/>
      <c r="Y802" s="8"/>
      <c r="Z802" s="8"/>
      <c r="AA802" s="8"/>
      <c r="AB802" s="8"/>
    </row>
    <row r="803">
      <c r="A803" s="8"/>
      <c r="B803" s="8"/>
      <c r="C803" s="8"/>
      <c r="D803" s="8"/>
      <c r="E803" s="8"/>
      <c r="F803" s="366"/>
      <c r="G803" s="8"/>
      <c r="H803" s="8"/>
      <c r="I803" s="8"/>
      <c r="J803" s="8"/>
      <c r="K803" s="8"/>
      <c r="L803" s="8"/>
      <c r="M803" s="8"/>
      <c r="N803" s="8"/>
      <c r="O803" s="8"/>
      <c r="P803" s="8"/>
      <c r="Q803" s="8"/>
      <c r="R803" s="8"/>
      <c r="S803" s="367"/>
      <c r="T803" s="367"/>
      <c r="U803" s="367"/>
      <c r="V803" s="367"/>
      <c r="W803" s="8"/>
      <c r="X803" s="8"/>
      <c r="Y803" s="8"/>
      <c r="Z803" s="8"/>
      <c r="AA803" s="8"/>
      <c r="AB803" s="8"/>
    </row>
    <row r="804">
      <c r="A804" s="8"/>
      <c r="B804" s="8"/>
      <c r="C804" s="8"/>
      <c r="D804" s="8"/>
      <c r="E804" s="8"/>
      <c r="F804" s="366"/>
      <c r="G804" s="8"/>
      <c r="H804" s="8"/>
      <c r="I804" s="8"/>
      <c r="J804" s="8"/>
      <c r="K804" s="8"/>
      <c r="L804" s="8"/>
      <c r="M804" s="8"/>
      <c r="N804" s="8"/>
      <c r="O804" s="8"/>
      <c r="P804" s="8"/>
      <c r="Q804" s="8"/>
      <c r="R804" s="8"/>
      <c r="S804" s="367"/>
      <c r="T804" s="367"/>
      <c r="U804" s="367"/>
      <c r="V804" s="367"/>
      <c r="W804" s="8"/>
      <c r="X804" s="8"/>
      <c r="Y804" s="8"/>
      <c r="Z804" s="8"/>
      <c r="AA804" s="8"/>
      <c r="AB804" s="8"/>
    </row>
    <row r="805">
      <c r="A805" s="8"/>
      <c r="B805" s="8"/>
      <c r="C805" s="8"/>
      <c r="D805" s="8"/>
      <c r="E805" s="8"/>
      <c r="F805" s="366"/>
      <c r="G805" s="8"/>
      <c r="H805" s="8"/>
      <c r="I805" s="8"/>
      <c r="J805" s="8"/>
      <c r="K805" s="8"/>
      <c r="L805" s="8"/>
      <c r="M805" s="8"/>
      <c r="N805" s="8"/>
      <c r="O805" s="8"/>
      <c r="P805" s="8"/>
      <c r="Q805" s="8"/>
      <c r="R805" s="8"/>
      <c r="S805" s="367"/>
      <c r="T805" s="367"/>
      <c r="U805" s="367"/>
      <c r="V805" s="367"/>
      <c r="W805" s="8"/>
      <c r="X805" s="8"/>
      <c r="Y805" s="8"/>
      <c r="Z805" s="8"/>
      <c r="AA805" s="8"/>
      <c r="AB805" s="8"/>
    </row>
    <row r="806">
      <c r="A806" s="8"/>
      <c r="B806" s="8"/>
      <c r="C806" s="8"/>
      <c r="D806" s="8"/>
      <c r="E806" s="8"/>
      <c r="F806" s="366"/>
      <c r="G806" s="8"/>
      <c r="H806" s="8"/>
      <c r="I806" s="8"/>
      <c r="J806" s="8"/>
      <c r="K806" s="8"/>
      <c r="L806" s="8"/>
      <c r="M806" s="8"/>
      <c r="N806" s="8"/>
      <c r="O806" s="8"/>
      <c r="P806" s="8"/>
      <c r="Q806" s="8"/>
      <c r="R806" s="8"/>
      <c r="S806" s="367"/>
      <c r="T806" s="367"/>
      <c r="U806" s="367"/>
      <c r="V806" s="367"/>
      <c r="W806" s="8"/>
      <c r="X806" s="8"/>
      <c r="Y806" s="8"/>
      <c r="Z806" s="8"/>
      <c r="AA806" s="8"/>
      <c r="AB806" s="8"/>
    </row>
    <row r="807">
      <c r="A807" s="8"/>
      <c r="B807" s="8"/>
      <c r="C807" s="8"/>
      <c r="D807" s="8"/>
      <c r="E807" s="8"/>
      <c r="F807" s="366"/>
      <c r="G807" s="8"/>
      <c r="H807" s="8"/>
      <c r="I807" s="8"/>
      <c r="J807" s="8"/>
      <c r="K807" s="8"/>
      <c r="L807" s="8"/>
      <c r="M807" s="8"/>
      <c r="N807" s="8"/>
      <c r="O807" s="8"/>
      <c r="P807" s="8"/>
      <c r="Q807" s="8"/>
      <c r="R807" s="8"/>
      <c r="S807" s="367"/>
      <c r="T807" s="367"/>
      <c r="U807" s="367"/>
      <c r="V807" s="367"/>
      <c r="W807" s="8"/>
      <c r="X807" s="8"/>
      <c r="Y807" s="8"/>
      <c r="Z807" s="8"/>
      <c r="AA807" s="8"/>
      <c r="AB807" s="8"/>
    </row>
    <row r="808">
      <c r="A808" s="8"/>
      <c r="B808" s="8"/>
      <c r="C808" s="8"/>
      <c r="D808" s="8"/>
      <c r="E808" s="8"/>
      <c r="F808" s="366"/>
      <c r="G808" s="8"/>
      <c r="H808" s="8"/>
      <c r="I808" s="8"/>
      <c r="J808" s="8"/>
      <c r="K808" s="8"/>
      <c r="L808" s="8"/>
      <c r="M808" s="8"/>
      <c r="N808" s="8"/>
      <c r="O808" s="8"/>
      <c r="P808" s="8"/>
      <c r="Q808" s="8"/>
      <c r="R808" s="8"/>
      <c r="S808" s="367"/>
      <c r="T808" s="367"/>
      <c r="U808" s="367"/>
      <c r="V808" s="367"/>
      <c r="W808" s="8"/>
      <c r="X808" s="8"/>
      <c r="Y808" s="8"/>
      <c r="Z808" s="8"/>
      <c r="AA808" s="8"/>
      <c r="AB808" s="8"/>
    </row>
    <row r="809">
      <c r="A809" s="8"/>
      <c r="B809" s="8"/>
      <c r="C809" s="8"/>
      <c r="D809" s="8"/>
      <c r="E809" s="8"/>
      <c r="F809" s="366"/>
      <c r="G809" s="8"/>
      <c r="H809" s="8"/>
      <c r="I809" s="8"/>
      <c r="J809" s="8"/>
      <c r="K809" s="8"/>
      <c r="L809" s="8"/>
      <c r="M809" s="8"/>
      <c r="N809" s="8"/>
      <c r="O809" s="8"/>
      <c r="P809" s="8"/>
      <c r="Q809" s="8"/>
      <c r="R809" s="8"/>
      <c r="S809" s="367"/>
      <c r="T809" s="367"/>
      <c r="U809" s="367"/>
      <c r="V809" s="367"/>
      <c r="W809" s="8"/>
      <c r="X809" s="8"/>
      <c r="Y809" s="8"/>
      <c r="Z809" s="8"/>
      <c r="AA809" s="8"/>
      <c r="AB809" s="8"/>
    </row>
    <row r="810">
      <c r="A810" s="8"/>
      <c r="B810" s="8"/>
      <c r="C810" s="8"/>
      <c r="D810" s="8"/>
      <c r="E810" s="8"/>
      <c r="F810" s="366"/>
      <c r="G810" s="8"/>
      <c r="H810" s="8"/>
      <c r="I810" s="8"/>
      <c r="J810" s="8"/>
      <c r="K810" s="8"/>
      <c r="L810" s="8"/>
      <c r="M810" s="8"/>
      <c r="N810" s="8"/>
      <c r="O810" s="8"/>
      <c r="P810" s="8"/>
      <c r="Q810" s="8"/>
      <c r="R810" s="8"/>
      <c r="S810" s="367"/>
      <c r="T810" s="367"/>
      <c r="U810" s="367"/>
      <c r="V810" s="367"/>
      <c r="W810" s="8"/>
      <c r="X810" s="8"/>
      <c r="Y810" s="8"/>
      <c r="Z810" s="8"/>
      <c r="AA810" s="8"/>
      <c r="AB810" s="8"/>
    </row>
    <row r="811">
      <c r="A811" s="8"/>
      <c r="B811" s="8"/>
      <c r="C811" s="8"/>
      <c r="D811" s="8"/>
      <c r="E811" s="8"/>
      <c r="F811" s="366"/>
      <c r="G811" s="8"/>
      <c r="H811" s="8"/>
      <c r="I811" s="8"/>
      <c r="J811" s="8"/>
      <c r="K811" s="8"/>
      <c r="L811" s="8"/>
      <c r="M811" s="8"/>
      <c r="N811" s="8"/>
      <c r="O811" s="8"/>
      <c r="P811" s="8"/>
      <c r="Q811" s="8"/>
      <c r="R811" s="8"/>
      <c r="S811" s="367"/>
      <c r="T811" s="367"/>
      <c r="U811" s="367"/>
      <c r="V811" s="367"/>
      <c r="W811" s="8"/>
      <c r="X811" s="8"/>
      <c r="Y811" s="8"/>
      <c r="Z811" s="8"/>
      <c r="AA811" s="8"/>
      <c r="AB811" s="8"/>
    </row>
    <row r="812">
      <c r="A812" s="8"/>
      <c r="B812" s="8"/>
      <c r="C812" s="8"/>
      <c r="D812" s="8"/>
      <c r="E812" s="8"/>
      <c r="F812" s="366"/>
      <c r="G812" s="8"/>
      <c r="H812" s="8"/>
      <c r="I812" s="8"/>
      <c r="J812" s="8"/>
      <c r="K812" s="8"/>
      <c r="L812" s="8"/>
      <c r="M812" s="8"/>
      <c r="N812" s="8"/>
      <c r="O812" s="8"/>
      <c r="P812" s="8"/>
      <c r="Q812" s="8"/>
      <c r="R812" s="8"/>
      <c r="S812" s="367"/>
      <c r="T812" s="367"/>
      <c r="U812" s="367"/>
      <c r="V812" s="367"/>
      <c r="W812" s="8"/>
      <c r="X812" s="8"/>
      <c r="Y812" s="8"/>
      <c r="Z812" s="8"/>
      <c r="AA812" s="8"/>
      <c r="AB812" s="8"/>
    </row>
    <row r="813">
      <c r="A813" s="8"/>
      <c r="B813" s="8"/>
      <c r="C813" s="8"/>
      <c r="D813" s="8"/>
      <c r="E813" s="8"/>
      <c r="F813" s="366"/>
      <c r="G813" s="8"/>
      <c r="H813" s="8"/>
      <c r="I813" s="8"/>
      <c r="J813" s="8"/>
      <c r="K813" s="8"/>
      <c r="L813" s="8"/>
      <c r="M813" s="8"/>
      <c r="N813" s="8"/>
      <c r="O813" s="8"/>
      <c r="P813" s="8"/>
      <c r="Q813" s="8"/>
      <c r="R813" s="8"/>
      <c r="S813" s="367"/>
      <c r="T813" s="367"/>
      <c r="U813" s="367"/>
      <c r="V813" s="367"/>
      <c r="W813" s="8"/>
      <c r="X813" s="8"/>
      <c r="Y813" s="8"/>
      <c r="Z813" s="8"/>
      <c r="AA813" s="8"/>
      <c r="AB813" s="8"/>
    </row>
    <row r="814">
      <c r="A814" s="8"/>
      <c r="B814" s="8"/>
      <c r="C814" s="8"/>
      <c r="D814" s="8"/>
      <c r="E814" s="8"/>
      <c r="F814" s="366"/>
      <c r="G814" s="8"/>
      <c r="H814" s="8"/>
      <c r="I814" s="8"/>
      <c r="J814" s="8"/>
      <c r="K814" s="8"/>
      <c r="L814" s="8"/>
      <c r="M814" s="8"/>
      <c r="N814" s="8"/>
      <c r="O814" s="8"/>
      <c r="P814" s="8"/>
      <c r="Q814" s="8"/>
      <c r="R814" s="8"/>
      <c r="S814" s="367"/>
      <c r="T814" s="367"/>
      <c r="U814" s="367"/>
      <c r="V814" s="367"/>
      <c r="W814" s="8"/>
      <c r="X814" s="8"/>
      <c r="Y814" s="8"/>
      <c r="Z814" s="8"/>
      <c r="AA814" s="8"/>
      <c r="AB814" s="8"/>
    </row>
    <row r="815">
      <c r="A815" s="8"/>
      <c r="B815" s="8"/>
      <c r="C815" s="8"/>
      <c r="D815" s="8"/>
      <c r="E815" s="8"/>
      <c r="F815" s="366"/>
      <c r="G815" s="8"/>
      <c r="H815" s="8"/>
      <c r="I815" s="8"/>
      <c r="J815" s="8"/>
      <c r="K815" s="8"/>
      <c r="L815" s="8"/>
      <c r="M815" s="8"/>
      <c r="N815" s="8"/>
      <c r="O815" s="8"/>
      <c r="P815" s="8"/>
      <c r="Q815" s="8"/>
      <c r="R815" s="8"/>
      <c r="S815" s="367"/>
      <c r="T815" s="367"/>
      <c r="U815" s="367"/>
      <c r="V815" s="367"/>
      <c r="W815" s="8"/>
      <c r="X815" s="8"/>
      <c r="Y815" s="8"/>
      <c r="Z815" s="8"/>
      <c r="AA815" s="8"/>
      <c r="AB815" s="8"/>
    </row>
    <row r="816">
      <c r="A816" s="8"/>
      <c r="B816" s="8"/>
      <c r="C816" s="8"/>
      <c r="D816" s="8"/>
      <c r="E816" s="8"/>
      <c r="F816" s="366"/>
      <c r="G816" s="8"/>
      <c r="H816" s="8"/>
      <c r="I816" s="8"/>
      <c r="J816" s="8"/>
      <c r="K816" s="8"/>
      <c r="L816" s="8"/>
      <c r="M816" s="8"/>
      <c r="N816" s="8"/>
      <c r="O816" s="8"/>
      <c r="P816" s="8"/>
      <c r="Q816" s="8"/>
      <c r="R816" s="8"/>
      <c r="S816" s="367"/>
      <c r="T816" s="367"/>
      <c r="U816" s="367"/>
      <c r="V816" s="367"/>
      <c r="W816" s="8"/>
      <c r="X816" s="8"/>
      <c r="Y816" s="8"/>
      <c r="Z816" s="8"/>
      <c r="AA816" s="8"/>
      <c r="AB816" s="8"/>
    </row>
    <row r="817">
      <c r="A817" s="8"/>
      <c r="B817" s="8"/>
      <c r="C817" s="8"/>
      <c r="D817" s="8"/>
      <c r="E817" s="8"/>
      <c r="F817" s="366"/>
      <c r="G817" s="8"/>
      <c r="H817" s="8"/>
      <c r="I817" s="8"/>
      <c r="J817" s="8"/>
      <c r="K817" s="8"/>
      <c r="L817" s="8"/>
      <c r="M817" s="8"/>
      <c r="N817" s="8"/>
      <c r="O817" s="8"/>
      <c r="P817" s="8"/>
      <c r="Q817" s="8"/>
      <c r="R817" s="8"/>
      <c r="S817" s="367"/>
      <c r="T817" s="367"/>
      <c r="U817" s="367"/>
      <c r="V817" s="367"/>
      <c r="W817" s="8"/>
      <c r="X817" s="8"/>
      <c r="Y817" s="8"/>
      <c r="Z817" s="8"/>
      <c r="AA817" s="8"/>
      <c r="AB817" s="8"/>
    </row>
    <row r="818">
      <c r="A818" s="8"/>
      <c r="B818" s="8"/>
      <c r="C818" s="8"/>
      <c r="D818" s="8"/>
      <c r="E818" s="8"/>
      <c r="F818" s="366"/>
      <c r="G818" s="8"/>
      <c r="H818" s="8"/>
      <c r="I818" s="8"/>
      <c r="J818" s="8"/>
      <c r="K818" s="8"/>
      <c r="L818" s="8"/>
      <c r="M818" s="8"/>
      <c r="N818" s="8"/>
      <c r="O818" s="8"/>
      <c r="P818" s="8"/>
      <c r="Q818" s="8"/>
      <c r="R818" s="8"/>
      <c r="S818" s="367"/>
      <c r="T818" s="367"/>
      <c r="U818" s="367"/>
      <c r="V818" s="367"/>
      <c r="W818" s="8"/>
      <c r="X818" s="8"/>
      <c r="Y818" s="8"/>
      <c r="Z818" s="8"/>
      <c r="AA818" s="8"/>
      <c r="AB818" s="8"/>
    </row>
    <row r="819">
      <c r="A819" s="8"/>
      <c r="B819" s="8"/>
      <c r="C819" s="8"/>
      <c r="D819" s="8"/>
      <c r="E819" s="8"/>
      <c r="F819" s="366"/>
      <c r="G819" s="8"/>
      <c r="H819" s="8"/>
      <c r="I819" s="8"/>
      <c r="J819" s="8"/>
      <c r="K819" s="8"/>
      <c r="L819" s="8"/>
      <c r="M819" s="8"/>
      <c r="N819" s="8"/>
      <c r="O819" s="8"/>
      <c r="P819" s="8"/>
      <c r="Q819" s="8"/>
      <c r="R819" s="8"/>
      <c r="S819" s="367"/>
      <c r="T819" s="367"/>
      <c r="U819" s="367"/>
      <c r="V819" s="367"/>
      <c r="W819" s="8"/>
      <c r="X819" s="8"/>
      <c r="Y819" s="8"/>
      <c r="Z819" s="8"/>
      <c r="AA819" s="8"/>
      <c r="AB819" s="8"/>
    </row>
    <row r="820">
      <c r="A820" s="8"/>
      <c r="B820" s="8"/>
      <c r="C820" s="8"/>
      <c r="D820" s="8"/>
      <c r="E820" s="8"/>
      <c r="F820" s="366"/>
      <c r="G820" s="8"/>
      <c r="H820" s="8"/>
      <c r="I820" s="8"/>
      <c r="J820" s="8"/>
      <c r="K820" s="8"/>
      <c r="L820" s="8"/>
      <c r="M820" s="8"/>
      <c r="N820" s="8"/>
      <c r="O820" s="8"/>
      <c r="P820" s="8"/>
      <c r="Q820" s="8"/>
      <c r="R820" s="8"/>
      <c r="S820" s="367"/>
      <c r="T820" s="367"/>
      <c r="U820" s="367"/>
      <c r="V820" s="367"/>
      <c r="W820" s="8"/>
      <c r="X820" s="8"/>
      <c r="Y820" s="8"/>
      <c r="Z820" s="8"/>
      <c r="AA820" s="8"/>
      <c r="AB820" s="8"/>
    </row>
    <row r="821">
      <c r="A821" s="8"/>
      <c r="B821" s="8"/>
      <c r="C821" s="8"/>
      <c r="D821" s="8"/>
      <c r="E821" s="8"/>
      <c r="F821" s="366"/>
      <c r="G821" s="8"/>
      <c r="H821" s="8"/>
      <c r="I821" s="8"/>
      <c r="J821" s="8"/>
      <c r="K821" s="8"/>
      <c r="L821" s="8"/>
      <c r="M821" s="8"/>
      <c r="N821" s="8"/>
      <c r="O821" s="8"/>
      <c r="P821" s="8"/>
      <c r="Q821" s="8"/>
      <c r="R821" s="8"/>
      <c r="S821" s="367"/>
      <c r="T821" s="367"/>
      <c r="U821" s="367"/>
      <c r="V821" s="367"/>
      <c r="W821" s="8"/>
      <c r="X821" s="8"/>
      <c r="Y821" s="8"/>
      <c r="Z821" s="8"/>
      <c r="AA821" s="8"/>
      <c r="AB821" s="8"/>
    </row>
    <row r="822">
      <c r="A822" s="8"/>
      <c r="B822" s="8"/>
      <c r="C822" s="8"/>
      <c r="D822" s="8"/>
      <c r="E822" s="8"/>
      <c r="F822" s="366"/>
      <c r="G822" s="8"/>
      <c r="H822" s="8"/>
      <c r="I822" s="8"/>
      <c r="J822" s="8"/>
      <c r="K822" s="8"/>
      <c r="L822" s="8"/>
      <c r="M822" s="8"/>
      <c r="N822" s="8"/>
      <c r="O822" s="8"/>
      <c r="P822" s="8"/>
      <c r="Q822" s="8"/>
      <c r="R822" s="8"/>
      <c r="S822" s="367"/>
      <c r="T822" s="367"/>
      <c r="U822" s="367"/>
      <c r="V822" s="367"/>
      <c r="W822" s="8"/>
      <c r="X822" s="8"/>
      <c r="Y822" s="8"/>
      <c r="Z822" s="8"/>
      <c r="AA822" s="8"/>
      <c r="AB822" s="8"/>
    </row>
    <row r="823">
      <c r="A823" s="8"/>
      <c r="B823" s="8"/>
      <c r="C823" s="8"/>
      <c r="D823" s="8"/>
      <c r="E823" s="8"/>
      <c r="F823" s="366"/>
      <c r="G823" s="8"/>
      <c r="H823" s="8"/>
      <c r="I823" s="8"/>
      <c r="J823" s="8"/>
      <c r="K823" s="8"/>
      <c r="L823" s="8"/>
      <c r="M823" s="8"/>
      <c r="N823" s="8"/>
      <c r="O823" s="8"/>
      <c r="P823" s="8"/>
      <c r="Q823" s="8"/>
      <c r="R823" s="8"/>
      <c r="S823" s="367"/>
      <c r="T823" s="367"/>
      <c r="U823" s="367"/>
      <c r="V823" s="367"/>
      <c r="W823" s="8"/>
      <c r="X823" s="8"/>
      <c r="Y823" s="8"/>
      <c r="Z823" s="8"/>
      <c r="AA823" s="8"/>
      <c r="AB823" s="8"/>
    </row>
    <row r="824">
      <c r="A824" s="8"/>
      <c r="B824" s="8"/>
      <c r="C824" s="8"/>
      <c r="D824" s="8"/>
      <c r="E824" s="8"/>
      <c r="F824" s="366"/>
      <c r="G824" s="8"/>
      <c r="H824" s="8"/>
      <c r="I824" s="8"/>
      <c r="J824" s="8"/>
      <c r="K824" s="8"/>
      <c r="L824" s="8"/>
      <c r="M824" s="8"/>
      <c r="N824" s="8"/>
      <c r="O824" s="8"/>
      <c r="P824" s="8"/>
      <c r="Q824" s="8"/>
      <c r="R824" s="8"/>
      <c r="S824" s="367"/>
      <c r="T824" s="367"/>
      <c r="U824" s="367"/>
      <c r="V824" s="367"/>
      <c r="W824" s="8"/>
      <c r="X824" s="8"/>
      <c r="Y824" s="8"/>
      <c r="Z824" s="8"/>
      <c r="AA824" s="8"/>
      <c r="AB824" s="8"/>
    </row>
    <row r="825">
      <c r="A825" s="8"/>
      <c r="B825" s="8"/>
      <c r="C825" s="8"/>
      <c r="D825" s="8"/>
      <c r="E825" s="8"/>
      <c r="F825" s="366"/>
      <c r="G825" s="8"/>
      <c r="H825" s="8"/>
      <c r="I825" s="8"/>
      <c r="J825" s="8"/>
      <c r="K825" s="8"/>
      <c r="L825" s="8"/>
      <c r="M825" s="8"/>
      <c r="N825" s="8"/>
      <c r="O825" s="8"/>
      <c r="P825" s="8"/>
      <c r="Q825" s="8"/>
      <c r="R825" s="8"/>
      <c r="S825" s="367"/>
      <c r="T825" s="367"/>
      <c r="U825" s="367"/>
      <c r="V825" s="367"/>
      <c r="W825" s="8"/>
      <c r="X825" s="8"/>
      <c r="Y825" s="8"/>
      <c r="Z825" s="8"/>
      <c r="AA825" s="8"/>
      <c r="AB825" s="8"/>
    </row>
    <row r="826">
      <c r="A826" s="8"/>
      <c r="B826" s="8"/>
      <c r="C826" s="8"/>
      <c r="D826" s="8"/>
      <c r="E826" s="8"/>
      <c r="F826" s="366"/>
      <c r="G826" s="8"/>
      <c r="H826" s="8"/>
      <c r="I826" s="8"/>
      <c r="J826" s="8"/>
      <c r="K826" s="8"/>
      <c r="L826" s="8"/>
      <c r="M826" s="8"/>
      <c r="N826" s="8"/>
      <c r="O826" s="8"/>
      <c r="P826" s="8"/>
      <c r="Q826" s="8"/>
      <c r="R826" s="8"/>
      <c r="S826" s="367"/>
      <c r="T826" s="367"/>
      <c r="U826" s="367"/>
      <c r="V826" s="367"/>
      <c r="W826" s="8"/>
      <c r="X826" s="8"/>
      <c r="Y826" s="8"/>
      <c r="Z826" s="8"/>
      <c r="AA826" s="8"/>
      <c r="AB826" s="8"/>
    </row>
    <row r="827">
      <c r="A827" s="8"/>
      <c r="B827" s="8"/>
      <c r="C827" s="8"/>
      <c r="D827" s="8"/>
      <c r="E827" s="8"/>
      <c r="F827" s="366"/>
      <c r="G827" s="8"/>
      <c r="H827" s="8"/>
      <c r="I827" s="8"/>
      <c r="J827" s="8"/>
      <c r="K827" s="8"/>
      <c r="L827" s="8"/>
      <c r="M827" s="8"/>
      <c r="N827" s="8"/>
      <c r="O827" s="8"/>
      <c r="P827" s="8"/>
      <c r="Q827" s="8"/>
      <c r="R827" s="8"/>
      <c r="S827" s="367"/>
      <c r="T827" s="367"/>
      <c r="U827" s="367"/>
      <c r="V827" s="367"/>
      <c r="W827" s="8"/>
      <c r="X827" s="8"/>
      <c r="Y827" s="8"/>
      <c r="Z827" s="8"/>
      <c r="AA827" s="8"/>
      <c r="AB827" s="8"/>
    </row>
    <row r="828">
      <c r="A828" s="8"/>
      <c r="B828" s="8"/>
      <c r="C828" s="8"/>
      <c r="D828" s="8"/>
      <c r="E828" s="8"/>
      <c r="F828" s="366"/>
      <c r="G828" s="8"/>
      <c r="H828" s="8"/>
      <c r="I828" s="8"/>
      <c r="J828" s="8"/>
      <c r="K828" s="8"/>
      <c r="L828" s="8"/>
      <c r="M828" s="8"/>
      <c r="N828" s="8"/>
      <c r="O828" s="8"/>
      <c r="P828" s="8"/>
      <c r="Q828" s="8"/>
      <c r="R828" s="8"/>
      <c r="S828" s="367"/>
      <c r="T828" s="367"/>
      <c r="U828" s="367"/>
      <c r="V828" s="367"/>
      <c r="W828" s="8"/>
      <c r="X828" s="8"/>
      <c r="Y828" s="8"/>
      <c r="Z828" s="8"/>
      <c r="AA828" s="8"/>
      <c r="AB828" s="8"/>
    </row>
    <row r="829">
      <c r="A829" s="8"/>
      <c r="B829" s="8"/>
      <c r="C829" s="8"/>
      <c r="D829" s="8"/>
      <c r="E829" s="8"/>
      <c r="F829" s="366"/>
      <c r="G829" s="8"/>
      <c r="H829" s="8"/>
      <c r="I829" s="8"/>
      <c r="J829" s="8"/>
      <c r="K829" s="8"/>
      <c r="L829" s="8"/>
      <c r="M829" s="8"/>
      <c r="N829" s="8"/>
      <c r="O829" s="8"/>
      <c r="P829" s="8"/>
      <c r="Q829" s="8"/>
      <c r="R829" s="8"/>
      <c r="S829" s="367"/>
      <c r="T829" s="367"/>
      <c r="U829" s="367"/>
      <c r="V829" s="367"/>
      <c r="W829" s="8"/>
      <c r="X829" s="8"/>
      <c r="Y829" s="8"/>
      <c r="Z829" s="8"/>
      <c r="AA829" s="8"/>
      <c r="AB829" s="8"/>
    </row>
    <row r="830">
      <c r="A830" s="8"/>
      <c r="B830" s="8"/>
      <c r="C830" s="8"/>
      <c r="D830" s="8"/>
      <c r="E830" s="8"/>
      <c r="F830" s="366"/>
      <c r="G830" s="8"/>
      <c r="H830" s="8"/>
      <c r="I830" s="8"/>
      <c r="J830" s="8"/>
      <c r="K830" s="8"/>
      <c r="L830" s="8"/>
      <c r="M830" s="8"/>
      <c r="N830" s="8"/>
      <c r="O830" s="8"/>
      <c r="P830" s="8"/>
      <c r="Q830" s="8"/>
      <c r="R830" s="8"/>
      <c r="S830" s="367"/>
      <c r="T830" s="367"/>
      <c r="U830" s="367"/>
      <c r="V830" s="367"/>
      <c r="W830" s="8"/>
      <c r="X830" s="8"/>
      <c r="Y830" s="8"/>
      <c r="Z830" s="8"/>
      <c r="AA830" s="8"/>
      <c r="AB830" s="8"/>
    </row>
    <row r="831">
      <c r="A831" s="8"/>
      <c r="B831" s="8"/>
      <c r="C831" s="8"/>
      <c r="D831" s="8"/>
      <c r="E831" s="8"/>
      <c r="F831" s="366"/>
      <c r="G831" s="8"/>
      <c r="H831" s="8"/>
      <c r="I831" s="8"/>
      <c r="J831" s="8"/>
      <c r="K831" s="8"/>
      <c r="L831" s="8"/>
      <c r="M831" s="8"/>
      <c r="N831" s="8"/>
      <c r="O831" s="8"/>
      <c r="P831" s="8"/>
      <c r="Q831" s="8"/>
      <c r="R831" s="8"/>
      <c r="S831" s="367"/>
      <c r="T831" s="367"/>
      <c r="U831" s="367"/>
      <c r="V831" s="367"/>
      <c r="W831" s="8"/>
      <c r="X831" s="8"/>
      <c r="Y831" s="8"/>
      <c r="Z831" s="8"/>
      <c r="AA831" s="8"/>
      <c r="AB831" s="8"/>
    </row>
    <row r="832">
      <c r="A832" s="8"/>
      <c r="B832" s="8"/>
      <c r="C832" s="8"/>
      <c r="D832" s="8"/>
      <c r="E832" s="8"/>
      <c r="F832" s="366"/>
      <c r="G832" s="8"/>
      <c r="H832" s="8"/>
      <c r="I832" s="8"/>
      <c r="J832" s="8"/>
      <c r="K832" s="8"/>
      <c r="L832" s="8"/>
      <c r="M832" s="8"/>
      <c r="N832" s="8"/>
      <c r="O832" s="8"/>
      <c r="P832" s="8"/>
      <c r="Q832" s="8"/>
      <c r="R832" s="8"/>
      <c r="S832" s="367"/>
      <c r="T832" s="367"/>
      <c r="U832" s="367"/>
      <c r="V832" s="367"/>
      <c r="W832" s="8"/>
      <c r="X832" s="8"/>
      <c r="Y832" s="8"/>
      <c r="Z832" s="8"/>
      <c r="AA832" s="8"/>
      <c r="AB832" s="8"/>
    </row>
    <row r="833">
      <c r="A833" s="8"/>
      <c r="B833" s="8"/>
      <c r="C833" s="8"/>
      <c r="D833" s="8"/>
      <c r="E833" s="8"/>
      <c r="F833" s="366"/>
      <c r="G833" s="8"/>
      <c r="H833" s="8"/>
      <c r="I833" s="8"/>
      <c r="J833" s="8"/>
      <c r="K833" s="8"/>
      <c r="L833" s="8"/>
      <c r="M833" s="8"/>
      <c r="N833" s="8"/>
      <c r="O833" s="8"/>
      <c r="P833" s="8"/>
      <c r="Q833" s="8"/>
      <c r="R833" s="8"/>
      <c r="S833" s="367"/>
      <c r="T833" s="367"/>
      <c r="U833" s="367"/>
      <c r="V833" s="367"/>
      <c r="W833" s="8"/>
      <c r="X833" s="8"/>
      <c r="Y833" s="8"/>
      <c r="Z833" s="8"/>
      <c r="AA833" s="8"/>
      <c r="AB833" s="8"/>
    </row>
    <row r="834">
      <c r="A834" s="8"/>
      <c r="B834" s="8"/>
      <c r="C834" s="8"/>
      <c r="D834" s="8"/>
      <c r="E834" s="8"/>
      <c r="F834" s="366"/>
      <c r="G834" s="8"/>
      <c r="H834" s="8"/>
      <c r="I834" s="8"/>
      <c r="J834" s="8"/>
      <c r="K834" s="8"/>
      <c r="L834" s="8"/>
      <c r="M834" s="8"/>
      <c r="N834" s="8"/>
      <c r="O834" s="8"/>
      <c r="P834" s="8"/>
      <c r="Q834" s="8"/>
      <c r="R834" s="8"/>
      <c r="S834" s="367"/>
      <c r="T834" s="367"/>
      <c r="U834" s="367"/>
      <c r="V834" s="367"/>
      <c r="W834" s="8"/>
      <c r="X834" s="8"/>
      <c r="Y834" s="8"/>
      <c r="Z834" s="8"/>
      <c r="AA834" s="8"/>
      <c r="AB834" s="8"/>
    </row>
    <row r="835">
      <c r="A835" s="8"/>
      <c r="B835" s="8"/>
      <c r="C835" s="8"/>
      <c r="D835" s="8"/>
      <c r="E835" s="8"/>
      <c r="F835" s="366"/>
      <c r="G835" s="8"/>
      <c r="H835" s="8"/>
      <c r="I835" s="8"/>
      <c r="J835" s="8"/>
      <c r="K835" s="8"/>
      <c r="L835" s="8"/>
      <c r="M835" s="8"/>
      <c r="N835" s="8"/>
      <c r="O835" s="8"/>
      <c r="P835" s="8"/>
      <c r="Q835" s="8"/>
      <c r="R835" s="8"/>
      <c r="S835" s="367"/>
      <c r="T835" s="367"/>
      <c r="U835" s="367"/>
      <c r="V835" s="367"/>
      <c r="W835" s="8"/>
      <c r="X835" s="8"/>
      <c r="Y835" s="8"/>
      <c r="Z835" s="8"/>
      <c r="AA835" s="8"/>
      <c r="AB835" s="8"/>
    </row>
    <row r="836">
      <c r="A836" s="8"/>
      <c r="B836" s="8"/>
      <c r="C836" s="8"/>
      <c r="D836" s="8"/>
      <c r="E836" s="8"/>
      <c r="F836" s="366"/>
      <c r="G836" s="8"/>
      <c r="H836" s="8"/>
      <c r="I836" s="8"/>
      <c r="J836" s="8"/>
      <c r="K836" s="8"/>
      <c r="L836" s="8"/>
      <c r="M836" s="8"/>
      <c r="N836" s="8"/>
      <c r="O836" s="8"/>
      <c r="P836" s="8"/>
      <c r="Q836" s="8"/>
      <c r="R836" s="8"/>
      <c r="S836" s="367"/>
      <c r="T836" s="367"/>
      <c r="U836" s="367"/>
      <c r="V836" s="367"/>
      <c r="W836" s="8"/>
      <c r="X836" s="8"/>
      <c r="Y836" s="8"/>
      <c r="Z836" s="8"/>
      <c r="AA836" s="8"/>
      <c r="AB836" s="8"/>
    </row>
    <row r="837">
      <c r="A837" s="8"/>
      <c r="B837" s="8"/>
      <c r="C837" s="8"/>
      <c r="D837" s="8"/>
      <c r="E837" s="8"/>
      <c r="F837" s="366"/>
      <c r="G837" s="8"/>
      <c r="H837" s="8"/>
      <c r="I837" s="8"/>
      <c r="J837" s="8"/>
      <c r="K837" s="8"/>
      <c r="L837" s="8"/>
      <c r="M837" s="8"/>
      <c r="N837" s="8"/>
      <c r="O837" s="8"/>
      <c r="P837" s="8"/>
      <c r="Q837" s="8"/>
      <c r="R837" s="8"/>
      <c r="S837" s="367"/>
      <c r="T837" s="367"/>
      <c r="U837" s="367"/>
      <c r="V837" s="367"/>
      <c r="W837" s="8"/>
      <c r="X837" s="8"/>
      <c r="Y837" s="8"/>
      <c r="Z837" s="8"/>
      <c r="AA837" s="8"/>
      <c r="AB837" s="8"/>
    </row>
    <row r="838">
      <c r="A838" s="8"/>
      <c r="B838" s="8"/>
      <c r="C838" s="8"/>
      <c r="D838" s="8"/>
      <c r="E838" s="8"/>
      <c r="F838" s="366"/>
      <c r="G838" s="8"/>
      <c r="H838" s="8"/>
      <c r="I838" s="8"/>
      <c r="J838" s="8"/>
      <c r="K838" s="8"/>
      <c r="L838" s="8"/>
      <c r="M838" s="8"/>
      <c r="N838" s="8"/>
      <c r="O838" s="8"/>
      <c r="P838" s="8"/>
      <c r="Q838" s="8"/>
      <c r="R838" s="8"/>
      <c r="S838" s="367"/>
      <c r="T838" s="367"/>
      <c r="U838" s="367"/>
      <c r="V838" s="367"/>
      <c r="W838" s="8"/>
      <c r="X838" s="8"/>
      <c r="Y838" s="8"/>
      <c r="Z838" s="8"/>
      <c r="AA838" s="8"/>
      <c r="AB838" s="8"/>
    </row>
    <row r="839">
      <c r="A839" s="8"/>
      <c r="B839" s="8"/>
      <c r="C839" s="8"/>
      <c r="D839" s="8"/>
      <c r="E839" s="8"/>
      <c r="F839" s="366"/>
      <c r="G839" s="8"/>
      <c r="H839" s="8"/>
      <c r="I839" s="8"/>
      <c r="J839" s="8"/>
      <c r="K839" s="8"/>
      <c r="L839" s="8"/>
      <c r="M839" s="8"/>
      <c r="N839" s="8"/>
      <c r="O839" s="8"/>
      <c r="P839" s="8"/>
      <c r="Q839" s="8"/>
      <c r="R839" s="8"/>
      <c r="S839" s="367"/>
      <c r="T839" s="367"/>
      <c r="U839" s="367"/>
      <c r="V839" s="367"/>
      <c r="W839" s="8"/>
      <c r="X839" s="8"/>
      <c r="Y839" s="8"/>
      <c r="Z839" s="8"/>
      <c r="AA839" s="8"/>
      <c r="AB839" s="8"/>
    </row>
    <row r="840">
      <c r="A840" s="8"/>
      <c r="B840" s="8"/>
      <c r="C840" s="8"/>
      <c r="D840" s="8"/>
      <c r="E840" s="8"/>
      <c r="F840" s="366"/>
      <c r="G840" s="8"/>
      <c r="H840" s="8"/>
      <c r="I840" s="8"/>
      <c r="J840" s="8"/>
      <c r="K840" s="8"/>
      <c r="L840" s="8"/>
      <c r="M840" s="8"/>
      <c r="N840" s="8"/>
      <c r="O840" s="8"/>
      <c r="P840" s="8"/>
      <c r="Q840" s="8"/>
      <c r="R840" s="8"/>
      <c r="S840" s="367"/>
      <c r="T840" s="367"/>
      <c r="U840" s="367"/>
      <c r="V840" s="367"/>
      <c r="W840" s="8"/>
      <c r="X840" s="8"/>
      <c r="Y840" s="8"/>
      <c r="Z840" s="8"/>
      <c r="AA840" s="8"/>
      <c r="AB840" s="8"/>
    </row>
    <row r="841">
      <c r="A841" s="8"/>
      <c r="B841" s="8"/>
      <c r="C841" s="8"/>
      <c r="D841" s="8"/>
      <c r="E841" s="8"/>
      <c r="F841" s="366"/>
      <c r="G841" s="8"/>
      <c r="H841" s="8"/>
      <c r="I841" s="8"/>
      <c r="J841" s="8"/>
      <c r="K841" s="8"/>
      <c r="L841" s="8"/>
      <c r="M841" s="8"/>
      <c r="N841" s="8"/>
      <c r="O841" s="8"/>
      <c r="P841" s="8"/>
      <c r="Q841" s="8"/>
      <c r="R841" s="8"/>
      <c r="S841" s="367"/>
      <c r="T841" s="367"/>
      <c r="U841" s="367"/>
      <c r="V841" s="367"/>
      <c r="W841" s="8"/>
      <c r="X841" s="8"/>
      <c r="Y841" s="8"/>
      <c r="Z841" s="8"/>
      <c r="AA841" s="8"/>
      <c r="AB841" s="8"/>
    </row>
    <row r="842">
      <c r="A842" s="8"/>
      <c r="B842" s="8"/>
      <c r="C842" s="8"/>
      <c r="D842" s="8"/>
      <c r="E842" s="8"/>
      <c r="F842" s="366"/>
      <c r="G842" s="8"/>
      <c r="H842" s="8"/>
      <c r="I842" s="8"/>
      <c r="J842" s="8"/>
      <c r="K842" s="8"/>
      <c r="L842" s="8"/>
      <c r="M842" s="8"/>
      <c r="N842" s="8"/>
      <c r="O842" s="8"/>
      <c r="P842" s="8"/>
      <c r="Q842" s="8"/>
      <c r="R842" s="8"/>
      <c r="S842" s="367"/>
      <c r="T842" s="367"/>
      <c r="U842" s="367"/>
      <c r="V842" s="367"/>
      <c r="W842" s="8"/>
      <c r="X842" s="8"/>
      <c r="Y842" s="8"/>
      <c r="Z842" s="8"/>
      <c r="AA842" s="8"/>
      <c r="AB842" s="8"/>
    </row>
    <row r="843">
      <c r="A843" s="8"/>
      <c r="B843" s="8"/>
      <c r="C843" s="8"/>
      <c r="D843" s="8"/>
      <c r="E843" s="8"/>
      <c r="F843" s="366"/>
      <c r="G843" s="8"/>
      <c r="H843" s="8"/>
      <c r="I843" s="8"/>
      <c r="J843" s="8"/>
      <c r="K843" s="8"/>
      <c r="L843" s="8"/>
      <c r="M843" s="8"/>
      <c r="N843" s="8"/>
      <c r="O843" s="8"/>
      <c r="P843" s="8"/>
      <c r="Q843" s="8"/>
      <c r="R843" s="8"/>
      <c r="S843" s="367"/>
      <c r="T843" s="367"/>
      <c r="U843" s="367"/>
      <c r="V843" s="367"/>
      <c r="W843" s="8"/>
      <c r="X843" s="8"/>
      <c r="Y843" s="8"/>
      <c r="Z843" s="8"/>
      <c r="AA843" s="8"/>
      <c r="AB843" s="8"/>
    </row>
    <row r="844">
      <c r="A844" s="8"/>
      <c r="B844" s="8"/>
      <c r="C844" s="8"/>
      <c r="D844" s="8"/>
      <c r="E844" s="8"/>
      <c r="F844" s="366"/>
      <c r="G844" s="8"/>
      <c r="H844" s="8"/>
      <c r="I844" s="8"/>
      <c r="J844" s="8"/>
      <c r="K844" s="8"/>
      <c r="L844" s="8"/>
      <c r="M844" s="8"/>
      <c r="N844" s="8"/>
      <c r="O844" s="8"/>
      <c r="P844" s="8"/>
      <c r="Q844" s="8"/>
      <c r="R844" s="8"/>
      <c r="S844" s="367"/>
      <c r="T844" s="367"/>
      <c r="U844" s="367"/>
      <c r="V844" s="367"/>
      <c r="W844" s="8"/>
      <c r="X844" s="8"/>
      <c r="Y844" s="8"/>
      <c r="Z844" s="8"/>
      <c r="AA844" s="8"/>
      <c r="AB844" s="8"/>
    </row>
    <row r="845">
      <c r="A845" s="8"/>
      <c r="B845" s="8"/>
      <c r="C845" s="8"/>
      <c r="D845" s="8"/>
      <c r="E845" s="8"/>
      <c r="F845" s="366"/>
      <c r="G845" s="8"/>
      <c r="H845" s="8"/>
      <c r="I845" s="8"/>
      <c r="J845" s="8"/>
      <c r="K845" s="8"/>
      <c r="L845" s="8"/>
      <c r="M845" s="8"/>
      <c r="N845" s="8"/>
      <c r="O845" s="8"/>
      <c r="P845" s="8"/>
      <c r="Q845" s="8"/>
      <c r="R845" s="8"/>
      <c r="S845" s="367"/>
      <c r="T845" s="367"/>
      <c r="U845" s="367"/>
      <c r="V845" s="367"/>
      <c r="W845" s="8"/>
      <c r="X845" s="8"/>
      <c r="Y845" s="8"/>
      <c r="Z845" s="8"/>
      <c r="AA845" s="8"/>
      <c r="AB845" s="8"/>
    </row>
    <row r="846">
      <c r="A846" s="8"/>
      <c r="B846" s="8"/>
      <c r="C846" s="8"/>
      <c r="D846" s="8"/>
      <c r="E846" s="8"/>
      <c r="F846" s="366"/>
      <c r="G846" s="8"/>
      <c r="H846" s="8"/>
      <c r="I846" s="8"/>
      <c r="J846" s="8"/>
      <c r="K846" s="8"/>
      <c r="L846" s="8"/>
      <c r="M846" s="8"/>
      <c r="N846" s="8"/>
      <c r="O846" s="8"/>
      <c r="P846" s="8"/>
      <c r="Q846" s="8"/>
      <c r="R846" s="8"/>
      <c r="S846" s="367"/>
      <c r="T846" s="367"/>
      <c r="U846" s="367"/>
      <c r="V846" s="367"/>
      <c r="W846" s="8"/>
      <c r="X846" s="8"/>
      <c r="Y846" s="8"/>
      <c r="Z846" s="8"/>
      <c r="AA846" s="8"/>
      <c r="AB846" s="8"/>
    </row>
    <row r="847">
      <c r="A847" s="8"/>
      <c r="B847" s="8"/>
      <c r="C847" s="8"/>
      <c r="D847" s="8"/>
      <c r="E847" s="8"/>
      <c r="F847" s="366"/>
      <c r="G847" s="8"/>
      <c r="H847" s="8"/>
      <c r="I847" s="8"/>
      <c r="J847" s="8"/>
      <c r="K847" s="8"/>
      <c r="L847" s="8"/>
      <c r="M847" s="8"/>
      <c r="N847" s="8"/>
      <c r="O847" s="8"/>
      <c r="P847" s="8"/>
      <c r="Q847" s="8"/>
      <c r="R847" s="8"/>
      <c r="S847" s="367"/>
      <c r="T847" s="367"/>
      <c r="U847" s="367"/>
      <c r="V847" s="367"/>
      <c r="W847" s="8"/>
      <c r="X847" s="8"/>
      <c r="Y847" s="8"/>
      <c r="Z847" s="8"/>
      <c r="AA847" s="8"/>
      <c r="AB847" s="8"/>
    </row>
    <row r="848">
      <c r="A848" s="8"/>
      <c r="B848" s="8"/>
      <c r="C848" s="8"/>
      <c r="D848" s="8"/>
      <c r="E848" s="8"/>
      <c r="F848" s="366"/>
      <c r="G848" s="8"/>
      <c r="H848" s="8"/>
      <c r="I848" s="8"/>
      <c r="J848" s="8"/>
      <c r="K848" s="8"/>
      <c r="L848" s="8"/>
      <c r="M848" s="8"/>
      <c r="N848" s="8"/>
      <c r="O848" s="8"/>
      <c r="P848" s="8"/>
      <c r="Q848" s="8"/>
      <c r="R848" s="8"/>
      <c r="S848" s="367"/>
      <c r="T848" s="367"/>
      <c r="U848" s="367"/>
      <c r="V848" s="367"/>
      <c r="W848" s="8"/>
      <c r="X848" s="8"/>
      <c r="Y848" s="8"/>
      <c r="Z848" s="8"/>
      <c r="AA848" s="8"/>
      <c r="AB848" s="8"/>
    </row>
    <row r="849">
      <c r="A849" s="8"/>
      <c r="B849" s="8"/>
      <c r="C849" s="8"/>
      <c r="D849" s="8"/>
      <c r="E849" s="8"/>
      <c r="F849" s="366"/>
      <c r="G849" s="8"/>
      <c r="H849" s="8"/>
      <c r="I849" s="8"/>
      <c r="J849" s="8"/>
      <c r="K849" s="8"/>
      <c r="L849" s="8"/>
      <c r="M849" s="8"/>
      <c r="N849" s="8"/>
      <c r="O849" s="8"/>
      <c r="P849" s="8"/>
      <c r="Q849" s="8"/>
      <c r="R849" s="8"/>
      <c r="S849" s="367"/>
      <c r="T849" s="367"/>
      <c r="U849" s="367"/>
      <c r="V849" s="367"/>
      <c r="W849" s="8"/>
      <c r="X849" s="8"/>
      <c r="Y849" s="8"/>
      <c r="Z849" s="8"/>
      <c r="AA849" s="8"/>
      <c r="AB849" s="8"/>
    </row>
    <row r="850">
      <c r="A850" s="8"/>
      <c r="B850" s="8"/>
      <c r="C850" s="8"/>
      <c r="D850" s="8"/>
      <c r="E850" s="8"/>
      <c r="F850" s="366"/>
      <c r="G850" s="8"/>
      <c r="H850" s="8"/>
      <c r="I850" s="8"/>
      <c r="J850" s="8"/>
      <c r="K850" s="8"/>
      <c r="L850" s="8"/>
      <c r="M850" s="8"/>
      <c r="N850" s="8"/>
      <c r="O850" s="8"/>
      <c r="P850" s="8"/>
      <c r="Q850" s="8"/>
      <c r="R850" s="8"/>
      <c r="S850" s="367"/>
      <c r="T850" s="367"/>
      <c r="U850" s="367"/>
      <c r="V850" s="367"/>
      <c r="W850" s="8"/>
      <c r="X850" s="8"/>
      <c r="Y850" s="8"/>
      <c r="Z850" s="8"/>
      <c r="AA850" s="8"/>
      <c r="AB850" s="8"/>
    </row>
    <row r="851">
      <c r="A851" s="8"/>
      <c r="B851" s="8"/>
      <c r="C851" s="8"/>
      <c r="D851" s="8"/>
      <c r="E851" s="8"/>
      <c r="F851" s="366"/>
      <c r="G851" s="8"/>
      <c r="H851" s="8"/>
      <c r="I851" s="8"/>
      <c r="J851" s="8"/>
      <c r="K851" s="8"/>
      <c r="L851" s="8"/>
      <c r="M851" s="8"/>
      <c r="N851" s="8"/>
      <c r="O851" s="8"/>
      <c r="P851" s="8"/>
      <c r="Q851" s="8"/>
      <c r="R851" s="8"/>
      <c r="S851" s="367"/>
      <c r="T851" s="367"/>
      <c r="U851" s="367"/>
      <c r="V851" s="367"/>
      <c r="W851" s="8"/>
      <c r="X851" s="8"/>
      <c r="Y851" s="8"/>
      <c r="Z851" s="8"/>
      <c r="AA851" s="8"/>
      <c r="AB851" s="8"/>
    </row>
    <row r="852">
      <c r="A852" s="8"/>
      <c r="B852" s="8"/>
      <c r="C852" s="8"/>
      <c r="D852" s="8"/>
      <c r="E852" s="8"/>
      <c r="F852" s="366"/>
      <c r="G852" s="8"/>
      <c r="H852" s="8"/>
      <c r="I852" s="8"/>
      <c r="J852" s="8"/>
      <c r="K852" s="8"/>
      <c r="L852" s="8"/>
      <c r="M852" s="8"/>
      <c r="N852" s="8"/>
      <c r="O852" s="8"/>
      <c r="P852" s="8"/>
      <c r="Q852" s="8"/>
      <c r="R852" s="8"/>
      <c r="S852" s="367"/>
      <c r="T852" s="367"/>
      <c r="U852" s="367"/>
      <c r="V852" s="367"/>
      <c r="W852" s="8"/>
      <c r="X852" s="8"/>
      <c r="Y852" s="8"/>
      <c r="Z852" s="8"/>
      <c r="AA852" s="8"/>
      <c r="AB852" s="8"/>
    </row>
    <row r="853">
      <c r="A853" s="8"/>
      <c r="B853" s="8"/>
      <c r="C853" s="8"/>
      <c r="D853" s="8"/>
      <c r="E853" s="8"/>
      <c r="F853" s="366"/>
      <c r="G853" s="8"/>
      <c r="H853" s="8"/>
      <c r="I853" s="8"/>
      <c r="J853" s="8"/>
      <c r="K853" s="8"/>
      <c r="L853" s="8"/>
      <c r="M853" s="8"/>
      <c r="N853" s="8"/>
      <c r="O853" s="8"/>
      <c r="P853" s="8"/>
      <c r="Q853" s="8"/>
      <c r="R853" s="8"/>
      <c r="S853" s="367"/>
      <c r="T853" s="367"/>
      <c r="U853" s="367"/>
      <c r="V853" s="367"/>
      <c r="W853" s="8"/>
      <c r="X853" s="8"/>
      <c r="Y853" s="8"/>
      <c r="Z853" s="8"/>
      <c r="AA853" s="8"/>
      <c r="AB853" s="8"/>
    </row>
    <row r="854">
      <c r="A854" s="8"/>
      <c r="B854" s="8"/>
      <c r="C854" s="8"/>
      <c r="D854" s="8"/>
      <c r="E854" s="8"/>
      <c r="F854" s="366"/>
      <c r="G854" s="8"/>
      <c r="H854" s="8"/>
      <c r="I854" s="8"/>
      <c r="J854" s="8"/>
      <c r="K854" s="8"/>
      <c r="L854" s="8"/>
      <c r="M854" s="8"/>
      <c r="N854" s="8"/>
      <c r="O854" s="8"/>
      <c r="P854" s="8"/>
      <c r="Q854" s="8"/>
      <c r="R854" s="8"/>
      <c r="S854" s="367"/>
      <c r="T854" s="367"/>
      <c r="U854" s="367"/>
      <c r="V854" s="367"/>
      <c r="W854" s="8"/>
      <c r="X854" s="8"/>
      <c r="Y854" s="8"/>
      <c r="Z854" s="8"/>
      <c r="AA854" s="8"/>
      <c r="AB854" s="8"/>
    </row>
    <row r="855">
      <c r="A855" s="8"/>
      <c r="B855" s="8"/>
      <c r="C855" s="8"/>
      <c r="D855" s="8"/>
      <c r="E855" s="8"/>
      <c r="F855" s="366"/>
      <c r="G855" s="8"/>
      <c r="H855" s="8"/>
      <c r="I855" s="8"/>
      <c r="J855" s="8"/>
      <c r="K855" s="8"/>
      <c r="L855" s="8"/>
      <c r="M855" s="8"/>
      <c r="N855" s="8"/>
      <c r="O855" s="8"/>
      <c r="P855" s="8"/>
      <c r="Q855" s="8"/>
      <c r="R855" s="8"/>
      <c r="S855" s="367"/>
      <c r="T855" s="367"/>
      <c r="U855" s="367"/>
      <c r="V855" s="367"/>
      <c r="W855" s="8"/>
      <c r="X855" s="8"/>
      <c r="Y855" s="8"/>
      <c r="Z855" s="8"/>
      <c r="AA855" s="8"/>
      <c r="AB855" s="8"/>
    </row>
    <row r="856">
      <c r="A856" s="8"/>
      <c r="B856" s="8"/>
      <c r="C856" s="8"/>
      <c r="D856" s="8"/>
      <c r="E856" s="8"/>
      <c r="F856" s="366"/>
      <c r="G856" s="8"/>
      <c r="H856" s="8"/>
      <c r="I856" s="8"/>
      <c r="J856" s="8"/>
      <c r="K856" s="8"/>
      <c r="L856" s="8"/>
      <c r="M856" s="8"/>
      <c r="N856" s="8"/>
      <c r="O856" s="8"/>
      <c r="P856" s="8"/>
      <c r="Q856" s="8"/>
      <c r="R856" s="8"/>
      <c r="S856" s="367"/>
      <c r="T856" s="367"/>
      <c r="U856" s="367"/>
      <c r="V856" s="367"/>
      <c r="W856" s="8"/>
      <c r="X856" s="8"/>
      <c r="Y856" s="8"/>
      <c r="Z856" s="8"/>
      <c r="AA856" s="8"/>
      <c r="AB856" s="8"/>
    </row>
    <row r="857">
      <c r="A857" s="8"/>
      <c r="B857" s="8"/>
      <c r="C857" s="8"/>
      <c r="D857" s="8"/>
      <c r="E857" s="8"/>
      <c r="F857" s="366"/>
      <c r="G857" s="8"/>
      <c r="H857" s="8"/>
      <c r="I857" s="8"/>
      <c r="J857" s="8"/>
      <c r="K857" s="8"/>
      <c r="L857" s="8"/>
      <c r="M857" s="8"/>
      <c r="N857" s="8"/>
      <c r="O857" s="8"/>
      <c r="P857" s="8"/>
      <c r="Q857" s="8"/>
      <c r="R857" s="8"/>
      <c r="S857" s="367"/>
      <c r="T857" s="367"/>
      <c r="U857" s="367"/>
      <c r="V857" s="367"/>
      <c r="W857" s="8"/>
      <c r="X857" s="8"/>
      <c r="Y857" s="8"/>
      <c r="Z857" s="8"/>
      <c r="AA857" s="8"/>
      <c r="AB857" s="8"/>
    </row>
    <row r="858">
      <c r="A858" s="8"/>
      <c r="B858" s="8"/>
      <c r="C858" s="8"/>
      <c r="D858" s="8"/>
      <c r="E858" s="8"/>
      <c r="F858" s="366"/>
      <c r="G858" s="8"/>
      <c r="H858" s="8"/>
      <c r="I858" s="8"/>
      <c r="J858" s="8"/>
      <c r="K858" s="8"/>
      <c r="L858" s="8"/>
      <c r="M858" s="8"/>
      <c r="N858" s="8"/>
      <c r="O858" s="8"/>
      <c r="P858" s="8"/>
      <c r="Q858" s="8"/>
      <c r="R858" s="8"/>
      <c r="S858" s="367"/>
      <c r="T858" s="367"/>
      <c r="U858" s="367"/>
      <c r="V858" s="367"/>
      <c r="W858" s="8"/>
      <c r="X858" s="8"/>
      <c r="Y858" s="8"/>
      <c r="Z858" s="8"/>
      <c r="AA858" s="8"/>
      <c r="AB858" s="8"/>
    </row>
    <row r="859">
      <c r="A859" s="8"/>
      <c r="B859" s="8"/>
      <c r="C859" s="8"/>
      <c r="D859" s="8"/>
      <c r="E859" s="8"/>
      <c r="F859" s="366"/>
      <c r="G859" s="8"/>
      <c r="H859" s="8"/>
      <c r="I859" s="8"/>
      <c r="J859" s="8"/>
      <c r="K859" s="8"/>
      <c r="L859" s="8"/>
      <c r="M859" s="8"/>
      <c r="N859" s="8"/>
      <c r="O859" s="8"/>
      <c r="P859" s="8"/>
      <c r="Q859" s="8"/>
      <c r="R859" s="8"/>
      <c r="S859" s="367"/>
      <c r="T859" s="367"/>
      <c r="U859" s="367"/>
      <c r="V859" s="367"/>
      <c r="W859" s="8"/>
      <c r="X859" s="8"/>
      <c r="Y859" s="8"/>
      <c r="Z859" s="8"/>
      <c r="AA859" s="8"/>
      <c r="AB859" s="8"/>
    </row>
    <row r="860">
      <c r="A860" s="8"/>
      <c r="B860" s="8"/>
      <c r="C860" s="8"/>
      <c r="D860" s="8"/>
      <c r="E860" s="8"/>
      <c r="F860" s="366"/>
      <c r="G860" s="8"/>
      <c r="H860" s="8"/>
      <c r="I860" s="8"/>
      <c r="J860" s="8"/>
      <c r="K860" s="8"/>
      <c r="L860" s="8"/>
      <c r="M860" s="8"/>
      <c r="N860" s="8"/>
      <c r="O860" s="8"/>
      <c r="P860" s="8"/>
      <c r="Q860" s="8"/>
      <c r="R860" s="8"/>
      <c r="S860" s="367"/>
      <c r="T860" s="367"/>
      <c r="U860" s="367"/>
      <c r="V860" s="367"/>
      <c r="W860" s="8"/>
      <c r="X860" s="8"/>
      <c r="Y860" s="8"/>
      <c r="Z860" s="8"/>
      <c r="AA860" s="8"/>
      <c r="AB860" s="8"/>
    </row>
    <row r="861">
      <c r="A861" s="8"/>
      <c r="B861" s="8"/>
      <c r="C861" s="8"/>
      <c r="D861" s="8"/>
      <c r="E861" s="8"/>
      <c r="F861" s="366"/>
      <c r="G861" s="8"/>
      <c r="H861" s="8"/>
      <c r="I861" s="8"/>
      <c r="J861" s="8"/>
      <c r="K861" s="8"/>
      <c r="L861" s="8"/>
      <c r="M861" s="8"/>
      <c r="N861" s="8"/>
      <c r="O861" s="8"/>
      <c r="P861" s="8"/>
      <c r="Q861" s="8"/>
      <c r="R861" s="8"/>
      <c r="S861" s="367"/>
      <c r="T861" s="367"/>
      <c r="U861" s="367"/>
      <c r="V861" s="367"/>
      <c r="W861" s="8"/>
      <c r="X861" s="8"/>
      <c r="Y861" s="8"/>
      <c r="Z861" s="8"/>
      <c r="AA861" s="8"/>
      <c r="AB861" s="8"/>
    </row>
    <row r="862">
      <c r="A862" s="8"/>
      <c r="B862" s="8"/>
      <c r="C862" s="8"/>
      <c r="D862" s="8"/>
      <c r="E862" s="8"/>
      <c r="F862" s="366"/>
      <c r="G862" s="8"/>
      <c r="H862" s="8"/>
      <c r="I862" s="8"/>
      <c r="J862" s="8"/>
      <c r="K862" s="8"/>
      <c r="L862" s="8"/>
      <c r="M862" s="8"/>
      <c r="N862" s="8"/>
      <c r="O862" s="8"/>
      <c r="P862" s="8"/>
      <c r="Q862" s="8"/>
      <c r="R862" s="8"/>
      <c r="S862" s="367"/>
      <c r="T862" s="367"/>
      <c r="U862" s="367"/>
      <c r="V862" s="367"/>
      <c r="W862" s="8"/>
      <c r="X862" s="8"/>
      <c r="Y862" s="8"/>
      <c r="Z862" s="8"/>
      <c r="AA862" s="8"/>
      <c r="AB862" s="8"/>
    </row>
    <row r="863">
      <c r="A863" s="8"/>
      <c r="B863" s="8"/>
      <c r="C863" s="8"/>
      <c r="D863" s="8"/>
      <c r="E863" s="8"/>
      <c r="F863" s="366"/>
      <c r="G863" s="8"/>
      <c r="H863" s="8"/>
      <c r="I863" s="8"/>
      <c r="J863" s="8"/>
      <c r="K863" s="8"/>
      <c r="L863" s="8"/>
      <c r="M863" s="8"/>
      <c r="N863" s="8"/>
      <c r="O863" s="8"/>
      <c r="P863" s="8"/>
      <c r="Q863" s="8"/>
      <c r="R863" s="8"/>
      <c r="S863" s="367"/>
      <c r="T863" s="367"/>
      <c r="U863" s="367"/>
      <c r="V863" s="367"/>
      <c r="W863" s="8"/>
      <c r="X863" s="8"/>
      <c r="Y863" s="8"/>
      <c r="Z863" s="8"/>
      <c r="AA863" s="8"/>
      <c r="AB863" s="8"/>
    </row>
    <row r="864">
      <c r="A864" s="8"/>
      <c r="B864" s="8"/>
      <c r="C864" s="8"/>
      <c r="D864" s="8"/>
      <c r="E864" s="8"/>
      <c r="F864" s="366"/>
      <c r="G864" s="8"/>
      <c r="H864" s="8"/>
      <c r="I864" s="8"/>
      <c r="J864" s="8"/>
      <c r="K864" s="8"/>
      <c r="L864" s="8"/>
      <c r="M864" s="8"/>
      <c r="N864" s="8"/>
      <c r="O864" s="8"/>
      <c r="P864" s="8"/>
      <c r="Q864" s="8"/>
      <c r="R864" s="8"/>
      <c r="S864" s="367"/>
      <c r="T864" s="367"/>
      <c r="U864" s="367"/>
      <c r="V864" s="367"/>
      <c r="W864" s="8"/>
      <c r="X864" s="8"/>
      <c r="Y864" s="8"/>
      <c r="Z864" s="8"/>
      <c r="AA864" s="8"/>
      <c r="AB864" s="8"/>
    </row>
    <row r="865">
      <c r="A865" s="8"/>
      <c r="B865" s="8"/>
      <c r="C865" s="8"/>
      <c r="D865" s="8"/>
      <c r="E865" s="8"/>
      <c r="F865" s="366"/>
      <c r="G865" s="8"/>
      <c r="H865" s="8"/>
      <c r="I865" s="8"/>
      <c r="J865" s="8"/>
      <c r="K865" s="8"/>
      <c r="L865" s="8"/>
      <c r="M865" s="8"/>
      <c r="N865" s="8"/>
      <c r="O865" s="8"/>
      <c r="P865" s="8"/>
      <c r="Q865" s="8"/>
      <c r="R865" s="8"/>
      <c r="S865" s="367"/>
      <c r="T865" s="367"/>
      <c r="U865" s="367"/>
      <c r="V865" s="367"/>
      <c r="W865" s="8"/>
      <c r="X865" s="8"/>
      <c r="Y865" s="8"/>
      <c r="Z865" s="8"/>
      <c r="AA865" s="8"/>
      <c r="AB865" s="8"/>
    </row>
    <row r="866">
      <c r="A866" s="8"/>
      <c r="B866" s="8"/>
      <c r="C866" s="8"/>
      <c r="D866" s="8"/>
      <c r="E866" s="8"/>
      <c r="F866" s="366"/>
      <c r="G866" s="8"/>
      <c r="H866" s="8"/>
      <c r="I866" s="8"/>
      <c r="J866" s="8"/>
      <c r="K866" s="8"/>
      <c r="L866" s="8"/>
      <c r="M866" s="8"/>
      <c r="N866" s="8"/>
      <c r="O866" s="8"/>
      <c r="P866" s="8"/>
      <c r="Q866" s="8"/>
      <c r="R866" s="8"/>
      <c r="S866" s="367"/>
      <c r="T866" s="367"/>
      <c r="U866" s="367"/>
      <c r="V866" s="367"/>
      <c r="W866" s="8"/>
      <c r="X866" s="8"/>
      <c r="Y866" s="8"/>
      <c r="Z866" s="8"/>
      <c r="AA866" s="8"/>
      <c r="AB866" s="8"/>
    </row>
    <row r="867">
      <c r="A867" s="8"/>
      <c r="B867" s="8"/>
      <c r="C867" s="8"/>
      <c r="D867" s="8"/>
      <c r="E867" s="8"/>
      <c r="F867" s="366"/>
      <c r="G867" s="8"/>
      <c r="H867" s="8"/>
      <c r="I867" s="8"/>
      <c r="J867" s="8"/>
      <c r="K867" s="8"/>
      <c r="L867" s="8"/>
      <c r="M867" s="8"/>
      <c r="N867" s="8"/>
      <c r="O867" s="8"/>
      <c r="P867" s="8"/>
      <c r="Q867" s="8"/>
      <c r="R867" s="8"/>
      <c r="S867" s="367"/>
      <c r="T867" s="367"/>
      <c r="U867" s="367"/>
      <c r="V867" s="367"/>
      <c r="W867" s="8"/>
      <c r="X867" s="8"/>
      <c r="Y867" s="8"/>
      <c r="Z867" s="8"/>
      <c r="AA867" s="8"/>
      <c r="AB867" s="8"/>
    </row>
    <row r="868">
      <c r="A868" s="8"/>
      <c r="B868" s="8"/>
      <c r="C868" s="8"/>
      <c r="D868" s="8"/>
      <c r="E868" s="8"/>
      <c r="F868" s="366"/>
      <c r="G868" s="8"/>
      <c r="H868" s="8"/>
      <c r="I868" s="8"/>
      <c r="J868" s="8"/>
      <c r="K868" s="8"/>
      <c r="L868" s="8"/>
      <c r="M868" s="8"/>
      <c r="N868" s="8"/>
      <c r="O868" s="8"/>
      <c r="P868" s="8"/>
      <c r="Q868" s="8"/>
      <c r="R868" s="8"/>
      <c r="S868" s="367"/>
      <c r="T868" s="367"/>
      <c r="U868" s="367"/>
      <c r="V868" s="367"/>
      <c r="W868" s="8"/>
      <c r="X868" s="8"/>
      <c r="Y868" s="8"/>
      <c r="Z868" s="8"/>
      <c r="AA868" s="8"/>
      <c r="AB868" s="8"/>
    </row>
    <row r="869">
      <c r="A869" s="8"/>
      <c r="B869" s="8"/>
      <c r="C869" s="8"/>
      <c r="D869" s="8"/>
      <c r="E869" s="8"/>
      <c r="F869" s="366"/>
      <c r="G869" s="8"/>
      <c r="H869" s="8"/>
      <c r="I869" s="8"/>
      <c r="J869" s="8"/>
      <c r="K869" s="8"/>
      <c r="L869" s="8"/>
      <c r="M869" s="8"/>
      <c r="N869" s="8"/>
      <c r="O869" s="8"/>
      <c r="P869" s="8"/>
      <c r="Q869" s="8"/>
      <c r="R869" s="8"/>
      <c r="S869" s="367"/>
      <c r="T869" s="367"/>
      <c r="U869" s="367"/>
      <c r="V869" s="367"/>
      <c r="W869" s="8"/>
      <c r="X869" s="8"/>
      <c r="Y869" s="8"/>
      <c r="Z869" s="8"/>
      <c r="AA869" s="8"/>
      <c r="AB869" s="8"/>
    </row>
    <row r="870">
      <c r="A870" s="8"/>
      <c r="B870" s="8"/>
      <c r="C870" s="8"/>
      <c r="D870" s="8"/>
      <c r="E870" s="8"/>
      <c r="F870" s="366"/>
      <c r="G870" s="8"/>
      <c r="H870" s="8"/>
      <c r="I870" s="8"/>
      <c r="J870" s="8"/>
      <c r="K870" s="8"/>
      <c r="L870" s="8"/>
      <c r="M870" s="8"/>
      <c r="N870" s="8"/>
      <c r="O870" s="8"/>
      <c r="P870" s="8"/>
      <c r="Q870" s="8"/>
      <c r="R870" s="8"/>
      <c r="S870" s="367"/>
      <c r="T870" s="367"/>
      <c r="U870" s="367"/>
      <c r="V870" s="367"/>
      <c r="W870" s="8"/>
      <c r="X870" s="8"/>
      <c r="Y870" s="8"/>
      <c r="Z870" s="8"/>
      <c r="AA870" s="8"/>
      <c r="AB870" s="8"/>
    </row>
    <row r="871">
      <c r="A871" s="8"/>
      <c r="B871" s="8"/>
      <c r="C871" s="8"/>
      <c r="D871" s="8"/>
      <c r="E871" s="8"/>
      <c r="F871" s="366"/>
      <c r="G871" s="8"/>
      <c r="H871" s="8"/>
      <c r="I871" s="8"/>
      <c r="J871" s="8"/>
      <c r="K871" s="8"/>
      <c r="L871" s="8"/>
      <c r="M871" s="8"/>
      <c r="N871" s="8"/>
      <c r="O871" s="8"/>
      <c r="P871" s="8"/>
      <c r="Q871" s="8"/>
      <c r="R871" s="8"/>
      <c r="S871" s="367"/>
      <c r="T871" s="367"/>
      <c r="U871" s="367"/>
      <c r="V871" s="367"/>
      <c r="W871" s="8"/>
      <c r="X871" s="8"/>
      <c r="Y871" s="8"/>
      <c r="Z871" s="8"/>
      <c r="AA871" s="8"/>
      <c r="AB871" s="8"/>
    </row>
    <row r="872">
      <c r="A872" s="8"/>
      <c r="B872" s="8"/>
      <c r="C872" s="8"/>
      <c r="D872" s="8"/>
      <c r="E872" s="8"/>
      <c r="F872" s="366"/>
      <c r="G872" s="8"/>
      <c r="H872" s="8"/>
      <c r="I872" s="8"/>
      <c r="J872" s="8"/>
      <c r="K872" s="8"/>
      <c r="L872" s="8"/>
      <c r="M872" s="8"/>
      <c r="N872" s="8"/>
      <c r="O872" s="8"/>
      <c r="P872" s="8"/>
      <c r="Q872" s="8"/>
      <c r="R872" s="8"/>
      <c r="S872" s="367"/>
      <c r="T872" s="367"/>
      <c r="U872" s="367"/>
      <c r="V872" s="367"/>
      <c r="W872" s="8"/>
      <c r="X872" s="8"/>
      <c r="Y872" s="8"/>
      <c r="Z872" s="8"/>
      <c r="AA872" s="8"/>
      <c r="AB872" s="8"/>
    </row>
    <row r="873">
      <c r="A873" s="8"/>
      <c r="B873" s="8"/>
      <c r="C873" s="8"/>
      <c r="D873" s="8"/>
      <c r="E873" s="8"/>
      <c r="F873" s="366"/>
      <c r="G873" s="8"/>
      <c r="H873" s="8"/>
      <c r="I873" s="8"/>
      <c r="J873" s="8"/>
      <c r="K873" s="8"/>
      <c r="L873" s="8"/>
      <c r="M873" s="8"/>
      <c r="N873" s="8"/>
      <c r="O873" s="8"/>
      <c r="P873" s="8"/>
      <c r="Q873" s="8"/>
      <c r="R873" s="8"/>
      <c r="S873" s="367"/>
      <c r="T873" s="367"/>
      <c r="U873" s="367"/>
      <c r="V873" s="367"/>
      <c r="W873" s="8"/>
      <c r="X873" s="8"/>
      <c r="Y873" s="8"/>
      <c r="Z873" s="8"/>
      <c r="AA873" s="8"/>
      <c r="AB873" s="8"/>
    </row>
    <row r="874">
      <c r="A874" s="8"/>
      <c r="B874" s="8"/>
      <c r="C874" s="8"/>
      <c r="D874" s="8"/>
      <c r="E874" s="8"/>
      <c r="F874" s="366"/>
      <c r="G874" s="8"/>
      <c r="H874" s="8"/>
      <c r="I874" s="8"/>
      <c r="J874" s="8"/>
      <c r="K874" s="8"/>
      <c r="L874" s="8"/>
      <c r="M874" s="8"/>
      <c r="N874" s="8"/>
      <c r="O874" s="8"/>
      <c r="P874" s="8"/>
      <c r="Q874" s="8"/>
      <c r="R874" s="8"/>
      <c r="S874" s="367"/>
      <c r="T874" s="367"/>
      <c r="U874" s="367"/>
      <c r="V874" s="367"/>
      <c r="W874" s="8"/>
      <c r="X874" s="8"/>
      <c r="Y874" s="8"/>
      <c r="Z874" s="8"/>
      <c r="AA874" s="8"/>
      <c r="AB874" s="8"/>
    </row>
    <row r="875">
      <c r="A875" s="8"/>
      <c r="B875" s="8"/>
      <c r="C875" s="8"/>
      <c r="D875" s="8"/>
      <c r="E875" s="8"/>
      <c r="F875" s="366"/>
      <c r="G875" s="8"/>
      <c r="H875" s="8"/>
      <c r="I875" s="8"/>
      <c r="J875" s="8"/>
      <c r="K875" s="8"/>
      <c r="L875" s="8"/>
      <c r="M875" s="8"/>
      <c r="N875" s="8"/>
      <c r="O875" s="8"/>
      <c r="P875" s="8"/>
      <c r="Q875" s="8"/>
      <c r="R875" s="8"/>
      <c r="S875" s="367"/>
      <c r="T875" s="367"/>
      <c r="U875" s="367"/>
      <c r="V875" s="367"/>
      <c r="W875" s="8"/>
      <c r="X875" s="8"/>
      <c r="Y875" s="8"/>
      <c r="Z875" s="8"/>
      <c r="AA875" s="8"/>
      <c r="AB875" s="8"/>
    </row>
    <row r="876">
      <c r="A876" s="8"/>
      <c r="B876" s="8"/>
      <c r="C876" s="8"/>
      <c r="D876" s="8"/>
      <c r="E876" s="8"/>
      <c r="F876" s="366"/>
      <c r="G876" s="8"/>
      <c r="H876" s="8"/>
      <c r="I876" s="8"/>
      <c r="J876" s="8"/>
      <c r="K876" s="8"/>
      <c r="L876" s="8"/>
      <c r="M876" s="8"/>
      <c r="N876" s="8"/>
      <c r="O876" s="8"/>
      <c r="P876" s="8"/>
      <c r="Q876" s="8"/>
      <c r="R876" s="8"/>
      <c r="S876" s="367"/>
      <c r="T876" s="367"/>
      <c r="U876" s="367"/>
      <c r="V876" s="367"/>
      <c r="W876" s="8"/>
      <c r="X876" s="8"/>
      <c r="Y876" s="8"/>
      <c r="Z876" s="8"/>
      <c r="AA876" s="8"/>
      <c r="AB876" s="8"/>
    </row>
    <row r="877">
      <c r="A877" s="8"/>
      <c r="B877" s="8"/>
      <c r="C877" s="8"/>
      <c r="D877" s="8"/>
      <c r="E877" s="8"/>
      <c r="F877" s="366"/>
      <c r="G877" s="8"/>
      <c r="H877" s="8"/>
      <c r="I877" s="8"/>
      <c r="J877" s="8"/>
      <c r="K877" s="8"/>
      <c r="L877" s="8"/>
      <c r="M877" s="8"/>
      <c r="N877" s="8"/>
      <c r="O877" s="8"/>
      <c r="P877" s="8"/>
      <c r="Q877" s="8"/>
      <c r="R877" s="8"/>
      <c r="S877" s="367"/>
      <c r="T877" s="367"/>
      <c r="U877" s="367"/>
      <c r="V877" s="367"/>
      <c r="W877" s="8"/>
      <c r="X877" s="8"/>
      <c r="Y877" s="8"/>
      <c r="Z877" s="8"/>
      <c r="AA877" s="8"/>
      <c r="AB877" s="8"/>
    </row>
    <row r="878">
      <c r="A878" s="8"/>
      <c r="B878" s="8"/>
      <c r="C878" s="8"/>
      <c r="D878" s="8"/>
      <c r="E878" s="8"/>
      <c r="F878" s="366"/>
      <c r="G878" s="8"/>
      <c r="H878" s="8"/>
      <c r="I878" s="8"/>
      <c r="J878" s="8"/>
      <c r="K878" s="8"/>
      <c r="L878" s="8"/>
      <c r="M878" s="8"/>
      <c r="N878" s="8"/>
      <c r="O878" s="8"/>
      <c r="P878" s="8"/>
      <c r="Q878" s="8"/>
      <c r="R878" s="8"/>
      <c r="S878" s="367"/>
      <c r="T878" s="367"/>
      <c r="U878" s="367"/>
      <c r="V878" s="367"/>
      <c r="W878" s="8"/>
      <c r="X878" s="8"/>
      <c r="Y878" s="8"/>
      <c r="Z878" s="8"/>
      <c r="AA878" s="8"/>
      <c r="AB878" s="8"/>
    </row>
    <row r="879">
      <c r="A879" s="8"/>
      <c r="B879" s="8"/>
      <c r="C879" s="8"/>
      <c r="D879" s="8"/>
      <c r="E879" s="8"/>
      <c r="F879" s="366"/>
      <c r="G879" s="8"/>
      <c r="H879" s="8"/>
      <c r="I879" s="8"/>
      <c r="J879" s="8"/>
      <c r="K879" s="8"/>
      <c r="L879" s="8"/>
      <c r="M879" s="8"/>
      <c r="N879" s="8"/>
      <c r="O879" s="8"/>
      <c r="P879" s="8"/>
      <c r="Q879" s="8"/>
      <c r="R879" s="8"/>
      <c r="S879" s="367"/>
      <c r="T879" s="367"/>
      <c r="U879" s="367"/>
      <c r="V879" s="367"/>
      <c r="W879" s="8"/>
      <c r="X879" s="8"/>
      <c r="Y879" s="8"/>
      <c r="Z879" s="8"/>
      <c r="AA879" s="8"/>
      <c r="AB879" s="8"/>
    </row>
    <row r="880">
      <c r="A880" s="8"/>
      <c r="B880" s="8"/>
      <c r="C880" s="8"/>
      <c r="D880" s="8"/>
      <c r="E880" s="8"/>
      <c r="F880" s="366"/>
      <c r="G880" s="8"/>
      <c r="H880" s="8"/>
      <c r="I880" s="8"/>
      <c r="J880" s="8"/>
      <c r="K880" s="8"/>
      <c r="L880" s="8"/>
      <c r="M880" s="8"/>
      <c r="N880" s="8"/>
      <c r="O880" s="8"/>
      <c r="P880" s="8"/>
      <c r="Q880" s="8"/>
      <c r="R880" s="8"/>
      <c r="S880" s="367"/>
      <c r="T880" s="367"/>
      <c r="U880" s="367"/>
      <c r="V880" s="367"/>
      <c r="W880" s="8"/>
      <c r="X880" s="8"/>
      <c r="Y880" s="8"/>
      <c r="Z880" s="8"/>
      <c r="AA880" s="8"/>
      <c r="AB880" s="8"/>
    </row>
    <row r="881">
      <c r="A881" s="8"/>
      <c r="B881" s="8"/>
      <c r="C881" s="8"/>
      <c r="D881" s="8"/>
      <c r="E881" s="8"/>
      <c r="F881" s="366"/>
      <c r="G881" s="8"/>
      <c r="H881" s="8"/>
      <c r="I881" s="8"/>
      <c r="J881" s="8"/>
      <c r="K881" s="8"/>
      <c r="L881" s="8"/>
      <c r="M881" s="8"/>
      <c r="N881" s="8"/>
      <c r="O881" s="8"/>
      <c r="P881" s="8"/>
      <c r="Q881" s="8"/>
      <c r="R881" s="8"/>
      <c r="S881" s="367"/>
      <c r="T881" s="367"/>
      <c r="U881" s="367"/>
      <c r="V881" s="367"/>
      <c r="W881" s="8"/>
      <c r="X881" s="8"/>
      <c r="Y881" s="8"/>
      <c r="Z881" s="8"/>
      <c r="AA881" s="8"/>
      <c r="AB881" s="8"/>
    </row>
    <row r="882">
      <c r="A882" s="8"/>
      <c r="B882" s="8"/>
      <c r="C882" s="8"/>
      <c r="D882" s="8"/>
      <c r="E882" s="8"/>
      <c r="F882" s="366"/>
      <c r="G882" s="8"/>
      <c r="H882" s="8"/>
      <c r="I882" s="8"/>
      <c r="J882" s="8"/>
      <c r="K882" s="8"/>
      <c r="L882" s="8"/>
      <c r="M882" s="8"/>
      <c r="N882" s="8"/>
      <c r="O882" s="8"/>
      <c r="P882" s="8"/>
      <c r="Q882" s="8"/>
      <c r="R882" s="8"/>
      <c r="S882" s="367"/>
      <c r="T882" s="367"/>
      <c r="U882" s="367"/>
      <c r="V882" s="367"/>
      <c r="W882" s="8"/>
      <c r="X882" s="8"/>
      <c r="Y882" s="8"/>
      <c r="Z882" s="8"/>
      <c r="AA882" s="8"/>
      <c r="AB882" s="8"/>
    </row>
    <row r="883">
      <c r="A883" s="8"/>
      <c r="B883" s="8"/>
      <c r="C883" s="8"/>
      <c r="D883" s="8"/>
      <c r="E883" s="8"/>
      <c r="F883" s="366"/>
      <c r="G883" s="8"/>
      <c r="H883" s="8"/>
      <c r="I883" s="8"/>
      <c r="J883" s="8"/>
      <c r="K883" s="8"/>
      <c r="L883" s="8"/>
      <c r="M883" s="8"/>
      <c r="N883" s="8"/>
      <c r="O883" s="8"/>
      <c r="P883" s="8"/>
      <c r="Q883" s="8"/>
      <c r="R883" s="8"/>
      <c r="S883" s="367"/>
      <c r="T883" s="367"/>
      <c r="U883" s="367"/>
      <c r="V883" s="367"/>
      <c r="W883" s="8"/>
      <c r="X883" s="8"/>
      <c r="Y883" s="8"/>
      <c r="Z883" s="8"/>
      <c r="AA883" s="8"/>
      <c r="AB883" s="8"/>
    </row>
    <row r="884">
      <c r="A884" s="8"/>
      <c r="B884" s="8"/>
      <c r="C884" s="8"/>
      <c r="D884" s="8"/>
      <c r="E884" s="8"/>
      <c r="F884" s="366"/>
      <c r="G884" s="8"/>
      <c r="H884" s="8"/>
      <c r="I884" s="8"/>
      <c r="J884" s="8"/>
      <c r="K884" s="8"/>
      <c r="L884" s="8"/>
      <c r="M884" s="8"/>
      <c r="N884" s="8"/>
      <c r="O884" s="8"/>
      <c r="P884" s="8"/>
      <c r="Q884" s="8"/>
      <c r="R884" s="8"/>
      <c r="S884" s="367"/>
      <c r="T884" s="367"/>
      <c r="U884" s="367"/>
      <c r="V884" s="367"/>
      <c r="W884" s="8"/>
      <c r="X884" s="8"/>
      <c r="Y884" s="8"/>
      <c r="Z884" s="8"/>
      <c r="AA884" s="8"/>
      <c r="AB884" s="8"/>
    </row>
    <row r="885">
      <c r="A885" s="8"/>
      <c r="B885" s="8"/>
      <c r="C885" s="8"/>
      <c r="D885" s="8"/>
      <c r="E885" s="8"/>
      <c r="F885" s="366"/>
      <c r="G885" s="8"/>
      <c r="H885" s="8"/>
      <c r="I885" s="8"/>
      <c r="J885" s="8"/>
      <c r="K885" s="8"/>
      <c r="L885" s="8"/>
      <c r="M885" s="8"/>
      <c r="N885" s="8"/>
      <c r="O885" s="8"/>
      <c r="P885" s="8"/>
      <c r="Q885" s="8"/>
      <c r="R885" s="8"/>
      <c r="S885" s="367"/>
      <c r="T885" s="367"/>
      <c r="U885" s="367"/>
      <c r="V885" s="367"/>
      <c r="W885" s="8"/>
      <c r="X885" s="8"/>
      <c r="Y885" s="8"/>
      <c r="Z885" s="8"/>
      <c r="AA885" s="8"/>
      <c r="AB885" s="8"/>
    </row>
    <row r="886">
      <c r="A886" s="8"/>
      <c r="B886" s="8"/>
      <c r="C886" s="8"/>
      <c r="D886" s="8"/>
      <c r="E886" s="8"/>
      <c r="F886" s="366"/>
      <c r="G886" s="8"/>
      <c r="H886" s="8"/>
      <c r="I886" s="8"/>
      <c r="J886" s="8"/>
      <c r="K886" s="8"/>
      <c r="L886" s="8"/>
      <c r="M886" s="8"/>
      <c r="N886" s="8"/>
      <c r="O886" s="8"/>
      <c r="P886" s="8"/>
      <c r="Q886" s="8"/>
      <c r="R886" s="8"/>
      <c r="S886" s="367"/>
      <c r="T886" s="367"/>
      <c r="U886" s="367"/>
      <c r="V886" s="367"/>
      <c r="W886" s="8"/>
      <c r="X886" s="8"/>
      <c r="Y886" s="8"/>
      <c r="Z886" s="8"/>
      <c r="AA886" s="8"/>
      <c r="AB886" s="8"/>
    </row>
    <row r="887">
      <c r="A887" s="8"/>
      <c r="B887" s="8"/>
      <c r="C887" s="8"/>
      <c r="D887" s="8"/>
      <c r="E887" s="8"/>
      <c r="F887" s="366"/>
      <c r="G887" s="8"/>
      <c r="H887" s="8"/>
      <c r="I887" s="8"/>
      <c r="J887" s="8"/>
      <c r="K887" s="8"/>
      <c r="L887" s="8"/>
      <c r="M887" s="8"/>
      <c r="N887" s="8"/>
      <c r="O887" s="8"/>
      <c r="P887" s="8"/>
      <c r="Q887" s="8"/>
      <c r="R887" s="8"/>
      <c r="S887" s="367"/>
      <c r="T887" s="367"/>
      <c r="U887" s="367"/>
      <c r="V887" s="367"/>
      <c r="W887" s="8"/>
      <c r="X887" s="8"/>
      <c r="Y887" s="8"/>
      <c r="Z887" s="8"/>
      <c r="AA887" s="8"/>
      <c r="AB887" s="8"/>
    </row>
    <row r="888">
      <c r="A888" s="8"/>
      <c r="B888" s="8"/>
      <c r="C888" s="8"/>
      <c r="D888" s="8"/>
      <c r="E888" s="8"/>
      <c r="F888" s="366"/>
      <c r="G888" s="8"/>
      <c r="H888" s="8"/>
      <c r="I888" s="8"/>
      <c r="J888" s="8"/>
      <c r="K888" s="8"/>
      <c r="L888" s="8"/>
      <c r="M888" s="8"/>
      <c r="N888" s="8"/>
      <c r="O888" s="8"/>
      <c r="P888" s="8"/>
      <c r="Q888" s="8"/>
      <c r="R888" s="8"/>
      <c r="S888" s="367"/>
      <c r="T888" s="367"/>
      <c r="U888" s="367"/>
      <c r="V888" s="367"/>
      <c r="W888" s="8"/>
      <c r="X888" s="8"/>
      <c r="Y888" s="8"/>
      <c r="Z888" s="8"/>
      <c r="AA888" s="8"/>
      <c r="AB888" s="8"/>
    </row>
    <row r="889">
      <c r="A889" s="8"/>
      <c r="B889" s="8"/>
      <c r="C889" s="8"/>
      <c r="D889" s="8"/>
      <c r="E889" s="8"/>
      <c r="F889" s="366"/>
      <c r="G889" s="8"/>
      <c r="H889" s="8"/>
      <c r="I889" s="8"/>
      <c r="J889" s="8"/>
      <c r="K889" s="8"/>
      <c r="L889" s="8"/>
      <c r="M889" s="8"/>
      <c r="N889" s="8"/>
      <c r="O889" s="8"/>
      <c r="P889" s="8"/>
      <c r="Q889" s="8"/>
      <c r="R889" s="8"/>
      <c r="S889" s="367"/>
      <c r="T889" s="367"/>
      <c r="U889" s="367"/>
      <c r="V889" s="367"/>
      <c r="W889" s="8"/>
      <c r="X889" s="8"/>
      <c r="Y889" s="8"/>
      <c r="Z889" s="8"/>
      <c r="AA889" s="8"/>
      <c r="AB889" s="8"/>
    </row>
    <row r="890">
      <c r="A890" s="8"/>
      <c r="B890" s="8"/>
      <c r="C890" s="8"/>
      <c r="D890" s="8"/>
      <c r="E890" s="8"/>
      <c r="F890" s="366"/>
      <c r="G890" s="8"/>
      <c r="H890" s="8"/>
      <c r="I890" s="8"/>
      <c r="J890" s="8"/>
      <c r="K890" s="8"/>
      <c r="L890" s="8"/>
      <c r="M890" s="8"/>
      <c r="N890" s="8"/>
      <c r="O890" s="8"/>
      <c r="P890" s="8"/>
      <c r="Q890" s="8"/>
      <c r="R890" s="8"/>
      <c r="S890" s="367"/>
      <c r="T890" s="367"/>
      <c r="U890" s="367"/>
      <c r="V890" s="367"/>
      <c r="W890" s="8"/>
      <c r="X890" s="8"/>
      <c r="Y890" s="8"/>
      <c r="Z890" s="8"/>
      <c r="AA890" s="8"/>
      <c r="AB890" s="8"/>
    </row>
    <row r="891">
      <c r="A891" s="8"/>
      <c r="B891" s="8"/>
      <c r="C891" s="8"/>
      <c r="D891" s="8"/>
      <c r="E891" s="8"/>
      <c r="F891" s="366"/>
      <c r="G891" s="8"/>
      <c r="H891" s="8"/>
      <c r="I891" s="8"/>
      <c r="J891" s="8"/>
      <c r="K891" s="8"/>
      <c r="L891" s="8"/>
      <c r="M891" s="8"/>
      <c r="N891" s="8"/>
      <c r="O891" s="8"/>
      <c r="P891" s="8"/>
      <c r="Q891" s="8"/>
      <c r="R891" s="8"/>
      <c r="S891" s="367"/>
      <c r="T891" s="367"/>
      <c r="U891" s="367"/>
      <c r="V891" s="367"/>
      <c r="W891" s="8"/>
      <c r="X891" s="8"/>
      <c r="Y891" s="8"/>
      <c r="Z891" s="8"/>
      <c r="AA891" s="8"/>
      <c r="AB891" s="8"/>
    </row>
    <row r="892">
      <c r="A892" s="8"/>
      <c r="B892" s="8"/>
      <c r="C892" s="8"/>
      <c r="D892" s="8"/>
      <c r="E892" s="8"/>
      <c r="F892" s="366"/>
      <c r="G892" s="8"/>
      <c r="H892" s="8"/>
      <c r="I892" s="8"/>
      <c r="J892" s="8"/>
      <c r="K892" s="8"/>
      <c r="L892" s="8"/>
      <c r="M892" s="8"/>
      <c r="N892" s="8"/>
      <c r="O892" s="8"/>
      <c r="P892" s="8"/>
      <c r="Q892" s="8"/>
      <c r="R892" s="8"/>
      <c r="S892" s="367"/>
      <c r="T892" s="367"/>
      <c r="U892" s="367"/>
      <c r="V892" s="367"/>
      <c r="W892" s="8"/>
      <c r="X892" s="8"/>
      <c r="Y892" s="8"/>
      <c r="Z892" s="8"/>
      <c r="AA892" s="8"/>
      <c r="AB892" s="8"/>
    </row>
    <row r="893">
      <c r="A893" s="8"/>
      <c r="B893" s="8"/>
      <c r="C893" s="8"/>
      <c r="D893" s="8"/>
      <c r="E893" s="8"/>
      <c r="F893" s="366"/>
      <c r="G893" s="8"/>
      <c r="H893" s="8"/>
      <c r="I893" s="8"/>
      <c r="J893" s="8"/>
      <c r="K893" s="8"/>
      <c r="L893" s="8"/>
      <c r="M893" s="8"/>
      <c r="N893" s="8"/>
      <c r="O893" s="8"/>
      <c r="P893" s="8"/>
      <c r="Q893" s="8"/>
      <c r="R893" s="8"/>
      <c r="S893" s="367"/>
      <c r="T893" s="367"/>
      <c r="U893" s="367"/>
      <c r="V893" s="367"/>
      <c r="W893" s="8"/>
      <c r="X893" s="8"/>
      <c r="Y893" s="8"/>
      <c r="Z893" s="8"/>
      <c r="AA893" s="8"/>
      <c r="AB893" s="8"/>
    </row>
    <row r="894">
      <c r="A894" s="8"/>
      <c r="B894" s="8"/>
      <c r="C894" s="8"/>
      <c r="D894" s="8"/>
      <c r="E894" s="8"/>
      <c r="F894" s="366"/>
      <c r="G894" s="8"/>
      <c r="H894" s="8"/>
      <c r="I894" s="8"/>
      <c r="J894" s="8"/>
      <c r="K894" s="8"/>
      <c r="L894" s="8"/>
      <c r="M894" s="8"/>
      <c r="N894" s="8"/>
      <c r="O894" s="8"/>
      <c r="P894" s="8"/>
      <c r="Q894" s="8"/>
      <c r="R894" s="8"/>
      <c r="S894" s="367"/>
      <c r="T894" s="367"/>
      <c r="U894" s="367"/>
      <c r="V894" s="367"/>
      <c r="W894" s="8"/>
      <c r="X894" s="8"/>
      <c r="Y894" s="8"/>
      <c r="Z894" s="8"/>
      <c r="AA894" s="8"/>
      <c r="AB894" s="8"/>
    </row>
    <row r="895">
      <c r="A895" s="8"/>
      <c r="B895" s="8"/>
      <c r="C895" s="8"/>
      <c r="D895" s="8"/>
      <c r="E895" s="8"/>
      <c r="F895" s="366"/>
      <c r="G895" s="8"/>
      <c r="H895" s="8"/>
      <c r="I895" s="8"/>
      <c r="J895" s="8"/>
      <c r="K895" s="8"/>
      <c r="L895" s="8"/>
      <c r="M895" s="8"/>
      <c r="N895" s="8"/>
      <c r="O895" s="8"/>
      <c r="P895" s="8"/>
      <c r="Q895" s="8"/>
      <c r="R895" s="8"/>
      <c r="S895" s="367"/>
      <c r="T895" s="367"/>
      <c r="U895" s="367"/>
      <c r="V895" s="367"/>
      <c r="W895" s="8"/>
      <c r="X895" s="8"/>
      <c r="Y895" s="8"/>
      <c r="Z895" s="8"/>
      <c r="AA895" s="8"/>
      <c r="AB895" s="8"/>
    </row>
    <row r="896">
      <c r="A896" s="8"/>
      <c r="B896" s="8"/>
      <c r="C896" s="8"/>
      <c r="D896" s="8"/>
      <c r="E896" s="8"/>
      <c r="F896" s="366"/>
      <c r="G896" s="8"/>
      <c r="H896" s="8"/>
      <c r="I896" s="8"/>
      <c r="J896" s="8"/>
      <c r="K896" s="8"/>
      <c r="L896" s="8"/>
      <c r="M896" s="8"/>
      <c r="N896" s="8"/>
      <c r="O896" s="8"/>
      <c r="P896" s="8"/>
      <c r="Q896" s="8"/>
      <c r="R896" s="8"/>
      <c r="S896" s="367"/>
      <c r="T896" s="367"/>
      <c r="U896" s="367"/>
      <c r="V896" s="367"/>
      <c r="W896" s="8"/>
      <c r="X896" s="8"/>
      <c r="Y896" s="8"/>
      <c r="Z896" s="8"/>
      <c r="AA896" s="8"/>
      <c r="AB896" s="8"/>
    </row>
    <row r="897">
      <c r="A897" s="8"/>
      <c r="B897" s="8"/>
      <c r="C897" s="8"/>
      <c r="D897" s="8"/>
      <c r="E897" s="8"/>
      <c r="F897" s="366"/>
      <c r="G897" s="8"/>
      <c r="H897" s="8"/>
      <c r="I897" s="8"/>
      <c r="J897" s="8"/>
      <c r="K897" s="8"/>
      <c r="L897" s="8"/>
      <c r="M897" s="8"/>
      <c r="N897" s="8"/>
      <c r="O897" s="8"/>
      <c r="P897" s="8"/>
      <c r="Q897" s="8"/>
      <c r="R897" s="8"/>
      <c r="S897" s="367"/>
      <c r="T897" s="367"/>
      <c r="U897" s="367"/>
      <c r="V897" s="367"/>
      <c r="W897" s="8"/>
      <c r="X897" s="8"/>
      <c r="Y897" s="8"/>
      <c r="Z897" s="8"/>
      <c r="AA897" s="8"/>
      <c r="AB897" s="8"/>
    </row>
    <row r="898">
      <c r="A898" s="8"/>
      <c r="B898" s="8"/>
      <c r="C898" s="8"/>
      <c r="D898" s="8"/>
      <c r="E898" s="8"/>
      <c r="F898" s="366"/>
      <c r="G898" s="8"/>
      <c r="H898" s="8"/>
      <c r="I898" s="8"/>
      <c r="J898" s="8"/>
      <c r="K898" s="8"/>
      <c r="L898" s="8"/>
      <c r="M898" s="8"/>
      <c r="N898" s="8"/>
      <c r="O898" s="8"/>
      <c r="P898" s="8"/>
      <c r="Q898" s="8"/>
      <c r="R898" s="8"/>
      <c r="S898" s="367"/>
      <c r="T898" s="367"/>
      <c r="U898" s="367"/>
      <c r="V898" s="367"/>
      <c r="W898" s="8"/>
      <c r="X898" s="8"/>
      <c r="Y898" s="8"/>
      <c r="Z898" s="8"/>
      <c r="AA898" s="8"/>
      <c r="AB898" s="8"/>
    </row>
    <row r="899">
      <c r="A899" s="8"/>
      <c r="B899" s="8"/>
      <c r="C899" s="8"/>
      <c r="D899" s="8"/>
      <c r="E899" s="8"/>
      <c r="F899" s="366"/>
      <c r="G899" s="8"/>
      <c r="H899" s="8"/>
      <c r="I899" s="8"/>
      <c r="J899" s="8"/>
      <c r="K899" s="8"/>
      <c r="L899" s="8"/>
      <c r="M899" s="8"/>
      <c r="N899" s="8"/>
      <c r="O899" s="8"/>
      <c r="P899" s="8"/>
      <c r="Q899" s="8"/>
      <c r="R899" s="8"/>
      <c r="S899" s="367"/>
      <c r="T899" s="367"/>
      <c r="U899" s="367"/>
      <c r="V899" s="367"/>
      <c r="W899" s="8"/>
      <c r="X899" s="8"/>
      <c r="Y899" s="8"/>
      <c r="Z899" s="8"/>
      <c r="AA899" s="8"/>
      <c r="AB899" s="8"/>
    </row>
    <row r="900">
      <c r="A900" s="8"/>
      <c r="B900" s="8"/>
      <c r="C900" s="8"/>
      <c r="D900" s="8"/>
      <c r="E900" s="8"/>
      <c r="F900" s="366"/>
      <c r="G900" s="8"/>
      <c r="H900" s="8"/>
      <c r="I900" s="8"/>
      <c r="J900" s="8"/>
      <c r="K900" s="8"/>
      <c r="L900" s="8"/>
      <c r="M900" s="8"/>
      <c r="N900" s="8"/>
      <c r="O900" s="8"/>
      <c r="P900" s="8"/>
      <c r="Q900" s="8"/>
      <c r="R900" s="8"/>
      <c r="S900" s="367"/>
      <c r="T900" s="367"/>
      <c r="U900" s="367"/>
      <c r="V900" s="367"/>
      <c r="W900" s="8"/>
      <c r="X900" s="8"/>
      <c r="Y900" s="8"/>
      <c r="Z900" s="8"/>
      <c r="AA900" s="8"/>
      <c r="AB900" s="8"/>
    </row>
    <row r="901">
      <c r="A901" s="8"/>
      <c r="B901" s="8"/>
      <c r="C901" s="8"/>
      <c r="D901" s="8"/>
      <c r="E901" s="8"/>
      <c r="F901" s="366"/>
      <c r="G901" s="8"/>
      <c r="H901" s="8"/>
      <c r="I901" s="8"/>
      <c r="J901" s="8"/>
      <c r="K901" s="8"/>
      <c r="L901" s="8"/>
      <c r="M901" s="8"/>
      <c r="N901" s="8"/>
      <c r="O901" s="8"/>
      <c r="P901" s="8"/>
      <c r="Q901" s="8"/>
      <c r="R901" s="8"/>
      <c r="S901" s="367"/>
      <c r="T901" s="367"/>
      <c r="U901" s="367"/>
      <c r="V901" s="367"/>
      <c r="W901" s="8"/>
      <c r="X901" s="8"/>
      <c r="Y901" s="8"/>
      <c r="Z901" s="8"/>
      <c r="AA901" s="8"/>
      <c r="AB901" s="8"/>
    </row>
    <row r="902">
      <c r="A902" s="8"/>
      <c r="B902" s="8"/>
      <c r="C902" s="8"/>
      <c r="D902" s="8"/>
      <c r="E902" s="8"/>
      <c r="F902" s="366"/>
      <c r="G902" s="8"/>
      <c r="H902" s="8"/>
      <c r="I902" s="8"/>
      <c r="J902" s="8"/>
      <c r="K902" s="8"/>
      <c r="L902" s="8"/>
      <c r="M902" s="8"/>
      <c r="N902" s="8"/>
      <c r="O902" s="8"/>
      <c r="P902" s="8"/>
      <c r="Q902" s="8"/>
      <c r="R902" s="8"/>
      <c r="S902" s="367"/>
      <c r="T902" s="367"/>
      <c r="U902" s="367"/>
      <c r="V902" s="367"/>
      <c r="W902" s="8"/>
      <c r="X902" s="8"/>
      <c r="Y902" s="8"/>
      <c r="Z902" s="8"/>
      <c r="AA902" s="8"/>
      <c r="AB902" s="8"/>
    </row>
    <row r="903">
      <c r="A903" s="8"/>
      <c r="B903" s="8"/>
      <c r="C903" s="8"/>
      <c r="D903" s="8"/>
      <c r="E903" s="8"/>
      <c r="F903" s="366"/>
      <c r="G903" s="8"/>
      <c r="H903" s="8"/>
      <c r="I903" s="8"/>
      <c r="J903" s="8"/>
      <c r="K903" s="8"/>
      <c r="L903" s="8"/>
      <c r="M903" s="8"/>
      <c r="N903" s="8"/>
      <c r="O903" s="8"/>
      <c r="P903" s="8"/>
      <c r="Q903" s="8"/>
      <c r="R903" s="8"/>
      <c r="S903" s="367"/>
      <c r="T903" s="367"/>
      <c r="U903" s="367"/>
      <c r="V903" s="367"/>
      <c r="W903" s="8"/>
      <c r="X903" s="8"/>
      <c r="Y903" s="8"/>
      <c r="Z903" s="8"/>
      <c r="AA903" s="8"/>
      <c r="AB903" s="8"/>
    </row>
    <row r="904">
      <c r="A904" s="8"/>
      <c r="B904" s="8"/>
      <c r="C904" s="8"/>
      <c r="D904" s="8"/>
      <c r="E904" s="8"/>
      <c r="F904" s="366"/>
      <c r="G904" s="8"/>
      <c r="H904" s="8"/>
      <c r="I904" s="8"/>
      <c r="J904" s="8"/>
      <c r="K904" s="8"/>
      <c r="L904" s="8"/>
      <c r="M904" s="8"/>
      <c r="N904" s="8"/>
      <c r="O904" s="8"/>
      <c r="P904" s="8"/>
      <c r="Q904" s="8"/>
      <c r="R904" s="8"/>
      <c r="S904" s="367"/>
      <c r="T904" s="367"/>
      <c r="U904" s="367"/>
      <c r="V904" s="367"/>
      <c r="W904" s="8"/>
      <c r="X904" s="8"/>
      <c r="Y904" s="8"/>
      <c r="Z904" s="8"/>
      <c r="AA904" s="8"/>
      <c r="AB904" s="8"/>
    </row>
    <row r="905">
      <c r="A905" s="8"/>
      <c r="B905" s="8"/>
      <c r="C905" s="8"/>
      <c r="D905" s="8"/>
      <c r="E905" s="8"/>
      <c r="F905" s="366"/>
      <c r="G905" s="8"/>
      <c r="H905" s="8"/>
      <c r="I905" s="8"/>
      <c r="J905" s="8"/>
      <c r="K905" s="8"/>
      <c r="L905" s="8"/>
      <c r="M905" s="8"/>
      <c r="N905" s="8"/>
      <c r="O905" s="8"/>
      <c r="P905" s="8"/>
      <c r="Q905" s="8"/>
      <c r="R905" s="8"/>
      <c r="S905" s="367"/>
      <c r="T905" s="367"/>
      <c r="U905" s="367"/>
      <c r="V905" s="367"/>
      <c r="W905" s="8"/>
      <c r="X905" s="8"/>
      <c r="Y905" s="8"/>
      <c r="Z905" s="8"/>
      <c r="AA905" s="8"/>
      <c r="AB905" s="8"/>
    </row>
    <row r="906">
      <c r="A906" s="8"/>
      <c r="B906" s="8"/>
      <c r="C906" s="8"/>
      <c r="D906" s="8"/>
      <c r="E906" s="8"/>
      <c r="F906" s="366"/>
      <c r="G906" s="8"/>
      <c r="H906" s="8"/>
      <c r="I906" s="8"/>
      <c r="J906" s="8"/>
      <c r="K906" s="8"/>
      <c r="L906" s="8"/>
      <c r="M906" s="8"/>
      <c r="N906" s="8"/>
      <c r="O906" s="8"/>
      <c r="P906" s="8"/>
      <c r="Q906" s="8"/>
      <c r="R906" s="8"/>
      <c r="S906" s="367"/>
      <c r="T906" s="367"/>
      <c r="U906" s="367"/>
      <c r="V906" s="367"/>
      <c r="W906" s="8"/>
      <c r="X906" s="8"/>
      <c r="Y906" s="8"/>
      <c r="Z906" s="8"/>
      <c r="AA906" s="8"/>
      <c r="AB906" s="8"/>
    </row>
    <row r="907">
      <c r="A907" s="8"/>
      <c r="B907" s="8"/>
      <c r="C907" s="8"/>
      <c r="D907" s="8"/>
      <c r="E907" s="8"/>
      <c r="F907" s="366"/>
      <c r="G907" s="8"/>
      <c r="H907" s="8"/>
      <c r="I907" s="8"/>
      <c r="J907" s="8"/>
      <c r="K907" s="8"/>
      <c r="L907" s="8"/>
      <c r="M907" s="8"/>
      <c r="N907" s="8"/>
      <c r="O907" s="8"/>
      <c r="P907" s="8"/>
      <c r="Q907" s="8"/>
      <c r="R907" s="8"/>
      <c r="S907" s="367"/>
      <c r="T907" s="367"/>
      <c r="U907" s="367"/>
      <c r="V907" s="367"/>
      <c r="W907" s="8"/>
      <c r="X907" s="8"/>
      <c r="Y907" s="8"/>
      <c r="Z907" s="8"/>
      <c r="AA907" s="8"/>
      <c r="AB907" s="8"/>
    </row>
    <row r="908">
      <c r="A908" s="8"/>
      <c r="B908" s="8"/>
      <c r="C908" s="8"/>
      <c r="D908" s="8"/>
      <c r="E908" s="8"/>
      <c r="F908" s="366"/>
      <c r="G908" s="8"/>
      <c r="H908" s="8"/>
      <c r="I908" s="8"/>
      <c r="J908" s="8"/>
      <c r="K908" s="8"/>
      <c r="L908" s="8"/>
      <c r="M908" s="8"/>
      <c r="N908" s="8"/>
      <c r="O908" s="8"/>
      <c r="P908" s="8"/>
      <c r="Q908" s="8"/>
      <c r="R908" s="8"/>
      <c r="S908" s="367"/>
      <c r="T908" s="367"/>
      <c r="U908" s="367"/>
      <c r="V908" s="367"/>
      <c r="W908" s="8"/>
      <c r="X908" s="8"/>
      <c r="Y908" s="8"/>
      <c r="Z908" s="8"/>
      <c r="AA908" s="8"/>
      <c r="AB908" s="8"/>
    </row>
    <row r="909">
      <c r="A909" s="8"/>
      <c r="B909" s="8"/>
      <c r="C909" s="8"/>
      <c r="D909" s="8"/>
      <c r="E909" s="8"/>
      <c r="F909" s="366"/>
      <c r="G909" s="8"/>
      <c r="H909" s="8"/>
      <c r="I909" s="8"/>
      <c r="J909" s="8"/>
      <c r="K909" s="8"/>
      <c r="L909" s="8"/>
      <c r="M909" s="8"/>
      <c r="N909" s="8"/>
      <c r="O909" s="8"/>
      <c r="P909" s="8"/>
      <c r="Q909" s="8"/>
      <c r="R909" s="8"/>
      <c r="S909" s="367"/>
      <c r="T909" s="367"/>
      <c r="U909" s="367"/>
      <c r="V909" s="367"/>
      <c r="W909" s="8"/>
      <c r="X909" s="8"/>
      <c r="Y909" s="8"/>
      <c r="Z909" s="8"/>
      <c r="AA909" s="8"/>
      <c r="AB909" s="8"/>
    </row>
    <row r="910">
      <c r="A910" s="8"/>
      <c r="B910" s="8"/>
      <c r="C910" s="8"/>
      <c r="D910" s="8"/>
      <c r="E910" s="8"/>
      <c r="F910" s="366"/>
      <c r="G910" s="8"/>
      <c r="H910" s="8"/>
      <c r="I910" s="8"/>
      <c r="J910" s="8"/>
      <c r="K910" s="8"/>
      <c r="L910" s="8"/>
      <c r="M910" s="8"/>
      <c r="N910" s="8"/>
      <c r="O910" s="8"/>
      <c r="P910" s="8"/>
      <c r="Q910" s="8"/>
      <c r="R910" s="8"/>
      <c r="S910" s="367"/>
      <c r="T910" s="367"/>
      <c r="U910" s="367"/>
      <c r="V910" s="367"/>
      <c r="W910" s="8"/>
      <c r="X910" s="8"/>
      <c r="Y910" s="8"/>
      <c r="Z910" s="8"/>
      <c r="AA910" s="8"/>
      <c r="AB910" s="8"/>
    </row>
    <row r="911">
      <c r="A911" s="8"/>
      <c r="B911" s="8"/>
      <c r="C911" s="8"/>
      <c r="D911" s="8"/>
      <c r="E911" s="8"/>
      <c r="F911" s="366"/>
      <c r="G911" s="8"/>
      <c r="H911" s="8"/>
      <c r="I911" s="8"/>
      <c r="J911" s="8"/>
      <c r="K911" s="8"/>
      <c r="L911" s="8"/>
      <c r="M911" s="8"/>
      <c r="N911" s="8"/>
      <c r="O911" s="8"/>
      <c r="P911" s="8"/>
      <c r="Q911" s="8"/>
      <c r="R911" s="8"/>
      <c r="S911" s="367"/>
      <c r="T911" s="367"/>
      <c r="U911" s="367"/>
      <c r="V911" s="367"/>
      <c r="W911" s="8"/>
      <c r="X911" s="8"/>
      <c r="Y911" s="8"/>
      <c r="Z911" s="8"/>
      <c r="AA911" s="8"/>
      <c r="AB911" s="8"/>
    </row>
    <row r="912">
      <c r="A912" s="8"/>
      <c r="B912" s="8"/>
      <c r="C912" s="8"/>
      <c r="D912" s="8"/>
      <c r="E912" s="8"/>
      <c r="F912" s="366"/>
      <c r="G912" s="8"/>
      <c r="H912" s="8"/>
      <c r="I912" s="8"/>
      <c r="J912" s="8"/>
      <c r="K912" s="8"/>
      <c r="L912" s="8"/>
      <c r="M912" s="8"/>
      <c r="N912" s="8"/>
      <c r="O912" s="8"/>
      <c r="P912" s="8"/>
      <c r="Q912" s="8"/>
      <c r="R912" s="8"/>
      <c r="S912" s="367"/>
      <c r="T912" s="367"/>
      <c r="U912" s="367"/>
      <c r="V912" s="367"/>
      <c r="W912" s="8"/>
      <c r="X912" s="8"/>
      <c r="Y912" s="8"/>
      <c r="Z912" s="8"/>
      <c r="AA912" s="8"/>
      <c r="AB912" s="8"/>
    </row>
    <row r="913">
      <c r="A913" s="8"/>
      <c r="B913" s="8"/>
      <c r="C913" s="8"/>
      <c r="D913" s="8"/>
      <c r="E913" s="8"/>
      <c r="F913" s="366"/>
      <c r="G913" s="8"/>
      <c r="H913" s="8"/>
      <c r="I913" s="8"/>
      <c r="J913" s="8"/>
      <c r="K913" s="8"/>
      <c r="L913" s="8"/>
      <c r="M913" s="8"/>
      <c r="N913" s="8"/>
      <c r="O913" s="8"/>
      <c r="P913" s="8"/>
      <c r="Q913" s="8"/>
      <c r="R913" s="8"/>
      <c r="S913" s="367"/>
      <c r="T913" s="367"/>
      <c r="U913" s="367"/>
      <c r="V913" s="367"/>
      <c r="W913" s="8"/>
      <c r="X913" s="8"/>
      <c r="Y913" s="8"/>
      <c r="Z913" s="8"/>
      <c r="AA913" s="8"/>
      <c r="AB913" s="8"/>
    </row>
    <row r="914">
      <c r="A914" s="8"/>
      <c r="B914" s="8"/>
      <c r="C914" s="8"/>
      <c r="D914" s="8"/>
      <c r="E914" s="8"/>
      <c r="F914" s="366"/>
      <c r="G914" s="8"/>
      <c r="H914" s="8"/>
      <c r="I914" s="8"/>
      <c r="J914" s="8"/>
      <c r="K914" s="8"/>
      <c r="L914" s="8"/>
      <c r="M914" s="8"/>
      <c r="N914" s="8"/>
      <c r="O914" s="8"/>
      <c r="P914" s="8"/>
      <c r="Q914" s="8"/>
      <c r="R914" s="8"/>
      <c r="S914" s="367"/>
      <c r="T914" s="367"/>
      <c r="U914" s="367"/>
      <c r="V914" s="367"/>
      <c r="W914" s="8"/>
      <c r="X914" s="8"/>
      <c r="Y914" s="8"/>
      <c r="Z914" s="8"/>
      <c r="AA914" s="8"/>
      <c r="AB914" s="8"/>
    </row>
    <row r="915">
      <c r="A915" s="8"/>
      <c r="B915" s="8"/>
      <c r="C915" s="8"/>
      <c r="D915" s="8"/>
      <c r="E915" s="8"/>
      <c r="F915" s="366"/>
      <c r="G915" s="8"/>
      <c r="H915" s="8"/>
      <c r="I915" s="8"/>
      <c r="J915" s="8"/>
      <c r="K915" s="8"/>
      <c r="L915" s="8"/>
      <c r="M915" s="8"/>
      <c r="N915" s="8"/>
      <c r="O915" s="8"/>
      <c r="P915" s="8"/>
      <c r="Q915" s="8"/>
      <c r="R915" s="8"/>
      <c r="S915" s="367"/>
      <c r="T915" s="367"/>
      <c r="U915" s="367"/>
      <c r="V915" s="367"/>
      <c r="W915" s="8"/>
      <c r="X915" s="8"/>
      <c r="Y915" s="8"/>
      <c r="Z915" s="8"/>
      <c r="AA915" s="8"/>
      <c r="AB915" s="8"/>
    </row>
    <row r="916">
      <c r="A916" s="8"/>
      <c r="B916" s="8"/>
      <c r="C916" s="8"/>
      <c r="D916" s="8"/>
      <c r="E916" s="8"/>
      <c r="F916" s="366"/>
      <c r="G916" s="8"/>
      <c r="H916" s="8"/>
      <c r="I916" s="8"/>
      <c r="J916" s="8"/>
      <c r="K916" s="8"/>
      <c r="L916" s="8"/>
      <c r="M916" s="8"/>
      <c r="N916" s="8"/>
      <c r="O916" s="8"/>
      <c r="P916" s="8"/>
      <c r="Q916" s="8"/>
      <c r="R916" s="8"/>
      <c r="S916" s="367"/>
      <c r="T916" s="367"/>
      <c r="U916" s="367"/>
      <c r="V916" s="367"/>
      <c r="W916" s="8"/>
      <c r="X916" s="8"/>
      <c r="Y916" s="8"/>
      <c r="Z916" s="8"/>
      <c r="AA916" s="8"/>
      <c r="AB916" s="8"/>
    </row>
    <row r="917">
      <c r="A917" s="8"/>
      <c r="B917" s="8"/>
      <c r="C917" s="8"/>
      <c r="D917" s="8"/>
      <c r="E917" s="8"/>
      <c r="F917" s="366"/>
      <c r="G917" s="8"/>
      <c r="H917" s="8"/>
      <c r="I917" s="8"/>
      <c r="J917" s="8"/>
      <c r="K917" s="8"/>
      <c r="L917" s="8"/>
      <c r="M917" s="8"/>
      <c r="N917" s="8"/>
      <c r="O917" s="8"/>
      <c r="P917" s="8"/>
      <c r="Q917" s="8"/>
      <c r="R917" s="8"/>
      <c r="S917" s="367"/>
      <c r="T917" s="367"/>
      <c r="U917" s="367"/>
      <c r="V917" s="367"/>
      <c r="W917" s="8"/>
      <c r="X917" s="8"/>
      <c r="Y917" s="8"/>
      <c r="Z917" s="8"/>
      <c r="AA917" s="8"/>
      <c r="AB917" s="8"/>
    </row>
    <row r="918">
      <c r="A918" s="8"/>
      <c r="B918" s="8"/>
      <c r="C918" s="8"/>
      <c r="D918" s="8"/>
      <c r="E918" s="8"/>
      <c r="F918" s="366"/>
      <c r="G918" s="8"/>
      <c r="H918" s="8"/>
      <c r="I918" s="8"/>
      <c r="J918" s="8"/>
      <c r="K918" s="8"/>
      <c r="L918" s="8"/>
      <c r="M918" s="8"/>
      <c r="N918" s="8"/>
      <c r="O918" s="8"/>
      <c r="P918" s="8"/>
      <c r="Q918" s="8"/>
      <c r="R918" s="8"/>
      <c r="S918" s="367"/>
      <c r="T918" s="367"/>
      <c r="U918" s="367"/>
      <c r="V918" s="367"/>
      <c r="W918" s="8"/>
      <c r="X918" s="8"/>
      <c r="Y918" s="8"/>
      <c r="Z918" s="8"/>
      <c r="AA918" s="8"/>
      <c r="AB918" s="8"/>
    </row>
    <row r="919">
      <c r="A919" s="8"/>
      <c r="B919" s="8"/>
      <c r="C919" s="8"/>
      <c r="D919" s="8"/>
      <c r="E919" s="8"/>
      <c r="F919" s="366"/>
      <c r="G919" s="8"/>
      <c r="H919" s="8"/>
      <c r="I919" s="8"/>
      <c r="J919" s="8"/>
      <c r="K919" s="8"/>
      <c r="L919" s="8"/>
      <c r="M919" s="8"/>
      <c r="N919" s="8"/>
      <c r="O919" s="8"/>
      <c r="P919" s="8"/>
      <c r="Q919" s="8"/>
      <c r="R919" s="8"/>
      <c r="S919" s="367"/>
      <c r="T919" s="367"/>
      <c r="U919" s="367"/>
      <c r="V919" s="367"/>
      <c r="W919" s="8"/>
      <c r="X919" s="8"/>
      <c r="Y919" s="8"/>
      <c r="Z919" s="8"/>
      <c r="AA919" s="8"/>
      <c r="AB919" s="8"/>
    </row>
    <row r="920">
      <c r="A920" s="8"/>
      <c r="B920" s="8"/>
      <c r="C920" s="8"/>
      <c r="D920" s="8"/>
      <c r="E920" s="8"/>
      <c r="F920" s="366"/>
      <c r="G920" s="8"/>
      <c r="H920" s="8"/>
      <c r="I920" s="8"/>
      <c r="J920" s="8"/>
      <c r="K920" s="8"/>
      <c r="L920" s="8"/>
      <c r="M920" s="8"/>
      <c r="N920" s="8"/>
      <c r="O920" s="8"/>
      <c r="P920" s="8"/>
      <c r="Q920" s="8"/>
      <c r="R920" s="8"/>
      <c r="S920" s="367"/>
      <c r="T920" s="367"/>
      <c r="U920" s="367"/>
      <c r="V920" s="367"/>
      <c r="W920" s="8"/>
      <c r="X920" s="8"/>
      <c r="Y920" s="8"/>
      <c r="Z920" s="8"/>
      <c r="AA920" s="8"/>
      <c r="AB920" s="8"/>
    </row>
    <row r="921">
      <c r="A921" s="8"/>
      <c r="B921" s="8"/>
      <c r="C921" s="8"/>
      <c r="D921" s="8"/>
      <c r="E921" s="8"/>
      <c r="F921" s="366"/>
      <c r="G921" s="8"/>
      <c r="H921" s="8"/>
      <c r="I921" s="8"/>
      <c r="J921" s="8"/>
      <c r="K921" s="8"/>
      <c r="L921" s="8"/>
      <c r="M921" s="8"/>
      <c r="N921" s="8"/>
      <c r="O921" s="8"/>
      <c r="P921" s="8"/>
      <c r="Q921" s="8"/>
      <c r="R921" s="8"/>
      <c r="S921" s="367"/>
      <c r="T921" s="367"/>
      <c r="U921" s="367"/>
      <c r="V921" s="367"/>
      <c r="W921" s="8"/>
      <c r="X921" s="8"/>
      <c r="Y921" s="8"/>
      <c r="Z921" s="8"/>
      <c r="AA921" s="8"/>
      <c r="AB921" s="8"/>
    </row>
    <row r="922">
      <c r="A922" s="8"/>
      <c r="B922" s="8"/>
      <c r="C922" s="8"/>
      <c r="D922" s="8"/>
      <c r="E922" s="8"/>
      <c r="F922" s="366"/>
      <c r="G922" s="8"/>
      <c r="H922" s="8"/>
      <c r="I922" s="8"/>
      <c r="J922" s="8"/>
      <c r="K922" s="8"/>
      <c r="L922" s="8"/>
      <c r="M922" s="8"/>
      <c r="N922" s="8"/>
      <c r="O922" s="8"/>
      <c r="P922" s="8"/>
      <c r="Q922" s="8"/>
      <c r="R922" s="8"/>
      <c r="S922" s="367"/>
      <c r="T922" s="367"/>
      <c r="U922" s="367"/>
      <c r="V922" s="367"/>
      <c r="W922" s="8"/>
      <c r="X922" s="8"/>
      <c r="Y922" s="8"/>
      <c r="Z922" s="8"/>
      <c r="AA922" s="8"/>
      <c r="AB922" s="8"/>
    </row>
    <row r="923">
      <c r="A923" s="8"/>
      <c r="B923" s="8"/>
      <c r="C923" s="8"/>
      <c r="D923" s="8"/>
      <c r="E923" s="8"/>
      <c r="F923" s="366"/>
      <c r="G923" s="8"/>
      <c r="H923" s="8"/>
      <c r="I923" s="8"/>
      <c r="J923" s="8"/>
      <c r="K923" s="8"/>
      <c r="L923" s="8"/>
      <c r="M923" s="8"/>
      <c r="N923" s="8"/>
      <c r="O923" s="8"/>
      <c r="P923" s="8"/>
      <c r="Q923" s="8"/>
      <c r="R923" s="8"/>
      <c r="S923" s="367"/>
      <c r="T923" s="367"/>
      <c r="U923" s="367"/>
      <c r="V923" s="367"/>
      <c r="W923" s="8"/>
      <c r="X923" s="8"/>
      <c r="Y923" s="8"/>
      <c r="Z923" s="8"/>
      <c r="AA923" s="8"/>
      <c r="AB923" s="8"/>
    </row>
    <row r="924">
      <c r="A924" s="8"/>
      <c r="B924" s="8"/>
      <c r="C924" s="8"/>
      <c r="D924" s="8"/>
      <c r="E924" s="8"/>
      <c r="F924" s="366"/>
      <c r="G924" s="8"/>
      <c r="H924" s="8"/>
      <c r="I924" s="8"/>
      <c r="J924" s="8"/>
      <c r="K924" s="8"/>
      <c r="L924" s="8"/>
      <c r="M924" s="8"/>
      <c r="N924" s="8"/>
      <c r="O924" s="8"/>
      <c r="P924" s="8"/>
      <c r="Q924" s="8"/>
      <c r="R924" s="8"/>
      <c r="S924" s="367"/>
      <c r="T924" s="367"/>
      <c r="U924" s="367"/>
      <c r="V924" s="367"/>
      <c r="W924" s="8"/>
      <c r="X924" s="8"/>
      <c r="Y924" s="8"/>
      <c r="Z924" s="8"/>
      <c r="AA924" s="8"/>
      <c r="AB924" s="8"/>
    </row>
    <row r="925">
      <c r="A925" s="8"/>
      <c r="B925" s="8"/>
      <c r="C925" s="8"/>
      <c r="D925" s="8"/>
      <c r="E925" s="8"/>
      <c r="F925" s="366"/>
      <c r="G925" s="8"/>
      <c r="H925" s="8"/>
      <c r="I925" s="8"/>
      <c r="J925" s="8"/>
      <c r="K925" s="8"/>
      <c r="L925" s="8"/>
      <c r="M925" s="8"/>
      <c r="N925" s="8"/>
      <c r="O925" s="8"/>
      <c r="P925" s="8"/>
      <c r="Q925" s="8"/>
      <c r="R925" s="8"/>
      <c r="S925" s="367"/>
      <c r="T925" s="367"/>
      <c r="U925" s="367"/>
      <c r="V925" s="367"/>
      <c r="W925" s="8"/>
      <c r="X925" s="8"/>
      <c r="Y925" s="8"/>
      <c r="Z925" s="8"/>
      <c r="AA925" s="8"/>
      <c r="AB925" s="8"/>
    </row>
    <row r="926">
      <c r="A926" s="8"/>
      <c r="B926" s="8"/>
      <c r="C926" s="8"/>
      <c r="D926" s="8"/>
      <c r="E926" s="8"/>
      <c r="F926" s="366"/>
      <c r="G926" s="8"/>
      <c r="H926" s="8"/>
      <c r="I926" s="8"/>
      <c r="J926" s="8"/>
      <c r="K926" s="8"/>
      <c r="L926" s="8"/>
      <c r="M926" s="8"/>
      <c r="N926" s="8"/>
      <c r="O926" s="8"/>
      <c r="P926" s="8"/>
      <c r="Q926" s="8"/>
      <c r="R926" s="8"/>
      <c r="S926" s="367"/>
      <c r="T926" s="367"/>
      <c r="U926" s="367"/>
      <c r="V926" s="367"/>
      <c r="W926" s="8"/>
      <c r="X926" s="8"/>
      <c r="Y926" s="8"/>
      <c r="Z926" s="8"/>
      <c r="AA926" s="8"/>
      <c r="AB926" s="8"/>
    </row>
    <row r="927">
      <c r="A927" s="8"/>
      <c r="B927" s="8"/>
      <c r="C927" s="8"/>
      <c r="D927" s="8"/>
      <c r="E927" s="8"/>
      <c r="F927" s="366"/>
      <c r="G927" s="8"/>
      <c r="H927" s="8"/>
      <c r="I927" s="8"/>
      <c r="J927" s="8"/>
      <c r="K927" s="8"/>
      <c r="L927" s="8"/>
      <c r="M927" s="8"/>
      <c r="N927" s="8"/>
      <c r="O927" s="8"/>
      <c r="P927" s="8"/>
      <c r="Q927" s="8"/>
      <c r="R927" s="8"/>
      <c r="S927" s="367"/>
      <c r="T927" s="367"/>
      <c r="U927" s="367"/>
      <c r="V927" s="367"/>
      <c r="W927" s="8"/>
      <c r="X927" s="8"/>
      <c r="Y927" s="8"/>
      <c r="Z927" s="8"/>
      <c r="AA927" s="8"/>
      <c r="AB927" s="8"/>
    </row>
    <row r="928">
      <c r="A928" s="8"/>
      <c r="B928" s="8"/>
      <c r="C928" s="8"/>
      <c r="D928" s="8"/>
      <c r="E928" s="8"/>
      <c r="F928" s="366"/>
      <c r="G928" s="8"/>
      <c r="H928" s="8"/>
      <c r="I928" s="8"/>
      <c r="J928" s="8"/>
      <c r="K928" s="8"/>
      <c r="L928" s="8"/>
      <c r="M928" s="8"/>
      <c r="N928" s="8"/>
      <c r="O928" s="8"/>
      <c r="P928" s="8"/>
      <c r="Q928" s="8"/>
      <c r="R928" s="8"/>
      <c r="S928" s="367"/>
      <c r="T928" s="367"/>
      <c r="U928" s="367"/>
      <c r="V928" s="367"/>
      <c r="W928" s="8"/>
      <c r="X928" s="8"/>
      <c r="Y928" s="8"/>
      <c r="Z928" s="8"/>
      <c r="AA928" s="8"/>
      <c r="AB928" s="8"/>
    </row>
    <row r="929">
      <c r="A929" s="8"/>
      <c r="B929" s="8"/>
      <c r="C929" s="8"/>
      <c r="D929" s="8"/>
      <c r="E929" s="8"/>
      <c r="F929" s="366"/>
      <c r="G929" s="8"/>
      <c r="H929" s="8"/>
      <c r="I929" s="8"/>
      <c r="J929" s="8"/>
      <c r="K929" s="8"/>
      <c r="L929" s="8"/>
      <c r="M929" s="8"/>
      <c r="N929" s="8"/>
      <c r="O929" s="8"/>
      <c r="P929" s="8"/>
      <c r="Q929" s="8"/>
      <c r="R929" s="8"/>
      <c r="S929" s="367"/>
      <c r="T929" s="367"/>
      <c r="U929" s="367"/>
      <c r="V929" s="367"/>
      <c r="W929" s="8"/>
      <c r="X929" s="8"/>
      <c r="Y929" s="8"/>
      <c r="Z929" s="8"/>
      <c r="AA929" s="8"/>
      <c r="AB929" s="8"/>
    </row>
    <row r="930">
      <c r="A930" s="8"/>
      <c r="B930" s="8"/>
      <c r="C930" s="8"/>
      <c r="D930" s="8"/>
      <c r="E930" s="8"/>
      <c r="F930" s="366"/>
      <c r="G930" s="8"/>
      <c r="H930" s="8"/>
      <c r="I930" s="8"/>
      <c r="J930" s="8"/>
      <c r="K930" s="8"/>
      <c r="L930" s="8"/>
      <c r="M930" s="8"/>
      <c r="N930" s="8"/>
      <c r="O930" s="8"/>
      <c r="P930" s="8"/>
      <c r="Q930" s="8"/>
      <c r="R930" s="8"/>
      <c r="S930" s="367"/>
      <c r="T930" s="367"/>
      <c r="U930" s="367"/>
      <c r="V930" s="367"/>
      <c r="W930" s="8"/>
      <c r="X930" s="8"/>
      <c r="Y930" s="8"/>
      <c r="Z930" s="8"/>
      <c r="AA930" s="8"/>
      <c r="AB930" s="8"/>
    </row>
    <row r="931">
      <c r="A931" s="8"/>
      <c r="B931" s="8"/>
      <c r="C931" s="8"/>
      <c r="D931" s="8"/>
      <c r="E931" s="8"/>
      <c r="F931" s="366"/>
      <c r="G931" s="8"/>
      <c r="H931" s="8"/>
      <c r="I931" s="8"/>
      <c r="J931" s="8"/>
      <c r="K931" s="8"/>
      <c r="L931" s="8"/>
      <c r="M931" s="8"/>
      <c r="N931" s="8"/>
      <c r="O931" s="8"/>
      <c r="P931" s="8"/>
      <c r="Q931" s="8"/>
      <c r="R931" s="8"/>
      <c r="S931" s="367"/>
      <c r="T931" s="367"/>
      <c r="U931" s="367"/>
      <c r="V931" s="367"/>
      <c r="W931" s="8"/>
      <c r="X931" s="8"/>
      <c r="Y931" s="8"/>
      <c r="Z931" s="8"/>
      <c r="AA931" s="8"/>
      <c r="AB931" s="8"/>
    </row>
    <row r="932">
      <c r="A932" s="8"/>
      <c r="B932" s="8"/>
      <c r="C932" s="8"/>
      <c r="D932" s="8"/>
      <c r="E932" s="8"/>
      <c r="F932" s="366"/>
      <c r="G932" s="8"/>
      <c r="H932" s="8"/>
      <c r="I932" s="8"/>
      <c r="J932" s="8"/>
      <c r="K932" s="8"/>
      <c r="L932" s="8"/>
      <c r="M932" s="8"/>
      <c r="N932" s="8"/>
      <c r="O932" s="8"/>
      <c r="P932" s="8"/>
      <c r="Q932" s="8"/>
      <c r="R932" s="8"/>
      <c r="S932" s="367"/>
      <c r="T932" s="367"/>
      <c r="U932" s="367"/>
      <c r="V932" s="367"/>
      <c r="W932" s="8"/>
      <c r="X932" s="8"/>
      <c r="Y932" s="8"/>
      <c r="Z932" s="8"/>
      <c r="AA932" s="8"/>
      <c r="AB932" s="8"/>
    </row>
    <row r="933">
      <c r="A933" s="8"/>
      <c r="B933" s="8"/>
      <c r="C933" s="8"/>
      <c r="D933" s="8"/>
      <c r="E933" s="8"/>
      <c r="F933" s="366"/>
      <c r="G933" s="8"/>
      <c r="H933" s="8"/>
      <c r="I933" s="8"/>
      <c r="J933" s="8"/>
      <c r="K933" s="8"/>
      <c r="L933" s="8"/>
      <c r="M933" s="8"/>
      <c r="N933" s="8"/>
      <c r="O933" s="8"/>
      <c r="P933" s="8"/>
      <c r="Q933" s="8"/>
      <c r="R933" s="8"/>
      <c r="S933" s="367"/>
      <c r="T933" s="367"/>
      <c r="U933" s="367"/>
      <c r="V933" s="367"/>
      <c r="W933" s="8"/>
      <c r="X933" s="8"/>
      <c r="Y933" s="8"/>
      <c r="Z933" s="8"/>
      <c r="AA933" s="8"/>
      <c r="AB933" s="8"/>
    </row>
    <row r="934">
      <c r="A934" s="8"/>
      <c r="B934" s="8"/>
      <c r="C934" s="8"/>
      <c r="D934" s="8"/>
      <c r="E934" s="8"/>
      <c r="F934" s="366"/>
      <c r="G934" s="8"/>
      <c r="H934" s="8"/>
      <c r="I934" s="8"/>
      <c r="J934" s="8"/>
      <c r="K934" s="8"/>
      <c r="L934" s="8"/>
      <c r="M934" s="8"/>
      <c r="N934" s="8"/>
      <c r="O934" s="8"/>
      <c r="P934" s="8"/>
      <c r="Q934" s="8"/>
      <c r="R934" s="8"/>
      <c r="S934" s="367"/>
      <c r="T934" s="367"/>
      <c r="U934" s="367"/>
      <c r="V934" s="367"/>
      <c r="W934" s="8"/>
      <c r="X934" s="8"/>
      <c r="Y934" s="8"/>
      <c r="Z934" s="8"/>
      <c r="AA934" s="8"/>
      <c r="AB934" s="8"/>
    </row>
    <row r="935">
      <c r="A935" s="8"/>
      <c r="B935" s="8"/>
      <c r="C935" s="8"/>
      <c r="D935" s="8"/>
      <c r="E935" s="8"/>
      <c r="F935" s="366"/>
      <c r="G935" s="8"/>
      <c r="H935" s="8"/>
      <c r="I935" s="8"/>
      <c r="J935" s="8"/>
      <c r="K935" s="8"/>
      <c r="L935" s="8"/>
      <c r="M935" s="8"/>
      <c r="N935" s="8"/>
      <c r="O935" s="8"/>
      <c r="P935" s="8"/>
      <c r="Q935" s="8"/>
      <c r="R935" s="8"/>
      <c r="S935" s="367"/>
      <c r="T935" s="367"/>
      <c r="U935" s="367"/>
      <c r="V935" s="367"/>
      <c r="W935" s="8"/>
      <c r="X935" s="8"/>
      <c r="Y935" s="8"/>
      <c r="Z935" s="8"/>
      <c r="AA935" s="8"/>
      <c r="AB935" s="8"/>
    </row>
    <row r="936">
      <c r="A936" s="8"/>
      <c r="B936" s="8"/>
      <c r="C936" s="8"/>
      <c r="D936" s="8"/>
      <c r="E936" s="8"/>
      <c r="F936" s="366"/>
      <c r="G936" s="8"/>
      <c r="H936" s="8"/>
      <c r="I936" s="8"/>
      <c r="J936" s="8"/>
      <c r="K936" s="8"/>
      <c r="L936" s="8"/>
      <c r="M936" s="8"/>
      <c r="N936" s="8"/>
      <c r="O936" s="8"/>
      <c r="P936" s="8"/>
      <c r="Q936" s="8"/>
      <c r="R936" s="8"/>
      <c r="S936" s="367"/>
      <c r="T936" s="367"/>
      <c r="U936" s="367"/>
      <c r="V936" s="367"/>
      <c r="W936" s="8"/>
      <c r="X936" s="8"/>
      <c r="Y936" s="8"/>
      <c r="Z936" s="8"/>
      <c r="AA936" s="8"/>
      <c r="AB936" s="8"/>
    </row>
    <row r="937">
      <c r="A937" s="8"/>
      <c r="B937" s="8"/>
      <c r="C937" s="8"/>
      <c r="D937" s="8"/>
      <c r="E937" s="8"/>
      <c r="F937" s="366"/>
      <c r="G937" s="8"/>
      <c r="H937" s="8"/>
      <c r="I937" s="8"/>
      <c r="J937" s="8"/>
      <c r="K937" s="8"/>
      <c r="L937" s="8"/>
      <c r="M937" s="8"/>
      <c r="N937" s="8"/>
      <c r="O937" s="8"/>
      <c r="P937" s="8"/>
      <c r="Q937" s="8"/>
      <c r="R937" s="8"/>
      <c r="S937" s="367"/>
      <c r="T937" s="367"/>
      <c r="U937" s="367"/>
      <c r="V937" s="367"/>
      <c r="W937" s="8"/>
      <c r="X937" s="8"/>
      <c r="Y937" s="8"/>
      <c r="Z937" s="8"/>
      <c r="AA937" s="8"/>
      <c r="AB937" s="8"/>
    </row>
    <row r="938">
      <c r="A938" s="8"/>
      <c r="B938" s="8"/>
      <c r="C938" s="8"/>
      <c r="D938" s="8"/>
      <c r="E938" s="8"/>
      <c r="F938" s="366"/>
      <c r="G938" s="8"/>
      <c r="H938" s="8"/>
      <c r="I938" s="8"/>
      <c r="J938" s="8"/>
      <c r="K938" s="8"/>
      <c r="L938" s="8"/>
      <c r="M938" s="8"/>
      <c r="N938" s="8"/>
      <c r="O938" s="8"/>
      <c r="P938" s="8"/>
      <c r="Q938" s="8"/>
      <c r="R938" s="8"/>
      <c r="S938" s="367"/>
      <c r="T938" s="367"/>
      <c r="U938" s="367"/>
      <c r="V938" s="367"/>
      <c r="W938" s="8"/>
      <c r="X938" s="8"/>
      <c r="Y938" s="8"/>
      <c r="Z938" s="8"/>
      <c r="AA938" s="8"/>
      <c r="AB938" s="8"/>
    </row>
    <row r="939">
      <c r="A939" s="8"/>
      <c r="B939" s="8"/>
      <c r="C939" s="8"/>
      <c r="D939" s="8"/>
      <c r="E939" s="8"/>
      <c r="F939" s="366"/>
      <c r="G939" s="8"/>
      <c r="H939" s="8"/>
      <c r="I939" s="8"/>
      <c r="J939" s="8"/>
      <c r="K939" s="8"/>
      <c r="L939" s="8"/>
      <c r="M939" s="8"/>
      <c r="N939" s="8"/>
      <c r="O939" s="8"/>
      <c r="P939" s="8"/>
      <c r="Q939" s="8"/>
      <c r="R939" s="8"/>
      <c r="S939" s="367"/>
      <c r="T939" s="367"/>
      <c r="U939" s="367"/>
      <c r="V939" s="367"/>
      <c r="W939" s="8"/>
      <c r="X939" s="8"/>
      <c r="Y939" s="8"/>
      <c r="Z939" s="8"/>
      <c r="AA939" s="8"/>
      <c r="AB939" s="8"/>
    </row>
    <row r="940">
      <c r="A940" s="8"/>
      <c r="B940" s="8"/>
      <c r="C940" s="8"/>
      <c r="D940" s="8"/>
      <c r="E940" s="8"/>
      <c r="F940" s="366"/>
      <c r="G940" s="8"/>
      <c r="H940" s="8"/>
      <c r="I940" s="8"/>
      <c r="J940" s="8"/>
      <c r="K940" s="8"/>
      <c r="L940" s="8"/>
      <c r="M940" s="8"/>
      <c r="N940" s="8"/>
      <c r="O940" s="8"/>
      <c r="P940" s="8"/>
      <c r="Q940" s="8"/>
      <c r="R940" s="8"/>
      <c r="S940" s="367"/>
      <c r="T940" s="367"/>
      <c r="U940" s="367"/>
      <c r="V940" s="367"/>
      <c r="W940" s="8"/>
      <c r="X940" s="8"/>
      <c r="Y940" s="8"/>
      <c r="Z940" s="8"/>
      <c r="AA940" s="8"/>
      <c r="AB940" s="8"/>
    </row>
    <row r="941">
      <c r="A941" s="8"/>
      <c r="B941" s="8"/>
      <c r="C941" s="8"/>
      <c r="D941" s="8"/>
      <c r="E941" s="8"/>
      <c r="F941" s="366"/>
      <c r="G941" s="8"/>
      <c r="H941" s="8"/>
      <c r="I941" s="8"/>
      <c r="J941" s="8"/>
      <c r="K941" s="8"/>
      <c r="L941" s="8"/>
      <c r="M941" s="8"/>
      <c r="N941" s="8"/>
      <c r="O941" s="8"/>
      <c r="P941" s="8"/>
      <c r="Q941" s="8"/>
      <c r="R941" s="8"/>
      <c r="S941" s="367"/>
      <c r="T941" s="367"/>
      <c r="U941" s="367"/>
      <c r="V941" s="367"/>
      <c r="W941" s="8"/>
      <c r="X941" s="8"/>
      <c r="Y941" s="8"/>
      <c r="Z941" s="8"/>
      <c r="AA941" s="8"/>
      <c r="AB941" s="8"/>
    </row>
    <row r="942">
      <c r="A942" s="8"/>
      <c r="B942" s="8"/>
      <c r="C942" s="8"/>
      <c r="D942" s="8"/>
      <c r="E942" s="8"/>
      <c r="F942" s="366"/>
      <c r="G942" s="8"/>
      <c r="H942" s="8"/>
      <c r="I942" s="8"/>
      <c r="J942" s="8"/>
      <c r="K942" s="8"/>
      <c r="L942" s="8"/>
      <c r="M942" s="8"/>
      <c r="N942" s="8"/>
      <c r="O942" s="8"/>
      <c r="P942" s="8"/>
      <c r="Q942" s="8"/>
      <c r="R942" s="8"/>
      <c r="S942" s="367"/>
      <c r="T942" s="367"/>
      <c r="U942" s="367"/>
      <c r="V942" s="367"/>
      <c r="W942" s="8"/>
      <c r="X942" s="8"/>
      <c r="Y942" s="8"/>
      <c r="Z942" s="8"/>
      <c r="AA942" s="8"/>
      <c r="AB942" s="8"/>
    </row>
    <row r="943">
      <c r="A943" s="8"/>
      <c r="B943" s="8"/>
      <c r="C943" s="8"/>
      <c r="D943" s="8"/>
      <c r="E943" s="8"/>
      <c r="F943" s="366"/>
      <c r="G943" s="8"/>
      <c r="H943" s="8"/>
      <c r="I943" s="8"/>
      <c r="J943" s="8"/>
      <c r="K943" s="8"/>
      <c r="L943" s="8"/>
      <c r="M943" s="8"/>
      <c r="N943" s="8"/>
      <c r="O943" s="8"/>
      <c r="P943" s="8"/>
      <c r="Q943" s="8"/>
      <c r="R943" s="8"/>
      <c r="S943" s="367"/>
      <c r="T943" s="367"/>
      <c r="U943" s="367"/>
      <c r="V943" s="367"/>
      <c r="W943" s="8"/>
      <c r="X943" s="8"/>
      <c r="Y943" s="8"/>
      <c r="Z943" s="8"/>
      <c r="AA943" s="8"/>
      <c r="AB943" s="8"/>
    </row>
    <row r="944">
      <c r="A944" s="8"/>
      <c r="B944" s="8"/>
      <c r="C944" s="8"/>
      <c r="D944" s="8"/>
      <c r="E944" s="8"/>
      <c r="F944" s="366"/>
      <c r="G944" s="8"/>
      <c r="H944" s="8"/>
      <c r="I944" s="8"/>
      <c r="J944" s="8"/>
      <c r="K944" s="8"/>
      <c r="L944" s="8"/>
      <c r="M944" s="8"/>
      <c r="N944" s="8"/>
      <c r="O944" s="8"/>
      <c r="P944" s="8"/>
      <c r="Q944" s="8"/>
      <c r="R944" s="8"/>
      <c r="S944" s="367"/>
      <c r="T944" s="367"/>
      <c r="U944" s="367"/>
      <c r="V944" s="367"/>
      <c r="W944" s="8"/>
      <c r="X944" s="8"/>
      <c r="Y944" s="8"/>
      <c r="Z944" s="8"/>
      <c r="AA944" s="8"/>
      <c r="AB944" s="8"/>
    </row>
    <row r="945">
      <c r="A945" s="8"/>
      <c r="B945" s="8"/>
      <c r="C945" s="8"/>
      <c r="D945" s="8"/>
      <c r="E945" s="8"/>
      <c r="F945" s="366"/>
      <c r="G945" s="8"/>
      <c r="H945" s="8"/>
      <c r="I945" s="8"/>
      <c r="J945" s="8"/>
      <c r="K945" s="8"/>
      <c r="L945" s="8"/>
      <c r="M945" s="8"/>
      <c r="N945" s="8"/>
      <c r="O945" s="8"/>
      <c r="P945" s="8"/>
      <c r="Q945" s="8"/>
      <c r="R945" s="8"/>
      <c r="S945" s="367"/>
      <c r="T945" s="367"/>
      <c r="U945" s="367"/>
      <c r="V945" s="367"/>
      <c r="W945" s="8"/>
      <c r="X945" s="8"/>
      <c r="Y945" s="8"/>
      <c r="Z945" s="8"/>
      <c r="AA945" s="8"/>
      <c r="AB945" s="8"/>
    </row>
    <row r="946">
      <c r="A946" s="8"/>
      <c r="B946" s="8"/>
      <c r="C946" s="8"/>
      <c r="D946" s="8"/>
      <c r="E946" s="8"/>
      <c r="F946" s="366"/>
      <c r="G946" s="8"/>
      <c r="H946" s="8"/>
      <c r="I946" s="8"/>
      <c r="J946" s="8"/>
      <c r="K946" s="8"/>
      <c r="L946" s="8"/>
      <c r="M946" s="8"/>
      <c r="N946" s="8"/>
      <c r="O946" s="8"/>
      <c r="P946" s="8"/>
      <c r="Q946" s="8"/>
      <c r="R946" s="8"/>
      <c r="S946" s="367"/>
      <c r="T946" s="367"/>
      <c r="U946" s="367"/>
      <c r="V946" s="367"/>
      <c r="W946" s="8"/>
      <c r="X946" s="8"/>
      <c r="Y946" s="8"/>
      <c r="Z946" s="8"/>
      <c r="AA946" s="8"/>
      <c r="AB946" s="8"/>
    </row>
    <row r="947">
      <c r="A947" s="8"/>
      <c r="B947" s="8"/>
      <c r="C947" s="8"/>
      <c r="D947" s="8"/>
      <c r="E947" s="8"/>
      <c r="F947" s="366"/>
      <c r="G947" s="8"/>
      <c r="H947" s="8"/>
      <c r="I947" s="8"/>
      <c r="J947" s="8"/>
      <c r="K947" s="8"/>
      <c r="L947" s="8"/>
      <c r="M947" s="8"/>
      <c r="N947" s="8"/>
      <c r="O947" s="8"/>
      <c r="P947" s="8"/>
      <c r="Q947" s="8"/>
      <c r="R947" s="8"/>
      <c r="S947" s="367"/>
      <c r="T947" s="367"/>
      <c r="U947" s="367"/>
      <c r="V947" s="367"/>
      <c r="W947" s="8"/>
      <c r="X947" s="8"/>
      <c r="Y947" s="8"/>
      <c r="Z947" s="8"/>
      <c r="AA947" s="8"/>
      <c r="AB947" s="8"/>
    </row>
    <row r="948">
      <c r="A948" s="8"/>
      <c r="B948" s="8"/>
      <c r="C948" s="8"/>
      <c r="D948" s="8"/>
      <c r="E948" s="8"/>
      <c r="F948" s="366"/>
      <c r="G948" s="8"/>
      <c r="H948" s="8"/>
      <c r="I948" s="8"/>
      <c r="J948" s="8"/>
      <c r="K948" s="8"/>
      <c r="L948" s="8"/>
      <c r="M948" s="8"/>
      <c r="N948" s="8"/>
      <c r="O948" s="8"/>
      <c r="P948" s="8"/>
      <c r="Q948" s="8"/>
      <c r="R948" s="8"/>
      <c r="S948" s="367"/>
      <c r="T948" s="367"/>
      <c r="U948" s="367"/>
      <c r="V948" s="367"/>
      <c r="W948" s="8"/>
      <c r="X948" s="8"/>
      <c r="Y948" s="8"/>
      <c r="Z948" s="8"/>
      <c r="AA948" s="8"/>
      <c r="AB948" s="8"/>
    </row>
    <row r="949">
      <c r="A949" s="8"/>
      <c r="B949" s="8"/>
      <c r="C949" s="8"/>
      <c r="D949" s="8"/>
      <c r="E949" s="8"/>
      <c r="F949" s="366"/>
      <c r="G949" s="8"/>
      <c r="H949" s="8"/>
      <c r="I949" s="8"/>
      <c r="J949" s="8"/>
      <c r="K949" s="8"/>
      <c r="L949" s="8"/>
      <c r="M949" s="8"/>
      <c r="N949" s="8"/>
      <c r="O949" s="8"/>
      <c r="P949" s="8"/>
      <c r="Q949" s="8"/>
      <c r="R949" s="8"/>
      <c r="S949" s="367"/>
      <c r="T949" s="367"/>
      <c r="U949" s="367"/>
      <c r="V949" s="367"/>
      <c r="W949" s="8"/>
      <c r="X949" s="8"/>
      <c r="Y949" s="8"/>
      <c r="Z949" s="8"/>
      <c r="AA949" s="8"/>
      <c r="AB949" s="8"/>
    </row>
    <row r="950">
      <c r="A950" s="8"/>
      <c r="B950" s="8"/>
      <c r="C950" s="8"/>
      <c r="D950" s="8"/>
      <c r="E950" s="8"/>
      <c r="F950" s="366"/>
      <c r="G950" s="8"/>
      <c r="H950" s="8"/>
      <c r="I950" s="8"/>
      <c r="J950" s="8"/>
      <c r="K950" s="8"/>
      <c r="L950" s="8"/>
      <c r="M950" s="8"/>
      <c r="N950" s="8"/>
      <c r="O950" s="8"/>
      <c r="P950" s="8"/>
      <c r="Q950" s="8"/>
      <c r="R950" s="8"/>
      <c r="S950" s="367"/>
      <c r="T950" s="367"/>
      <c r="U950" s="367"/>
      <c r="V950" s="367"/>
      <c r="W950" s="8"/>
      <c r="X950" s="8"/>
      <c r="Y950" s="8"/>
      <c r="Z950" s="8"/>
      <c r="AA950" s="8"/>
      <c r="AB950" s="8"/>
    </row>
    <row r="951">
      <c r="A951" s="8"/>
      <c r="B951" s="8"/>
      <c r="C951" s="8"/>
      <c r="D951" s="8"/>
      <c r="E951" s="8"/>
      <c r="F951" s="366"/>
      <c r="G951" s="8"/>
      <c r="H951" s="8"/>
      <c r="I951" s="8"/>
      <c r="J951" s="8"/>
      <c r="K951" s="8"/>
      <c r="L951" s="8"/>
      <c r="M951" s="8"/>
      <c r="N951" s="8"/>
      <c r="O951" s="8"/>
      <c r="P951" s="8"/>
      <c r="Q951" s="8"/>
      <c r="R951" s="8"/>
      <c r="S951" s="367"/>
      <c r="T951" s="367"/>
      <c r="U951" s="367"/>
      <c r="V951" s="367"/>
      <c r="W951" s="8"/>
      <c r="X951" s="8"/>
      <c r="Y951" s="8"/>
      <c r="Z951" s="8"/>
      <c r="AA951" s="8"/>
      <c r="AB951" s="8"/>
    </row>
    <row r="952">
      <c r="A952" s="8"/>
      <c r="B952" s="8"/>
      <c r="C952" s="8"/>
      <c r="D952" s="8"/>
      <c r="E952" s="8"/>
      <c r="F952" s="366"/>
      <c r="G952" s="8"/>
      <c r="H952" s="8"/>
      <c r="I952" s="8"/>
      <c r="J952" s="8"/>
      <c r="K952" s="8"/>
      <c r="L952" s="8"/>
      <c r="M952" s="8"/>
      <c r="N952" s="8"/>
      <c r="O952" s="8"/>
      <c r="P952" s="8"/>
      <c r="Q952" s="8"/>
      <c r="R952" s="8"/>
      <c r="S952" s="367"/>
      <c r="T952" s="367"/>
      <c r="U952" s="367"/>
      <c r="V952" s="367"/>
      <c r="W952" s="8"/>
      <c r="X952" s="8"/>
      <c r="Y952" s="8"/>
      <c r="Z952" s="8"/>
      <c r="AA952" s="8"/>
      <c r="AB952" s="8"/>
    </row>
    <row r="953">
      <c r="A953" s="8"/>
      <c r="B953" s="8"/>
      <c r="C953" s="8"/>
      <c r="D953" s="8"/>
      <c r="E953" s="8"/>
      <c r="F953" s="366"/>
      <c r="G953" s="8"/>
      <c r="H953" s="8"/>
      <c r="I953" s="8"/>
      <c r="J953" s="8"/>
      <c r="K953" s="8"/>
      <c r="L953" s="8"/>
      <c r="M953" s="8"/>
      <c r="N953" s="8"/>
      <c r="O953" s="8"/>
      <c r="P953" s="8"/>
      <c r="Q953" s="8"/>
      <c r="R953" s="8"/>
      <c r="S953" s="367"/>
      <c r="T953" s="367"/>
      <c r="U953" s="367"/>
      <c r="V953" s="367"/>
      <c r="W953" s="8"/>
      <c r="X953" s="8"/>
      <c r="Y953" s="8"/>
      <c r="Z953" s="8"/>
      <c r="AA953" s="8"/>
      <c r="AB953" s="8"/>
    </row>
    <row r="954">
      <c r="A954" s="8"/>
      <c r="B954" s="8"/>
      <c r="C954" s="8"/>
      <c r="D954" s="8"/>
      <c r="E954" s="8"/>
      <c r="F954" s="366"/>
      <c r="G954" s="8"/>
      <c r="H954" s="8"/>
      <c r="I954" s="8"/>
      <c r="J954" s="8"/>
      <c r="K954" s="8"/>
      <c r="L954" s="8"/>
      <c r="M954" s="8"/>
      <c r="N954" s="8"/>
      <c r="O954" s="8"/>
      <c r="P954" s="8"/>
      <c r="Q954" s="8"/>
      <c r="R954" s="8"/>
      <c r="S954" s="367"/>
      <c r="T954" s="367"/>
      <c r="U954" s="367"/>
      <c r="V954" s="367"/>
      <c r="W954" s="8"/>
      <c r="X954" s="8"/>
      <c r="Y954" s="8"/>
      <c r="Z954" s="8"/>
      <c r="AA954" s="8"/>
      <c r="AB954" s="8"/>
    </row>
    <row r="955">
      <c r="A955" s="8"/>
      <c r="B955" s="8"/>
      <c r="C955" s="8"/>
      <c r="D955" s="8"/>
      <c r="E955" s="8"/>
      <c r="F955" s="366"/>
      <c r="G955" s="8"/>
      <c r="H955" s="8"/>
      <c r="I955" s="8"/>
      <c r="J955" s="8"/>
      <c r="K955" s="8"/>
      <c r="L955" s="8"/>
      <c r="M955" s="8"/>
      <c r="N955" s="8"/>
      <c r="O955" s="8"/>
      <c r="P955" s="8"/>
      <c r="Q955" s="8"/>
      <c r="R955" s="8"/>
      <c r="S955" s="367"/>
      <c r="T955" s="367"/>
      <c r="U955" s="367"/>
      <c r="V955" s="367"/>
      <c r="W955" s="8"/>
      <c r="X955" s="8"/>
      <c r="Y955" s="8"/>
      <c r="Z955" s="8"/>
      <c r="AA955" s="8"/>
      <c r="AB955" s="8"/>
    </row>
    <row r="956">
      <c r="A956" s="8"/>
      <c r="B956" s="8"/>
      <c r="C956" s="8"/>
      <c r="D956" s="8"/>
      <c r="E956" s="8"/>
      <c r="F956" s="366"/>
      <c r="G956" s="8"/>
      <c r="H956" s="8"/>
      <c r="I956" s="8"/>
      <c r="J956" s="8"/>
      <c r="K956" s="8"/>
      <c r="L956" s="8"/>
      <c r="M956" s="8"/>
      <c r="N956" s="8"/>
      <c r="O956" s="8"/>
      <c r="P956" s="8"/>
      <c r="Q956" s="8"/>
      <c r="R956" s="8"/>
      <c r="S956" s="367"/>
      <c r="T956" s="367"/>
      <c r="U956" s="367"/>
      <c r="V956" s="367"/>
      <c r="W956" s="8"/>
      <c r="X956" s="8"/>
      <c r="Y956" s="8"/>
      <c r="Z956" s="8"/>
      <c r="AA956" s="8"/>
      <c r="AB956" s="8"/>
    </row>
    <row r="957">
      <c r="A957" s="8"/>
      <c r="B957" s="8"/>
      <c r="C957" s="8"/>
      <c r="D957" s="8"/>
      <c r="E957" s="8"/>
      <c r="F957" s="366"/>
      <c r="G957" s="8"/>
      <c r="H957" s="8"/>
      <c r="I957" s="8"/>
      <c r="J957" s="8"/>
      <c r="K957" s="8"/>
      <c r="L957" s="8"/>
      <c r="M957" s="8"/>
      <c r="N957" s="8"/>
      <c r="O957" s="8"/>
      <c r="P957" s="8"/>
      <c r="Q957" s="8"/>
      <c r="R957" s="8"/>
      <c r="S957" s="367"/>
      <c r="T957" s="367"/>
      <c r="U957" s="367"/>
      <c r="V957" s="367"/>
      <c r="W957" s="8"/>
      <c r="X957" s="8"/>
      <c r="Y957" s="8"/>
      <c r="Z957" s="8"/>
      <c r="AA957" s="8"/>
      <c r="AB957" s="8"/>
    </row>
    <row r="958">
      <c r="A958" s="8"/>
      <c r="B958" s="8"/>
      <c r="C958" s="8"/>
      <c r="D958" s="8"/>
      <c r="E958" s="8"/>
      <c r="F958" s="366"/>
      <c r="G958" s="8"/>
      <c r="H958" s="8"/>
      <c r="I958" s="8"/>
      <c r="J958" s="8"/>
      <c r="K958" s="8"/>
      <c r="L958" s="8"/>
      <c r="M958" s="8"/>
      <c r="N958" s="8"/>
      <c r="O958" s="8"/>
      <c r="P958" s="8"/>
      <c r="Q958" s="8"/>
      <c r="R958" s="8"/>
      <c r="S958" s="367"/>
      <c r="T958" s="367"/>
      <c r="U958" s="367"/>
      <c r="V958" s="367"/>
      <c r="W958" s="8"/>
      <c r="X958" s="8"/>
      <c r="Y958" s="8"/>
      <c r="Z958" s="8"/>
      <c r="AA958" s="8"/>
      <c r="AB958" s="8"/>
    </row>
    <row r="959">
      <c r="A959" s="8"/>
      <c r="B959" s="8"/>
      <c r="C959" s="8"/>
      <c r="D959" s="8"/>
      <c r="E959" s="8"/>
      <c r="F959" s="366"/>
      <c r="G959" s="8"/>
      <c r="H959" s="8"/>
      <c r="I959" s="8"/>
      <c r="J959" s="8"/>
      <c r="K959" s="8"/>
      <c r="L959" s="8"/>
      <c r="M959" s="8"/>
      <c r="N959" s="8"/>
      <c r="O959" s="8"/>
      <c r="P959" s="8"/>
      <c r="Q959" s="8"/>
      <c r="R959" s="8"/>
      <c r="S959" s="367"/>
      <c r="T959" s="367"/>
      <c r="U959" s="367"/>
      <c r="V959" s="367"/>
      <c r="W959" s="8"/>
      <c r="X959" s="8"/>
      <c r="Y959" s="8"/>
      <c r="Z959" s="8"/>
      <c r="AA959" s="8"/>
      <c r="AB959" s="8"/>
    </row>
    <row r="960">
      <c r="A960" s="8"/>
      <c r="B960" s="8"/>
      <c r="C960" s="8"/>
      <c r="D960" s="8"/>
      <c r="E960" s="8"/>
      <c r="F960" s="366"/>
      <c r="G960" s="8"/>
      <c r="H960" s="8"/>
      <c r="I960" s="8"/>
      <c r="J960" s="8"/>
      <c r="K960" s="8"/>
      <c r="L960" s="8"/>
      <c r="M960" s="8"/>
      <c r="N960" s="8"/>
      <c r="O960" s="8"/>
      <c r="P960" s="8"/>
      <c r="Q960" s="8"/>
      <c r="R960" s="8"/>
      <c r="S960" s="367"/>
      <c r="T960" s="367"/>
      <c r="U960" s="367"/>
      <c r="V960" s="367"/>
      <c r="W960" s="8"/>
      <c r="X960" s="8"/>
      <c r="Y960" s="8"/>
      <c r="Z960" s="8"/>
      <c r="AA960" s="8"/>
      <c r="AB960" s="8"/>
    </row>
    <row r="961">
      <c r="A961" s="8"/>
      <c r="B961" s="8"/>
      <c r="C961" s="8"/>
      <c r="D961" s="8"/>
      <c r="E961" s="8"/>
      <c r="F961" s="366"/>
      <c r="G961" s="8"/>
      <c r="H961" s="8"/>
      <c r="I961" s="8"/>
      <c r="J961" s="8"/>
      <c r="K961" s="8"/>
      <c r="L961" s="8"/>
      <c r="M961" s="8"/>
      <c r="N961" s="8"/>
      <c r="O961" s="8"/>
      <c r="P961" s="8"/>
      <c r="Q961" s="8"/>
      <c r="R961" s="8"/>
      <c r="S961" s="367"/>
      <c r="T961" s="367"/>
      <c r="U961" s="367"/>
      <c r="V961" s="367"/>
      <c r="W961" s="8"/>
      <c r="X961" s="8"/>
      <c r="Y961" s="8"/>
      <c r="Z961" s="8"/>
      <c r="AA961" s="8"/>
      <c r="AB961" s="8"/>
    </row>
    <row r="962">
      <c r="A962" s="8"/>
      <c r="B962" s="8"/>
      <c r="C962" s="8"/>
      <c r="D962" s="8"/>
      <c r="E962" s="8"/>
      <c r="F962" s="366"/>
      <c r="G962" s="8"/>
      <c r="H962" s="8"/>
      <c r="I962" s="8"/>
      <c r="J962" s="8"/>
      <c r="K962" s="8"/>
      <c r="L962" s="8"/>
      <c r="M962" s="8"/>
      <c r="N962" s="8"/>
      <c r="O962" s="8"/>
      <c r="P962" s="8"/>
      <c r="Q962" s="8"/>
      <c r="R962" s="8"/>
      <c r="S962" s="367"/>
      <c r="T962" s="367"/>
      <c r="U962" s="367"/>
      <c r="V962" s="367"/>
      <c r="W962" s="8"/>
      <c r="X962" s="8"/>
      <c r="Y962" s="8"/>
      <c r="Z962" s="8"/>
      <c r="AA962" s="8"/>
      <c r="AB962" s="8"/>
    </row>
    <row r="963">
      <c r="A963" s="8"/>
      <c r="B963" s="8"/>
      <c r="C963" s="8"/>
      <c r="D963" s="8"/>
      <c r="E963" s="8"/>
      <c r="F963" s="366"/>
      <c r="G963" s="8"/>
      <c r="H963" s="8"/>
      <c r="I963" s="8"/>
      <c r="J963" s="8"/>
      <c r="K963" s="8"/>
      <c r="L963" s="8"/>
      <c r="M963" s="8"/>
      <c r="N963" s="8"/>
      <c r="O963" s="8"/>
      <c r="P963" s="8"/>
      <c r="Q963" s="8"/>
      <c r="R963" s="8"/>
      <c r="S963" s="367"/>
      <c r="T963" s="367"/>
      <c r="U963" s="367"/>
      <c r="V963" s="367"/>
      <c r="W963" s="8"/>
      <c r="X963" s="8"/>
      <c r="Y963" s="8"/>
      <c r="Z963" s="8"/>
      <c r="AA963" s="8"/>
      <c r="AB963" s="8"/>
    </row>
    <row r="964">
      <c r="A964" s="8"/>
      <c r="B964" s="8"/>
      <c r="C964" s="8"/>
      <c r="D964" s="8"/>
      <c r="E964" s="8"/>
      <c r="F964" s="366"/>
      <c r="G964" s="8"/>
      <c r="H964" s="8"/>
      <c r="I964" s="8"/>
      <c r="J964" s="8"/>
      <c r="K964" s="8"/>
      <c r="L964" s="8"/>
      <c r="M964" s="8"/>
      <c r="N964" s="8"/>
      <c r="O964" s="8"/>
      <c r="P964" s="8"/>
      <c r="Q964" s="8"/>
      <c r="R964" s="8"/>
      <c r="S964" s="367"/>
      <c r="T964" s="367"/>
      <c r="U964" s="367"/>
      <c r="V964" s="367"/>
      <c r="W964" s="8"/>
      <c r="X964" s="8"/>
      <c r="Y964" s="8"/>
      <c r="Z964" s="8"/>
      <c r="AA964" s="8"/>
      <c r="AB964" s="8"/>
    </row>
    <row r="965">
      <c r="A965" s="8"/>
      <c r="B965" s="8"/>
      <c r="C965" s="8"/>
      <c r="D965" s="8"/>
      <c r="E965" s="8"/>
      <c r="F965" s="366"/>
      <c r="G965" s="8"/>
      <c r="H965" s="8"/>
      <c r="I965" s="8"/>
      <c r="J965" s="8"/>
      <c r="K965" s="8"/>
      <c r="L965" s="8"/>
      <c r="M965" s="8"/>
      <c r="N965" s="8"/>
      <c r="O965" s="8"/>
      <c r="P965" s="8"/>
      <c r="Q965" s="8"/>
      <c r="R965" s="8"/>
      <c r="S965" s="367"/>
      <c r="T965" s="367"/>
      <c r="U965" s="367"/>
      <c r="V965" s="367"/>
      <c r="W965" s="8"/>
      <c r="X965" s="8"/>
      <c r="Y965" s="8"/>
      <c r="Z965" s="8"/>
      <c r="AA965" s="8"/>
      <c r="AB965" s="8"/>
    </row>
    <row r="966">
      <c r="A966" s="8"/>
      <c r="B966" s="8"/>
      <c r="C966" s="8"/>
      <c r="D966" s="8"/>
      <c r="E966" s="8"/>
      <c r="F966" s="366"/>
      <c r="G966" s="8"/>
      <c r="H966" s="8"/>
      <c r="I966" s="8"/>
      <c r="J966" s="8"/>
      <c r="K966" s="8"/>
      <c r="L966" s="8"/>
      <c r="M966" s="8"/>
      <c r="N966" s="8"/>
      <c r="O966" s="8"/>
      <c r="P966" s="8"/>
      <c r="Q966" s="8"/>
      <c r="R966" s="8"/>
      <c r="S966" s="367"/>
      <c r="T966" s="367"/>
      <c r="U966" s="367"/>
      <c r="V966" s="367"/>
      <c r="W966" s="8"/>
      <c r="X966" s="8"/>
      <c r="Y966" s="8"/>
      <c r="Z966" s="8"/>
      <c r="AA966" s="8"/>
      <c r="AB966" s="8"/>
    </row>
    <row r="967">
      <c r="A967" s="8"/>
      <c r="B967" s="8"/>
      <c r="C967" s="8"/>
      <c r="D967" s="8"/>
      <c r="E967" s="8"/>
      <c r="F967" s="366"/>
      <c r="G967" s="8"/>
      <c r="H967" s="8"/>
      <c r="I967" s="8"/>
      <c r="J967" s="8"/>
      <c r="K967" s="8"/>
      <c r="L967" s="8"/>
      <c r="M967" s="8"/>
      <c r="N967" s="8"/>
      <c r="O967" s="8"/>
      <c r="P967" s="8"/>
      <c r="Q967" s="8"/>
      <c r="R967" s="8"/>
      <c r="S967" s="367"/>
      <c r="T967" s="367"/>
      <c r="U967" s="367"/>
      <c r="V967" s="367"/>
      <c r="W967" s="8"/>
      <c r="X967" s="8"/>
      <c r="Y967" s="8"/>
      <c r="Z967" s="8"/>
      <c r="AA967" s="8"/>
      <c r="AB967" s="8"/>
    </row>
    <row r="968">
      <c r="A968" s="8"/>
      <c r="B968" s="8"/>
      <c r="C968" s="8"/>
      <c r="D968" s="8"/>
      <c r="E968" s="8"/>
      <c r="F968" s="366"/>
      <c r="G968" s="8"/>
      <c r="H968" s="8"/>
      <c r="I968" s="8"/>
      <c r="J968" s="8"/>
      <c r="K968" s="8"/>
      <c r="L968" s="8"/>
      <c r="M968" s="8"/>
      <c r="N968" s="8"/>
      <c r="O968" s="8"/>
      <c r="P968" s="8"/>
      <c r="Q968" s="8"/>
      <c r="R968" s="8"/>
      <c r="S968" s="367"/>
      <c r="T968" s="367"/>
      <c r="U968" s="367"/>
      <c r="V968" s="367"/>
      <c r="W968" s="8"/>
      <c r="X968" s="8"/>
      <c r="Y968" s="8"/>
      <c r="Z968" s="8"/>
      <c r="AA968" s="8"/>
      <c r="AB968" s="8"/>
    </row>
    <row r="969">
      <c r="A969" s="8"/>
      <c r="B969" s="8"/>
      <c r="C969" s="8"/>
      <c r="D969" s="8"/>
      <c r="E969" s="8"/>
      <c r="F969" s="366"/>
      <c r="G969" s="8"/>
      <c r="H969" s="8"/>
      <c r="I969" s="8"/>
      <c r="J969" s="8"/>
      <c r="K969" s="8"/>
      <c r="L969" s="8"/>
      <c r="M969" s="8"/>
      <c r="N969" s="8"/>
      <c r="O969" s="8"/>
      <c r="P969" s="8"/>
      <c r="Q969" s="8"/>
      <c r="R969" s="8"/>
      <c r="S969" s="367"/>
      <c r="T969" s="367"/>
      <c r="U969" s="367"/>
      <c r="V969" s="367"/>
      <c r="W969" s="8"/>
      <c r="X969" s="8"/>
      <c r="Y969" s="8"/>
      <c r="Z969" s="8"/>
      <c r="AA969" s="8"/>
      <c r="AB969" s="8"/>
    </row>
    <row r="970">
      <c r="A970" s="8"/>
      <c r="B970" s="8"/>
      <c r="C970" s="8"/>
      <c r="D970" s="8"/>
      <c r="E970" s="8"/>
      <c r="F970" s="366"/>
      <c r="G970" s="8"/>
      <c r="H970" s="8"/>
      <c r="I970" s="8"/>
      <c r="J970" s="8"/>
      <c r="K970" s="8"/>
      <c r="L970" s="8"/>
      <c r="M970" s="8"/>
      <c r="N970" s="8"/>
      <c r="O970" s="8"/>
      <c r="P970" s="8"/>
      <c r="Q970" s="8"/>
      <c r="R970" s="8"/>
      <c r="S970" s="367"/>
      <c r="T970" s="367"/>
      <c r="U970" s="367"/>
      <c r="V970" s="367"/>
      <c r="W970" s="8"/>
      <c r="X970" s="8"/>
      <c r="Y970" s="8"/>
      <c r="Z970" s="8"/>
      <c r="AA970" s="8"/>
      <c r="AB970" s="8"/>
    </row>
    <row r="971">
      <c r="A971" s="8"/>
      <c r="B971" s="8"/>
      <c r="C971" s="8"/>
      <c r="D971" s="8"/>
      <c r="E971" s="8"/>
      <c r="F971" s="366"/>
      <c r="G971" s="8"/>
      <c r="H971" s="8"/>
      <c r="I971" s="8"/>
      <c r="J971" s="8"/>
      <c r="K971" s="8"/>
      <c r="L971" s="8"/>
      <c r="M971" s="8"/>
      <c r="N971" s="8"/>
      <c r="O971" s="8"/>
      <c r="P971" s="8"/>
      <c r="Q971" s="8"/>
      <c r="R971" s="8"/>
      <c r="S971" s="367"/>
      <c r="T971" s="367"/>
      <c r="U971" s="367"/>
      <c r="V971" s="367"/>
      <c r="W971" s="8"/>
      <c r="X971" s="8"/>
      <c r="Y971" s="8"/>
      <c r="Z971" s="8"/>
      <c r="AA971" s="8"/>
      <c r="AB971" s="8"/>
    </row>
    <row r="972">
      <c r="A972" s="8"/>
      <c r="B972" s="8"/>
      <c r="C972" s="8"/>
      <c r="D972" s="8"/>
      <c r="E972" s="8"/>
      <c r="F972" s="366"/>
      <c r="G972" s="8"/>
      <c r="H972" s="8"/>
      <c r="I972" s="8"/>
      <c r="J972" s="8"/>
      <c r="K972" s="8"/>
      <c r="L972" s="8"/>
      <c r="M972" s="8"/>
      <c r="N972" s="8"/>
      <c r="O972" s="8"/>
      <c r="P972" s="8"/>
      <c r="Q972" s="8"/>
      <c r="R972" s="8"/>
      <c r="S972" s="367"/>
      <c r="T972" s="367"/>
      <c r="U972" s="367"/>
      <c r="V972" s="367"/>
      <c r="W972" s="8"/>
      <c r="X972" s="8"/>
      <c r="Y972" s="8"/>
      <c r="Z972" s="8"/>
      <c r="AA972" s="8"/>
      <c r="AB972" s="8"/>
    </row>
    <row r="973">
      <c r="A973" s="8"/>
      <c r="B973" s="8"/>
      <c r="C973" s="8"/>
      <c r="D973" s="8"/>
      <c r="E973" s="8"/>
      <c r="F973" s="366"/>
      <c r="G973" s="8"/>
      <c r="H973" s="8"/>
      <c r="I973" s="8"/>
      <c r="J973" s="8"/>
      <c r="K973" s="8"/>
      <c r="L973" s="8"/>
      <c r="M973" s="8"/>
      <c r="N973" s="8"/>
      <c r="O973" s="8"/>
      <c r="P973" s="8"/>
      <c r="Q973" s="8"/>
      <c r="R973" s="8"/>
      <c r="S973" s="367"/>
      <c r="T973" s="367"/>
      <c r="U973" s="367"/>
      <c r="V973" s="367"/>
      <c r="W973" s="8"/>
      <c r="X973" s="8"/>
      <c r="Y973" s="8"/>
      <c r="Z973" s="8"/>
      <c r="AA973" s="8"/>
      <c r="AB973" s="8"/>
    </row>
    <row r="974">
      <c r="A974" s="8"/>
      <c r="B974" s="8"/>
      <c r="C974" s="8"/>
      <c r="D974" s="8"/>
      <c r="E974" s="8"/>
      <c r="F974" s="366"/>
      <c r="G974" s="8"/>
      <c r="H974" s="8"/>
      <c r="I974" s="8"/>
      <c r="J974" s="8"/>
      <c r="K974" s="8"/>
      <c r="L974" s="8"/>
      <c r="M974" s="8"/>
      <c r="N974" s="8"/>
      <c r="O974" s="8"/>
      <c r="P974" s="8"/>
      <c r="Q974" s="8"/>
      <c r="R974" s="8"/>
      <c r="S974" s="367"/>
      <c r="T974" s="367"/>
      <c r="U974" s="367"/>
      <c r="V974" s="367"/>
      <c r="W974" s="8"/>
      <c r="X974" s="8"/>
      <c r="Y974" s="8"/>
      <c r="Z974" s="8"/>
      <c r="AA974" s="8"/>
      <c r="AB974" s="8"/>
    </row>
    <row r="975">
      <c r="A975" s="8"/>
      <c r="B975" s="8"/>
      <c r="C975" s="8"/>
      <c r="D975" s="8"/>
      <c r="E975" s="8"/>
      <c r="F975" s="366"/>
      <c r="G975" s="8"/>
      <c r="H975" s="8"/>
      <c r="I975" s="8"/>
      <c r="J975" s="8"/>
      <c r="K975" s="8"/>
      <c r="L975" s="8"/>
      <c r="M975" s="8"/>
      <c r="N975" s="8"/>
      <c r="O975" s="8"/>
      <c r="P975" s="8"/>
      <c r="Q975" s="8"/>
      <c r="R975" s="8"/>
      <c r="S975" s="367"/>
      <c r="T975" s="367"/>
      <c r="U975" s="367"/>
      <c r="V975" s="367"/>
      <c r="W975" s="8"/>
      <c r="X975" s="8"/>
      <c r="Y975" s="8"/>
      <c r="Z975" s="8"/>
      <c r="AA975" s="8"/>
      <c r="AB975" s="8"/>
    </row>
    <row r="976">
      <c r="A976" s="8"/>
      <c r="B976" s="8"/>
      <c r="C976" s="8"/>
      <c r="D976" s="8"/>
      <c r="E976" s="8"/>
      <c r="F976" s="366"/>
      <c r="G976" s="8"/>
      <c r="H976" s="8"/>
      <c r="I976" s="8"/>
      <c r="J976" s="8"/>
      <c r="K976" s="8"/>
      <c r="L976" s="8"/>
      <c r="M976" s="8"/>
      <c r="N976" s="8"/>
      <c r="O976" s="8"/>
      <c r="P976" s="8"/>
      <c r="Q976" s="8"/>
      <c r="R976" s="8"/>
      <c r="S976" s="367"/>
      <c r="T976" s="367"/>
      <c r="U976" s="367"/>
      <c r="V976" s="367"/>
      <c r="W976" s="8"/>
      <c r="X976" s="8"/>
      <c r="Y976" s="8"/>
      <c r="Z976" s="8"/>
      <c r="AA976" s="8"/>
      <c r="AB976" s="8"/>
    </row>
    <row r="977">
      <c r="A977" s="8"/>
      <c r="B977" s="8"/>
      <c r="C977" s="8"/>
      <c r="D977" s="8"/>
      <c r="E977" s="8"/>
      <c r="F977" s="366"/>
      <c r="G977" s="8"/>
      <c r="H977" s="8"/>
      <c r="I977" s="8"/>
      <c r="J977" s="8"/>
      <c r="K977" s="8"/>
      <c r="L977" s="8"/>
      <c r="M977" s="8"/>
      <c r="N977" s="8"/>
      <c r="O977" s="8"/>
      <c r="P977" s="8"/>
      <c r="Q977" s="8"/>
      <c r="R977" s="8"/>
      <c r="S977" s="367"/>
      <c r="T977" s="367"/>
      <c r="U977" s="367"/>
      <c r="V977" s="367"/>
      <c r="W977" s="8"/>
      <c r="X977" s="8"/>
      <c r="Y977" s="8"/>
      <c r="Z977" s="8"/>
      <c r="AA977" s="8"/>
      <c r="AB977" s="8"/>
    </row>
    <row r="978">
      <c r="A978" s="8"/>
      <c r="B978" s="8"/>
      <c r="C978" s="8"/>
      <c r="D978" s="8"/>
      <c r="E978" s="8"/>
      <c r="F978" s="366"/>
      <c r="G978" s="8"/>
      <c r="H978" s="8"/>
      <c r="I978" s="8"/>
      <c r="J978" s="8"/>
      <c r="K978" s="8"/>
      <c r="L978" s="8"/>
      <c r="M978" s="8"/>
      <c r="N978" s="8"/>
      <c r="O978" s="8"/>
      <c r="P978" s="8"/>
      <c r="Q978" s="8"/>
      <c r="R978" s="8"/>
      <c r="S978" s="367"/>
      <c r="T978" s="367"/>
      <c r="U978" s="367"/>
      <c r="V978" s="367"/>
      <c r="W978" s="8"/>
      <c r="X978" s="8"/>
      <c r="Y978" s="8"/>
      <c r="Z978" s="8"/>
      <c r="AA978" s="8"/>
      <c r="AB978" s="8"/>
    </row>
    <row r="979">
      <c r="A979" s="8"/>
      <c r="B979" s="8"/>
      <c r="C979" s="8"/>
      <c r="D979" s="8"/>
      <c r="E979" s="8"/>
      <c r="F979" s="366"/>
      <c r="G979" s="8"/>
      <c r="H979" s="8"/>
      <c r="I979" s="8"/>
      <c r="J979" s="8"/>
      <c r="K979" s="8"/>
      <c r="L979" s="8"/>
      <c r="M979" s="8"/>
      <c r="N979" s="8"/>
      <c r="O979" s="8"/>
      <c r="P979" s="8"/>
      <c r="Q979" s="8"/>
      <c r="R979" s="8"/>
      <c r="S979" s="367"/>
      <c r="T979" s="367"/>
      <c r="U979" s="367"/>
      <c r="V979" s="367"/>
      <c r="W979" s="8"/>
      <c r="X979" s="8"/>
      <c r="Y979" s="8"/>
      <c r="Z979" s="8"/>
      <c r="AA979" s="8"/>
      <c r="AB979" s="8"/>
    </row>
    <row r="980">
      <c r="A980" s="8"/>
      <c r="B980" s="8"/>
      <c r="C980" s="8"/>
      <c r="D980" s="8"/>
      <c r="E980" s="8"/>
      <c r="F980" s="366"/>
      <c r="G980" s="8"/>
      <c r="H980" s="8"/>
      <c r="I980" s="8"/>
      <c r="J980" s="8"/>
      <c r="K980" s="8"/>
      <c r="L980" s="8"/>
      <c r="M980" s="8"/>
      <c r="N980" s="8"/>
      <c r="O980" s="8"/>
      <c r="P980" s="8"/>
      <c r="Q980" s="8"/>
      <c r="R980" s="8"/>
      <c r="S980" s="367"/>
      <c r="T980" s="367"/>
      <c r="U980" s="367"/>
      <c r="V980" s="367"/>
      <c r="W980" s="8"/>
      <c r="X980" s="8"/>
      <c r="Y980" s="8"/>
      <c r="Z980" s="8"/>
      <c r="AA980" s="8"/>
      <c r="AB980" s="8"/>
    </row>
    <row r="981">
      <c r="A981" s="8"/>
      <c r="B981" s="8"/>
      <c r="C981" s="8"/>
      <c r="D981" s="8"/>
      <c r="E981" s="8"/>
      <c r="F981" s="366"/>
      <c r="G981" s="8"/>
      <c r="H981" s="8"/>
      <c r="I981" s="8"/>
      <c r="J981" s="8"/>
      <c r="K981" s="8"/>
      <c r="L981" s="8"/>
      <c r="M981" s="8"/>
      <c r="N981" s="8"/>
      <c r="O981" s="8"/>
      <c r="P981" s="8"/>
      <c r="Q981" s="8"/>
      <c r="R981" s="8"/>
      <c r="S981" s="367"/>
      <c r="T981" s="367"/>
      <c r="U981" s="367"/>
      <c r="V981" s="367"/>
      <c r="W981" s="8"/>
      <c r="X981" s="8"/>
      <c r="Y981" s="8"/>
      <c r="Z981" s="8"/>
      <c r="AA981" s="8"/>
      <c r="AB981" s="8"/>
    </row>
    <row r="982">
      <c r="A982" s="8"/>
      <c r="B982" s="8"/>
      <c r="C982" s="8"/>
      <c r="D982" s="8"/>
      <c r="E982" s="8"/>
      <c r="F982" s="366"/>
      <c r="G982" s="8"/>
      <c r="H982" s="8"/>
      <c r="I982" s="8"/>
      <c r="J982" s="8"/>
      <c r="K982" s="8"/>
      <c r="L982" s="8"/>
      <c r="M982" s="8"/>
      <c r="N982" s="8"/>
      <c r="O982" s="8"/>
      <c r="P982" s="8"/>
      <c r="Q982" s="8"/>
      <c r="R982" s="8"/>
      <c r="S982" s="367"/>
      <c r="T982" s="367"/>
      <c r="U982" s="367"/>
      <c r="V982" s="367"/>
      <c r="W982" s="8"/>
      <c r="X982" s="8"/>
      <c r="Y982" s="8"/>
      <c r="Z982" s="8"/>
      <c r="AA982" s="8"/>
      <c r="AB982" s="8"/>
    </row>
    <row r="983">
      <c r="A983" s="8"/>
      <c r="B983" s="8"/>
      <c r="C983" s="8"/>
      <c r="D983" s="8"/>
      <c r="E983" s="8"/>
      <c r="F983" s="366"/>
      <c r="G983" s="8"/>
      <c r="H983" s="8"/>
      <c r="I983" s="8"/>
      <c r="J983" s="8"/>
      <c r="K983" s="8"/>
      <c r="L983" s="8"/>
      <c r="M983" s="8"/>
      <c r="N983" s="8"/>
      <c r="O983" s="8"/>
      <c r="P983" s="8"/>
      <c r="Q983" s="8"/>
      <c r="R983" s="8"/>
      <c r="S983" s="367"/>
      <c r="T983" s="367"/>
      <c r="U983" s="367"/>
      <c r="V983" s="367"/>
      <c r="W983" s="8"/>
      <c r="X983" s="8"/>
      <c r="Y983" s="8"/>
      <c r="Z983" s="8"/>
      <c r="AA983" s="8"/>
      <c r="AB983" s="8"/>
    </row>
    <row r="984">
      <c r="A984" s="8"/>
      <c r="B984" s="8"/>
      <c r="C984" s="8"/>
      <c r="D984" s="8"/>
      <c r="E984" s="8"/>
      <c r="F984" s="366"/>
      <c r="G984" s="8"/>
      <c r="H984" s="8"/>
      <c r="I984" s="8"/>
      <c r="J984" s="8"/>
      <c r="K984" s="8"/>
      <c r="L984" s="8"/>
      <c r="M984" s="8"/>
      <c r="N984" s="8"/>
      <c r="O984" s="8"/>
      <c r="P984" s="8"/>
      <c r="Q984" s="8"/>
      <c r="R984" s="8"/>
      <c r="S984" s="367"/>
      <c r="T984" s="367"/>
      <c r="U984" s="367"/>
      <c r="V984" s="367"/>
      <c r="W984" s="8"/>
      <c r="X984" s="8"/>
      <c r="Y984" s="8"/>
      <c r="Z984" s="8"/>
      <c r="AA984" s="8"/>
      <c r="AB984" s="8"/>
    </row>
    <row r="985">
      <c r="A985" s="8"/>
      <c r="B985" s="8"/>
      <c r="C985" s="8"/>
      <c r="D985" s="8"/>
      <c r="E985" s="8"/>
      <c r="F985" s="366"/>
      <c r="G985" s="8"/>
      <c r="H985" s="8"/>
      <c r="I985" s="8"/>
      <c r="J985" s="8"/>
      <c r="K985" s="8"/>
      <c r="L985" s="8"/>
      <c r="M985" s="8"/>
      <c r="N985" s="8"/>
      <c r="O985" s="8"/>
      <c r="P985" s="8"/>
      <c r="Q985" s="8"/>
      <c r="R985" s="8"/>
      <c r="S985" s="367"/>
      <c r="T985" s="367"/>
      <c r="U985" s="367"/>
      <c r="V985" s="367"/>
      <c r="W985" s="8"/>
      <c r="X985" s="8"/>
      <c r="Y985" s="8"/>
      <c r="Z985" s="8"/>
      <c r="AA985" s="8"/>
      <c r="AB985" s="8"/>
    </row>
    <row r="986">
      <c r="A986" s="8"/>
      <c r="B986" s="8"/>
      <c r="C986" s="8"/>
      <c r="D986" s="8"/>
      <c r="E986" s="8"/>
      <c r="F986" s="366"/>
      <c r="G986" s="8"/>
      <c r="H986" s="8"/>
      <c r="I986" s="8"/>
      <c r="J986" s="8"/>
      <c r="K986" s="8"/>
      <c r="L986" s="8"/>
      <c r="M986" s="8"/>
      <c r="N986" s="8"/>
      <c r="O986" s="8"/>
      <c r="P986" s="8"/>
      <c r="Q986" s="8"/>
      <c r="R986" s="8"/>
      <c r="S986" s="367"/>
      <c r="T986" s="367"/>
      <c r="U986" s="367"/>
      <c r="V986" s="367"/>
      <c r="W986" s="8"/>
      <c r="X986" s="8"/>
      <c r="Y986" s="8"/>
      <c r="Z986" s="8"/>
      <c r="AA986" s="8"/>
      <c r="AB986" s="8"/>
    </row>
    <row r="987">
      <c r="A987" s="8"/>
      <c r="B987" s="8"/>
      <c r="C987" s="8"/>
      <c r="D987" s="8"/>
      <c r="E987" s="8"/>
      <c r="F987" s="366"/>
      <c r="G987" s="8"/>
      <c r="H987" s="8"/>
      <c r="I987" s="8"/>
      <c r="J987" s="8"/>
      <c r="K987" s="8"/>
      <c r="L987" s="8"/>
      <c r="M987" s="8"/>
      <c r="N987" s="8"/>
      <c r="O987" s="8"/>
      <c r="P987" s="8"/>
      <c r="Q987" s="8"/>
      <c r="R987" s="8"/>
      <c r="S987" s="367"/>
      <c r="T987" s="367"/>
      <c r="U987" s="367"/>
      <c r="V987" s="367"/>
      <c r="W987" s="8"/>
      <c r="X987" s="8"/>
      <c r="Y987" s="8"/>
      <c r="Z987" s="8"/>
      <c r="AA987" s="8"/>
      <c r="AB987" s="8"/>
    </row>
    <row r="988">
      <c r="A988" s="368"/>
      <c r="B988" s="8"/>
      <c r="C988" s="8"/>
      <c r="D988" s="8"/>
      <c r="E988" s="8"/>
      <c r="F988" s="366"/>
      <c r="G988" s="8"/>
      <c r="H988" s="8"/>
      <c r="I988" s="8"/>
      <c r="J988" s="8"/>
      <c r="K988" s="8"/>
      <c r="L988" s="8"/>
      <c r="M988" s="8"/>
      <c r="N988" s="8"/>
      <c r="O988" s="8"/>
      <c r="P988" s="8"/>
      <c r="Q988" s="8"/>
      <c r="R988" s="8"/>
      <c r="S988" s="367"/>
      <c r="T988" s="367"/>
      <c r="U988" s="367"/>
      <c r="V988" s="367"/>
      <c r="W988" s="8"/>
      <c r="X988" s="8"/>
      <c r="Y988" s="8"/>
      <c r="Z988" s="8"/>
      <c r="AA988" s="8"/>
      <c r="AB988" s="8"/>
    </row>
    <row r="989">
      <c r="A989" s="369"/>
      <c r="B989" s="8"/>
      <c r="C989" s="8"/>
      <c r="D989" s="8"/>
      <c r="E989" s="8"/>
      <c r="F989" s="366"/>
      <c r="G989" s="8"/>
      <c r="H989" s="8"/>
      <c r="I989" s="8"/>
      <c r="J989" s="8"/>
      <c r="K989" s="8"/>
      <c r="L989" s="8"/>
      <c r="M989" s="8"/>
      <c r="N989" s="8"/>
      <c r="O989" s="8"/>
      <c r="P989" s="8"/>
      <c r="Q989" s="8"/>
      <c r="R989" s="8"/>
      <c r="S989" s="367"/>
      <c r="T989" s="367"/>
      <c r="U989" s="367"/>
      <c r="V989" s="367"/>
      <c r="W989" s="8"/>
      <c r="X989" s="8"/>
      <c r="Y989" s="8"/>
      <c r="Z989" s="8"/>
      <c r="AA989" s="8"/>
      <c r="AB989" s="8"/>
    </row>
    <row r="990">
      <c r="A990" s="369"/>
      <c r="B990" s="8"/>
      <c r="C990" s="8"/>
      <c r="D990" s="8"/>
      <c r="E990" s="8"/>
      <c r="F990" s="366"/>
      <c r="G990" s="8"/>
      <c r="H990" s="8"/>
      <c r="I990" s="8"/>
      <c r="J990" s="8"/>
      <c r="K990" s="8"/>
      <c r="L990" s="8"/>
      <c r="M990" s="8"/>
      <c r="N990" s="8"/>
      <c r="O990" s="8"/>
      <c r="P990" s="8"/>
      <c r="Q990" s="8"/>
      <c r="R990" s="8"/>
      <c r="S990" s="367"/>
      <c r="T990" s="367"/>
      <c r="U990" s="367"/>
      <c r="V990" s="367"/>
      <c r="W990" s="8"/>
      <c r="X990" s="8"/>
      <c r="Y990" s="8"/>
      <c r="Z990" s="8"/>
      <c r="AA990" s="8"/>
      <c r="AB990" s="8"/>
    </row>
    <row r="991">
      <c r="A991" s="369"/>
      <c r="B991" s="8"/>
      <c r="C991" s="8"/>
      <c r="D991" s="8"/>
      <c r="E991" s="8"/>
      <c r="F991" s="366"/>
      <c r="G991" s="8"/>
      <c r="H991" s="8"/>
      <c r="I991" s="8"/>
      <c r="J991" s="8"/>
      <c r="K991" s="8"/>
      <c r="L991" s="8"/>
      <c r="M991" s="8"/>
      <c r="N991" s="8"/>
      <c r="O991" s="8"/>
      <c r="P991" s="8"/>
      <c r="Q991" s="8"/>
      <c r="R991" s="8"/>
      <c r="S991" s="367"/>
      <c r="T991" s="367"/>
      <c r="U991" s="367"/>
      <c r="V991" s="367"/>
      <c r="W991" s="8"/>
      <c r="X991" s="8"/>
      <c r="Y991" s="8"/>
      <c r="Z991" s="8"/>
      <c r="AA991" s="8"/>
      <c r="AB991" s="8"/>
    </row>
    <row r="992">
      <c r="A992" s="369"/>
      <c r="B992" s="8"/>
      <c r="C992" s="8"/>
      <c r="D992" s="8"/>
      <c r="E992" s="8"/>
      <c r="F992" s="366"/>
      <c r="G992" s="8"/>
      <c r="H992" s="8"/>
      <c r="I992" s="8"/>
      <c r="J992" s="8"/>
      <c r="K992" s="8"/>
      <c r="L992" s="8"/>
      <c r="M992" s="8"/>
      <c r="N992" s="8"/>
      <c r="O992" s="8"/>
      <c r="P992" s="8"/>
      <c r="Q992" s="8"/>
      <c r="R992" s="8"/>
      <c r="S992" s="367"/>
      <c r="T992" s="367"/>
      <c r="U992" s="367"/>
      <c r="V992" s="367"/>
      <c r="W992" s="8"/>
      <c r="X992" s="8"/>
      <c r="Y992" s="8"/>
      <c r="Z992" s="8"/>
      <c r="AA992" s="8"/>
      <c r="AB992" s="8"/>
    </row>
    <row r="993">
      <c r="A993" s="369"/>
      <c r="B993" s="8"/>
      <c r="C993" s="8"/>
      <c r="D993" s="8"/>
      <c r="E993" s="8"/>
      <c r="F993" s="366"/>
      <c r="G993" s="8"/>
      <c r="H993" s="8"/>
      <c r="I993" s="8"/>
      <c r="J993" s="8"/>
      <c r="K993" s="8"/>
      <c r="L993" s="8"/>
      <c r="M993" s="8"/>
      <c r="N993" s="8"/>
      <c r="O993" s="8"/>
      <c r="P993" s="8"/>
      <c r="Q993" s="8"/>
      <c r="R993" s="8"/>
      <c r="S993" s="367"/>
      <c r="T993" s="367"/>
      <c r="U993" s="367"/>
      <c r="V993" s="367"/>
      <c r="W993" s="8"/>
      <c r="X993" s="8"/>
      <c r="Y993" s="8"/>
      <c r="Z993" s="8"/>
      <c r="AA993" s="8"/>
      <c r="AB993" s="8"/>
    </row>
    <row r="994">
      <c r="A994" s="369"/>
      <c r="B994" s="8"/>
      <c r="C994" s="8"/>
      <c r="D994" s="8"/>
      <c r="E994" s="8"/>
      <c r="F994" s="366"/>
      <c r="G994" s="8"/>
      <c r="H994" s="8"/>
      <c r="I994" s="8"/>
      <c r="J994" s="8"/>
      <c r="K994" s="8"/>
      <c r="L994" s="8"/>
      <c r="M994" s="8"/>
      <c r="N994" s="8"/>
      <c r="O994" s="8"/>
      <c r="P994" s="8"/>
      <c r="Q994" s="8"/>
      <c r="R994" s="8"/>
      <c r="S994" s="367"/>
      <c r="T994" s="367"/>
      <c r="U994" s="367"/>
      <c r="V994" s="367"/>
      <c r="W994" s="8"/>
      <c r="X994" s="8"/>
      <c r="Y994" s="8"/>
      <c r="Z994" s="8"/>
      <c r="AA994" s="8"/>
      <c r="AB994" s="8"/>
    </row>
    <row r="995">
      <c r="A995" s="369"/>
      <c r="B995" s="8"/>
      <c r="C995" s="8"/>
      <c r="D995" s="8"/>
      <c r="E995" s="8"/>
      <c r="F995" s="366"/>
      <c r="G995" s="8"/>
      <c r="H995" s="8"/>
      <c r="I995" s="8"/>
      <c r="J995" s="8"/>
      <c r="K995" s="8"/>
      <c r="L995" s="8"/>
      <c r="M995" s="8"/>
      <c r="N995" s="8"/>
      <c r="O995" s="8"/>
      <c r="P995" s="8"/>
      <c r="Q995" s="8"/>
      <c r="R995" s="8"/>
      <c r="S995" s="367"/>
      <c r="T995" s="367"/>
      <c r="U995" s="367"/>
      <c r="V995" s="367"/>
      <c r="W995" s="8"/>
      <c r="X995" s="8"/>
      <c r="Y995" s="8"/>
      <c r="Z995" s="8"/>
      <c r="AA995" s="8"/>
      <c r="AB995" s="8"/>
    </row>
    <row r="996">
      <c r="A996" s="369"/>
      <c r="B996" s="8"/>
      <c r="C996" s="8"/>
      <c r="D996" s="8"/>
      <c r="E996" s="8"/>
      <c r="F996" s="366"/>
      <c r="G996" s="8"/>
      <c r="H996" s="8"/>
      <c r="I996" s="8"/>
      <c r="J996" s="8"/>
      <c r="K996" s="8"/>
      <c r="L996" s="8"/>
      <c r="M996" s="8"/>
      <c r="N996" s="8"/>
      <c r="O996" s="8"/>
      <c r="P996" s="8"/>
      <c r="Q996" s="8"/>
      <c r="R996" s="8"/>
      <c r="S996" s="367"/>
      <c r="T996" s="367"/>
      <c r="U996" s="367"/>
      <c r="V996" s="367"/>
      <c r="W996" s="8"/>
      <c r="X996" s="8"/>
      <c r="Y996" s="8"/>
      <c r="Z996" s="8"/>
      <c r="AA996" s="8"/>
      <c r="AB996" s="8"/>
    </row>
    <row r="997">
      <c r="A997" s="369"/>
      <c r="B997" s="8"/>
      <c r="C997" s="8"/>
      <c r="D997" s="8"/>
      <c r="E997" s="8"/>
      <c r="F997" s="366"/>
      <c r="G997" s="8"/>
      <c r="H997" s="8"/>
      <c r="I997" s="8"/>
      <c r="J997" s="8"/>
      <c r="K997" s="8"/>
      <c r="L997" s="8"/>
      <c r="M997" s="8"/>
      <c r="N997" s="8"/>
      <c r="O997" s="8"/>
      <c r="P997" s="8"/>
      <c r="Q997" s="8"/>
      <c r="R997" s="8"/>
      <c r="S997" s="367"/>
      <c r="T997" s="367"/>
      <c r="U997" s="367"/>
      <c r="V997" s="367"/>
      <c r="W997" s="8"/>
      <c r="X997" s="8"/>
      <c r="Y997" s="8"/>
      <c r="Z997" s="8"/>
      <c r="AA997" s="8"/>
      <c r="AB997" s="8"/>
    </row>
    <row r="998">
      <c r="A998" s="369"/>
      <c r="B998" s="8"/>
      <c r="C998" s="8"/>
      <c r="D998" s="8"/>
      <c r="E998" s="8"/>
      <c r="F998" s="366"/>
      <c r="G998" s="8"/>
      <c r="H998" s="8"/>
      <c r="I998" s="8"/>
      <c r="J998" s="8"/>
      <c r="K998" s="8"/>
      <c r="L998" s="8"/>
      <c r="M998" s="8"/>
      <c r="N998" s="8"/>
      <c r="O998" s="8"/>
      <c r="P998" s="8"/>
      <c r="Q998" s="8"/>
      <c r="R998" s="8"/>
      <c r="S998" s="367"/>
      <c r="T998" s="367"/>
      <c r="U998" s="367"/>
      <c r="V998" s="367"/>
      <c r="W998" s="8"/>
      <c r="X998" s="8"/>
      <c r="Y998" s="8"/>
      <c r="Z998" s="8"/>
      <c r="AA998" s="8"/>
      <c r="AB998" s="8"/>
    </row>
    <row r="999">
      <c r="A999" s="369"/>
      <c r="B999" s="8"/>
      <c r="C999" s="8"/>
      <c r="D999" s="8"/>
      <c r="E999" s="8"/>
      <c r="F999" s="366"/>
      <c r="G999" s="8"/>
      <c r="H999" s="8"/>
      <c r="I999" s="8"/>
      <c r="J999" s="8"/>
      <c r="K999" s="8"/>
      <c r="L999" s="8"/>
      <c r="M999" s="8"/>
      <c r="N999" s="8"/>
      <c r="O999" s="8"/>
      <c r="P999" s="8"/>
      <c r="Q999" s="8"/>
      <c r="R999" s="8"/>
      <c r="S999" s="367"/>
      <c r="T999" s="367"/>
      <c r="U999" s="367"/>
      <c r="V999" s="367"/>
      <c r="W999" s="8"/>
      <c r="X999" s="8"/>
      <c r="Y999" s="8"/>
      <c r="Z999" s="8"/>
      <c r="AA999" s="8"/>
      <c r="AB999" s="8"/>
    </row>
    <row r="1000">
      <c r="A1000" s="369"/>
      <c r="B1000" s="8"/>
      <c r="C1000" s="8"/>
      <c r="D1000" s="8"/>
      <c r="E1000" s="8"/>
      <c r="F1000" s="366"/>
      <c r="G1000" s="8"/>
      <c r="H1000" s="8"/>
      <c r="I1000" s="8"/>
      <c r="J1000" s="8"/>
      <c r="K1000" s="8"/>
      <c r="L1000" s="8"/>
      <c r="M1000" s="8"/>
      <c r="N1000" s="8"/>
      <c r="O1000" s="8"/>
      <c r="P1000" s="8"/>
      <c r="Q1000" s="8"/>
      <c r="R1000" s="8"/>
      <c r="S1000" s="367"/>
      <c r="T1000" s="367"/>
      <c r="U1000" s="367"/>
      <c r="V1000" s="367"/>
      <c r="W1000" s="8"/>
      <c r="X1000" s="8"/>
      <c r="Y1000" s="8"/>
      <c r="Z1000" s="8"/>
      <c r="AA1000" s="8"/>
      <c r="AB1000" s="8"/>
    </row>
    <row r="1001">
      <c r="A1001" s="369"/>
      <c r="B1001" s="8"/>
      <c r="C1001" s="8"/>
      <c r="D1001" s="8"/>
      <c r="E1001" s="8"/>
      <c r="F1001" s="366"/>
      <c r="G1001" s="8"/>
      <c r="H1001" s="8"/>
      <c r="I1001" s="8"/>
      <c r="J1001" s="8"/>
      <c r="K1001" s="8"/>
      <c r="L1001" s="8"/>
      <c r="M1001" s="8"/>
      <c r="N1001" s="8"/>
      <c r="O1001" s="8"/>
      <c r="P1001" s="8"/>
      <c r="Q1001" s="8"/>
      <c r="R1001" s="8"/>
      <c r="S1001" s="367"/>
      <c r="T1001" s="367"/>
      <c r="U1001" s="367"/>
      <c r="V1001" s="367"/>
      <c r="W1001" s="8"/>
      <c r="X1001" s="8"/>
      <c r="Y1001" s="8"/>
      <c r="Z1001" s="8"/>
      <c r="AA1001" s="8"/>
      <c r="AB1001" s="8"/>
    </row>
    <row r="1002">
      <c r="A1002" s="369"/>
      <c r="B1002" s="8"/>
      <c r="C1002" s="8"/>
      <c r="D1002" s="8"/>
      <c r="E1002" s="8"/>
      <c r="F1002" s="366"/>
      <c r="G1002" s="8"/>
      <c r="H1002" s="8"/>
      <c r="I1002" s="8"/>
      <c r="J1002" s="8"/>
      <c r="K1002" s="8"/>
      <c r="L1002" s="8"/>
      <c r="M1002" s="8"/>
      <c r="N1002" s="8"/>
      <c r="O1002" s="8"/>
      <c r="P1002" s="8"/>
      <c r="Q1002" s="8"/>
      <c r="R1002" s="8"/>
      <c r="S1002" s="367"/>
      <c r="T1002" s="367"/>
      <c r="U1002" s="367"/>
      <c r="V1002" s="367"/>
      <c r="W1002" s="8"/>
      <c r="X1002" s="8"/>
      <c r="Y1002" s="8"/>
      <c r="Z1002" s="8"/>
      <c r="AA1002" s="8"/>
      <c r="AB1002" s="8"/>
    </row>
    <row r="1003">
      <c r="A1003" s="369"/>
      <c r="B1003" s="8"/>
      <c r="C1003" s="8"/>
      <c r="D1003" s="8"/>
      <c r="E1003" s="8"/>
      <c r="F1003" s="366"/>
      <c r="G1003" s="8"/>
      <c r="H1003" s="8"/>
      <c r="I1003" s="8"/>
      <c r="J1003" s="8"/>
      <c r="K1003" s="8"/>
      <c r="L1003" s="8"/>
      <c r="M1003" s="8"/>
      <c r="N1003" s="8"/>
      <c r="O1003" s="8"/>
      <c r="P1003" s="8"/>
      <c r="Q1003" s="8"/>
      <c r="R1003" s="8"/>
      <c r="S1003" s="367"/>
      <c r="T1003" s="367"/>
      <c r="U1003" s="367"/>
      <c r="V1003" s="367"/>
      <c r="W1003" s="8"/>
      <c r="X1003" s="8"/>
      <c r="Y1003" s="8"/>
      <c r="Z1003" s="8"/>
      <c r="AA1003" s="8"/>
      <c r="AB1003" s="8"/>
    </row>
    <row r="1004">
      <c r="A1004" s="369"/>
      <c r="B1004" s="8"/>
      <c r="C1004" s="8"/>
      <c r="D1004" s="8"/>
      <c r="E1004" s="8"/>
      <c r="F1004" s="366"/>
      <c r="G1004" s="8"/>
      <c r="H1004" s="8"/>
      <c r="I1004" s="8"/>
      <c r="J1004" s="8"/>
      <c r="K1004" s="8"/>
      <c r="L1004" s="8"/>
      <c r="M1004" s="8"/>
      <c r="N1004" s="8"/>
      <c r="O1004" s="8"/>
      <c r="P1004" s="8"/>
      <c r="Q1004" s="8"/>
      <c r="R1004" s="8"/>
      <c r="S1004" s="367"/>
      <c r="T1004" s="367"/>
      <c r="U1004" s="367"/>
      <c r="V1004" s="367"/>
      <c r="W1004" s="8"/>
      <c r="X1004" s="8"/>
      <c r="Y1004" s="8"/>
      <c r="Z1004" s="8"/>
      <c r="AA1004" s="8"/>
      <c r="AB1004" s="8"/>
    </row>
    <row r="1005">
      <c r="A1005" s="369"/>
      <c r="B1005" s="8"/>
      <c r="C1005" s="8"/>
      <c r="D1005" s="8"/>
      <c r="E1005" s="8"/>
      <c r="F1005" s="366"/>
      <c r="G1005" s="8"/>
      <c r="H1005" s="8"/>
      <c r="I1005" s="8"/>
      <c r="J1005" s="8"/>
      <c r="K1005" s="8"/>
      <c r="L1005" s="8"/>
      <c r="M1005" s="8"/>
      <c r="N1005" s="8"/>
      <c r="O1005" s="8"/>
      <c r="P1005" s="8"/>
      <c r="Q1005" s="8"/>
      <c r="R1005" s="8"/>
      <c r="S1005" s="367"/>
      <c r="T1005" s="367"/>
      <c r="U1005" s="367"/>
      <c r="V1005" s="367"/>
      <c r="W1005" s="8"/>
      <c r="X1005" s="8"/>
      <c r="Y1005" s="8"/>
      <c r="Z1005" s="8"/>
      <c r="AA1005" s="8"/>
      <c r="AB1005" s="8"/>
    </row>
    <row r="1006">
      <c r="A1006" s="369"/>
      <c r="B1006" s="8"/>
      <c r="C1006" s="8"/>
      <c r="D1006" s="8"/>
      <c r="E1006" s="8"/>
      <c r="F1006" s="366"/>
      <c r="G1006" s="8"/>
      <c r="H1006" s="8"/>
      <c r="I1006" s="8"/>
      <c r="J1006" s="8"/>
      <c r="K1006" s="8"/>
      <c r="L1006" s="8"/>
      <c r="M1006" s="8"/>
      <c r="N1006" s="8"/>
      <c r="O1006" s="8"/>
      <c r="P1006" s="8"/>
      <c r="Q1006" s="8"/>
      <c r="R1006" s="8"/>
      <c r="S1006" s="8"/>
      <c r="T1006" s="8"/>
      <c r="U1006" s="8"/>
      <c r="V1006" s="8"/>
      <c r="W1006" s="8"/>
      <c r="X1006" s="8"/>
      <c r="Y1006" s="8"/>
      <c r="Z1006" s="8"/>
      <c r="AA1006" s="8"/>
      <c r="AB1006" s="8"/>
    </row>
    <row r="1007">
      <c r="A1007" s="369"/>
      <c r="B1007" s="8"/>
      <c r="C1007" s="8"/>
      <c r="D1007" s="8"/>
      <c r="E1007" s="8"/>
      <c r="F1007" s="366"/>
      <c r="G1007" s="8"/>
      <c r="H1007" s="8"/>
      <c r="I1007" s="8"/>
      <c r="J1007" s="8"/>
      <c r="K1007" s="8"/>
      <c r="L1007" s="8"/>
      <c r="M1007" s="8"/>
      <c r="N1007" s="8"/>
      <c r="O1007" s="8"/>
      <c r="P1007" s="8"/>
      <c r="Q1007" s="8"/>
      <c r="R1007" s="8"/>
      <c r="S1007" s="8"/>
      <c r="T1007" s="8"/>
      <c r="U1007" s="8"/>
      <c r="V1007" s="8"/>
      <c r="W1007" s="8"/>
      <c r="X1007" s="8"/>
      <c r="Y1007" s="8"/>
      <c r="Z1007" s="8"/>
      <c r="AA1007" s="8"/>
      <c r="AB1007" s="8"/>
    </row>
    <row r="1008">
      <c r="A1008" s="369"/>
      <c r="B1008" s="8"/>
      <c r="C1008" s="8"/>
      <c r="D1008" s="8"/>
      <c r="E1008" s="8"/>
      <c r="F1008" s="366"/>
      <c r="G1008" s="8"/>
      <c r="H1008" s="8"/>
      <c r="I1008" s="8"/>
      <c r="J1008" s="8"/>
      <c r="K1008" s="8"/>
      <c r="L1008" s="8"/>
      <c r="M1008" s="8"/>
      <c r="N1008" s="8"/>
      <c r="O1008" s="8"/>
      <c r="P1008" s="8"/>
      <c r="Q1008" s="8"/>
      <c r="R1008" s="8"/>
      <c r="S1008" s="8"/>
      <c r="T1008" s="8"/>
      <c r="U1008" s="8"/>
      <c r="V1008" s="8"/>
      <c r="W1008" s="8"/>
      <c r="X1008" s="8"/>
      <c r="Y1008" s="8"/>
      <c r="Z1008" s="8"/>
      <c r="AA1008" s="8"/>
      <c r="AB1008" s="8"/>
    </row>
    <row r="1009">
      <c r="A1009" s="369"/>
      <c r="B1009" s="8"/>
      <c r="C1009" s="8"/>
      <c r="D1009" s="8"/>
      <c r="E1009" s="8"/>
      <c r="F1009" s="366"/>
      <c r="G1009" s="8"/>
      <c r="H1009" s="8"/>
      <c r="I1009" s="8"/>
      <c r="J1009" s="8"/>
      <c r="K1009" s="8"/>
      <c r="L1009" s="8"/>
      <c r="M1009" s="8"/>
      <c r="N1009" s="8"/>
      <c r="O1009" s="8"/>
      <c r="P1009" s="8"/>
      <c r="Q1009" s="8"/>
      <c r="R1009" s="8"/>
      <c r="S1009" s="8"/>
      <c r="T1009" s="8"/>
      <c r="U1009" s="8"/>
      <c r="V1009" s="8"/>
      <c r="W1009" s="8"/>
      <c r="X1009" s="8"/>
      <c r="Y1009" s="8"/>
      <c r="Z1009" s="8"/>
      <c r="AA1009" s="8"/>
      <c r="AB1009" s="8"/>
    </row>
    <row r="1010">
      <c r="A1010" s="369"/>
      <c r="B1010" s="8"/>
      <c r="C1010" s="8"/>
      <c r="D1010" s="8"/>
      <c r="E1010" s="8"/>
      <c r="F1010" s="366"/>
      <c r="G1010" s="8"/>
      <c r="H1010" s="8"/>
      <c r="I1010" s="8"/>
      <c r="J1010" s="8"/>
      <c r="K1010" s="8"/>
      <c r="L1010" s="8"/>
      <c r="M1010" s="8"/>
      <c r="N1010" s="8"/>
      <c r="O1010" s="8"/>
      <c r="P1010" s="8"/>
      <c r="Q1010" s="8"/>
      <c r="R1010" s="8"/>
      <c r="S1010" s="8"/>
      <c r="T1010" s="8"/>
      <c r="U1010" s="8"/>
      <c r="V1010" s="8"/>
      <c r="W1010" s="8"/>
      <c r="X1010" s="8"/>
      <c r="Y1010" s="8"/>
      <c r="Z1010" s="8"/>
      <c r="AA1010" s="8"/>
      <c r="AB1010" s="8"/>
    </row>
    <row r="1011">
      <c r="A1011" s="369"/>
      <c r="B1011" s="8"/>
      <c r="C1011" s="8"/>
      <c r="D1011" s="8"/>
      <c r="E1011" s="8"/>
      <c r="F1011" s="366"/>
      <c r="G1011" s="8"/>
      <c r="H1011" s="8"/>
      <c r="I1011" s="8"/>
      <c r="J1011" s="8"/>
      <c r="K1011" s="8"/>
      <c r="L1011" s="8"/>
      <c r="M1011" s="8"/>
      <c r="N1011" s="8"/>
      <c r="O1011" s="8"/>
      <c r="P1011" s="8"/>
      <c r="Q1011" s="8"/>
      <c r="R1011" s="8"/>
      <c r="S1011" s="8"/>
      <c r="T1011" s="8"/>
      <c r="U1011" s="8"/>
      <c r="V1011" s="8"/>
      <c r="W1011" s="8"/>
      <c r="X1011" s="8"/>
      <c r="Y1011" s="8"/>
      <c r="Z1011" s="8"/>
      <c r="AA1011" s="8"/>
      <c r="AB1011" s="8"/>
    </row>
    <row r="1012">
      <c r="A1012" s="369"/>
      <c r="B1012" s="8"/>
      <c r="C1012" s="8"/>
      <c r="D1012" s="8"/>
      <c r="E1012" s="8"/>
      <c r="F1012" s="366"/>
      <c r="G1012" s="8"/>
      <c r="H1012" s="8"/>
      <c r="I1012" s="8"/>
      <c r="J1012" s="8"/>
      <c r="K1012" s="8"/>
      <c r="L1012" s="8"/>
      <c r="M1012" s="8"/>
      <c r="N1012" s="8"/>
      <c r="O1012" s="8"/>
      <c r="P1012" s="8"/>
      <c r="Q1012" s="8"/>
      <c r="R1012" s="8"/>
      <c r="S1012" s="8"/>
      <c r="T1012" s="8"/>
      <c r="U1012" s="8"/>
      <c r="V1012" s="8"/>
      <c r="W1012" s="8"/>
      <c r="X1012" s="8"/>
      <c r="Y1012" s="8"/>
      <c r="Z1012" s="8"/>
      <c r="AA1012" s="8"/>
      <c r="AB1012" s="8"/>
    </row>
    <row r="1013">
      <c r="A1013" s="369"/>
      <c r="B1013" s="8"/>
      <c r="C1013" s="8"/>
      <c r="D1013" s="8"/>
      <c r="E1013" s="8"/>
      <c r="F1013" s="366"/>
      <c r="G1013" s="8"/>
      <c r="H1013" s="8"/>
      <c r="I1013" s="8"/>
      <c r="J1013" s="8"/>
      <c r="K1013" s="8"/>
      <c r="L1013" s="8"/>
      <c r="M1013" s="8"/>
      <c r="N1013" s="8"/>
      <c r="O1013" s="8"/>
      <c r="P1013" s="8"/>
      <c r="Q1013" s="8"/>
      <c r="R1013" s="8"/>
      <c r="S1013" s="8"/>
      <c r="T1013" s="8"/>
      <c r="U1013" s="8"/>
      <c r="V1013" s="8"/>
      <c r="W1013" s="8"/>
      <c r="X1013" s="8"/>
      <c r="Y1013" s="8"/>
      <c r="Z1013" s="8"/>
      <c r="AA1013" s="8"/>
      <c r="AB1013" s="8"/>
    </row>
    <row r="1014">
      <c r="A1014" s="369"/>
      <c r="B1014" s="8"/>
      <c r="C1014" s="8"/>
      <c r="D1014" s="8"/>
      <c r="E1014" s="8"/>
      <c r="F1014" s="366"/>
      <c r="G1014" s="8"/>
      <c r="H1014" s="8"/>
      <c r="I1014" s="8"/>
      <c r="J1014" s="8"/>
      <c r="K1014" s="8"/>
      <c r="L1014" s="8"/>
      <c r="M1014" s="8"/>
      <c r="N1014" s="8"/>
      <c r="O1014" s="8"/>
      <c r="P1014" s="8"/>
      <c r="Q1014" s="8"/>
      <c r="R1014" s="8"/>
      <c r="S1014" s="8"/>
      <c r="T1014" s="8"/>
      <c r="U1014" s="8"/>
      <c r="V1014" s="8"/>
      <c r="W1014" s="8"/>
      <c r="X1014" s="8"/>
      <c r="Y1014" s="8"/>
      <c r="Z1014" s="8"/>
      <c r="AA1014" s="8"/>
      <c r="AB1014" s="8"/>
    </row>
    <row r="1015">
      <c r="A1015" s="369"/>
      <c r="B1015" s="8"/>
      <c r="C1015" s="8"/>
      <c r="D1015" s="8"/>
      <c r="E1015" s="8"/>
      <c r="F1015" s="366"/>
      <c r="G1015" s="8"/>
      <c r="H1015" s="8"/>
      <c r="I1015" s="8"/>
      <c r="J1015" s="8"/>
      <c r="K1015" s="8"/>
      <c r="L1015" s="8"/>
      <c r="M1015" s="8"/>
      <c r="N1015" s="8"/>
      <c r="O1015" s="8"/>
      <c r="P1015" s="8"/>
      <c r="Q1015" s="8"/>
      <c r="R1015" s="8"/>
      <c r="S1015" s="8"/>
      <c r="T1015" s="8"/>
      <c r="U1015" s="8"/>
      <c r="V1015" s="8"/>
      <c r="W1015" s="8"/>
      <c r="X1015" s="8"/>
      <c r="Y1015" s="8"/>
      <c r="Z1015" s="8"/>
      <c r="AA1015" s="8"/>
      <c r="AB1015" s="8"/>
    </row>
    <row r="1016">
      <c r="A1016" s="369"/>
      <c r="B1016" s="8"/>
      <c r="C1016" s="8"/>
      <c r="D1016" s="8"/>
      <c r="E1016" s="8"/>
      <c r="F1016" s="366"/>
      <c r="G1016" s="8"/>
      <c r="H1016" s="8"/>
      <c r="I1016" s="8"/>
      <c r="J1016" s="8"/>
      <c r="K1016" s="8"/>
      <c r="L1016" s="8"/>
      <c r="M1016" s="8"/>
      <c r="N1016" s="8"/>
      <c r="O1016" s="8"/>
      <c r="P1016" s="8"/>
      <c r="Q1016" s="8"/>
      <c r="R1016" s="8"/>
      <c r="S1016" s="8"/>
      <c r="T1016" s="8"/>
      <c r="U1016" s="8"/>
      <c r="V1016" s="8"/>
      <c r="W1016" s="8"/>
      <c r="X1016" s="8"/>
      <c r="Y1016" s="8"/>
      <c r="Z1016" s="8"/>
      <c r="AA1016" s="8"/>
      <c r="AB1016" s="8"/>
    </row>
  </sheetData>
  <mergeCells count="24">
    <mergeCell ref="J3:M4"/>
    <mergeCell ref="N3:R4"/>
    <mergeCell ref="J5:M5"/>
    <mergeCell ref="N5:R5"/>
    <mergeCell ref="S5:V5"/>
    <mergeCell ref="A1:E2"/>
    <mergeCell ref="F1:I2"/>
    <mergeCell ref="J1:M2"/>
    <mergeCell ref="N1:R2"/>
    <mergeCell ref="S1:V2"/>
    <mergeCell ref="F3:I4"/>
    <mergeCell ref="S3:V4"/>
    <mergeCell ref="A16:E16"/>
    <mergeCell ref="F16:I16"/>
    <mergeCell ref="J16:M16"/>
    <mergeCell ref="N16:R16"/>
    <mergeCell ref="S16:V16"/>
    <mergeCell ref="A3:E4"/>
    <mergeCell ref="A5:E5"/>
    <mergeCell ref="F5:I5"/>
    <mergeCell ref="C10:C11"/>
    <mergeCell ref="G10:G11"/>
    <mergeCell ref="K10:K11"/>
    <mergeCell ref="P10:P11"/>
  </mergeCells>
  <hyperlinks>
    <hyperlink r:id="rId1" ref="A1"/>
    <hyperlink r:id="rId2" ref="F1"/>
    <hyperlink r:id="rId3" ref="J1"/>
    <hyperlink r:id="rId4" ref="N1"/>
  </hyperlinks>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41.5"/>
    <col customWidth="1" min="3" max="3" width="11.13"/>
    <col customWidth="1" min="4" max="4" width="39.13"/>
    <col customWidth="1" min="5" max="5" width="19.88"/>
    <col customWidth="1" min="6" max="6" width="41.5"/>
    <col customWidth="1" min="7" max="7" width="11.13"/>
    <col customWidth="1" min="8" max="8" width="39.13"/>
    <col customWidth="1" min="9" max="9" width="19.88"/>
    <col customWidth="1" min="10" max="10" width="41.5"/>
    <col customWidth="1" min="11" max="11" width="11.13"/>
    <col customWidth="1" min="12" max="12" width="39.13"/>
    <col customWidth="1" min="13" max="13" width="19.88"/>
    <col customWidth="1" min="14" max="14" width="41.5"/>
    <col customWidth="1" min="15" max="15" width="11.13"/>
    <col customWidth="1" min="16" max="16" width="39.13"/>
    <col customWidth="1" min="17" max="18" width="19.88"/>
    <col customWidth="1" min="19" max="19" width="11.13"/>
    <col customWidth="1" min="20" max="20" width="39.13"/>
    <col customWidth="1" min="21" max="21" width="19.88"/>
    <col customWidth="1" min="22" max="22" width="41.5"/>
    <col customWidth="1" min="23" max="23" width="11.13"/>
    <col customWidth="1" min="24" max="24" width="39.13"/>
    <col customWidth="1" min="25" max="25" width="19.88"/>
    <col customWidth="1" min="26" max="26" width="41.5"/>
    <col customWidth="1" min="27" max="27" width="11.13"/>
    <col customWidth="1" min="28" max="28" width="39.13"/>
    <col customWidth="1" min="29" max="29" width="19.88"/>
    <col customWidth="1" min="30" max="30" width="41.5"/>
    <col customWidth="1" min="31" max="31" width="11.13"/>
    <col customWidth="1" min="32" max="32" width="39.13"/>
    <col customWidth="1" min="33" max="33" width="19.88"/>
    <col customWidth="1" min="34" max="34" width="41.5"/>
    <col customWidth="1" min="35" max="35" width="11.13"/>
    <col customWidth="1" min="36" max="36" width="39.13"/>
    <col customWidth="1" min="37" max="37" width="19.88"/>
    <col customWidth="1" min="38" max="38" width="41.88"/>
    <col customWidth="1" min="39" max="39" width="12.13"/>
    <col customWidth="1" min="40" max="40" width="39.38"/>
    <col customWidth="1" min="41" max="41" width="19.88"/>
    <col customWidth="1" min="42" max="42" width="41.88"/>
    <col customWidth="1" min="43" max="43" width="12.13"/>
    <col customWidth="1" min="44" max="44" width="39.38"/>
    <col customWidth="1" min="45" max="45" width="19.88"/>
    <col customWidth="1" min="46" max="46" width="41.88"/>
    <col customWidth="1" min="47" max="47" width="12.13"/>
    <col customWidth="1" min="48" max="48" width="39.38"/>
  </cols>
  <sheetData>
    <row r="1" ht="103.5" customHeight="1">
      <c r="A1" s="370" t="s">
        <v>6039</v>
      </c>
      <c r="E1" s="371" t="str">
        <f>IFERROR(__xludf.DUMMYFUNCTION("GOOGLETRANSLATE(A1,""zh-tw"",""ja"")"),"一般的なドロップアイテムは含まれません。
（汎用的な白・青品質の装備品および消耗品）
500ドル以上の価値のある金貨のみを記録します。
（数値）＝同じモンスターから繰り返しドロップするアイテムの最大数。繰り返しドロップする確率は徐々に低下し、元の確率には戻りません。")</f>
        <v>一般的なドロップアイテムは含まれません。
（汎用的な白・青品質の装備品および消耗品）
500ドル以上の価値のある金貨のみを記録します。
（数値）＝同じモンスターから繰り返しドロップするアイテムの最大数。繰り返しドロップする確率は徐々に低下し、元の確率には戻りません。</v>
      </c>
      <c r="I1" s="370" t="s">
        <v>6040</v>
      </c>
      <c r="M1" s="371" t="str">
        <f>IFERROR(__xludf.DUMMYFUNCTION("GOOGLETRANSLATE(A1,""zh-tw"",""zh"")"),"通用掉落物不列入
(泛用型白.蓝品质装备和消耗道具)
金币的部分仅记录500$以上
(数字)=同一只怪物可能重复掉落的最高数量，重复机率的会降低，不会维持原机率")</f>
        <v>通用掉落物不列入
(泛用型白.蓝品质装备和消耗道具)
金币的部分仅记录500$以上
(数字)=同一只怪物可能重复掉落的最高数量，重复机率的会降低，不会维持原机率</v>
      </c>
      <c r="Q1" s="371" t="str">
        <f>IFERROR(__xludf.DUMMYFUNCTION("GOOGLETRANSLATE(A1,""zh-tw"",""es-MX"")"),"No se incluyen los objetos comunes.
(Equipo y consumibles de calidad blanca y azul de uso general)
Solo se registran las monedas de oro con un valor de $500 o más.
(Número) = Cantidad máxima de objetos que puede soltar repetidamente el mismo monstruo. "&amp;"La probabilidad de obtener objetos repetidos disminuirá y no se mantendrá en la probabilidad original.")</f>
        <v>No se incluyen los objetos comunes.
(Equipo y consumibles de calidad blanca y azul de uso general)
Solo se registran las monedas de oro con un valor de $500 o más.
(Número) = Cantidad máxima de objetos que puede soltar repetidamente el mismo monstruo. La probabilidad de obtener objetos repetidos disminuirá y no se mantendrá en la probabilidad original.</v>
      </c>
      <c r="U1" s="371" t="str">
        <f>IFERROR(__xludf.DUMMYFUNCTION("GOOGLETRANSLATE(A1,""zh-tw"",""KO"")"),"일반 드롭 아이템은 포함되지 않습니다.
(일반적인 흰색 및 파란색 등급 장비와 소모품)
500달러 이상의 골드 코인만 기록됩니다.
(수량) = 동일 몬스터에게서 반복 드롭될 수 있는 아이템의 최대 개수입니다. 반복 드롭 확률은 감소하며, 초기 확률을 유지하지 않습니다.")</f>
        <v>일반 드롭 아이템은 포함되지 않습니다.
(일반적인 흰색 및 파란색 등급 장비와 소모품)
500달러 이상의 골드 코인만 기록됩니다.
(수량) = 동일 몬스터에게서 반복 드롭될 수 있는 아이템의 최대 개수입니다. 반복 드롭 확률은 감소하며, 초기 확률을 유지하지 않습니다.</v>
      </c>
      <c r="Y1" s="372" t="s">
        <v>6041</v>
      </c>
      <c r="AC1" s="371" t="str">
        <f>IFERROR(__xludf.DUMMYFUNCTION("GOOGLETRANSLATE(A1,""zh-tw"",""DE"")"),"Allgemeine Beutegegenstände sind nicht enthalten.
(Allgemeine weiße und blaue Ausrüstung und Verbrauchsgegenstände)
Nur Goldmünzen im Wert von 500 $ oder mehr werden erfasst.
(Anzahl) = Die höchste Anzahl an Gegenständen, die wiederholt vom selben Mons"&amp;"ter erbeutet werden können. Die Wahrscheinlichkeit für wiederholte Beute nimmt ab und bleibt nicht konstant.")</f>
        <v>Allgemeine Beutegegenstände sind nicht enthalten.
(Allgemeine weiße und blaue Ausrüstung und Verbrauchsgegenstände)
Nur Goldmünzen im Wert von 500 $ oder mehr werden erfasst.
(Anzahl) = Die höchste Anzahl an Gegenständen, die wiederholt vom selben Monster erbeutet werden können. Die Wahrscheinlichkeit für wiederholte Beute nimmt ab und bleibt nicht konstant.</v>
      </c>
      <c r="AG1" s="373" t="s">
        <v>6042</v>
      </c>
      <c r="AK1" s="370" t="s">
        <v>6043</v>
      </c>
      <c r="AO1" s="370" t="s">
        <v>6044</v>
      </c>
      <c r="AS1" s="370"/>
    </row>
    <row r="2" ht="69.75" customHeight="1">
      <c r="A2" s="86" t="s">
        <v>6045</v>
      </c>
      <c r="B2" s="91" t="s">
        <v>6046</v>
      </c>
      <c r="C2" s="88" t="s">
        <v>6047</v>
      </c>
      <c r="D2" s="374" t="s">
        <v>6048</v>
      </c>
      <c r="E2" s="93" t="str">
        <f>IFERROR(__xludf.DUMMYFUNCTION("GOOGLETRANSLATE(A2,""zh-tw"",""ja"")"),"プロジェクト")</f>
        <v>プロジェクト</v>
      </c>
      <c r="F2" s="95" t="str">
        <f>IFERROR(__xludf.DUMMYFUNCTION("GOOGLETRANSLATE(B2,""zh-tw"",""ja"")"),"スペシャルドロップ")</f>
        <v>スペシャルドロップ</v>
      </c>
      <c r="G2" s="88" t="s">
        <v>6047</v>
      </c>
      <c r="H2" s="375" t="str">
        <f>IFERROR(__xludf.DUMMYFUNCTION("GOOGLETRANSLATE(D2,""zh-tw"",""ja"")"),"述べる")</f>
        <v>述べる</v>
      </c>
      <c r="I2" s="93" t="s">
        <v>6049</v>
      </c>
      <c r="J2" s="91" t="s">
        <v>6050</v>
      </c>
      <c r="K2" s="95" t="s">
        <v>6051</v>
      </c>
      <c r="L2" s="374" t="str">
        <f>IFERROR(__xludf.DUMMYFUNCTION("GOOGLETRANSLATE(D2,""zh-tw"",""en"")"),"Remark")</f>
        <v>Remark</v>
      </c>
      <c r="M2" s="93" t="str">
        <f>IFERROR(__xludf.DUMMYFUNCTION("GOOGLETRANSLATE(A2,""zh-tw"",""zh"")"),"项目")</f>
        <v>项目</v>
      </c>
      <c r="N2" s="95" t="str">
        <f>IFERROR(__xludf.DUMMYFUNCTION("GOOGLETRANSLATE(B2,""zh-tw"",""zh"")"),"特殊掉落")</f>
        <v>特殊掉落</v>
      </c>
      <c r="O2" s="95" t="str">
        <f>IFERROR(__xludf.DUMMYFUNCTION("GOOGLETRANSLATE(C2,""zh-tw"",""zh"")"),"机率(%)")</f>
        <v>机率(%)</v>
      </c>
      <c r="P2" s="374" t="str">
        <f>IFERROR(__xludf.DUMMYFUNCTION("GOOGLETRANSLATE(D2,""zh-tw"",""zh"")"),"备注")</f>
        <v>备注</v>
      </c>
      <c r="Q2" s="89" t="s">
        <v>6052</v>
      </c>
      <c r="R2" s="91" t="s">
        <v>6053</v>
      </c>
      <c r="S2" s="91" t="s">
        <v>6054</v>
      </c>
      <c r="T2" s="376" t="s">
        <v>6055</v>
      </c>
      <c r="U2" s="93" t="str">
        <f>IFERROR(__xludf.DUMMYFUNCTION("GOOGLETRANSLATE(A2,""zh-tw"",""KO"")"),"프로젝트")</f>
        <v>프로젝트</v>
      </c>
      <c r="V2" s="88" t="str">
        <f>IFERROR(__xludf.DUMMYFUNCTION("GOOGLETRANSLATE(B2,""zh-tw"",""KO"")"),"특별 드롭")</f>
        <v>특별 드롭</v>
      </c>
      <c r="W2" s="88" t="str">
        <f>IFERROR(__xludf.DUMMYFUNCTION("GOOGLETRANSLATE(C2,""zh-tw"",""KO"")"),"확률(%)")</f>
        <v>확률(%)</v>
      </c>
      <c r="X2" s="375" t="str">
        <f>IFERROR(__xludf.DUMMYFUNCTION("GOOGLETRANSLATE(D2,""zh-tw"",""KO"")"),"주목")</f>
        <v>주목</v>
      </c>
      <c r="Y2" s="86" t="s">
        <v>6056</v>
      </c>
      <c r="Z2" s="88" t="s">
        <v>6057</v>
      </c>
      <c r="AA2" s="88" t="s">
        <v>6058</v>
      </c>
      <c r="AB2" s="374" t="s">
        <v>6059</v>
      </c>
      <c r="AC2" s="377" t="s">
        <v>6060</v>
      </c>
      <c r="AD2" s="91" t="s">
        <v>6061</v>
      </c>
      <c r="AE2" s="378" t="str">
        <f>IFERROR(__xludf.DUMMYFUNCTION("GOOGLETRANSLATE(C2,""zh-tw"",""DE"")"),"Wahrscheinlichkeit (%)")</f>
        <v>Wahrscheinlichkeit (%)</v>
      </c>
      <c r="AF2" s="374" t="s">
        <v>6062</v>
      </c>
      <c r="AG2" s="379" t="s">
        <v>6063</v>
      </c>
      <c r="AH2" s="380" t="s">
        <v>6064</v>
      </c>
      <c r="AI2" s="381" t="s">
        <v>6065</v>
      </c>
      <c r="AJ2" s="382" t="s">
        <v>6066</v>
      </c>
      <c r="AK2" s="93" t="s">
        <v>6067</v>
      </c>
      <c r="AL2" s="91" t="s">
        <v>6068</v>
      </c>
      <c r="AM2" s="91" t="s">
        <v>6069</v>
      </c>
      <c r="AN2" s="374" t="s">
        <v>6070</v>
      </c>
      <c r="AO2" s="383" t="s">
        <v>6071</v>
      </c>
      <c r="AP2" s="384" t="s">
        <v>6072</v>
      </c>
      <c r="AQ2" s="384" t="s">
        <v>6073</v>
      </c>
      <c r="AR2" s="385" t="s">
        <v>6074</v>
      </c>
      <c r="AS2" s="383"/>
      <c r="AT2" s="384"/>
      <c r="AU2" s="384"/>
      <c r="AV2" s="385"/>
    </row>
    <row r="3">
      <c r="A3" s="386" t="s">
        <v>6075</v>
      </c>
      <c r="E3" s="387" t="str">
        <f>IFERROR(__xludf.DUMMYFUNCTION("GOOGLETRANSLATE(A3,""zh-tw"",""ja"")"),"小さなモンスター")</f>
        <v>小さなモンスター</v>
      </c>
      <c r="I3" s="387" t="s">
        <v>6076</v>
      </c>
      <c r="M3" s="387" t="str">
        <f>IFERROR(__xludf.DUMMYFUNCTION("GOOGLETRANSLATE(A3,""zh-tw"",""zh"")"),"一般小型怪物")</f>
        <v>一般小型怪物</v>
      </c>
      <c r="Q3" s="388" t="s">
        <v>6077</v>
      </c>
      <c r="U3" s="387" t="str">
        <f>IFERROR(__xludf.DUMMYFUNCTION("GOOGLETRANSLATE(A3,""zh-tw"",""KO"")"),"작은 괴물들")</f>
        <v>작은 괴물들</v>
      </c>
      <c r="Y3" s="386" t="s">
        <v>6078</v>
      </c>
      <c r="AC3" s="387" t="str">
        <f>IFERROR(__xludf.DUMMYFUNCTION("GOOGLETRANSLATE(A2,""zh-tw"",""DE"")"),"Projekt")</f>
        <v>Projekt</v>
      </c>
      <c r="AG3" s="389" t="s">
        <v>6079</v>
      </c>
      <c r="AK3" s="387" t="s">
        <v>6080</v>
      </c>
      <c r="AO3" s="387" t="s">
        <v>6081</v>
      </c>
      <c r="AS3" s="387"/>
    </row>
    <row r="4">
      <c r="A4" s="164" t="s">
        <v>6082</v>
      </c>
      <c r="B4" s="166" t="s">
        <v>6083</v>
      </c>
      <c r="C4" s="166" t="s">
        <v>6084</v>
      </c>
      <c r="D4" s="390" t="s">
        <v>1273</v>
      </c>
      <c r="E4" s="176" t="s">
        <v>6085</v>
      </c>
      <c r="F4" s="210" t="s">
        <v>6086</v>
      </c>
      <c r="G4" s="166" t="s">
        <v>6084</v>
      </c>
      <c r="H4" s="390" t="s">
        <v>1273</v>
      </c>
      <c r="I4" s="209" t="s">
        <v>6087</v>
      </c>
      <c r="J4" s="210" t="s">
        <v>6088</v>
      </c>
      <c r="K4" s="210" t="s">
        <v>6084</v>
      </c>
      <c r="L4" s="390" t="str">
        <f>IFERROR(__xludf.DUMMYFUNCTION("GOOGLETRANSLATE(D4,""zh-tw"",""en"")"),"-")</f>
        <v>-</v>
      </c>
      <c r="M4" s="209" t="str">
        <f>IFERROR(__xludf.DUMMYFUNCTION("GOOGLETRANSLATE(A4,""zh-tw"",""zh"")"),"香蕉妖精")</f>
        <v>香蕉妖精</v>
      </c>
      <c r="N4" s="210" t="str">
        <f>IFERROR(__xludf.DUMMYFUNCTION("GOOGLETRANSLATE(B4,""zh-tw"",""zh"")"),"香蕉妖精
香蕉?")</f>
        <v>香蕉妖精
香蕉?</v>
      </c>
      <c r="O4" s="210" t="s">
        <v>6084</v>
      </c>
      <c r="P4" s="391" t="str">
        <f>IFERROR(__xludf.DUMMYFUNCTION("GOOGLETRANSLATE(D4,""zh-tw"",""zh"")"),"-")</f>
        <v>-</v>
      </c>
      <c r="Q4" s="164" t="str">
        <f>IFERROR(__xludf.DUMMYFUNCTION("GOOGLETRANSLATE(A4,""zh-tw"",""es-MX"")"),"Hada del Plátano")</f>
        <v>Hada del Plátano</v>
      </c>
      <c r="R4" s="210" t="str">
        <f>IFERROR(__xludf.DUMMYFUNCTION("GOOGLETRANSLATE(B4,""zh-tw"",""es-MX"")"),"Hada del Plátano
¿Plátano?")</f>
        <v>Hada del Plátano
¿Plátano?</v>
      </c>
      <c r="S4" s="210" t="s">
        <v>6084</v>
      </c>
      <c r="T4" s="390" t="str">
        <f>IFERROR(__xludf.DUMMYFUNCTION("GOOGLETRANSLATE(D4,""zh-tw"",""es-MX"")"),"-")</f>
        <v>-</v>
      </c>
      <c r="U4" s="209" t="str">
        <f>IFERROR(__xludf.DUMMYFUNCTION("GOOGLETRANSLATE(A4,""zh-tw"",""KO"")"),"바나나 요정")</f>
        <v>바나나 요정</v>
      </c>
      <c r="V4" s="166" t="str">
        <f>IFERROR(__xludf.DUMMYFUNCTION("GOOGLETRANSLATE(B4,""zh-tw"",""KO"")"),"바나나 요정
바나나?")</f>
        <v>바나나 요정
바나나?</v>
      </c>
      <c r="W4" s="166" t="s">
        <v>6084</v>
      </c>
      <c r="X4" s="391" t="str">
        <f>IFERROR(__xludf.DUMMYFUNCTION("GOOGLETRANSLATE(D4,""zh-tw"",""KO"")"),"-")</f>
        <v>-</v>
      </c>
      <c r="Y4" s="164" t="s">
        <v>6089</v>
      </c>
      <c r="Z4" s="166" t="s">
        <v>6090</v>
      </c>
      <c r="AA4" s="166" t="s">
        <v>6084</v>
      </c>
      <c r="AB4" s="390" t="s">
        <v>1273</v>
      </c>
      <c r="AC4" s="209" t="s">
        <v>6091</v>
      </c>
      <c r="AD4" s="210" t="s">
        <v>6092</v>
      </c>
      <c r="AE4" s="210" t="s">
        <v>6084</v>
      </c>
      <c r="AF4" s="390" t="s">
        <v>1273</v>
      </c>
      <c r="AG4" s="198" t="s">
        <v>6093</v>
      </c>
      <c r="AH4" s="392" t="s">
        <v>6094</v>
      </c>
      <c r="AI4" s="392" t="s">
        <v>6084</v>
      </c>
      <c r="AJ4" s="393" t="s">
        <v>1273</v>
      </c>
      <c r="AK4" s="209" t="s">
        <v>6095</v>
      </c>
      <c r="AL4" s="210" t="s">
        <v>6096</v>
      </c>
      <c r="AM4" s="210" t="s">
        <v>6084</v>
      </c>
      <c r="AN4" s="390" t="s">
        <v>1273</v>
      </c>
      <c r="AO4" s="394" t="s">
        <v>6097</v>
      </c>
      <c r="AP4" s="214" t="s">
        <v>6098</v>
      </c>
      <c r="AQ4" s="214" t="s">
        <v>6084</v>
      </c>
      <c r="AR4" s="395" t="s">
        <v>1273</v>
      </c>
      <c r="AS4" s="394"/>
      <c r="AT4" s="214"/>
      <c r="AU4" s="214"/>
      <c r="AV4" s="395"/>
    </row>
    <row r="5">
      <c r="A5" s="164" t="s">
        <v>6099</v>
      </c>
      <c r="B5" s="166" t="s">
        <v>6100</v>
      </c>
      <c r="C5" s="166" t="s">
        <v>6101</v>
      </c>
      <c r="D5" s="390" t="s">
        <v>1273</v>
      </c>
      <c r="E5" s="176" t="s">
        <v>6102</v>
      </c>
      <c r="F5" s="177" t="s">
        <v>6103</v>
      </c>
      <c r="G5" s="166" t="s">
        <v>6101</v>
      </c>
      <c r="H5" s="391" t="s">
        <v>1273</v>
      </c>
      <c r="I5" s="209" t="s">
        <v>6104</v>
      </c>
      <c r="J5" s="210" t="s">
        <v>6105</v>
      </c>
      <c r="K5" s="210" t="s">
        <v>6101</v>
      </c>
      <c r="L5" s="390" t="str">
        <f>IFERROR(__xludf.DUMMYFUNCTION("GOOGLETRANSLATE(D5,""zh-tw"",""en"")"),"-")</f>
        <v>-</v>
      </c>
      <c r="M5" s="209" t="str">
        <f>IFERROR(__xludf.DUMMYFUNCTION("GOOGLETRANSLATE(A5,""zh-tw"",""zh"")"),"苹果妖精")</f>
        <v>苹果妖精</v>
      </c>
      <c r="N5" s="210" t="str">
        <f>IFERROR(__xludf.DUMMYFUNCTION("GOOGLETRANSLATE(B5,""zh-tw"",""zh"")"),"苹果妖精
苹果头套")</f>
        <v>苹果妖精
苹果头套</v>
      </c>
      <c r="O5" s="210" t="s">
        <v>6101</v>
      </c>
      <c r="P5" s="390" t="str">
        <f>IFERROR(__xludf.DUMMYFUNCTION("GOOGLETRANSLATE(D5,""zh-tw"",""zh"")"),"-")</f>
        <v>-</v>
      </c>
      <c r="Q5" s="164" t="str">
        <f>IFERROR(__xludf.DUMMYFUNCTION("GOOGLETRANSLATE(A5,""zh-tw"",""es-MX"")"),"Hada de las Manzanas")</f>
        <v>Hada de las Manzanas</v>
      </c>
      <c r="R5" s="210" t="str">
        <f>IFERROR(__xludf.DUMMYFUNCTION("GOOGLETRANSLATE(B5,""zh-tw"",""es-MX"")"),"Hada de las Manzanas
Tocado de manzana")</f>
        <v>Hada de las Manzanas
Tocado de manzana</v>
      </c>
      <c r="S5" s="210" t="s">
        <v>6101</v>
      </c>
      <c r="T5" s="390" t="str">
        <f>IFERROR(__xludf.DUMMYFUNCTION("GOOGLETRANSLATE(D5,""zh-tw"",""es-MX"")"),"-")</f>
        <v>-</v>
      </c>
      <c r="U5" s="209" t="str">
        <f>IFERROR(__xludf.DUMMYFUNCTION("GOOGLETRANSLATE(A5,""zh-tw"",""KO"")"),"애플 페어리")</f>
        <v>애플 페어리</v>
      </c>
      <c r="V5" s="166" t="str">
        <f>IFERROR(__xludf.DUMMYFUNCTION("GOOGLETRANSLATE(B5,""zh-tw"",""KO"")"),"사과 요정
사과 머리 장식")</f>
        <v>사과 요정
사과 머리 장식</v>
      </c>
      <c r="W5" s="166" t="s">
        <v>6101</v>
      </c>
      <c r="X5" s="391" t="str">
        <f>IFERROR(__xludf.DUMMYFUNCTION("GOOGLETRANSLATE(D5,""zh-tw"",""KO"")"),"-")</f>
        <v>-</v>
      </c>
      <c r="Y5" s="164" t="s">
        <v>6106</v>
      </c>
      <c r="Z5" s="166" t="s">
        <v>6107</v>
      </c>
      <c r="AA5" s="166" t="s">
        <v>6101</v>
      </c>
      <c r="AB5" s="390" t="s">
        <v>1273</v>
      </c>
      <c r="AC5" s="209" t="s">
        <v>6108</v>
      </c>
      <c r="AD5" s="210" t="s">
        <v>6109</v>
      </c>
      <c r="AE5" s="210" t="s">
        <v>6101</v>
      </c>
      <c r="AF5" s="390" t="s">
        <v>1273</v>
      </c>
      <c r="AG5" s="198" t="s">
        <v>6110</v>
      </c>
      <c r="AH5" s="392" t="s">
        <v>6111</v>
      </c>
      <c r="AI5" s="392" t="s">
        <v>6101</v>
      </c>
      <c r="AJ5" s="393" t="s">
        <v>1273</v>
      </c>
      <c r="AK5" s="209" t="s">
        <v>6112</v>
      </c>
      <c r="AL5" s="210" t="s">
        <v>6113</v>
      </c>
      <c r="AM5" s="210" t="s">
        <v>6101</v>
      </c>
      <c r="AN5" s="390" t="s">
        <v>1273</v>
      </c>
      <c r="AO5" s="394" t="s">
        <v>6114</v>
      </c>
      <c r="AP5" s="214" t="s">
        <v>6115</v>
      </c>
      <c r="AQ5" s="214" t="s">
        <v>6116</v>
      </c>
      <c r="AR5" s="395" t="s">
        <v>1273</v>
      </c>
      <c r="AS5" s="394"/>
      <c r="AT5" s="214"/>
      <c r="AU5" s="214"/>
      <c r="AV5" s="395"/>
    </row>
    <row r="6">
      <c r="A6" s="164" t="s">
        <v>6117</v>
      </c>
      <c r="B6" s="166" t="s">
        <v>6118</v>
      </c>
      <c r="C6" s="166" t="s">
        <v>6119</v>
      </c>
      <c r="D6" s="390" t="s">
        <v>1273</v>
      </c>
      <c r="E6" s="176" t="s">
        <v>6120</v>
      </c>
      <c r="F6" s="210" t="s">
        <v>6121</v>
      </c>
      <c r="G6" s="166" t="s">
        <v>6119</v>
      </c>
      <c r="H6" s="391" t="s">
        <v>1273</v>
      </c>
      <c r="I6" s="209" t="s">
        <v>6122</v>
      </c>
      <c r="J6" s="210" t="s">
        <v>6123</v>
      </c>
      <c r="K6" s="210" t="s">
        <v>6119</v>
      </c>
      <c r="L6" s="390" t="str">
        <f>IFERROR(__xludf.DUMMYFUNCTION("GOOGLETRANSLATE(D6,""zh-tw"",""en"")"),"-")</f>
        <v>-</v>
      </c>
      <c r="M6" s="209" t="str">
        <f>IFERROR(__xludf.DUMMYFUNCTION("GOOGLETRANSLATE(A6,""zh-tw"",""zh"")"),"猫咪史莱姆")</f>
        <v>猫咪史莱姆</v>
      </c>
      <c r="N6" s="210" t="str">
        <f>IFERROR(__xludf.DUMMYFUNCTION("GOOGLETRANSLATE(B6,""zh-tw"",""zh"")"),"史莱姆的黏液
借来的猫爪
猫猫玩偶服
招财猫")</f>
        <v>史莱姆的黏液
借来的猫爪
猫猫玩偶服
招财猫</v>
      </c>
      <c r="O6" s="210" t="s">
        <v>6119</v>
      </c>
      <c r="P6" s="391" t="str">
        <f>IFERROR(__xludf.DUMMYFUNCTION("GOOGLETRANSLATE(D6,""zh-tw"",""zh"")"),"-")</f>
        <v>-</v>
      </c>
      <c r="Q6" s="164" t="str">
        <f>IFERROR(__xludf.DUMMYFUNCTION("GOOGLETRANSLATE(A6,""zh-tw"",""es-MX"")"),"Limo de gato")</f>
        <v>Limo de gato</v>
      </c>
      <c r="R6" s="210" t="str">
        <f>IFERROR(__xludf.DUMMYFUNCTION("GOOGLETRANSLATE(B6,""zh-tw"",""es-MX"")"),"Slime slime
Pata de gato prestada
Disfraz de gato
Gato afortunado")</f>
        <v>Slime slime
Pata de gato prestada
Disfraz de gato
Gato afortunado</v>
      </c>
      <c r="S6" s="210" t="s">
        <v>6119</v>
      </c>
      <c r="T6" s="390" t="str">
        <f>IFERROR(__xludf.DUMMYFUNCTION("GOOGLETRANSLATE(D6,""zh-tw"",""es-MX"")"),"-")</f>
        <v>-</v>
      </c>
      <c r="U6" s="209" t="str">
        <f>IFERROR(__xludf.DUMMYFUNCTION("GOOGLETRANSLATE(A6,""zh-tw"",""KO"")"),"고양이 슬라임")</f>
        <v>고양이 슬라임</v>
      </c>
      <c r="V6" s="166" t="str">
        <f>IFERROR(__xludf.DUMMYFUNCTION("GOOGLETRANSLATE(B6,""zh-tw"",""KO"")"),"슬라임 슬라임
빌린 고양이 발
고양이 코스튬
행운의 고양이")</f>
        <v>슬라임 슬라임
빌린 고양이 발
고양이 코스튬
행운의 고양이</v>
      </c>
      <c r="W6" s="166" t="s">
        <v>6119</v>
      </c>
      <c r="X6" s="391" t="str">
        <f>IFERROR(__xludf.DUMMYFUNCTION("GOOGLETRANSLATE(D6,""zh-tw"",""KO"")"),"-")</f>
        <v>-</v>
      </c>
      <c r="Y6" s="164" t="s">
        <v>6124</v>
      </c>
      <c r="Z6" s="166" t="s">
        <v>6125</v>
      </c>
      <c r="AA6" s="166" t="s">
        <v>6119</v>
      </c>
      <c r="AB6" s="390" t="s">
        <v>1273</v>
      </c>
      <c r="AC6" s="209" t="s">
        <v>6126</v>
      </c>
      <c r="AD6" s="210" t="s">
        <v>6127</v>
      </c>
      <c r="AE6" s="210" t="s">
        <v>6119</v>
      </c>
      <c r="AF6" s="390" t="s">
        <v>1273</v>
      </c>
      <c r="AG6" s="198" t="s">
        <v>6128</v>
      </c>
      <c r="AH6" s="392" t="s">
        <v>6129</v>
      </c>
      <c r="AI6" s="392" t="s">
        <v>6119</v>
      </c>
      <c r="AJ6" s="393" t="s">
        <v>1273</v>
      </c>
      <c r="AK6" s="209" t="s">
        <v>6130</v>
      </c>
      <c r="AL6" s="210" t="s">
        <v>6131</v>
      </c>
      <c r="AM6" s="210" t="s">
        <v>6119</v>
      </c>
      <c r="AN6" s="390" t="s">
        <v>1273</v>
      </c>
      <c r="AO6" s="394" t="s">
        <v>6132</v>
      </c>
      <c r="AP6" s="214" t="s">
        <v>6133</v>
      </c>
      <c r="AQ6" s="214" t="s">
        <v>6119</v>
      </c>
      <c r="AR6" s="395" t="s">
        <v>1273</v>
      </c>
      <c r="AS6" s="394"/>
      <c r="AT6" s="214"/>
      <c r="AU6" s="214"/>
      <c r="AV6" s="395"/>
    </row>
    <row r="7">
      <c r="A7" s="164" t="s">
        <v>6134</v>
      </c>
      <c r="B7" s="166" t="s">
        <v>6135</v>
      </c>
      <c r="C7" s="166" t="s">
        <v>6136</v>
      </c>
      <c r="D7" s="391" t="s">
        <v>1273</v>
      </c>
      <c r="E7" s="176" t="s">
        <v>6137</v>
      </c>
      <c r="F7" s="210" t="s">
        <v>6138</v>
      </c>
      <c r="G7" s="166" t="s">
        <v>6136</v>
      </c>
      <c r="H7" s="391" t="s">
        <v>1273</v>
      </c>
      <c r="I7" s="209" t="s">
        <v>6139</v>
      </c>
      <c r="J7" s="210" t="s">
        <v>6140</v>
      </c>
      <c r="K7" s="210" t="s">
        <v>6141</v>
      </c>
      <c r="L7" s="390" t="str">
        <f>IFERROR(__xludf.DUMMYFUNCTION("GOOGLETRANSLATE(D7,""zh-tw"",""en"")"),"-")</f>
        <v>-</v>
      </c>
      <c r="M7" s="209" t="str">
        <f>IFERROR(__xludf.DUMMYFUNCTION("GOOGLETRANSLATE(A7,""zh-tw"",""zh"")"),"草食史莱姆")</f>
        <v>草食史莱姆</v>
      </c>
      <c r="N7" s="210" t="str">
        <f>IFERROR(__xludf.DUMMYFUNCTION("GOOGLETRANSLATE(B7,""zh-tw"",""zh"")"),"史莱姆的黏液
芳草心
硬木棒
硬木剑
斩裂剑提尔锋")</f>
        <v>史莱姆的黏液
芳草心
硬木棒
硬木剑
斩裂剑提尔锋</v>
      </c>
      <c r="O7" s="210" t="s">
        <v>6136</v>
      </c>
      <c r="P7" s="391" t="str">
        <f>IFERROR(__xludf.DUMMYFUNCTION("GOOGLETRANSLATE(D7,""zh-tw"",""zh"")"),"-")</f>
        <v>-</v>
      </c>
      <c r="Q7" s="164" t="str">
        <f>IFERROR(__xludf.DUMMYFUNCTION("GOOGLETRANSLATE(A7,""zh-tw"",""es-MX"")"),"limo herbívoro")</f>
        <v>limo herbívoro</v>
      </c>
      <c r="R7" s="210" t="str">
        <f>IFERROR(__xludf.DUMMYFUNCTION("GOOGLETRANSLATE(B7,""zh-tw"",""es-MX"")"),"El limo de Slime
Corazón de hierba fragante
Palo de madera dura
Espada de madera dura
Filo de Tyr (Espada cortante)")</f>
        <v>El limo de Slime
Corazón de hierba fragante
Palo de madera dura
Espada de madera dura
Filo de Tyr (Espada cortante)</v>
      </c>
      <c r="S7" s="210" t="s">
        <v>6136</v>
      </c>
      <c r="T7" s="390" t="str">
        <f>IFERROR(__xludf.DUMMYFUNCTION("GOOGLETRANSLATE(D7,""zh-tw"",""es-MX"")"),"-")</f>
        <v>-</v>
      </c>
      <c r="U7" s="209" t="str">
        <f>IFERROR(__xludf.DUMMYFUNCTION("GOOGLETRANSLATE(A7,""zh-tw"",""KO"")"),"초식성 점액")</f>
        <v>초식성 점액</v>
      </c>
      <c r="V7" s="166" t="str">
        <f>IFERROR(__xludf.DUMMYFUNCTION("GOOGLETRANSLATE(B7,""zh-tw"",""KO"")"),"슬라임의 슬라임
향기로운 풀의 심장
단단한 나무 막대기
단단한 나무 검
티르의 칼날 (베는 검)")</f>
        <v>슬라임의 슬라임
향기로운 풀의 심장
단단한 나무 막대기
단단한 나무 검
티르의 칼날 (베는 검)</v>
      </c>
      <c r="W7" s="166" t="s">
        <v>6136</v>
      </c>
      <c r="X7" s="391" t="str">
        <f>IFERROR(__xludf.DUMMYFUNCTION("GOOGLETRANSLATE(D7,""zh-tw"",""KO"")"),"-")</f>
        <v>-</v>
      </c>
      <c r="Y7" s="164" t="s">
        <v>6142</v>
      </c>
      <c r="Z7" s="166" t="s">
        <v>6143</v>
      </c>
      <c r="AA7" s="166" t="s">
        <v>6136</v>
      </c>
      <c r="AB7" s="390" t="s">
        <v>1273</v>
      </c>
      <c r="AC7" s="209" t="s">
        <v>6144</v>
      </c>
      <c r="AD7" s="210" t="s">
        <v>6145</v>
      </c>
      <c r="AE7" s="210" t="s">
        <v>6136</v>
      </c>
      <c r="AF7" s="390" t="s">
        <v>6146</v>
      </c>
      <c r="AG7" s="198" t="s">
        <v>6147</v>
      </c>
      <c r="AH7" s="52" t="s">
        <v>6148</v>
      </c>
      <c r="AI7" s="392" t="s">
        <v>6136</v>
      </c>
      <c r="AJ7" s="393" t="s">
        <v>1273</v>
      </c>
      <c r="AK7" s="209" t="s">
        <v>6149</v>
      </c>
      <c r="AL7" s="210" t="s">
        <v>6150</v>
      </c>
      <c r="AM7" s="210" t="s">
        <v>6136</v>
      </c>
      <c r="AN7" s="390" t="s">
        <v>1273</v>
      </c>
      <c r="AO7" s="394" t="s">
        <v>6151</v>
      </c>
      <c r="AP7" s="214" t="s">
        <v>6152</v>
      </c>
      <c r="AQ7" s="214" t="s">
        <v>6136</v>
      </c>
      <c r="AR7" s="395" t="s">
        <v>1273</v>
      </c>
      <c r="AS7" s="394"/>
      <c r="AT7" s="214"/>
      <c r="AU7" s="214"/>
      <c r="AV7" s="395"/>
    </row>
    <row r="8">
      <c r="A8" s="164" t="s">
        <v>6153</v>
      </c>
      <c r="B8" s="166" t="s">
        <v>6154</v>
      </c>
      <c r="C8" s="166" t="s">
        <v>6155</v>
      </c>
      <c r="D8" s="390" t="s">
        <v>1273</v>
      </c>
      <c r="E8" s="164" t="s">
        <v>6156</v>
      </c>
      <c r="F8" s="210" t="s">
        <v>6157</v>
      </c>
      <c r="G8" s="166" t="s">
        <v>6155</v>
      </c>
      <c r="H8" s="391" t="s">
        <v>1273</v>
      </c>
      <c r="I8" s="164" t="s">
        <v>6158</v>
      </c>
      <c r="J8" s="210" t="s">
        <v>6159</v>
      </c>
      <c r="K8" s="210" t="s">
        <v>6155</v>
      </c>
      <c r="L8" s="390" t="str">
        <f>IFERROR(__xludf.DUMMYFUNCTION("GOOGLETRANSLATE(D8,""zh-tw"",""en"")"),"-")</f>
        <v>-</v>
      </c>
      <c r="M8" s="209" t="str">
        <f>IFERROR(__xludf.DUMMYFUNCTION("GOOGLETRANSLATE(A8,""zh-tw"",""zh"")"),"急冻史莱姆")</f>
        <v>急冻史莱姆</v>
      </c>
      <c r="N8" s="210" t="str">
        <f>IFERROR(__xludf.DUMMYFUNCTION("GOOGLETRANSLATE(B8,""zh-tw"",""zh"")"),"史莱姆的黏液
魔力晶簇
雪见
霜月
寒冰杖")</f>
        <v>史莱姆的黏液
魔力晶簇
雪见
霜月
寒冰杖</v>
      </c>
      <c r="O8" s="210" t="s">
        <v>6155</v>
      </c>
      <c r="P8" s="390" t="str">
        <f>IFERROR(__xludf.DUMMYFUNCTION("GOOGLETRANSLATE(D8,""zh-tw"",""zh"")"),"-")</f>
        <v>-</v>
      </c>
      <c r="Q8" s="164" t="str">
        <f>IFERROR(__xludf.DUMMYFUNCTION("GOOGLETRANSLATE(A8,""zh-tw"",""es-MX"")"),"Limo congelado")</f>
        <v>Limo congelado</v>
      </c>
      <c r="R8" s="210" t="str">
        <f>IFERROR(__xludf.DUMMYFUNCTION("GOOGLETRANSLATE(B8,""zh-tw"",""es-MX"")"),"Limo Limo
Grupo de Cristales Mágicos
Visión Nevada
Luna Helada
Bastón de Hielo")</f>
        <v>Limo Limo
Grupo de Cristales Mágicos
Visión Nevada
Luna Helada
Bastón de Hielo</v>
      </c>
      <c r="S8" s="210" t="s">
        <v>6155</v>
      </c>
      <c r="T8" s="390" t="str">
        <f>IFERROR(__xludf.DUMMYFUNCTION("GOOGLETRANSLATE(D8,""zh-tw"",""es-MX"")"),"-")</f>
        <v>-</v>
      </c>
      <c r="U8" s="209" t="str">
        <f>IFERROR(__xludf.DUMMYFUNCTION("GOOGLETRANSLATE(A8,""zh-tw"",""KO"")"),"냉동 슬라임")</f>
        <v>냉동 슬라임</v>
      </c>
      <c r="V8" s="166" t="str">
        <f>IFERROR(__xludf.DUMMYFUNCTION("GOOGLETRANSLATE(B8,""zh-tw"",""KO"")"),"슬라임 슬라임
마법 수정 덩어리
눈 덮인 풍경
서리가 내린 달
얼음 지팡이")</f>
        <v>슬라임 슬라임
마법 수정 덩어리
눈 덮인 풍경
서리가 내린 달
얼음 지팡이</v>
      </c>
      <c r="W8" s="166" t="s">
        <v>6155</v>
      </c>
      <c r="X8" s="391" t="str">
        <f>IFERROR(__xludf.DUMMYFUNCTION("GOOGLETRANSLATE(D8,""zh-tw"",""KO"")"),"-")</f>
        <v>-</v>
      </c>
      <c r="Y8" s="164" t="s">
        <v>6160</v>
      </c>
      <c r="Z8" s="166" t="s">
        <v>6161</v>
      </c>
      <c r="AA8" s="166" t="s">
        <v>6155</v>
      </c>
      <c r="AB8" s="390" t="s">
        <v>1273</v>
      </c>
      <c r="AC8" s="209" t="s">
        <v>6162</v>
      </c>
      <c r="AD8" s="210" t="s">
        <v>6163</v>
      </c>
      <c r="AE8" s="210" t="s">
        <v>6155</v>
      </c>
      <c r="AF8" s="390" t="s">
        <v>6164</v>
      </c>
      <c r="AG8" s="198" t="s">
        <v>6165</v>
      </c>
      <c r="AH8" s="392" t="s">
        <v>6166</v>
      </c>
      <c r="AI8" s="392" t="s">
        <v>6155</v>
      </c>
      <c r="AJ8" s="393" t="s">
        <v>1273</v>
      </c>
      <c r="AK8" s="209" t="s">
        <v>6167</v>
      </c>
      <c r="AL8" s="177" t="s">
        <v>6168</v>
      </c>
      <c r="AM8" s="210" t="s">
        <v>6155</v>
      </c>
      <c r="AN8" s="390" t="s">
        <v>1273</v>
      </c>
      <c r="AO8" s="394" t="s">
        <v>6169</v>
      </c>
      <c r="AP8" s="214" t="s">
        <v>6170</v>
      </c>
      <c r="AQ8" s="214" t="s">
        <v>6155</v>
      </c>
      <c r="AR8" s="395" t="s">
        <v>1273</v>
      </c>
      <c r="AS8" s="394"/>
      <c r="AT8" s="214"/>
      <c r="AU8" s="214"/>
      <c r="AV8" s="395"/>
    </row>
    <row r="9" ht="41.25" customHeight="1">
      <c r="A9" s="164" t="s">
        <v>6171</v>
      </c>
      <c r="B9" s="166" t="s">
        <v>6172</v>
      </c>
      <c r="C9" s="166" t="s">
        <v>6173</v>
      </c>
      <c r="D9" s="391" t="s">
        <v>1273</v>
      </c>
      <c r="E9" s="176" t="s">
        <v>6174</v>
      </c>
      <c r="F9" s="210" t="s">
        <v>6175</v>
      </c>
      <c r="G9" s="166" t="s">
        <v>6173</v>
      </c>
      <c r="H9" s="391" t="s">
        <v>1273</v>
      </c>
      <c r="I9" s="164" t="s">
        <v>6176</v>
      </c>
      <c r="J9" s="210" t="s">
        <v>6177</v>
      </c>
      <c r="K9" s="210" t="s">
        <v>6173</v>
      </c>
      <c r="L9" s="390" t="str">
        <f>IFERROR(__xludf.DUMMYFUNCTION("GOOGLETRANSLATE(D9,""zh-tw"",""en"")"),"-")</f>
        <v>-</v>
      </c>
      <c r="M9" s="209" t="str">
        <f>IFERROR(__xludf.DUMMYFUNCTION("GOOGLETRANSLATE(A9,""zh-tw"",""zh"")"),"哔哩哔哩史莱姆")</f>
        <v>哔哩哔哩史莱姆</v>
      </c>
      <c r="N9" s="210" t="str">
        <f>IFERROR(__xludf.DUMMYFUNCTION("GOOGLETRANSLATE(B9,""zh-tw"",""zh"")"),"史莱姆的黏液
会漏电的不良品
千鸟")</f>
        <v>史莱姆的黏液
会漏电的不良品
千鸟</v>
      </c>
      <c r="O9" s="210" t="s">
        <v>6173</v>
      </c>
      <c r="P9" s="391" t="str">
        <f>IFERROR(__xludf.DUMMYFUNCTION("GOOGLETRANSLATE(D9,""zh-tw"",""zh"")"),"-")</f>
        <v>-</v>
      </c>
      <c r="Q9" s="164" t="str">
        <f>IFERROR(__xludf.DUMMYFUNCTION("GOOGLETRANSLATE(A9,""zh-tw"",""es-MX"")"),"Limo de Bilibili")</f>
        <v>Limo de Bilibili</v>
      </c>
      <c r="R9" s="210" t="str">
        <f>IFERROR(__xludf.DUMMYFUNCTION("GOOGLETRANSLATE(B9,""zh-tw"",""es-MX"")"),"El slime de Slime
Producto defectuoso que gotea electricidad
Chidori")</f>
        <v>El slime de Slime
Producto defectuoso que gotea electricidad
Chidori</v>
      </c>
      <c r="S9" s="210" t="s">
        <v>6173</v>
      </c>
      <c r="T9" s="390" t="str">
        <f>IFERROR(__xludf.DUMMYFUNCTION("GOOGLETRANSLATE(D9,""zh-tw"",""es-MX"")"),"-")</f>
        <v>-</v>
      </c>
      <c r="U9" s="209" t="str">
        <f>IFERROR(__xludf.DUMMYFUNCTION("GOOGLETRANSLATE(A9,""zh-tw"",""KO"")"),"빌리빌리 슬라임")</f>
        <v>빌리빌리 슬라임</v>
      </c>
      <c r="V9" s="166" t="str">
        <f>IFERROR(__xludf.DUMMYFUNCTION("GOOGLETRANSLATE(B9,""zh-tw"",""KO"")"),"슬라임의 슬라임
누전되는 불량품
치도리")</f>
        <v>슬라임의 슬라임
누전되는 불량품
치도리</v>
      </c>
      <c r="W9" s="166" t="s">
        <v>6173</v>
      </c>
      <c r="X9" s="391" t="str">
        <f>IFERROR(__xludf.DUMMYFUNCTION("GOOGLETRANSLATE(D9,""zh-tw"",""KO"")"),"-")</f>
        <v>-</v>
      </c>
      <c r="Y9" s="164" t="s">
        <v>6178</v>
      </c>
      <c r="Z9" s="166" t="s">
        <v>6179</v>
      </c>
      <c r="AA9" s="166" t="s">
        <v>6173</v>
      </c>
      <c r="AB9" s="390" t="s">
        <v>1273</v>
      </c>
      <c r="AC9" s="209" t="s">
        <v>6180</v>
      </c>
      <c r="AD9" s="210" t="s">
        <v>6181</v>
      </c>
      <c r="AE9" s="210" t="s">
        <v>6173</v>
      </c>
      <c r="AF9" s="390" t="s">
        <v>6182</v>
      </c>
      <c r="AG9" s="198" t="s">
        <v>6183</v>
      </c>
      <c r="AH9" s="392" t="s">
        <v>6184</v>
      </c>
      <c r="AI9" s="392" t="s">
        <v>6173</v>
      </c>
      <c r="AJ9" s="393" t="s">
        <v>1273</v>
      </c>
      <c r="AK9" s="209" t="s">
        <v>6185</v>
      </c>
      <c r="AL9" s="177" t="s">
        <v>6186</v>
      </c>
      <c r="AM9" s="210" t="s">
        <v>6173</v>
      </c>
      <c r="AN9" s="390" t="s">
        <v>1273</v>
      </c>
      <c r="AO9" s="394" t="s">
        <v>6187</v>
      </c>
      <c r="AP9" s="214" t="s">
        <v>6188</v>
      </c>
      <c r="AQ9" s="214" t="s">
        <v>6173</v>
      </c>
      <c r="AR9" s="395" t="s">
        <v>1273</v>
      </c>
      <c r="AS9" s="394"/>
      <c r="AT9" s="214"/>
      <c r="AU9" s="214"/>
      <c r="AV9" s="395"/>
    </row>
    <row r="10">
      <c r="A10" s="164" t="s">
        <v>6189</v>
      </c>
      <c r="B10" s="166" t="s">
        <v>6190</v>
      </c>
      <c r="C10" s="166" t="s">
        <v>6191</v>
      </c>
      <c r="D10" s="390" t="s">
        <v>1273</v>
      </c>
      <c r="E10" s="396" t="s">
        <v>6192</v>
      </c>
      <c r="F10" s="210" t="s">
        <v>6193</v>
      </c>
      <c r="G10" s="166" t="s">
        <v>6191</v>
      </c>
      <c r="H10" s="391" t="s">
        <v>1273</v>
      </c>
      <c r="I10" s="209" t="s">
        <v>6194</v>
      </c>
      <c r="J10" s="210" t="s">
        <v>6195</v>
      </c>
      <c r="K10" s="210" t="s">
        <v>6191</v>
      </c>
      <c r="L10" s="390" t="str">
        <f>IFERROR(__xludf.DUMMYFUNCTION("GOOGLETRANSLATE(D10,""zh-tw"",""en"")"),"-")</f>
        <v>-</v>
      </c>
      <c r="M10" s="209" t="str">
        <f>IFERROR(__xludf.DUMMYFUNCTION("GOOGLETRANSLATE(A10,""zh-tw"",""zh"")"),"角兔")</f>
        <v>角兔</v>
      </c>
      <c r="N10" s="210" t="str">
        <f>IFERROR(__xludf.DUMMYFUNCTION("GOOGLETRANSLATE(B10,""zh-tw"",""zh"")"),"小块兽肉")</f>
        <v>小块兽肉</v>
      </c>
      <c r="O10" s="210" t="s">
        <v>6191</v>
      </c>
      <c r="P10" s="391" t="str">
        <f>IFERROR(__xludf.DUMMYFUNCTION("GOOGLETRANSLATE(D10,""zh-tw"",""zh"")"),"-")</f>
        <v>-</v>
      </c>
      <c r="Q10" s="164" t="str">
        <f>IFERROR(__xludf.DUMMYFUNCTION("GOOGLETRANSLATE(A10,""zh-tw"",""es-MX"")"),"conejo con cuernos")</f>
        <v>conejo con cuernos</v>
      </c>
      <c r="R10" s="210" t="str">
        <f>IFERROR(__xludf.DUMMYFUNCTION("GOOGLETRANSLATE(B10,""zh-tw"",""es-MX"")"),"Pequeños trozos de carne")</f>
        <v>Pequeños trozos de carne</v>
      </c>
      <c r="S10" s="210" t="s">
        <v>6191</v>
      </c>
      <c r="T10" s="390" t="str">
        <f>IFERROR(__xludf.DUMMYFUNCTION("GOOGLETRANSLATE(D10,""zh-tw"",""es-MX"")"),"-")</f>
        <v>-</v>
      </c>
      <c r="U10" s="209" t="str">
        <f>IFERROR(__xludf.DUMMYFUNCTION("GOOGLETRANSLATE(A10,""zh-tw"",""KO"")"),"뿔토끼")</f>
        <v>뿔토끼</v>
      </c>
      <c r="V10" s="166" t="str">
        <f>IFERROR(__xludf.DUMMYFUNCTION("GOOGLETRANSLATE(B10,""zh-tw"",""KO"")"),"작은 고기 조각들")</f>
        <v>작은 고기 조각들</v>
      </c>
      <c r="W10" s="166" t="s">
        <v>6191</v>
      </c>
      <c r="X10" s="391" t="str">
        <f>IFERROR(__xludf.DUMMYFUNCTION("GOOGLETRANSLATE(D10,""zh-tw"",""KO"")"),"-")</f>
        <v>-</v>
      </c>
      <c r="Y10" s="164" t="s">
        <v>6196</v>
      </c>
      <c r="Z10" s="166" t="s">
        <v>6197</v>
      </c>
      <c r="AA10" s="166" t="s">
        <v>6191</v>
      </c>
      <c r="AB10" s="390" t="s">
        <v>1273</v>
      </c>
      <c r="AC10" s="209" t="s">
        <v>6198</v>
      </c>
      <c r="AD10" s="210" t="s">
        <v>6199</v>
      </c>
      <c r="AE10" s="210" t="s">
        <v>6191</v>
      </c>
      <c r="AF10" s="390" t="s">
        <v>1273</v>
      </c>
      <c r="AG10" s="198" t="s">
        <v>6200</v>
      </c>
      <c r="AH10" s="392" t="s">
        <v>6201</v>
      </c>
      <c r="AI10" s="392" t="s">
        <v>6191</v>
      </c>
      <c r="AJ10" s="393" t="s">
        <v>1273</v>
      </c>
      <c r="AK10" s="209" t="s">
        <v>6202</v>
      </c>
      <c r="AL10" s="210" t="s">
        <v>6203</v>
      </c>
      <c r="AM10" s="210" t="s">
        <v>6191</v>
      </c>
      <c r="AN10" s="390" t="s">
        <v>1273</v>
      </c>
      <c r="AO10" s="394" t="s">
        <v>6204</v>
      </c>
      <c r="AP10" s="214" t="s">
        <v>6205</v>
      </c>
      <c r="AQ10" s="214" t="s">
        <v>6191</v>
      </c>
      <c r="AR10" s="395" t="s">
        <v>1273</v>
      </c>
      <c r="AS10" s="394"/>
      <c r="AT10" s="214"/>
      <c r="AU10" s="214"/>
      <c r="AV10" s="395"/>
    </row>
    <row r="11">
      <c r="A11" s="164" t="s">
        <v>6206</v>
      </c>
      <c r="B11" s="166" t="s">
        <v>6207</v>
      </c>
      <c r="C11" s="177" t="s">
        <v>6208</v>
      </c>
      <c r="D11" s="391" t="s">
        <v>6209</v>
      </c>
      <c r="E11" s="164" t="s">
        <v>6210</v>
      </c>
      <c r="F11" s="210" t="s">
        <v>6211</v>
      </c>
      <c r="G11" s="177" t="s">
        <v>6208</v>
      </c>
      <c r="H11" s="397" t="s">
        <v>6212</v>
      </c>
      <c r="I11" s="209" t="s">
        <v>6213</v>
      </c>
      <c r="J11" s="210" t="s">
        <v>6214</v>
      </c>
      <c r="K11" s="177" t="s">
        <v>6208</v>
      </c>
      <c r="L11" s="390" t="s">
        <v>6215</v>
      </c>
      <c r="M11" s="209" t="str">
        <f>IFERROR(__xludf.DUMMYFUNCTION("GOOGLETRANSLATE(A11,""zh-tw"",""zh"")"),"鹿角兔")</f>
        <v>鹿角兔</v>
      </c>
      <c r="N11" s="210" t="str">
        <f>IFERROR(__xludf.DUMMYFUNCTION("GOOGLETRANSLATE(B11,""zh-tw"",""zh"")"),"小块兽肉
红色的角")</f>
        <v>小块兽肉
红色的角</v>
      </c>
      <c r="O11" s="177" t="s">
        <v>6208</v>
      </c>
      <c r="P11" s="391" t="str">
        <f>IFERROR(__xludf.DUMMYFUNCTION("GOOGLETRANSLATE(D11,""zh-tw"",""zh"")"),"击杀10只角兔/击杀红兽  可以解锁。
解锁鹿角兔后，每只刷新出来的角兔都有40%机率转换为鹿角兔")</f>
        <v>击杀10只角兔/击杀红兽  可以解锁。
解锁鹿角兔后，每只刷新出来的角兔都有40%机率转换为鹿角兔</v>
      </c>
      <c r="Q11" s="164" t="str">
        <f>IFERROR(__xludf.DUMMYFUNCTION("GOOGLETRANSLATE(A11,""zh-tw"",""es-MX"")"),"Conejo con cuernos de ciervo")</f>
        <v>Conejo con cuernos de ciervo</v>
      </c>
      <c r="R11" s="210" t="str">
        <f>IFERROR(__xludf.DUMMYFUNCTION("GOOGLETRANSLATE(B11,""zh-tw"",""es-MX"")"),"Pequeños trozos de carne; cuerno rojo")</f>
        <v>Pequeños trozos de carne; cuerno rojo</v>
      </c>
      <c r="S11" s="177" t="s">
        <v>6208</v>
      </c>
      <c r="T11" s="390" t="str">
        <f>IFERROR(__xludf.DUMMYFUNCTION("GOOGLETRANSLATE(D11,""zh-tw"",""es-MX"")"),"Matar 10 conejos cornudos o una bestia roja desbloquea esta función.
Tras desbloquear el conejo cornudo, cada conejo cornudo que aparezca tendrá un 40 % de probabilidad de transformarse en otro conejo cornudo.")</f>
        <v>Matar 10 conejos cornudos o una bestia roja desbloquea esta función.
Tras desbloquear el conejo cornudo, cada conejo cornudo que aparezca tendrá un 40 % de probabilidad de transformarse en otro conejo cornudo.</v>
      </c>
      <c r="U11" s="209" t="str">
        <f>IFERROR(__xludf.DUMMYFUNCTION("GOOGLETRANSLATE(A11,""zh-tw"",""KO"")"),"사슴뿔 토끼")</f>
        <v>사슴뿔 토끼</v>
      </c>
      <c r="V11" s="166" t="str">
        <f>IFERROR(__xludf.DUMMYFUNCTION("GOOGLETRANSLATE(B11,""zh-tw"",""KO"")"),"작은 고기 조각; 붉은 뿔")</f>
        <v>작은 고기 조각; 붉은 뿔</v>
      </c>
      <c r="W11" s="177" t="s">
        <v>6208</v>
      </c>
      <c r="X11" s="391" t="str">
        <f>IFERROR(__xludf.DUMMYFUNCTION("GOOGLETRANSLATE(D11,""zh-tw"",""KO"")"),"뿔토끼 10마리를 처치하거나 붉은 짐승을 처치하면 이 기능이 해금됩니다.
뿔토끼 기능이 해금된 후에는 생성되는 모든 뿔토끼가 40% 확률로 뿔토끼로 변태합니다.")</f>
        <v>뿔토끼 10마리를 처치하거나 붉은 짐승을 처치하면 이 기능이 해금됩니다.
뿔토끼 기능이 해금된 후에는 생성되는 모든 뿔토끼가 40% 확률로 뿔토끼로 변태합니다.</v>
      </c>
      <c r="Y11" s="164" t="s">
        <v>6216</v>
      </c>
      <c r="Z11" s="166" t="s">
        <v>6217</v>
      </c>
      <c r="AA11" s="166" t="s">
        <v>6208</v>
      </c>
      <c r="AB11" s="390" t="s">
        <v>6218</v>
      </c>
      <c r="AC11" s="209" t="str">
        <f>IFERROR(__xludf.DUMMYFUNCTION("GOOGLETRANSLATE(A11,""zh-tw"",""DE"")"),"Hirschgeweih Kaninchen")</f>
        <v>Hirschgeweih Kaninchen</v>
      </c>
      <c r="AD11" s="210" t="str">
        <f>IFERROR(__xludf.DUMMYFUNCTION("GOOGLETRANSLATE(B11,""zh-tw"",""DE"")"),"Kleine Fleischstücke; rotes Horn")</f>
        <v>Kleine Fleischstücke; rotes Horn</v>
      </c>
      <c r="AE11" s="177" t="s">
        <v>6208</v>
      </c>
      <c r="AF11" s="390" t="str">
        <f>IFERROR(__xludf.DUMMYFUNCTION("GOOGLETRANSLATE(D11,""zh-tw"",""DE"")"),"Das Töten von 10 gehörnten Kaninchen/einer roten Bestie schaltet diese Funktion frei.
Nachdem das gehörnte Kaninchen freigeschaltet wurde, besteht bei jedem erscheinenden gehörnten Kaninchen eine Chance von 40 %, sich in ein gehörntes Kaninchen zu verwan"&amp;"deln.")</f>
        <v>Das Töten von 10 gehörnten Kaninchen/einer roten Bestie schaltet diese Funktion frei.
Nachdem das gehörnte Kaninchen freigeschaltet wurde, besteht bei jedem erscheinenden gehörnten Kaninchen eine Chance von 40 %, sich in ein gehörntes Kaninchen zu verwandeln.</v>
      </c>
      <c r="AG11" s="147" t="s">
        <v>6219</v>
      </c>
      <c r="AH11" s="52" t="s">
        <v>6220</v>
      </c>
      <c r="AI11" s="52" t="s">
        <v>6208</v>
      </c>
      <c r="AJ11" s="393" t="s">
        <v>1273</v>
      </c>
      <c r="AK11" s="209" t="s">
        <v>6219</v>
      </c>
      <c r="AL11" s="210" t="s">
        <v>6221</v>
      </c>
      <c r="AM11" s="177" t="s">
        <v>6208</v>
      </c>
      <c r="AN11" s="390" t="s">
        <v>6222</v>
      </c>
      <c r="AO11" s="394" t="s">
        <v>6223</v>
      </c>
      <c r="AP11" s="214" t="s">
        <v>6224</v>
      </c>
      <c r="AQ11" s="214" t="s">
        <v>6208</v>
      </c>
      <c r="AR11" s="395" t="s">
        <v>6225</v>
      </c>
      <c r="AS11" s="394"/>
      <c r="AT11" s="214"/>
      <c r="AU11" s="214"/>
      <c r="AV11" s="395"/>
    </row>
    <row r="12">
      <c r="A12" s="164" t="s">
        <v>6226</v>
      </c>
      <c r="B12" s="166" t="s">
        <v>6227</v>
      </c>
      <c r="C12" s="177" t="s">
        <v>6228</v>
      </c>
      <c r="D12" s="391" t="s">
        <v>1273</v>
      </c>
      <c r="E12" s="164" t="s">
        <v>6229</v>
      </c>
      <c r="F12" s="210" t="s">
        <v>6230</v>
      </c>
      <c r="G12" s="177" t="s">
        <v>6231</v>
      </c>
      <c r="H12" s="391" t="s">
        <v>1273</v>
      </c>
      <c r="I12" s="209" t="s">
        <v>6232</v>
      </c>
      <c r="J12" s="210" t="s">
        <v>6233</v>
      </c>
      <c r="K12" s="177" t="s">
        <v>6228</v>
      </c>
      <c r="L12" s="390"/>
      <c r="M12" s="209" t="str">
        <f>IFERROR(__xludf.DUMMYFUNCTION("GOOGLETRANSLATE(A12,""zh-tw"",""zh"")"),"""Z""
(蟑螂)")</f>
        <v>"Z"
(蟑螂)</v>
      </c>
      <c r="N12" s="210" t="str">
        <f>IFERROR(__xludf.DUMMYFUNCTION("GOOGLETRANSLATE(B12,""zh-tw"",""zh"")"),"垃圾
阴暗爬行者的馈赠")</f>
        <v>垃圾
阴暗爬行者的馈赠</v>
      </c>
      <c r="O12" s="177" t="s">
        <v>6228</v>
      </c>
      <c r="P12" s="391" t="str">
        <f>IFERROR(__xludf.DUMMYFUNCTION("GOOGLETRANSLATE(D12,""zh-tw"",""zh"")"),"-")</f>
        <v>-</v>
      </c>
      <c r="Q12" s="164" t="str">
        <f>IFERROR(__xludf.DUMMYFUNCTION("GOOGLETRANSLATE(A12,""zh-tw"",""es-MX"")"),"""Z"" (cucaracha)")</f>
        <v>"Z" (cucaracha)</v>
      </c>
      <c r="R12" s="210" t="str">
        <f>IFERROR(__xludf.DUMMYFUNCTION("GOOGLETRANSLATE(B12,""zh-tw"",""es-MX"")"),"Basura; un regalo de los reptadores sombríos")</f>
        <v>Basura; un regalo de los reptadores sombríos</v>
      </c>
      <c r="S12" s="177" t="s">
        <v>6228</v>
      </c>
      <c r="T12" s="390" t="str">
        <f>IFERROR(__xludf.DUMMYFUNCTION("GOOGLETRANSLATE(D12,""zh-tw"",""es-MX"")"),"-")</f>
        <v>-</v>
      </c>
      <c r="U12" s="209" t="str">
        <f>IFERROR(__xludf.DUMMYFUNCTION("GOOGLETRANSLATE(A12,""zh-tw"",""KO"")"),"""Z""(바퀴벌레)")</f>
        <v>"Z"(바퀴벌레)</v>
      </c>
      <c r="V12" s="166" t="str">
        <f>IFERROR(__xludf.DUMMYFUNCTION("GOOGLETRANSLATE(B12,""zh-tw"",""KO"")"),"쓰레기; 그림자 같은 기어다니는 벌레들이 준 선물")</f>
        <v>쓰레기; 그림자 같은 기어다니는 벌레들이 준 선물</v>
      </c>
      <c r="W12" s="177" t="s">
        <v>6228</v>
      </c>
      <c r="X12" s="391" t="str">
        <f>IFERROR(__xludf.DUMMYFUNCTION("GOOGLETRANSLATE(D12,""zh-tw"",""KO"")"),"-")</f>
        <v>-</v>
      </c>
      <c r="Y12" s="164" t="s">
        <v>6234</v>
      </c>
      <c r="Z12" s="166" t="s">
        <v>6235</v>
      </c>
      <c r="AA12" s="166" t="s">
        <v>6228</v>
      </c>
      <c r="AB12" s="390" t="s">
        <v>1273</v>
      </c>
      <c r="AC12" s="209" t="str">
        <f>IFERROR(__xludf.DUMMYFUNCTION("GOOGLETRANSLATE(A12,""zh-tw"",""DE"")"),"""Z"" (Kakerlake)")</f>
        <v>"Z" (Kakerlake)</v>
      </c>
      <c r="AD12" s="177" t="s">
        <v>6236</v>
      </c>
      <c r="AE12" s="177" t="s">
        <v>6228</v>
      </c>
      <c r="AF12" s="390" t="str">
        <f>IFERROR(__xludf.DUMMYFUNCTION("GOOGLETRANSLATE(D12,""zh-tw"",""DE"")"),"-")</f>
        <v>-</v>
      </c>
      <c r="AG12" s="198" t="s">
        <v>6237</v>
      </c>
      <c r="AH12" s="52" t="s">
        <v>6238</v>
      </c>
      <c r="AI12" s="52" t="s">
        <v>6228</v>
      </c>
      <c r="AJ12" s="393" t="s">
        <v>1273</v>
      </c>
      <c r="AK12" s="209" t="s">
        <v>6239</v>
      </c>
      <c r="AL12" s="210" t="s">
        <v>6240</v>
      </c>
      <c r="AM12" s="177" t="s">
        <v>6228</v>
      </c>
      <c r="AN12" s="390" t="s">
        <v>1273</v>
      </c>
      <c r="AO12" s="394" t="s">
        <v>6241</v>
      </c>
      <c r="AP12" s="214" t="s">
        <v>6242</v>
      </c>
      <c r="AQ12" s="214" t="s">
        <v>6228</v>
      </c>
      <c r="AR12" s="398" t="s">
        <v>1273</v>
      </c>
      <c r="AS12" s="394"/>
      <c r="AT12" s="214"/>
      <c r="AU12" s="214"/>
      <c r="AV12" s="398"/>
    </row>
    <row r="13">
      <c r="A13" s="386" t="s">
        <v>6243</v>
      </c>
      <c r="E13" s="386" t="str">
        <f>IFERROR(__xludf.DUMMYFUNCTION("GOOGLETRANSLATE(A13,""zh-tw"",""ja"")"),"水中で関連")</f>
        <v>水中で関連</v>
      </c>
      <c r="I13" s="387" t="s">
        <v>6244</v>
      </c>
      <c r="M13" s="387" t="str">
        <f>IFERROR(__xludf.DUMMYFUNCTION("GOOGLETRANSLATE(A13,""zh-tw"",""zh"")"),"水中相关")</f>
        <v>水中相关</v>
      </c>
      <c r="Q13" s="387" t="str">
        <f>IFERROR(__xludf.DUMMYFUNCTION("GOOGLETRANSLATE(A13,""zh-tw"",""es-MX"")"),"Relacionado en el agua")</f>
        <v>Relacionado en el agua</v>
      </c>
      <c r="U13" s="387" t="str">
        <f>IFERROR(__xludf.DUMMYFUNCTION("GOOGLETRANSLATE(A13,""zh-tw"",""KO"")"),"물과 관련된")</f>
        <v>물과 관련된</v>
      </c>
      <c r="Y13" s="386" t="s">
        <v>6245</v>
      </c>
      <c r="AC13" s="387" t="str">
        <f>IFERROR(__xludf.DUMMYFUNCTION("GOOGLETRANSLATE(A12,""zh-tw"",""DE"")"),"""Z"" (Kakerlake)")</f>
        <v>"Z" (Kakerlake)</v>
      </c>
      <c r="AG13" s="389" t="s">
        <v>6246</v>
      </c>
      <c r="AK13" s="387" t="s">
        <v>6247</v>
      </c>
      <c r="AO13" s="399" t="s">
        <v>6248</v>
      </c>
      <c r="AS13" s="399"/>
    </row>
    <row r="14">
      <c r="A14" s="133" t="s">
        <v>6249</v>
      </c>
      <c r="B14" s="177" t="s">
        <v>6250</v>
      </c>
      <c r="C14" s="177" t="s">
        <v>6251</v>
      </c>
      <c r="D14" s="391" t="s">
        <v>6252</v>
      </c>
      <c r="E14" s="164" t="s">
        <v>6253</v>
      </c>
      <c r="F14" s="177" t="s">
        <v>6254</v>
      </c>
      <c r="G14" s="177" t="s">
        <v>6251</v>
      </c>
      <c r="H14" s="391" t="s">
        <v>6255</v>
      </c>
      <c r="I14" s="400" t="s">
        <v>6256</v>
      </c>
      <c r="J14" s="177" t="s">
        <v>6257</v>
      </c>
      <c r="K14" s="210" t="s">
        <v>6258</v>
      </c>
      <c r="L14" s="390" t="s">
        <v>6259</v>
      </c>
      <c r="M14" s="209" t="str">
        <f>IFERROR(__xludf.DUMMYFUNCTION("GOOGLETRANSLATE(A14,""zh-tw"",""zh"")"),"神秘的小气泡
(水面)")</f>
        <v>神秘的小气泡
(水面)</v>
      </c>
      <c r="N14" s="210" t="str">
        <f>IFERROR(__xludf.DUMMYFUNCTION("GOOGLETRANSLATE(B14,""zh-tw"",""zh"")"),"金枪鱼
条石鲷
秋刀鱼
石斑鱼
鲷鱼
章鱼触手
甜虾
大龙虾
毛蟹
鲑鱼
帝王鲑
巨大蟹钳
绿龟壳
◉▽◉(蓝色)
X△X")</f>
        <v>金枪鱼
条石鲷
秋刀鱼
石斑鱼
鲷鱼
章鱼触手
甜虾
大龙虾
毛蟹
鲑鱼
帝王鲑
巨大蟹钳
绿龟壳
◉▽◉(蓝色)
X△X</v>
      </c>
      <c r="O14" s="210" t="s">
        <v>6258</v>
      </c>
      <c r="P14" s="391" t="str">
        <f>IFERROR(__xludf.DUMMYFUNCTION("GOOGLETRANSLATE(D14,""zh-tw"",""zh"")"),"使用炸弹炸水面
(最多三组掉落物)
(有机率出现敌方生物、河之主BOSS)")</f>
        <v>使用炸弹炸水面
(最多三组掉落物)
(有机率出现敌方生物、河之主BOSS)</v>
      </c>
      <c r="Q14" s="164" t="str">
        <f>IFERROR(__xludf.DUMMYFUNCTION("GOOGLETRANSLATE(A14,""zh-tw"",""es-MX"")"),"Misteriosas burbujitas diminutas
(en la superficie del agua)")</f>
        <v>Misteriosas burbujitas diminutas
(en la superficie del agua)</v>
      </c>
      <c r="R14" s="210" t="str">
        <f>IFERROR(__xludf.DUMMYFUNCTION("GOOGLETRANSLATE(B14,""zh-tw"",""es-MX"")"),"Atún
Pargo rayado
Saury
Mero
Dorada
Tentáculos de pulpo
Camarones dulces
Langosta
Cangrejo peludo
Salmón
Salmón real
Pinza de cangrejo gigante
Caparazón de tortuga verde
◉▽◉(Azul) X△X")</f>
        <v>Atún
Pargo rayado
Saury
Mero
Dorada
Tentáculos de pulpo
Camarones dulces
Langosta
Cangrejo peludo
Salmón
Salmón real
Pinza de cangrejo gigante
Caparazón de tortuga verde
◉▽◉(Azul) X△X</v>
      </c>
      <c r="S14" s="210" t="s">
        <v>6258</v>
      </c>
      <c r="T14" s="390" t="str">
        <f>IFERROR(__xludf.DUMMYFUNCTION("GOOGLETRANSLATE(D14,""zh-tw"",""es-MX"")"),"Usa bombas para volar la superficie del agua.
(Máximo tres conjuntos de botín)
(Posibilidad de encontrar criaturas enemigas o al jefe Señor del Río)")</f>
        <v>Usa bombas para volar la superficie del agua.
(Máximo tres conjuntos de botín)
(Posibilidad de encontrar criaturas enemigas o al jefe Señor del Río)</v>
      </c>
      <c r="U14" s="209" t="str">
        <f>IFERROR(__xludf.DUMMYFUNCTION("GOOGLETRANSLATE(A14,""zh-tw"",""KO"")"),"신비로운 작은 기포들
(물 표면에 떠 있는)")</f>
        <v>신비로운 작은 기포들
(물 표면에 떠 있는)</v>
      </c>
      <c r="V14" s="166" t="str">
        <f>IFERROR(__xludf.DUMMYFUNCTION("GOOGLETRANSLATE(B14,""zh-tw"",""KO"")"),"참치
줄무늬 쏨뱅이
꽁치
능성어
도미
문어 다리
단새우
랍스터
털게
연어
왕연어
대게 집게발
푸른바다거북 등껍질
◉▽◉(파란색) X△X")</f>
        <v>참치
줄무늬 쏨뱅이
꽁치
능성어
도미
문어 다리
단새우
랍스터
털게
연어
왕연어
대게 집게발
푸른바다거북 등껍질
◉▽◉(파란색) X△X</v>
      </c>
      <c r="W14" s="166" t="s">
        <v>6258</v>
      </c>
      <c r="X14" s="391" t="str">
        <f>IFERROR(__xludf.DUMMYFUNCTION("GOOGLETRANSLATE(D14,""zh-tw"",""KO"")"),"폭탄을 사용하여 수면을 폭파하세요.
(최대 3세트의 전리품 획득 가능)
(적 몬스터 또는 리버 로드 보스를 만날 확률이 있습니다.)")</f>
        <v>폭탄을 사용하여 수면을 폭파하세요.
(최대 3세트의 전리품 획득 가능)
(적 몬스터 또는 리버 로드 보스를 만날 확률이 있습니다.)</v>
      </c>
      <c r="Y14" s="164" t="s">
        <v>6260</v>
      </c>
      <c r="Z14" s="166" t="s">
        <v>6261</v>
      </c>
      <c r="AA14" s="166" t="s">
        <v>6258</v>
      </c>
      <c r="AB14" s="390" t="s">
        <v>6262</v>
      </c>
      <c r="AC14" s="209" t="s">
        <v>6263</v>
      </c>
      <c r="AD14" s="177" t="s">
        <v>6264</v>
      </c>
      <c r="AE14" s="210" t="s">
        <v>6258</v>
      </c>
      <c r="AF14" s="390" t="s">
        <v>6265</v>
      </c>
      <c r="AG14" s="401" t="s">
        <v>6266</v>
      </c>
      <c r="AH14" s="52" t="s">
        <v>6267</v>
      </c>
      <c r="AI14" s="392" t="s">
        <v>6258</v>
      </c>
      <c r="AJ14" s="393" t="s">
        <v>6268</v>
      </c>
      <c r="AK14" s="219" t="s">
        <v>6269</v>
      </c>
      <c r="AL14" s="177" t="s">
        <v>6270</v>
      </c>
      <c r="AM14" s="210" t="s">
        <v>6258</v>
      </c>
      <c r="AN14" s="390" t="s">
        <v>6271</v>
      </c>
      <c r="AO14" s="394" t="s">
        <v>6272</v>
      </c>
      <c r="AP14" s="214" t="s">
        <v>6273</v>
      </c>
      <c r="AQ14" s="214" t="s">
        <v>6274</v>
      </c>
      <c r="AR14" s="395" t="s">
        <v>6275</v>
      </c>
      <c r="AS14" s="394"/>
      <c r="AT14" s="214"/>
      <c r="AU14" s="214"/>
      <c r="AV14" s="395"/>
    </row>
    <row r="15">
      <c r="A15" s="133" t="s">
        <v>6276</v>
      </c>
      <c r="B15" s="177" t="s">
        <v>6277</v>
      </c>
      <c r="C15" s="166" t="s">
        <v>6278</v>
      </c>
      <c r="D15" s="391" t="s">
        <v>6279</v>
      </c>
      <c r="E15" s="164" t="s">
        <v>6280</v>
      </c>
      <c r="F15" s="177" t="s">
        <v>6281</v>
      </c>
      <c r="G15" s="166" t="s">
        <v>6278</v>
      </c>
      <c r="H15" s="391" t="s">
        <v>6282</v>
      </c>
      <c r="I15" s="400" t="s">
        <v>6283</v>
      </c>
      <c r="J15" s="177" t="s">
        <v>6284</v>
      </c>
      <c r="K15" s="210" t="s">
        <v>6278</v>
      </c>
      <c r="L15" s="390" t="s">
        <v>6285</v>
      </c>
      <c r="M15" s="209" t="str">
        <f>IFERROR(__xludf.DUMMYFUNCTION("GOOGLETRANSLATE(A15,""zh-tw"",""zh"")"),"神秘的大气泡
(水面)")</f>
        <v>神秘的大气泡
(水面)</v>
      </c>
      <c r="N15" s="210" t="str">
        <f>IFERROR(__xludf.DUMMYFUNCTION("GOOGLETRANSLATE(B15,""zh-tw"",""zh"")"),"随机鱼类
垃圾
随机符文
绿龟壳
巨大蟹钳
◉▽◉(蓝色)
X△X")</f>
        <v>随机鱼类
垃圾
随机符文
绿龟壳
巨大蟹钳
◉▽◉(蓝色)
X△X</v>
      </c>
      <c r="O15" s="210" t="s">
        <v>6278</v>
      </c>
      <c r="P15" s="391" t="str">
        <f>IFERROR(__xludf.DUMMYFUNCTION("GOOGLETRANSLATE(D15,""zh-tw"",""zh"")"),"使用炸弹炸水面
(最多一组掉落物)
(目前无敌方生物、无BOSS)")</f>
        <v>使用炸弹炸水面
(最多一组掉落物)
(目前无敌方生物、无BOSS)</v>
      </c>
      <c r="Q15" s="164" t="str">
        <f>IFERROR(__xludf.DUMMYFUNCTION("GOOGLETRANSLATE(A15,""zh-tw"",""es-MX"")"),"Misteriosas burbujas gigantes
(en la superficie del agua)")</f>
        <v>Misteriosas burbujas gigantes
(en la superficie del agua)</v>
      </c>
      <c r="R15" s="210" t="str">
        <f>IFERROR(__xludf.DUMMYFUNCTION("GOOGLETRANSLATE(B15,""zh-tw"",""es-MX"")"),"Peces aleatorios
Basura
Runas aleatorias
Caparazón de tortuga verde
Pinza de cangrejo gigante
◉▽◉(Azul)
X△X")</f>
        <v>Peces aleatorios
Basura
Runas aleatorias
Caparazón de tortuga verde
Pinza de cangrejo gigante
◉▽◉(Azul)
X△X</v>
      </c>
      <c r="S15" s="210" t="s">
        <v>6278</v>
      </c>
      <c r="T15" s="390" t="str">
        <f>IFERROR(__xludf.DUMMYFUNCTION("GOOGLETRANSLATE(D15,""zh-tw"",""es-MX"")"),"Usa bombas para volar la superficie del agua.
(Máximo un conjunto de botín)
(Actualmente no hay criaturas enemigas ni jefes)")</f>
        <v>Usa bombas para volar la superficie del agua.
(Máximo un conjunto de botín)
(Actualmente no hay criaturas enemigas ni jefes)</v>
      </c>
      <c r="U15" s="209" t="str">
        <f>IFERROR(__xludf.DUMMYFUNCTION("GOOGLETRANSLATE(A15,""zh-tw"",""KO"")"),"정체를 알 수 없는 거대한 거품들
(수면 위에)")</f>
        <v>정체를 알 수 없는 거대한 거품들
(수면 위에)</v>
      </c>
      <c r="V15" s="166" t="str">
        <f>IFERROR(__xludf.DUMMYFUNCTION("GOOGLETRANSLATE(B15,""zh-tw"",""KO"")"),"랜덤 물고기
잡동사니
랜덤 룬
초록 거북 등껍질
거대 게 발톱
◉▽◉(파란색)
X△X")</f>
        <v>랜덤 물고기
잡동사니
랜덤 룬
초록 거북 등껍질
거대 게 발톱
◉▽◉(파란색)
X△X</v>
      </c>
      <c r="W15" s="166" t="s">
        <v>6278</v>
      </c>
      <c r="X15" s="391" t="str">
        <f>IFERROR(__xludf.DUMMYFUNCTION("GOOGLETRANSLATE(D15,""zh-tw"",""KO"")"),"폭탄을 사용하여 수면을 폭파하세요.
(최대 1세트의 전리품 획득 가능)
(현재 적이나 보스 몬스터는 없습니다.)")</f>
        <v>폭탄을 사용하여 수면을 폭파하세요.
(최대 1세트의 전리품 획득 가능)
(현재 적이나 보스 몬스터는 없습니다.)</v>
      </c>
      <c r="Y15" s="164" t="s">
        <v>6286</v>
      </c>
      <c r="Z15" s="166" t="s">
        <v>6287</v>
      </c>
      <c r="AA15" s="166" t="s">
        <v>6278</v>
      </c>
      <c r="AB15" s="390" t="s">
        <v>6288</v>
      </c>
      <c r="AC15" s="209" t="s">
        <v>6289</v>
      </c>
      <c r="AD15" s="177" t="s">
        <v>6290</v>
      </c>
      <c r="AE15" s="210" t="s">
        <v>6278</v>
      </c>
      <c r="AF15" s="390" t="s">
        <v>6291</v>
      </c>
      <c r="AG15" s="401" t="s">
        <v>6292</v>
      </c>
      <c r="AH15" s="52" t="s">
        <v>6293</v>
      </c>
      <c r="AI15" s="392" t="s">
        <v>6278</v>
      </c>
      <c r="AJ15" s="393" t="s">
        <v>6294</v>
      </c>
      <c r="AK15" s="219" t="s">
        <v>6295</v>
      </c>
      <c r="AL15" s="177" t="s">
        <v>6296</v>
      </c>
      <c r="AM15" s="210" t="s">
        <v>6278</v>
      </c>
      <c r="AN15" s="390" t="s">
        <v>6297</v>
      </c>
      <c r="AO15" s="394" t="s">
        <v>6298</v>
      </c>
      <c r="AP15" s="214" t="s">
        <v>6299</v>
      </c>
      <c r="AQ15" s="214" t="s">
        <v>6278</v>
      </c>
      <c r="AR15" s="395" t="s">
        <v>6300</v>
      </c>
      <c r="AS15" s="394"/>
      <c r="AT15" s="214"/>
      <c r="AU15" s="214"/>
      <c r="AV15" s="395"/>
    </row>
    <row r="16">
      <c r="A16" s="164" t="s">
        <v>6301</v>
      </c>
      <c r="B16" s="166" t="s">
        <v>6302</v>
      </c>
      <c r="C16" s="166" t="s">
        <v>6303</v>
      </c>
      <c r="D16" s="391" t="s">
        <v>6304</v>
      </c>
      <c r="E16" s="209" t="s">
        <v>6301</v>
      </c>
      <c r="F16" s="210" t="s">
        <v>6305</v>
      </c>
      <c r="G16" s="166" t="s">
        <v>6303</v>
      </c>
      <c r="H16" s="391" t="s">
        <v>6306</v>
      </c>
      <c r="I16" s="209" t="s">
        <v>6307</v>
      </c>
      <c r="J16" s="210" t="s">
        <v>6308</v>
      </c>
      <c r="K16" s="210" t="s">
        <v>6303</v>
      </c>
      <c r="L16" s="390" t="s">
        <v>6309</v>
      </c>
      <c r="M16" s="209" t="str">
        <f>IFERROR(__xludf.DUMMYFUNCTION("GOOGLETRANSLATE(A16,""zh-tw"",""zh"")"),"鱼影
(水面)")</f>
        <v>鱼影
(水面)</v>
      </c>
      <c r="N16" s="210" t="str">
        <f>IFERROR(__xludf.DUMMYFUNCTION("GOOGLETRANSLATE(B16,""zh-tw"",""zh"")"),"金枪鱼
条石鲷
秋刀鱼
鲷鱼
鲑鱼
帝王鲑")</f>
        <v>金枪鱼
条石鲷
秋刀鱼
鲷鱼
鲑鱼
帝王鲑</v>
      </c>
      <c r="O16" s="210" t="s">
        <v>6303</v>
      </c>
      <c r="P16" s="391" t="str">
        <f>IFERROR(__xludf.DUMMYFUNCTION("GOOGLETRANSLATE(D16,""zh-tw"",""zh"")"),"使用攻击或者触碰捕捉
(仅掉落食材)")</f>
        <v>使用攻击或者触碰捕捉
(仅掉落食材)</v>
      </c>
      <c r="Q16" s="164" t="str">
        <f>IFERROR(__xludf.DUMMYFUNCTION("GOOGLETRANSLATE(A16,""zh-tw"",""es-MX"")"),"Sombras de peces (en la superficie del agua)")</f>
        <v>Sombras de peces (en la superficie del agua)</v>
      </c>
      <c r="R16" s="210" t="str">
        <f>IFERROR(__xludf.DUMMYFUNCTION("GOOGLETRANSLATE(B16,""zh-tw"",""es-MX"")"),"Atún, dorada rayada, saury del Pacífico, dorada, salmón, salmón real")</f>
        <v>Atún, dorada rayada, saury del Pacífico, dorada, salmón, salmón real</v>
      </c>
      <c r="S16" s="210" t="s">
        <v>6303</v>
      </c>
      <c r="T16" s="390" t="str">
        <f>IFERROR(__xludf.DUMMYFUNCTION("GOOGLETRANSLATE(D16,""zh-tw"",""es-MX"")"),"Usa ataques o el tacto para capturar (solo caerán los ingredientes).")</f>
        <v>Usa ataques o el tacto para capturar (solo caerán los ingredientes).</v>
      </c>
      <c r="U16" s="209" t="str">
        <f>IFERROR(__xludf.DUMMYFUNCTION("GOOGLETRANSLATE(A16,""zh-tw"",""KO"")"),"물 표면에 드리워진 물고기 그림자")</f>
        <v>물 표면에 드리워진 물고기 그림자</v>
      </c>
      <c r="V16" s="166" t="str">
        <f>IFERROR(__xludf.DUMMYFUNCTION("GOOGLETRANSLATE(B16,""zh-tw"",""KO"")"),"참치, 줄무늬볼락, 꽁치, 도미, 연어, 왕연어")</f>
        <v>참치, 줄무늬볼락, 꽁치, 도미, 연어, 왕연어</v>
      </c>
      <c r="W16" s="166" t="s">
        <v>6303</v>
      </c>
      <c r="X16" s="391" t="str">
        <f>IFERROR(__xludf.DUMMYFUNCTION("GOOGLETRANSLATE(D16,""zh-tw"",""KO"")"),"공격이나 접촉을 이용하여 재료를 포획하세요 (재료만 드롭됩니다).")</f>
        <v>공격이나 접촉을 이용하여 재료를 포획하세요 (재료만 드롭됩니다).</v>
      </c>
      <c r="Y16" s="164" t="s">
        <v>6310</v>
      </c>
      <c r="Z16" s="166" t="s">
        <v>6311</v>
      </c>
      <c r="AA16" s="166" t="s">
        <v>6303</v>
      </c>
      <c r="AB16" s="390" t="s">
        <v>6312</v>
      </c>
      <c r="AC16" s="209" t="s">
        <v>6313</v>
      </c>
      <c r="AD16" s="210" t="s">
        <v>6314</v>
      </c>
      <c r="AE16" s="210" t="s">
        <v>6303</v>
      </c>
      <c r="AF16" s="390" t="s">
        <v>6315</v>
      </c>
      <c r="AG16" s="198" t="s">
        <v>6316</v>
      </c>
      <c r="AH16" s="392" t="s">
        <v>6317</v>
      </c>
      <c r="AI16" s="392" t="s">
        <v>6303</v>
      </c>
      <c r="AJ16" s="393" t="s">
        <v>6318</v>
      </c>
      <c r="AK16" s="209" t="s">
        <v>6319</v>
      </c>
      <c r="AL16" s="210" t="s">
        <v>6320</v>
      </c>
      <c r="AM16" s="210" t="s">
        <v>6303</v>
      </c>
      <c r="AN16" s="390" t="s">
        <v>6321</v>
      </c>
      <c r="AO16" s="394" t="s">
        <v>6322</v>
      </c>
      <c r="AP16" s="214" t="s">
        <v>6323</v>
      </c>
      <c r="AQ16" s="214" t="s">
        <v>6303</v>
      </c>
      <c r="AR16" s="395" t="s">
        <v>6324</v>
      </c>
      <c r="AS16" s="394"/>
      <c r="AT16" s="214"/>
      <c r="AU16" s="214"/>
      <c r="AV16" s="395"/>
    </row>
    <row r="17">
      <c r="A17" s="164" t="s">
        <v>6325</v>
      </c>
      <c r="B17" s="166" t="s">
        <v>6326</v>
      </c>
      <c r="C17" s="166" t="s">
        <v>6327</v>
      </c>
      <c r="D17" s="390" t="s">
        <v>1273</v>
      </c>
      <c r="E17" s="209" t="s">
        <v>6325</v>
      </c>
      <c r="F17" s="166" t="str">
        <f>IFERROR(__xludf.DUMMYFUNCTION("GOOGLETRANSLATE(B17,""zh-tw"",""ja"")"),"水の怪物スライム
魔法の水晶クラスター
潮汐の詩")</f>
        <v>水の怪物スライム
魔法の水晶クラスター
潮汐の詩</v>
      </c>
      <c r="G17" s="166" t="s">
        <v>6327</v>
      </c>
      <c r="H17" s="391" t="str">
        <f>IFERROR(__xludf.DUMMYFUNCTION("GOOGLETRANSLATE(D17,""zh-tw"",""ja"")"),"-")</f>
        <v>-</v>
      </c>
      <c r="I17" s="164" t="s">
        <v>6328</v>
      </c>
      <c r="J17" s="177" t="s">
        <v>6329</v>
      </c>
      <c r="K17" s="210" t="s">
        <v>6327</v>
      </c>
      <c r="L17" s="390" t="str">
        <f>IFERROR(__xludf.DUMMYFUNCTION("GOOGLETRANSLATE(D17,""zh-tw"",""en"")"),"-")</f>
        <v>-</v>
      </c>
      <c r="M17" s="209" t="str">
        <f>IFERROR(__xludf.DUMMYFUNCTION("GOOGLETRANSLATE(A17,""zh-tw"",""zh"")"),"水怪")</f>
        <v>水怪</v>
      </c>
      <c r="N17" s="210" t="str">
        <f>IFERROR(__xludf.DUMMYFUNCTION("GOOGLETRANSLATE(B17,""zh-tw"",""zh"")"),"水怪黏液
魔力晶簇
潮汐之诗")</f>
        <v>水怪黏液
魔力晶簇
潮汐之诗</v>
      </c>
      <c r="O17" s="210" t="s">
        <v>6327</v>
      </c>
      <c r="P17" s="391" t="str">
        <f>IFERROR(__xludf.DUMMYFUNCTION("GOOGLETRANSLATE(D17,""zh-tw"",""zh"")"),"-")</f>
        <v>-</v>
      </c>
      <c r="Q17" s="164" t="str">
        <f>IFERROR(__xludf.DUMMYFUNCTION("GOOGLETRANSLATE(A17,""zh-tw"",""es-MX"")"),"Monstruo de agua")</f>
        <v>Monstruo de agua</v>
      </c>
      <c r="R17" s="166" t="str">
        <f>IFERROR(__xludf.DUMMYFUNCTION("GOOGLETRANSLATE(B17,""zh-tw"",""es-MX"")"),"Monstruo acuático de limo
Grupo de cristales mágicos
Poema de las mareas")</f>
        <v>Monstruo acuático de limo
Grupo de cristales mágicos
Poema de las mareas</v>
      </c>
      <c r="S17" s="210" t="s">
        <v>6327</v>
      </c>
      <c r="T17" s="390" t="str">
        <f>IFERROR(__xludf.DUMMYFUNCTION("GOOGLETRANSLATE(D17,""zh-tw"",""es-MX"")"),"-")</f>
        <v>-</v>
      </c>
      <c r="U17" s="209" t="str">
        <f>IFERROR(__xludf.DUMMYFUNCTION("GOOGLETRANSLATE(A17,""zh-tw"",""KO"")"),"물 괴물")</f>
        <v>물 괴물</v>
      </c>
      <c r="V17" s="166" t="str">
        <f>IFERROR(__xludf.DUMMYFUNCTION("GOOGLETRANSLATE(B17,""zh-tw"",""KO"")"),"물 괴물 슬라임
마법 수정 덩어리
조수 시")</f>
        <v>물 괴물 슬라임
마법 수정 덩어리
조수 시</v>
      </c>
      <c r="W17" s="166" t="s">
        <v>6327</v>
      </c>
      <c r="X17" s="391" t="str">
        <f>IFERROR(__xludf.DUMMYFUNCTION("GOOGLETRANSLATE(D17,""zh-tw"",""KO"")"),"-")</f>
        <v>-</v>
      </c>
      <c r="Y17" s="164" t="s">
        <v>6330</v>
      </c>
      <c r="Z17" s="166" t="s">
        <v>6331</v>
      </c>
      <c r="AA17" s="166" t="s">
        <v>6327</v>
      </c>
      <c r="AB17" s="390" t="s">
        <v>1273</v>
      </c>
      <c r="AC17" s="209" t="s">
        <v>6332</v>
      </c>
      <c r="AD17" s="210" t="s">
        <v>6333</v>
      </c>
      <c r="AE17" s="210" t="s">
        <v>6327</v>
      </c>
      <c r="AF17" s="397" t="s">
        <v>6334</v>
      </c>
      <c r="AG17" s="147" t="s">
        <v>6335</v>
      </c>
      <c r="AH17" s="52" t="s">
        <v>6336</v>
      </c>
      <c r="AI17" s="392" t="s">
        <v>6327</v>
      </c>
      <c r="AJ17" s="393" t="s">
        <v>1273</v>
      </c>
      <c r="AK17" s="209" t="s">
        <v>6328</v>
      </c>
      <c r="AL17" s="210" t="s">
        <v>6337</v>
      </c>
      <c r="AM17" s="210" t="s">
        <v>6327</v>
      </c>
      <c r="AN17" s="390" t="s">
        <v>1273</v>
      </c>
      <c r="AO17" s="394" t="s">
        <v>6328</v>
      </c>
      <c r="AP17" s="214" t="s">
        <v>6338</v>
      </c>
      <c r="AQ17" s="214" t="s">
        <v>6327</v>
      </c>
      <c r="AR17" s="395" t="s">
        <v>1273</v>
      </c>
      <c r="AS17" s="394"/>
      <c r="AT17" s="214"/>
      <c r="AU17" s="214"/>
      <c r="AV17" s="395"/>
    </row>
    <row r="18">
      <c r="A18" s="164" t="s">
        <v>6339</v>
      </c>
      <c r="B18" s="166" t="s">
        <v>6340</v>
      </c>
      <c r="C18" s="166">
        <v>100.0</v>
      </c>
      <c r="D18" s="391" t="s">
        <v>6341</v>
      </c>
      <c r="E18" s="209" t="s">
        <v>6342</v>
      </c>
      <c r="F18" s="166" t="s">
        <v>6343</v>
      </c>
      <c r="G18" s="166">
        <v>100.0</v>
      </c>
      <c r="H18" s="391" t="s">
        <v>6344</v>
      </c>
      <c r="I18" s="164" t="s">
        <v>6345</v>
      </c>
      <c r="J18" s="210" t="s">
        <v>6346</v>
      </c>
      <c r="K18" s="210">
        <v>100.0</v>
      </c>
      <c r="L18" s="390" t="s">
        <v>6347</v>
      </c>
      <c r="M18" s="209" t="str">
        <f>IFERROR(__xludf.DUMMYFUNCTION("GOOGLETRANSLATE(A18,""zh-tw"",""zh"")"),"萨卡班甲鱼(小)")</f>
        <v>萨卡班甲鱼(小)</v>
      </c>
      <c r="N18" s="210" t="str">
        <f>IFERROR(__xludf.DUMMYFUNCTION("GOOGLETRANSLATE(B18,""zh-tw"",""zh"")"),"◉▽◉(蓝色)")</f>
        <v>◉▽◉(蓝色)</v>
      </c>
      <c r="O18" s="210">
        <v>100.0</v>
      </c>
      <c r="P18" s="391" t="str">
        <f>IFERROR(__xludf.DUMMYFUNCTION("GOOGLETRANSLATE(D18,""zh-tw"",""zh"")"),"使用炸弹炸水面")</f>
        <v>使用炸弹炸水面</v>
      </c>
      <c r="Q18" s="209" t="str">
        <f>IFERROR(__xludf.DUMMYFUNCTION("GOOGLETRANSLATE(A18,""zh-tw"",""es-MX"")"),"Tortuga sakaban (pequeña)")</f>
        <v>Tortuga sakaban (pequeña)</v>
      </c>
      <c r="R18" s="166" t="str">
        <f>IFERROR(__xludf.DUMMYFUNCTION("GOOGLETRANSLATE(B18,""zh-tw"",""es-MX"")"),"◉▽◉ (Azul)")</f>
        <v>◉▽◉ (Azul)</v>
      </c>
      <c r="S18" s="210">
        <v>100.0</v>
      </c>
      <c r="T18" s="390" t="str">
        <f>IFERROR(__xludf.DUMMYFUNCTION("GOOGLETRANSLATE(D18,""zh-tw"",""es-MX"")"),"Utiliza bombas para volar la superficie del agua.")</f>
        <v>Utiliza bombas para volar la superficie del agua.</v>
      </c>
      <c r="U18" s="209" t="str">
        <f>IFERROR(__xludf.DUMMYFUNCTION("GOOGLETRANSLATE(A18,""zh-tw"",""KO"")"),"사카반 거북 (소형)")</f>
        <v>사카반 거북 (소형)</v>
      </c>
      <c r="V18" s="166" t="str">
        <f>IFERROR(__xludf.DUMMYFUNCTION("GOOGLETRANSLATE(B18,""zh-tw"",""KO"")"),"◉▽◉ (파란색)")</f>
        <v>◉▽◉ (파란색)</v>
      </c>
      <c r="W18" s="166">
        <v>100.0</v>
      </c>
      <c r="X18" s="391" t="str">
        <f>IFERROR(__xludf.DUMMYFUNCTION("GOOGLETRANSLATE(D18,""zh-tw"",""KO"")"),"폭탄을 사용하여 수면을 폭파시키세요")</f>
        <v>폭탄을 사용하여 수면을 폭파시키세요</v>
      </c>
      <c r="Y18" s="164" t="s">
        <v>6348</v>
      </c>
      <c r="Z18" s="166" t="s">
        <v>6349</v>
      </c>
      <c r="AA18" s="166">
        <v>100.0</v>
      </c>
      <c r="AB18" s="390" t="s">
        <v>6350</v>
      </c>
      <c r="AC18" s="209" t="s">
        <v>6351</v>
      </c>
      <c r="AD18" s="210" t="s">
        <v>6352</v>
      </c>
      <c r="AE18" s="210">
        <v>100.0</v>
      </c>
      <c r="AF18" s="390" t="s">
        <v>6353</v>
      </c>
      <c r="AG18" s="198" t="s">
        <v>6354</v>
      </c>
      <c r="AH18" s="392" t="s">
        <v>6355</v>
      </c>
      <c r="AI18" s="392">
        <v>100.0</v>
      </c>
      <c r="AJ18" s="393" t="s">
        <v>6356</v>
      </c>
      <c r="AK18" s="209" t="s">
        <v>6357</v>
      </c>
      <c r="AL18" s="210" t="s">
        <v>6358</v>
      </c>
      <c r="AM18" s="210">
        <v>100.0</v>
      </c>
      <c r="AN18" s="390" t="s">
        <v>6359</v>
      </c>
      <c r="AO18" s="394" t="s">
        <v>6360</v>
      </c>
      <c r="AP18" s="214" t="s">
        <v>6361</v>
      </c>
      <c r="AQ18" s="214" t="s">
        <v>6362</v>
      </c>
      <c r="AR18" s="395" t="s">
        <v>6363</v>
      </c>
      <c r="AS18" s="394"/>
      <c r="AT18" s="214"/>
      <c r="AU18" s="214"/>
      <c r="AV18" s="395"/>
    </row>
    <row r="19">
      <c r="A19" s="164" t="s">
        <v>6364</v>
      </c>
      <c r="B19" s="166" t="s">
        <v>6365</v>
      </c>
      <c r="C19" s="166">
        <v>100.0</v>
      </c>
      <c r="D19" s="391" t="s">
        <v>6341</v>
      </c>
      <c r="E19" s="209" t="s">
        <v>6366</v>
      </c>
      <c r="F19" s="166" t="s">
        <v>6367</v>
      </c>
      <c r="G19" s="166">
        <v>100.0</v>
      </c>
      <c r="H19" s="391" t="s">
        <v>6344</v>
      </c>
      <c r="I19" s="164" t="s">
        <v>6368</v>
      </c>
      <c r="J19" s="210" t="s">
        <v>6369</v>
      </c>
      <c r="K19" s="210">
        <v>100.0</v>
      </c>
      <c r="L19" s="390" t="s">
        <v>6347</v>
      </c>
      <c r="M19" s="209" t="str">
        <f>IFERROR(__xludf.DUMMYFUNCTION("GOOGLETRANSLATE(A19,""zh-tw"",""zh"")"),"萨卡班甲鱼(大)")</f>
        <v>萨卡班甲鱼(大)</v>
      </c>
      <c r="N19" s="210" t="str">
        <f>IFERROR(__xludf.DUMMYFUNCTION("GOOGLETRANSLATE(B19,""zh-tw"",""zh"")"),"◉▽◉(紫色)")</f>
        <v>◉▽◉(紫色)</v>
      </c>
      <c r="O19" s="210">
        <v>100.0</v>
      </c>
      <c r="P19" s="391" t="str">
        <f>IFERROR(__xludf.DUMMYFUNCTION("GOOGLETRANSLATE(D19,""zh-tw"",""zh"")"),"使用炸弹炸水面")</f>
        <v>使用炸弹炸水面</v>
      </c>
      <c r="Q19" s="164" t="str">
        <f>IFERROR(__xludf.DUMMYFUNCTION("GOOGLETRANSLATE(A19,""zh-tw"",""es-MX"")"),"Tortuga sakaban (grande)")</f>
        <v>Tortuga sakaban (grande)</v>
      </c>
      <c r="R19" s="166" t="str">
        <f>IFERROR(__xludf.DUMMYFUNCTION("GOOGLETRANSLATE(B19,""zh-tw"",""es-MX"")"),"◉▽◉(morado)")</f>
        <v>◉▽◉(morado)</v>
      </c>
      <c r="S19" s="210">
        <v>100.0</v>
      </c>
      <c r="T19" s="390" t="str">
        <f>IFERROR(__xludf.DUMMYFUNCTION("GOOGLETRANSLATE(D19,""zh-tw"",""es-MX"")"),"Utiliza bombas para volar la superficie del agua.")</f>
        <v>Utiliza bombas para volar la superficie del agua.</v>
      </c>
      <c r="U19" s="209" t="str">
        <f>IFERROR(__xludf.DUMMYFUNCTION("GOOGLETRANSLATE(A19,""zh-tw"",""KO"")"),"사카반 거북 (대형)")</f>
        <v>사카반 거북 (대형)</v>
      </c>
      <c r="V19" s="166" t="str">
        <f>IFERROR(__xludf.DUMMYFUNCTION("GOOGLETRANSLATE(B19,""zh-tw"",""KO"")"),"◉▽◉(보라색)")</f>
        <v>◉▽◉(보라색)</v>
      </c>
      <c r="W19" s="166">
        <v>100.0</v>
      </c>
      <c r="X19" s="391" t="str">
        <f>IFERROR(__xludf.DUMMYFUNCTION("GOOGLETRANSLATE(D19,""zh-tw"",""KO"")"),"폭탄을 사용하여 수면을 폭파시키세요")</f>
        <v>폭탄을 사용하여 수면을 폭파시키세요</v>
      </c>
      <c r="Y19" s="164" t="s">
        <v>6370</v>
      </c>
      <c r="Z19" s="166" t="s">
        <v>6371</v>
      </c>
      <c r="AA19" s="166">
        <v>100.0</v>
      </c>
      <c r="AB19" s="390" t="s">
        <v>6350</v>
      </c>
      <c r="AC19" s="209" t="s">
        <v>6372</v>
      </c>
      <c r="AD19" s="210" t="s">
        <v>6373</v>
      </c>
      <c r="AE19" s="210">
        <v>100.0</v>
      </c>
      <c r="AF19" s="390" t="s">
        <v>6353</v>
      </c>
      <c r="AG19" s="198" t="s">
        <v>6374</v>
      </c>
      <c r="AH19" s="392" t="s">
        <v>6375</v>
      </c>
      <c r="AI19" s="392">
        <v>100.0</v>
      </c>
      <c r="AJ19" s="393" t="s">
        <v>6356</v>
      </c>
      <c r="AK19" s="209" t="s">
        <v>6376</v>
      </c>
      <c r="AL19" s="210" t="s">
        <v>6377</v>
      </c>
      <c r="AM19" s="210">
        <v>100.0</v>
      </c>
      <c r="AN19" s="390" t="s">
        <v>6359</v>
      </c>
      <c r="AO19" s="394" t="s">
        <v>6378</v>
      </c>
      <c r="AP19" s="214" t="s">
        <v>6379</v>
      </c>
      <c r="AQ19" s="214" t="s">
        <v>6362</v>
      </c>
      <c r="AR19" s="395" t="s">
        <v>6363</v>
      </c>
      <c r="AS19" s="394"/>
      <c r="AT19" s="214"/>
      <c r="AU19" s="214"/>
      <c r="AV19" s="395"/>
    </row>
    <row r="20">
      <c r="A20" s="386" t="s">
        <v>6380</v>
      </c>
      <c r="E20" s="387" t="str">
        <f>IFERROR(__xludf.DUMMYFUNCTION("GOOGLETRANSLATE(A20,""zh-tw"",""ja"")"),"鉱山に関連する")</f>
        <v>鉱山に関連する</v>
      </c>
      <c r="I20" s="386" t="s">
        <v>6381</v>
      </c>
      <c r="M20" s="387" t="str">
        <f>IFERROR(__xludf.DUMMYFUNCTION("GOOGLETRANSLATE(A20,""zh-tw"",""zh"")"),"矿坑相关")</f>
        <v>矿坑相关</v>
      </c>
      <c r="Q20" s="386" t="str">
        <f>IFERROR(__xludf.DUMMYFUNCTION("GOOGLETRANSLATE(A20,""zh-tw"",""es-MX"")"),"relacionado con las minas")</f>
        <v>relacionado con las minas</v>
      </c>
      <c r="U20" s="387" t="str">
        <f>IFERROR(__xludf.DUMMYFUNCTION("GOOGLETRANSLATE(A20,""zh-tw"",""KO"")"),"광산과 관련된")</f>
        <v>광산과 관련된</v>
      </c>
      <c r="Y20" s="386" t="s">
        <v>6382</v>
      </c>
      <c r="AC20" s="387" t="str">
        <f>IFERROR(__xludf.DUMMYFUNCTION("GOOGLETRANSLATE(A19,""zh-tw"",""DE"")"),"Sakaban-Schildkröte (groß)")</f>
        <v>Sakaban-Schildkröte (groß)</v>
      </c>
      <c r="AG20" s="389" t="s">
        <v>6383</v>
      </c>
      <c r="AK20" s="387" t="s">
        <v>6381</v>
      </c>
      <c r="AO20" s="402" t="s">
        <v>6384</v>
      </c>
      <c r="AS20" s="402"/>
    </row>
    <row r="21">
      <c r="A21" s="164" t="s">
        <v>6385</v>
      </c>
      <c r="B21" s="166" t="s">
        <v>6386</v>
      </c>
      <c r="C21" s="166" t="s">
        <v>6387</v>
      </c>
      <c r="D21" s="391" t="s">
        <v>1273</v>
      </c>
      <c r="E21" s="209" t="s">
        <v>6388</v>
      </c>
      <c r="F21" s="210" t="s">
        <v>6389</v>
      </c>
      <c r="G21" s="166" t="s">
        <v>6387</v>
      </c>
      <c r="H21" s="397" t="s">
        <v>1273</v>
      </c>
      <c r="I21" s="164" t="s">
        <v>6390</v>
      </c>
      <c r="J21" s="210" t="s">
        <v>6391</v>
      </c>
      <c r="K21" s="210" t="s">
        <v>6387</v>
      </c>
      <c r="L21" s="390" t="s">
        <v>1273</v>
      </c>
      <c r="M21" s="209" t="str">
        <f>IFERROR(__xludf.DUMMYFUNCTION("GOOGLETRANSLATE(A21,""zh-tw"",""zh"")"),"恶灵史莱姆")</f>
        <v>恶灵史莱姆</v>
      </c>
      <c r="N21" s="210" t="str">
        <f>IFERROR(__xludf.DUMMYFUNCTION("GOOGLETRANSLATE(B21,""zh-tw"",""zh"")"),"史莱姆的黏液
来自地狱
魔力晶簇
堕落法师的手套
精神凝聚头环")</f>
        <v>史莱姆的黏液
来自地狱
魔力晶簇
堕落法师的手套
精神凝聚头环</v>
      </c>
      <c r="O21" s="210" t="s">
        <v>6387</v>
      </c>
      <c r="P21" s="391" t="str">
        <f>IFERROR(__xludf.DUMMYFUNCTION("GOOGLETRANSLATE(D21,""zh-tw"",""zh"")"),"-")</f>
        <v>-</v>
      </c>
      <c r="Q21" s="164" t="str">
        <f>IFERROR(__xludf.DUMMYFUNCTION("GOOGLETRANSLATE(A21,""zh-tw"",""es-MX"")"),"Limo maligno")</f>
        <v>Limo maligno</v>
      </c>
      <c r="R21" s="166" t="str">
        <f>IFERROR(__xludf.DUMMYFUNCTION("GOOGLETRANSLATE(B21,""zh-tw"",""es-MX"")"),"Limo, limo
Del Infierno
Grupo de cristales mágicos
Guantes de mago caído
Diadema de concentración mental")</f>
        <v>Limo, limo
Del Infierno
Grupo de cristales mágicos
Guantes de mago caído
Diadema de concentración mental</v>
      </c>
      <c r="S21" s="210" t="s">
        <v>6387</v>
      </c>
      <c r="T21" s="390" t="str">
        <f>IFERROR(__xludf.DUMMYFUNCTION("GOOGLETRANSLATE(D21,""zh-tw"",""es-MX"")"),"-")</f>
        <v>-</v>
      </c>
      <c r="U21" s="209" t="str">
        <f>IFERROR(__xludf.DUMMYFUNCTION("GOOGLETRANSLATE(A21,""zh-tw"",""KO"")"),"사악한 슬라임")</f>
        <v>사악한 슬라임</v>
      </c>
      <c r="V21" s="166" t="str">
        <f>IFERROR(__xludf.DUMMYFUNCTION("GOOGLETRANSLATE(B21,""zh-tw"",""KO"")"),"슬라임 슬라임
지옥에서 온
마법 수정 덩어리
타락한 마법사의 장갑
정신 집중 머리띠")</f>
        <v>슬라임 슬라임
지옥에서 온
마법 수정 덩어리
타락한 마법사의 장갑
정신 집중 머리띠</v>
      </c>
      <c r="W21" s="166" t="s">
        <v>6387</v>
      </c>
      <c r="X21" s="391" t="str">
        <f>IFERROR(__xludf.DUMMYFUNCTION("GOOGLETRANSLATE(D21,""zh-tw"",""KO"")"),"-")</f>
        <v>-</v>
      </c>
      <c r="Y21" s="164" t="s">
        <v>6392</v>
      </c>
      <c r="Z21" s="166" t="s">
        <v>6393</v>
      </c>
      <c r="AA21" s="166" t="s">
        <v>6387</v>
      </c>
      <c r="AB21" s="390" t="s">
        <v>1273</v>
      </c>
      <c r="AC21" s="209" t="s">
        <v>6394</v>
      </c>
      <c r="AD21" s="210" t="s">
        <v>6395</v>
      </c>
      <c r="AE21" s="210" t="s">
        <v>6387</v>
      </c>
      <c r="AF21" s="397" t="s">
        <v>6334</v>
      </c>
      <c r="AG21" s="198" t="s">
        <v>6396</v>
      </c>
      <c r="AH21" s="392" t="s">
        <v>6397</v>
      </c>
      <c r="AI21" s="392" t="s">
        <v>6387</v>
      </c>
      <c r="AJ21" s="393" t="s">
        <v>1273</v>
      </c>
      <c r="AK21" s="209" t="s">
        <v>6398</v>
      </c>
      <c r="AL21" s="177" t="s">
        <v>6399</v>
      </c>
      <c r="AM21" s="210" t="s">
        <v>6387</v>
      </c>
      <c r="AN21" s="390" t="s">
        <v>1273</v>
      </c>
      <c r="AO21" s="394" t="s">
        <v>6400</v>
      </c>
      <c r="AP21" s="214" t="s">
        <v>6401</v>
      </c>
      <c r="AQ21" s="214" t="s">
        <v>6402</v>
      </c>
      <c r="AR21" s="395" t="s">
        <v>1273</v>
      </c>
      <c r="AS21" s="394"/>
      <c r="AT21" s="214"/>
      <c r="AU21" s="214"/>
      <c r="AV21" s="395"/>
    </row>
    <row r="22">
      <c r="A22" s="164" t="s">
        <v>6403</v>
      </c>
      <c r="B22" s="166" t="s">
        <v>6404</v>
      </c>
      <c r="C22" s="166" t="s">
        <v>6405</v>
      </c>
      <c r="D22" s="391" t="s">
        <v>1273</v>
      </c>
      <c r="E22" s="209" t="str">
        <f>IFERROR(__xludf.DUMMYFUNCTION("GOOGLETRANSLATE(A22,""zh-tw"",""ja"")"),"鉱石スライム")</f>
        <v>鉱石スライム</v>
      </c>
      <c r="F22" s="166" t="str">
        <f>IFERROR(__xludf.DUMMYFUNCTION("GOOGLETRANSLATE(B22,""zh-tw"",""ja"")"),"スライムスライム
魔法結晶クラスター
深層魔法結晶クラスター")</f>
        <v>スライムスライム
魔法結晶クラスター
深層魔法結晶クラスター</v>
      </c>
      <c r="G22" s="166" t="s">
        <v>6405</v>
      </c>
      <c r="H22" s="397" t="s">
        <v>1273</v>
      </c>
      <c r="I22" s="164" t="s">
        <v>6406</v>
      </c>
      <c r="J22" s="210" t="s">
        <v>6407</v>
      </c>
      <c r="K22" s="210" t="s">
        <v>6405</v>
      </c>
      <c r="L22" s="390" t="str">
        <f>IFERROR(__xludf.DUMMYFUNCTION("GOOGLETRANSLATE(D22,""zh-tw"",""en"")"),"-")</f>
        <v>-</v>
      </c>
      <c r="M22" s="209" t="str">
        <f>IFERROR(__xludf.DUMMYFUNCTION("GOOGLETRANSLATE(A22,""zh-tw"",""zh"")"),"矿石史莱姆")</f>
        <v>矿石史莱姆</v>
      </c>
      <c r="N22" s="210" t="str">
        <f>IFERROR(__xludf.DUMMYFUNCTION("GOOGLETRANSLATE(B22,""zh-tw"",""zh"")"),"史莱姆的黏液
魔力晶簇
深邃魔力晶簇")</f>
        <v>史莱姆的黏液
魔力晶簇
深邃魔力晶簇</v>
      </c>
      <c r="O22" s="210" t="s">
        <v>6405</v>
      </c>
      <c r="P22" s="391" t="str">
        <f>IFERROR(__xludf.DUMMYFUNCTION("GOOGLETRANSLATE(D22,""zh-tw"",""zh"")"),"-")</f>
        <v>-</v>
      </c>
      <c r="Q22" s="164" t="str">
        <f>IFERROR(__xludf.DUMMYFUNCTION("GOOGLETRANSLATE(A22,""zh-tw"",""es-MX"")"),"Limo mineral")</f>
        <v>Limo mineral</v>
      </c>
      <c r="R22" s="166" t="str">
        <f>IFERROR(__xludf.DUMMYFUNCTION("GOOGLETRANSLATE(B22,""zh-tw"",""es-MX"")"),"Limo Limo
Grupo de Cristales Mágicos
Grupo de Cristales Mágicos Profundos")</f>
        <v>Limo Limo
Grupo de Cristales Mágicos
Grupo de Cristales Mágicos Profundos</v>
      </c>
      <c r="S22" s="210" t="s">
        <v>6405</v>
      </c>
      <c r="T22" s="390" t="str">
        <f>IFERROR(__xludf.DUMMYFUNCTION("GOOGLETRANSLATE(D22,""zh-tw"",""es-MX"")"),"-")</f>
        <v>-</v>
      </c>
      <c r="U22" s="209" t="str">
        <f>IFERROR(__xludf.DUMMYFUNCTION("GOOGLETRANSLATE(A22,""zh-tw"",""KO"")"),"오레 슬라임")</f>
        <v>오레 슬라임</v>
      </c>
      <c r="V22" s="166" t="str">
        <f>IFERROR(__xludf.DUMMYFUNCTION("GOOGLETRANSLATE(B22,""zh-tw"",""KO"")"),"슬라임 슬라임
매직 크리스탈 클러스터
딥 매직 크리스탈 클러스터")</f>
        <v>슬라임 슬라임
매직 크리스탈 클러스터
딥 매직 크리스탈 클러스터</v>
      </c>
      <c r="W22" s="166" t="s">
        <v>6405</v>
      </c>
      <c r="X22" s="391" t="str">
        <f>IFERROR(__xludf.DUMMYFUNCTION("GOOGLETRANSLATE(D22,""zh-tw"",""KO"")"),"-")</f>
        <v>-</v>
      </c>
      <c r="Y22" s="164" t="s">
        <v>6408</v>
      </c>
      <c r="Z22" s="166" t="s">
        <v>6409</v>
      </c>
      <c r="AA22" s="166" t="s">
        <v>6405</v>
      </c>
      <c r="AB22" s="390" t="s">
        <v>1273</v>
      </c>
      <c r="AC22" s="209" t="s">
        <v>6410</v>
      </c>
      <c r="AD22" s="210" t="s">
        <v>6411</v>
      </c>
      <c r="AE22" s="210" t="s">
        <v>6405</v>
      </c>
      <c r="AF22" s="397" t="s">
        <v>6334</v>
      </c>
      <c r="AG22" s="198" t="s">
        <v>6412</v>
      </c>
      <c r="AH22" s="392" t="s">
        <v>6413</v>
      </c>
      <c r="AI22" s="392" t="s">
        <v>6405</v>
      </c>
      <c r="AJ22" s="393" t="s">
        <v>1273</v>
      </c>
      <c r="AK22" s="209" t="s">
        <v>6414</v>
      </c>
      <c r="AL22" s="210" t="s">
        <v>6415</v>
      </c>
      <c r="AM22" s="210" t="s">
        <v>6405</v>
      </c>
      <c r="AN22" s="390" t="s">
        <v>1273</v>
      </c>
      <c r="AO22" s="394" t="s">
        <v>6416</v>
      </c>
      <c r="AP22" s="214" t="s">
        <v>6417</v>
      </c>
      <c r="AQ22" s="214" t="s">
        <v>6405</v>
      </c>
      <c r="AR22" s="395" t="s">
        <v>1273</v>
      </c>
      <c r="AS22" s="394"/>
      <c r="AT22" s="214"/>
      <c r="AU22" s="214"/>
      <c r="AV22" s="395"/>
    </row>
    <row r="23">
      <c r="A23" s="164" t="s">
        <v>6418</v>
      </c>
      <c r="B23" s="177" t="s">
        <v>6419</v>
      </c>
      <c r="C23" s="177" t="s">
        <v>6420</v>
      </c>
      <c r="D23" s="391" t="s">
        <v>1273</v>
      </c>
      <c r="E23" s="164" t="s">
        <v>6421</v>
      </c>
      <c r="F23" s="177" t="s">
        <v>6422</v>
      </c>
      <c r="G23" s="177" t="s">
        <v>6420</v>
      </c>
      <c r="H23" s="397" t="s">
        <v>1273</v>
      </c>
      <c r="I23" s="164" t="s">
        <v>6423</v>
      </c>
      <c r="J23" s="177" t="s">
        <v>6424</v>
      </c>
      <c r="K23" s="177" t="s">
        <v>6420</v>
      </c>
      <c r="L23" s="390" t="s">
        <v>1273</v>
      </c>
      <c r="M23" s="209" t="str">
        <f>IFERROR(__xludf.DUMMYFUNCTION("GOOGLETRANSLATE(A23,""zh-tw"",""zh"")"),"邪恶斗篷")</f>
        <v>邪恶斗篷</v>
      </c>
      <c r="N23" s="210" t="str">
        <f>IFERROR(__xludf.DUMMYFUNCTION("GOOGLETRANSLATE(B23,""zh-tw"",""zh"")"),"500元
1000元
受诅胎体
调皮的杰克
夜雾幻影
来自地狱
紫色品质物品
粉色品质物品")</f>
        <v>500元
1000元
受诅胎体
调皮的杰克
夜雾幻影
来自地狱
紫色品质物品
粉色品质物品</v>
      </c>
      <c r="O23" s="177" t="s">
        <v>6420</v>
      </c>
      <c r="P23" s="390" t="str">
        <f>IFERROR(__xludf.DUMMYFUNCTION("GOOGLETRANSLATE(D23,""zh-tw"",""zh"")"),"-")</f>
        <v>-</v>
      </c>
      <c r="Q23" s="209" t="str">
        <f>IFERROR(__xludf.DUMMYFUNCTION("GOOGLETRANSLATE(A23,""zh-tw"",""es-MX"")"),"Capa maligna")</f>
        <v>Capa maligna</v>
      </c>
      <c r="R23" s="210" t="str">
        <f>IFERROR(__xludf.DUMMYFUNCTION("GOOGLETRANSLATE(B23,""zh-tw"",""es-MX"")"),"500 yuanes
1000 yuanes
Feto Maldito
Jack el Travieso
Fantasma de la Niebla Nocturna
Del Infierno
Artículo de Calidad Morada
Artículo de Calidad Rosa")</f>
        <v>500 yuanes
1000 yuanes
Feto Maldito
Jack el Travieso
Fantasma de la Niebla Nocturna
Del Infierno
Artículo de Calidad Morada
Artículo de Calidad Rosa</v>
      </c>
      <c r="S23" s="210" t="s">
        <v>6425</v>
      </c>
      <c r="T23" s="390" t="str">
        <f>IFERROR(__xludf.DUMMYFUNCTION("GOOGLETRANSLATE(D23,""zh-tw"",""es-MX"")"),"-")</f>
        <v>-</v>
      </c>
      <c r="U23" s="209" t="str">
        <f>IFERROR(__xludf.DUMMYFUNCTION("GOOGLETRANSLATE(A23,""zh-tw"",""KO"")"),"사악한 망토")</f>
        <v>사악한 망토</v>
      </c>
      <c r="V23" s="166" t="str">
        <f>IFERROR(__xludf.DUMMYFUNCTION("GOOGLETRANSLATE(B23,""zh-tw"",""KO"")"),"500위안
1000위안
저주받은 태아
장난꾸러기 잭
밤의 안개 유령
지옥에서 온 자
보라색 고급 아이템
분홍색 고급 아이템")</f>
        <v>500위안
1000위안
저주받은 태아
장난꾸러기 잭
밤의 안개 유령
지옥에서 온 자
보라색 고급 아이템
분홍색 고급 아이템</v>
      </c>
      <c r="W23" s="166" t="s">
        <v>6425</v>
      </c>
      <c r="X23" s="391" t="str">
        <f>IFERROR(__xludf.DUMMYFUNCTION("GOOGLETRANSLATE(D23,""zh-tw"",""KO"")"),"-")</f>
        <v>-</v>
      </c>
      <c r="Y23" s="164" t="s">
        <v>6426</v>
      </c>
      <c r="Z23" s="177" t="s">
        <v>6427</v>
      </c>
      <c r="AA23" s="177" t="s">
        <v>6420</v>
      </c>
      <c r="AB23" s="390" t="s">
        <v>1273</v>
      </c>
      <c r="AC23" s="209" t="s">
        <v>6428</v>
      </c>
      <c r="AD23" s="210" t="s">
        <v>6429</v>
      </c>
      <c r="AE23" s="210" t="s">
        <v>6425</v>
      </c>
      <c r="AF23" s="390" t="s">
        <v>1273</v>
      </c>
      <c r="AG23" s="198" t="s">
        <v>6430</v>
      </c>
      <c r="AH23" s="52" t="s">
        <v>6431</v>
      </c>
      <c r="AI23" s="52" t="s">
        <v>6420</v>
      </c>
      <c r="AJ23" s="393" t="s">
        <v>1273</v>
      </c>
      <c r="AK23" s="209" t="s">
        <v>6423</v>
      </c>
      <c r="AL23" s="177" t="s">
        <v>6432</v>
      </c>
      <c r="AM23" s="177" t="s">
        <v>6433</v>
      </c>
      <c r="AN23" s="390" t="s">
        <v>1273</v>
      </c>
      <c r="AO23" s="394" t="s">
        <v>6434</v>
      </c>
      <c r="AP23" s="214" t="s">
        <v>6435</v>
      </c>
      <c r="AQ23" s="214" t="s">
        <v>6436</v>
      </c>
      <c r="AR23" s="395" t="s">
        <v>1273</v>
      </c>
      <c r="AS23" s="394"/>
      <c r="AT23" s="214"/>
      <c r="AU23" s="214"/>
      <c r="AV23" s="395"/>
    </row>
    <row r="24">
      <c r="A24" s="386" t="s">
        <v>6437</v>
      </c>
      <c r="E24" s="386" t="str">
        <f>IFERROR(__xludf.DUMMYFUNCTION("GOOGLETRANSLATE(A24,""zh-tw"",""ja"")"),"遺跡")</f>
        <v>遺跡</v>
      </c>
      <c r="I24" s="386" t="s">
        <v>6438</v>
      </c>
      <c r="M24" s="387" t="str">
        <f>IFERROR(__xludf.DUMMYFUNCTION("GOOGLETRANSLATE(A24,""zh-tw"",""zh"")"),"遗迹相关")</f>
        <v>遗迹相关</v>
      </c>
      <c r="Q24" s="387" t="str">
        <f>IFERROR(__xludf.DUMMYFUNCTION("GOOGLETRANSLATE(A24,""zh-tw"",""es-MX"")"),"Restos")</f>
        <v>Restos</v>
      </c>
      <c r="U24" s="387" t="str">
        <f>IFERROR(__xludf.DUMMYFUNCTION("GOOGLETRANSLATE(A24,""zh-tw"",""KO"")"),"유적")</f>
        <v>유적</v>
      </c>
      <c r="Y24" s="386" t="s">
        <v>6439</v>
      </c>
      <c r="AC24" s="387" t="str">
        <f>IFERROR(__xludf.DUMMYFUNCTION("GOOGLETRANSLATE(A23,""zh-tw"",""DE"")"),"Böser Umhang")</f>
        <v>Böser Umhang</v>
      </c>
      <c r="AG24" s="389" t="s">
        <v>6440</v>
      </c>
      <c r="AK24" s="387" t="s">
        <v>6438</v>
      </c>
      <c r="AO24" s="402" t="s">
        <v>6441</v>
      </c>
      <c r="AS24" s="402"/>
    </row>
    <row r="25">
      <c r="A25" s="164" t="s">
        <v>6442</v>
      </c>
      <c r="B25" s="166" t="s">
        <v>6443</v>
      </c>
      <c r="C25" s="166" t="s">
        <v>6444</v>
      </c>
      <c r="D25" s="391" t="s">
        <v>1273</v>
      </c>
      <c r="E25" s="209" t="s">
        <v>6445</v>
      </c>
      <c r="F25" s="210" t="s">
        <v>6446</v>
      </c>
      <c r="G25" s="166" t="s">
        <v>6444</v>
      </c>
      <c r="H25" s="391" t="str">
        <f>IFERROR(__xludf.DUMMYFUNCTION("GOOGLETRANSLATE(D25,""zh-tw"",""ja"")"),"-")</f>
        <v>-</v>
      </c>
      <c r="I25" s="209" t="s">
        <v>6447</v>
      </c>
      <c r="J25" s="210" t="s">
        <v>6448</v>
      </c>
      <c r="K25" s="210" t="s">
        <v>6444</v>
      </c>
      <c r="L25" s="390" t="str">
        <f>IFERROR(__xludf.DUMMYFUNCTION("GOOGLETRANSLATE(D25,""zh-tw"",""en"")"),"-")</f>
        <v>-</v>
      </c>
      <c r="M25" s="209" t="str">
        <f>IFERROR(__xludf.DUMMYFUNCTION("GOOGLETRANSLATE(A25,""zh-tw"",""zh"")"),"初级兽人")</f>
        <v>初级兽人</v>
      </c>
      <c r="N25" s="210" t="str">
        <f>IFERROR(__xludf.DUMMYFUNCTION("GOOGLETRANSLATE(B25,""zh-tw"",""zh"")"),"小兽肉
大兽肉
500元
兽人的骨釜")</f>
        <v>小兽肉
大兽肉
500元
兽人的骨釜</v>
      </c>
      <c r="O25" s="210" t="s">
        <v>6444</v>
      </c>
      <c r="P25" s="390" t="str">
        <f>IFERROR(__xludf.DUMMYFUNCTION("GOOGLETRANSLATE(D25,""zh-tw"",""zh"")"),"-")</f>
        <v>-</v>
      </c>
      <c r="Q25" s="164" t="str">
        <f>IFERROR(__xludf.DUMMYFUNCTION("GOOGLETRANSLATE(A25,""zh-tw"",""es-MX"")"),"Principiantes")</f>
        <v>Principiantes</v>
      </c>
      <c r="R25" s="210" t="str">
        <f>IFERROR(__xludf.DUMMYFUNCTION("GOOGLETRANSLATE(B25,""zh-tw"",""es-MX"")"),"Carne de animales pequeños; Carne de animales grandes; 500 yuanes; Olla de huesos de orco")</f>
        <v>Carne de animales pequeños; Carne de animales grandes; 500 yuanes; Olla de huesos de orco</v>
      </c>
      <c r="S25" s="210" t="s">
        <v>6444</v>
      </c>
      <c r="T25" s="390" t="str">
        <f>IFERROR(__xludf.DUMMYFUNCTION("GOOGLETRANSLATE(D25,""zh-tw"",""es-MX"")"),"-")</f>
        <v>-</v>
      </c>
      <c r="U25" s="209" t="str">
        <f>IFERROR(__xludf.DUMMYFUNCTION("GOOGLETRANSLATE(A25,""zh-tw"",""KO"")"),"초보자")</f>
        <v>초보자</v>
      </c>
      <c r="V25" s="166" t="str">
        <f>IFERROR(__xludf.DUMMYFUNCTION("GOOGLETRANSLATE(B25,""zh-tw"",""KO"")"),"소형 동물 고기; 대형 동물 고기; 500위안; 오크 뼈 냄비")</f>
        <v>소형 동물 고기; 대형 동물 고기; 500위안; 오크 뼈 냄비</v>
      </c>
      <c r="W25" s="166" t="s">
        <v>6444</v>
      </c>
      <c r="X25" s="391" t="str">
        <f>IFERROR(__xludf.DUMMYFUNCTION("GOOGLETRANSLATE(D25,""zh-tw"",""KO"")"),"-")</f>
        <v>-</v>
      </c>
      <c r="Y25" s="164" t="s">
        <v>6449</v>
      </c>
      <c r="Z25" s="166" t="s">
        <v>6450</v>
      </c>
      <c r="AA25" s="166" t="s">
        <v>6444</v>
      </c>
      <c r="AB25" s="390" t="s">
        <v>1273</v>
      </c>
      <c r="AC25" s="209" t="s">
        <v>6451</v>
      </c>
      <c r="AD25" s="210" t="s">
        <v>6452</v>
      </c>
      <c r="AE25" s="210" t="s">
        <v>6444</v>
      </c>
      <c r="AF25" s="397" t="s">
        <v>6334</v>
      </c>
      <c r="AG25" s="198" t="s">
        <v>6453</v>
      </c>
      <c r="AH25" s="392" t="s">
        <v>6454</v>
      </c>
      <c r="AI25" s="392" t="s">
        <v>6444</v>
      </c>
      <c r="AJ25" s="393" t="s">
        <v>1273</v>
      </c>
      <c r="AK25" s="209" t="s">
        <v>6455</v>
      </c>
      <c r="AL25" s="210" t="s">
        <v>6456</v>
      </c>
      <c r="AM25" s="210" t="s">
        <v>6444</v>
      </c>
      <c r="AN25" s="390" t="s">
        <v>1273</v>
      </c>
      <c r="AO25" s="394" t="s">
        <v>6457</v>
      </c>
      <c r="AP25" s="214" t="s">
        <v>6458</v>
      </c>
      <c r="AQ25" s="214" t="s">
        <v>6444</v>
      </c>
      <c r="AR25" s="395" t="s">
        <v>1273</v>
      </c>
      <c r="AS25" s="394"/>
      <c r="AT25" s="214"/>
      <c r="AU25" s="214"/>
      <c r="AV25" s="395"/>
    </row>
    <row r="26">
      <c r="A26" s="164" t="s">
        <v>6459</v>
      </c>
      <c r="B26" s="166" t="s">
        <v>6460</v>
      </c>
      <c r="C26" s="166" t="s">
        <v>6461</v>
      </c>
      <c r="D26" s="390" t="s">
        <v>1273</v>
      </c>
      <c r="E26" s="209" t="s">
        <v>6459</v>
      </c>
      <c r="F26" s="210" t="s">
        <v>6462</v>
      </c>
      <c r="G26" s="166" t="s">
        <v>6461</v>
      </c>
      <c r="H26" s="391" t="str">
        <f>IFERROR(__xludf.DUMMYFUNCTION("GOOGLETRANSLATE(D26,""zh-tw"",""ja"")"),"-")</f>
        <v>-</v>
      </c>
      <c r="I26" s="209" t="s">
        <v>6463</v>
      </c>
      <c r="J26" s="177" t="s">
        <v>6464</v>
      </c>
      <c r="K26" s="210" t="s">
        <v>6461</v>
      </c>
      <c r="L26" s="390" t="str">
        <f>IFERROR(__xludf.DUMMYFUNCTION("GOOGLETRANSLATE(D26,""zh-tw"",""en"")"),"-")</f>
        <v>-</v>
      </c>
      <c r="M26" s="209" t="str">
        <f>IFERROR(__xludf.DUMMYFUNCTION("GOOGLETRANSLATE(A26,""zh-tw"",""zh"")"),"怪鸟")</f>
        <v>怪鸟</v>
      </c>
      <c r="N26" s="210" t="str">
        <f>IFERROR(__xludf.DUMMYFUNCTION("GOOGLETRANSLATE(B26,""zh-tw"",""zh"")"),"鸡腿肉
怪鸟的羽毛")</f>
        <v>鸡腿肉
怪鸟的羽毛</v>
      </c>
      <c r="O26" s="210" t="s">
        <v>6461</v>
      </c>
      <c r="P26" s="391" t="str">
        <f>IFERROR(__xludf.DUMMYFUNCTION("GOOGLETRANSLATE(D26,""zh-tw"",""zh"")"),"-")</f>
        <v>-</v>
      </c>
      <c r="Q26" s="209" t="str">
        <f>IFERROR(__xludf.DUMMYFUNCTION("GOOGLETRANSLATE(A26,""zh-tw"",""es-MX"")"),"Pájaro extraño")</f>
        <v>Pájaro extraño</v>
      </c>
      <c r="R26" s="210" t="str">
        <f>IFERROR(__xludf.DUMMYFUNCTION("GOOGLETRANSLATE(B26,""zh-tw"",""es-MX"")"),"Carne de muslo de pollo; extrañas plumas de ave")</f>
        <v>Carne de muslo de pollo; extrañas plumas de ave</v>
      </c>
      <c r="S26" s="210" t="s">
        <v>6461</v>
      </c>
      <c r="T26" s="390" t="str">
        <f>IFERROR(__xludf.DUMMYFUNCTION("GOOGLETRANSLATE(D26,""zh-tw"",""es-MX"")"),"-")</f>
        <v>-</v>
      </c>
      <c r="U26" s="209" t="str">
        <f>IFERROR(__xludf.DUMMYFUNCTION("GOOGLETRANSLATE(A26,""zh-tw"",""KO"")"),"이상한 새")</f>
        <v>이상한 새</v>
      </c>
      <c r="V26" s="166" t="str">
        <f>IFERROR(__xludf.DUMMYFUNCTION("GOOGLETRANSLATE(B26,""zh-tw"",""KO"")"),"닭다리살; 특이한 새 깃털")</f>
        <v>닭다리살; 특이한 새 깃털</v>
      </c>
      <c r="W26" s="166" t="s">
        <v>6461</v>
      </c>
      <c r="X26" s="391" t="str">
        <f>IFERROR(__xludf.DUMMYFUNCTION("GOOGLETRANSLATE(D26,""zh-tw"",""KO"")"),"-")</f>
        <v>-</v>
      </c>
      <c r="Y26" s="164" t="s">
        <v>6465</v>
      </c>
      <c r="Z26" s="166" t="s">
        <v>6466</v>
      </c>
      <c r="AA26" s="166" t="s">
        <v>6461</v>
      </c>
      <c r="AB26" s="390" t="s">
        <v>1273</v>
      </c>
      <c r="AC26" s="209" t="s">
        <v>6467</v>
      </c>
      <c r="AD26" s="210" t="s">
        <v>6468</v>
      </c>
      <c r="AE26" s="210" t="s">
        <v>6461</v>
      </c>
      <c r="AF26" s="397" t="s">
        <v>6334</v>
      </c>
      <c r="AG26" s="198" t="s">
        <v>6469</v>
      </c>
      <c r="AH26" s="392" t="s">
        <v>6470</v>
      </c>
      <c r="AI26" s="392" t="s">
        <v>6461</v>
      </c>
      <c r="AJ26" s="393" t="s">
        <v>1273</v>
      </c>
      <c r="AK26" s="209" t="s">
        <v>6471</v>
      </c>
      <c r="AL26" s="177" t="s">
        <v>6472</v>
      </c>
      <c r="AM26" s="210" t="s">
        <v>6461</v>
      </c>
      <c r="AN26" s="390" t="s">
        <v>1273</v>
      </c>
      <c r="AO26" s="394" t="s">
        <v>6473</v>
      </c>
      <c r="AP26" s="214" t="s">
        <v>6474</v>
      </c>
      <c r="AQ26" s="214" t="s">
        <v>6475</v>
      </c>
      <c r="AR26" s="395" t="s">
        <v>1273</v>
      </c>
      <c r="AS26" s="394"/>
      <c r="AT26" s="214"/>
      <c r="AU26" s="214"/>
      <c r="AV26" s="395"/>
    </row>
    <row r="27">
      <c r="A27" s="164" t="s">
        <v>6476</v>
      </c>
      <c r="B27" s="166" t="s">
        <v>6477</v>
      </c>
      <c r="C27" s="166" t="s">
        <v>6478</v>
      </c>
      <c r="D27" s="390" t="s">
        <v>1273</v>
      </c>
      <c r="E27" s="209" t="s">
        <v>6479</v>
      </c>
      <c r="F27" s="210" t="s">
        <v>6480</v>
      </c>
      <c r="G27" s="166" t="s">
        <v>6478</v>
      </c>
      <c r="H27" s="391" t="str">
        <f>IFERROR(__xludf.DUMMYFUNCTION("GOOGLETRANSLATE(D27,""zh-tw"",""ja"")"),"-")</f>
        <v>-</v>
      </c>
      <c r="I27" s="209" t="s">
        <v>6481</v>
      </c>
      <c r="J27" s="210" t="s">
        <v>6482</v>
      </c>
      <c r="K27" s="210" t="s">
        <v>6478</v>
      </c>
      <c r="L27" s="390" t="str">
        <f>IFERROR(__xludf.DUMMYFUNCTION("GOOGLETRANSLATE(D27,""zh-tw"",""en"")"),"-")</f>
        <v>-</v>
      </c>
      <c r="M27" s="209" t="str">
        <f>IFERROR(__xludf.DUMMYFUNCTION("GOOGLETRANSLATE(A27,""zh-tw"",""zh"")"),"走路菇")</f>
        <v>走路菇</v>
      </c>
      <c r="N27" s="210" t="str">
        <f>IFERROR(__xludf.DUMMYFUNCTION("GOOGLETRANSLATE(B27,""zh-tw"",""zh"")"),"走路菇
毒孢针")</f>
        <v>走路菇
毒孢针</v>
      </c>
      <c r="O27" s="210" t="s">
        <v>6478</v>
      </c>
      <c r="P27" s="390" t="str">
        <f>IFERROR(__xludf.DUMMYFUNCTION("GOOGLETRANSLATE(D27,""zh-tw"",""zh"")"),"-")</f>
        <v>-</v>
      </c>
      <c r="Q27" s="164" t="str">
        <f>IFERROR(__xludf.DUMMYFUNCTION("GOOGLETRANSLATE(A27,""zh-tw"",""es-MX"")"),"Hongo andante")</f>
        <v>Hongo andante</v>
      </c>
      <c r="R27" s="210" t="str">
        <f>IFERROR(__xludf.DUMMYFUNCTION("GOOGLETRANSLATE(B27,""zh-tw"",""es-MX"")"),"Seta caminante; aguja de espora venenosa")</f>
        <v>Seta caminante; aguja de espora venenosa</v>
      </c>
      <c r="S27" s="210" t="s">
        <v>6478</v>
      </c>
      <c r="T27" s="390" t="str">
        <f>IFERROR(__xludf.DUMMYFUNCTION("GOOGLETRANSLATE(D27,""zh-tw"",""es-MX"")"),"-")</f>
        <v>-</v>
      </c>
      <c r="U27" s="209" t="str">
        <f>IFERROR(__xludf.DUMMYFUNCTION("GOOGLETRANSLATE(A27,""zh-tw"",""KO"")"),"걷는 버섯")</f>
        <v>걷는 버섯</v>
      </c>
      <c r="V27" s="166" t="str">
        <f>IFERROR(__xludf.DUMMYFUNCTION("GOOGLETRANSLATE(B27,""zh-tw"",""KO"")"),"걸어다니는 버섯; 독포자 바늘")</f>
        <v>걸어다니는 버섯; 독포자 바늘</v>
      </c>
      <c r="W27" s="166" t="s">
        <v>6478</v>
      </c>
      <c r="X27" s="391" t="str">
        <f>IFERROR(__xludf.DUMMYFUNCTION("GOOGLETRANSLATE(D27,""zh-tw"",""KO"")"),"-")</f>
        <v>-</v>
      </c>
      <c r="Y27" s="164" t="s">
        <v>6483</v>
      </c>
      <c r="Z27" s="166" t="s">
        <v>6484</v>
      </c>
      <c r="AA27" s="166" t="s">
        <v>6478</v>
      </c>
      <c r="AB27" s="390" t="s">
        <v>1273</v>
      </c>
      <c r="AC27" s="209" t="s">
        <v>6485</v>
      </c>
      <c r="AD27" s="210" t="s">
        <v>6486</v>
      </c>
      <c r="AE27" s="210" t="s">
        <v>6478</v>
      </c>
      <c r="AF27" s="397" t="s">
        <v>6334</v>
      </c>
      <c r="AG27" s="198" t="s">
        <v>6487</v>
      </c>
      <c r="AH27" s="392" t="s">
        <v>6488</v>
      </c>
      <c r="AI27" s="392" t="s">
        <v>6478</v>
      </c>
      <c r="AJ27" s="393" t="s">
        <v>1273</v>
      </c>
      <c r="AK27" s="209" t="s">
        <v>6481</v>
      </c>
      <c r="AL27" s="177" t="s">
        <v>6489</v>
      </c>
      <c r="AM27" s="210" t="s">
        <v>6478</v>
      </c>
      <c r="AN27" s="390" t="s">
        <v>1273</v>
      </c>
      <c r="AO27" s="394" t="s">
        <v>6490</v>
      </c>
      <c r="AP27" s="214" t="s">
        <v>6491</v>
      </c>
      <c r="AQ27" s="214" t="s">
        <v>6492</v>
      </c>
      <c r="AR27" s="395" t="s">
        <v>1273</v>
      </c>
      <c r="AS27" s="394"/>
      <c r="AT27" s="214"/>
      <c r="AU27" s="214"/>
      <c r="AV27" s="395"/>
    </row>
    <row r="28">
      <c r="A28" s="164" t="s">
        <v>6493</v>
      </c>
      <c r="B28" s="166" t="s">
        <v>6494</v>
      </c>
      <c r="C28" s="166" t="s">
        <v>6495</v>
      </c>
      <c r="D28" s="391" t="s">
        <v>1273</v>
      </c>
      <c r="E28" s="164" t="str">
        <f>IFERROR(__xludf.DUMMYFUNCTION("GOOGLETRANSLATE(A28,""zh-tw"",""ja"")"),"ジャック・スライム")</f>
        <v>ジャック・スライム</v>
      </c>
      <c r="F28" s="210" t="s">
        <v>6496</v>
      </c>
      <c r="G28" s="210" t="s">
        <v>6495</v>
      </c>
      <c r="H28" s="391" t="str">
        <f>IFERROR(__xludf.DUMMYFUNCTION("GOOGLETRANSLATE(D28,""zh-tw"",""ja"")"),"-")</f>
        <v>-</v>
      </c>
      <c r="I28" s="209" t="s">
        <v>6497</v>
      </c>
      <c r="J28" s="210" t="s">
        <v>6498</v>
      </c>
      <c r="K28" s="210" t="s">
        <v>6495</v>
      </c>
      <c r="L28" s="390" t="s">
        <v>1273</v>
      </c>
      <c r="M28" s="209" t="str">
        <f>IFERROR(__xludf.DUMMYFUNCTION("GOOGLETRANSLATE(A28,""zh-tw"",""zh"")"),"杰克史莱姆")</f>
        <v>杰克史莱姆</v>
      </c>
      <c r="N28" s="210" t="str">
        <f>IFERROR(__xludf.DUMMYFUNCTION("GOOGLETRANSLATE(B28,""zh-tw"",""zh"")"),"史莱姆的黏液
杰克爆弹
炸弹魔之魂")</f>
        <v>史莱姆的黏液
杰克爆弹
炸弹魔之魂</v>
      </c>
      <c r="O28" s="210" t="s">
        <v>6495</v>
      </c>
      <c r="P28" s="390" t="str">
        <f>IFERROR(__xludf.DUMMYFUNCTION("GOOGLETRANSLATE(D28,""zh-tw"",""zh"")"),"-")</f>
        <v>-</v>
      </c>
      <c r="Q28" s="164" t="str">
        <f>IFERROR(__xludf.DUMMYFUNCTION("GOOGLETRANSLATE(A28,""zh-tw"",""es-MX"")"),"Jack Slime")</f>
        <v>Jack Slime</v>
      </c>
      <c r="R28" s="210" t="str">
        <f>IFERROR(__xludf.DUMMYFUNCTION("GOOGLETRANSLATE(B28,""zh-tw"",""es-MX"")"),"Slime Slime
Jack Bomb
Bomber Soul")</f>
        <v>Slime Slime
Jack Bomb
Bomber Soul</v>
      </c>
      <c r="S28" s="210" t="s">
        <v>6495</v>
      </c>
      <c r="T28" s="390" t="str">
        <f>IFERROR(__xludf.DUMMYFUNCTION("GOOGLETRANSLATE(D28,""zh-tw"",""es-MX"")"),"-")</f>
        <v>-</v>
      </c>
      <c r="U28" s="209" t="str">
        <f>IFERROR(__xludf.DUMMYFUNCTION("GOOGLETRANSLATE(A28,""zh-tw"",""KO"")"),"잭 슬라임")</f>
        <v>잭 슬라임</v>
      </c>
      <c r="V28" s="166" t="str">
        <f>IFERROR(__xludf.DUMMYFUNCTION("GOOGLETRANSLATE(B28,""zh-tw"",""KO"")"),"슬라임 슬라임
잭 밤
봄버 소울")</f>
        <v>슬라임 슬라임
잭 밤
봄버 소울</v>
      </c>
      <c r="W28" s="166" t="s">
        <v>6495</v>
      </c>
      <c r="X28" s="391" t="str">
        <f>IFERROR(__xludf.DUMMYFUNCTION("GOOGLETRANSLATE(D28,""zh-tw"",""KO"")"),"-")</f>
        <v>-</v>
      </c>
      <c r="Y28" s="164" t="s">
        <v>6499</v>
      </c>
      <c r="Z28" s="166" t="s">
        <v>6500</v>
      </c>
      <c r="AA28" s="166" t="s">
        <v>6495</v>
      </c>
      <c r="AB28" s="390" t="s">
        <v>1273</v>
      </c>
      <c r="AC28" s="209" t="s">
        <v>6501</v>
      </c>
      <c r="AD28" s="210" t="s">
        <v>6502</v>
      </c>
      <c r="AE28" s="210" t="s">
        <v>6495</v>
      </c>
      <c r="AF28" s="397" t="s">
        <v>6334</v>
      </c>
      <c r="AG28" s="198" t="s">
        <v>6503</v>
      </c>
      <c r="AH28" s="392" t="s">
        <v>6504</v>
      </c>
      <c r="AI28" s="392" t="s">
        <v>6495</v>
      </c>
      <c r="AJ28" s="393" t="s">
        <v>1273</v>
      </c>
      <c r="AK28" s="209" t="s">
        <v>6505</v>
      </c>
      <c r="AL28" s="210" t="s">
        <v>6506</v>
      </c>
      <c r="AM28" s="210" t="s">
        <v>6495</v>
      </c>
      <c r="AN28" s="390" t="s">
        <v>1273</v>
      </c>
      <c r="AO28" s="394" t="s">
        <v>6497</v>
      </c>
      <c r="AP28" s="214" t="s">
        <v>6507</v>
      </c>
      <c r="AQ28" s="214" t="s">
        <v>6495</v>
      </c>
      <c r="AR28" s="395" t="s">
        <v>1273</v>
      </c>
      <c r="AS28" s="394"/>
      <c r="AT28" s="214"/>
      <c r="AU28" s="214"/>
      <c r="AV28" s="395"/>
    </row>
    <row r="29">
      <c r="A29" s="164" t="s">
        <v>6508</v>
      </c>
      <c r="B29" s="166" t="s">
        <v>6509</v>
      </c>
      <c r="C29" s="166" t="s">
        <v>6510</v>
      </c>
      <c r="D29" s="390" t="s">
        <v>1273</v>
      </c>
      <c r="E29" s="209" t="s">
        <v>6511</v>
      </c>
      <c r="F29" s="210" t="s">
        <v>6512</v>
      </c>
      <c r="G29" s="166" t="s">
        <v>6510</v>
      </c>
      <c r="H29" s="391" t="str">
        <f>IFERROR(__xludf.DUMMYFUNCTION("GOOGLETRANSLATE(D29,""zh-tw"",""ja"")"),"-")</f>
        <v>-</v>
      </c>
      <c r="I29" s="209" t="str">
        <f>IFERROR(__xludf.DUMMYFUNCTION("GOOGLETRANSLATE(A29,""zh-tw"",""en"")"),"Maid Bunny")</f>
        <v>Maid Bunny</v>
      </c>
      <c r="J29" s="210" t="s">
        <v>6513</v>
      </c>
      <c r="K29" s="210" t="s">
        <v>6510</v>
      </c>
      <c r="L29" s="390" t="str">
        <f>IFERROR(__xludf.DUMMYFUNCTION("GOOGLETRANSLATE(D29,""zh-tw"",""en"")"),"-")</f>
        <v>-</v>
      </c>
      <c r="M29" s="209" t="str">
        <f>IFERROR(__xludf.DUMMYFUNCTION("GOOGLETRANSLATE(A29,""zh-tw"",""zh"")"),"女仆兔")</f>
        <v>女仆兔</v>
      </c>
      <c r="N29" s="210" t="str">
        <f>IFERROR(__xludf.DUMMYFUNCTION("GOOGLETRANSLATE(B29,""zh-tw"",""zh"")"),"胡萝卜
500元
1000元
萌萌兔耳
女仆制服")</f>
        <v>胡萝卜
500元
1000元
萌萌兔耳
女仆制服</v>
      </c>
      <c r="O29" s="210" t="s">
        <v>6510</v>
      </c>
      <c r="P29" s="391" t="str">
        <f>IFERROR(__xludf.DUMMYFUNCTION("GOOGLETRANSLATE(D29,""zh-tw"",""zh"")"),"-")</f>
        <v>-</v>
      </c>
      <c r="Q29" s="164" t="str">
        <f>IFERROR(__xludf.DUMMYFUNCTION("GOOGLETRANSLATE(A29,""zh-tw"",""es-MX"")"),"Conejita de criada")</f>
        <v>Conejita de criada</v>
      </c>
      <c r="R29" s="210" t="str">
        <f>IFERROR(__xludf.DUMMYFUNCTION("GOOGLETRANSLATE(B29,""zh-tw"",""es-MX"")"),"Zanahoria
500 yuanes
1000 yuanes
Orejas de conejo adorables
Uniforme de sirvienta")</f>
        <v>Zanahoria
500 yuanes
1000 yuanes
Orejas de conejo adorables
Uniforme de sirvienta</v>
      </c>
      <c r="S29" s="210" t="s">
        <v>6510</v>
      </c>
      <c r="T29" s="390" t="str">
        <f>IFERROR(__xludf.DUMMYFUNCTION("GOOGLETRANSLATE(D29,""zh-tw"",""es-MX"")"),"-")</f>
        <v>-</v>
      </c>
      <c r="U29" s="209" t="str">
        <f>IFERROR(__xludf.DUMMYFUNCTION("GOOGLETRANSLATE(A29,""zh-tw"",""KO"")"),"메이드 버니")</f>
        <v>메이드 버니</v>
      </c>
      <c r="V29" s="166" t="str">
        <f>IFERROR(__xludf.DUMMYFUNCTION("GOOGLETRANSLATE(B29,""zh-tw"",""KO"")"),"당근
500위안
1000위안
귀여운 토끼 귀
메이드 유니폼")</f>
        <v>당근
500위안
1000위안
귀여운 토끼 귀
메이드 유니폼</v>
      </c>
      <c r="W29" s="166" t="s">
        <v>6510</v>
      </c>
      <c r="X29" s="391" t="str">
        <f>IFERROR(__xludf.DUMMYFUNCTION("GOOGLETRANSLATE(D29,""zh-tw"",""KO"")"),"-")</f>
        <v>-</v>
      </c>
      <c r="Y29" s="164" t="s">
        <v>6514</v>
      </c>
      <c r="Z29" s="166" t="s">
        <v>6515</v>
      </c>
      <c r="AA29" s="166" t="s">
        <v>6510</v>
      </c>
      <c r="AB29" s="390" t="s">
        <v>1273</v>
      </c>
      <c r="AC29" s="209" t="s">
        <v>6516</v>
      </c>
      <c r="AD29" s="210" t="s">
        <v>6517</v>
      </c>
      <c r="AE29" s="210" t="s">
        <v>6510</v>
      </c>
      <c r="AF29" s="397" t="s">
        <v>6334</v>
      </c>
      <c r="AG29" s="198" t="s">
        <v>6518</v>
      </c>
      <c r="AH29" s="392" t="s">
        <v>6519</v>
      </c>
      <c r="AI29" s="392" t="s">
        <v>6510</v>
      </c>
      <c r="AJ29" s="393" t="s">
        <v>1273</v>
      </c>
      <c r="AK29" s="209" t="s">
        <v>6520</v>
      </c>
      <c r="AL29" s="210" t="s">
        <v>6521</v>
      </c>
      <c r="AM29" s="210" t="s">
        <v>6510</v>
      </c>
      <c r="AN29" s="390" t="s">
        <v>1273</v>
      </c>
      <c r="AO29" s="394" t="s">
        <v>6522</v>
      </c>
      <c r="AP29" s="214" t="s">
        <v>6523</v>
      </c>
      <c r="AQ29" s="214" t="s">
        <v>6510</v>
      </c>
      <c r="AR29" s="395" t="s">
        <v>1273</v>
      </c>
      <c r="AS29" s="394"/>
      <c r="AT29" s="214"/>
      <c r="AU29" s="214"/>
      <c r="AV29" s="395"/>
    </row>
    <row r="30">
      <c r="A30" s="164" t="s">
        <v>6524</v>
      </c>
      <c r="B30" s="166" t="s">
        <v>6525</v>
      </c>
      <c r="C30" s="166" t="s">
        <v>6526</v>
      </c>
      <c r="D30" s="390" t="s">
        <v>1273</v>
      </c>
      <c r="E30" s="209" t="s">
        <v>6527</v>
      </c>
      <c r="F30" s="210" t="s">
        <v>6528</v>
      </c>
      <c r="G30" s="166" t="s">
        <v>6526</v>
      </c>
      <c r="H30" s="391" t="str">
        <f>IFERROR(__xludf.DUMMYFUNCTION("GOOGLETRANSLATE(D30,""zh-tw"",""ja"")"),"-")</f>
        <v>-</v>
      </c>
      <c r="I30" s="209" t="s">
        <v>6529</v>
      </c>
      <c r="J30" s="210" t="s">
        <v>6530</v>
      </c>
      <c r="K30" s="210" t="s">
        <v>6526</v>
      </c>
      <c r="L30" s="390" t="str">
        <f>IFERROR(__xludf.DUMMYFUNCTION("GOOGLETRANSLATE(D30,""zh-tw"",""en"")"),"-")</f>
        <v>-</v>
      </c>
      <c r="M30" s="209" t="str">
        <f>IFERROR(__xludf.DUMMYFUNCTION("GOOGLETRANSLATE(A30,""zh-tw"",""zh"")"),"小红怪")</f>
        <v>小红怪</v>
      </c>
      <c r="N30" s="210" t="str">
        <f>IFERROR(__xludf.DUMMYFUNCTION("GOOGLETRANSLATE(B30,""zh-tw"",""zh"")"),"来自地狱
受诅胎体")</f>
        <v>来自地狱
受诅胎体</v>
      </c>
      <c r="O30" s="210" t="s">
        <v>6526</v>
      </c>
      <c r="P30" s="390" t="str">
        <f>IFERROR(__xludf.DUMMYFUNCTION("GOOGLETRANSLATE(D30,""zh-tw"",""zh"")"),"-")</f>
        <v>-</v>
      </c>
      <c r="Q30" s="164" t="str">
        <f>IFERROR(__xludf.DUMMYFUNCTION("GOOGLETRANSLATE(A30,""zh-tw"",""es-MX"")"),"El pequeño monstruo rojo")</f>
        <v>El pequeño monstruo rojo</v>
      </c>
      <c r="R30" s="210" t="str">
        <f>IFERROR(__xludf.DUMMYFUNCTION("GOOGLETRANSLATE(B30,""zh-tw"",""es-MX"")"),"Desde el infierno, embrión maldito")</f>
        <v>Desde el infierno, embrión maldito</v>
      </c>
      <c r="S30" s="210" t="s">
        <v>6526</v>
      </c>
      <c r="T30" s="390" t="str">
        <f>IFERROR(__xludf.DUMMYFUNCTION("GOOGLETRANSLATE(D30,""zh-tw"",""es-MX"")"),"-")</f>
        <v>-</v>
      </c>
      <c r="U30" s="209" t="str">
        <f>IFERROR(__xludf.DUMMYFUNCTION("GOOGLETRANSLATE(A30,""zh-tw"",""KO"")"),"빨간 괴물")</f>
        <v>빨간 괴물</v>
      </c>
      <c r="V30" s="166" t="str">
        <f>IFERROR(__xludf.DUMMYFUNCTION("GOOGLETRANSLATE(B30,""zh-tw"",""KO"")"),"지옥에서 온 저주받은 배아")</f>
        <v>지옥에서 온 저주받은 배아</v>
      </c>
      <c r="W30" s="166" t="s">
        <v>6526</v>
      </c>
      <c r="X30" s="391" t="str">
        <f>IFERROR(__xludf.DUMMYFUNCTION("GOOGLETRANSLATE(D30,""zh-tw"",""KO"")"),"-")</f>
        <v>-</v>
      </c>
      <c r="Y30" s="164" t="s">
        <v>6531</v>
      </c>
      <c r="Z30" s="166" t="s">
        <v>6532</v>
      </c>
      <c r="AA30" s="166" t="s">
        <v>6526</v>
      </c>
      <c r="AB30" s="390" t="s">
        <v>1273</v>
      </c>
      <c r="AC30" s="209" t="s">
        <v>6533</v>
      </c>
      <c r="AD30" s="210" t="s">
        <v>6534</v>
      </c>
      <c r="AE30" s="210" t="s">
        <v>6526</v>
      </c>
      <c r="AF30" s="397" t="s">
        <v>6334</v>
      </c>
      <c r="AG30" s="198" t="s">
        <v>6535</v>
      </c>
      <c r="AH30" s="392" t="s">
        <v>6536</v>
      </c>
      <c r="AI30" s="392" t="s">
        <v>6526</v>
      </c>
      <c r="AJ30" s="393" t="s">
        <v>1273</v>
      </c>
      <c r="AK30" s="209" t="s">
        <v>6537</v>
      </c>
      <c r="AL30" s="177" t="s">
        <v>6538</v>
      </c>
      <c r="AM30" s="210" t="s">
        <v>6526</v>
      </c>
      <c r="AN30" s="390" t="s">
        <v>1273</v>
      </c>
      <c r="AO30" s="394" t="s">
        <v>6539</v>
      </c>
      <c r="AP30" s="214" t="s">
        <v>6540</v>
      </c>
      <c r="AQ30" s="214" t="s">
        <v>6526</v>
      </c>
      <c r="AR30" s="395" t="s">
        <v>1273</v>
      </c>
      <c r="AS30" s="394"/>
      <c r="AT30" s="214"/>
      <c r="AU30" s="214"/>
      <c r="AV30" s="395"/>
    </row>
    <row r="31">
      <c r="A31" s="164" t="s">
        <v>6541</v>
      </c>
      <c r="B31" s="166" t="s">
        <v>6542</v>
      </c>
      <c r="C31" s="166" t="s">
        <v>6543</v>
      </c>
      <c r="D31" s="390" t="s">
        <v>1273</v>
      </c>
      <c r="E31" s="209" t="s">
        <v>6544</v>
      </c>
      <c r="F31" s="210" t="s">
        <v>6545</v>
      </c>
      <c r="G31" s="166" t="s">
        <v>6543</v>
      </c>
      <c r="H31" s="391" t="str">
        <f>IFERROR(__xludf.DUMMYFUNCTION("GOOGLETRANSLATE(D31,""zh-tw"",""ja"")"),"-")</f>
        <v>-</v>
      </c>
      <c r="I31" s="209" t="s">
        <v>6546</v>
      </c>
      <c r="J31" s="210" t="s">
        <v>6547</v>
      </c>
      <c r="K31" s="210" t="s">
        <v>6543</v>
      </c>
      <c r="L31" s="390" t="str">
        <f>IFERROR(__xludf.DUMMYFUNCTION("GOOGLETRANSLATE(D31,""zh-tw"",""en"")"),"-")</f>
        <v>-</v>
      </c>
      <c r="M31" s="209" t="str">
        <f>IFERROR(__xludf.DUMMYFUNCTION("GOOGLETRANSLATE(A31,""zh-tw"",""zh"")"),"恶魔猫")</f>
        <v>恶魔猫</v>
      </c>
      <c r="N31" s="210" t="str">
        <f>IFERROR(__xludf.DUMMYFUNCTION("GOOGLETRANSLATE(B31,""zh-tw"",""zh"")"),"随机塔罗牌
随机符文
卢恩符文R
卢恩符文E
魔力汲取手套
星月夜
招财猫")</f>
        <v>随机塔罗牌
随机符文
卢恩符文R
卢恩符文E
魔力汲取手套
星月夜
招财猫</v>
      </c>
      <c r="O31" s="210" t="s">
        <v>6543</v>
      </c>
      <c r="P31" s="390" t="str">
        <f>IFERROR(__xludf.DUMMYFUNCTION("GOOGLETRANSLATE(D31,""zh-tw"",""zh"")"),"-")</f>
        <v>-</v>
      </c>
      <c r="Q31" s="164" t="str">
        <f>IFERROR(__xludf.DUMMYFUNCTION("GOOGLETRANSLATE(A31,""zh-tw"",""es-MX"")"),"Gato Diablo")</f>
        <v>Gato Diablo</v>
      </c>
      <c r="R31" s="210" t="str">
        <f>IFERROR(__xludf.DUMMYFUNCTION("GOOGLETRANSLATE(B31,""zh-tw"",""es-MX"")"),"Cartas de Tarot Aleatorias
Runas Aleatorias
Runa R
Runa E
Guantes de Drenaje de Maná
Noche Estrellada
Gato de la Suerte")</f>
        <v>Cartas de Tarot Aleatorias
Runas Aleatorias
Runa R
Runa E
Guantes de Drenaje de Maná
Noche Estrellada
Gato de la Suerte</v>
      </c>
      <c r="S31" s="210" t="s">
        <v>6543</v>
      </c>
      <c r="T31" s="390" t="str">
        <f>IFERROR(__xludf.DUMMYFUNCTION("GOOGLETRANSLATE(D31,""zh-tw"",""es-MX"")"),"-")</f>
        <v>-</v>
      </c>
      <c r="U31" s="209" t="str">
        <f>IFERROR(__xludf.DUMMYFUNCTION("GOOGLETRANSLATE(A31,""zh-tw"",""KO"")"),"악마 고양이")</f>
        <v>악마 고양이</v>
      </c>
      <c r="V31" s="166" t="str">
        <f>IFERROR(__xludf.DUMMYFUNCTION("GOOGLETRANSLATE(B31,""zh-tw"",""KO"")"),"랜덤 타로 카드
랜덤 룬
룬 R
룬 E
마나 흡수 장갑
별이 빛나는 밤
행운의 고양이")</f>
        <v>랜덤 타로 카드
랜덤 룬
룬 R
룬 E
마나 흡수 장갑
별이 빛나는 밤
행운의 고양이</v>
      </c>
      <c r="W31" s="166" t="s">
        <v>6543</v>
      </c>
      <c r="X31" s="391" t="str">
        <f>IFERROR(__xludf.DUMMYFUNCTION("GOOGLETRANSLATE(D31,""zh-tw"",""KO"")"),"-")</f>
        <v>-</v>
      </c>
      <c r="Y31" s="164" t="s">
        <v>6548</v>
      </c>
      <c r="Z31" s="166" t="s">
        <v>6549</v>
      </c>
      <c r="AA31" s="166" t="s">
        <v>6543</v>
      </c>
      <c r="AB31" s="390" t="s">
        <v>1273</v>
      </c>
      <c r="AC31" s="209" t="s">
        <v>6550</v>
      </c>
      <c r="AD31" s="210" t="s">
        <v>6551</v>
      </c>
      <c r="AE31" s="210" t="s">
        <v>6543</v>
      </c>
      <c r="AF31" s="397" t="s">
        <v>6334</v>
      </c>
      <c r="AG31" s="198" t="s">
        <v>6552</v>
      </c>
      <c r="AH31" s="392" t="s">
        <v>6553</v>
      </c>
      <c r="AI31" s="392" t="s">
        <v>6543</v>
      </c>
      <c r="AJ31" s="393" t="s">
        <v>1273</v>
      </c>
      <c r="AK31" s="209" t="s">
        <v>6554</v>
      </c>
      <c r="AL31" s="177" t="s">
        <v>6555</v>
      </c>
      <c r="AM31" s="210" t="s">
        <v>6543</v>
      </c>
      <c r="AN31" s="390" t="s">
        <v>1273</v>
      </c>
      <c r="AO31" s="394" t="s">
        <v>6556</v>
      </c>
      <c r="AP31" s="214" t="s">
        <v>6557</v>
      </c>
      <c r="AQ31" s="214" t="s">
        <v>6543</v>
      </c>
      <c r="AR31" s="395" t="s">
        <v>1273</v>
      </c>
      <c r="AS31" s="394"/>
      <c r="AT31" s="214"/>
      <c r="AU31" s="214"/>
      <c r="AV31" s="395"/>
    </row>
    <row r="32">
      <c r="A32" s="164" t="s">
        <v>6558</v>
      </c>
      <c r="B32" s="166" t="s">
        <v>6559</v>
      </c>
      <c r="C32" s="166" t="s">
        <v>6560</v>
      </c>
      <c r="D32" s="390" t="s">
        <v>1273</v>
      </c>
      <c r="E32" s="164" t="str">
        <f>IFERROR(__xludf.DUMMYFUNCTION("GOOGLETRANSLATE(A32,""zh-tw"",""ja"")"),"復讐心に燃える霊たち")</f>
        <v>復讐心に燃える霊たち</v>
      </c>
      <c r="F32" s="166" t="s">
        <v>6561</v>
      </c>
      <c r="G32" s="166" t="s">
        <v>6560</v>
      </c>
      <c r="H32" s="391" t="str">
        <f>IFERROR(__xludf.DUMMYFUNCTION("GOOGLETRANSLATE(D32,""zh-tw"",""ja"")"),"-")</f>
        <v>-</v>
      </c>
      <c r="I32" s="176" t="s">
        <v>6562</v>
      </c>
      <c r="J32" s="210" t="s">
        <v>6563</v>
      </c>
      <c r="K32" s="210" t="s">
        <v>6560</v>
      </c>
      <c r="L32" s="390" t="str">
        <f>IFERROR(__xludf.DUMMYFUNCTION("GOOGLETRANSLATE(D32,""zh-tw"",""en"")"),"-")</f>
        <v>-</v>
      </c>
      <c r="M32" s="209" t="str">
        <f>IFERROR(__xludf.DUMMYFUNCTION("GOOGLETRANSLATE(A32,""zh-tw"",""zh"")"),"怨灵")</f>
        <v>怨灵</v>
      </c>
      <c r="N32" s="210" t="str">
        <f>IFERROR(__xludf.DUMMYFUNCTION("GOOGLETRANSLATE(B32,""zh-tw"",""zh"")"),"随机塔罗牌
随机符文
魔力晶簇
堕落法师的手套
精神凝聚头环")</f>
        <v>随机塔罗牌
随机符文
魔力晶簇
堕落法师的手套
精神凝聚头环</v>
      </c>
      <c r="O32" s="210" t="s">
        <v>6560</v>
      </c>
      <c r="P32" s="390" t="str">
        <f>IFERROR(__xludf.DUMMYFUNCTION("GOOGLETRANSLATE(D32,""zh-tw"",""zh"")"),"-")</f>
        <v>-</v>
      </c>
      <c r="Q32" s="164" t="str">
        <f>IFERROR(__xludf.DUMMYFUNCTION("GOOGLETRANSLATE(A32,""zh-tw"",""es-MX"")"),"espíritus vengativos")</f>
        <v>espíritus vengativos</v>
      </c>
      <c r="R32" s="166" t="str">
        <f>IFERROR(__xludf.DUMMYFUNCTION("GOOGLETRANSLATE(B32,""zh-tw"",""es-MX"")"),"Cartas de Tarot Aleatorias
Runas Aleatorias
Racimos de Cristales Mágicos
Guantes de Mago Caído
Diadema de Concentración Espiritual")</f>
        <v>Cartas de Tarot Aleatorias
Runas Aleatorias
Racimos de Cristales Mágicos
Guantes de Mago Caído
Diadema de Concentración Espiritual</v>
      </c>
      <c r="S32" s="210" t="s">
        <v>6560</v>
      </c>
      <c r="T32" s="390" t="str">
        <f>IFERROR(__xludf.DUMMYFUNCTION("GOOGLETRANSLATE(D32,""zh-tw"",""es-MX"")"),"-")</f>
        <v>-</v>
      </c>
      <c r="U32" s="209" t="str">
        <f>IFERROR(__xludf.DUMMYFUNCTION("GOOGLETRANSLATE(A32,""zh-tw"",""KO"")"),"복수심에 불타는 영혼들")</f>
        <v>복수심에 불타는 영혼들</v>
      </c>
      <c r="V32" s="166" t="str">
        <f>IFERROR(__xludf.DUMMYFUNCTION("GOOGLETRANSLATE(B32,""zh-tw"",""KO"")"),"랜덤 타로 카드
랜덤 룬 문자
마법 수정 덩어리
타락한 마법사의 장갑
정신 집중 머리띠")</f>
        <v>랜덤 타로 카드
랜덤 룬 문자
마법 수정 덩어리
타락한 마법사의 장갑
정신 집중 머리띠</v>
      </c>
      <c r="W32" s="166" t="s">
        <v>6560</v>
      </c>
      <c r="X32" s="391" t="str">
        <f>IFERROR(__xludf.DUMMYFUNCTION("GOOGLETRANSLATE(D32,""zh-tw"",""KO"")"),"-")</f>
        <v>-</v>
      </c>
      <c r="Y32" s="164" t="s">
        <v>6564</v>
      </c>
      <c r="Z32" s="166" t="s">
        <v>6565</v>
      </c>
      <c r="AA32" s="166" t="s">
        <v>6560</v>
      </c>
      <c r="AB32" s="390" t="s">
        <v>1273</v>
      </c>
      <c r="AC32" s="209" t="s">
        <v>6566</v>
      </c>
      <c r="AD32" s="210" t="s">
        <v>6567</v>
      </c>
      <c r="AE32" s="210" t="s">
        <v>6560</v>
      </c>
      <c r="AF32" s="397" t="s">
        <v>6334</v>
      </c>
      <c r="AG32" s="198" t="s">
        <v>6568</v>
      </c>
      <c r="AH32" s="392" t="s">
        <v>6569</v>
      </c>
      <c r="AI32" s="392" t="s">
        <v>6560</v>
      </c>
      <c r="AJ32" s="393" t="s">
        <v>1273</v>
      </c>
      <c r="AK32" s="209" t="s">
        <v>6570</v>
      </c>
      <c r="AL32" s="177" t="s">
        <v>6571</v>
      </c>
      <c r="AM32" s="210" t="s">
        <v>6560</v>
      </c>
      <c r="AN32" s="390" t="s">
        <v>1273</v>
      </c>
      <c r="AO32" s="394" t="s">
        <v>6572</v>
      </c>
      <c r="AP32" s="214" t="s">
        <v>6573</v>
      </c>
      <c r="AQ32" s="214" t="s">
        <v>6560</v>
      </c>
      <c r="AR32" s="395" t="s">
        <v>1273</v>
      </c>
      <c r="AS32" s="394"/>
      <c r="AT32" s="214"/>
      <c r="AU32" s="214"/>
      <c r="AV32" s="395"/>
    </row>
    <row r="33">
      <c r="A33" s="164" t="s">
        <v>6574</v>
      </c>
      <c r="B33" s="166" t="s">
        <v>6575</v>
      </c>
      <c r="C33" s="166" t="s">
        <v>6576</v>
      </c>
      <c r="D33" s="390" t="s">
        <v>1273</v>
      </c>
      <c r="E33" s="209" t="str">
        <f>IFERROR(__xludf.DUMMYFUNCTION("GOOGLETRANSLATE(A33,""zh-tw"",""ja"")"),"ゾンビ")</f>
        <v>ゾンビ</v>
      </c>
      <c r="F33" s="210" t="s">
        <v>6577</v>
      </c>
      <c r="G33" s="166" t="s">
        <v>6576</v>
      </c>
      <c r="H33" s="391" t="str">
        <f>IFERROR(__xludf.DUMMYFUNCTION("GOOGLETRANSLATE(D33,""zh-tw"",""ja"")"),"-")</f>
        <v>-</v>
      </c>
      <c r="I33" s="209" t="s">
        <v>6578</v>
      </c>
      <c r="J33" s="210" t="s">
        <v>6579</v>
      </c>
      <c r="K33" s="210" t="s">
        <v>6576</v>
      </c>
      <c r="L33" s="390" t="str">
        <f>IFERROR(__xludf.DUMMYFUNCTION("GOOGLETRANSLATE(D33,""zh-tw"",""en"")"),"-")</f>
        <v>-</v>
      </c>
      <c r="M33" s="209" t="str">
        <f>IFERROR(__xludf.DUMMYFUNCTION("GOOGLETRANSLATE(A33,""zh-tw"",""zh"")"),"丧尸")</f>
        <v>丧尸</v>
      </c>
      <c r="N33" s="210" t="str">
        <f>IFERROR(__xludf.DUMMYFUNCTION("GOOGLETRANSLATE(B33,""zh-tw"",""zh"")"),"垃圾
毒蛇之拥
毅力头巾
臭鱼骨")</f>
        <v>垃圾
毒蛇之拥
毅力头巾
臭鱼骨</v>
      </c>
      <c r="O33" s="210" t="s">
        <v>6576</v>
      </c>
      <c r="P33" s="391" t="str">
        <f>IFERROR(__xludf.DUMMYFUNCTION("GOOGLETRANSLATE(D33,""zh-tw"",""zh"")"),"-")</f>
        <v>-</v>
      </c>
      <c r="Q33" s="209" t="str">
        <f>IFERROR(__xludf.DUMMYFUNCTION("GOOGLETRANSLATE(A33,""zh-tw"",""es-MX"")"),"Zombis")</f>
        <v>Zombis</v>
      </c>
      <c r="R33" s="210" t="str">
        <f>IFERROR(__xludf.DUMMYFUNCTION("GOOGLETRANSLATE(B33,""zh-tw"",""es-MX"")"),"Basura; Abrazo de serpiente; Diadema de perseverancia; Espinas de pescado apestosas")</f>
        <v>Basura; Abrazo de serpiente; Diadema de perseverancia; Espinas de pescado apestosas</v>
      </c>
      <c r="S33" s="210" t="s">
        <v>6576</v>
      </c>
      <c r="T33" s="390" t="str">
        <f>IFERROR(__xludf.DUMMYFUNCTION("GOOGLETRANSLATE(D33,""zh-tw"",""es-MX"")"),"-")</f>
        <v>-</v>
      </c>
      <c r="U33" s="209" t="str">
        <f>IFERROR(__xludf.DUMMYFUNCTION("GOOGLETRANSLATE(A33,""zh-tw"",""KO"")"),"좀비")</f>
        <v>좀비</v>
      </c>
      <c r="V33" s="166" t="str">
        <f>IFERROR(__xludf.DUMMYFUNCTION("GOOGLETRANSLATE(B33,""zh-tw"",""KO"")"),"쓰레기; 뱀의 포옹; 인내의 머리띠; 냄새나는 생선 뼈")</f>
        <v>쓰레기; 뱀의 포옹; 인내의 머리띠; 냄새나는 생선 뼈</v>
      </c>
      <c r="W33" s="166" t="s">
        <v>6576</v>
      </c>
      <c r="X33" s="391" t="str">
        <f>IFERROR(__xludf.DUMMYFUNCTION("GOOGLETRANSLATE(D33,""zh-tw"",""KO"")"),"-")</f>
        <v>-</v>
      </c>
      <c r="Y33" s="164" t="s">
        <v>6580</v>
      </c>
      <c r="Z33" s="166" t="s">
        <v>6581</v>
      </c>
      <c r="AA33" s="166" t="s">
        <v>6576</v>
      </c>
      <c r="AB33" s="390" t="s">
        <v>1273</v>
      </c>
      <c r="AC33" s="209" t="s">
        <v>6582</v>
      </c>
      <c r="AD33" s="210" t="s">
        <v>6583</v>
      </c>
      <c r="AE33" s="210" t="s">
        <v>6576</v>
      </c>
      <c r="AF33" s="397" t="s">
        <v>6334</v>
      </c>
      <c r="AG33" s="198" t="s">
        <v>6578</v>
      </c>
      <c r="AH33" s="392" t="s">
        <v>6584</v>
      </c>
      <c r="AI33" s="392" t="s">
        <v>6576</v>
      </c>
      <c r="AJ33" s="393" t="s">
        <v>1273</v>
      </c>
      <c r="AK33" s="209" t="s">
        <v>6585</v>
      </c>
      <c r="AL33" s="177" t="s">
        <v>6586</v>
      </c>
      <c r="AM33" s="210" t="s">
        <v>6576</v>
      </c>
      <c r="AN33" s="390" t="s">
        <v>1273</v>
      </c>
      <c r="AO33" s="394" t="s">
        <v>6578</v>
      </c>
      <c r="AP33" s="214" t="s">
        <v>6587</v>
      </c>
      <c r="AQ33" s="214" t="s">
        <v>6576</v>
      </c>
      <c r="AR33" s="395" t="s">
        <v>1273</v>
      </c>
      <c r="AS33" s="394"/>
      <c r="AT33" s="214"/>
      <c r="AU33" s="214"/>
      <c r="AV33" s="395"/>
    </row>
    <row r="34">
      <c r="A34" s="164" t="s">
        <v>6588</v>
      </c>
      <c r="B34" s="166" t="s">
        <v>6589</v>
      </c>
      <c r="C34" s="166" t="s">
        <v>6590</v>
      </c>
      <c r="D34" s="390" t="s">
        <v>6591</v>
      </c>
      <c r="E34" s="209" t="s">
        <v>6592</v>
      </c>
      <c r="F34" s="210" t="str">
        <f>IFERROR(__xludf.DUMMYFUNCTION("GOOGLETRANSLATE(B34,""zh-tw"",""ja"")"),"怒りの拳
シェリスの呪われた手
カーネリアンのペンダント*")</f>
        <v>怒りの拳
シェリスの呪われた手
カーネリアンのペンダント*</v>
      </c>
      <c r="G34" s="166" t="s">
        <v>6590</v>
      </c>
      <c r="H34" s="391" t="str">
        <f>IFERROR(__xludf.DUMMYFUNCTION("GOOGLETRANSLATE(D34,""zh-tw"",""ja"")"),"* 赤い翡翠のペンダントは特別なドロップアイテムです。入手するには、10体以上のモンスターを倒す必要があります。")</f>
        <v>* 赤い翡翠のペンダントは特別なドロップアイテムです。入手するには、10体以上のモンスターを倒す必要があります。</v>
      </c>
      <c r="I34" s="209" t="s">
        <v>6593</v>
      </c>
      <c r="J34" s="210" t="s">
        <v>6594</v>
      </c>
      <c r="K34" s="210" t="s">
        <v>6590</v>
      </c>
      <c r="L34" s="390" t="s">
        <v>6595</v>
      </c>
      <c r="M34" s="209" t="str">
        <f>IFERROR(__xludf.DUMMYFUNCTION("GOOGLETRANSLATE(A34,""zh-tw"",""zh"")"),"堕落法师的断手")</f>
        <v>堕落法师的断手</v>
      </c>
      <c r="N34" s="210" t="str">
        <f>IFERROR(__xludf.DUMMYFUNCTION("GOOGLETRANSLATE(B34,""zh-tw"",""zh"")"),"愤怒的拳头
谢里斯的诅咒之手
红髓玉吊坠 *")</f>
        <v>愤怒的拳头
谢里斯的诅咒之手
红髓玉吊坠 *</v>
      </c>
      <c r="O34" s="210" t="s">
        <v>6590</v>
      </c>
      <c r="P34" s="391" t="str">
        <f>IFERROR(__xludf.DUMMYFUNCTION("GOOGLETRANSLATE(D34,""zh-tw"",""zh"")"),"* 红髓玉吊坠 是特殊掉落，需要击杀10只以上才有可能掉落。")</f>
        <v>* 红髓玉吊坠 是特殊掉落，需要击杀10只以上才有可能掉落。</v>
      </c>
      <c r="Q34" s="209" t="str">
        <f>IFERROR(__xludf.DUMMYFUNCTION("GOOGLETRANSLATE(A34,""zh-tw"",""es-MX"")"),"La mano cercenada del mago caído")</f>
        <v>La mano cercenada del mago caído</v>
      </c>
      <c r="R34" s="210" t="str">
        <f>IFERROR(__xludf.DUMMYFUNCTION("GOOGLETRANSLATE(B34,""zh-tw"",""es-MX"")"),"Un puño furioso
La mano maldita de Sheris
Colgante de cornalina *")</f>
        <v>Un puño furioso
La mano maldita de Sheris
Colgante de cornalina *</v>
      </c>
      <c r="S34" s="210" t="s">
        <v>6590</v>
      </c>
      <c r="T34" s="390" t="str">
        <f>IFERROR(__xludf.DUMMYFUNCTION("GOOGLETRANSLATE(D34,""zh-tw"",""es-MX"")"),"* El colgante de jade rojo es un objeto especial; necesitas matar 10 o más monstruos para tener la posibilidad de conseguirlo.")</f>
        <v>* El colgante de jade rojo es un objeto especial; necesitas matar 10 o más monstruos para tener la posibilidad de conseguirlo.</v>
      </c>
      <c r="U34" s="209" t="str">
        <f>IFERROR(__xludf.DUMMYFUNCTION("GOOGLETRANSLATE(A34,""zh-tw"",""KO"")"),"타락한 마법사의 잘린 손")</f>
        <v>타락한 마법사의 잘린 손</v>
      </c>
      <c r="V34" s="166" t="str">
        <f>IFERROR(__xludf.DUMMYFUNCTION("GOOGLETRANSLATE(B34,""zh-tw"",""KO"")"),"분노에 찬 주먹
셰리스의 저주받은 손
카넬리언 펜던트 *")</f>
        <v>분노에 찬 주먹
셰리스의 저주받은 손
카넬리언 펜던트 *</v>
      </c>
      <c r="W34" s="166" t="s">
        <v>6590</v>
      </c>
      <c r="X34" s="391" t="str">
        <f>IFERROR(__xludf.DUMMYFUNCTION("GOOGLETRANSLATE(D34,""zh-tw"",""KO"")"),"* 붉은 옥 펜던트는 특별 드롭 아이템입니다. 10마리 이상의 몬스터를 처치해야 획득 확률이 높아집니다.")</f>
        <v>* 붉은 옥 펜던트는 특별 드롭 아이템입니다. 10마리 이상의 몬스터를 처치해야 획득 확률이 높아집니다.</v>
      </c>
      <c r="Y34" s="164" t="s">
        <v>6596</v>
      </c>
      <c r="Z34" s="166" t="s">
        <v>6597</v>
      </c>
      <c r="AA34" s="166" t="s">
        <v>6590</v>
      </c>
      <c r="AB34" s="390" t="s">
        <v>6598</v>
      </c>
      <c r="AC34" s="209" t="s">
        <v>6599</v>
      </c>
      <c r="AD34" s="210" t="s">
        <v>6600</v>
      </c>
      <c r="AE34" s="210" t="s">
        <v>6590</v>
      </c>
      <c r="AF34" s="390" t="s">
        <v>1273</v>
      </c>
      <c r="AG34" s="198" t="s">
        <v>6601</v>
      </c>
      <c r="AH34" s="392" t="s">
        <v>6602</v>
      </c>
      <c r="AI34" s="392" t="s">
        <v>6590</v>
      </c>
      <c r="AJ34" s="393" t="s">
        <v>6603</v>
      </c>
      <c r="AK34" s="209" t="s">
        <v>6604</v>
      </c>
      <c r="AL34" s="210" t="s">
        <v>6605</v>
      </c>
      <c r="AM34" s="210" t="s">
        <v>6590</v>
      </c>
      <c r="AN34" s="390" t="s">
        <v>6606</v>
      </c>
      <c r="AO34" s="394" t="s">
        <v>6607</v>
      </c>
      <c r="AP34" s="214" t="s">
        <v>6608</v>
      </c>
      <c r="AQ34" s="214" t="s">
        <v>6590</v>
      </c>
      <c r="AR34" s="395" t="s">
        <v>6609</v>
      </c>
      <c r="AS34" s="394"/>
      <c r="AT34" s="214"/>
      <c r="AU34" s="214"/>
      <c r="AV34" s="395"/>
    </row>
    <row r="35">
      <c r="A35" s="386" t="s">
        <v>6610</v>
      </c>
      <c r="E35" s="387" t="str">
        <f>IFERROR(__xludf.DUMMYFUNCTION("GOOGLETRANSLATE(A35,""zh-tw"",""ja"")"),"ボス/特殊クリーチャー")</f>
        <v>ボス/特殊クリーチャー</v>
      </c>
      <c r="I35" s="387" t="s">
        <v>6611</v>
      </c>
      <c r="M35" s="387" t="str">
        <f>IFERROR(__xludf.DUMMYFUNCTION("GOOGLETRANSLATE(A35,""zh-tw"",""zh"")"),"BOSS/特殊生物")</f>
        <v>BOSS/特殊生物</v>
      </c>
      <c r="Q35" s="387" t="str">
        <f>IFERROR(__xludf.DUMMYFUNCTION("GOOGLETRANSLATE(A35,""zh-tw"",""es-MX"")"),"JEFE/Criatura especial")</f>
        <v>JEFE/Criatura especial</v>
      </c>
      <c r="U35" s="387" t="str">
        <f>IFERROR(__xludf.DUMMYFUNCTION("GOOGLETRANSLATE(A35,""zh-tw"",""KO"")"),"보스/특수 생물")</f>
        <v>보스/특수 생물</v>
      </c>
      <c r="Y35" s="386" t="s">
        <v>6612</v>
      </c>
      <c r="AC35" s="387" t="str">
        <f>IFERROR(__xludf.DUMMYFUNCTION("GOOGLETRANSLATE(A34,""zh-tw"",""DE"")"),"Die abgetrennte Hand des gefallenen Magiers")</f>
        <v>Die abgetrennte Hand des gefallenen Magiers</v>
      </c>
      <c r="AG35" s="389" t="s">
        <v>6613</v>
      </c>
      <c r="AK35" s="387" t="s">
        <v>6611</v>
      </c>
      <c r="AO35" s="399" t="s">
        <v>6614</v>
      </c>
      <c r="AS35" s="399"/>
    </row>
    <row r="36">
      <c r="A36" s="164" t="s">
        <v>6615</v>
      </c>
      <c r="B36" s="166" t="s">
        <v>6616</v>
      </c>
      <c r="C36" s="166" t="s">
        <v>6617</v>
      </c>
      <c r="D36" s="390" t="s">
        <v>6618</v>
      </c>
      <c r="E36" s="176" t="s">
        <v>6619</v>
      </c>
      <c r="F36" s="210" t="s">
        <v>6620</v>
      </c>
      <c r="G36" s="166" t="s">
        <v>6617</v>
      </c>
      <c r="H36" s="391" t="s">
        <v>6621</v>
      </c>
      <c r="I36" s="209" t="s">
        <v>6622</v>
      </c>
      <c r="J36" s="210" t="s">
        <v>6623</v>
      </c>
      <c r="K36" s="210" t="s">
        <v>6617</v>
      </c>
      <c r="L36" s="390" t="s">
        <v>6624</v>
      </c>
      <c r="M36" s="209" t="str">
        <f>IFERROR(__xludf.DUMMYFUNCTION("GOOGLETRANSLATE(A36,""zh-tw"",""zh"")"),"狂乱的红兽")</f>
        <v>狂乱的红兽</v>
      </c>
      <c r="N36" s="210" t="str">
        <f>IFERROR(__xludf.DUMMYFUNCTION("GOOGLETRANSLATE(B36,""zh-tw"",""zh"")"),"天上之石碎片
不幸的诞生
寄坏剑
血狩")</f>
        <v>天上之石碎片
不幸的诞生
寄坏剑
血狩</v>
      </c>
      <c r="O36" s="210" t="s">
        <v>6617</v>
      </c>
      <c r="P36" s="390" t="str">
        <f>IFERROR(__xludf.DUMMYFUNCTION("GOOGLETRANSLATE(D36,""zh-tw"",""zh"")"),"遗迹BOSS 
弱点：毒")</f>
        <v>遗迹BOSS 
弱点：毒</v>
      </c>
      <c r="Q36" s="209" t="str">
        <f>IFERROR(__xludf.DUMMYFUNCTION("GOOGLETRANSLATE(A36,""zh-tw"",""es-MX"")"),"La bestia roja enloquecida")</f>
        <v>La bestia roja enloquecida</v>
      </c>
      <c r="R36" s="210" t="str">
        <f>IFERROR(__xludf.DUMMYFUNCTION("GOOGLETRANSLATE(B36,""zh-tw"",""es-MX"")"),"Fragmentos de una piedra del cielo; Un nacimiento desafortunado; La espada rota; Caza de sangre")</f>
        <v>Fragmentos de una piedra del cielo; Un nacimiento desafortunado; La espada rota; Caza de sangre</v>
      </c>
      <c r="S36" s="210" t="s">
        <v>6617</v>
      </c>
      <c r="T36" s="390" t="str">
        <f>IFERROR(__xludf.DUMMYFUNCTION("GOOGLETRANSLATE(D36,""zh-tw"",""es-MX"")"),"Jefe de las Ruinas
Debilidad: Veneno")</f>
        <v>Jefe de las Ruinas
Debilidad: Veneno</v>
      </c>
      <c r="U36" s="209" t="str">
        <f>IFERROR(__xludf.DUMMYFUNCTION("GOOGLETRANSLATE(A36,""zh-tw"",""KO"")"),"광폭한 붉은 짐승")</f>
        <v>광폭한 붉은 짐승</v>
      </c>
      <c r="V36" s="166" t="s">
        <v>6625</v>
      </c>
      <c r="W36" s="166" t="s">
        <v>6617</v>
      </c>
      <c r="X36" s="391" t="s">
        <v>6626</v>
      </c>
      <c r="Y36" s="164" t="s">
        <v>6627</v>
      </c>
      <c r="Z36" s="166" t="s">
        <v>6628</v>
      </c>
      <c r="AA36" s="166" t="s">
        <v>6617</v>
      </c>
      <c r="AB36" s="390" t="s">
        <v>6629</v>
      </c>
      <c r="AC36" s="209" t="s">
        <v>6630</v>
      </c>
      <c r="AD36" s="210" t="s">
        <v>6631</v>
      </c>
      <c r="AE36" s="210" t="s">
        <v>6617</v>
      </c>
      <c r="AF36" s="390" t="s">
        <v>6632</v>
      </c>
      <c r="AG36" s="198" t="s">
        <v>6633</v>
      </c>
      <c r="AH36" s="392" t="s">
        <v>6634</v>
      </c>
      <c r="AI36" s="392" t="s">
        <v>6617</v>
      </c>
      <c r="AJ36" s="393" t="s">
        <v>6635</v>
      </c>
      <c r="AK36" s="209" t="s">
        <v>6636</v>
      </c>
      <c r="AL36" s="177" t="s">
        <v>6637</v>
      </c>
      <c r="AM36" s="210" t="s">
        <v>6617</v>
      </c>
      <c r="AN36" s="390" t="s">
        <v>6638</v>
      </c>
      <c r="AO36" s="394" t="s">
        <v>6639</v>
      </c>
      <c r="AP36" s="214" t="s">
        <v>6640</v>
      </c>
      <c r="AQ36" s="214" t="s">
        <v>6617</v>
      </c>
      <c r="AR36" s="395" t="s">
        <v>6641</v>
      </c>
      <c r="AS36" s="394"/>
      <c r="AT36" s="214"/>
      <c r="AU36" s="214"/>
      <c r="AV36" s="395"/>
    </row>
    <row r="37">
      <c r="A37" s="164" t="s">
        <v>6642</v>
      </c>
      <c r="B37" s="166" t="s">
        <v>6643</v>
      </c>
      <c r="C37" s="166" t="s">
        <v>6644</v>
      </c>
      <c r="D37" s="391" t="s">
        <v>6645</v>
      </c>
      <c r="E37" s="164" t="s">
        <v>6646</v>
      </c>
      <c r="F37" s="210" t="str">
        <f>IFERROR(__xludf.DUMMYFUNCTION("GOOGLETRANSLATE(B37,""zh-tw"",""ja"")"),"天の石の欠片
ニンジン
メイド服
かわいいうさぎの耳
ニンジンの大剣
凍ったニンジンの大剣
カビの生えたニンジンの大剣")</f>
        <v>天の石の欠片
ニンジン
メイド服
かわいいうさぎの耳
ニンジンの大剣
凍ったニンジンの大剣
カビの生えたニンジンの大剣</v>
      </c>
      <c r="G37" s="166" t="s">
        <v>6644</v>
      </c>
      <c r="H37" s="391" t="s">
        <v>6645</v>
      </c>
      <c r="I37" s="209" t="s">
        <v>6647</v>
      </c>
      <c r="J37" s="210" t="s">
        <v>6648</v>
      </c>
      <c r="K37" s="210" t="s">
        <v>6644</v>
      </c>
      <c r="L37" s="390" t="s">
        <v>6645</v>
      </c>
      <c r="M37" s="209" t="str">
        <f>IFERROR(__xludf.DUMMYFUNCTION("GOOGLETRANSLATE(A37,""zh-tw"",""zh"")"),"箱庭的白兔")</f>
        <v>箱庭的白兔</v>
      </c>
      <c r="N37" s="210" t="str">
        <f>IFERROR(__xludf.DUMMYFUNCTION("GOOGLETRANSLATE(B37,""zh-tw"",""zh"")"),"天上之石碎片
胡萝卜
女仆制服
萌萌兔耳
胡萝卜大剑
冻萝卜大剑
霉萝卜大剑")</f>
        <v>天上之石碎片
胡萝卜
女仆制服
萌萌兔耳
胡萝卜大剑
冻萝卜大剑
霉萝卜大剑</v>
      </c>
      <c r="O37" s="210" t="s">
        <v>6644</v>
      </c>
      <c r="P37" s="391" t="str">
        <f>IFERROR(__xludf.DUMMYFUNCTION("GOOGLETRANSLATE(D37,""zh-tw"",""zh"")"),"BOSS")</f>
        <v>BOSS</v>
      </c>
      <c r="Q37" s="164" t="str">
        <f>IFERROR(__xludf.DUMMYFUNCTION("GOOGLETRANSLATE(A37,""zh-tw"",""es-MX"")"),"El conejo blanco del pequeño jardín")</f>
        <v>El conejo blanco del pequeño jardín</v>
      </c>
      <c r="R37" s="210" t="str">
        <f>IFERROR(__xludf.DUMMYFUNCTION("GOOGLETRANSLATE(B37,""zh-tw"",""es-MX"")"),"Fragmento de Piedra Celestial
Zanahoria
Uniforme de sirvienta
Adorables orejas de conejo
Espada grande de zanahoria
Espada grande de zanahoria congelada
Espada grande de zanahoria mohosa")</f>
        <v>Fragmento de Piedra Celestial
Zanahoria
Uniforme de sirvienta
Adorables orejas de conejo
Espada grande de zanahoria
Espada grande de zanahoria congelada
Espada grande de zanahoria mohosa</v>
      </c>
      <c r="S37" s="210" t="s">
        <v>6644</v>
      </c>
      <c r="T37" s="390" t="str">
        <f>IFERROR(__xludf.DUMMYFUNCTION("GOOGLETRANSLATE(D37,""zh-tw"",""es-MX"")"),"JEFE")</f>
        <v>JEFE</v>
      </c>
      <c r="U37" s="209" t="str">
        <f>IFERROR(__xludf.DUMMYFUNCTION("GOOGLETRANSLATE(A37,""zh-tw"",""KO"")"),"작은 정원의 흰 토끼")</f>
        <v>작은 정원의 흰 토끼</v>
      </c>
      <c r="V37" s="166" t="str">
        <f>IFERROR(__xludf.DUMMYFUNCTION("GOOGLETRANSLATE(B37,""zh-tw"",""KO"")"),"천상의 돌 조각
당근
메이드 유니폼
귀여운 토끼 귀
당근 대검
얼어붙은 당근 대검
곰팡이 핀 당근 대검")</f>
        <v>천상의 돌 조각
당근
메이드 유니폼
귀여운 토끼 귀
당근 대검
얼어붙은 당근 대검
곰팡이 핀 당근 대검</v>
      </c>
      <c r="W37" s="166" t="s">
        <v>6644</v>
      </c>
      <c r="X37" s="391" t="s">
        <v>6645</v>
      </c>
      <c r="Y37" s="164" t="s">
        <v>6649</v>
      </c>
      <c r="Z37" s="166" t="s">
        <v>6650</v>
      </c>
      <c r="AA37" s="166" t="s">
        <v>6644</v>
      </c>
      <c r="AB37" s="390" t="s">
        <v>6651</v>
      </c>
      <c r="AC37" s="209" t="s">
        <v>6652</v>
      </c>
      <c r="AD37" s="210" t="s">
        <v>6653</v>
      </c>
      <c r="AE37" s="210" t="s">
        <v>6644</v>
      </c>
      <c r="AF37" s="390" t="s">
        <v>6654</v>
      </c>
      <c r="AG37" s="198" t="s">
        <v>6655</v>
      </c>
      <c r="AH37" s="392" t="s">
        <v>6656</v>
      </c>
      <c r="AI37" s="392" t="s">
        <v>6644</v>
      </c>
      <c r="AJ37" s="393" t="s">
        <v>6645</v>
      </c>
      <c r="AK37" s="209" t="s">
        <v>6657</v>
      </c>
      <c r="AL37" s="210" t="s">
        <v>6658</v>
      </c>
      <c r="AM37" s="210" t="s">
        <v>6644</v>
      </c>
      <c r="AN37" s="390" t="s">
        <v>6659</v>
      </c>
      <c r="AO37" s="394" t="s">
        <v>6660</v>
      </c>
      <c r="AP37" s="214" t="s">
        <v>6661</v>
      </c>
      <c r="AQ37" s="214" t="s">
        <v>6644</v>
      </c>
      <c r="AR37" s="395" t="s">
        <v>6662</v>
      </c>
      <c r="AS37" s="394"/>
      <c r="AT37" s="214"/>
      <c r="AU37" s="214"/>
      <c r="AV37" s="395"/>
    </row>
    <row r="38">
      <c r="A38" s="164" t="s">
        <v>3537</v>
      </c>
      <c r="B38" s="166" t="s">
        <v>6663</v>
      </c>
      <c r="C38" s="166">
        <v>100.0</v>
      </c>
      <c r="D38" s="390" t="s">
        <v>6664</v>
      </c>
      <c r="E38" s="164" t="str">
        <f>IFERROR(__xludf.DUMMYFUNCTION("GOOGLETRANSLATE(A38,""zh-tw"",""ja"")"),"かかし")</f>
        <v>かかし</v>
      </c>
      <c r="F38" s="166" t="s">
        <v>6665</v>
      </c>
      <c r="G38" s="166">
        <v>100.0</v>
      </c>
      <c r="H38" s="391" t="s">
        <v>6666</v>
      </c>
      <c r="I38" s="164" t="s">
        <v>3543</v>
      </c>
      <c r="J38" s="210" t="s">
        <v>6667</v>
      </c>
      <c r="K38" s="210">
        <v>100.0</v>
      </c>
      <c r="L38" s="390" t="s">
        <v>6668</v>
      </c>
      <c r="M38" s="209" t="str">
        <f>IFERROR(__xludf.DUMMYFUNCTION("GOOGLETRANSLATE(A38,""zh-tw"",""zh"")"),"稻草人")</f>
        <v>稻草人</v>
      </c>
      <c r="N38" s="210" t="str">
        <f>IFERROR(__xludf.DUMMYFUNCTION("GOOGLETRANSLATE(B38,""zh-tw"",""zh"")"),"稻草人的心")</f>
        <v>稻草人的心</v>
      </c>
      <c r="O38" s="210">
        <v>100.0</v>
      </c>
      <c r="P38" s="390" t="str">
        <f>IFERROR(__xludf.DUMMYFUNCTION("GOOGLETRANSLATE(D38,""zh-tw"",""zh"")"),"伤害测试")</f>
        <v>伤害测试</v>
      </c>
      <c r="Q38" s="164" t="str">
        <f>IFERROR(__xludf.DUMMYFUNCTION("GOOGLETRANSLATE(A38,""zh-tw"",""es-MX"")"),"espantapájaros")</f>
        <v>espantapájaros</v>
      </c>
      <c r="R38" s="166" t="str">
        <f>IFERROR(__xludf.DUMMYFUNCTION("GOOGLETRANSLATE(B38,""zh-tw"",""es-MX"")"),"El corazón del espantapájaros")</f>
        <v>El corazón del espantapájaros</v>
      </c>
      <c r="S38" s="210">
        <v>100.0</v>
      </c>
      <c r="T38" s="390" t="str">
        <f>IFERROR(__xludf.DUMMYFUNCTION("GOOGLETRANSLATE(D38,""zh-tw"",""es-MX"")"),"Prueba de daños")</f>
        <v>Prueba de daños</v>
      </c>
      <c r="U38" s="209" t="str">
        <f>IFERROR(__xludf.DUMMYFUNCTION("GOOGLETRANSLATE(A38,""zh-tw"",""KO"")"),"허수아비")</f>
        <v>허수아비</v>
      </c>
      <c r="V38" s="166" t="s">
        <v>6669</v>
      </c>
      <c r="W38" s="166">
        <v>100.0</v>
      </c>
      <c r="X38" s="391" t="s">
        <v>6670</v>
      </c>
      <c r="Y38" s="164" t="s">
        <v>3549</v>
      </c>
      <c r="Z38" s="166" t="s">
        <v>6671</v>
      </c>
      <c r="AA38" s="166">
        <v>100.0</v>
      </c>
      <c r="AB38" s="390" t="s">
        <v>6672</v>
      </c>
      <c r="AC38" s="209" t="s">
        <v>3552</v>
      </c>
      <c r="AD38" s="210" t="s">
        <v>6673</v>
      </c>
      <c r="AE38" s="210">
        <v>100.0</v>
      </c>
      <c r="AF38" s="390" t="s">
        <v>6674</v>
      </c>
      <c r="AG38" s="198" t="s">
        <v>3555</v>
      </c>
      <c r="AH38" s="392" t="s">
        <v>6675</v>
      </c>
      <c r="AI38" s="392">
        <v>100.0</v>
      </c>
      <c r="AJ38" s="393" t="s">
        <v>6676</v>
      </c>
      <c r="AK38" s="209" t="s">
        <v>3558</v>
      </c>
      <c r="AL38" s="210" t="s">
        <v>6677</v>
      </c>
      <c r="AM38" s="210">
        <v>100.0</v>
      </c>
      <c r="AN38" s="390" t="s">
        <v>6678</v>
      </c>
      <c r="AO38" s="394" t="s">
        <v>3561</v>
      </c>
      <c r="AP38" s="214" t="s">
        <v>6679</v>
      </c>
      <c r="AQ38" s="214" t="s">
        <v>6362</v>
      </c>
      <c r="AR38" s="395" t="s">
        <v>6680</v>
      </c>
      <c r="AS38" s="394"/>
      <c r="AT38" s="214"/>
      <c r="AU38" s="214"/>
      <c r="AV38" s="395"/>
    </row>
    <row r="39">
      <c r="A39" s="164" t="s">
        <v>6681</v>
      </c>
      <c r="B39" s="166" t="s">
        <v>6682</v>
      </c>
      <c r="C39" s="166">
        <v>100.0</v>
      </c>
      <c r="D39" s="390" t="s">
        <v>6683</v>
      </c>
      <c r="E39" s="164" t="s">
        <v>6681</v>
      </c>
      <c r="F39" s="166" t="s">
        <v>6684</v>
      </c>
      <c r="G39" s="166">
        <v>100.0</v>
      </c>
      <c r="H39" s="391" t="s">
        <v>6685</v>
      </c>
      <c r="I39" s="164" t="s">
        <v>6681</v>
      </c>
      <c r="J39" s="210" t="s">
        <v>6686</v>
      </c>
      <c r="K39" s="210">
        <v>100.0</v>
      </c>
      <c r="L39" s="390" t="s">
        <v>6687</v>
      </c>
      <c r="M39" s="209" t="str">
        <f>IFERROR(__xludf.DUMMYFUNCTION("GOOGLETRANSLATE(A39,""zh-tw"",""zh"")"),"ASABA")</f>
        <v>ASABA</v>
      </c>
      <c r="N39" s="210" t="str">
        <f>IFERROR(__xludf.DUMMYFUNCTION("GOOGLETRANSLATE(B39,""zh-tw"",""zh"")"),"ASAB的草莓")</f>
        <v>ASAB的草莓</v>
      </c>
      <c r="O39" s="210">
        <v>100.0</v>
      </c>
      <c r="P39" s="390" t="str">
        <f>IFERROR(__xludf.DUMMYFUNCTION("GOOGLETRANSLATE(D39,""zh-tw"",""zh"")"),"浅羽Doro，会吃掉路边的草莓")</f>
        <v>浅羽Doro，会吃掉路边的草莓</v>
      </c>
      <c r="Q39" s="164" t="str">
        <f>IFERROR(__xludf.DUMMYFUNCTION("GOOGLETRANSLATE(A39,""zh-tw"",""es-MX"")"),"ASABA")</f>
        <v>ASABA</v>
      </c>
      <c r="R39" s="166" t="str">
        <f>IFERROR(__xludf.DUMMYFUNCTION("GOOGLETRANSLATE(B39,""zh-tw"",""es-MX"")"),"Fresas de ASAB")</f>
        <v>Fresas de ASAB</v>
      </c>
      <c r="S39" s="210">
        <v>100.0</v>
      </c>
      <c r="T39" s="390" t="str">
        <f>IFERROR(__xludf.DUMMYFUNCTION("GOOGLETRANSLATE(D39,""zh-tw"",""es-MX"")"),"Doro Asaba comerá las fresas que están al borde de la carretera.")</f>
        <v>Doro Asaba comerá las fresas que están al borde de la carretera.</v>
      </c>
      <c r="U39" s="209" t="str">
        <f>IFERROR(__xludf.DUMMYFUNCTION("GOOGLETRANSLATE(A39,""zh-tw"",""KO"")"),"아사바")</f>
        <v>아사바</v>
      </c>
      <c r="V39" s="166" t="str">
        <f>IFERROR(__xludf.DUMMYFUNCTION("GOOGLETRANSLATE(B39,""zh-tw"",""KO"")"),"ASAB의 딸기")</f>
        <v>ASAB의 딸기</v>
      </c>
      <c r="W39" s="166">
        <v>100.0</v>
      </c>
      <c r="X39" s="391" t="str">
        <f>IFERROR(__xludf.DUMMYFUNCTION("GOOGLETRANSLATE(D39,""zh-tw"",""KO"")"),"도로 아사바는 길가에 있는 딸기를 먹을 것이다.")</f>
        <v>도로 아사바는 길가에 있는 딸기를 먹을 것이다.</v>
      </c>
      <c r="Y39" s="164" t="s">
        <v>6688</v>
      </c>
      <c r="Z39" s="166" t="s">
        <v>6689</v>
      </c>
      <c r="AA39" s="166">
        <v>100.0</v>
      </c>
      <c r="AB39" s="390" t="s">
        <v>6690</v>
      </c>
      <c r="AC39" s="209" t="s">
        <v>6681</v>
      </c>
      <c r="AD39" s="210" t="s">
        <v>6691</v>
      </c>
      <c r="AE39" s="210">
        <v>100.0</v>
      </c>
      <c r="AF39" s="390" t="s">
        <v>6692</v>
      </c>
      <c r="AG39" s="198" t="s">
        <v>6693</v>
      </c>
      <c r="AH39" s="392" t="s">
        <v>6694</v>
      </c>
      <c r="AI39" s="392">
        <v>100.0</v>
      </c>
      <c r="AJ39" s="393" t="s">
        <v>6695</v>
      </c>
      <c r="AK39" s="209" t="s">
        <v>6681</v>
      </c>
      <c r="AL39" s="210" t="s">
        <v>6696</v>
      </c>
      <c r="AM39" s="210">
        <v>100.0</v>
      </c>
      <c r="AN39" s="390" t="s">
        <v>6697</v>
      </c>
      <c r="AO39" s="394" t="s">
        <v>6681</v>
      </c>
      <c r="AP39" s="214" t="s">
        <v>6698</v>
      </c>
      <c r="AQ39" s="214" t="s">
        <v>6362</v>
      </c>
      <c r="AR39" s="395" t="s">
        <v>6699</v>
      </c>
      <c r="AS39" s="394"/>
      <c r="AT39" s="214"/>
      <c r="AU39" s="214"/>
      <c r="AV39" s="395"/>
    </row>
    <row r="40">
      <c r="A40" s="164" t="s">
        <v>6700</v>
      </c>
      <c r="B40" s="166" t="s">
        <v>6701</v>
      </c>
      <c r="C40" s="166" t="s">
        <v>6702</v>
      </c>
      <c r="D40" s="391" t="s">
        <v>6703</v>
      </c>
      <c r="E40" s="164" t="s">
        <v>6704</v>
      </c>
      <c r="F40" s="210" t="s">
        <v>6705</v>
      </c>
      <c r="G40" s="166" t="s">
        <v>6702</v>
      </c>
      <c r="H40" s="391" t="str">
        <f>IFERROR(__xludf.DUMMYFUNCTION("GOOGLETRANSLATE(D40,""zh-tw"",""ja"")"),"ボス
* いちごを取り戻せ！！これは特別なドロップアイテムです。即死攻撃を受けるたびにドロップ率が10%上昇し、10回攻撃を受けると必ずドロップします。")</f>
        <v>ボス
* いちごを取り戻せ！！これは特別なドロップアイテムです。即死攻撃を受けるたびにドロップ率が10%上昇し、10回攻撃を受けると必ずドロップします。</v>
      </c>
      <c r="I40" s="209" t="s">
        <v>6706</v>
      </c>
      <c r="J40" s="210" t="s">
        <v>6707</v>
      </c>
      <c r="K40" s="210" t="s">
        <v>6702</v>
      </c>
      <c r="L40" s="390" t="s">
        <v>6708</v>
      </c>
      <c r="M40" s="209" t="str">
        <f>IFERROR(__xludf.DUMMYFUNCTION("GOOGLETRANSLATE(A40,""zh-tw"",""zh"")"),"狂暴的ASABA")</f>
        <v>狂暴的ASABA</v>
      </c>
      <c r="N40" s="210" t="str">
        <f>IFERROR(__xludf.DUMMYFUNCTION("GOOGLETRANSLATE(B40,""zh-tw"",""zh"")"),"ASAB的草莓
把草莓夺回来！ ! *")</f>
        <v>ASAB的草莓
把草莓夺回来！ ! *</v>
      </c>
      <c r="O40" s="210" t="s">
        <v>6702</v>
      </c>
      <c r="P40" s="390" t="str">
        <f>IFERROR(__xludf.DUMMYFUNCTION("GOOGLETRANSLATE(D40,""zh-tw"",""zh"")"),"BOSS
* 把草莓夺回来！ ! 是特殊掉落，被瞬狱杀击中一次增加10%掉落机率，十次必定掉落")</f>
        <v>BOSS
* 把草莓夺回来！ ! 是特殊掉落，被瞬狱杀击中一次增加10%掉落机率，十次必定掉落</v>
      </c>
      <c r="Q40" s="164" t="str">
        <f>IFERROR(__xludf.DUMMYFUNCTION("GOOGLETRANSLATE(A40,""zh-tw"",""es-MX"")"),"Berserk ASABA")</f>
        <v>Berserk ASABA</v>
      </c>
      <c r="R40" s="210" t="str">
        <f>IFERROR(__xludf.DUMMYFUNCTION("GOOGLETRANSLATE(B40,""zh-tw"",""es-MX"")"),"¡Recuperemos las fresas de ASAB!")</f>
        <v>¡Recuperemos las fresas de ASAB!</v>
      </c>
      <c r="S40" s="210" t="s">
        <v>6702</v>
      </c>
      <c r="T40" s="390" t="str">
        <f>IFERROR(__xludf.DUMMYFUNCTION("GOOGLETRANSLATE(D40,""zh-tw"",""es-MX"")"),"JEFE
* ¡Recupera las fresas! Este es un objeto especial; cada golpe de Muerte Instantánea aumenta la probabilidad de obtención en un 10%, y su obtención está garantizada tras diez golpes.")</f>
        <v>JEFE
* ¡Recupera las fresas! Este es un objeto especial; cada golpe de Muerte Instantánea aumenta la probabilidad de obtención en un 10%, y su obtención está garantizada tras diez golpes.</v>
      </c>
      <c r="U40" s="209" t="str">
        <f>IFERROR(__xludf.DUMMYFUNCTION("GOOGLETRANSLATE(A40,""zh-tw"",""KO"")"),"베르세르크 아사바")</f>
        <v>베르세르크 아사바</v>
      </c>
      <c r="V40" s="166" t="str">
        <f>IFERROR(__xludf.DUMMYFUNCTION("GOOGLETRANSLATE(B40,""zh-tw"",""KO"")"),"ASAB의 딸기, 딸기를 되찾자!")</f>
        <v>ASAB의 딸기, 딸기를 되찾자!</v>
      </c>
      <c r="W40" s="166" t="s">
        <v>6702</v>
      </c>
      <c r="X40" s="391" t="s">
        <v>6645</v>
      </c>
      <c r="Y40" s="164" t="s">
        <v>6709</v>
      </c>
      <c r="Z40" s="166" t="s">
        <v>6710</v>
      </c>
      <c r="AA40" s="166" t="s">
        <v>6702</v>
      </c>
      <c r="AB40" s="390" t="s">
        <v>6651</v>
      </c>
      <c r="AC40" s="209" t="str">
        <f>IFERROR(__xludf.DUMMYFUNCTION("GOOGLETRANSLATE(A40,""zh-tw"",""DE"")"),"Berserk ASABA")</f>
        <v>Berserk ASABA</v>
      </c>
      <c r="AD40" s="210" t="str">
        <f>IFERROR(__xludf.DUMMYFUNCTION("GOOGLETRANSLATE(B40,""zh-tw"",""DE"")"),"ASABs Erdbeeren, lasst uns die Erdbeeren zurückholen!")</f>
        <v>ASABs Erdbeeren, lasst uns die Erdbeeren zurückholen!</v>
      </c>
      <c r="AE40" s="210" t="s">
        <v>6702</v>
      </c>
      <c r="AF40" s="390" t="s">
        <v>6645</v>
      </c>
      <c r="AG40" s="198" t="s">
        <v>6693</v>
      </c>
      <c r="AH40" s="392" t="s">
        <v>6711</v>
      </c>
      <c r="AI40" s="392" t="s">
        <v>6702</v>
      </c>
      <c r="AJ40" s="393" t="s">
        <v>6645</v>
      </c>
      <c r="AK40" s="209" t="s">
        <v>6712</v>
      </c>
      <c r="AL40" s="210" t="s">
        <v>6713</v>
      </c>
      <c r="AM40" s="210" t="s">
        <v>6702</v>
      </c>
      <c r="AN40" s="390" t="s">
        <v>6714</v>
      </c>
      <c r="AO40" s="394" t="s">
        <v>6715</v>
      </c>
      <c r="AP40" s="214" t="s">
        <v>6716</v>
      </c>
      <c r="AQ40" s="214" t="s">
        <v>6717</v>
      </c>
      <c r="AR40" s="395" t="s">
        <v>6718</v>
      </c>
      <c r="AS40" s="394"/>
      <c r="AT40" s="214"/>
      <c r="AU40" s="214"/>
      <c r="AV40" s="395"/>
    </row>
    <row r="41">
      <c r="A41" s="164" t="s">
        <v>6719</v>
      </c>
      <c r="B41" s="166" t="s">
        <v>6720</v>
      </c>
      <c r="C41" s="166">
        <v>100.0</v>
      </c>
      <c r="D41" s="391" t="s">
        <v>6721</v>
      </c>
      <c r="E41" s="164" t="str">
        <f>IFERROR(__xludf.DUMMYFUNCTION("GOOGLETRANSLATE(A41,""zh-tw"",""ja"")"),"アサバ")</f>
        <v>アサバ</v>
      </c>
      <c r="F41" s="210" t="s">
        <v>6722</v>
      </c>
      <c r="G41" s="166">
        <v>100.0</v>
      </c>
      <c r="H41" s="391" t="str">
        <f>IFERROR(__xludf.DUMMYFUNCTION("GOOGLETRANSLATE(D41,""zh-tw"",""ja"")"),"タロットカード召喚 - 戦車
猫耳少女の屋台
弱点：雷")</f>
        <v>タロットカード召喚 - 戦車
猫耳少女の屋台
弱点：雷</v>
      </c>
      <c r="I41" s="209" t="s">
        <v>6723</v>
      </c>
      <c r="J41" s="210" t="s">
        <v>6724</v>
      </c>
      <c r="K41" s="210">
        <v>100.0</v>
      </c>
      <c r="L41" s="390" t="s">
        <v>6725</v>
      </c>
      <c r="M41" s="209" t="str">
        <f>IFERROR(__xludf.DUMMYFUNCTION("GOOGLETRANSLATE(A41,""zh-tw"",""zh"")"),"浅羽")</f>
        <v>浅羽</v>
      </c>
      <c r="N41" s="210" t="str">
        <f>IFERROR(__xludf.DUMMYFUNCTION("GOOGLETRANSLATE(B41,""zh-tw"",""zh"")"),"猫爪手套")</f>
        <v>猫爪手套</v>
      </c>
      <c r="O41" s="210">
        <v>100.0</v>
      </c>
      <c r="P41" s="390" t="str">
        <f>IFERROR(__xludf.DUMMYFUNCTION("GOOGLETRANSLATE(D41,""zh-tw"",""zh"")"),"由 塔罗牌-战车 召唤
猫娘商店车
弱点：雷")</f>
        <v>由 塔罗牌-战车 召唤
猫娘商店车
弱点：雷</v>
      </c>
      <c r="Q41" s="164" t="str">
        <f>IFERROR(__xludf.DUMMYFUNCTION("GOOGLETRANSLATE(A41,""zh-tw"",""es-MX"")"),"Asaba")</f>
        <v>Asaba</v>
      </c>
      <c r="R41" s="210" t="str">
        <f>IFERROR(__xludf.DUMMYFUNCTION("GOOGLETRANSLATE(B41,""zh-tw"",""es-MX"")"),"Guantes con forma de pata de gato")</f>
        <v>Guantes con forma de pata de gato</v>
      </c>
      <c r="S41" s="210">
        <v>100.0</v>
      </c>
      <c r="T41" s="390" t="str">
        <f>IFERROR(__xludf.DUMMYFUNCTION("GOOGLETRANSLATE(D41,""zh-tw"",""es-MX"")"),"Invocada por las cartas del Tarot - Carro
Carrito de la Chica Gato
Debilidad: Rayo")</f>
        <v>Invocada por las cartas del Tarot - Carro
Carrito de la Chica Gato
Debilidad: Rayo</v>
      </c>
      <c r="U41" s="209" t="str">
        <f>IFERROR(__xludf.DUMMYFUNCTION("GOOGLETRANSLATE(A41,""zh-tw"",""KO"")"),"아사바")</f>
        <v>아사바</v>
      </c>
      <c r="V41" s="166" t="s">
        <v>6726</v>
      </c>
      <c r="W41" s="166">
        <v>100.0</v>
      </c>
      <c r="X41" s="391" t="s">
        <v>6727</v>
      </c>
      <c r="Y41" s="164" t="s">
        <v>6728</v>
      </c>
      <c r="Z41" s="166" t="s">
        <v>6729</v>
      </c>
      <c r="AA41" s="166">
        <v>100.0</v>
      </c>
      <c r="AB41" s="390" t="s">
        <v>6730</v>
      </c>
      <c r="AC41" s="209" t="s">
        <v>6723</v>
      </c>
      <c r="AD41" s="210" t="s">
        <v>6731</v>
      </c>
      <c r="AE41" s="210">
        <v>100.0</v>
      </c>
      <c r="AF41" s="390" t="s">
        <v>6732</v>
      </c>
      <c r="AG41" s="198" t="s">
        <v>6723</v>
      </c>
      <c r="AH41" s="392" t="s">
        <v>6733</v>
      </c>
      <c r="AI41" s="392">
        <v>100.0</v>
      </c>
      <c r="AJ41" s="393" t="s">
        <v>6734</v>
      </c>
      <c r="AK41" s="209" t="s">
        <v>6723</v>
      </c>
      <c r="AL41" s="210" t="s">
        <v>6735</v>
      </c>
      <c r="AM41" s="210">
        <v>100.0</v>
      </c>
      <c r="AN41" s="397" t="s">
        <v>6736</v>
      </c>
      <c r="AO41" s="394" t="s">
        <v>6723</v>
      </c>
      <c r="AP41" s="214" t="s">
        <v>6724</v>
      </c>
      <c r="AQ41" s="214" t="s">
        <v>6362</v>
      </c>
      <c r="AR41" s="395" t="s">
        <v>6737</v>
      </c>
      <c r="AS41" s="394"/>
      <c r="AT41" s="214"/>
      <c r="AU41" s="214"/>
      <c r="AV41" s="395"/>
    </row>
    <row r="42">
      <c r="A42" s="164" t="s">
        <v>6738</v>
      </c>
      <c r="B42" s="166" t="s">
        <v>6739</v>
      </c>
      <c r="C42" s="166" t="s">
        <v>6740</v>
      </c>
      <c r="D42" s="391" t="s">
        <v>6741</v>
      </c>
      <c r="E42" s="164" t="s">
        <v>6742</v>
      </c>
      <c r="F42" s="210" t="s">
        <v>6743</v>
      </c>
      <c r="G42" s="166" t="s">
        <v>6740</v>
      </c>
      <c r="H42" s="391" t="str">
        <f>IFERROR(__xludf.DUMMYFUNCTION("GOOGLETRANSLATE(D42,""zh-tw"",""ja"")"),"ボス弱点：雷
倒された際に近くに水場があると、逃走する。
ドロップアイテムは操作状況と地形条件の影響を受ける。")</f>
        <v>ボス弱点：雷
倒された際に近くに水場があると、逃走する。
ドロップアイテムは操作状況と地形条件の影響を受ける。</v>
      </c>
      <c r="I42" s="209" t="s">
        <v>6744</v>
      </c>
      <c r="J42" s="210" t="s">
        <v>6745</v>
      </c>
      <c r="K42" s="210" t="s">
        <v>6740</v>
      </c>
      <c r="L42" s="390" t="s">
        <v>6746</v>
      </c>
      <c r="M42" s="209" t="str">
        <f>IFERROR(__xludf.DUMMYFUNCTION("GOOGLETRANSLATE(A42,""zh-tw"",""zh"")"),"应该已经灭绝的河之主!?")</f>
        <v>应该已经灭绝的河之主!?</v>
      </c>
      <c r="N42" s="210" t="str">
        <f>IFERROR(__xludf.DUMMYFUNCTION("GOOGLETRANSLATE(B42,""zh-tw"",""zh"")"),"◉▽◉(粉色)
王权之令")</f>
        <v>◉▽◉(粉色)
王权之令</v>
      </c>
      <c r="O42" s="210" t="s">
        <v>6740</v>
      </c>
      <c r="P42" s="390" t="str">
        <f>IFERROR(__xludf.DUMMYFUNCTION("GOOGLETRANSLATE(D42,""zh-tw"",""zh"")"),"BOSS
弱点：雷
若被击败时周围有水，它会逃跑
掉落物受控制与地形状态影响")</f>
        <v>BOSS
弱点：雷
若被击败时周围有水，它会逃跑
掉落物受控制与地形状态影响</v>
      </c>
      <c r="Q42" s="209" t="str">
        <f>IFERROR(__xludf.DUMMYFUNCTION("GOOGLETRANSLATE(A42,""zh-tw"",""es-MX"")"),"¡¿El Señor del Río, que ya debería estar extinto?!")</f>
        <v>¡¿El Señor del Río, que ya debería estar extinto?!</v>
      </c>
      <c r="R42" s="210" t="str">
        <f>IFERROR(__xludf.DUMMYFUNCTION("GOOGLETRANSLATE(B42,""zh-tw"",""es-MX"")"),"◉▽◉(Rosa) El Decreto del Rey")</f>
        <v>◉▽◉(Rosa) El Decreto del Rey</v>
      </c>
      <c r="S42" s="210" t="s">
        <v>6740</v>
      </c>
      <c r="T42" s="390" t="str">
        <f>IFERROR(__xludf.DUMMYFUNCTION("GOOGLETRANSLATE(D42,""zh-tw"",""es-MX"")"),"Debilidad del jefe: Rayo
Si hay agua cerca al ser derrotado, huirá.
Los objetos que suelta se ven afectados por el control y las condiciones del terreno.")</f>
        <v>Debilidad del jefe: Rayo
Si hay agua cerca al ser derrotado, huirá.
Los objetos que suelta se ven afectados por el control y las condiciones del terreno.</v>
      </c>
      <c r="U42" s="209" t="str">
        <f>IFERROR(__xludf.DUMMYFUNCTION("GOOGLETRANSLATE(A42,""zh-tw"",""KO"")"),"이미 멸종했어야 할 강변의 군주라니!?")</f>
        <v>이미 멸종했어야 할 강변의 군주라니!?</v>
      </c>
      <c r="V42" s="166" t="str">
        <f>IFERROR(__xludf.DUMMYFUNCTION("GOOGLETRANSLATE(B42,""zh-tw"",""KO"")"),"◉▽◉(핑크) 왕의 칙령")</f>
        <v>◉▽◉(핑크) 왕의 칙령</v>
      </c>
      <c r="W42" s="166" t="s">
        <v>6740</v>
      </c>
      <c r="X42" s="391" t="str">
        <f>IFERROR(__xludf.DUMMYFUNCTION("GOOGLETRANSLATE(D42,""zh-tw"",""KO"")"),"보스 약점: 번개
처치 시 주변에 물이 있으면 도망칩니다.
드롭 아이템은 조작 방식과 지형 조건의 영향을 받습니다.")</f>
        <v>보스 약점: 번개
처치 시 주변에 물이 있으면 도망칩니다.
드롭 아이템은 조작 방식과 지형 조건의 영향을 받습니다.</v>
      </c>
      <c r="Y42" s="164" t="s">
        <v>6747</v>
      </c>
      <c r="Z42" s="166" t="s">
        <v>6748</v>
      </c>
      <c r="AA42" s="166" t="s">
        <v>6740</v>
      </c>
      <c r="AB42" s="390" t="s">
        <v>6749</v>
      </c>
      <c r="AC42" s="209" t="s">
        <v>6750</v>
      </c>
      <c r="AD42" s="210" t="s">
        <v>6751</v>
      </c>
      <c r="AE42" s="210" t="s">
        <v>6740</v>
      </c>
      <c r="AF42" s="390" t="s">
        <v>6752</v>
      </c>
      <c r="AG42" s="198" t="s">
        <v>6753</v>
      </c>
      <c r="AH42" s="392" t="s">
        <v>6754</v>
      </c>
      <c r="AI42" s="392" t="s">
        <v>6740</v>
      </c>
      <c r="AJ42" s="393" t="s">
        <v>6755</v>
      </c>
      <c r="AK42" s="176" t="s">
        <v>6756</v>
      </c>
      <c r="AL42" s="210" t="s">
        <v>6757</v>
      </c>
      <c r="AM42" s="210" t="s">
        <v>6740</v>
      </c>
      <c r="AN42" s="390" t="s">
        <v>6758</v>
      </c>
      <c r="AO42" s="394" t="s">
        <v>6759</v>
      </c>
      <c r="AP42" s="214" t="s">
        <v>6760</v>
      </c>
      <c r="AQ42" s="214" t="s">
        <v>6761</v>
      </c>
      <c r="AR42" s="395" t="s">
        <v>6762</v>
      </c>
      <c r="AS42" s="394"/>
      <c r="AT42" s="214"/>
      <c r="AU42" s="214"/>
      <c r="AV42" s="395"/>
    </row>
    <row r="43">
      <c r="A43" s="164" t="s">
        <v>5860</v>
      </c>
      <c r="B43" s="166" t="s">
        <v>6763</v>
      </c>
      <c r="C43" s="166" t="s">
        <v>6764</v>
      </c>
      <c r="D43" s="391" t="s">
        <v>6765</v>
      </c>
      <c r="E43" s="164" t="s">
        <v>6766</v>
      </c>
      <c r="F43" s="210" t="s">
        <v>6767</v>
      </c>
      <c r="G43" s="166" t="s">
        <v>6768</v>
      </c>
      <c r="H43" s="391" t="s">
        <v>6769</v>
      </c>
      <c r="I43" s="209" t="s">
        <v>6770</v>
      </c>
      <c r="J43" s="210" t="s">
        <v>6771</v>
      </c>
      <c r="K43" s="210" t="s">
        <v>6772</v>
      </c>
      <c r="L43" s="390" t="s">
        <v>6773</v>
      </c>
      <c r="M43" s="209" t="s">
        <v>5860</v>
      </c>
      <c r="N43" s="210" t="s">
        <v>6774</v>
      </c>
      <c r="O43" s="210" t="s">
        <v>6764</v>
      </c>
      <c r="P43" s="390" t="s">
        <v>6775</v>
      </c>
      <c r="Q43" s="209"/>
      <c r="R43" s="210"/>
      <c r="S43" s="210"/>
      <c r="T43" s="390"/>
      <c r="U43" s="209"/>
      <c r="V43" s="166"/>
      <c r="W43" s="166"/>
      <c r="X43" s="391"/>
      <c r="Y43" s="164" t="s">
        <v>6776</v>
      </c>
      <c r="Z43" s="166" t="s">
        <v>6777</v>
      </c>
      <c r="AA43" s="166" t="s">
        <v>6772</v>
      </c>
      <c r="AB43" s="390" t="s">
        <v>6778</v>
      </c>
      <c r="AC43" s="209"/>
      <c r="AD43" s="210"/>
      <c r="AE43" s="210"/>
      <c r="AF43" s="390"/>
      <c r="AG43" s="198" t="s">
        <v>6779</v>
      </c>
      <c r="AH43" s="392" t="s">
        <v>6780</v>
      </c>
      <c r="AI43" s="392" t="s">
        <v>6764</v>
      </c>
      <c r="AJ43" s="393" t="s">
        <v>6781</v>
      </c>
      <c r="AK43" s="176" t="s">
        <v>5879</v>
      </c>
      <c r="AL43" s="210" t="s">
        <v>6782</v>
      </c>
      <c r="AM43" s="210" t="s">
        <v>6764</v>
      </c>
      <c r="AN43" s="390" t="s">
        <v>6783</v>
      </c>
      <c r="AO43" s="394"/>
      <c r="AP43" s="214"/>
      <c r="AQ43" s="214"/>
      <c r="AR43" s="395"/>
      <c r="AS43" s="394"/>
      <c r="AT43" s="214"/>
      <c r="AU43" s="214"/>
      <c r="AV43" s="395"/>
    </row>
    <row r="44">
      <c r="A44" s="164" t="s">
        <v>6784</v>
      </c>
      <c r="B44" s="166" t="s">
        <v>6785</v>
      </c>
      <c r="C44" s="166" t="s">
        <v>6786</v>
      </c>
      <c r="D44" s="391" t="s">
        <v>6787</v>
      </c>
      <c r="E44" s="164" t="s">
        <v>6788</v>
      </c>
      <c r="F44" s="210" t="s">
        <v>6789</v>
      </c>
      <c r="G44" s="166" t="s">
        <v>6101</v>
      </c>
      <c r="H44" s="391" t="s">
        <v>6790</v>
      </c>
      <c r="I44" s="209" t="s">
        <v>6791</v>
      </c>
      <c r="J44" s="210" t="s">
        <v>6792</v>
      </c>
      <c r="K44" s="210" t="s">
        <v>6793</v>
      </c>
      <c r="L44" s="390" t="s">
        <v>6794</v>
      </c>
      <c r="M44" s="209" t="str">
        <f>IFERROR(__xludf.DUMMYFUNCTION("GOOGLETRANSLATE(A44,""zh-tw"",""zh"")"),"淫奔的恶魔
(真名：阿萨谢尔)")</f>
        <v>淫奔的恶魔
(真名：阿萨谢尔)</v>
      </c>
      <c r="N44" s="210" t="str">
        <f>IFERROR(__xludf.DUMMYFUNCTION("GOOGLETRANSLATE(B44,""zh-tw"",""zh"")"),"仪式的御柱
恶魔眼球
粉色品质物品
金色品质物品
")</f>
        <v>仪式的御柱
恶魔眼球
粉色品质物品
金色品质物品
</v>
      </c>
      <c r="O44" s="210" t="str">
        <f>IFERROR(__xludf.DUMMYFUNCTION("GOOGLETRANSLATE(C44,""zh-tw"",""zh"")"),"24
48
16
1.6")</f>
        <v>24
48
16
1.6</v>
      </c>
      <c r="P44" s="390" t="str">
        <f>IFERROR(__xludf.DUMMYFUNCTION("GOOGLETRANSLATE(D44,""zh-tw"",""zh"")"),"于""封印之柱""中进行召唤")</f>
        <v>于"封印之柱"中进行召唤</v>
      </c>
      <c r="Q44" s="209" t="str">
        <f>IFERROR(__xludf.DUMMYFUNCTION("GOOGLETRANSLATE(A44,""zh-tw"",""es-MX"")"),"El demonio lujurioso (nombre real: Azazel)")</f>
        <v>El demonio lujurioso (nombre real: Azazel)</v>
      </c>
      <c r="R44" s="210" t="str">
        <f>IFERROR(__xludf.DUMMYFUNCTION("GOOGLETRANSLATE(B44,""zh-tw"",""es-MX"")"),"Pilar ritual
Ojo de demonio
Objeto de calidad rosa
Objeto de calidad dorada
")</f>
        <v>Pilar ritual
Ojo de demonio
Objeto de calidad rosa
Objeto de calidad dorada
</v>
      </c>
      <c r="S44" s="210" t="str">
        <f>IFERROR(__xludf.DUMMYFUNCTION("GOOGLETRANSLATE(C44,""zh-tw"",""es-MX"")"),"24
48
16
1,6")</f>
        <v>24
48
16
1,6</v>
      </c>
      <c r="T44" s="390" t="str">
        <f>IFERROR(__xludf.DUMMYFUNCTION("GOOGLETRANSLATE(D44,""zh-tw"",""es-MX"")"),"Invocación desde el ""Pilar de Sellado""")</f>
        <v>Invocación desde el "Pilar de Sellado"</v>
      </c>
      <c r="U44" s="209" t="str">
        <f>IFERROR(__xludf.DUMMYFUNCTION("GOOGLETRANSLATE(A44,""zh-tw"",""KO"")"),"음탕한 악마 (본명: 아자젤)")</f>
        <v>음탕한 악마 (본명: 아자젤)</v>
      </c>
      <c r="V44" s="166" t="str">
        <f>IFERROR(__xludf.DUMMYFUNCTION("GOOGLETRANSLATE(B44,""zh-tw"",""KO"")"),"의식의 기둥
악마의 눈알
분홍색 고급 아이템
금색 고급 아이템
")</f>
        <v>의식의 기둥
악마의 눈알
분홍색 고급 아이템
금색 고급 아이템
</v>
      </c>
      <c r="W44" s="166" t="str">
        <f>IFERROR(__xludf.DUMMYFUNCTION("GOOGLETRANSLATE(C44,""zh-tw"",""KO"")"),"24
48
16
1.6")</f>
        <v>24
48
16
1.6</v>
      </c>
      <c r="X44" s="391" t="str">
        <f>IFERROR(__xludf.DUMMYFUNCTION("GOOGLETRANSLATE(D44,""zh-tw"",""KO"")"),"""봉인 기둥""에서 소환")</f>
        <v>"봉인 기둥"에서 소환</v>
      </c>
      <c r="Y44" s="164" t="s">
        <v>6795</v>
      </c>
      <c r="Z44" s="166" t="s">
        <v>6796</v>
      </c>
      <c r="AA44" s="166" t="s">
        <v>6786</v>
      </c>
      <c r="AB44" s="390" t="s">
        <v>6797</v>
      </c>
      <c r="AC44" s="209" t="s">
        <v>6798</v>
      </c>
      <c r="AD44" s="210" t="s">
        <v>6799</v>
      </c>
      <c r="AE44" s="210" t="s">
        <v>6101</v>
      </c>
      <c r="AF44" s="390" t="s">
        <v>6800</v>
      </c>
      <c r="AG44" s="198" t="s">
        <v>6801</v>
      </c>
      <c r="AH44" s="392" t="s">
        <v>6802</v>
      </c>
      <c r="AI44" s="392" t="s">
        <v>6101</v>
      </c>
      <c r="AJ44" s="393" t="s">
        <v>6803</v>
      </c>
      <c r="AK44" s="176" t="s">
        <v>6804</v>
      </c>
      <c r="AL44" s="210" t="s">
        <v>6805</v>
      </c>
      <c r="AM44" s="210" t="s">
        <v>6806</v>
      </c>
      <c r="AN44" s="390" t="s">
        <v>6807</v>
      </c>
      <c r="AO44" s="394" t="str">
        <f>IFERROR(__xludf.DUMMYFUNCTION("GOOGLETRANSLATE(A44,""zh-tw"",""ID"")"),"Setan yang penuh nafsu (Nama asli: Azazel)")</f>
        <v>Setan yang penuh nafsu (Nama asli: Azazel)</v>
      </c>
      <c r="AP44" s="214" t="str">
        <f>IFERROR(__xludf.DUMMYFUNCTION("GOOGLETRANSLATE(B44,""zh-tw"",""ID"")"),"Pilar Ritual
Bola Mata Iblis
Item Kualitas Merah Muda
Item Kualitas Emas
")</f>
        <v>Pilar Ritual
Bola Mata Iblis
Item Kualitas Merah Muda
Item Kualitas Emas
</v>
      </c>
      <c r="AQ44" s="214" t="str">
        <f>IFERROR(__xludf.DUMMYFUNCTION("GOOGLETRANSLATE(C44,""zh-tw"",""ID"")"),"24
48
16
1.6")</f>
        <v>24
48
16
1.6</v>
      </c>
      <c r="AR44" s="395" t="str">
        <f>IFERROR(__xludf.DUMMYFUNCTION("GOOGLETRANSLATE(D44,""zh-tw"",""ID"")"),"Pemanggilan dari ""Pilar Penyegel""")</f>
        <v>Pemanggilan dari "Pilar Penyegel"</v>
      </c>
      <c r="AS44" s="394"/>
      <c r="AT44" s="214"/>
      <c r="AU44" s="214"/>
      <c r="AV44" s="395"/>
    </row>
    <row r="45">
      <c r="A45" s="164" t="s">
        <v>6808</v>
      </c>
      <c r="B45" s="166" t="s">
        <v>1273</v>
      </c>
      <c r="C45" s="166" t="s">
        <v>1273</v>
      </c>
      <c r="D45" s="391" t="s">
        <v>6809</v>
      </c>
      <c r="E45" s="164" t="s">
        <v>6810</v>
      </c>
      <c r="F45" s="210" t="s">
        <v>1273</v>
      </c>
      <c r="G45" s="166" t="s">
        <v>1273</v>
      </c>
      <c r="H45" s="391" t="s">
        <v>6811</v>
      </c>
      <c r="I45" s="209" t="s">
        <v>6812</v>
      </c>
      <c r="J45" s="210" t="s">
        <v>1273</v>
      </c>
      <c r="K45" s="210" t="s">
        <v>1273</v>
      </c>
      <c r="L45" s="390" t="s">
        <v>6813</v>
      </c>
      <c r="M45" s="209" t="str">
        <f>IFERROR(__xludf.DUMMYFUNCTION("GOOGLETRANSLATE(A45,""zh-tw"",""zh"")"),"死之恶魔
(真名：未知)")</f>
        <v>死之恶魔
(真名：未知)</v>
      </c>
      <c r="N45" s="210" t="str">
        <f>IFERROR(__xludf.DUMMYFUNCTION("GOOGLETRANSLATE(B45,""zh-tw"",""zh"")"),"-")</f>
        <v>-</v>
      </c>
      <c r="O45" s="210" t="str">
        <f>IFERROR(__xludf.DUMMYFUNCTION("GOOGLETRANSLATE(C45,""zh-tw"",""zh"")"),"-")</f>
        <v>-</v>
      </c>
      <c r="P45" s="390" t="str">
        <f>IFERROR(__xludf.DUMMYFUNCTION("GOOGLETRANSLATE(D45,""zh-tw"",""zh"")"),"于""塔罗牌-死神""进行召唤
无法击杀此单位")</f>
        <v>于"塔罗牌-死神"进行召唤
无法击杀此单位</v>
      </c>
      <c r="Q45" s="209" t="str">
        <f>IFERROR(__xludf.DUMMYFUNCTION("GOOGLETRANSLATE(A45,""zh-tw"",""es-MX"")"),"El Demonio de la Muerte
(Nombre verdadero: Desconocido)")</f>
        <v>El Demonio de la Muerte
(Nombre verdadero: Desconocido)</v>
      </c>
      <c r="R45" s="210" t="str">
        <f>IFERROR(__xludf.DUMMYFUNCTION("GOOGLETRANSLATE(B45,""zh-tw"",""es-MX"")"),"-")</f>
        <v>-</v>
      </c>
      <c r="S45" s="210" t="str">
        <f>IFERROR(__xludf.DUMMYFUNCTION("GOOGLETRANSLATE(C45,""zh-tw"",""es-MX"")"),"-")</f>
        <v>-</v>
      </c>
      <c r="T45" s="390" t="str">
        <f>IFERROR(__xludf.DUMMYFUNCTION("GOOGLETRANSLATE(D45,""zh-tw"",""es-MX"")"),"La invocación mediante ""Carta del Tarot - Muerte"" no puede matar a esta unidad.")</f>
        <v>La invocación mediante "Carta del Tarot - Muerte" no puede matar a esta unidad.</v>
      </c>
      <c r="U45" s="209" t="str">
        <f>IFERROR(__xludf.DUMMYFUNCTION("GOOGLETRANSLATE(A45,""zh-tw"",""KO"")"),"죽음의 악마
(본명: 미상)")</f>
        <v>죽음의 악마
(본명: 미상)</v>
      </c>
      <c r="V45" s="166" t="str">
        <f>IFERROR(__xludf.DUMMYFUNCTION("GOOGLETRANSLATE(B45,""zh-tw"",""KO"")"),"-")</f>
        <v>-</v>
      </c>
      <c r="W45" s="166" t="str">
        <f>IFERROR(__xludf.DUMMYFUNCTION("GOOGLETRANSLATE(C45,""zh-tw"",""KO"")"),"-")</f>
        <v>-</v>
      </c>
      <c r="X45" s="391" t="str">
        <f>IFERROR(__xludf.DUMMYFUNCTION("GOOGLETRANSLATE(D45,""zh-tw"",""KO"")"),"""타로 카드 - 죽음""을 통한 소환으로는 이 유닛을 처치할 수 없습니다.")</f>
        <v>"타로 카드 - 죽음"을 통한 소환으로는 이 유닛을 처치할 수 없습니다.</v>
      </c>
      <c r="Y45" s="164" t="s">
        <v>6814</v>
      </c>
      <c r="Z45" s="166" t="s">
        <v>1273</v>
      </c>
      <c r="AA45" s="166" t="s">
        <v>1273</v>
      </c>
      <c r="AB45" s="390" t="s">
        <v>6815</v>
      </c>
      <c r="AC45" s="209" t="s">
        <v>6816</v>
      </c>
      <c r="AD45" s="210" t="s">
        <v>1273</v>
      </c>
      <c r="AE45" s="210" t="s">
        <v>1273</v>
      </c>
      <c r="AF45" s="390" t="s">
        <v>6817</v>
      </c>
      <c r="AG45" s="147" t="s">
        <v>6818</v>
      </c>
      <c r="AH45" s="392" t="s">
        <v>1273</v>
      </c>
      <c r="AI45" s="392" t="s">
        <v>1273</v>
      </c>
      <c r="AJ45" s="403" t="s">
        <v>6819</v>
      </c>
      <c r="AK45" s="176" t="s">
        <v>6820</v>
      </c>
      <c r="AL45" s="210" t="s">
        <v>1273</v>
      </c>
      <c r="AM45" s="210" t="s">
        <v>1273</v>
      </c>
      <c r="AN45" s="390" t="s">
        <v>6821</v>
      </c>
      <c r="AO45" s="394" t="str">
        <f>IFERROR(__xludf.DUMMYFUNCTION("GOOGLETRANSLATE(A45,""zh-tw"",""ID"")"),"Setan Kematian
(Nama Asli: Tidak Diketahui)")</f>
        <v>Setan Kematian
(Nama Asli: Tidak Diketahui)</v>
      </c>
      <c r="AP45" s="214" t="str">
        <f>IFERROR(__xludf.DUMMYFUNCTION("GOOGLETRANSLATE(B45,""zh-tw"",""ID"")"),"-")</f>
        <v>-</v>
      </c>
      <c r="AQ45" s="214" t="str">
        <f>IFERROR(__xludf.DUMMYFUNCTION("GOOGLETRANSLATE(C45,""zh-tw"",""ID"")"),"-")</f>
        <v>-</v>
      </c>
      <c r="AR45" s="395" t="str">
        <f>IFERROR(__xludf.DUMMYFUNCTION("GOOGLETRANSLATE(D45,""zh-tw"",""ID"")"),"Pemanggilan melalui ""Kartu Tarot - Kematian"" tidak dapat membunuh unit ini.")</f>
        <v>Pemanggilan melalui "Kartu Tarot - Kematian" tidak dapat membunuh unit ini.</v>
      </c>
      <c r="AS45" s="394"/>
      <c r="AT45" s="214"/>
      <c r="AU45" s="214"/>
      <c r="AV45" s="395"/>
    </row>
    <row r="46">
      <c r="A46" s="387" t="s">
        <v>6822</v>
      </c>
      <c r="E46" s="386" t="str">
        <f>IFERROR(__xludf.DUMMYFUNCTION("GOOGLETRANSLATE(A46,""zh-tw"",""ja"")"),"シーンオブジェクト")</f>
        <v>シーンオブジェクト</v>
      </c>
      <c r="I46" s="386" t="s">
        <v>6823</v>
      </c>
      <c r="M46" s="387" t="str">
        <f>IFERROR(__xludf.DUMMYFUNCTION("GOOGLETRANSLATE(A46,""zh-tw"",""zh"")"),"场景物件")</f>
        <v>场景物件</v>
      </c>
      <c r="Q46" s="387" t="str">
        <f>IFERROR(__xludf.DUMMYFUNCTION("GOOGLETRANSLATE(A46,""zh-tw"",""es-MX"")"),"objetos de la escena")</f>
        <v>objetos de la escena</v>
      </c>
      <c r="U46" s="387" t="str">
        <f>IFERROR(__xludf.DUMMYFUNCTION("GOOGLETRANSLATE(A46,""zh-tw"",""KO"")"),"장면 객체")</f>
        <v>장면 객체</v>
      </c>
      <c r="Y46" s="387" t="s">
        <v>6824</v>
      </c>
      <c r="AC46" s="387" t="str">
        <f>IFERROR(__xludf.DUMMYFUNCTION("GOOGLETRANSLATE(A42,""zh-tw"",""DE"")"),"Der Flussherr, der eigentlich schon ausgestorben sein sollte!?")</f>
        <v>Der Flussherr, der eigentlich schon ausgestorben sein sollte!?</v>
      </c>
      <c r="AG46" s="389" t="s">
        <v>6825</v>
      </c>
      <c r="AK46" s="387" t="s">
        <v>6823</v>
      </c>
      <c r="AO46" s="399" t="s">
        <v>6826</v>
      </c>
      <c r="AS46" s="399"/>
    </row>
    <row r="47">
      <c r="A47" s="164" t="s">
        <v>6827</v>
      </c>
      <c r="B47" s="166" t="s">
        <v>1273</v>
      </c>
      <c r="C47" s="166" t="s">
        <v>1273</v>
      </c>
      <c r="D47" s="391" t="s">
        <v>1273</v>
      </c>
      <c r="E47" s="164" t="str">
        <f>IFERROR(__xludf.DUMMYFUNCTION("GOOGLETRANSLATE(A47,""zh-tw"",""ja"")"),"巨大な岩が道路を塞いでいる")</f>
        <v>巨大な岩が道路を塞いでいる</v>
      </c>
      <c r="F47" s="166" t="s">
        <v>1273</v>
      </c>
      <c r="G47" s="166" t="s">
        <v>1273</v>
      </c>
      <c r="H47" s="391" t="str">
        <f>IFERROR(__xludf.DUMMYFUNCTION("GOOGLETRANSLATE(D47,""zh-tw"",""ja"")"),"-")</f>
        <v>-</v>
      </c>
      <c r="I47" s="164" t="s">
        <v>6828</v>
      </c>
      <c r="J47" s="210"/>
      <c r="K47" s="210" t="s">
        <v>1273</v>
      </c>
      <c r="L47" s="390"/>
      <c r="M47" s="209" t="str">
        <f>IFERROR(__xludf.DUMMYFUNCTION("GOOGLETRANSLATE(A47,""zh-tw"",""zh"")"),"堵路巨石")</f>
        <v>堵路巨石</v>
      </c>
      <c r="N47" s="210" t="str">
        <f>IFERROR(__xludf.DUMMYFUNCTION("GOOGLETRANSLATE(B47,""zh-tw"",""zh"")"),"-")</f>
        <v>-</v>
      </c>
      <c r="O47" s="210" t="s">
        <v>1273</v>
      </c>
      <c r="P47" s="390" t="str">
        <f>IFERROR(__xludf.DUMMYFUNCTION("GOOGLETRANSLATE(D47,""zh-tw"",""zh"")"),"-")</f>
        <v>-</v>
      </c>
      <c r="Q47" s="209" t="str">
        <f>IFERROR(__xludf.DUMMYFUNCTION("GOOGLETRANSLATE(A47,""zh-tw"",""es-MX"")"),"Enormes rocas bloquean la carretera.")</f>
        <v>Enormes rocas bloquean la carretera.</v>
      </c>
      <c r="R47" s="210" t="str">
        <f>IFERROR(__xludf.DUMMYFUNCTION("GOOGLETRANSLATE(B47,""zh-tw"",""es-MX"")"),"-")</f>
        <v>-</v>
      </c>
      <c r="S47" s="210" t="s">
        <v>1273</v>
      </c>
      <c r="T47" s="390" t="str">
        <f>IFERROR(__xludf.DUMMYFUNCTION("GOOGLETRANSLATE(D47,""zh-tw"",""es-MX"")"),"-")</f>
        <v>-</v>
      </c>
      <c r="U47" s="209" t="str">
        <f>IFERROR(__xludf.DUMMYFUNCTION("GOOGLETRANSLATE(A47,""zh-tw"",""KO"")"),"거대한 바위들이 도로를 막고 있다")</f>
        <v>거대한 바위들이 도로를 막고 있다</v>
      </c>
      <c r="V47" s="166" t="str">
        <f>IFERROR(__xludf.DUMMYFUNCTION("GOOGLETRANSLATE(B47,""zh-tw"",""KO"")"),"-")</f>
        <v>-</v>
      </c>
      <c r="W47" s="166" t="s">
        <v>1273</v>
      </c>
      <c r="X47" s="391" t="str">
        <f>IFERROR(__xludf.DUMMYFUNCTION("GOOGLETRANSLATE(D47,""zh-tw"",""KO"")"),"-")</f>
        <v>-</v>
      </c>
      <c r="Y47" s="164" t="s">
        <v>6829</v>
      </c>
      <c r="Z47" s="166" t="s">
        <v>1273</v>
      </c>
      <c r="AA47" s="166" t="s">
        <v>1273</v>
      </c>
      <c r="AB47" s="390" t="s">
        <v>1273</v>
      </c>
      <c r="AC47" s="209" t="str">
        <f>IFERROR(__xludf.DUMMYFUNCTION("GOOGLETRANSLATE(A47,""zh-tw"",""DE"")"),"Riesige Felsen blockieren die Straße")</f>
        <v>Riesige Felsen blockieren die Straße</v>
      </c>
      <c r="AD47" s="166" t="str">
        <f>IFERROR(__xludf.DUMMYFUNCTION("GOOGLETRANSLATE(B47,""zh-tw"",""DE"")"),"-")</f>
        <v>-</v>
      </c>
      <c r="AE47" s="210" t="s">
        <v>1273</v>
      </c>
      <c r="AF47" s="390"/>
      <c r="AG47" s="147" t="s">
        <v>6830</v>
      </c>
      <c r="AH47" s="392"/>
      <c r="AI47" s="392" t="s">
        <v>1273</v>
      </c>
      <c r="AJ47" s="393" t="s">
        <v>1273</v>
      </c>
      <c r="AK47" s="209" t="s">
        <v>6831</v>
      </c>
      <c r="AL47" s="210" t="s">
        <v>1273</v>
      </c>
      <c r="AM47" s="210" t="s">
        <v>1273</v>
      </c>
      <c r="AN47" s="390" t="s">
        <v>1273</v>
      </c>
      <c r="AO47" s="394" t="s">
        <v>6832</v>
      </c>
      <c r="AP47" s="214" t="s">
        <v>1273</v>
      </c>
      <c r="AQ47" s="214" t="s">
        <v>1273</v>
      </c>
      <c r="AR47" s="398" t="s">
        <v>1273</v>
      </c>
      <c r="AS47" s="394"/>
      <c r="AT47" s="214"/>
      <c r="AU47" s="214"/>
      <c r="AV47" s="398"/>
    </row>
    <row r="48">
      <c r="A48" s="164" t="s">
        <v>6833</v>
      </c>
      <c r="B48" s="166" t="s">
        <v>6834</v>
      </c>
      <c r="C48" s="166">
        <v>100.0</v>
      </c>
      <c r="D48" s="391" t="s">
        <v>1273</v>
      </c>
      <c r="E48" s="164" t="s">
        <v>6835</v>
      </c>
      <c r="F48" s="166" t="str">
        <f>IFERROR(__xludf.DUMMYFUNCTION("GOOGLETRANSLATE(B48,""zh-tw"",""ja"")"),"騎士の剣")</f>
        <v>騎士の剣</v>
      </c>
      <c r="G48" s="166">
        <v>100.0</v>
      </c>
      <c r="H48" s="391" t="str">
        <f>IFERROR(__xludf.DUMMYFUNCTION("GOOGLETRANSLATE(D48,""zh-tw"",""ja"")"),"-")</f>
        <v>-</v>
      </c>
      <c r="I48" s="164" t="s">
        <v>6836</v>
      </c>
      <c r="J48" s="210" t="s">
        <v>6837</v>
      </c>
      <c r="K48" s="210">
        <v>100.0</v>
      </c>
      <c r="L48" s="390" t="str">
        <f>IFERROR(__xludf.DUMMYFUNCTION("GOOGLETRANSLATE(D48,""zh-tw"",""en"")"),"-")</f>
        <v>-</v>
      </c>
      <c r="M48" s="209" t="str">
        <f>IFERROR(__xludf.DUMMYFUNCTION("GOOGLETRANSLATE(A48,""zh-tw"",""zh"")"),"石中剑")</f>
        <v>石中剑</v>
      </c>
      <c r="N48" s="210" t="str">
        <f>IFERROR(__xludf.DUMMYFUNCTION("GOOGLETRANSLATE(B48,""zh-tw"",""zh"")"),"骑士之剑")</f>
        <v>骑士之剑</v>
      </c>
      <c r="O48" s="166">
        <v>100.0</v>
      </c>
      <c r="P48" s="390" t="str">
        <f>IFERROR(__xludf.DUMMYFUNCTION("GOOGLETRANSLATE(D48,""zh-tw"",""zh"")"),"-")</f>
        <v>-</v>
      </c>
      <c r="Q48" s="209" t="str">
        <f>IFERROR(__xludf.DUMMYFUNCTION("GOOGLETRANSLATE(A48,""zh-tw"",""es-MX"")"),"La espada en la piedra")</f>
        <v>La espada en la piedra</v>
      </c>
      <c r="R48" s="166" t="str">
        <f>IFERROR(__xludf.DUMMYFUNCTION("GOOGLETRANSLATE(B48,""zh-tw"",""es-MX"")"),"Espada de caballero")</f>
        <v>Espada de caballero</v>
      </c>
      <c r="S48" s="210">
        <v>100.0</v>
      </c>
      <c r="T48" s="390" t="str">
        <f>IFERROR(__xludf.DUMMYFUNCTION("GOOGLETRANSLATE(D48,""zh-tw"",""es-MX"")"),"-")</f>
        <v>-</v>
      </c>
      <c r="U48" s="164" t="s">
        <v>6838</v>
      </c>
      <c r="V48" s="166" t="s">
        <v>6839</v>
      </c>
      <c r="W48" s="166">
        <v>100.0</v>
      </c>
      <c r="X48" s="391" t="str">
        <f>IFERROR(__xludf.DUMMYFUNCTION("GOOGLETRANSLATE(D48,""zh-tw"",""KO"")"),"-")</f>
        <v>-</v>
      </c>
      <c r="Y48" s="164" t="s">
        <v>6840</v>
      </c>
      <c r="Z48" s="166" t="s">
        <v>6841</v>
      </c>
      <c r="AA48" s="166">
        <v>100.0</v>
      </c>
      <c r="AB48" s="390" t="s">
        <v>1273</v>
      </c>
      <c r="AC48" s="209" t="s">
        <v>6842</v>
      </c>
      <c r="AD48" s="210" t="s">
        <v>6843</v>
      </c>
      <c r="AE48" s="210">
        <v>100.0</v>
      </c>
      <c r="AF48" s="397" t="s">
        <v>6844</v>
      </c>
      <c r="AG48" s="198" t="s">
        <v>6845</v>
      </c>
      <c r="AH48" s="392" t="s">
        <v>6846</v>
      </c>
      <c r="AI48" s="392">
        <v>100.0</v>
      </c>
      <c r="AJ48" s="393" t="s">
        <v>1273</v>
      </c>
      <c r="AK48" s="209" t="s">
        <v>6847</v>
      </c>
      <c r="AL48" s="210" t="s">
        <v>6848</v>
      </c>
      <c r="AM48" s="210">
        <v>100.0</v>
      </c>
      <c r="AN48" s="390" t="s">
        <v>1273</v>
      </c>
      <c r="AO48" s="394" t="s">
        <v>6849</v>
      </c>
      <c r="AP48" s="214" t="s">
        <v>6850</v>
      </c>
      <c r="AQ48" s="214" t="s">
        <v>6362</v>
      </c>
      <c r="AR48" s="395" t="s">
        <v>1273</v>
      </c>
      <c r="AS48" s="394"/>
      <c r="AT48" s="214"/>
      <c r="AU48" s="214"/>
      <c r="AV48" s="395"/>
    </row>
    <row r="49">
      <c r="A49" s="209" t="s">
        <v>6851</v>
      </c>
      <c r="B49" s="210" t="s">
        <v>6852</v>
      </c>
      <c r="C49" s="166" t="s">
        <v>6853</v>
      </c>
      <c r="D49" s="397" t="s">
        <v>6854</v>
      </c>
      <c r="E49" s="209" t="str">
        <f>IFERROR(__xludf.DUMMYFUNCTION("GOOGLETRANSLATE(A49,""zh-tw"",""ja"")"),"とても大きな卵")</f>
        <v>とても大きな卵</v>
      </c>
      <c r="F49" s="166" t="str">
        <f>IFERROR(__xludf.DUMMYFUNCTION("GOOGLETRANSLATE(B49,""zh-tw"",""ja"")"),"とても大きな卵
小さな赤いモンスター*")</f>
        <v>とても大きな卵
小さな赤いモンスター*</v>
      </c>
      <c r="G49" s="210" t="s">
        <v>6853</v>
      </c>
      <c r="H49" s="391" t="str">
        <f>IFERROR(__xludf.DUMMYFUNCTION("GOOGLETRANSLATE(D49,""zh-tw"",""ja"")"),"遺跡の底で拾ってください（壊さないでください）。
※拾ったり壊したりすると、50%の確率で小さな赤いモンスターが出現します。")</f>
        <v>遺跡の底で拾ってください（壊さないでください）。
※拾ったり壊したりすると、50%の確率で小さな赤いモンスターが出現します。</v>
      </c>
      <c r="I49" s="164" t="s">
        <v>6855</v>
      </c>
      <c r="J49" s="210" t="s">
        <v>6856</v>
      </c>
      <c r="K49" s="210" t="s">
        <v>6853</v>
      </c>
      <c r="L49" s="390" t="s">
        <v>6857</v>
      </c>
      <c r="M49" s="209" t="str">
        <f>IFERROR(__xludf.DUMMYFUNCTION("GOOGLETRANSLATE(A49,""zh-tw"",""zh"")"),"很大的蛋")</f>
        <v>很大的蛋</v>
      </c>
      <c r="N49" s="210" t="str">
        <f>IFERROR(__xludf.DUMMYFUNCTION("GOOGLETRANSLATE(B49,""zh-tw"",""zh"")"),"很大的蛋
小红怪*")</f>
        <v>很大的蛋
小红怪*</v>
      </c>
      <c r="O49" s="166" t="s">
        <v>6853</v>
      </c>
      <c r="P49" s="390" t="str">
        <f>IFERROR(__xludf.DUMMYFUNCTION("GOOGLETRANSLATE(D49,""zh-tw"",""zh"")"),"于遗迹底层捡取(不可以打破)
*捡取/打破有50%机率出现小红怪")</f>
        <v>于遗迹底层捡取(不可以打破)
*捡取/打破有50%机率出现小红怪</v>
      </c>
      <c r="Q49" s="209" t="str">
        <f>IFERROR(__xludf.DUMMYFUNCTION("GOOGLETRANSLATE(A49,""zh-tw"",""es-MX"")"),"Un huevo muy grande")</f>
        <v>Un huevo muy grande</v>
      </c>
      <c r="R49" s="166" t="str">
        <f>IFERROR(__xludf.DUMMYFUNCTION("GOOGLETRANSLATE(B49,""zh-tw"",""es-MX"")"),"Un huevo muy grande
El pequeño monstruo rojo*")</f>
        <v>Un huevo muy grande
El pequeño monstruo rojo*</v>
      </c>
      <c r="S49" s="210" t="s">
        <v>6853</v>
      </c>
      <c r="T49" s="390" t="str">
        <f>IFERROR(__xludf.DUMMYFUNCTION("GOOGLETRANSLATE(D49,""zh-tw"",""es-MX"")"),"Recógelo en la parte inferior de las ruinas (no lo rompas).
*Hay un 50 % de probabilidad de que al recogerlo o romperlo aparezca un pequeño monstruo rojo.")</f>
        <v>Recógelo en la parte inferior de las ruinas (no lo rompas).
*Hay un 50 % de probabilidad de que al recogerlo o romperlo aparezca un pequeño monstruo rojo.</v>
      </c>
      <c r="U49" s="164" t="s">
        <v>6858</v>
      </c>
      <c r="V49" s="210" t="s">
        <v>6858</v>
      </c>
      <c r="W49" s="210" t="s">
        <v>6853</v>
      </c>
      <c r="X49" s="391" t="s">
        <v>6859</v>
      </c>
      <c r="Y49" s="209" t="s">
        <v>6860</v>
      </c>
      <c r="Z49" s="210" t="s">
        <v>6861</v>
      </c>
      <c r="AA49" s="166" t="s">
        <v>6853</v>
      </c>
      <c r="AB49" s="390" t="s">
        <v>6862</v>
      </c>
      <c r="AC49" s="209" t="s">
        <v>6863</v>
      </c>
      <c r="AD49" s="210" t="s">
        <v>6864</v>
      </c>
      <c r="AE49" s="210" t="s">
        <v>6853</v>
      </c>
      <c r="AF49" s="390" t="s">
        <v>6865</v>
      </c>
      <c r="AG49" s="198" t="s">
        <v>6866</v>
      </c>
      <c r="AH49" s="392" t="s">
        <v>6867</v>
      </c>
      <c r="AI49" s="392" t="s">
        <v>6853</v>
      </c>
      <c r="AJ49" s="393" t="s">
        <v>6868</v>
      </c>
      <c r="AK49" s="209" t="s">
        <v>6869</v>
      </c>
      <c r="AL49" s="210" t="s">
        <v>6870</v>
      </c>
      <c r="AM49" s="210" t="s">
        <v>6853</v>
      </c>
      <c r="AN49" s="390" t="s">
        <v>6871</v>
      </c>
      <c r="AO49" s="394" t="s">
        <v>6872</v>
      </c>
      <c r="AP49" s="214" t="s">
        <v>6873</v>
      </c>
      <c r="AQ49" s="214" t="s">
        <v>6874</v>
      </c>
      <c r="AR49" s="395" t="s">
        <v>6875</v>
      </c>
      <c r="AS49" s="394"/>
      <c r="AT49" s="214"/>
      <c r="AU49" s="214"/>
      <c r="AV49" s="395"/>
    </row>
    <row r="50">
      <c r="A50" s="164" t="s">
        <v>6876</v>
      </c>
      <c r="B50" s="166" t="s">
        <v>6877</v>
      </c>
      <c r="C50" s="166" t="s">
        <v>6878</v>
      </c>
      <c r="D50" s="391" t="s">
        <v>6879</v>
      </c>
      <c r="E50" s="164" t="s">
        <v>6880</v>
      </c>
      <c r="F50" s="210" t="s">
        <v>6881</v>
      </c>
      <c r="G50" s="166" t="s">
        <v>6878</v>
      </c>
      <c r="H50" s="391" t="s">
        <v>6882</v>
      </c>
      <c r="I50" s="164" t="s">
        <v>6883</v>
      </c>
      <c r="J50" s="210" t="s">
        <v>6884</v>
      </c>
      <c r="K50" s="210" t="s">
        <v>6878</v>
      </c>
      <c r="L50" s="390" t="s">
        <v>6885</v>
      </c>
      <c r="M50" s="209" t="str">
        <f>IFERROR(__xludf.DUMMYFUNCTION("GOOGLETRANSLATE(A50,""zh-tw"",""zh"")"),"遗迹菇类")</f>
        <v>遗迹菇类</v>
      </c>
      <c r="N50" s="210" t="str">
        <f>IFERROR(__xludf.DUMMYFUNCTION("GOOGLETRANSLATE(B50,""zh-tw"",""zh"")"),"香菇
平菇
蟹味菇
月夜茸
紫丁香蘑")</f>
        <v>香菇
平菇
蟹味菇
月夜茸
紫丁香蘑</v>
      </c>
      <c r="O50" s="210" t="s">
        <v>6878</v>
      </c>
      <c r="P50" s="390" t="str">
        <f>IFERROR(__xludf.DUMMYFUNCTION("GOOGLETRANSLATE(D50,""zh-tw"",""zh"")"),"于遗迹打地面上的蘑菇")</f>
        <v>于遗迹打地面上的蘑菇</v>
      </c>
      <c r="Q50" s="209" t="str">
        <f>IFERROR(__xludf.DUMMYFUNCTION("GOOGLETRANSLATE(A50,""zh-tw"",""es-MX"")"),"Hongos reliquia")</f>
        <v>Hongos reliquia</v>
      </c>
      <c r="R50" s="210" t="str">
        <f>IFERROR(__xludf.DUMMYFUNCTION("GOOGLETRANSLATE(B50,""zh-tw"",""es-MX"")"),"Setas shiitake, setas ostra, setas cangrejo, setas luna y setas lila.")</f>
        <v>Setas shiitake, setas ostra, setas cangrejo, setas luna y setas lila.</v>
      </c>
      <c r="S50" s="210" t="s">
        <v>6878</v>
      </c>
      <c r="T50" s="390" t="str">
        <f>IFERROR(__xludf.DUMMYFUNCTION("GOOGLETRANSLATE(D50,""zh-tw"",""es-MX"")"),"Golpea los hongos en el suelo de las ruinas.")</f>
        <v>Golpea los hongos en el suelo de las ruinas.</v>
      </c>
      <c r="U50" s="209" t="s">
        <v>6886</v>
      </c>
      <c r="V50" s="166" t="s">
        <v>6887</v>
      </c>
      <c r="W50" s="166" t="s">
        <v>6878</v>
      </c>
      <c r="X50" s="391" t="s">
        <v>6888</v>
      </c>
      <c r="Y50" s="164" t="s">
        <v>6889</v>
      </c>
      <c r="Z50" s="166" t="s">
        <v>6890</v>
      </c>
      <c r="AA50" s="166" t="s">
        <v>6878</v>
      </c>
      <c r="AB50" s="390" t="s">
        <v>6891</v>
      </c>
      <c r="AC50" s="209" t="s">
        <v>6892</v>
      </c>
      <c r="AD50" s="210" t="s">
        <v>6893</v>
      </c>
      <c r="AE50" s="210" t="s">
        <v>6878</v>
      </c>
      <c r="AF50" s="390" t="s">
        <v>6894</v>
      </c>
      <c r="AG50" s="198" t="s">
        <v>6895</v>
      </c>
      <c r="AH50" s="392" t="s">
        <v>6896</v>
      </c>
      <c r="AI50" s="392" t="s">
        <v>6878</v>
      </c>
      <c r="AJ50" s="393" t="s">
        <v>6897</v>
      </c>
      <c r="AK50" s="209" t="s">
        <v>6898</v>
      </c>
      <c r="AL50" s="210" t="s">
        <v>6899</v>
      </c>
      <c r="AM50" s="210" t="s">
        <v>6878</v>
      </c>
      <c r="AN50" s="390" t="s">
        <v>6900</v>
      </c>
      <c r="AO50" s="394" t="s">
        <v>6901</v>
      </c>
      <c r="AP50" s="214" t="s">
        <v>6902</v>
      </c>
      <c r="AQ50" s="214" t="s">
        <v>6878</v>
      </c>
      <c r="AR50" s="395" t="s">
        <v>6903</v>
      </c>
      <c r="AS50" s="394"/>
      <c r="AT50" s="214"/>
      <c r="AU50" s="214"/>
      <c r="AV50" s="395"/>
    </row>
    <row r="51">
      <c r="A51" s="164" t="s">
        <v>6904</v>
      </c>
      <c r="B51" s="166" t="s">
        <v>6905</v>
      </c>
      <c r="C51" s="166" t="s">
        <v>6906</v>
      </c>
      <c r="D51" s="391" t="s">
        <v>6907</v>
      </c>
      <c r="E51" s="164" t="s">
        <v>6908</v>
      </c>
      <c r="F51" s="166" t="s">
        <v>6909</v>
      </c>
      <c r="G51" s="166" t="s">
        <v>6906</v>
      </c>
      <c r="H51" s="391" t="s">
        <v>6910</v>
      </c>
      <c r="I51" s="164" t="s">
        <v>6911</v>
      </c>
      <c r="J51" s="210" t="s">
        <v>6912</v>
      </c>
      <c r="K51" s="210" t="s">
        <v>6906</v>
      </c>
      <c r="L51" s="390" t="s">
        <v>6913</v>
      </c>
      <c r="M51" s="209" t="str">
        <f>IFERROR(__xludf.DUMMYFUNCTION("GOOGLETRANSLATE(A51,""zh-tw"",""zh"")"),"红花")</f>
        <v>红花</v>
      </c>
      <c r="N51" s="210" t="str">
        <f>IFERROR(__xludf.DUMMYFUNCTION("GOOGLETRANSLATE(B51,""zh-tw"",""zh"")"),"火鸟的羽毛
500元
1000元")</f>
        <v>火鸟的羽毛
500元
1000元</v>
      </c>
      <c r="O51" s="210" t="s">
        <v>6906</v>
      </c>
      <c r="P51" s="390" t="str">
        <f>IFERROR(__xludf.DUMMYFUNCTION("GOOGLETRANSLATE(D51,""zh-tw"",""zh"")"),"于遗迹打地面上的红花")</f>
        <v>于遗迹打地面上的红花</v>
      </c>
      <c r="Q51" s="209" t="str">
        <f>IFERROR(__xludf.DUMMYFUNCTION("GOOGLETRANSLATE(A51,""zh-tw"",""es-MX"")"),"cártamo")</f>
        <v>cártamo</v>
      </c>
      <c r="R51" s="210" t="str">
        <f>IFERROR(__xludf.DUMMYFUNCTION("GOOGLETRANSLATE(B51,""zh-tw"",""es-MX"")"),"Plumas de ave fénix
500 yuanes
1000 yuanes")</f>
        <v>Plumas de ave fénix
500 yuanes
1000 yuanes</v>
      </c>
      <c r="S51" s="210" t="s">
        <v>6906</v>
      </c>
      <c r="T51" s="390" t="str">
        <f>IFERROR(__xludf.DUMMYFUNCTION("GOOGLETRANSLATE(D51,""zh-tw"",""es-MX"")"),"Flores rojas en el suelo de las ruinas.")</f>
        <v>Flores rojas en el suelo de las ruinas.</v>
      </c>
      <c r="U51" s="209" t="s">
        <v>6914</v>
      </c>
      <c r="V51" s="166" t="s">
        <v>6915</v>
      </c>
      <c r="W51" s="166" t="s">
        <v>6906</v>
      </c>
      <c r="X51" s="391" t="s">
        <v>6916</v>
      </c>
      <c r="Y51" s="164" t="s">
        <v>6917</v>
      </c>
      <c r="Z51" s="166" t="s">
        <v>6918</v>
      </c>
      <c r="AA51" s="166" t="s">
        <v>6906</v>
      </c>
      <c r="AB51" s="390" t="s">
        <v>6919</v>
      </c>
      <c r="AC51" s="209" t="s">
        <v>6920</v>
      </c>
      <c r="AD51" s="210" t="s">
        <v>6921</v>
      </c>
      <c r="AE51" s="210" t="s">
        <v>6906</v>
      </c>
      <c r="AF51" s="390" t="s">
        <v>6922</v>
      </c>
      <c r="AG51" s="198" t="s">
        <v>6923</v>
      </c>
      <c r="AH51" s="392" t="s">
        <v>6924</v>
      </c>
      <c r="AI51" s="392" t="s">
        <v>6906</v>
      </c>
      <c r="AJ51" s="393" t="s">
        <v>6925</v>
      </c>
      <c r="AK51" s="209" t="s">
        <v>6911</v>
      </c>
      <c r="AL51" s="210" t="s">
        <v>6926</v>
      </c>
      <c r="AM51" s="210" t="s">
        <v>6906</v>
      </c>
      <c r="AN51" s="390" t="s">
        <v>6927</v>
      </c>
      <c r="AO51" s="394" t="s">
        <v>6928</v>
      </c>
      <c r="AP51" s="214" t="s">
        <v>6929</v>
      </c>
      <c r="AQ51" s="214" t="s">
        <v>6906</v>
      </c>
      <c r="AR51" s="395" t="s">
        <v>6930</v>
      </c>
      <c r="AS51" s="394"/>
      <c r="AT51" s="214"/>
      <c r="AU51" s="214"/>
      <c r="AV51" s="395"/>
    </row>
    <row r="52">
      <c r="A52" s="164" t="s">
        <v>6931</v>
      </c>
      <c r="B52" s="177" t="s">
        <v>6932</v>
      </c>
      <c r="C52" s="177" t="s">
        <v>6933</v>
      </c>
      <c r="D52" s="397" t="s">
        <v>6934</v>
      </c>
      <c r="E52" s="164" t="s">
        <v>6935</v>
      </c>
      <c r="F52" s="166" t="s">
        <v>6936</v>
      </c>
      <c r="G52" s="166" t="s">
        <v>6937</v>
      </c>
      <c r="H52" s="391" t="str">
        <f>IFERROR(__xludf.DUMMYFUNCTION("GOOGLETRANSLATE(D52,""zh-tw"",""ja"")"),"壁を破壊すると、30%の確率でゾンビが出現する。")</f>
        <v>壁を破壊すると、30%の確率でゾンビが出現する。</v>
      </c>
      <c r="I52" s="164" t="s">
        <v>6938</v>
      </c>
      <c r="J52" s="177" t="s">
        <v>6939</v>
      </c>
      <c r="K52" s="210" t="s">
        <v>6937</v>
      </c>
      <c r="L52" s="390"/>
      <c r="M52" s="209" t="s">
        <v>6931</v>
      </c>
      <c r="N52" s="177" t="s">
        <v>6940</v>
      </c>
      <c r="O52" s="177" t="s">
        <v>6933</v>
      </c>
      <c r="P52" s="390" t="str">
        <f>IFERROR(__xludf.DUMMYFUNCTION("GOOGLETRANSLATE(D52,""zh-tw"",""zh"")"),"*打破有30%机率出现丧尸")</f>
        <v>*打破有30%机率出现丧尸</v>
      </c>
      <c r="Q52" s="209" t="str">
        <f>IFERROR(__xludf.DUMMYFUNCTION("GOOGLETRANSLATE(A52,""zh-tw"",""es-MX"")"),"Lápida/Losa de piedra")</f>
        <v>Lápida/Losa de piedra</v>
      </c>
      <c r="R52" s="210" t="str">
        <f>IFERROR(__xludf.DUMMYFUNCTION("GOOGLETRANSLATE(B52,""zh-tw"",""es-MX"")"),"Cola Plateada
Bomba Jack
Cartas de Tarot Aleatorias (excepto ""Templanza"")
Runas Aleatorias
1000 Yuan
Objeto de Calidad Blanca
Objeto de Calidad Azul
Zombi")</f>
        <v>Cola Plateada
Bomba Jack
Cartas de Tarot Aleatorias (excepto "Templanza")
Runas Aleatorias
1000 Yuan
Objeto de Calidad Blanca
Objeto de Calidad Azul
Zombi</v>
      </c>
      <c r="S52" s="210" t="s">
        <v>6937</v>
      </c>
      <c r="T52" s="390" t="str">
        <f>IFERROR(__xludf.DUMMYFUNCTION("GOOGLETRANSLATE(D52,""zh-tw"",""es-MX"")"),"Romper la pared tiene un 30% de probabilidad de generar zombis.")</f>
        <v>Romper la pared tiene un 30% de probabilidad de generar zombis.</v>
      </c>
      <c r="U52" s="209" t="str">
        <f>IFERROR(__xludf.DUMMYFUNCTION("GOOGLETRANSLATE(A52,""zh-tw"",""KO"")"),"묘비/석판")</f>
        <v>묘비/석판</v>
      </c>
      <c r="V52" s="166" t="str">
        <f>IFERROR(__xludf.DUMMYFUNCTION("GOOGLETRANSLATE(B52,""zh-tw"",""KO"")"),"실버 콜라
잭 밤
랜덤 타로 카드 (단, ""절제"" 제외)
랜덤 룬
1000위안
흰색 등급 아이템
파란색 등급 아이템
좀비")</f>
        <v>실버 콜라
잭 밤
랜덤 타로 카드 (단, "절제" 제외)
랜덤 룬
1000위안
흰색 등급 아이템
파란색 등급 아이템
좀비</v>
      </c>
      <c r="W52" s="166" t="s">
        <v>6937</v>
      </c>
      <c r="X52" s="391" t="str">
        <f>IFERROR(__xludf.DUMMYFUNCTION("GOOGLETRANSLATE(D52,""zh-tw"",""KO"")"),"벽을 부수면 30% 확률로 좀비가 나타납니다.")</f>
        <v>벽을 부수면 30% 확률로 좀비가 나타납니다.</v>
      </c>
      <c r="Y52" s="164" t="s">
        <v>6941</v>
      </c>
      <c r="Z52" s="210" t="s">
        <v>6942</v>
      </c>
      <c r="AA52" s="166" t="s">
        <v>6937</v>
      </c>
      <c r="AB52" s="390" t="s">
        <v>1273</v>
      </c>
      <c r="AC52" s="209" t="s">
        <v>6943</v>
      </c>
      <c r="AD52" s="210" t="s">
        <v>6944</v>
      </c>
      <c r="AE52" s="210" t="s">
        <v>6937</v>
      </c>
      <c r="AF52" s="397" t="s">
        <v>6844</v>
      </c>
      <c r="AG52" s="198" t="s">
        <v>6945</v>
      </c>
      <c r="AH52" s="52" t="s">
        <v>6946</v>
      </c>
      <c r="AI52" s="392" t="s">
        <v>6937</v>
      </c>
      <c r="AJ52" s="393" t="s">
        <v>1273</v>
      </c>
      <c r="AK52" s="209" t="s">
        <v>6947</v>
      </c>
      <c r="AL52" s="177" t="s">
        <v>6948</v>
      </c>
      <c r="AM52" s="210" t="s">
        <v>6937</v>
      </c>
      <c r="AN52" s="390" t="s">
        <v>1273</v>
      </c>
      <c r="AO52" s="394" t="s">
        <v>6949</v>
      </c>
      <c r="AP52" s="214" t="s">
        <v>6950</v>
      </c>
      <c r="AQ52" s="214" t="s">
        <v>6937</v>
      </c>
      <c r="AR52" s="398" t="s">
        <v>1273</v>
      </c>
      <c r="AS52" s="394"/>
      <c r="AT52" s="214"/>
      <c r="AU52" s="214"/>
      <c r="AV52" s="398"/>
    </row>
    <row r="53">
      <c r="A53" s="164" t="s">
        <v>6951</v>
      </c>
      <c r="B53" s="177" t="s">
        <v>6952</v>
      </c>
      <c r="C53" s="166" t="s">
        <v>6937</v>
      </c>
      <c r="D53" s="391" t="s">
        <v>1273</v>
      </c>
      <c r="E53" s="164" t="s">
        <v>6953</v>
      </c>
      <c r="F53" s="166" t="s">
        <v>6936</v>
      </c>
      <c r="G53" s="166" t="s">
        <v>6937</v>
      </c>
      <c r="H53" s="391" t="str">
        <f>IFERROR(__xludf.DUMMYFUNCTION("GOOGLETRANSLATE(D53,""zh-tw"",""ja"")"),"-")</f>
        <v>-</v>
      </c>
      <c r="I53" s="164" t="s">
        <v>6954</v>
      </c>
      <c r="J53" s="177" t="s">
        <v>6939</v>
      </c>
      <c r="K53" s="210" t="s">
        <v>6937</v>
      </c>
      <c r="L53" s="390"/>
      <c r="M53" s="209" t="s">
        <v>6955</v>
      </c>
      <c r="N53" s="177" t="s">
        <v>6956</v>
      </c>
      <c r="O53" s="210" t="s">
        <v>6937</v>
      </c>
      <c r="P53" s="390" t="str">
        <f>IFERROR(__xludf.DUMMYFUNCTION("GOOGLETRANSLATE(D53,""zh-tw"",""zh"")"),"-")</f>
        <v>-</v>
      </c>
      <c r="Q53" s="209" t="str">
        <f>IFERROR(__xludf.DUMMYFUNCTION("GOOGLETRANSLATE(A53,""zh-tw"",""es-MX"")"),"botella de cerámica de las ruinas")</f>
        <v>botella de cerámica de las ruinas</v>
      </c>
      <c r="R53" s="210" t="str">
        <f>IFERROR(__xludf.DUMMYFUNCTION("GOOGLETRANSLATE(B53,""zh-tw"",""es-MX"")"),"Cola Plateada
Bomba Jack
Cartas de Tarot Aleatorias (excepto ""Templanza"")
Runas Aleatorias
1000 Yuan
Artículo de Calidad Blanca
Artículo de Calidad Azul")</f>
        <v>Cola Plateada
Bomba Jack
Cartas de Tarot Aleatorias (excepto "Templanza")
Runas Aleatorias
1000 Yuan
Artículo de Calidad Blanca
Artículo de Calidad Azul</v>
      </c>
      <c r="S53" s="210" t="s">
        <v>6937</v>
      </c>
      <c r="T53" s="390" t="str">
        <f>IFERROR(__xludf.DUMMYFUNCTION("GOOGLETRANSLATE(D53,""zh-tw"",""es-MX"")"),"-")</f>
        <v>-</v>
      </c>
      <c r="U53" s="209" t="str">
        <f>IFERROR(__xludf.DUMMYFUNCTION("GOOGLETRANSLATE(A53,""zh-tw"",""KO"")"),"유적에서 발견된 도자기 병")</f>
        <v>유적에서 발견된 도자기 병</v>
      </c>
      <c r="V53" s="166" t="str">
        <f>IFERROR(__xludf.DUMMYFUNCTION("GOOGLETRANSLATE(B53,""zh-tw"",""KO"")"),"실버 콜라
잭 밤
랜덤 타로 카드 (단, ""절제"" 제외)
랜덤 룬
1000위안
흰색 등급 아이템
파란색 등급 아이템")</f>
        <v>실버 콜라
잭 밤
랜덤 타로 카드 (단, "절제" 제외)
랜덤 룬
1000위안
흰색 등급 아이템
파란색 등급 아이템</v>
      </c>
      <c r="W53" s="166" t="s">
        <v>6937</v>
      </c>
      <c r="X53" s="391" t="str">
        <f>IFERROR(__xludf.DUMMYFUNCTION("GOOGLETRANSLATE(D53,""zh-tw"",""KO"")"),"-")</f>
        <v>-</v>
      </c>
      <c r="Y53" s="164" t="s">
        <v>6957</v>
      </c>
      <c r="Z53" s="166" t="s">
        <v>6942</v>
      </c>
      <c r="AA53" s="166" t="s">
        <v>6937</v>
      </c>
      <c r="AB53" s="390" t="s">
        <v>1273</v>
      </c>
      <c r="AC53" s="209" t="s">
        <v>6958</v>
      </c>
      <c r="AD53" s="210" t="s">
        <v>6944</v>
      </c>
      <c r="AE53" s="210" t="s">
        <v>6937</v>
      </c>
      <c r="AF53" s="397" t="s">
        <v>6844</v>
      </c>
      <c r="AG53" s="198" t="s">
        <v>6959</v>
      </c>
      <c r="AH53" s="52" t="s">
        <v>6946</v>
      </c>
      <c r="AI53" s="392" t="s">
        <v>6937</v>
      </c>
      <c r="AJ53" s="393" t="s">
        <v>1273</v>
      </c>
      <c r="AK53" s="209" t="s">
        <v>6954</v>
      </c>
      <c r="AL53" s="177" t="s">
        <v>6948</v>
      </c>
      <c r="AM53" s="210" t="s">
        <v>6937</v>
      </c>
      <c r="AN53" s="390" t="s">
        <v>1273</v>
      </c>
      <c r="AO53" s="394" t="s">
        <v>6960</v>
      </c>
      <c r="AP53" s="214" t="s">
        <v>6950</v>
      </c>
      <c r="AQ53" s="214" t="s">
        <v>6937</v>
      </c>
      <c r="AR53" s="398" t="s">
        <v>1273</v>
      </c>
      <c r="AS53" s="394"/>
      <c r="AT53" s="214"/>
      <c r="AU53" s="214"/>
      <c r="AV53" s="398"/>
    </row>
    <row r="54">
      <c r="A54" s="209" t="s">
        <v>6961</v>
      </c>
      <c r="B54" s="177" t="s">
        <v>6952</v>
      </c>
      <c r="C54" s="210" t="s">
        <v>6937</v>
      </c>
      <c r="D54" s="390" t="s">
        <v>1273</v>
      </c>
      <c r="E54" s="209" t="s">
        <v>6961</v>
      </c>
      <c r="F54" s="210" t="s">
        <v>6936</v>
      </c>
      <c r="G54" s="210" t="s">
        <v>6937</v>
      </c>
      <c r="H54" s="390" t="str">
        <f>IFERROR(__xludf.DUMMYFUNCTION("GOOGLETRANSLATE(D54,""zh-tw"",""ja"")"),"-")</f>
        <v>-</v>
      </c>
      <c r="I54" s="209" t="s">
        <v>6962</v>
      </c>
      <c r="J54" s="177" t="s">
        <v>6939</v>
      </c>
      <c r="K54" s="210" t="s">
        <v>6937</v>
      </c>
      <c r="L54" s="390"/>
      <c r="M54" s="209" t="s">
        <v>6961</v>
      </c>
      <c r="N54" s="177" t="s">
        <v>6956</v>
      </c>
      <c r="O54" s="210" t="s">
        <v>6937</v>
      </c>
      <c r="P54" s="390" t="str">
        <f>IFERROR(__xludf.DUMMYFUNCTION("GOOGLETRANSLATE(D54,""zh-tw"",""zh"")"),"-")</f>
        <v>-</v>
      </c>
      <c r="Q54" s="209" t="str">
        <f>IFERROR(__xludf.DUMMYFUNCTION("GOOGLETRANSLATE(A54,""zh-tw"",""es-MX"")"),"barril de madera")</f>
        <v>barril de madera</v>
      </c>
      <c r="R54" s="210" t="str">
        <f>IFERROR(__xludf.DUMMYFUNCTION("GOOGLETRANSLATE(B54,""zh-tw"",""es-MX"")"),"Cola Plateada
Bomba Jack
Cartas de Tarot Aleatorias (excepto ""Templanza"")
Runas Aleatorias
1000 Yuan
Artículo de Calidad Blanca
Artículo de Calidad Azul")</f>
        <v>Cola Plateada
Bomba Jack
Cartas de Tarot Aleatorias (excepto "Templanza")
Runas Aleatorias
1000 Yuan
Artículo de Calidad Blanca
Artículo de Calidad Azul</v>
      </c>
      <c r="S54" s="210" t="s">
        <v>6937</v>
      </c>
      <c r="T54" s="390" t="str">
        <f>IFERROR(__xludf.DUMMYFUNCTION("GOOGLETRANSLATE(D54,""zh-tw"",""es-MX"")"),"-")</f>
        <v>-</v>
      </c>
      <c r="U54" s="209" t="str">
        <f>IFERROR(__xludf.DUMMYFUNCTION("GOOGLETRANSLATE(A54,""zh-tw"",""KO"")"),"나무통")</f>
        <v>나무통</v>
      </c>
      <c r="V54" s="210" t="str">
        <f>IFERROR(__xludf.DUMMYFUNCTION("GOOGLETRANSLATE(B54,""zh-tw"",""KO"")"),"실버 콜라
잭 밤
랜덤 타로 카드 (단, ""절제"" 제외)
랜덤 룬
1000위안
흰색 등급 아이템
파란색 등급 아이템")</f>
        <v>실버 콜라
잭 밤
랜덤 타로 카드 (단, "절제" 제외)
랜덤 룬
1000위안
흰색 등급 아이템
파란색 등급 아이템</v>
      </c>
      <c r="W54" s="210" t="s">
        <v>6937</v>
      </c>
      <c r="X54" s="390" t="str">
        <f>IFERROR(__xludf.DUMMYFUNCTION("GOOGLETRANSLATE(D54,""zh-tw"",""KO"")"),"-")</f>
        <v>-</v>
      </c>
      <c r="Y54" s="164" t="s">
        <v>6963</v>
      </c>
      <c r="Z54" s="166" t="s">
        <v>6942</v>
      </c>
      <c r="AA54" s="166" t="s">
        <v>6937</v>
      </c>
      <c r="AB54" s="390" t="s">
        <v>1273</v>
      </c>
      <c r="AC54" s="209" t="s">
        <v>6964</v>
      </c>
      <c r="AD54" s="210" t="s">
        <v>6944</v>
      </c>
      <c r="AE54" s="210" t="s">
        <v>6937</v>
      </c>
      <c r="AF54" s="397" t="s">
        <v>6844</v>
      </c>
      <c r="AG54" s="198" t="s">
        <v>6965</v>
      </c>
      <c r="AH54" s="52" t="s">
        <v>6946</v>
      </c>
      <c r="AI54" s="392" t="s">
        <v>6937</v>
      </c>
      <c r="AJ54" s="393" t="s">
        <v>1273</v>
      </c>
      <c r="AK54" s="209" t="s">
        <v>6966</v>
      </c>
      <c r="AL54" s="177" t="s">
        <v>6948</v>
      </c>
      <c r="AM54" s="210" t="s">
        <v>6937</v>
      </c>
      <c r="AN54" s="390" t="s">
        <v>1273</v>
      </c>
      <c r="AO54" s="394" t="s">
        <v>6967</v>
      </c>
      <c r="AP54" s="214" t="s">
        <v>6950</v>
      </c>
      <c r="AQ54" s="214" t="s">
        <v>6937</v>
      </c>
      <c r="AR54" s="398" t="s">
        <v>1273</v>
      </c>
      <c r="AS54" s="394"/>
      <c r="AT54" s="214"/>
      <c r="AU54" s="214"/>
      <c r="AV54" s="398"/>
    </row>
    <row r="55">
      <c r="A55" s="209" t="s">
        <v>6968</v>
      </c>
      <c r="B55" s="177" t="s">
        <v>6952</v>
      </c>
      <c r="C55" s="210" t="s">
        <v>6937</v>
      </c>
      <c r="D55" s="390" t="s">
        <v>1273</v>
      </c>
      <c r="E55" s="209" t="s">
        <v>6969</v>
      </c>
      <c r="F55" s="210" t="s">
        <v>6936</v>
      </c>
      <c r="G55" s="210" t="s">
        <v>6937</v>
      </c>
      <c r="H55" s="390" t="str">
        <f>IFERROR(__xludf.DUMMYFUNCTION("GOOGLETRANSLATE(D55,""zh-tw"",""ja"")"),"-")</f>
        <v>-</v>
      </c>
      <c r="I55" s="209" t="s">
        <v>6970</v>
      </c>
      <c r="J55" s="177" t="s">
        <v>6939</v>
      </c>
      <c r="K55" s="210" t="s">
        <v>6937</v>
      </c>
      <c r="L55" s="390"/>
      <c r="M55" s="209" t="s">
        <v>6968</v>
      </c>
      <c r="N55" s="177" t="s">
        <v>6956</v>
      </c>
      <c r="O55" s="210" t="s">
        <v>6937</v>
      </c>
      <c r="P55" s="390" t="str">
        <f>IFERROR(__xludf.DUMMYFUNCTION("GOOGLETRANSLATE(D55,""zh-tw"",""zh"")"),"-")</f>
        <v>-</v>
      </c>
      <c r="Q55" s="209" t="str">
        <f>IFERROR(__xludf.DUMMYFUNCTION("GOOGLETRANSLATE(A55,""zh-tw"",""es-MX"")"),"Huevo roto")</f>
        <v>Huevo roto</v>
      </c>
      <c r="R55" s="210" t="str">
        <f>IFERROR(__xludf.DUMMYFUNCTION("GOOGLETRANSLATE(B55,""zh-tw"",""es-MX"")"),"Cola Plateada
Bomba Jack
Cartas de Tarot Aleatorias (excepto ""Templanza"")
Runas Aleatorias
1000 Yuan
Artículo de Calidad Blanca
Artículo de Calidad Azul")</f>
        <v>Cola Plateada
Bomba Jack
Cartas de Tarot Aleatorias (excepto "Templanza")
Runas Aleatorias
1000 Yuan
Artículo de Calidad Blanca
Artículo de Calidad Azul</v>
      </c>
      <c r="S55" s="210" t="s">
        <v>6937</v>
      </c>
      <c r="T55" s="390" t="str">
        <f>IFERROR(__xludf.DUMMYFUNCTION("GOOGLETRANSLATE(D55,""zh-tw"",""es-MX"")"),"-")</f>
        <v>-</v>
      </c>
      <c r="U55" s="209" t="str">
        <f>IFERROR(__xludf.DUMMYFUNCTION("GOOGLETRANSLATE(A55,""zh-tw"",""KO"")"),"깨진 달걀")</f>
        <v>깨진 달걀</v>
      </c>
      <c r="V55" s="210" t="str">
        <f>IFERROR(__xludf.DUMMYFUNCTION("GOOGLETRANSLATE(B55,""zh-tw"",""KO"")"),"실버 콜라
잭 밤
랜덤 타로 카드 (단, ""절제"" 제외)
랜덤 룬
1000위안
흰색 등급 아이템
파란색 등급 아이템")</f>
        <v>실버 콜라
잭 밤
랜덤 타로 카드 (단, "절제" 제외)
랜덤 룬
1000위안
흰색 등급 아이템
파란색 등급 아이템</v>
      </c>
      <c r="W55" s="210" t="s">
        <v>6937</v>
      </c>
      <c r="X55" s="390" t="str">
        <f>IFERROR(__xludf.DUMMYFUNCTION("GOOGLETRANSLATE(D55,""zh-tw"",""KO"")"),"-")</f>
        <v>-</v>
      </c>
      <c r="Y55" s="164" t="s">
        <v>6971</v>
      </c>
      <c r="Z55" s="166" t="s">
        <v>6942</v>
      </c>
      <c r="AA55" s="166" t="s">
        <v>6937</v>
      </c>
      <c r="AB55" s="390" t="s">
        <v>1273</v>
      </c>
      <c r="AC55" s="209" t="s">
        <v>6972</v>
      </c>
      <c r="AD55" s="210" t="s">
        <v>6944</v>
      </c>
      <c r="AE55" s="210" t="s">
        <v>6937</v>
      </c>
      <c r="AF55" s="397" t="s">
        <v>6844</v>
      </c>
      <c r="AG55" s="198" t="s">
        <v>6973</v>
      </c>
      <c r="AH55" s="52" t="s">
        <v>6946</v>
      </c>
      <c r="AI55" s="392" t="s">
        <v>6937</v>
      </c>
      <c r="AJ55" s="393" t="s">
        <v>1273</v>
      </c>
      <c r="AK55" s="209" t="s">
        <v>6974</v>
      </c>
      <c r="AL55" s="177" t="s">
        <v>6948</v>
      </c>
      <c r="AM55" s="210" t="s">
        <v>6937</v>
      </c>
      <c r="AN55" s="390" t="s">
        <v>1273</v>
      </c>
      <c r="AO55" s="394" t="s">
        <v>6975</v>
      </c>
      <c r="AP55" s="214" t="s">
        <v>6950</v>
      </c>
      <c r="AQ55" s="214" t="s">
        <v>6937</v>
      </c>
      <c r="AR55" s="398" t="s">
        <v>1273</v>
      </c>
      <c r="AS55" s="394"/>
      <c r="AT55" s="214"/>
      <c r="AU55" s="214"/>
      <c r="AV55" s="398"/>
    </row>
    <row r="56">
      <c r="A56" s="209" t="s">
        <v>6976</v>
      </c>
      <c r="B56" s="210" t="s">
        <v>6977</v>
      </c>
      <c r="C56" s="210" t="s">
        <v>6978</v>
      </c>
      <c r="D56" s="390" t="s">
        <v>1273</v>
      </c>
      <c r="E56" s="209" t="str">
        <f>IFERROR(__xludf.DUMMYFUNCTION("GOOGLETRANSLATE(A56,""zh-tw"",""ja"")"),"鉱石")</f>
        <v>鉱石</v>
      </c>
      <c r="F56" s="210" t="s">
        <v>6979</v>
      </c>
      <c r="G56" s="210" t="s">
        <v>6978</v>
      </c>
      <c r="H56" s="390" t="str">
        <f>IFERROR(__xludf.DUMMYFUNCTION("GOOGLETRANSLATE(D56,""zh-tw"",""ja"")"),"-")</f>
        <v>-</v>
      </c>
      <c r="I56" s="209" t="s">
        <v>6980</v>
      </c>
      <c r="J56" s="210" t="s">
        <v>6981</v>
      </c>
      <c r="K56" s="210" t="s">
        <v>6978</v>
      </c>
      <c r="L56" s="390" t="str">
        <f>IFERROR(__xludf.DUMMYFUNCTION("GOOGLETRANSLATE(D56,""zh-tw"",""en"")"),"-")</f>
        <v>-</v>
      </c>
      <c r="M56" s="209" t="str">
        <f>IFERROR(__xludf.DUMMYFUNCTION("GOOGLETRANSLATE(A56,""zh-tw"",""zh"")"),"矿石")</f>
        <v>矿石</v>
      </c>
      <c r="N56" s="210" t="str">
        <f>IFERROR(__xludf.DUMMYFUNCTION("GOOGLETRANSLATE(B56,""zh-tw"",""zh"")"),"蓝辉石
火菱石
魔力小凝胶
随机​​符文
魔力晶簇
深邃魔力晶簇")</f>
        <v>蓝辉石
火菱石
魔力小凝胶
随机​​符文
魔力晶簇
深邃魔力晶簇</v>
      </c>
      <c r="O56" s="210" t="s">
        <v>6978</v>
      </c>
      <c r="P56" s="390" t="str">
        <f>IFERROR(__xludf.DUMMYFUNCTION("GOOGLETRANSLATE(D56,""zh-tw"",""zh"")"),"-")</f>
        <v>-</v>
      </c>
      <c r="Q56" s="209" t="str">
        <f>IFERROR(__xludf.DUMMYFUNCTION("GOOGLETRANSLATE(A56,""zh-tw"",""es-MX"")"),"mineral")</f>
        <v>mineral</v>
      </c>
      <c r="R56" s="210" t="str">
        <f>IFERROR(__xludf.DUMMYFUNCTION("GOOGLETRANSLATE(B56,""zh-tw"",""es-MX"")"),"Zafiro azul
Piedra de fuego
Gel mágico
Runa aleatoria
Grupo de cristales mágicos
Grupo de cristales mágicos profundos")</f>
        <v>Zafiro azul
Piedra de fuego
Gel mágico
Runa aleatoria
Grupo de cristales mágicos
Grupo de cristales mágicos profundos</v>
      </c>
      <c r="S56" s="210" t="s">
        <v>6978</v>
      </c>
      <c r="T56" s="390" t="str">
        <f>IFERROR(__xludf.DUMMYFUNCTION("GOOGLETRANSLATE(D56,""zh-tw"",""es-MX"")"),"-")</f>
        <v>-</v>
      </c>
      <c r="U56" s="209" t="str">
        <f>IFERROR(__xludf.DUMMYFUNCTION("GOOGLETRANSLATE(A56,""zh-tw"",""KO"")"),"광석")</f>
        <v>광석</v>
      </c>
      <c r="V56" s="210" t="str">
        <f>IFERROR(__xludf.DUMMYFUNCTION("GOOGLETRANSLATE(B56,""zh-tw"",""KO"")"),"블루 사파이어
파이어스톤
매직 젤
랜덤 룬
매직 크리스탈 클러스터
딥 매직 크리스탈 클러스터")</f>
        <v>블루 사파이어
파이어스톤
매직 젤
랜덤 룬
매직 크리스탈 클러스터
딥 매직 크리스탈 클러스터</v>
      </c>
      <c r="W56" s="210" t="s">
        <v>6978</v>
      </c>
      <c r="X56" s="390" t="str">
        <f>IFERROR(__xludf.DUMMYFUNCTION("GOOGLETRANSLATE(D56,""zh-tw"",""KO"")"),"-")</f>
        <v>-</v>
      </c>
      <c r="Y56" s="164" t="s">
        <v>6982</v>
      </c>
      <c r="Z56" s="166" t="s">
        <v>6983</v>
      </c>
      <c r="AA56" s="166" t="s">
        <v>6978</v>
      </c>
      <c r="AB56" s="390" t="s">
        <v>1273</v>
      </c>
      <c r="AC56" s="209" t="s">
        <v>6984</v>
      </c>
      <c r="AD56" s="210" t="s">
        <v>6985</v>
      </c>
      <c r="AE56" s="210" t="s">
        <v>6978</v>
      </c>
      <c r="AF56" s="390" t="s">
        <v>6986</v>
      </c>
      <c r="AG56" s="198" t="s">
        <v>6987</v>
      </c>
      <c r="AH56" s="392" t="s">
        <v>6988</v>
      </c>
      <c r="AI56" s="392" t="s">
        <v>6978</v>
      </c>
      <c r="AJ56" s="393" t="s">
        <v>1273</v>
      </c>
      <c r="AK56" s="209" t="s">
        <v>6989</v>
      </c>
      <c r="AL56" s="210" t="s">
        <v>6990</v>
      </c>
      <c r="AM56" s="210" t="s">
        <v>6978</v>
      </c>
      <c r="AN56" s="390" t="s">
        <v>1273</v>
      </c>
      <c r="AO56" s="394" t="s">
        <v>6991</v>
      </c>
      <c r="AP56" s="214" t="s">
        <v>6992</v>
      </c>
      <c r="AQ56" s="214" t="s">
        <v>6978</v>
      </c>
      <c r="AR56" s="395" t="s">
        <v>1273</v>
      </c>
      <c r="AS56" s="394"/>
      <c r="AT56" s="214"/>
      <c r="AU56" s="214"/>
      <c r="AV56" s="395"/>
    </row>
    <row r="57">
      <c r="A57" s="209" t="s">
        <v>6993</v>
      </c>
      <c r="B57" s="210" t="s">
        <v>6994</v>
      </c>
      <c r="C57" s="210" t="s">
        <v>6995</v>
      </c>
      <c r="D57" s="390" t="s">
        <v>1273</v>
      </c>
      <c r="E57" s="209" t="str">
        <f>IFERROR(__xludf.DUMMYFUNCTION("GOOGLETRANSLATE(A57,""zh-tw"",""ja"")"),"果樹")</f>
        <v>果樹</v>
      </c>
      <c r="F57" s="210" t="s">
        <v>6996</v>
      </c>
      <c r="G57" s="210" t="s">
        <v>6995</v>
      </c>
      <c r="H57" s="390" t="str">
        <f>IFERROR(__xludf.DUMMYFUNCTION("GOOGLETRANSLATE(D57,""zh-tw"",""ja"")"),"-")</f>
        <v>-</v>
      </c>
      <c r="I57" s="209" t="s">
        <v>6997</v>
      </c>
      <c r="J57" s="210" t="s">
        <v>6998</v>
      </c>
      <c r="K57" s="210" t="s">
        <v>6995</v>
      </c>
      <c r="L57" s="390" t="str">
        <f>IFERROR(__xludf.DUMMYFUNCTION("GOOGLETRANSLATE(D57,""zh-tw"",""en"")"),"-")</f>
        <v>-</v>
      </c>
      <c r="M57" s="209" t="str">
        <f>IFERROR(__xludf.DUMMYFUNCTION("GOOGLETRANSLATE(A57,""zh-tw"",""zh"")"),"果树")</f>
        <v>果树</v>
      </c>
      <c r="N57" s="210" t="str">
        <f>IFERROR(__xludf.DUMMYFUNCTION("GOOGLETRANSLATE(B57,""zh-tw"",""zh"")"),"芳草心
硬木棒
硬木剑
大木槌
寄生刃
柳叶长剑
古树残骸")</f>
        <v>芳草心
硬木棒
硬木剑
大木槌
寄生刃
柳叶长剑
古树残骸</v>
      </c>
      <c r="O57" s="210" t="s">
        <v>6995</v>
      </c>
      <c r="P57" s="390" t="str">
        <f>IFERROR(__xludf.DUMMYFUNCTION("GOOGLETRANSLATE(D57,""zh-tw"",""zh"")"),"-")</f>
        <v>-</v>
      </c>
      <c r="Q57" s="209" t="str">
        <f>IFERROR(__xludf.DUMMYFUNCTION("GOOGLETRANSLATE(A57,""zh-tw"",""es-MX"")"),"árboles frutales")</f>
        <v>árboles frutales</v>
      </c>
      <c r="R57" s="210" t="str">
        <f>IFERROR(__xludf.DUMMYFUNCTION("GOOGLETRANSLATE(B57,""zh-tw"",""es-MX"")"),"Corazón de hierba fragante
Palo de madera dura
Espada de madera dura
Gran mazo de madera
Hoja parasitaria
Espada larga de hoja de sauce
Restos de árbol antiguo")</f>
        <v>Corazón de hierba fragante
Palo de madera dura
Espada de madera dura
Gran mazo de madera
Hoja parasitaria
Espada larga de hoja de sauce
Restos de árbol antiguo</v>
      </c>
      <c r="S57" s="210" t="s">
        <v>6995</v>
      </c>
      <c r="T57" s="390" t="str">
        <f>IFERROR(__xludf.DUMMYFUNCTION("GOOGLETRANSLATE(D57,""zh-tw"",""es-MX"")"),"-")</f>
        <v>-</v>
      </c>
      <c r="U57" s="209" t="str">
        <f>IFERROR(__xludf.DUMMYFUNCTION("GOOGLETRANSLATE(A57,""zh-tw"",""KO"")"),"과일나무")</f>
        <v>과일나무</v>
      </c>
      <c r="V57" s="210" t="str">
        <f>IFERROR(__xludf.DUMMYFUNCTION("GOOGLETRANSLATE(B57,""zh-tw"",""KO"")"),"향기로운 풀의 심장
단단한 나무 막대기
단단한 나무 검
커다란 나무 망치
기생 칼날
버드나무 잎 장검
고대 나무 잔해")</f>
        <v>향기로운 풀의 심장
단단한 나무 막대기
단단한 나무 검
커다란 나무 망치
기생 칼날
버드나무 잎 장검
고대 나무 잔해</v>
      </c>
      <c r="W57" s="210" t="s">
        <v>6995</v>
      </c>
      <c r="X57" s="390" t="str">
        <f>IFERROR(__xludf.DUMMYFUNCTION("GOOGLETRANSLATE(D57,""zh-tw"",""KO"")"),"-")</f>
        <v>-</v>
      </c>
      <c r="Y57" s="164" t="s">
        <v>6999</v>
      </c>
      <c r="Z57" s="166" t="s">
        <v>7000</v>
      </c>
      <c r="AA57" s="166" t="s">
        <v>6995</v>
      </c>
      <c r="AB57" s="390" t="s">
        <v>1273</v>
      </c>
      <c r="AC57" s="209" t="s">
        <v>7001</v>
      </c>
      <c r="AD57" s="210" t="s">
        <v>7002</v>
      </c>
      <c r="AE57" s="210" t="s">
        <v>6995</v>
      </c>
      <c r="AF57" s="390" t="s">
        <v>7003</v>
      </c>
      <c r="AG57" s="198" t="s">
        <v>7004</v>
      </c>
      <c r="AH57" s="392" t="s">
        <v>7005</v>
      </c>
      <c r="AI57" s="392" t="s">
        <v>6995</v>
      </c>
      <c r="AJ57" s="393" t="s">
        <v>1273</v>
      </c>
      <c r="AK57" s="209" t="s">
        <v>7006</v>
      </c>
      <c r="AL57" s="210" t="s">
        <v>7007</v>
      </c>
      <c r="AM57" s="210" t="s">
        <v>6995</v>
      </c>
      <c r="AN57" s="390" t="s">
        <v>1273</v>
      </c>
      <c r="AO57" s="394" t="s">
        <v>7008</v>
      </c>
      <c r="AP57" s="214" t="s">
        <v>7009</v>
      </c>
      <c r="AQ57" s="214" t="s">
        <v>6995</v>
      </c>
      <c r="AR57" s="395" t="s">
        <v>1273</v>
      </c>
      <c r="AS57" s="394"/>
      <c r="AT57" s="214"/>
      <c r="AU57" s="214"/>
      <c r="AV57" s="395"/>
    </row>
    <row r="58">
      <c r="A58" s="209" t="s">
        <v>7010</v>
      </c>
      <c r="B58" s="210" t="s">
        <v>7010</v>
      </c>
      <c r="C58" s="210">
        <v>100.0</v>
      </c>
      <c r="D58" s="390" t="s">
        <v>1273</v>
      </c>
      <c r="E58" s="209" t="s">
        <v>7011</v>
      </c>
      <c r="F58" s="210" t="s">
        <v>7011</v>
      </c>
      <c r="G58" s="210">
        <v>100.0</v>
      </c>
      <c r="H58" s="390" t="str">
        <f>IFERROR(__xludf.DUMMYFUNCTION("GOOGLETRANSLATE(D58,""zh-tw"",""ja"")"),"-")</f>
        <v>-</v>
      </c>
      <c r="I58" s="209" t="s">
        <v>7012</v>
      </c>
      <c r="J58" s="210" t="s">
        <v>7012</v>
      </c>
      <c r="K58" s="210">
        <v>100.0</v>
      </c>
      <c r="L58" s="390"/>
      <c r="M58" s="209" t="str">
        <f>IFERROR(__xludf.DUMMYFUNCTION("GOOGLETRANSLATE(A58,""zh-tw"",""zh"")"),"苹果")</f>
        <v>苹果</v>
      </c>
      <c r="N58" s="210" t="str">
        <f>IFERROR(__xludf.DUMMYFUNCTION("GOOGLETRANSLATE(B58,""zh-tw"",""zh"")"),"苹果")</f>
        <v>苹果</v>
      </c>
      <c r="O58" s="210">
        <v>100.0</v>
      </c>
      <c r="P58" s="390" t="str">
        <f>IFERROR(__xludf.DUMMYFUNCTION("GOOGLETRANSLATE(D58,""zh-tw"",""zh"")"),"-")</f>
        <v>-</v>
      </c>
      <c r="Q58" s="209" t="str">
        <f>IFERROR(__xludf.DUMMYFUNCTION("GOOGLETRANSLATE(A58,""zh-tw"",""es-MX"")"),"manzana")</f>
        <v>manzana</v>
      </c>
      <c r="R58" s="210" t="str">
        <f>IFERROR(__xludf.DUMMYFUNCTION("GOOGLETRANSLATE(B58,""zh-tw"",""es-MX"")"),"manzana")</f>
        <v>manzana</v>
      </c>
      <c r="S58" s="210">
        <v>100.0</v>
      </c>
      <c r="T58" s="390" t="str">
        <f>IFERROR(__xludf.DUMMYFUNCTION("GOOGLETRANSLATE(D58,""zh-tw"",""es-MX"")"),"-")</f>
        <v>-</v>
      </c>
      <c r="U58" s="209" t="str">
        <f>IFERROR(__xludf.DUMMYFUNCTION("GOOGLETRANSLATE(A58,""zh-tw"",""KO"")"),"사과")</f>
        <v>사과</v>
      </c>
      <c r="V58" s="210" t="str">
        <f>IFERROR(__xludf.DUMMYFUNCTION("GOOGLETRANSLATE(B58,""zh-tw"",""KO"")"),"사과")</f>
        <v>사과</v>
      </c>
      <c r="W58" s="210">
        <v>100.0</v>
      </c>
      <c r="X58" s="390" t="str">
        <f>IFERROR(__xludf.DUMMYFUNCTION("GOOGLETRANSLATE(D58,""zh-tw"",""KO"")"),"-")</f>
        <v>-</v>
      </c>
      <c r="Y58" s="164" t="s">
        <v>7013</v>
      </c>
      <c r="Z58" s="166" t="s">
        <v>7013</v>
      </c>
      <c r="AA58" s="166">
        <v>100.0</v>
      </c>
      <c r="AB58" s="390" t="s">
        <v>1273</v>
      </c>
      <c r="AC58" s="209" t="s">
        <v>7014</v>
      </c>
      <c r="AD58" s="210" t="s">
        <v>7014</v>
      </c>
      <c r="AE58" s="210">
        <v>100.0</v>
      </c>
      <c r="AF58" s="390" t="s">
        <v>1273</v>
      </c>
      <c r="AG58" s="198" t="s">
        <v>7015</v>
      </c>
      <c r="AH58" s="392" t="s">
        <v>7015</v>
      </c>
      <c r="AI58" s="392">
        <v>100.0</v>
      </c>
      <c r="AJ58" s="393" t="s">
        <v>1273</v>
      </c>
      <c r="AK58" s="209" t="s">
        <v>7016</v>
      </c>
      <c r="AL58" s="210" t="s">
        <v>7016</v>
      </c>
      <c r="AM58" s="210">
        <v>100.0</v>
      </c>
      <c r="AN58" s="390" t="s">
        <v>1273</v>
      </c>
      <c r="AO58" s="394" t="s">
        <v>7017</v>
      </c>
      <c r="AP58" s="214" t="s">
        <v>7017</v>
      </c>
      <c r="AQ58" s="214" t="s">
        <v>6362</v>
      </c>
      <c r="AR58" s="398" t="s">
        <v>1273</v>
      </c>
      <c r="AS58" s="394"/>
      <c r="AT58" s="214"/>
      <c r="AU58" s="214"/>
      <c r="AV58" s="398"/>
    </row>
    <row r="59">
      <c r="A59" s="209" t="s">
        <v>7018</v>
      </c>
      <c r="B59" s="210" t="s">
        <v>7019</v>
      </c>
      <c r="C59" s="210" t="s">
        <v>7020</v>
      </c>
      <c r="D59" s="390" t="s">
        <v>7021</v>
      </c>
      <c r="E59" s="209" t="str">
        <f>IFERROR(__xludf.DUMMYFUNCTION("GOOGLETRANSLATE(A59,""zh-tw"",""ja"")"),"イチゴの苗")</f>
        <v>イチゴの苗</v>
      </c>
      <c r="F59" s="210" t="str">
        <f>IFERROR(__xludf.DUMMYFUNCTION("GOOGLETRANSLATE(B59,""zh-tw"",""ja"")"),"いちご")</f>
        <v>いちご</v>
      </c>
      <c r="G59" s="210" t="s">
        <v>7020</v>
      </c>
      <c r="H59" s="390" t="str">
        <f>IFERROR(__xludf.DUMMYFUNCTION("GOOGLETRANSLATE(D59,""zh-tw"",""ja"")"),"2個のアイテムをドロップする確率は40%、3個のアイテムをドロップする確率は8%です。")</f>
        <v>2個のアイテムをドロップする確率は40%、3個のアイテムをドロップする確率は8%です。</v>
      </c>
      <c r="I59" s="209" t="s">
        <v>7022</v>
      </c>
      <c r="J59" s="210" t="s">
        <v>7023</v>
      </c>
      <c r="K59" s="210" t="s">
        <v>7020</v>
      </c>
      <c r="L59" s="390" t="str">
        <f>IFERROR(__xludf.DUMMYFUNCTION("GOOGLETRANSLATE(D59,""zh-tw"",""en"")"),"There is a 40% chance of dropping 2 items, and an 8% chance of dropping 3 items.")</f>
        <v>There is a 40% chance of dropping 2 items, and an 8% chance of dropping 3 items.</v>
      </c>
      <c r="M59" s="209" t="str">
        <f>IFERROR(__xludf.DUMMYFUNCTION("GOOGLETRANSLATE(A59,""zh-tw"",""zh"")"),"草莓苗")</f>
        <v>草莓苗</v>
      </c>
      <c r="N59" s="210" t="str">
        <f>IFERROR(__xludf.DUMMYFUNCTION("GOOGLETRANSLATE(B59,""zh-tw"",""zh"")"),"草莓")</f>
        <v>草莓</v>
      </c>
      <c r="O59" s="210" t="s">
        <v>7020</v>
      </c>
      <c r="P59" s="390" t="str">
        <f>IFERROR(__xludf.DUMMYFUNCTION("GOOGLETRANSLATE(D59,""zh-tw"",""zh"")"),"有40%机率掉落2个，8%机率掉落3个")</f>
        <v>有40%机率掉落2个，8%机率掉落3个</v>
      </c>
      <c r="Q59" s="209" t="str">
        <f>IFERROR(__xludf.DUMMYFUNCTION("GOOGLETRANSLATE(A59,""zh-tw"",""es-MX"")"),"plántulas de fresa")</f>
        <v>plántulas de fresa</v>
      </c>
      <c r="R59" s="210" t="str">
        <f>IFERROR(__xludf.DUMMYFUNCTION("GOOGLETRANSLATE(B59,""zh-tw"",""es-MX"")"),"fresa")</f>
        <v>fresa</v>
      </c>
      <c r="S59" s="210" t="s">
        <v>7020</v>
      </c>
      <c r="T59" s="390" t="str">
        <f>IFERROR(__xludf.DUMMYFUNCTION("GOOGLETRANSLATE(D59,""zh-tw"",""es-MX"")"),"Existe un 40% de probabilidad de obtener 2 objetos y un 8% de probabilidad de obtener 3 objetos.")</f>
        <v>Existe un 40% de probabilidad de obtener 2 objetos y un 8% de probabilidad de obtener 3 objetos.</v>
      </c>
      <c r="U59" s="209" t="s">
        <v>7024</v>
      </c>
      <c r="V59" s="210" t="str">
        <f>IFERROR(__xludf.DUMMYFUNCTION("GOOGLETRANSLATE(B59,""zh-tw"",""KO"")"),"딸기")</f>
        <v>딸기</v>
      </c>
      <c r="W59" s="210" t="s">
        <v>7020</v>
      </c>
      <c r="X59" s="390" t="str">
        <f>IFERROR(__xludf.DUMMYFUNCTION("GOOGLETRANSLATE(D59,""zh-tw"",""KO"")"),"아이템 2개가 드롭될 확률은 40%, 아이템 3개가 드롭될 확률은 8%입니다.")</f>
        <v>아이템 2개가 드롭될 확률은 40%, 아이템 3개가 드롭될 확률은 8%입니다.</v>
      </c>
      <c r="Y59" s="164" t="s">
        <v>7025</v>
      </c>
      <c r="Z59" s="166" t="s">
        <v>7026</v>
      </c>
      <c r="AA59" s="166" t="s">
        <v>7020</v>
      </c>
      <c r="AB59" s="390" t="s">
        <v>7027</v>
      </c>
      <c r="AC59" s="209" t="s">
        <v>7028</v>
      </c>
      <c r="AD59" s="210" t="s">
        <v>7029</v>
      </c>
      <c r="AE59" s="210" t="s">
        <v>7020</v>
      </c>
      <c r="AF59" s="390" t="s">
        <v>7030</v>
      </c>
      <c r="AG59" s="198" t="s">
        <v>7031</v>
      </c>
      <c r="AH59" s="392" t="s">
        <v>7032</v>
      </c>
      <c r="AI59" s="392" t="s">
        <v>7020</v>
      </c>
      <c r="AJ59" s="393" t="s">
        <v>7033</v>
      </c>
      <c r="AK59" s="209" t="s">
        <v>7034</v>
      </c>
      <c r="AL59" s="210" t="s">
        <v>7035</v>
      </c>
      <c r="AM59" s="210" t="s">
        <v>7020</v>
      </c>
      <c r="AN59" s="390" t="s">
        <v>7036</v>
      </c>
      <c r="AO59" s="394" t="s">
        <v>7037</v>
      </c>
      <c r="AP59" s="214" t="s">
        <v>7038</v>
      </c>
      <c r="AQ59" s="214" t="s">
        <v>7020</v>
      </c>
      <c r="AR59" s="395" t="s">
        <v>7039</v>
      </c>
      <c r="AS59" s="394"/>
      <c r="AT59" s="214"/>
      <c r="AU59" s="214"/>
      <c r="AV59" s="395"/>
    </row>
    <row r="60">
      <c r="A60" s="209" t="s">
        <v>7040</v>
      </c>
      <c r="B60" s="210" t="s">
        <v>7041</v>
      </c>
      <c r="C60" s="210" t="s">
        <v>7020</v>
      </c>
      <c r="D60" s="390" t="s">
        <v>7021</v>
      </c>
      <c r="E60" s="209" t="str">
        <f>IFERROR(__xludf.DUMMYFUNCTION("GOOGLETRANSLATE(A60,""zh-tw"",""ja"")"),"ジャガイモの芽")</f>
        <v>ジャガイモの芽</v>
      </c>
      <c r="F60" s="210" t="str">
        <f>IFERROR(__xludf.DUMMYFUNCTION("GOOGLETRANSLATE(B60,""zh-tw"",""ja"")"),"じゃがいも")</f>
        <v>じゃがいも</v>
      </c>
      <c r="G60" s="210" t="s">
        <v>7020</v>
      </c>
      <c r="H60" s="390" t="str">
        <f>IFERROR(__xludf.DUMMYFUNCTION("GOOGLETRANSLATE(D60,""zh-tw"",""ja"")"),"2個のアイテムをドロップする確率は40%、3個のアイテムをドロップする確率は8%です。")</f>
        <v>2個のアイテムをドロップする確率は40%、3個のアイテムをドロップする確率は8%です。</v>
      </c>
      <c r="I60" s="209" t="s">
        <v>7042</v>
      </c>
      <c r="J60" s="210" t="s">
        <v>7043</v>
      </c>
      <c r="K60" s="210" t="s">
        <v>7020</v>
      </c>
      <c r="L60" s="390" t="str">
        <f>IFERROR(__xludf.DUMMYFUNCTION("GOOGLETRANSLATE(D60,""zh-tw"",""en"")"),"There is a 40% chance of dropping 2 items, and an 8% chance of dropping 3 items.")</f>
        <v>There is a 40% chance of dropping 2 items, and an 8% chance of dropping 3 items.</v>
      </c>
      <c r="M60" s="209" t="str">
        <f>IFERROR(__xludf.DUMMYFUNCTION("GOOGLETRANSLATE(A60,""zh-tw"",""zh"")"),"土豆苗")</f>
        <v>土豆苗</v>
      </c>
      <c r="N60" s="210" t="str">
        <f>IFERROR(__xludf.DUMMYFUNCTION("GOOGLETRANSLATE(B60,""zh-tw"",""zh"")"),"土豆")</f>
        <v>土豆</v>
      </c>
      <c r="O60" s="210" t="s">
        <v>7020</v>
      </c>
      <c r="P60" s="390" t="str">
        <f>IFERROR(__xludf.DUMMYFUNCTION("GOOGLETRANSLATE(D60,""zh-tw"",""zh"")"),"有40%机率掉落2个，8%机率掉落3个")</f>
        <v>有40%机率掉落2个，8%机率掉落3个</v>
      </c>
      <c r="Q60" s="209" t="str">
        <f>IFERROR(__xludf.DUMMYFUNCTION("GOOGLETRANSLATE(A60,""zh-tw"",""es-MX"")"),"brotes de patata")</f>
        <v>brotes de patata</v>
      </c>
      <c r="R60" s="210" t="str">
        <f>IFERROR(__xludf.DUMMYFUNCTION("GOOGLETRANSLATE(B60,""zh-tw"",""es-MX"")"),"Papa")</f>
        <v>Papa</v>
      </c>
      <c r="S60" s="210" t="s">
        <v>7020</v>
      </c>
      <c r="T60" s="390" t="str">
        <f>IFERROR(__xludf.DUMMYFUNCTION("GOOGLETRANSLATE(D60,""zh-tw"",""es-MX"")"),"Existe un 40% de probabilidad de obtener 2 objetos y un 8% de probabilidad de obtener 3 objetos.")</f>
        <v>Existe un 40% de probabilidad de obtener 2 objetos y un 8% de probabilidad de obtener 3 objetos.</v>
      </c>
      <c r="U60" s="209" t="s">
        <v>7044</v>
      </c>
      <c r="V60" s="210" t="str">
        <f>IFERROR(__xludf.DUMMYFUNCTION("GOOGLETRANSLATE(B60,""zh-tw"",""KO"")"),"감자")</f>
        <v>감자</v>
      </c>
      <c r="W60" s="210" t="s">
        <v>7020</v>
      </c>
      <c r="X60" s="390" t="str">
        <f>IFERROR(__xludf.DUMMYFUNCTION("GOOGLETRANSLATE(D60,""zh-tw"",""KO"")"),"아이템 2개가 드롭될 확률은 40%, 아이템 3개가 드롭될 확률은 8%입니다.")</f>
        <v>아이템 2개가 드롭될 확률은 40%, 아이템 3개가 드롭될 확률은 8%입니다.</v>
      </c>
      <c r="Y60" s="164" t="s">
        <v>7045</v>
      </c>
      <c r="Z60" s="166" t="s">
        <v>7046</v>
      </c>
      <c r="AA60" s="166" t="s">
        <v>7020</v>
      </c>
      <c r="AB60" s="390" t="s">
        <v>7027</v>
      </c>
      <c r="AC60" s="209" t="s">
        <v>7047</v>
      </c>
      <c r="AD60" s="210" t="s">
        <v>7048</v>
      </c>
      <c r="AE60" s="210" t="s">
        <v>7020</v>
      </c>
      <c r="AF60" s="390" t="s">
        <v>7030</v>
      </c>
      <c r="AG60" s="198" t="s">
        <v>7049</v>
      </c>
      <c r="AH60" s="392" t="s">
        <v>7050</v>
      </c>
      <c r="AI60" s="392" t="s">
        <v>7020</v>
      </c>
      <c r="AJ60" s="393" t="s">
        <v>7033</v>
      </c>
      <c r="AK60" s="209" t="s">
        <v>7051</v>
      </c>
      <c r="AL60" s="210" t="s">
        <v>7052</v>
      </c>
      <c r="AM60" s="210" t="s">
        <v>7020</v>
      </c>
      <c r="AN60" s="390" t="s">
        <v>7036</v>
      </c>
      <c r="AO60" s="394" t="s">
        <v>7053</v>
      </c>
      <c r="AP60" s="214" t="s">
        <v>7054</v>
      </c>
      <c r="AQ60" s="214" t="s">
        <v>7020</v>
      </c>
      <c r="AR60" s="395" t="s">
        <v>7039</v>
      </c>
      <c r="AS60" s="394"/>
      <c r="AT60" s="214"/>
      <c r="AU60" s="214"/>
      <c r="AV60" s="395"/>
    </row>
    <row r="61">
      <c r="A61" s="209" t="s">
        <v>7055</v>
      </c>
      <c r="B61" s="210" t="s">
        <v>7056</v>
      </c>
      <c r="C61" s="210" t="s">
        <v>7020</v>
      </c>
      <c r="D61" s="390" t="s">
        <v>7021</v>
      </c>
      <c r="E61" s="209" t="str">
        <f>IFERROR(__xludf.DUMMYFUNCTION("GOOGLETRANSLATE(A61,""zh-tw"",""ja"")"),"トマトの苗")</f>
        <v>トマトの苗</v>
      </c>
      <c r="F61" s="210" t="str">
        <f>IFERROR(__xludf.DUMMYFUNCTION("GOOGLETRANSLATE(B61,""zh-tw"",""ja"")"),"トマト")</f>
        <v>トマト</v>
      </c>
      <c r="G61" s="210" t="s">
        <v>7020</v>
      </c>
      <c r="H61" s="390" t="str">
        <f>IFERROR(__xludf.DUMMYFUNCTION("GOOGLETRANSLATE(D61,""zh-tw"",""ja"")"),"2個のアイテムをドロップする確率は40%、3個のアイテムをドロップする確率は8%です。")</f>
        <v>2個のアイテムをドロップする確率は40%、3個のアイテムをドロップする確率は8%です。</v>
      </c>
      <c r="I61" s="209" t="s">
        <v>7057</v>
      </c>
      <c r="J61" s="210" t="s">
        <v>7058</v>
      </c>
      <c r="K61" s="210" t="s">
        <v>7020</v>
      </c>
      <c r="L61" s="390" t="str">
        <f>IFERROR(__xludf.DUMMYFUNCTION("GOOGLETRANSLATE(D61,""zh-tw"",""en"")"),"There is a 40% chance of dropping 2 items, and an 8% chance of dropping 3 items.")</f>
        <v>There is a 40% chance of dropping 2 items, and an 8% chance of dropping 3 items.</v>
      </c>
      <c r="M61" s="209" t="str">
        <f>IFERROR(__xludf.DUMMYFUNCTION("GOOGLETRANSLATE(A61,""zh-tw"",""zh"")"),"番茄苗")</f>
        <v>番茄苗</v>
      </c>
      <c r="N61" s="210" t="str">
        <f>IFERROR(__xludf.DUMMYFUNCTION("GOOGLETRANSLATE(B61,""zh-tw"",""zh"")"),"番茄")</f>
        <v>番茄</v>
      </c>
      <c r="O61" s="210" t="s">
        <v>7020</v>
      </c>
      <c r="P61" s="390" t="str">
        <f>IFERROR(__xludf.DUMMYFUNCTION("GOOGLETRANSLATE(D61,""zh-tw"",""zh"")"),"有40%机率掉落2个，8%机率掉落3个")</f>
        <v>有40%机率掉落2个，8%机率掉落3个</v>
      </c>
      <c r="Q61" s="209" t="str">
        <f>IFERROR(__xludf.DUMMYFUNCTION("GOOGLETRANSLATE(A61,""zh-tw"",""es-MX"")"),"Plántulas de tomate")</f>
        <v>Plántulas de tomate</v>
      </c>
      <c r="R61" s="210" t="str">
        <f>IFERROR(__xludf.DUMMYFUNCTION("GOOGLETRANSLATE(B61,""zh-tw"",""es-MX"")"),"tomate")</f>
        <v>tomate</v>
      </c>
      <c r="S61" s="210" t="s">
        <v>7020</v>
      </c>
      <c r="T61" s="390" t="str">
        <f>IFERROR(__xludf.DUMMYFUNCTION("GOOGLETRANSLATE(D61,""zh-tw"",""es-MX"")"),"Existe un 40% de probabilidad de obtener 2 objetos y un 8% de probabilidad de obtener 3 objetos.")</f>
        <v>Existe un 40% de probabilidad de obtener 2 objetos y un 8% de probabilidad de obtener 3 objetos.</v>
      </c>
      <c r="U61" s="209" t="str">
        <f>IFERROR(__xludf.DUMMYFUNCTION("GOOGLETRANSLATE(A61,""zh-tw"",""KO"")"),"토마토 모종")</f>
        <v>토마토 모종</v>
      </c>
      <c r="V61" s="210" t="str">
        <f>IFERROR(__xludf.DUMMYFUNCTION("GOOGLETRANSLATE(B61,""zh-tw"",""KO"")"),"토마토")</f>
        <v>토마토</v>
      </c>
      <c r="W61" s="210" t="s">
        <v>7020</v>
      </c>
      <c r="X61" s="390" t="str">
        <f>IFERROR(__xludf.DUMMYFUNCTION("GOOGLETRANSLATE(D61,""zh-tw"",""KO"")"),"아이템 2개가 드롭될 확률은 40%, 아이템 3개가 드롭될 확률은 8%입니다.")</f>
        <v>아이템 2개가 드롭될 확률은 40%, 아이템 3개가 드롭될 확률은 8%입니다.</v>
      </c>
      <c r="Y61" s="164" t="s">
        <v>7059</v>
      </c>
      <c r="Z61" s="166" t="s">
        <v>7060</v>
      </c>
      <c r="AA61" s="166" t="s">
        <v>7020</v>
      </c>
      <c r="AB61" s="390" t="s">
        <v>7027</v>
      </c>
      <c r="AC61" s="209" t="s">
        <v>7061</v>
      </c>
      <c r="AD61" s="210" t="s">
        <v>7062</v>
      </c>
      <c r="AE61" s="210" t="s">
        <v>7020</v>
      </c>
      <c r="AF61" s="390" t="s">
        <v>7030</v>
      </c>
      <c r="AG61" s="198" t="s">
        <v>7063</v>
      </c>
      <c r="AH61" s="392" t="s">
        <v>7064</v>
      </c>
      <c r="AI61" s="392" t="s">
        <v>7020</v>
      </c>
      <c r="AJ61" s="393" t="s">
        <v>7033</v>
      </c>
      <c r="AK61" s="209" t="s">
        <v>7065</v>
      </c>
      <c r="AL61" s="210" t="s">
        <v>7066</v>
      </c>
      <c r="AM61" s="210" t="s">
        <v>7020</v>
      </c>
      <c r="AN61" s="390" t="s">
        <v>7036</v>
      </c>
      <c r="AO61" s="394" t="s">
        <v>7067</v>
      </c>
      <c r="AP61" s="214" t="s">
        <v>7068</v>
      </c>
      <c r="AQ61" s="214" t="s">
        <v>7020</v>
      </c>
      <c r="AR61" s="395" t="s">
        <v>7039</v>
      </c>
      <c r="AS61" s="394"/>
      <c r="AT61" s="214"/>
      <c r="AU61" s="214"/>
      <c r="AV61" s="395"/>
    </row>
    <row r="62">
      <c r="A62" s="209" t="s">
        <v>7069</v>
      </c>
      <c r="B62" s="210" t="s">
        <v>7070</v>
      </c>
      <c r="C62" s="210" t="s">
        <v>7020</v>
      </c>
      <c r="D62" s="390" t="s">
        <v>7021</v>
      </c>
      <c r="E62" s="209" t="str">
        <f>IFERROR(__xludf.DUMMYFUNCTION("GOOGLETRANSLATE(A62,""zh-tw"",""ja"")"),"唐辛子の苗")</f>
        <v>唐辛子の苗</v>
      </c>
      <c r="F62" s="210" t="str">
        <f>IFERROR(__xludf.DUMMYFUNCTION("GOOGLETRANSLATE(B62,""zh-tw"",""ja"")"),"チリ")</f>
        <v>チリ</v>
      </c>
      <c r="G62" s="210" t="s">
        <v>7020</v>
      </c>
      <c r="H62" s="390" t="str">
        <f>IFERROR(__xludf.DUMMYFUNCTION("GOOGLETRANSLATE(D62,""zh-tw"",""ja"")"),"2個のアイテムをドロップする確率は40%、3個のアイテムをドロップする確率は8%です。")</f>
        <v>2個のアイテムをドロップする確率は40%、3個のアイテムをドロップする確率は8%です。</v>
      </c>
      <c r="I62" s="209" t="s">
        <v>7071</v>
      </c>
      <c r="J62" s="210" t="s">
        <v>7072</v>
      </c>
      <c r="K62" s="210" t="s">
        <v>7020</v>
      </c>
      <c r="L62" s="390" t="str">
        <f>IFERROR(__xludf.DUMMYFUNCTION("GOOGLETRANSLATE(D62,""zh-tw"",""en"")"),"There is a 40% chance of dropping 2 items, and an 8% chance of dropping 3 items.")</f>
        <v>There is a 40% chance of dropping 2 items, and an 8% chance of dropping 3 items.</v>
      </c>
      <c r="M62" s="209" t="str">
        <f>IFERROR(__xludf.DUMMYFUNCTION("GOOGLETRANSLATE(A62,""zh-tw"",""zh"")"),"辣椒苗")</f>
        <v>辣椒苗</v>
      </c>
      <c r="N62" s="210" t="str">
        <f>IFERROR(__xludf.DUMMYFUNCTION("GOOGLETRANSLATE(B62,""zh-tw"",""zh"")"),"辣椒")</f>
        <v>辣椒</v>
      </c>
      <c r="O62" s="210" t="s">
        <v>7020</v>
      </c>
      <c r="P62" s="390" t="str">
        <f>IFERROR(__xludf.DUMMYFUNCTION("GOOGLETRANSLATE(D62,""zh-tw"",""zh"")"),"有40%机率掉落2个，8%机率掉落3个")</f>
        <v>有40%机率掉落2个，8%机率掉落3个</v>
      </c>
      <c r="Q62" s="209" t="str">
        <f>IFERROR(__xludf.DUMMYFUNCTION("GOOGLETRANSLATE(A62,""zh-tw"",""es-MX"")"),"Plántulas de chile")</f>
        <v>Plántulas de chile</v>
      </c>
      <c r="R62" s="210" t="str">
        <f>IFERROR(__xludf.DUMMYFUNCTION("GOOGLETRANSLATE(B62,""zh-tw"",""es-MX"")"),"chile")</f>
        <v>chile</v>
      </c>
      <c r="S62" s="210">
        <v>35.0</v>
      </c>
      <c r="T62" s="390" t="str">
        <f>IFERROR(__xludf.DUMMYFUNCTION("GOOGLETRANSLATE(D62,""zh-tw"",""es-MX"")"),"Existe un 40% de probabilidad de obtener 2 objetos y un 8% de probabilidad de obtener 3 objetos.")</f>
        <v>Existe un 40% de probabilidad de obtener 2 objetos y un 8% de probabilidad de obtener 3 objetos.</v>
      </c>
      <c r="U62" s="209" t="str">
        <f>IFERROR(__xludf.DUMMYFUNCTION("GOOGLETRANSLATE(A62,""zh-tw"",""KO"")"),"고추 모종")</f>
        <v>고추 모종</v>
      </c>
      <c r="V62" s="210" t="str">
        <f>IFERROR(__xludf.DUMMYFUNCTION("GOOGLETRANSLATE(B62,""zh-tw"",""KO"")"),"칠리")</f>
        <v>칠리</v>
      </c>
      <c r="W62" s="210" t="s">
        <v>7020</v>
      </c>
      <c r="X62" s="390" t="str">
        <f>IFERROR(__xludf.DUMMYFUNCTION("GOOGLETRANSLATE(D62,""zh-tw"",""KO"")"),"아이템 2개가 드롭될 확률은 40%, 아이템 3개가 드롭될 확률은 8%입니다.")</f>
        <v>아이템 2개가 드롭될 확률은 40%, 아이템 3개가 드롭될 확률은 8%입니다.</v>
      </c>
      <c r="Y62" s="164" t="s">
        <v>7073</v>
      </c>
      <c r="Z62" s="166" t="s">
        <v>7074</v>
      </c>
      <c r="AA62" s="166" t="s">
        <v>7020</v>
      </c>
      <c r="AB62" s="390" t="s">
        <v>7027</v>
      </c>
      <c r="AC62" s="209" t="s">
        <v>7075</v>
      </c>
      <c r="AD62" s="210" t="s">
        <v>7076</v>
      </c>
      <c r="AE62" s="210" t="s">
        <v>7020</v>
      </c>
      <c r="AF62" s="390" t="s">
        <v>7030</v>
      </c>
      <c r="AG62" s="198" t="s">
        <v>7077</v>
      </c>
      <c r="AH62" s="392" t="s">
        <v>7078</v>
      </c>
      <c r="AI62" s="392" t="s">
        <v>7020</v>
      </c>
      <c r="AJ62" s="393" t="s">
        <v>7033</v>
      </c>
      <c r="AK62" s="209" t="s">
        <v>7079</v>
      </c>
      <c r="AL62" s="210" t="s">
        <v>7080</v>
      </c>
      <c r="AM62" s="210" t="s">
        <v>7020</v>
      </c>
      <c r="AN62" s="390" t="s">
        <v>7036</v>
      </c>
      <c r="AO62" s="394" t="s">
        <v>7081</v>
      </c>
      <c r="AP62" s="214" t="s">
        <v>7082</v>
      </c>
      <c r="AQ62" s="214" t="s">
        <v>7020</v>
      </c>
      <c r="AR62" s="395" t="s">
        <v>7039</v>
      </c>
      <c r="AS62" s="394"/>
      <c r="AT62" s="214"/>
      <c r="AU62" s="214"/>
      <c r="AV62" s="395"/>
    </row>
    <row r="63">
      <c r="A63" s="387" t="s">
        <v>7083</v>
      </c>
      <c r="E63" s="387" t="str">
        <f>IFERROR(__xludf.DUMMYFUNCTION("GOOGLETRANSLATE(A63,""zh-tw"",""ja"")"),"火山溶岩関連")</f>
        <v>火山溶岩関連</v>
      </c>
      <c r="I63" s="387" t="s">
        <v>4894</v>
      </c>
      <c r="M63" s="387" t="str">
        <f>IFERROR(__xludf.DUMMYFUNCTION("GOOGLETRANSLATE(A63,""zh-tw"",""zh"")"),"火山熔岩相关")</f>
        <v>火山熔岩相关</v>
      </c>
      <c r="Q63" s="387" t="str">
        <f>IFERROR(__xludf.DUMMYFUNCTION("GOOGLETRANSLATE(A63,""zh-tw"",""es-MX"")"),"Lava volcánica relacionada")</f>
        <v>Lava volcánica relacionada</v>
      </c>
      <c r="U63" s="387" t="str">
        <f>IFERROR(__xludf.DUMMYFUNCTION("GOOGLETRANSLATE(A63,""zh-tw"",""KO"")"),"화산 용암 관련")</f>
        <v>화산 용암 관련</v>
      </c>
      <c r="Y63" s="386" t="s">
        <v>4902</v>
      </c>
      <c r="AC63" s="387" t="str">
        <f>IFERROR(__xludf.DUMMYFUNCTION("GOOGLETRANSLATE(A62,""zh-tw"",""DE"")"),"Chili-Setzlinge")</f>
        <v>Chili-Setzlinge</v>
      </c>
      <c r="AG63" s="389" t="s">
        <v>7084</v>
      </c>
      <c r="AK63" s="387" t="s">
        <v>4894</v>
      </c>
      <c r="AO63" s="399" t="s">
        <v>7085</v>
      </c>
      <c r="AS63" s="399"/>
    </row>
    <row r="64">
      <c r="A64" s="209" t="s">
        <v>7086</v>
      </c>
      <c r="B64" s="210" t="s">
        <v>7087</v>
      </c>
      <c r="C64" s="210" t="s">
        <v>7088</v>
      </c>
      <c r="D64" s="390" t="s">
        <v>1273</v>
      </c>
      <c r="E64" s="209" t="s">
        <v>7089</v>
      </c>
      <c r="F64" s="210" t="s">
        <v>7090</v>
      </c>
      <c r="G64" s="210">
        <v>35.0</v>
      </c>
      <c r="H64" s="390" t="str">
        <f>IFERROR(__xludf.DUMMYFUNCTION("GOOGLETRANSLATE(D64,""zh-tw"",""ja"")"),"-")</f>
        <v>-</v>
      </c>
      <c r="I64" s="209" t="s">
        <v>7091</v>
      </c>
      <c r="J64" s="210" t="s">
        <v>7092</v>
      </c>
      <c r="K64" s="210" t="s">
        <v>7088</v>
      </c>
      <c r="L64" s="390" t="str">
        <f>IFERROR(__xludf.DUMMYFUNCTION("GOOGLETRANSLATE(H64,""zh-tw"",""ja"")"),"-")</f>
        <v>-</v>
      </c>
      <c r="M64" s="209" t="str">
        <f>IFERROR(__xludf.DUMMYFUNCTION("GOOGLETRANSLATE(A64,""zh-tw"",""zh"")"),"火焰妖精")</f>
        <v>火焰妖精</v>
      </c>
      <c r="N64" s="210" t="str">
        <f>IFERROR(__xludf.DUMMYFUNCTION("GOOGLETRANSLATE(B64,""zh-tw"",""zh"")"),"熔岩杖
紫色品质物品")</f>
        <v>熔岩杖
紫色品质物品</v>
      </c>
      <c r="O64" s="210" t="s">
        <v>7088</v>
      </c>
      <c r="P64" s="390" t="str">
        <f>IFERROR(__xludf.DUMMYFUNCTION("GOOGLETRANSLATE(D64,""zh-tw"",""zh"")"),"-")</f>
        <v>-</v>
      </c>
      <c r="Q64" s="209" t="str">
        <f>IFERROR(__xludf.DUMMYFUNCTION("GOOGLETRANSLATE(A64,""zh-tw"",""es-MX"")"),"Hada de fuego")</f>
        <v>Hada de fuego</v>
      </c>
      <c r="R64" s="210" t="str">
        <f>IFERROR(__xludf.DUMMYFUNCTION("GOOGLETRANSLATE(B64,""zh-tw"",""es-MX"")"),"Bastón de lava
Artículo de calidad púrpura")</f>
        <v>Bastón de lava
Artículo de calidad púrpura</v>
      </c>
      <c r="S64" s="210">
        <v>35.0</v>
      </c>
      <c r="T64" s="390" t="str">
        <f>IFERROR(__xludf.DUMMYFUNCTION("GOOGLETRANSLATE(D64,""zh-tw"",""es-MX"")"),"-")</f>
        <v>-</v>
      </c>
      <c r="U64" s="209" t="str">
        <f>IFERROR(__xludf.DUMMYFUNCTION("GOOGLETRANSLATE(A64,""zh-tw"",""KO"")"),"불꽃 요정")</f>
        <v>불꽃 요정</v>
      </c>
      <c r="V64" s="210" t="s">
        <v>7093</v>
      </c>
      <c r="W64" s="210">
        <v>35.0</v>
      </c>
      <c r="X64" s="390" t="str">
        <f>IFERROR(__xludf.DUMMYFUNCTION("GOOGLETRANSLATE(D64,""zh-tw"",""KO"")"),"-")</f>
        <v>-</v>
      </c>
      <c r="Y64" s="164" t="s">
        <v>7094</v>
      </c>
      <c r="Z64" s="177" t="s">
        <v>7095</v>
      </c>
      <c r="AA64" s="210" t="s">
        <v>7088</v>
      </c>
      <c r="AB64" s="390" t="s">
        <v>1273</v>
      </c>
      <c r="AC64" s="209" t="s">
        <v>7096</v>
      </c>
      <c r="AD64" s="210" t="s">
        <v>7097</v>
      </c>
      <c r="AE64" s="210">
        <v>35.0</v>
      </c>
      <c r="AF64" s="390" t="s">
        <v>7098</v>
      </c>
      <c r="AG64" s="198" t="s">
        <v>7099</v>
      </c>
      <c r="AH64" s="392" t="s">
        <v>7100</v>
      </c>
      <c r="AI64" s="392" t="s">
        <v>7088</v>
      </c>
      <c r="AJ64" s="393" t="s">
        <v>1273</v>
      </c>
      <c r="AK64" s="209" t="s">
        <v>7101</v>
      </c>
      <c r="AL64" s="210" t="s">
        <v>7102</v>
      </c>
      <c r="AM64" s="210" t="s">
        <v>7088</v>
      </c>
      <c r="AN64" s="390" t="s">
        <v>1273</v>
      </c>
      <c r="AO64" s="394" t="s">
        <v>7103</v>
      </c>
      <c r="AP64" s="214" t="s">
        <v>7104</v>
      </c>
      <c r="AQ64" s="214" t="s">
        <v>7105</v>
      </c>
      <c r="AR64" s="395" t="s">
        <v>1273</v>
      </c>
      <c r="AS64" s="394"/>
      <c r="AT64" s="214"/>
      <c r="AU64" s="214"/>
      <c r="AV64" s="395"/>
    </row>
    <row r="65">
      <c r="A65" s="209" t="s">
        <v>7106</v>
      </c>
      <c r="B65" s="210" t="s">
        <v>7107</v>
      </c>
      <c r="C65" s="210" t="s">
        <v>7108</v>
      </c>
      <c r="D65" s="390" t="s">
        <v>1273</v>
      </c>
      <c r="E65" s="209" t="s">
        <v>7109</v>
      </c>
      <c r="F65" s="210" t="str">
        <f>IFERROR(__xludf.DUMMYFUNCTION("GOOGLETRANSLATE(B65,""zh-tw"",""ja"")"),"溶岩リング
紫色の高品質アイテム")</f>
        <v>溶岩リング
紫色の高品質アイテム</v>
      </c>
      <c r="G65" s="210" t="s">
        <v>7108</v>
      </c>
      <c r="H65" s="390" t="str">
        <f>IFERROR(__xludf.DUMMYFUNCTION("GOOGLETRANSLATE(D65,""zh-tw"",""ja"")"),"-")</f>
        <v>-</v>
      </c>
      <c r="I65" s="209" t="s">
        <v>7110</v>
      </c>
      <c r="J65" s="210" t="s">
        <v>7111</v>
      </c>
      <c r="K65" s="210" t="s">
        <v>7108</v>
      </c>
      <c r="L65" s="390" t="str">
        <f>IFERROR(__xludf.DUMMYFUNCTION("GOOGLETRANSLATE(H65,""zh-tw"",""ja"")"),"-")</f>
        <v>-</v>
      </c>
      <c r="M65" s="209" t="str">
        <f>IFERROR(__xludf.DUMMYFUNCTION("GOOGLETRANSLATE(A65,""zh-tw"",""zh"")"),"燃烧史莱姆")</f>
        <v>燃烧史莱姆</v>
      </c>
      <c r="N65" s="210" t="str">
        <f>IFERROR(__xludf.DUMMYFUNCTION("GOOGLETRANSLATE(B65,""zh-tw"",""zh"")"),"熔岩戒指
紫色品质物品")</f>
        <v>熔岩戒指
紫色品质物品</v>
      </c>
      <c r="O65" s="210" t="s">
        <v>7108</v>
      </c>
      <c r="P65" s="390" t="str">
        <f>IFERROR(__xludf.DUMMYFUNCTION("GOOGLETRANSLATE(D65,""zh-tw"",""zh"")"),"-")</f>
        <v>-</v>
      </c>
      <c r="Q65" s="209" t="str">
        <f>IFERROR(__xludf.DUMMYFUNCTION("GOOGLETRANSLATE(A65,""zh-tw"",""es-MX"")"),"Limo ardiente")</f>
        <v>Limo ardiente</v>
      </c>
      <c r="R65" s="210" t="str">
        <f>IFERROR(__xludf.DUMMYFUNCTION("GOOGLETRANSLATE(B65,""zh-tw"",""es-MX"")"),"Anillo de lava
Artículo de color púrpura de alta calidad")</f>
        <v>Anillo de lava
Artículo de color púrpura de alta calidad</v>
      </c>
      <c r="S65" s="210" t="s">
        <v>7108</v>
      </c>
      <c r="T65" s="390" t="str">
        <f>IFERROR(__xludf.DUMMYFUNCTION("GOOGLETRANSLATE(D65,""zh-tw"",""es-MX"")"),"-")</f>
        <v>-</v>
      </c>
      <c r="U65" s="209" t="str">
        <f>IFERROR(__xludf.DUMMYFUNCTION("GOOGLETRANSLATE(A65,""zh-tw"",""KO"")"),"불타는 슬라임")</f>
        <v>불타는 슬라임</v>
      </c>
      <c r="V65" s="210" t="s">
        <v>7112</v>
      </c>
      <c r="W65" s="210" t="s">
        <v>7108</v>
      </c>
      <c r="X65" s="390" t="str">
        <f>IFERROR(__xludf.DUMMYFUNCTION("GOOGLETRANSLATE(D65,""zh-tw"",""KO"")"),"-")</f>
        <v>-</v>
      </c>
      <c r="Y65" s="164" t="s">
        <v>7113</v>
      </c>
      <c r="Z65" s="177" t="s">
        <v>7114</v>
      </c>
      <c r="AA65" s="210" t="s">
        <v>7108</v>
      </c>
      <c r="AB65" s="390" t="s">
        <v>1273</v>
      </c>
      <c r="AC65" s="209" t="s">
        <v>7115</v>
      </c>
      <c r="AD65" s="210" t="s">
        <v>7116</v>
      </c>
      <c r="AE65" s="210" t="s">
        <v>7108</v>
      </c>
      <c r="AF65" s="390" t="s">
        <v>7098</v>
      </c>
      <c r="AG65" s="198" t="s">
        <v>7117</v>
      </c>
      <c r="AH65" s="392" t="s">
        <v>7118</v>
      </c>
      <c r="AI65" s="392" t="s">
        <v>7108</v>
      </c>
      <c r="AJ65" s="393" t="s">
        <v>1273</v>
      </c>
      <c r="AK65" s="209" t="s">
        <v>7119</v>
      </c>
      <c r="AL65" s="210" t="s">
        <v>7120</v>
      </c>
      <c r="AM65" s="210" t="s">
        <v>7108</v>
      </c>
      <c r="AN65" s="390" t="s">
        <v>1273</v>
      </c>
      <c r="AO65" s="394" t="s">
        <v>7121</v>
      </c>
      <c r="AP65" s="214" t="s">
        <v>7122</v>
      </c>
      <c r="AQ65" s="214" t="s">
        <v>7108</v>
      </c>
      <c r="AR65" s="395" t="s">
        <v>1273</v>
      </c>
      <c r="AS65" s="394"/>
      <c r="AT65" s="214"/>
      <c r="AU65" s="214"/>
      <c r="AV65" s="395"/>
    </row>
    <row r="66">
      <c r="A66" s="209" t="s">
        <v>7123</v>
      </c>
      <c r="B66" s="210" t="s">
        <v>7124</v>
      </c>
      <c r="C66" s="210" t="s">
        <v>7125</v>
      </c>
      <c r="D66" s="390" t="s">
        <v>1273</v>
      </c>
      <c r="E66" s="209" t="s">
        <v>7123</v>
      </c>
      <c r="F66" s="210" t="s">
        <v>7126</v>
      </c>
      <c r="G66" s="210" t="s">
        <v>7125</v>
      </c>
      <c r="H66" s="390" t="str">
        <f>IFERROR(__xludf.DUMMYFUNCTION("GOOGLETRANSLATE(D66,""zh-tw"",""ja"")"),"-")</f>
        <v>-</v>
      </c>
      <c r="I66" s="209" t="s">
        <v>7127</v>
      </c>
      <c r="J66" s="210" t="s">
        <v>7128</v>
      </c>
      <c r="K66" s="210" t="s">
        <v>7129</v>
      </c>
      <c r="L66" s="390" t="str">
        <f>IFERROR(__xludf.DUMMYFUNCTION("GOOGLETRANSLATE(H66,""zh-tw"",""ja"")"),"-")</f>
        <v>-</v>
      </c>
      <c r="M66" s="209" t="str">
        <f>IFERROR(__xludf.DUMMYFUNCTION("GOOGLETRANSLATE(A66,""zh-tw"",""zh"")"),"炎魔")</f>
        <v>炎魔</v>
      </c>
      <c r="N66" s="210" t="str">
        <f>IFERROR(__xludf.DUMMYFUNCTION("GOOGLETRANSLATE(B66,""zh-tw"",""zh"")"),"熔岩杖
阳炎
日轮
紫色品质物品
粉色品质物品")</f>
        <v>熔岩杖
阳炎
日轮
紫色品质物品
粉色品质物品</v>
      </c>
      <c r="O66" s="210" t="s">
        <v>7125</v>
      </c>
      <c r="P66" s="390" t="str">
        <f>IFERROR(__xludf.DUMMYFUNCTION("GOOGLETRANSLATE(D66,""zh-tw"",""zh"")"),"-")</f>
        <v>-</v>
      </c>
      <c r="Q66" s="209" t="str">
        <f>IFERROR(__xludf.DUMMYFUNCTION("GOOGLETRANSLATE(A66,""zh-tw"",""es-MX"")"),"Demonio de fuego")</f>
        <v>Demonio de fuego</v>
      </c>
      <c r="R66" s="210" t="str">
        <f>IFERROR(__xludf.DUMMYFUNCTION("GOOGLETRANSLATE(B66,""zh-tw"",""es-MX"")"),"Bastón de Lava
Fuego Solar
Rueda Solar
Objeto de Calidad Púrpura
Objeto de Calidad Rosa")</f>
        <v>Bastón de Lava
Fuego Solar
Rueda Solar
Objeto de Calidad Púrpura
Objeto de Calidad Rosa</v>
      </c>
      <c r="S66" s="210" t="s">
        <v>7130</v>
      </c>
      <c r="T66" s="390" t="str">
        <f>IFERROR(__xludf.DUMMYFUNCTION("GOOGLETRANSLATE(D66,""zh-tw"",""es-MX"")"),"-")</f>
        <v>-</v>
      </c>
      <c r="U66" s="209" t="str">
        <f>IFERROR(__xludf.DUMMYFUNCTION("GOOGLETRANSLATE(A66,""zh-tw"",""KO"")"),"불꽃 악마")</f>
        <v>불꽃 악마</v>
      </c>
      <c r="V66" s="210" t="str">
        <f>IFERROR(__xludf.DUMMYFUNCTION("GOOGLETRANSLATE(B66,""zh-tw"",""KO"")"),"용암 지팡이
선파이어
선 휠
보라색 고급 아이템
분홍색 고급 아이템")</f>
        <v>용암 지팡이
선파이어
선 휠
보라색 고급 아이템
분홍색 고급 아이템</v>
      </c>
      <c r="W66" s="210" t="s">
        <v>7130</v>
      </c>
      <c r="X66" s="390" t="str">
        <f>IFERROR(__xludf.DUMMYFUNCTION("GOOGLETRANSLATE(D66,""zh-tw"",""KO"")"),"-")</f>
        <v>-</v>
      </c>
      <c r="Y66" s="164" t="s">
        <v>7131</v>
      </c>
      <c r="Z66" s="177" t="s">
        <v>7132</v>
      </c>
      <c r="AA66" s="210" t="s">
        <v>7125</v>
      </c>
      <c r="AB66" s="390" t="s">
        <v>1273</v>
      </c>
      <c r="AC66" s="209" t="s">
        <v>7127</v>
      </c>
      <c r="AD66" s="210" t="s">
        <v>7133</v>
      </c>
      <c r="AE66" s="210" t="s">
        <v>7130</v>
      </c>
      <c r="AF66" s="390" t="s">
        <v>7098</v>
      </c>
      <c r="AG66" s="198" t="s">
        <v>7127</v>
      </c>
      <c r="AH66" s="392" t="s">
        <v>7134</v>
      </c>
      <c r="AI66" s="392" t="s">
        <v>7125</v>
      </c>
      <c r="AJ66" s="393" t="s">
        <v>1273</v>
      </c>
      <c r="AK66" s="209" t="s">
        <v>7127</v>
      </c>
      <c r="AL66" s="210" t="s">
        <v>7135</v>
      </c>
      <c r="AM66" s="210" t="s">
        <v>7125</v>
      </c>
      <c r="AN66" s="390" t="s">
        <v>1273</v>
      </c>
      <c r="AO66" s="394" t="s">
        <v>7127</v>
      </c>
      <c r="AP66" s="214" t="s">
        <v>7136</v>
      </c>
      <c r="AQ66" s="214" t="s">
        <v>7130</v>
      </c>
      <c r="AR66" s="395" t="s">
        <v>1273</v>
      </c>
      <c r="AS66" s="394"/>
      <c r="AT66" s="214"/>
      <c r="AU66" s="214"/>
      <c r="AV66" s="395"/>
    </row>
    <row r="67">
      <c r="A67" s="388" t="s">
        <v>7137</v>
      </c>
      <c r="E67" s="387"/>
      <c r="I67" s="387"/>
      <c r="M67" s="388" t="s">
        <v>7138</v>
      </c>
      <c r="Q67" s="387"/>
      <c r="U67" s="387"/>
      <c r="Y67" s="387"/>
      <c r="AC67" s="387"/>
      <c r="AG67" s="387"/>
      <c r="AK67" s="387"/>
      <c r="AO67" s="387"/>
      <c r="AS67" s="399"/>
      <c r="AT67" s="399"/>
      <c r="AU67" s="399"/>
      <c r="AV67" s="399"/>
    </row>
    <row r="68" ht="55.5" customHeight="1">
      <c r="A68" s="176" t="s">
        <v>7139</v>
      </c>
      <c r="B68" s="177" t="s">
        <v>7140</v>
      </c>
      <c r="C68" s="177" t="s">
        <v>7141</v>
      </c>
      <c r="D68" s="397" t="s">
        <v>7142</v>
      </c>
      <c r="E68" s="164"/>
      <c r="F68" s="166"/>
      <c r="G68" s="166"/>
      <c r="H68" s="391"/>
      <c r="I68" s="176" t="s">
        <v>7143</v>
      </c>
      <c r="J68" s="177" t="s">
        <v>7144</v>
      </c>
      <c r="K68" s="177" t="s">
        <v>7141</v>
      </c>
      <c r="L68" s="397" t="s">
        <v>7145</v>
      </c>
      <c r="M68" s="176" t="s">
        <v>7146</v>
      </c>
      <c r="N68" s="177" t="s">
        <v>7147</v>
      </c>
      <c r="O68" s="177" t="s">
        <v>7141</v>
      </c>
      <c r="P68" s="397" t="s">
        <v>7148</v>
      </c>
      <c r="Q68" s="209"/>
      <c r="R68" s="210"/>
      <c r="S68" s="210"/>
      <c r="T68" s="390"/>
      <c r="U68" s="209"/>
      <c r="V68" s="166"/>
      <c r="W68" s="166"/>
      <c r="X68" s="391"/>
      <c r="Y68" s="164"/>
      <c r="Z68" s="166"/>
      <c r="AA68" s="166"/>
      <c r="AB68" s="390"/>
      <c r="AC68" s="209"/>
      <c r="AD68" s="166"/>
      <c r="AE68" s="210"/>
      <c r="AF68" s="390"/>
      <c r="AG68" s="147" t="s">
        <v>7149</v>
      </c>
      <c r="AH68" s="52" t="s">
        <v>7150</v>
      </c>
      <c r="AI68" s="177" t="s">
        <v>7141</v>
      </c>
      <c r="AJ68" s="403" t="s">
        <v>7151</v>
      </c>
      <c r="AK68" s="209"/>
      <c r="AL68" s="210"/>
      <c r="AM68" s="210"/>
      <c r="AN68" s="390"/>
      <c r="AO68" s="394"/>
      <c r="AP68" s="214"/>
      <c r="AQ68" s="214"/>
      <c r="AR68" s="398"/>
      <c r="AS68" s="394"/>
      <c r="AT68" s="214"/>
      <c r="AU68" s="214"/>
      <c r="AV68" s="398"/>
    </row>
    <row r="69" ht="179.25" customHeight="1">
      <c r="A69" s="176" t="s">
        <v>7152</v>
      </c>
      <c r="B69" s="177" t="s">
        <v>7153</v>
      </c>
      <c r="C69" s="177" t="s">
        <v>7154</v>
      </c>
      <c r="D69" s="397" t="s">
        <v>7155</v>
      </c>
      <c r="E69" s="164"/>
      <c r="F69" s="166"/>
      <c r="G69" s="166"/>
      <c r="H69" s="391"/>
      <c r="I69" s="176" t="s">
        <v>7156</v>
      </c>
      <c r="J69" s="177" t="s">
        <v>7157</v>
      </c>
      <c r="K69" s="177" t="s">
        <v>7158</v>
      </c>
      <c r="L69" s="397" t="s">
        <v>7159</v>
      </c>
      <c r="M69" s="176" t="s">
        <v>7160</v>
      </c>
      <c r="N69" s="177" t="s">
        <v>7161</v>
      </c>
      <c r="O69" s="177" t="s">
        <v>7154</v>
      </c>
      <c r="P69" s="397" t="s">
        <v>7162</v>
      </c>
      <c r="Q69" s="209"/>
      <c r="R69" s="210"/>
      <c r="S69" s="210"/>
      <c r="T69" s="390"/>
      <c r="U69" s="209"/>
      <c r="V69" s="166"/>
      <c r="W69" s="166"/>
      <c r="X69" s="391"/>
      <c r="Y69" s="164"/>
      <c r="Z69" s="166"/>
      <c r="AA69" s="166"/>
      <c r="AB69" s="390"/>
      <c r="AC69" s="209"/>
      <c r="AD69" s="166"/>
      <c r="AE69" s="210"/>
      <c r="AF69" s="390"/>
      <c r="AG69" s="147" t="s">
        <v>7163</v>
      </c>
      <c r="AH69" s="52" t="s">
        <v>7164</v>
      </c>
      <c r="AI69" s="177" t="s">
        <v>7158</v>
      </c>
      <c r="AJ69" s="403" t="s">
        <v>7165</v>
      </c>
      <c r="AK69" s="209"/>
      <c r="AL69" s="210"/>
      <c r="AM69" s="210"/>
      <c r="AN69" s="390"/>
      <c r="AO69" s="394"/>
      <c r="AP69" s="214"/>
      <c r="AQ69" s="214"/>
      <c r="AR69" s="398"/>
      <c r="AS69" s="394"/>
      <c r="AT69" s="214"/>
      <c r="AU69" s="214"/>
      <c r="AV69" s="398"/>
    </row>
    <row r="70" ht="334.5" customHeight="1">
      <c r="A70" s="176" t="s">
        <v>7166</v>
      </c>
      <c r="B70" s="177" t="s">
        <v>7167</v>
      </c>
      <c r="C70" s="177" t="s">
        <v>7168</v>
      </c>
      <c r="D70" s="397" t="s">
        <v>7169</v>
      </c>
      <c r="E70" s="164"/>
      <c r="F70" s="166"/>
      <c r="G70" s="166"/>
      <c r="H70" s="391"/>
      <c r="I70" s="176" t="s">
        <v>7170</v>
      </c>
      <c r="J70" s="177" t="s">
        <v>7171</v>
      </c>
      <c r="K70" s="177" t="s">
        <v>7172</v>
      </c>
      <c r="L70" s="397" t="s">
        <v>7173</v>
      </c>
      <c r="M70" s="176" t="s">
        <v>7174</v>
      </c>
      <c r="N70" s="177" t="s">
        <v>7175</v>
      </c>
      <c r="O70" s="177" t="s">
        <v>7168</v>
      </c>
      <c r="P70" s="397" t="s">
        <v>7176</v>
      </c>
      <c r="Q70" s="209"/>
      <c r="R70" s="210"/>
      <c r="S70" s="210"/>
      <c r="T70" s="390"/>
      <c r="U70" s="209"/>
      <c r="V70" s="166"/>
      <c r="W70" s="166"/>
      <c r="X70" s="391"/>
      <c r="Y70" s="164"/>
      <c r="Z70" s="166"/>
      <c r="AA70" s="166"/>
      <c r="AB70" s="390"/>
      <c r="AC70" s="209"/>
      <c r="AD70" s="166"/>
      <c r="AE70" s="210"/>
      <c r="AF70" s="390"/>
      <c r="AG70" s="147" t="s">
        <v>7177</v>
      </c>
      <c r="AH70" s="52" t="s">
        <v>7178</v>
      </c>
      <c r="AI70" s="177" t="s">
        <v>7168</v>
      </c>
      <c r="AJ70" s="403" t="s">
        <v>7179</v>
      </c>
      <c r="AK70" s="209"/>
      <c r="AL70" s="210"/>
      <c r="AM70" s="210"/>
      <c r="AN70" s="390"/>
      <c r="AO70" s="394"/>
      <c r="AP70" s="214"/>
      <c r="AQ70" s="214"/>
      <c r="AR70" s="398"/>
      <c r="AS70" s="394"/>
      <c r="AT70" s="214"/>
      <c r="AU70" s="214"/>
      <c r="AV70" s="398"/>
    </row>
    <row r="71">
      <c r="A71" s="8"/>
      <c r="B71" s="8"/>
      <c r="C71" s="8"/>
      <c r="D71" s="8"/>
      <c r="E71" s="8"/>
      <c r="F71" s="8"/>
      <c r="G71" s="8"/>
      <c r="H71" s="8"/>
      <c r="I71" s="8"/>
      <c r="J71" s="8"/>
      <c r="K71" s="8"/>
      <c r="L71" s="8"/>
      <c r="M71" s="8"/>
      <c r="N71" s="8"/>
      <c r="O71" s="8"/>
      <c r="P71" s="8"/>
      <c r="Q71" s="8"/>
      <c r="R71" s="8"/>
      <c r="S71" s="8"/>
      <c r="T71" s="8"/>
      <c r="U71" s="8"/>
      <c r="V71" s="8"/>
      <c r="W71" s="8"/>
      <c r="X71" s="8"/>
      <c r="Y71" s="183"/>
      <c r="Z71" s="183"/>
      <c r="AA71" s="183"/>
      <c r="AB71" s="195"/>
      <c r="AC71" s="8"/>
      <c r="AD71" s="8"/>
      <c r="AE71" s="8"/>
      <c r="AF71" s="8"/>
      <c r="AG71" s="202"/>
      <c r="AH71" s="202"/>
      <c r="AI71" s="202"/>
      <c r="AJ71" s="202"/>
      <c r="AK71" s="8"/>
      <c r="AL71" s="8"/>
      <c r="AM71" s="8"/>
      <c r="AN71" s="8"/>
      <c r="AO71" s="8"/>
      <c r="AP71" s="8"/>
      <c r="AQ71" s="8"/>
      <c r="AR71" s="8"/>
      <c r="AS71" s="8"/>
      <c r="AT71" s="8"/>
      <c r="AU71" s="8"/>
      <c r="AV71" s="8"/>
    </row>
    <row r="72">
      <c r="A72" s="8"/>
      <c r="B72" s="8"/>
      <c r="C72" s="8"/>
      <c r="D72" s="8"/>
      <c r="E72" s="8"/>
      <c r="F72" s="8"/>
      <c r="G72" s="8"/>
      <c r="H72" s="8"/>
      <c r="I72" s="8"/>
      <c r="J72" s="8"/>
      <c r="K72" s="8"/>
      <c r="L72" s="8"/>
      <c r="M72" s="8"/>
      <c r="N72" s="8"/>
      <c r="O72" s="8"/>
      <c r="P72" s="8"/>
      <c r="Q72" s="8"/>
      <c r="R72" s="8"/>
      <c r="S72" s="8"/>
      <c r="T72" s="8"/>
      <c r="U72" s="8"/>
      <c r="V72" s="8"/>
      <c r="W72" s="8"/>
      <c r="X72" s="8"/>
      <c r="Y72" s="183"/>
      <c r="Z72" s="183"/>
      <c r="AA72" s="183"/>
      <c r="AB72" s="195"/>
      <c r="AC72" s="8"/>
      <c r="AD72" s="8"/>
      <c r="AE72" s="8"/>
      <c r="AF72" s="8"/>
      <c r="AG72" s="202"/>
      <c r="AH72" s="202"/>
      <c r="AI72" s="202"/>
      <c r="AJ72" s="202"/>
      <c r="AK72" s="8"/>
      <c r="AL72" s="8"/>
      <c r="AM72" s="8"/>
      <c r="AN72" s="8"/>
      <c r="AO72" s="8"/>
      <c r="AP72" s="8"/>
      <c r="AQ72" s="8"/>
      <c r="AR72" s="8"/>
      <c r="AS72" s="8"/>
      <c r="AT72" s="8"/>
      <c r="AU72" s="8"/>
      <c r="AV72" s="8"/>
    </row>
    <row r="73">
      <c r="A73" s="8"/>
      <c r="B73" s="8"/>
      <c r="C73" s="8"/>
      <c r="D73" s="8"/>
      <c r="E73" s="8"/>
      <c r="F73" s="8"/>
      <c r="G73" s="8"/>
      <c r="H73" s="8"/>
      <c r="I73" s="8"/>
      <c r="J73" s="8"/>
      <c r="K73" s="8"/>
      <c r="L73" s="8"/>
      <c r="M73" s="8"/>
      <c r="N73" s="8"/>
      <c r="O73" s="8"/>
      <c r="P73" s="8"/>
      <c r="Q73" s="8"/>
      <c r="R73" s="8"/>
      <c r="S73" s="8"/>
      <c r="T73" s="8"/>
      <c r="U73" s="8"/>
      <c r="V73" s="8"/>
      <c r="W73" s="8"/>
      <c r="X73" s="8"/>
      <c r="Y73" s="183"/>
      <c r="Z73" s="183"/>
      <c r="AA73" s="183"/>
      <c r="AB73" s="195"/>
      <c r="AC73" s="8"/>
      <c r="AD73" s="8"/>
      <c r="AE73" s="8"/>
      <c r="AF73" s="8"/>
      <c r="AG73" s="202"/>
      <c r="AH73" s="202"/>
      <c r="AI73" s="202"/>
      <c r="AJ73" s="202"/>
      <c r="AK73" s="8"/>
      <c r="AL73" s="8"/>
      <c r="AM73" s="8"/>
      <c r="AN73" s="8"/>
      <c r="AO73" s="8"/>
      <c r="AP73" s="8"/>
      <c r="AQ73" s="8"/>
      <c r="AR73" s="8"/>
      <c r="AS73" s="8"/>
      <c r="AT73" s="8"/>
      <c r="AU73" s="8"/>
      <c r="AV73" s="8"/>
    </row>
    <row r="74">
      <c r="A74" s="8"/>
      <c r="B74" s="8"/>
      <c r="C74" s="8"/>
      <c r="D74" s="8"/>
      <c r="E74" s="8"/>
      <c r="F74" s="8"/>
      <c r="G74" s="8"/>
      <c r="H74" s="8"/>
      <c r="I74" s="8"/>
      <c r="J74" s="8"/>
      <c r="K74" s="8"/>
      <c r="L74" s="8"/>
      <c r="M74" s="8"/>
      <c r="N74" s="8"/>
      <c r="O74" s="8"/>
      <c r="P74" s="8"/>
      <c r="Q74" s="8"/>
      <c r="R74" s="8"/>
      <c r="S74" s="8"/>
      <c r="T74" s="8"/>
      <c r="U74" s="8"/>
      <c r="V74" s="8"/>
      <c r="W74" s="8"/>
      <c r="X74" s="8"/>
      <c r="Y74" s="183"/>
      <c r="Z74" s="183"/>
      <c r="AA74" s="183"/>
      <c r="AB74" s="195"/>
      <c r="AC74" s="8"/>
      <c r="AD74" s="8"/>
      <c r="AE74" s="8"/>
      <c r="AF74" s="8"/>
      <c r="AG74" s="202"/>
      <c r="AH74" s="202"/>
      <c r="AI74" s="202"/>
      <c r="AJ74" s="202"/>
      <c r="AK74" s="8"/>
      <c r="AL74" s="8"/>
      <c r="AM74" s="8"/>
      <c r="AN74" s="8"/>
      <c r="AO74" s="8"/>
      <c r="AP74" s="8"/>
      <c r="AQ74" s="8"/>
      <c r="AR74" s="8"/>
      <c r="AS74" s="8"/>
      <c r="AT74" s="8"/>
      <c r="AU74" s="8"/>
      <c r="AV74" s="8"/>
    </row>
    <row r="75">
      <c r="A75" s="8"/>
      <c r="B75" s="8"/>
      <c r="C75" s="8"/>
      <c r="D75" s="8"/>
      <c r="E75" s="8"/>
      <c r="F75" s="8"/>
      <c r="G75" s="8"/>
      <c r="H75" s="8"/>
      <c r="I75" s="8"/>
      <c r="J75" s="8"/>
      <c r="K75" s="8"/>
      <c r="L75" s="8"/>
      <c r="M75" s="8"/>
      <c r="N75" s="8"/>
      <c r="O75" s="8"/>
      <c r="P75" s="8"/>
      <c r="Q75" s="8"/>
      <c r="R75" s="8"/>
      <c r="S75" s="8"/>
      <c r="T75" s="8"/>
      <c r="U75" s="8"/>
      <c r="V75" s="8"/>
      <c r="W75" s="8"/>
      <c r="X75" s="8"/>
      <c r="Y75" s="183"/>
      <c r="Z75" s="183"/>
      <c r="AA75" s="183"/>
      <c r="AB75" s="195"/>
      <c r="AC75" s="8"/>
      <c r="AD75" s="8"/>
      <c r="AE75" s="8"/>
      <c r="AF75" s="8"/>
      <c r="AG75" s="202"/>
      <c r="AH75" s="202"/>
      <c r="AI75" s="202"/>
      <c r="AJ75" s="202"/>
      <c r="AK75" s="8"/>
      <c r="AL75" s="8"/>
      <c r="AM75" s="8"/>
      <c r="AN75" s="8"/>
      <c r="AO75" s="8"/>
      <c r="AP75" s="8"/>
      <c r="AQ75" s="8"/>
      <c r="AR75" s="8"/>
      <c r="AS75" s="8"/>
      <c r="AT75" s="8"/>
      <c r="AU75" s="8"/>
      <c r="AV75" s="8"/>
    </row>
    <row r="76">
      <c r="A76" s="8"/>
      <c r="B76" s="8"/>
      <c r="C76" s="8"/>
      <c r="D76" s="8"/>
      <c r="E76" s="8"/>
      <c r="F76" s="8"/>
      <c r="G76" s="8"/>
      <c r="H76" s="8"/>
      <c r="I76" s="8"/>
      <c r="J76" s="8"/>
      <c r="K76" s="8"/>
      <c r="L76" s="8"/>
      <c r="M76" s="8"/>
      <c r="N76" s="8"/>
      <c r="O76" s="8"/>
      <c r="P76" s="8"/>
      <c r="Q76" s="8"/>
      <c r="R76" s="8"/>
      <c r="S76" s="8"/>
      <c r="T76" s="8"/>
      <c r="U76" s="8"/>
      <c r="V76" s="8"/>
      <c r="W76" s="8"/>
      <c r="X76" s="8"/>
      <c r="Y76" s="183"/>
      <c r="Z76" s="183"/>
      <c r="AA76" s="183"/>
      <c r="AB76" s="195"/>
      <c r="AC76" s="8"/>
      <c r="AD76" s="8"/>
      <c r="AE76" s="8"/>
      <c r="AF76" s="8"/>
      <c r="AG76" s="202"/>
      <c r="AH76" s="202"/>
      <c r="AI76" s="202"/>
      <c r="AJ76" s="202"/>
      <c r="AK76" s="8"/>
      <c r="AL76" s="8"/>
      <c r="AM76" s="8"/>
      <c r="AN76" s="8"/>
      <c r="AO76" s="8"/>
      <c r="AP76" s="8"/>
      <c r="AQ76" s="8"/>
      <c r="AR76" s="8"/>
      <c r="AS76" s="8"/>
      <c r="AT76" s="8"/>
      <c r="AU76" s="8"/>
      <c r="AV76" s="8"/>
    </row>
    <row r="77">
      <c r="A77" s="8"/>
      <c r="B77" s="8"/>
      <c r="C77" s="8"/>
      <c r="D77" s="8"/>
      <c r="E77" s="8"/>
      <c r="F77" s="8"/>
      <c r="G77" s="8"/>
      <c r="H77" s="8"/>
      <c r="I77" s="8"/>
      <c r="J77" s="8"/>
      <c r="K77" s="8"/>
      <c r="L77" s="8"/>
      <c r="M77" s="8"/>
      <c r="N77" s="8"/>
      <c r="O77" s="8"/>
      <c r="P77" s="8"/>
      <c r="Q77" s="8"/>
      <c r="R77" s="8"/>
      <c r="S77" s="8"/>
      <c r="T77" s="8"/>
      <c r="U77" s="8"/>
      <c r="V77" s="8"/>
      <c r="W77" s="8"/>
      <c r="X77" s="8"/>
      <c r="Y77" s="183"/>
      <c r="Z77" s="183"/>
      <c r="AA77" s="183"/>
      <c r="AB77" s="195"/>
      <c r="AC77" s="8"/>
      <c r="AD77" s="8"/>
      <c r="AE77" s="8"/>
      <c r="AF77" s="8"/>
      <c r="AG77" s="202"/>
      <c r="AH77" s="202"/>
      <c r="AI77" s="202"/>
      <c r="AJ77" s="202"/>
      <c r="AK77" s="8"/>
      <c r="AL77" s="8"/>
      <c r="AM77" s="8"/>
      <c r="AN77" s="8"/>
      <c r="AO77" s="8"/>
      <c r="AP77" s="8"/>
      <c r="AQ77" s="8"/>
      <c r="AR77" s="8"/>
      <c r="AS77" s="8"/>
      <c r="AT77" s="8"/>
      <c r="AU77" s="8"/>
      <c r="AV77" s="8"/>
    </row>
    <row r="78">
      <c r="A78" s="8"/>
      <c r="B78" s="8"/>
      <c r="C78" s="8"/>
      <c r="D78" s="8"/>
      <c r="E78" s="8"/>
      <c r="F78" s="8"/>
      <c r="G78" s="8"/>
      <c r="H78" s="8"/>
      <c r="I78" s="8"/>
      <c r="J78" s="8"/>
      <c r="K78" s="8"/>
      <c r="L78" s="8"/>
      <c r="M78" s="8"/>
      <c r="N78" s="8"/>
      <c r="O78" s="8"/>
      <c r="P78" s="8"/>
      <c r="Q78" s="8"/>
      <c r="R78" s="8"/>
      <c r="S78" s="8"/>
      <c r="T78" s="8"/>
      <c r="U78" s="8"/>
      <c r="V78" s="8"/>
      <c r="W78" s="8"/>
      <c r="X78" s="8"/>
      <c r="Y78" s="183"/>
      <c r="Z78" s="183"/>
      <c r="AA78" s="183"/>
      <c r="AB78" s="195"/>
      <c r="AC78" s="8"/>
      <c r="AD78" s="8"/>
      <c r="AE78" s="8"/>
      <c r="AF78" s="8"/>
      <c r="AG78" s="202"/>
      <c r="AH78" s="202"/>
      <c r="AI78" s="202"/>
      <c r="AJ78" s="202"/>
      <c r="AK78" s="8"/>
      <c r="AL78" s="8"/>
      <c r="AM78" s="8"/>
      <c r="AN78" s="8"/>
      <c r="AO78" s="8"/>
      <c r="AP78" s="8"/>
      <c r="AQ78" s="8"/>
      <c r="AR78" s="8"/>
      <c r="AS78" s="8"/>
      <c r="AT78" s="8"/>
      <c r="AU78" s="8"/>
      <c r="AV78" s="8"/>
    </row>
    <row r="79">
      <c r="A79" s="8"/>
      <c r="B79" s="8"/>
      <c r="C79" s="8"/>
      <c r="D79" s="8"/>
      <c r="E79" s="8"/>
      <c r="F79" s="8"/>
      <c r="G79" s="8"/>
      <c r="H79" s="8"/>
      <c r="I79" s="8"/>
      <c r="J79" s="8"/>
      <c r="K79" s="8"/>
      <c r="L79" s="8"/>
      <c r="M79" s="8"/>
      <c r="N79" s="8"/>
      <c r="O79" s="8"/>
      <c r="P79" s="8"/>
      <c r="Q79" s="8"/>
      <c r="R79" s="8"/>
      <c r="S79" s="8"/>
      <c r="T79" s="8"/>
      <c r="U79" s="8"/>
      <c r="V79" s="8"/>
      <c r="W79" s="8"/>
      <c r="X79" s="8"/>
      <c r="Y79" s="183"/>
      <c r="Z79" s="183"/>
      <c r="AA79" s="183"/>
      <c r="AB79" s="195"/>
      <c r="AC79" s="8"/>
      <c r="AD79" s="8"/>
      <c r="AE79" s="8"/>
      <c r="AF79" s="8"/>
      <c r="AG79" s="202"/>
      <c r="AH79" s="202"/>
      <c r="AI79" s="202"/>
      <c r="AJ79" s="202"/>
      <c r="AK79" s="8"/>
      <c r="AL79" s="8"/>
      <c r="AM79" s="8"/>
      <c r="AN79" s="8"/>
      <c r="AO79" s="8"/>
      <c r="AP79" s="8"/>
      <c r="AQ79" s="8"/>
      <c r="AR79" s="8"/>
      <c r="AS79" s="8"/>
      <c r="AT79" s="8"/>
      <c r="AU79" s="8"/>
      <c r="AV79" s="8"/>
    </row>
    <row r="80">
      <c r="A80" s="8"/>
      <c r="B80" s="8"/>
      <c r="C80" s="8"/>
      <c r="D80" s="8"/>
      <c r="E80" s="8"/>
      <c r="F80" s="8"/>
      <c r="G80" s="8"/>
      <c r="H80" s="8"/>
      <c r="I80" s="8"/>
      <c r="J80" s="8"/>
      <c r="K80" s="8"/>
      <c r="L80" s="8"/>
      <c r="M80" s="8"/>
      <c r="N80" s="8"/>
      <c r="O80" s="8"/>
      <c r="P80" s="8"/>
      <c r="Q80" s="8"/>
      <c r="R80" s="8"/>
      <c r="S80" s="8"/>
      <c r="T80" s="8"/>
      <c r="U80" s="8"/>
      <c r="V80" s="8"/>
      <c r="W80" s="8"/>
      <c r="X80" s="8"/>
      <c r="Y80" s="183"/>
      <c r="Z80" s="183"/>
      <c r="AA80" s="183"/>
      <c r="AB80" s="195"/>
      <c r="AC80" s="8"/>
      <c r="AD80" s="8"/>
      <c r="AE80" s="8"/>
      <c r="AF80" s="8"/>
      <c r="AG80" s="202"/>
      <c r="AH80" s="202"/>
      <c r="AI80" s="202"/>
      <c r="AJ80" s="202"/>
      <c r="AK80" s="8"/>
      <c r="AL80" s="8"/>
      <c r="AM80" s="8"/>
      <c r="AN80" s="8"/>
      <c r="AO80" s="8"/>
      <c r="AP80" s="8"/>
      <c r="AQ80" s="8"/>
      <c r="AR80" s="8"/>
      <c r="AS80" s="8"/>
      <c r="AT80" s="8"/>
      <c r="AU80" s="8"/>
      <c r="AV80" s="8"/>
    </row>
    <row r="81">
      <c r="A81" s="8"/>
      <c r="B81" s="8"/>
      <c r="C81" s="8"/>
      <c r="D81" s="8"/>
      <c r="E81" s="8"/>
      <c r="F81" s="8"/>
      <c r="G81" s="8"/>
      <c r="H81" s="8"/>
      <c r="I81" s="8"/>
      <c r="J81" s="8"/>
      <c r="K81" s="8"/>
      <c r="L81" s="8"/>
      <c r="M81" s="8"/>
      <c r="N81" s="8"/>
      <c r="O81" s="8"/>
      <c r="P81" s="8"/>
      <c r="Q81" s="8"/>
      <c r="R81" s="8"/>
      <c r="S81" s="8"/>
      <c r="T81" s="8"/>
      <c r="U81" s="8"/>
      <c r="V81" s="8"/>
      <c r="W81" s="8"/>
      <c r="X81" s="8"/>
      <c r="Y81" s="183"/>
      <c r="Z81" s="183"/>
      <c r="AA81" s="183"/>
      <c r="AB81" s="195"/>
      <c r="AC81" s="8"/>
      <c r="AD81" s="8"/>
      <c r="AE81" s="8"/>
      <c r="AF81" s="8"/>
      <c r="AG81" s="202"/>
      <c r="AH81" s="202"/>
      <c r="AI81" s="202"/>
      <c r="AJ81" s="202"/>
      <c r="AK81" s="8"/>
      <c r="AL81" s="8"/>
      <c r="AM81" s="8"/>
      <c r="AN81" s="8"/>
      <c r="AO81" s="8"/>
      <c r="AP81" s="8"/>
      <c r="AQ81" s="8"/>
      <c r="AR81" s="8"/>
      <c r="AS81" s="8"/>
      <c r="AT81" s="8"/>
      <c r="AU81" s="8"/>
      <c r="AV81" s="8"/>
    </row>
    <row r="82">
      <c r="A82" s="8"/>
      <c r="B82" s="8"/>
      <c r="C82" s="8"/>
      <c r="D82" s="8"/>
      <c r="E82" s="8"/>
      <c r="F82" s="8"/>
      <c r="G82" s="8"/>
      <c r="H82" s="8"/>
      <c r="I82" s="8"/>
      <c r="J82" s="8"/>
      <c r="K82" s="8"/>
      <c r="L82" s="8"/>
      <c r="M82" s="8"/>
      <c r="N82" s="8"/>
      <c r="O82" s="8"/>
      <c r="P82" s="8"/>
      <c r="Q82" s="8"/>
      <c r="R82" s="8"/>
      <c r="S82" s="8"/>
      <c r="T82" s="8"/>
      <c r="U82" s="8"/>
      <c r="V82" s="8"/>
      <c r="W82" s="8"/>
      <c r="X82" s="8"/>
      <c r="Y82" s="183"/>
      <c r="Z82" s="183"/>
      <c r="AA82" s="183"/>
      <c r="AB82" s="195"/>
      <c r="AC82" s="8"/>
      <c r="AD82" s="8"/>
      <c r="AE82" s="8"/>
      <c r="AF82" s="8"/>
      <c r="AG82" s="202"/>
      <c r="AH82" s="202"/>
      <c r="AI82" s="202"/>
      <c r="AJ82" s="202"/>
      <c r="AK82" s="8"/>
      <c r="AL82" s="8"/>
      <c r="AM82" s="8"/>
      <c r="AN82" s="8"/>
      <c r="AO82" s="8"/>
      <c r="AP82" s="8"/>
      <c r="AQ82" s="8"/>
      <c r="AR82" s="8"/>
      <c r="AS82" s="8"/>
      <c r="AT82" s="8"/>
      <c r="AU82" s="8"/>
      <c r="AV82" s="8"/>
    </row>
    <row r="83">
      <c r="A83" s="8"/>
      <c r="B83" s="8"/>
      <c r="C83" s="8"/>
      <c r="D83" s="8"/>
      <c r="E83" s="8"/>
      <c r="F83" s="8"/>
      <c r="G83" s="8"/>
      <c r="H83" s="8"/>
      <c r="I83" s="8"/>
      <c r="J83" s="8"/>
      <c r="K83" s="8"/>
      <c r="L83" s="8"/>
      <c r="M83" s="8"/>
      <c r="N83" s="8"/>
      <c r="O83" s="8"/>
      <c r="P83" s="8"/>
      <c r="Q83" s="8"/>
      <c r="R83" s="8"/>
      <c r="S83" s="8"/>
      <c r="T83" s="8"/>
      <c r="U83" s="8"/>
      <c r="V83" s="8"/>
      <c r="W83" s="8"/>
      <c r="X83" s="8"/>
      <c r="Y83" s="183"/>
      <c r="Z83" s="183"/>
      <c r="AA83" s="183"/>
      <c r="AB83" s="195"/>
      <c r="AC83" s="8"/>
      <c r="AD83" s="8"/>
      <c r="AE83" s="8"/>
      <c r="AF83" s="8"/>
      <c r="AG83" s="202"/>
      <c r="AH83" s="202"/>
      <c r="AI83" s="202"/>
      <c r="AJ83" s="202"/>
      <c r="AK83" s="8"/>
      <c r="AL83" s="8"/>
      <c r="AM83" s="8"/>
      <c r="AN83" s="8"/>
      <c r="AO83" s="8"/>
      <c r="AP83" s="8"/>
      <c r="AQ83" s="8"/>
      <c r="AR83" s="8"/>
      <c r="AS83" s="8"/>
      <c r="AT83" s="8"/>
      <c r="AU83" s="8"/>
      <c r="AV83" s="8"/>
    </row>
    <row r="84">
      <c r="A84" s="8"/>
      <c r="B84" s="8"/>
      <c r="C84" s="8"/>
      <c r="D84" s="8"/>
      <c r="E84" s="8"/>
      <c r="F84" s="8"/>
      <c r="G84" s="8"/>
      <c r="H84" s="8"/>
      <c r="I84" s="8"/>
      <c r="J84" s="8"/>
      <c r="K84" s="8"/>
      <c r="L84" s="8"/>
      <c r="M84" s="8"/>
      <c r="N84" s="8"/>
      <c r="O84" s="8"/>
      <c r="P84" s="8"/>
      <c r="Q84" s="8"/>
      <c r="R84" s="8"/>
      <c r="S84" s="8"/>
      <c r="T84" s="8"/>
      <c r="U84" s="8"/>
      <c r="V84" s="8"/>
      <c r="W84" s="8"/>
      <c r="X84" s="8"/>
      <c r="Y84" s="183"/>
      <c r="Z84" s="183"/>
      <c r="AA84" s="183"/>
      <c r="AB84" s="195"/>
      <c r="AC84" s="8"/>
      <c r="AD84" s="8"/>
      <c r="AE84" s="8"/>
      <c r="AF84" s="8"/>
      <c r="AG84" s="202"/>
      <c r="AH84" s="202"/>
      <c r="AI84" s="202"/>
      <c r="AJ84" s="202"/>
      <c r="AK84" s="8"/>
      <c r="AL84" s="8"/>
      <c r="AM84" s="8"/>
      <c r="AN84" s="8"/>
      <c r="AO84" s="8"/>
      <c r="AP84" s="8"/>
      <c r="AQ84" s="8"/>
      <c r="AR84" s="8"/>
      <c r="AS84" s="8"/>
      <c r="AT84" s="8"/>
      <c r="AU84" s="8"/>
      <c r="AV84" s="8"/>
    </row>
    <row r="85">
      <c r="A85" s="8"/>
      <c r="B85" s="8"/>
      <c r="C85" s="8"/>
      <c r="D85" s="8"/>
      <c r="E85" s="8"/>
      <c r="F85" s="8"/>
      <c r="G85" s="8"/>
      <c r="H85" s="8"/>
      <c r="I85" s="8"/>
      <c r="J85" s="8"/>
      <c r="K85" s="8"/>
      <c r="L85" s="8"/>
      <c r="M85" s="8"/>
      <c r="N85" s="8"/>
      <c r="O85" s="8"/>
      <c r="P85" s="8"/>
      <c r="Q85" s="8"/>
      <c r="R85" s="8"/>
      <c r="S85" s="8"/>
      <c r="T85" s="8"/>
      <c r="U85" s="8"/>
      <c r="V85" s="8"/>
      <c r="W85" s="8"/>
      <c r="X85" s="8"/>
      <c r="Y85" s="183"/>
      <c r="Z85" s="183"/>
      <c r="AA85" s="183"/>
      <c r="AB85" s="195"/>
      <c r="AC85" s="8"/>
      <c r="AD85" s="8"/>
      <c r="AE85" s="8"/>
      <c r="AF85" s="8"/>
      <c r="AG85" s="202"/>
      <c r="AH85" s="202"/>
      <c r="AI85" s="202"/>
      <c r="AJ85" s="202"/>
      <c r="AK85" s="8"/>
      <c r="AL85" s="8"/>
      <c r="AM85" s="8"/>
      <c r="AN85" s="8"/>
      <c r="AO85" s="8"/>
      <c r="AP85" s="8"/>
      <c r="AQ85" s="8"/>
      <c r="AR85" s="8"/>
      <c r="AS85" s="8"/>
      <c r="AT85" s="8"/>
      <c r="AU85" s="8"/>
      <c r="AV85" s="8"/>
    </row>
    <row r="86">
      <c r="A86" s="8"/>
      <c r="B86" s="8"/>
      <c r="C86" s="8"/>
      <c r="D86" s="8"/>
      <c r="E86" s="8"/>
      <c r="F86" s="8"/>
      <c r="G86" s="8"/>
      <c r="H86" s="8"/>
      <c r="I86" s="8"/>
      <c r="J86" s="8"/>
      <c r="K86" s="8"/>
      <c r="L86" s="8"/>
      <c r="M86" s="8"/>
      <c r="N86" s="8"/>
      <c r="O86" s="8"/>
      <c r="P86" s="8"/>
      <c r="Q86" s="8"/>
      <c r="R86" s="8"/>
      <c r="S86" s="8"/>
      <c r="T86" s="8"/>
      <c r="U86" s="8"/>
      <c r="V86" s="8"/>
      <c r="W86" s="8"/>
      <c r="X86" s="8"/>
      <c r="Y86" s="183"/>
      <c r="Z86" s="183"/>
      <c r="AA86" s="183"/>
      <c r="AB86" s="195"/>
      <c r="AC86" s="8"/>
      <c r="AD86" s="8"/>
      <c r="AE86" s="8"/>
      <c r="AF86" s="8"/>
      <c r="AG86" s="202"/>
      <c r="AH86" s="202"/>
      <c r="AI86" s="202"/>
      <c r="AJ86" s="202"/>
      <c r="AK86" s="8"/>
      <c r="AL86" s="8"/>
      <c r="AM86" s="8"/>
      <c r="AN86" s="8"/>
      <c r="AO86" s="8"/>
      <c r="AP86" s="8"/>
      <c r="AQ86" s="8"/>
      <c r="AR86" s="8"/>
      <c r="AS86" s="8"/>
      <c r="AT86" s="8"/>
      <c r="AU86" s="8"/>
      <c r="AV86" s="8"/>
    </row>
    <row r="87">
      <c r="A87" s="8"/>
      <c r="B87" s="8"/>
      <c r="C87" s="8"/>
      <c r="D87" s="8"/>
      <c r="E87" s="8"/>
      <c r="F87" s="8"/>
      <c r="G87" s="8"/>
      <c r="H87" s="8"/>
      <c r="I87" s="8"/>
      <c r="J87" s="8"/>
      <c r="K87" s="8"/>
      <c r="L87" s="8"/>
      <c r="M87" s="8"/>
      <c r="N87" s="8"/>
      <c r="O87" s="8"/>
      <c r="P87" s="8"/>
      <c r="Q87" s="8"/>
      <c r="R87" s="8"/>
      <c r="S87" s="8"/>
      <c r="T87" s="8"/>
      <c r="U87" s="8"/>
      <c r="V87" s="8"/>
      <c r="W87" s="8"/>
      <c r="X87" s="8"/>
      <c r="Y87" s="183"/>
      <c r="Z87" s="183"/>
      <c r="AA87" s="183"/>
      <c r="AB87" s="195"/>
      <c r="AC87" s="8"/>
      <c r="AD87" s="8"/>
      <c r="AE87" s="8"/>
      <c r="AF87" s="8"/>
      <c r="AG87" s="202"/>
      <c r="AH87" s="202"/>
      <c r="AI87" s="202"/>
      <c r="AJ87" s="202"/>
      <c r="AK87" s="8"/>
      <c r="AL87" s="8"/>
      <c r="AM87" s="8"/>
      <c r="AN87" s="8"/>
      <c r="AO87" s="8"/>
      <c r="AP87" s="8"/>
      <c r="AQ87" s="8"/>
      <c r="AR87" s="8"/>
      <c r="AS87" s="8"/>
      <c r="AT87" s="8"/>
      <c r="AU87" s="8"/>
      <c r="AV87" s="8"/>
    </row>
    <row r="88">
      <c r="A88" s="8"/>
      <c r="B88" s="8"/>
      <c r="C88" s="8"/>
      <c r="D88" s="8"/>
      <c r="E88" s="8"/>
      <c r="F88" s="8"/>
      <c r="G88" s="8"/>
      <c r="H88" s="8"/>
      <c r="I88" s="8"/>
      <c r="J88" s="8"/>
      <c r="K88" s="8"/>
      <c r="L88" s="8"/>
      <c r="M88" s="8"/>
      <c r="N88" s="8"/>
      <c r="O88" s="8"/>
      <c r="P88" s="8"/>
      <c r="Q88" s="8"/>
      <c r="R88" s="8"/>
      <c r="S88" s="8"/>
      <c r="T88" s="8"/>
      <c r="U88" s="8"/>
      <c r="V88" s="8"/>
      <c r="W88" s="8"/>
      <c r="X88" s="8"/>
      <c r="Y88" s="183"/>
      <c r="Z88" s="183"/>
      <c r="AA88" s="183"/>
      <c r="AB88" s="195"/>
      <c r="AC88" s="8"/>
      <c r="AD88" s="8"/>
      <c r="AE88" s="8"/>
      <c r="AF88" s="8"/>
      <c r="AG88" s="202"/>
      <c r="AH88" s="202"/>
      <c r="AI88" s="202"/>
      <c r="AJ88" s="202"/>
      <c r="AK88" s="8"/>
      <c r="AL88" s="8"/>
      <c r="AM88" s="8"/>
      <c r="AN88" s="8"/>
      <c r="AO88" s="8"/>
      <c r="AP88" s="8"/>
      <c r="AQ88" s="8"/>
      <c r="AR88" s="8"/>
      <c r="AS88" s="8"/>
      <c r="AT88" s="8"/>
      <c r="AU88" s="8"/>
      <c r="AV88" s="8"/>
    </row>
    <row r="89">
      <c r="A89" s="8"/>
      <c r="B89" s="8"/>
      <c r="C89" s="8"/>
      <c r="D89" s="8"/>
      <c r="E89" s="8"/>
      <c r="F89" s="8"/>
      <c r="G89" s="8"/>
      <c r="H89" s="8"/>
      <c r="I89" s="8"/>
      <c r="J89" s="8"/>
      <c r="K89" s="8"/>
      <c r="L89" s="8"/>
      <c r="M89" s="8"/>
      <c r="N89" s="8"/>
      <c r="O89" s="8"/>
      <c r="P89" s="8"/>
      <c r="Q89" s="8"/>
      <c r="R89" s="8"/>
      <c r="S89" s="8"/>
      <c r="T89" s="8"/>
      <c r="U89" s="8"/>
      <c r="V89" s="8"/>
      <c r="W89" s="8"/>
      <c r="X89" s="8"/>
      <c r="Y89" s="183"/>
      <c r="Z89" s="183"/>
      <c r="AA89" s="183"/>
      <c r="AB89" s="195"/>
      <c r="AC89" s="8"/>
      <c r="AD89" s="8"/>
      <c r="AE89" s="8"/>
      <c r="AF89" s="8"/>
      <c r="AG89" s="202"/>
      <c r="AH89" s="202"/>
      <c r="AI89" s="202"/>
      <c r="AJ89" s="202"/>
      <c r="AK89" s="8"/>
      <c r="AL89" s="8"/>
      <c r="AM89" s="8"/>
      <c r="AN89" s="8"/>
      <c r="AO89" s="8"/>
      <c r="AP89" s="8"/>
      <c r="AQ89" s="8"/>
      <c r="AR89" s="8"/>
      <c r="AS89" s="8"/>
      <c r="AT89" s="8"/>
      <c r="AU89" s="8"/>
      <c r="AV89" s="8"/>
    </row>
    <row r="90">
      <c r="A90" s="8"/>
      <c r="B90" s="8"/>
      <c r="C90" s="8"/>
      <c r="D90" s="8"/>
      <c r="E90" s="8"/>
      <c r="F90" s="8"/>
      <c r="G90" s="8"/>
      <c r="H90" s="8"/>
      <c r="I90" s="8"/>
      <c r="J90" s="8"/>
      <c r="K90" s="8"/>
      <c r="L90" s="8"/>
      <c r="M90" s="8"/>
      <c r="N90" s="8"/>
      <c r="O90" s="8"/>
      <c r="P90" s="8"/>
      <c r="Q90" s="8"/>
      <c r="R90" s="8"/>
      <c r="S90" s="8"/>
      <c r="T90" s="8"/>
      <c r="U90" s="8"/>
      <c r="V90" s="8"/>
      <c r="W90" s="8"/>
      <c r="X90" s="8"/>
      <c r="Y90" s="183"/>
      <c r="Z90" s="183"/>
      <c r="AA90" s="183"/>
      <c r="AB90" s="195"/>
      <c r="AC90" s="8"/>
      <c r="AD90" s="8"/>
      <c r="AE90" s="8"/>
      <c r="AF90" s="8"/>
      <c r="AG90" s="202"/>
      <c r="AH90" s="202"/>
      <c r="AI90" s="202"/>
      <c r="AJ90" s="202"/>
      <c r="AK90" s="8"/>
      <c r="AL90" s="8"/>
      <c r="AM90" s="8"/>
      <c r="AN90" s="8"/>
      <c r="AO90" s="8"/>
      <c r="AP90" s="8"/>
      <c r="AQ90" s="8"/>
      <c r="AR90" s="8"/>
      <c r="AS90" s="8"/>
      <c r="AT90" s="8"/>
      <c r="AU90" s="8"/>
      <c r="AV90" s="8"/>
    </row>
    <row r="91">
      <c r="A91" s="8"/>
      <c r="B91" s="8"/>
      <c r="C91" s="8"/>
      <c r="D91" s="8"/>
      <c r="E91" s="8"/>
      <c r="F91" s="8"/>
      <c r="G91" s="8"/>
      <c r="H91" s="8"/>
      <c r="I91" s="8"/>
      <c r="J91" s="8"/>
      <c r="K91" s="8"/>
      <c r="L91" s="8"/>
      <c r="M91" s="8"/>
      <c r="N91" s="8"/>
      <c r="O91" s="8"/>
      <c r="P91" s="8"/>
      <c r="Q91" s="8"/>
      <c r="R91" s="8"/>
      <c r="S91" s="8"/>
      <c r="T91" s="8"/>
      <c r="U91" s="8"/>
      <c r="V91" s="8"/>
      <c r="W91" s="8"/>
      <c r="X91" s="8"/>
      <c r="Y91" s="183"/>
      <c r="Z91" s="183"/>
      <c r="AA91" s="183"/>
      <c r="AB91" s="195"/>
      <c r="AC91" s="8"/>
      <c r="AD91" s="8"/>
      <c r="AE91" s="8"/>
      <c r="AF91" s="8"/>
      <c r="AG91" s="202"/>
      <c r="AH91" s="202"/>
      <c r="AI91" s="202"/>
      <c r="AJ91" s="202"/>
      <c r="AK91" s="8"/>
      <c r="AL91" s="8"/>
      <c r="AM91" s="8"/>
      <c r="AN91" s="8"/>
      <c r="AO91" s="8"/>
      <c r="AP91" s="8"/>
      <c r="AQ91" s="8"/>
      <c r="AR91" s="8"/>
      <c r="AS91" s="8"/>
      <c r="AT91" s="8"/>
      <c r="AU91" s="8"/>
      <c r="AV91" s="8"/>
    </row>
    <row r="92">
      <c r="A92" s="8"/>
      <c r="B92" s="8"/>
      <c r="C92" s="8"/>
      <c r="D92" s="8"/>
      <c r="E92" s="8"/>
      <c r="F92" s="8"/>
      <c r="G92" s="8"/>
      <c r="H92" s="8"/>
      <c r="I92" s="8"/>
      <c r="J92" s="8"/>
      <c r="K92" s="8"/>
      <c r="L92" s="8"/>
      <c r="M92" s="8"/>
      <c r="N92" s="8"/>
      <c r="O92" s="8"/>
      <c r="P92" s="8"/>
      <c r="Q92" s="8"/>
      <c r="R92" s="8"/>
      <c r="S92" s="8"/>
      <c r="T92" s="8"/>
      <c r="U92" s="8"/>
      <c r="V92" s="8"/>
      <c r="W92" s="8"/>
      <c r="X92" s="8"/>
      <c r="Y92" s="183"/>
      <c r="Z92" s="183"/>
      <c r="AA92" s="183"/>
      <c r="AB92" s="195"/>
      <c r="AC92" s="8"/>
      <c r="AD92" s="8"/>
      <c r="AE92" s="8"/>
      <c r="AF92" s="8"/>
      <c r="AG92" s="202"/>
      <c r="AH92" s="202"/>
      <c r="AI92" s="202"/>
      <c r="AJ92" s="202"/>
      <c r="AK92" s="8"/>
      <c r="AL92" s="8"/>
      <c r="AM92" s="8"/>
      <c r="AN92" s="8"/>
      <c r="AO92" s="8"/>
      <c r="AP92" s="8"/>
      <c r="AQ92" s="8"/>
      <c r="AR92" s="8"/>
      <c r="AS92" s="8"/>
      <c r="AT92" s="8"/>
      <c r="AU92" s="8"/>
      <c r="AV92" s="8"/>
    </row>
    <row r="93">
      <c r="A93" s="8"/>
      <c r="B93" s="8"/>
      <c r="C93" s="8"/>
      <c r="D93" s="8"/>
      <c r="E93" s="8"/>
      <c r="F93" s="8"/>
      <c r="G93" s="8"/>
      <c r="H93" s="8"/>
      <c r="I93" s="8"/>
      <c r="J93" s="8"/>
      <c r="K93" s="8"/>
      <c r="L93" s="8"/>
      <c r="M93" s="8"/>
      <c r="N93" s="8"/>
      <c r="O93" s="8"/>
      <c r="P93" s="8"/>
      <c r="Q93" s="8"/>
      <c r="R93" s="8"/>
      <c r="S93" s="8"/>
      <c r="T93" s="8"/>
      <c r="U93" s="8"/>
      <c r="V93" s="8"/>
      <c r="W93" s="8"/>
      <c r="X93" s="8"/>
      <c r="Y93" s="183"/>
      <c r="Z93" s="183"/>
      <c r="AA93" s="183"/>
      <c r="AB93" s="195"/>
      <c r="AC93" s="8"/>
      <c r="AD93" s="8"/>
      <c r="AE93" s="8"/>
      <c r="AF93" s="8"/>
      <c r="AG93" s="202"/>
      <c r="AH93" s="202"/>
      <c r="AI93" s="202"/>
      <c r="AJ93" s="202"/>
      <c r="AK93" s="8"/>
      <c r="AL93" s="8"/>
      <c r="AM93" s="8"/>
      <c r="AN93" s="8"/>
      <c r="AO93" s="8"/>
      <c r="AP93" s="8"/>
      <c r="AQ93" s="8"/>
      <c r="AR93" s="8"/>
      <c r="AS93" s="8"/>
      <c r="AT93" s="8"/>
      <c r="AU93" s="8"/>
      <c r="AV93" s="8"/>
    </row>
    <row r="94">
      <c r="A94" s="8"/>
      <c r="B94" s="8"/>
      <c r="C94" s="8"/>
      <c r="D94" s="8"/>
      <c r="E94" s="8"/>
      <c r="F94" s="8"/>
      <c r="G94" s="8"/>
      <c r="H94" s="8"/>
      <c r="I94" s="8"/>
      <c r="J94" s="8"/>
      <c r="K94" s="8"/>
      <c r="L94" s="8"/>
      <c r="M94" s="8"/>
      <c r="N94" s="8"/>
      <c r="O94" s="8"/>
      <c r="P94" s="8"/>
      <c r="Q94" s="8"/>
      <c r="R94" s="8"/>
      <c r="S94" s="8"/>
      <c r="T94" s="8"/>
      <c r="U94" s="8"/>
      <c r="V94" s="8"/>
      <c r="W94" s="8"/>
      <c r="X94" s="8"/>
      <c r="Y94" s="183"/>
      <c r="Z94" s="183"/>
      <c r="AA94" s="183"/>
      <c r="AB94" s="195"/>
      <c r="AC94" s="8"/>
      <c r="AD94" s="8"/>
      <c r="AE94" s="8"/>
      <c r="AF94" s="8"/>
      <c r="AG94" s="202"/>
      <c r="AH94" s="202"/>
      <c r="AI94" s="202"/>
      <c r="AJ94" s="202"/>
      <c r="AK94" s="8"/>
      <c r="AL94" s="8"/>
      <c r="AM94" s="8"/>
      <c r="AN94" s="8"/>
      <c r="AO94" s="8"/>
      <c r="AP94" s="8"/>
      <c r="AQ94" s="8"/>
      <c r="AR94" s="8"/>
      <c r="AS94" s="8"/>
      <c r="AT94" s="8"/>
      <c r="AU94" s="8"/>
      <c r="AV94" s="8"/>
    </row>
    <row r="95">
      <c r="A95" s="8"/>
      <c r="B95" s="8"/>
      <c r="C95" s="8"/>
      <c r="D95" s="8"/>
      <c r="E95" s="8"/>
      <c r="F95" s="8"/>
      <c r="G95" s="8"/>
      <c r="H95" s="8"/>
      <c r="I95" s="8"/>
      <c r="J95" s="8"/>
      <c r="K95" s="8"/>
      <c r="L95" s="8"/>
      <c r="M95" s="8"/>
      <c r="N95" s="8"/>
      <c r="O95" s="8"/>
      <c r="P95" s="8"/>
      <c r="Q95" s="8"/>
      <c r="R95" s="8"/>
      <c r="S95" s="8"/>
      <c r="T95" s="8"/>
      <c r="U95" s="8"/>
      <c r="V95" s="8"/>
      <c r="W95" s="8"/>
      <c r="X95" s="8"/>
      <c r="Y95" s="183"/>
      <c r="Z95" s="183"/>
      <c r="AA95" s="183"/>
      <c r="AB95" s="195"/>
      <c r="AC95" s="8"/>
      <c r="AD95" s="8"/>
      <c r="AE95" s="8"/>
      <c r="AF95" s="8"/>
      <c r="AG95" s="202"/>
      <c r="AH95" s="202"/>
      <c r="AI95" s="202"/>
      <c r="AJ95" s="202"/>
      <c r="AK95" s="8"/>
      <c r="AL95" s="8"/>
      <c r="AM95" s="8"/>
      <c r="AN95" s="8"/>
      <c r="AO95" s="8"/>
      <c r="AP95" s="8"/>
      <c r="AQ95" s="8"/>
      <c r="AR95" s="8"/>
      <c r="AS95" s="8"/>
      <c r="AT95" s="8"/>
      <c r="AU95" s="8"/>
      <c r="AV95" s="8"/>
    </row>
    <row r="96">
      <c r="A96" s="8"/>
      <c r="B96" s="8"/>
      <c r="C96" s="8"/>
      <c r="D96" s="8"/>
      <c r="E96" s="8"/>
      <c r="F96" s="8"/>
      <c r="G96" s="8"/>
      <c r="H96" s="8"/>
      <c r="I96" s="8"/>
      <c r="J96" s="8"/>
      <c r="K96" s="8"/>
      <c r="L96" s="8"/>
      <c r="M96" s="8"/>
      <c r="N96" s="8"/>
      <c r="O96" s="8"/>
      <c r="P96" s="8"/>
      <c r="Q96" s="8"/>
      <c r="R96" s="8"/>
      <c r="S96" s="8"/>
      <c r="T96" s="8"/>
      <c r="U96" s="8"/>
      <c r="V96" s="8"/>
      <c r="W96" s="8"/>
      <c r="X96" s="8"/>
      <c r="Y96" s="183"/>
      <c r="Z96" s="183"/>
      <c r="AA96" s="183"/>
      <c r="AB96" s="195"/>
      <c r="AC96" s="8"/>
      <c r="AD96" s="8"/>
      <c r="AE96" s="8"/>
      <c r="AF96" s="8"/>
      <c r="AG96" s="202"/>
      <c r="AH96" s="202"/>
      <c r="AI96" s="202"/>
      <c r="AJ96" s="202"/>
      <c r="AK96" s="8"/>
      <c r="AL96" s="8"/>
      <c r="AM96" s="8"/>
      <c r="AN96" s="8"/>
      <c r="AO96" s="8"/>
      <c r="AP96" s="8"/>
      <c r="AQ96" s="8"/>
      <c r="AR96" s="8"/>
      <c r="AS96" s="8"/>
      <c r="AT96" s="8"/>
      <c r="AU96" s="8"/>
      <c r="AV96" s="8"/>
    </row>
    <row r="97">
      <c r="A97" s="8"/>
      <c r="B97" s="8"/>
      <c r="C97" s="8"/>
      <c r="D97" s="8"/>
      <c r="E97" s="8"/>
      <c r="F97" s="8"/>
      <c r="G97" s="8"/>
      <c r="H97" s="8"/>
      <c r="I97" s="8"/>
      <c r="J97" s="8"/>
      <c r="K97" s="8"/>
      <c r="L97" s="8"/>
      <c r="M97" s="8"/>
      <c r="N97" s="8"/>
      <c r="O97" s="8"/>
      <c r="P97" s="8"/>
      <c r="Q97" s="8"/>
      <c r="R97" s="8"/>
      <c r="S97" s="8"/>
      <c r="T97" s="8"/>
      <c r="U97" s="8"/>
      <c r="V97" s="8"/>
      <c r="W97" s="8"/>
      <c r="X97" s="8"/>
      <c r="Y97" s="183"/>
      <c r="Z97" s="183"/>
      <c r="AA97" s="183"/>
      <c r="AB97" s="195"/>
      <c r="AC97" s="8"/>
      <c r="AD97" s="8"/>
      <c r="AE97" s="8"/>
      <c r="AF97" s="8"/>
      <c r="AG97" s="202"/>
      <c r="AH97" s="202"/>
      <c r="AI97" s="202"/>
      <c r="AJ97" s="202"/>
      <c r="AK97" s="8"/>
      <c r="AL97" s="8"/>
      <c r="AM97" s="8"/>
      <c r="AN97" s="8"/>
      <c r="AO97" s="8"/>
      <c r="AP97" s="8"/>
      <c r="AQ97" s="8"/>
      <c r="AR97" s="8"/>
      <c r="AS97" s="8"/>
      <c r="AT97" s="8"/>
      <c r="AU97" s="8"/>
      <c r="AV97" s="8"/>
    </row>
    <row r="98">
      <c r="A98" s="8"/>
      <c r="B98" s="8"/>
      <c r="C98" s="8"/>
      <c r="D98" s="8"/>
      <c r="E98" s="8"/>
      <c r="F98" s="8"/>
      <c r="G98" s="8"/>
      <c r="H98" s="8"/>
      <c r="I98" s="8"/>
      <c r="J98" s="8"/>
      <c r="K98" s="8"/>
      <c r="L98" s="8"/>
      <c r="M98" s="8"/>
      <c r="N98" s="8"/>
      <c r="O98" s="8"/>
      <c r="P98" s="8"/>
      <c r="Q98" s="8"/>
      <c r="R98" s="8"/>
      <c r="S98" s="8"/>
      <c r="T98" s="8"/>
      <c r="U98" s="8"/>
      <c r="V98" s="8"/>
      <c r="W98" s="8"/>
      <c r="X98" s="8"/>
      <c r="Y98" s="183"/>
      <c r="Z98" s="183"/>
      <c r="AA98" s="183"/>
      <c r="AB98" s="195"/>
      <c r="AC98" s="8"/>
      <c r="AD98" s="8"/>
      <c r="AE98" s="8"/>
      <c r="AF98" s="8"/>
      <c r="AG98" s="202"/>
      <c r="AH98" s="202"/>
      <c r="AI98" s="202"/>
      <c r="AJ98" s="202"/>
      <c r="AK98" s="8"/>
      <c r="AL98" s="8"/>
      <c r="AM98" s="8"/>
      <c r="AN98" s="8"/>
      <c r="AO98" s="8"/>
      <c r="AP98" s="8"/>
      <c r="AQ98" s="8"/>
      <c r="AR98" s="8"/>
      <c r="AS98" s="8"/>
      <c r="AT98" s="8"/>
      <c r="AU98" s="8"/>
      <c r="AV98" s="8"/>
    </row>
    <row r="99">
      <c r="A99" s="8"/>
      <c r="B99" s="8"/>
      <c r="C99" s="8"/>
      <c r="D99" s="8"/>
      <c r="E99" s="8"/>
      <c r="F99" s="8"/>
      <c r="G99" s="8"/>
      <c r="H99" s="8"/>
      <c r="I99" s="8"/>
      <c r="J99" s="8"/>
      <c r="K99" s="8"/>
      <c r="L99" s="8"/>
      <c r="M99" s="8"/>
      <c r="N99" s="8"/>
      <c r="O99" s="8"/>
      <c r="P99" s="8"/>
      <c r="Q99" s="8"/>
      <c r="R99" s="8"/>
      <c r="S99" s="8"/>
      <c r="T99" s="8"/>
      <c r="U99" s="8"/>
      <c r="V99" s="8"/>
      <c r="W99" s="8"/>
      <c r="X99" s="8"/>
      <c r="Y99" s="183"/>
      <c r="Z99" s="183"/>
      <c r="AA99" s="183"/>
      <c r="AB99" s="195"/>
      <c r="AC99" s="8"/>
      <c r="AD99" s="8"/>
      <c r="AE99" s="8"/>
      <c r="AF99" s="8"/>
      <c r="AG99" s="202"/>
      <c r="AH99" s="202"/>
      <c r="AI99" s="202"/>
      <c r="AJ99" s="202"/>
      <c r="AK99" s="8"/>
      <c r="AL99" s="8"/>
      <c r="AM99" s="8"/>
      <c r="AN99" s="8"/>
      <c r="AO99" s="8"/>
      <c r="AP99" s="8"/>
      <c r="AQ99" s="8"/>
      <c r="AR99" s="8"/>
      <c r="AS99" s="8"/>
      <c r="AT99" s="8"/>
      <c r="AU99" s="8"/>
      <c r="AV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183"/>
      <c r="Z100" s="183"/>
      <c r="AA100" s="183"/>
      <c r="AB100" s="195"/>
      <c r="AC100" s="8"/>
      <c r="AD100" s="8"/>
      <c r="AE100" s="8"/>
      <c r="AF100" s="8"/>
      <c r="AG100" s="202"/>
      <c r="AH100" s="202"/>
      <c r="AI100" s="202"/>
      <c r="AJ100" s="202"/>
      <c r="AK100" s="8"/>
      <c r="AL100" s="8"/>
      <c r="AM100" s="8"/>
      <c r="AN100" s="8"/>
      <c r="AO100" s="8"/>
      <c r="AP100" s="8"/>
      <c r="AQ100" s="8"/>
      <c r="AR100" s="8"/>
      <c r="AS100" s="8"/>
      <c r="AT100" s="8"/>
      <c r="AU100" s="8"/>
      <c r="AV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183"/>
      <c r="Z101" s="183"/>
      <c r="AA101" s="183"/>
      <c r="AB101" s="195"/>
      <c r="AC101" s="8"/>
      <c r="AD101" s="8"/>
      <c r="AE101" s="8"/>
      <c r="AF101" s="8"/>
      <c r="AG101" s="202"/>
      <c r="AH101" s="202"/>
      <c r="AI101" s="202"/>
      <c r="AJ101" s="202"/>
      <c r="AK101" s="8"/>
      <c r="AL101" s="8"/>
      <c r="AM101" s="8"/>
      <c r="AN101" s="8"/>
      <c r="AO101" s="8"/>
      <c r="AP101" s="8"/>
      <c r="AQ101" s="8"/>
      <c r="AR101" s="8"/>
      <c r="AS101" s="8"/>
      <c r="AT101" s="8"/>
      <c r="AU101" s="8"/>
      <c r="AV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183"/>
      <c r="Z102" s="183"/>
      <c r="AA102" s="183"/>
      <c r="AB102" s="195"/>
      <c r="AC102" s="8"/>
      <c r="AD102" s="8"/>
      <c r="AE102" s="8"/>
      <c r="AF102" s="8"/>
      <c r="AG102" s="202"/>
      <c r="AH102" s="202"/>
      <c r="AI102" s="202"/>
      <c r="AJ102" s="202"/>
      <c r="AK102" s="8"/>
      <c r="AL102" s="8"/>
      <c r="AM102" s="8"/>
      <c r="AN102" s="8"/>
      <c r="AO102" s="8"/>
      <c r="AP102" s="8"/>
      <c r="AQ102" s="8"/>
      <c r="AR102" s="8"/>
      <c r="AS102" s="8"/>
      <c r="AT102" s="8"/>
      <c r="AU102" s="8"/>
      <c r="AV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183"/>
      <c r="Z103" s="183"/>
      <c r="AA103" s="183"/>
      <c r="AB103" s="195"/>
      <c r="AC103" s="8"/>
      <c r="AD103" s="8"/>
      <c r="AE103" s="8"/>
      <c r="AF103" s="8"/>
      <c r="AG103" s="202"/>
      <c r="AH103" s="202"/>
      <c r="AI103" s="202"/>
      <c r="AJ103" s="202"/>
      <c r="AK103" s="8"/>
      <c r="AL103" s="8"/>
      <c r="AM103" s="8"/>
      <c r="AN103" s="8"/>
      <c r="AO103" s="8"/>
      <c r="AP103" s="8"/>
      <c r="AQ103" s="8"/>
      <c r="AR103" s="8"/>
      <c r="AS103" s="8"/>
      <c r="AT103" s="8"/>
      <c r="AU103" s="8"/>
      <c r="AV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183"/>
      <c r="Z104" s="183"/>
      <c r="AA104" s="183"/>
      <c r="AB104" s="195"/>
      <c r="AC104" s="8"/>
      <c r="AD104" s="8"/>
      <c r="AE104" s="8"/>
      <c r="AF104" s="8"/>
      <c r="AG104" s="202"/>
      <c r="AH104" s="202"/>
      <c r="AI104" s="202"/>
      <c r="AJ104" s="202"/>
      <c r="AK104" s="8"/>
      <c r="AL104" s="8"/>
      <c r="AM104" s="8"/>
      <c r="AN104" s="8"/>
      <c r="AO104" s="8"/>
      <c r="AP104" s="8"/>
      <c r="AQ104" s="8"/>
      <c r="AR104" s="8"/>
      <c r="AS104" s="8"/>
      <c r="AT104" s="8"/>
      <c r="AU104" s="8"/>
      <c r="AV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183"/>
      <c r="Z105" s="183"/>
      <c r="AA105" s="183"/>
      <c r="AB105" s="195"/>
      <c r="AC105" s="8"/>
      <c r="AD105" s="8"/>
      <c r="AE105" s="8"/>
      <c r="AF105" s="8"/>
      <c r="AG105" s="202"/>
      <c r="AH105" s="202"/>
      <c r="AI105" s="202"/>
      <c r="AJ105" s="202"/>
      <c r="AK105" s="8"/>
      <c r="AL105" s="8"/>
      <c r="AM105" s="8"/>
      <c r="AN105" s="8"/>
      <c r="AO105" s="8"/>
      <c r="AP105" s="8"/>
      <c r="AQ105" s="8"/>
      <c r="AR105" s="8"/>
      <c r="AS105" s="8"/>
      <c r="AT105" s="8"/>
      <c r="AU105" s="8"/>
      <c r="AV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183"/>
      <c r="Z106" s="183"/>
      <c r="AA106" s="183"/>
      <c r="AB106" s="195"/>
      <c r="AC106" s="8"/>
      <c r="AD106" s="8"/>
      <c r="AE106" s="8"/>
      <c r="AF106" s="8"/>
      <c r="AG106" s="202"/>
      <c r="AH106" s="202"/>
      <c r="AI106" s="202"/>
      <c r="AJ106" s="202"/>
      <c r="AK106" s="8"/>
      <c r="AL106" s="8"/>
      <c r="AM106" s="8"/>
      <c r="AN106" s="8"/>
      <c r="AO106" s="8"/>
      <c r="AP106" s="8"/>
      <c r="AQ106" s="8"/>
      <c r="AR106" s="8"/>
      <c r="AS106" s="8"/>
      <c r="AT106" s="8"/>
      <c r="AU106" s="8"/>
      <c r="AV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183"/>
      <c r="Z107" s="183"/>
      <c r="AA107" s="183"/>
      <c r="AB107" s="195"/>
      <c r="AC107" s="8"/>
      <c r="AD107" s="8"/>
      <c r="AE107" s="8"/>
      <c r="AF107" s="8"/>
      <c r="AG107" s="202"/>
      <c r="AH107" s="202"/>
      <c r="AI107" s="202"/>
      <c r="AJ107" s="202"/>
      <c r="AK107" s="8"/>
      <c r="AL107" s="8"/>
      <c r="AM107" s="8"/>
      <c r="AN107" s="8"/>
      <c r="AO107" s="8"/>
      <c r="AP107" s="8"/>
      <c r="AQ107" s="8"/>
      <c r="AR107" s="8"/>
      <c r="AS107" s="8"/>
      <c r="AT107" s="8"/>
      <c r="AU107" s="8"/>
      <c r="AV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183"/>
      <c r="Z108" s="183"/>
      <c r="AA108" s="183"/>
      <c r="AB108" s="195"/>
      <c r="AC108" s="8"/>
      <c r="AD108" s="8"/>
      <c r="AE108" s="8"/>
      <c r="AF108" s="8"/>
      <c r="AG108" s="202"/>
      <c r="AH108" s="202"/>
      <c r="AI108" s="202"/>
      <c r="AJ108" s="202"/>
      <c r="AK108" s="8"/>
      <c r="AL108" s="8"/>
      <c r="AM108" s="8"/>
      <c r="AN108" s="8"/>
      <c r="AO108" s="8"/>
      <c r="AP108" s="8"/>
      <c r="AQ108" s="8"/>
      <c r="AR108" s="8"/>
      <c r="AS108" s="8"/>
      <c r="AT108" s="8"/>
      <c r="AU108" s="8"/>
      <c r="AV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183"/>
      <c r="Z109" s="183"/>
      <c r="AA109" s="183"/>
      <c r="AB109" s="195"/>
      <c r="AC109" s="8"/>
      <c r="AD109" s="8"/>
      <c r="AE109" s="8"/>
      <c r="AF109" s="8"/>
      <c r="AG109" s="202"/>
      <c r="AH109" s="202"/>
      <c r="AI109" s="202"/>
      <c r="AJ109" s="202"/>
      <c r="AK109" s="8"/>
      <c r="AL109" s="8"/>
      <c r="AM109" s="8"/>
      <c r="AN109" s="8"/>
      <c r="AO109" s="8"/>
      <c r="AP109" s="8"/>
      <c r="AQ109" s="8"/>
      <c r="AR109" s="8"/>
      <c r="AS109" s="8"/>
      <c r="AT109" s="8"/>
      <c r="AU109" s="8"/>
      <c r="AV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183"/>
      <c r="Z110" s="183"/>
      <c r="AA110" s="183"/>
      <c r="AB110" s="195"/>
      <c r="AC110" s="8"/>
      <c r="AD110" s="8"/>
      <c r="AE110" s="8"/>
      <c r="AF110" s="8"/>
      <c r="AG110" s="202"/>
      <c r="AH110" s="202"/>
      <c r="AI110" s="202"/>
      <c r="AJ110" s="202"/>
      <c r="AK110" s="8"/>
      <c r="AL110" s="8"/>
      <c r="AM110" s="8"/>
      <c r="AN110" s="8"/>
      <c r="AO110" s="8"/>
      <c r="AP110" s="8"/>
      <c r="AQ110" s="8"/>
      <c r="AR110" s="8"/>
      <c r="AS110" s="8"/>
      <c r="AT110" s="8"/>
      <c r="AU110" s="8"/>
      <c r="AV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183"/>
      <c r="Z111" s="183"/>
      <c r="AA111" s="183"/>
      <c r="AB111" s="195"/>
      <c r="AC111" s="8"/>
      <c r="AD111" s="8"/>
      <c r="AE111" s="8"/>
      <c r="AF111" s="8"/>
      <c r="AG111" s="202"/>
      <c r="AH111" s="202"/>
      <c r="AI111" s="202"/>
      <c r="AJ111" s="202"/>
      <c r="AK111" s="8"/>
      <c r="AL111" s="8"/>
      <c r="AM111" s="8"/>
      <c r="AN111" s="8"/>
      <c r="AO111" s="8"/>
      <c r="AP111" s="8"/>
      <c r="AQ111" s="8"/>
      <c r="AR111" s="8"/>
      <c r="AS111" s="8"/>
      <c r="AT111" s="8"/>
      <c r="AU111" s="8"/>
      <c r="AV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183"/>
      <c r="Z112" s="183"/>
      <c r="AA112" s="183"/>
      <c r="AB112" s="195"/>
      <c r="AC112" s="8"/>
      <c r="AD112" s="8"/>
      <c r="AE112" s="8"/>
      <c r="AF112" s="8"/>
      <c r="AG112" s="202"/>
      <c r="AH112" s="202"/>
      <c r="AI112" s="202"/>
      <c r="AJ112" s="202"/>
      <c r="AK112" s="8"/>
      <c r="AL112" s="8"/>
      <c r="AM112" s="8"/>
      <c r="AN112" s="8"/>
      <c r="AO112" s="8"/>
      <c r="AP112" s="8"/>
      <c r="AQ112" s="8"/>
      <c r="AR112" s="8"/>
      <c r="AS112" s="8"/>
      <c r="AT112" s="8"/>
      <c r="AU112" s="8"/>
      <c r="AV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183"/>
      <c r="Z113" s="183"/>
      <c r="AA113" s="183"/>
      <c r="AB113" s="195"/>
      <c r="AC113" s="8"/>
      <c r="AD113" s="8"/>
      <c r="AE113" s="8"/>
      <c r="AF113" s="8"/>
      <c r="AG113" s="202"/>
      <c r="AH113" s="202"/>
      <c r="AI113" s="202"/>
      <c r="AJ113" s="202"/>
      <c r="AK113" s="8"/>
      <c r="AL113" s="8"/>
      <c r="AM113" s="8"/>
      <c r="AN113" s="8"/>
      <c r="AO113" s="8"/>
      <c r="AP113" s="8"/>
      <c r="AQ113" s="8"/>
      <c r="AR113" s="8"/>
      <c r="AS113" s="8"/>
      <c r="AT113" s="8"/>
      <c r="AU113" s="8"/>
      <c r="AV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183"/>
      <c r="Z114" s="183"/>
      <c r="AA114" s="183"/>
      <c r="AB114" s="195"/>
      <c r="AC114" s="8"/>
      <c r="AD114" s="8"/>
      <c r="AE114" s="8"/>
      <c r="AF114" s="8"/>
      <c r="AG114" s="202"/>
      <c r="AH114" s="202"/>
      <c r="AI114" s="202"/>
      <c r="AJ114" s="202"/>
      <c r="AK114" s="8"/>
      <c r="AL114" s="8"/>
      <c r="AM114" s="8"/>
      <c r="AN114" s="8"/>
      <c r="AO114" s="8"/>
      <c r="AP114" s="8"/>
      <c r="AQ114" s="8"/>
      <c r="AR114" s="8"/>
      <c r="AS114" s="8"/>
      <c r="AT114" s="8"/>
      <c r="AU114" s="8"/>
      <c r="AV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183"/>
      <c r="Z115" s="183"/>
      <c r="AA115" s="183"/>
      <c r="AB115" s="195"/>
      <c r="AC115" s="8"/>
      <c r="AD115" s="8"/>
      <c r="AE115" s="8"/>
      <c r="AF115" s="8"/>
      <c r="AG115" s="202"/>
      <c r="AH115" s="202"/>
      <c r="AI115" s="202"/>
      <c r="AJ115" s="202"/>
      <c r="AK115" s="8"/>
      <c r="AL115" s="8"/>
      <c r="AM115" s="8"/>
      <c r="AN115" s="8"/>
      <c r="AO115" s="8"/>
      <c r="AP115" s="8"/>
      <c r="AQ115" s="8"/>
      <c r="AR115" s="8"/>
      <c r="AS115" s="8"/>
      <c r="AT115" s="8"/>
      <c r="AU115" s="8"/>
      <c r="AV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183"/>
      <c r="Z116" s="183"/>
      <c r="AA116" s="183"/>
      <c r="AB116" s="195"/>
      <c r="AC116" s="8"/>
      <c r="AD116" s="8"/>
      <c r="AE116" s="8"/>
      <c r="AF116" s="8"/>
      <c r="AG116" s="202"/>
      <c r="AH116" s="202"/>
      <c r="AI116" s="202"/>
      <c r="AJ116" s="202"/>
      <c r="AK116" s="8"/>
      <c r="AL116" s="8"/>
      <c r="AM116" s="8"/>
      <c r="AN116" s="8"/>
      <c r="AO116" s="8"/>
      <c r="AP116" s="8"/>
      <c r="AQ116" s="8"/>
      <c r="AR116" s="8"/>
      <c r="AS116" s="8"/>
      <c r="AT116" s="8"/>
      <c r="AU116" s="8"/>
      <c r="AV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183"/>
      <c r="Z117" s="183"/>
      <c r="AA117" s="183"/>
      <c r="AB117" s="195"/>
      <c r="AC117" s="8"/>
      <c r="AD117" s="8"/>
      <c r="AE117" s="8"/>
      <c r="AF117" s="8"/>
      <c r="AG117" s="202"/>
      <c r="AH117" s="202"/>
      <c r="AI117" s="202"/>
      <c r="AJ117" s="202"/>
      <c r="AK117" s="8"/>
      <c r="AL117" s="8"/>
      <c r="AM117" s="8"/>
      <c r="AN117" s="8"/>
      <c r="AO117" s="8"/>
      <c r="AP117" s="8"/>
      <c r="AQ117" s="8"/>
      <c r="AR117" s="8"/>
      <c r="AS117" s="8"/>
      <c r="AT117" s="8"/>
      <c r="AU117" s="8"/>
      <c r="AV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183"/>
      <c r="Z118" s="183"/>
      <c r="AA118" s="183"/>
      <c r="AB118" s="195"/>
      <c r="AC118" s="8"/>
      <c r="AD118" s="8"/>
      <c r="AE118" s="8"/>
      <c r="AF118" s="8"/>
      <c r="AG118" s="202"/>
      <c r="AH118" s="202"/>
      <c r="AI118" s="202"/>
      <c r="AJ118" s="202"/>
      <c r="AK118" s="8"/>
      <c r="AL118" s="8"/>
      <c r="AM118" s="8"/>
      <c r="AN118" s="8"/>
      <c r="AO118" s="8"/>
      <c r="AP118" s="8"/>
      <c r="AQ118" s="8"/>
      <c r="AR118" s="8"/>
      <c r="AS118" s="8"/>
      <c r="AT118" s="8"/>
      <c r="AU118" s="8"/>
      <c r="AV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183"/>
      <c r="Z119" s="183"/>
      <c r="AA119" s="183"/>
      <c r="AB119" s="195"/>
      <c r="AC119" s="8"/>
      <c r="AD119" s="8"/>
      <c r="AE119" s="8"/>
      <c r="AF119" s="8"/>
      <c r="AG119" s="202"/>
      <c r="AH119" s="202"/>
      <c r="AI119" s="202"/>
      <c r="AJ119" s="202"/>
      <c r="AK119" s="8"/>
      <c r="AL119" s="8"/>
      <c r="AM119" s="8"/>
      <c r="AN119" s="8"/>
      <c r="AO119" s="8"/>
      <c r="AP119" s="8"/>
      <c r="AQ119" s="8"/>
      <c r="AR119" s="8"/>
      <c r="AS119" s="8"/>
      <c r="AT119" s="8"/>
      <c r="AU119" s="8"/>
      <c r="AV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183"/>
      <c r="Z120" s="183"/>
      <c r="AA120" s="183"/>
      <c r="AB120" s="195"/>
      <c r="AC120" s="8"/>
      <c r="AD120" s="8"/>
      <c r="AE120" s="8"/>
      <c r="AF120" s="8"/>
      <c r="AG120" s="202"/>
      <c r="AH120" s="202"/>
      <c r="AI120" s="202"/>
      <c r="AJ120" s="202"/>
      <c r="AK120" s="8"/>
      <c r="AL120" s="8"/>
      <c r="AM120" s="8"/>
      <c r="AN120" s="8"/>
      <c r="AO120" s="8"/>
      <c r="AP120" s="8"/>
      <c r="AQ120" s="8"/>
      <c r="AR120" s="8"/>
      <c r="AS120" s="8"/>
      <c r="AT120" s="8"/>
      <c r="AU120" s="8"/>
      <c r="AV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183"/>
      <c r="Z121" s="183"/>
      <c r="AA121" s="183"/>
      <c r="AB121" s="195"/>
      <c r="AC121" s="8"/>
      <c r="AD121" s="8"/>
      <c r="AE121" s="8"/>
      <c r="AF121" s="8"/>
      <c r="AG121" s="202"/>
      <c r="AH121" s="202"/>
      <c r="AI121" s="202"/>
      <c r="AJ121" s="202"/>
      <c r="AK121" s="8"/>
      <c r="AL121" s="8"/>
      <c r="AM121" s="8"/>
      <c r="AN121" s="8"/>
      <c r="AO121" s="8"/>
      <c r="AP121" s="8"/>
      <c r="AQ121" s="8"/>
      <c r="AR121" s="8"/>
      <c r="AS121" s="8"/>
      <c r="AT121" s="8"/>
      <c r="AU121" s="8"/>
      <c r="AV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183"/>
      <c r="Z122" s="183"/>
      <c r="AA122" s="183"/>
      <c r="AB122" s="195"/>
      <c r="AC122" s="8"/>
      <c r="AD122" s="8"/>
      <c r="AE122" s="8"/>
      <c r="AF122" s="8"/>
      <c r="AG122" s="202"/>
      <c r="AH122" s="202"/>
      <c r="AI122" s="202"/>
      <c r="AJ122" s="202"/>
      <c r="AK122" s="8"/>
      <c r="AL122" s="8"/>
      <c r="AM122" s="8"/>
      <c r="AN122" s="8"/>
      <c r="AO122" s="8"/>
      <c r="AP122" s="8"/>
      <c r="AQ122" s="8"/>
      <c r="AR122" s="8"/>
      <c r="AS122" s="8"/>
      <c r="AT122" s="8"/>
      <c r="AU122" s="8"/>
      <c r="AV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183"/>
      <c r="Z123" s="183"/>
      <c r="AA123" s="183"/>
      <c r="AB123" s="195"/>
      <c r="AC123" s="8"/>
      <c r="AD123" s="8"/>
      <c r="AE123" s="8"/>
      <c r="AF123" s="8"/>
      <c r="AG123" s="202"/>
      <c r="AH123" s="202"/>
      <c r="AI123" s="202"/>
      <c r="AJ123" s="202"/>
      <c r="AK123" s="8"/>
      <c r="AL123" s="8"/>
      <c r="AM123" s="8"/>
      <c r="AN123" s="8"/>
      <c r="AO123" s="8"/>
      <c r="AP123" s="8"/>
      <c r="AQ123" s="8"/>
      <c r="AR123" s="8"/>
      <c r="AS123" s="8"/>
      <c r="AT123" s="8"/>
      <c r="AU123" s="8"/>
      <c r="AV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183"/>
      <c r="Z124" s="183"/>
      <c r="AA124" s="183"/>
      <c r="AB124" s="195"/>
      <c r="AC124" s="8"/>
      <c r="AD124" s="8"/>
      <c r="AE124" s="8"/>
      <c r="AF124" s="8"/>
      <c r="AG124" s="202"/>
      <c r="AH124" s="202"/>
      <c r="AI124" s="202"/>
      <c r="AJ124" s="202"/>
      <c r="AK124" s="8"/>
      <c r="AL124" s="8"/>
      <c r="AM124" s="8"/>
      <c r="AN124" s="8"/>
      <c r="AO124" s="8"/>
      <c r="AP124" s="8"/>
      <c r="AQ124" s="8"/>
      <c r="AR124" s="8"/>
      <c r="AS124" s="8"/>
      <c r="AT124" s="8"/>
      <c r="AU124" s="8"/>
      <c r="AV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183"/>
      <c r="Z125" s="183"/>
      <c r="AA125" s="183"/>
      <c r="AB125" s="195"/>
      <c r="AC125" s="8"/>
      <c r="AD125" s="8"/>
      <c r="AE125" s="8"/>
      <c r="AF125" s="8"/>
      <c r="AG125" s="202"/>
      <c r="AH125" s="202"/>
      <c r="AI125" s="202"/>
      <c r="AJ125" s="202"/>
      <c r="AK125" s="8"/>
      <c r="AL125" s="8"/>
      <c r="AM125" s="8"/>
      <c r="AN125" s="8"/>
      <c r="AO125" s="8"/>
      <c r="AP125" s="8"/>
      <c r="AQ125" s="8"/>
      <c r="AR125" s="8"/>
      <c r="AS125" s="8"/>
      <c r="AT125" s="8"/>
      <c r="AU125" s="8"/>
      <c r="AV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183"/>
      <c r="Z126" s="183"/>
      <c r="AA126" s="183"/>
      <c r="AB126" s="195"/>
      <c r="AC126" s="8"/>
      <c r="AD126" s="8"/>
      <c r="AE126" s="8"/>
      <c r="AF126" s="8"/>
      <c r="AG126" s="202"/>
      <c r="AH126" s="202"/>
      <c r="AI126" s="202"/>
      <c r="AJ126" s="202"/>
      <c r="AK126" s="8"/>
      <c r="AL126" s="8"/>
      <c r="AM126" s="8"/>
      <c r="AN126" s="8"/>
      <c r="AO126" s="8"/>
      <c r="AP126" s="8"/>
      <c r="AQ126" s="8"/>
      <c r="AR126" s="8"/>
      <c r="AS126" s="8"/>
      <c r="AT126" s="8"/>
      <c r="AU126" s="8"/>
      <c r="AV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183"/>
      <c r="Z127" s="183"/>
      <c r="AA127" s="183"/>
      <c r="AB127" s="195"/>
      <c r="AC127" s="8"/>
      <c r="AD127" s="8"/>
      <c r="AE127" s="8"/>
      <c r="AF127" s="8"/>
      <c r="AG127" s="202"/>
      <c r="AH127" s="202"/>
      <c r="AI127" s="202"/>
      <c r="AJ127" s="202"/>
      <c r="AK127" s="8"/>
      <c r="AL127" s="8"/>
      <c r="AM127" s="8"/>
      <c r="AN127" s="8"/>
      <c r="AO127" s="8"/>
      <c r="AP127" s="8"/>
      <c r="AQ127" s="8"/>
      <c r="AR127" s="8"/>
      <c r="AS127" s="8"/>
      <c r="AT127" s="8"/>
      <c r="AU127" s="8"/>
      <c r="AV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183"/>
      <c r="Z128" s="183"/>
      <c r="AA128" s="183"/>
      <c r="AB128" s="195"/>
      <c r="AC128" s="8"/>
      <c r="AD128" s="8"/>
      <c r="AE128" s="8"/>
      <c r="AF128" s="8"/>
      <c r="AG128" s="202"/>
      <c r="AH128" s="202"/>
      <c r="AI128" s="202"/>
      <c r="AJ128" s="202"/>
      <c r="AK128" s="8"/>
      <c r="AL128" s="8"/>
      <c r="AM128" s="8"/>
      <c r="AN128" s="8"/>
      <c r="AO128" s="8"/>
      <c r="AP128" s="8"/>
      <c r="AQ128" s="8"/>
      <c r="AR128" s="8"/>
      <c r="AS128" s="8"/>
      <c r="AT128" s="8"/>
      <c r="AU128" s="8"/>
      <c r="AV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183"/>
      <c r="Z129" s="183"/>
      <c r="AA129" s="183"/>
      <c r="AB129" s="195"/>
      <c r="AC129" s="8"/>
      <c r="AD129" s="8"/>
      <c r="AE129" s="8"/>
      <c r="AF129" s="8"/>
      <c r="AG129" s="202"/>
      <c r="AH129" s="202"/>
      <c r="AI129" s="202"/>
      <c r="AJ129" s="202"/>
      <c r="AK129" s="8"/>
      <c r="AL129" s="8"/>
      <c r="AM129" s="8"/>
      <c r="AN129" s="8"/>
      <c r="AO129" s="8"/>
      <c r="AP129" s="8"/>
      <c r="AQ129" s="8"/>
      <c r="AR129" s="8"/>
      <c r="AS129" s="8"/>
      <c r="AT129" s="8"/>
      <c r="AU129" s="8"/>
      <c r="AV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183"/>
      <c r="Z130" s="183"/>
      <c r="AA130" s="183"/>
      <c r="AB130" s="195"/>
      <c r="AC130" s="8"/>
      <c r="AD130" s="8"/>
      <c r="AE130" s="8"/>
      <c r="AF130" s="8"/>
      <c r="AG130" s="202"/>
      <c r="AH130" s="202"/>
      <c r="AI130" s="202"/>
      <c r="AJ130" s="202"/>
      <c r="AK130" s="8"/>
      <c r="AL130" s="8"/>
      <c r="AM130" s="8"/>
      <c r="AN130" s="8"/>
      <c r="AO130" s="8"/>
      <c r="AP130" s="8"/>
      <c r="AQ130" s="8"/>
      <c r="AR130" s="8"/>
      <c r="AS130" s="8"/>
      <c r="AT130" s="8"/>
      <c r="AU130" s="8"/>
      <c r="AV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183"/>
      <c r="Z131" s="183"/>
      <c r="AA131" s="183"/>
      <c r="AB131" s="195"/>
      <c r="AC131" s="8"/>
      <c r="AD131" s="8"/>
      <c r="AE131" s="8"/>
      <c r="AF131" s="8"/>
      <c r="AG131" s="202"/>
      <c r="AH131" s="202"/>
      <c r="AI131" s="202"/>
      <c r="AJ131" s="202"/>
      <c r="AK131" s="8"/>
      <c r="AL131" s="8"/>
      <c r="AM131" s="8"/>
      <c r="AN131" s="8"/>
      <c r="AO131" s="8"/>
      <c r="AP131" s="8"/>
      <c r="AQ131" s="8"/>
      <c r="AR131" s="8"/>
      <c r="AS131" s="8"/>
      <c r="AT131" s="8"/>
      <c r="AU131" s="8"/>
      <c r="AV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183"/>
      <c r="Z132" s="183"/>
      <c r="AA132" s="183"/>
      <c r="AB132" s="195"/>
      <c r="AC132" s="8"/>
      <c r="AD132" s="8"/>
      <c r="AE132" s="8"/>
      <c r="AF132" s="8"/>
      <c r="AG132" s="202"/>
      <c r="AH132" s="202"/>
      <c r="AI132" s="202"/>
      <c r="AJ132" s="202"/>
      <c r="AK132" s="8"/>
      <c r="AL132" s="8"/>
      <c r="AM132" s="8"/>
      <c r="AN132" s="8"/>
      <c r="AO132" s="8"/>
      <c r="AP132" s="8"/>
      <c r="AQ132" s="8"/>
      <c r="AR132" s="8"/>
      <c r="AS132" s="8"/>
      <c r="AT132" s="8"/>
      <c r="AU132" s="8"/>
      <c r="AV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183"/>
      <c r="Z133" s="183"/>
      <c r="AA133" s="183"/>
      <c r="AB133" s="195"/>
      <c r="AC133" s="8"/>
      <c r="AD133" s="8"/>
      <c r="AE133" s="8"/>
      <c r="AF133" s="8"/>
      <c r="AG133" s="202"/>
      <c r="AH133" s="202"/>
      <c r="AI133" s="202"/>
      <c r="AJ133" s="202"/>
      <c r="AK133" s="8"/>
      <c r="AL133" s="8"/>
      <c r="AM133" s="8"/>
      <c r="AN133" s="8"/>
      <c r="AO133" s="8"/>
      <c r="AP133" s="8"/>
      <c r="AQ133" s="8"/>
      <c r="AR133" s="8"/>
      <c r="AS133" s="8"/>
      <c r="AT133" s="8"/>
      <c r="AU133" s="8"/>
      <c r="AV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183"/>
      <c r="Z134" s="183"/>
      <c r="AA134" s="183"/>
      <c r="AB134" s="195"/>
      <c r="AC134" s="8"/>
      <c r="AD134" s="8"/>
      <c r="AE134" s="8"/>
      <c r="AF134" s="8"/>
      <c r="AG134" s="202"/>
      <c r="AH134" s="202"/>
      <c r="AI134" s="202"/>
      <c r="AJ134" s="202"/>
      <c r="AK134" s="8"/>
      <c r="AL134" s="8"/>
      <c r="AM134" s="8"/>
      <c r="AN134" s="8"/>
      <c r="AO134" s="8"/>
      <c r="AP134" s="8"/>
      <c r="AQ134" s="8"/>
      <c r="AR134" s="8"/>
      <c r="AS134" s="8"/>
      <c r="AT134" s="8"/>
      <c r="AU134" s="8"/>
      <c r="AV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183"/>
      <c r="Z135" s="183"/>
      <c r="AA135" s="183"/>
      <c r="AB135" s="195"/>
      <c r="AC135" s="8"/>
      <c r="AD135" s="8"/>
      <c r="AE135" s="8"/>
      <c r="AF135" s="8"/>
      <c r="AG135" s="202"/>
      <c r="AH135" s="202"/>
      <c r="AI135" s="202"/>
      <c r="AJ135" s="202"/>
      <c r="AK135" s="8"/>
      <c r="AL135" s="8"/>
      <c r="AM135" s="8"/>
      <c r="AN135" s="8"/>
      <c r="AO135" s="8"/>
      <c r="AP135" s="8"/>
      <c r="AQ135" s="8"/>
      <c r="AR135" s="8"/>
      <c r="AS135" s="8"/>
      <c r="AT135" s="8"/>
      <c r="AU135" s="8"/>
      <c r="AV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183"/>
      <c r="Z136" s="183"/>
      <c r="AA136" s="183"/>
      <c r="AB136" s="195"/>
      <c r="AC136" s="8"/>
      <c r="AD136" s="8"/>
      <c r="AE136" s="8"/>
      <c r="AF136" s="8"/>
      <c r="AG136" s="202"/>
      <c r="AH136" s="202"/>
      <c r="AI136" s="202"/>
      <c r="AJ136" s="202"/>
      <c r="AK136" s="8"/>
      <c r="AL136" s="8"/>
      <c r="AM136" s="8"/>
      <c r="AN136" s="8"/>
      <c r="AO136" s="8"/>
      <c r="AP136" s="8"/>
      <c r="AQ136" s="8"/>
      <c r="AR136" s="8"/>
      <c r="AS136" s="8"/>
      <c r="AT136" s="8"/>
      <c r="AU136" s="8"/>
      <c r="AV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183"/>
      <c r="Z137" s="183"/>
      <c r="AA137" s="183"/>
      <c r="AB137" s="195"/>
      <c r="AC137" s="8"/>
      <c r="AD137" s="8"/>
      <c r="AE137" s="8"/>
      <c r="AF137" s="8"/>
      <c r="AG137" s="202"/>
      <c r="AH137" s="202"/>
      <c r="AI137" s="202"/>
      <c r="AJ137" s="202"/>
      <c r="AK137" s="8"/>
      <c r="AL137" s="8"/>
      <c r="AM137" s="8"/>
      <c r="AN137" s="8"/>
      <c r="AO137" s="8"/>
      <c r="AP137" s="8"/>
      <c r="AQ137" s="8"/>
      <c r="AR137" s="8"/>
      <c r="AS137" s="8"/>
      <c r="AT137" s="8"/>
      <c r="AU137" s="8"/>
      <c r="AV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183"/>
      <c r="Z138" s="183"/>
      <c r="AA138" s="183"/>
      <c r="AB138" s="195"/>
      <c r="AC138" s="8"/>
      <c r="AD138" s="8"/>
      <c r="AE138" s="8"/>
      <c r="AF138" s="8"/>
      <c r="AG138" s="202"/>
      <c r="AH138" s="202"/>
      <c r="AI138" s="202"/>
      <c r="AJ138" s="202"/>
      <c r="AK138" s="8"/>
      <c r="AL138" s="8"/>
      <c r="AM138" s="8"/>
      <c r="AN138" s="8"/>
      <c r="AO138" s="8"/>
      <c r="AP138" s="8"/>
      <c r="AQ138" s="8"/>
      <c r="AR138" s="8"/>
      <c r="AS138" s="8"/>
      <c r="AT138" s="8"/>
      <c r="AU138" s="8"/>
      <c r="AV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195"/>
      <c r="Z139" s="195"/>
      <c r="AA139" s="195"/>
      <c r="AB139" s="195"/>
      <c r="AC139" s="8"/>
      <c r="AD139" s="8"/>
      <c r="AE139" s="8"/>
      <c r="AF139" s="8"/>
      <c r="AG139" s="202"/>
      <c r="AH139" s="202"/>
      <c r="AI139" s="202"/>
      <c r="AJ139" s="202"/>
      <c r="AK139" s="8"/>
      <c r="AL139" s="8"/>
      <c r="AM139" s="8"/>
      <c r="AN139" s="8"/>
      <c r="AO139" s="8"/>
      <c r="AP139" s="8"/>
      <c r="AQ139" s="8"/>
      <c r="AR139" s="8"/>
      <c r="AS139" s="8"/>
      <c r="AT139" s="8"/>
      <c r="AU139" s="8"/>
      <c r="AV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195"/>
      <c r="Z140" s="195"/>
      <c r="AA140" s="195"/>
      <c r="AB140" s="195"/>
      <c r="AC140" s="8"/>
      <c r="AD140" s="8"/>
      <c r="AE140" s="8"/>
      <c r="AF140" s="8"/>
      <c r="AG140" s="202"/>
      <c r="AH140" s="202"/>
      <c r="AI140" s="202"/>
      <c r="AJ140" s="202"/>
      <c r="AK140" s="8"/>
      <c r="AL140" s="8"/>
      <c r="AM140" s="8"/>
      <c r="AN140" s="8"/>
      <c r="AO140" s="8"/>
      <c r="AP140" s="8"/>
      <c r="AQ140" s="8"/>
      <c r="AR140" s="8"/>
      <c r="AS140" s="8"/>
      <c r="AT140" s="8"/>
      <c r="AU140" s="8"/>
      <c r="AV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195"/>
      <c r="Z141" s="195"/>
      <c r="AA141" s="195"/>
      <c r="AB141" s="195"/>
      <c r="AC141" s="8"/>
      <c r="AD141" s="8"/>
      <c r="AE141" s="8"/>
      <c r="AF141" s="8"/>
      <c r="AG141" s="202"/>
      <c r="AH141" s="202"/>
      <c r="AI141" s="202"/>
      <c r="AJ141" s="202"/>
      <c r="AK141" s="8"/>
      <c r="AL141" s="8"/>
      <c r="AM141" s="8"/>
      <c r="AN141" s="8"/>
      <c r="AO141" s="8"/>
      <c r="AP141" s="8"/>
      <c r="AQ141" s="8"/>
      <c r="AR141" s="8"/>
      <c r="AS141" s="8"/>
      <c r="AT141" s="8"/>
      <c r="AU141" s="8"/>
      <c r="AV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195"/>
      <c r="Z142" s="195"/>
      <c r="AA142" s="195"/>
      <c r="AB142" s="195"/>
      <c r="AC142" s="8"/>
      <c r="AD142" s="8"/>
      <c r="AE142" s="8"/>
      <c r="AF142" s="8"/>
      <c r="AG142" s="202"/>
      <c r="AH142" s="202"/>
      <c r="AI142" s="202"/>
      <c r="AJ142" s="202"/>
      <c r="AK142" s="8"/>
      <c r="AL142" s="8"/>
      <c r="AM142" s="8"/>
      <c r="AN142" s="8"/>
      <c r="AO142" s="8"/>
      <c r="AP142" s="8"/>
      <c r="AQ142" s="8"/>
      <c r="AR142" s="8"/>
      <c r="AS142" s="8"/>
      <c r="AT142" s="8"/>
      <c r="AU142" s="8"/>
      <c r="AV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195"/>
      <c r="Z143" s="195"/>
      <c r="AA143" s="195"/>
      <c r="AB143" s="195"/>
      <c r="AC143" s="8"/>
      <c r="AD143" s="8"/>
      <c r="AE143" s="8"/>
      <c r="AF143" s="8"/>
      <c r="AG143" s="202"/>
      <c r="AH143" s="202"/>
      <c r="AI143" s="202"/>
      <c r="AJ143" s="202"/>
      <c r="AK143" s="8"/>
      <c r="AL143" s="8"/>
      <c r="AM143" s="8"/>
      <c r="AN143" s="8"/>
      <c r="AO143" s="8"/>
      <c r="AP143" s="8"/>
      <c r="AQ143" s="8"/>
      <c r="AR143" s="8"/>
      <c r="AS143" s="8"/>
      <c r="AT143" s="8"/>
      <c r="AU143" s="8"/>
      <c r="AV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195"/>
      <c r="Z144" s="195"/>
      <c r="AA144" s="195"/>
      <c r="AB144" s="195"/>
      <c r="AC144" s="8"/>
      <c r="AD144" s="8"/>
      <c r="AE144" s="8"/>
      <c r="AF144" s="8"/>
      <c r="AG144" s="202"/>
      <c r="AH144" s="202"/>
      <c r="AI144" s="202"/>
      <c r="AJ144" s="202"/>
      <c r="AK144" s="8"/>
      <c r="AL144" s="8"/>
      <c r="AM144" s="8"/>
      <c r="AN144" s="8"/>
      <c r="AO144" s="8"/>
      <c r="AP144" s="8"/>
      <c r="AQ144" s="8"/>
      <c r="AR144" s="8"/>
      <c r="AS144" s="8"/>
      <c r="AT144" s="8"/>
      <c r="AU144" s="8"/>
      <c r="AV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195"/>
      <c r="Z145" s="195"/>
      <c r="AA145" s="195"/>
      <c r="AB145" s="195"/>
      <c r="AC145" s="8"/>
      <c r="AD145" s="8"/>
      <c r="AE145" s="8"/>
      <c r="AF145" s="8"/>
      <c r="AG145" s="202"/>
      <c r="AH145" s="202"/>
      <c r="AI145" s="202"/>
      <c r="AJ145" s="202"/>
      <c r="AK145" s="8"/>
      <c r="AL145" s="8"/>
      <c r="AM145" s="8"/>
      <c r="AN145" s="8"/>
      <c r="AO145" s="8"/>
      <c r="AP145" s="8"/>
      <c r="AQ145" s="8"/>
      <c r="AR145" s="8"/>
      <c r="AS145" s="8"/>
      <c r="AT145" s="8"/>
      <c r="AU145" s="8"/>
      <c r="AV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195"/>
      <c r="Z146" s="195"/>
      <c r="AA146" s="195"/>
      <c r="AB146" s="195"/>
      <c r="AC146" s="8"/>
      <c r="AD146" s="8"/>
      <c r="AE146" s="8"/>
      <c r="AF146" s="8"/>
      <c r="AG146" s="202"/>
      <c r="AH146" s="202"/>
      <c r="AI146" s="202"/>
      <c r="AJ146" s="202"/>
      <c r="AK146" s="8"/>
      <c r="AL146" s="8"/>
      <c r="AM146" s="8"/>
      <c r="AN146" s="8"/>
      <c r="AO146" s="8"/>
      <c r="AP146" s="8"/>
      <c r="AQ146" s="8"/>
      <c r="AR146" s="8"/>
      <c r="AS146" s="8"/>
      <c r="AT146" s="8"/>
      <c r="AU146" s="8"/>
      <c r="AV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195"/>
      <c r="Z147" s="195"/>
      <c r="AA147" s="195"/>
      <c r="AB147" s="195"/>
      <c r="AC147" s="8"/>
      <c r="AD147" s="8"/>
      <c r="AE147" s="8"/>
      <c r="AF147" s="8"/>
      <c r="AG147" s="202"/>
      <c r="AH147" s="202"/>
      <c r="AI147" s="202"/>
      <c r="AJ147" s="202"/>
      <c r="AK147" s="8"/>
      <c r="AL147" s="8"/>
      <c r="AM147" s="8"/>
      <c r="AN147" s="8"/>
      <c r="AO147" s="8"/>
      <c r="AP147" s="8"/>
      <c r="AQ147" s="8"/>
      <c r="AR147" s="8"/>
      <c r="AS147" s="8"/>
      <c r="AT147" s="8"/>
      <c r="AU147" s="8"/>
      <c r="AV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195"/>
      <c r="Z148" s="195"/>
      <c r="AA148" s="195"/>
      <c r="AB148" s="195"/>
      <c r="AC148" s="8"/>
      <c r="AD148" s="8"/>
      <c r="AE148" s="8"/>
      <c r="AF148" s="8"/>
      <c r="AG148" s="202"/>
      <c r="AH148" s="202"/>
      <c r="AI148" s="202"/>
      <c r="AJ148" s="202"/>
      <c r="AK148" s="8"/>
      <c r="AL148" s="8"/>
      <c r="AM148" s="8"/>
      <c r="AN148" s="8"/>
      <c r="AO148" s="8"/>
      <c r="AP148" s="8"/>
      <c r="AQ148" s="8"/>
      <c r="AR148" s="8"/>
      <c r="AS148" s="8"/>
      <c r="AT148" s="8"/>
      <c r="AU148" s="8"/>
      <c r="AV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195"/>
      <c r="Z149" s="195"/>
      <c r="AA149" s="195"/>
      <c r="AB149" s="195"/>
      <c r="AC149" s="8"/>
      <c r="AD149" s="8"/>
      <c r="AE149" s="8"/>
      <c r="AF149" s="8"/>
      <c r="AG149" s="202"/>
      <c r="AH149" s="202"/>
      <c r="AI149" s="202"/>
      <c r="AJ149" s="202"/>
      <c r="AK149" s="8"/>
      <c r="AL149" s="8"/>
      <c r="AM149" s="8"/>
      <c r="AN149" s="8"/>
      <c r="AO149" s="8"/>
      <c r="AP149" s="8"/>
      <c r="AQ149" s="8"/>
      <c r="AR149" s="8"/>
      <c r="AS149" s="8"/>
      <c r="AT149" s="8"/>
      <c r="AU149" s="8"/>
      <c r="AV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195"/>
      <c r="Z150" s="195"/>
      <c r="AA150" s="195"/>
      <c r="AB150" s="195"/>
      <c r="AC150" s="8"/>
      <c r="AD150" s="8"/>
      <c r="AE150" s="8"/>
      <c r="AF150" s="8"/>
      <c r="AG150" s="202"/>
      <c r="AH150" s="202"/>
      <c r="AI150" s="202"/>
      <c r="AJ150" s="202"/>
      <c r="AK150" s="8"/>
      <c r="AL150" s="8"/>
      <c r="AM150" s="8"/>
      <c r="AN150" s="8"/>
      <c r="AO150" s="8"/>
      <c r="AP150" s="8"/>
      <c r="AQ150" s="8"/>
      <c r="AR150" s="8"/>
      <c r="AS150" s="8"/>
      <c r="AT150" s="8"/>
      <c r="AU150" s="8"/>
      <c r="AV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195"/>
      <c r="Z151" s="195"/>
      <c r="AA151" s="195"/>
      <c r="AB151" s="195"/>
      <c r="AC151" s="8"/>
      <c r="AD151" s="8"/>
      <c r="AE151" s="8"/>
      <c r="AF151" s="8"/>
      <c r="AG151" s="202"/>
      <c r="AH151" s="202"/>
      <c r="AI151" s="202"/>
      <c r="AJ151" s="202"/>
      <c r="AK151" s="8"/>
      <c r="AL151" s="8"/>
      <c r="AM151" s="8"/>
      <c r="AN151" s="8"/>
      <c r="AO151" s="8"/>
      <c r="AP151" s="8"/>
      <c r="AQ151" s="8"/>
      <c r="AR151" s="8"/>
      <c r="AS151" s="8"/>
      <c r="AT151" s="8"/>
      <c r="AU151" s="8"/>
      <c r="AV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195"/>
      <c r="Z152" s="195"/>
      <c r="AA152" s="195"/>
      <c r="AB152" s="195"/>
      <c r="AC152" s="8"/>
      <c r="AD152" s="8"/>
      <c r="AE152" s="8"/>
      <c r="AF152" s="8"/>
      <c r="AG152" s="202"/>
      <c r="AH152" s="202"/>
      <c r="AI152" s="202"/>
      <c r="AJ152" s="202"/>
      <c r="AK152" s="8"/>
      <c r="AL152" s="8"/>
      <c r="AM152" s="8"/>
      <c r="AN152" s="8"/>
      <c r="AO152" s="8"/>
      <c r="AP152" s="8"/>
      <c r="AQ152" s="8"/>
      <c r="AR152" s="8"/>
      <c r="AS152" s="8"/>
      <c r="AT152" s="8"/>
      <c r="AU152" s="8"/>
      <c r="AV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195"/>
      <c r="Z153" s="195"/>
      <c r="AA153" s="195"/>
      <c r="AB153" s="195"/>
      <c r="AC153" s="8"/>
      <c r="AD153" s="8"/>
      <c r="AE153" s="8"/>
      <c r="AF153" s="8"/>
      <c r="AG153" s="202"/>
      <c r="AH153" s="202"/>
      <c r="AI153" s="202"/>
      <c r="AJ153" s="202"/>
      <c r="AK153" s="8"/>
      <c r="AL153" s="8"/>
      <c r="AM153" s="8"/>
      <c r="AN153" s="8"/>
      <c r="AO153" s="8"/>
      <c r="AP153" s="8"/>
      <c r="AQ153" s="8"/>
      <c r="AR153" s="8"/>
      <c r="AS153" s="8"/>
      <c r="AT153" s="8"/>
      <c r="AU153" s="8"/>
      <c r="AV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195"/>
      <c r="Z154" s="195"/>
      <c r="AA154" s="195"/>
      <c r="AB154" s="195"/>
      <c r="AC154" s="8"/>
      <c r="AD154" s="8"/>
      <c r="AE154" s="8"/>
      <c r="AF154" s="8"/>
      <c r="AG154" s="202"/>
      <c r="AH154" s="202"/>
      <c r="AI154" s="202"/>
      <c r="AJ154" s="202"/>
      <c r="AK154" s="8"/>
      <c r="AL154" s="8"/>
      <c r="AM154" s="8"/>
      <c r="AN154" s="8"/>
      <c r="AO154" s="8"/>
      <c r="AP154" s="8"/>
      <c r="AQ154" s="8"/>
      <c r="AR154" s="8"/>
      <c r="AS154" s="8"/>
      <c r="AT154" s="8"/>
      <c r="AU154" s="8"/>
      <c r="AV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195"/>
      <c r="Z155" s="195"/>
      <c r="AA155" s="195"/>
      <c r="AB155" s="195"/>
      <c r="AC155" s="8"/>
      <c r="AD155" s="8"/>
      <c r="AE155" s="8"/>
      <c r="AF155" s="8"/>
      <c r="AG155" s="202"/>
      <c r="AH155" s="202"/>
      <c r="AI155" s="202"/>
      <c r="AJ155" s="202"/>
      <c r="AK155" s="8"/>
      <c r="AL155" s="8"/>
      <c r="AM155" s="8"/>
      <c r="AN155" s="8"/>
      <c r="AO155" s="8"/>
      <c r="AP155" s="8"/>
      <c r="AQ155" s="8"/>
      <c r="AR155" s="8"/>
      <c r="AS155" s="8"/>
      <c r="AT155" s="8"/>
      <c r="AU155" s="8"/>
      <c r="AV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195"/>
      <c r="Z156" s="195"/>
      <c r="AA156" s="195"/>
      <c r="AB156" s="195"/>
      <c r="AC156" s="8"/>
      <c r="AD156" s="8"/>
      <c r="AE156" s="8"/>
      <c r="AF156" s="8"/>
      <c r="AG156" s="202"/>
      <c r="AH156" s="202"/>
      <c r="AI156" s="202"/>
      <c r="AJ156" s="202"/>
      <c r="AK156" s="8"/>
      <c r="AL156" s="8"/>
      <c r="AM156" s="8"/>
      <c r="AN156" s="8"/>
      <c r="AO156" s="8"/>
      <c r="AP156" s="8"/>
      <c r="AQ156" s="8"/>
      <c r="AR156" s="8"/>
      <c r="AS156" s="8"/>
      <c r="AT156" s="8"/>
      <c r="AU156" s="8"/>
      <c r="AV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195"/>
      <c r="Z157" s="195"/>
      <c r="AA157" s="195"/>
      <c r="AB157" s="195"/>
      <c r="AC157" s="8"/>
      <c r="AD157" s="8"/>
      <c r="AE157" s="8"/>
      <c r="AF157" s="8"/>
      <c r="AG157" s="202"/>
      <c r="AH157" s="202"/>
      <c r="AI157" s="202"/>
      <c r="AJ157" s="202"/>
      <c r="AK157" s="8"/>
      <c r="AL157" s="8"/>
      <c r="AM157" s="8"/>
      <c r="AN157" s="8"/>
      <c r="AO157" s="8"/>
      <c r="AP157" s="8"/>
      <c r="AQ157" s="8"/>
      <c r="AR157" s="8"/>
      <c r="AS157" s="8"/>
      <c r="AT157" s="8"/>
      <c r="AU157" s="8"/>
      <c r="AV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195"/>
      <c r="Z158" s="195"/>
      <c r="AA158" s="195"/>
      <c r="AB158" s="195"/>
      <c r="AC158" s="8"/>
      <c r="AD158" s="8"/>
      <c r="AE158" s="8"/>
      <c r="AF158" s="8"/>
      <c r="AG158" s="202"/>
      <c r="AH158" s="202"/>
      <c r="AI158" s="202"/>
      <c r="AJ158" s="202"/>
      <c r="AK158" s="8"/>
      <c r="AL158" s="8"/>
      <c r="AM158" s="8"/>
      <c r="AN158" s="8"/>
      <c r="AO158" s="8"/>
      <c r="AP158" s="8"/>
      <c r="AQ158" s="8"/>
      <c r="AR158" s="8"/>
      <c r="AS158" s="8"/>
      <c r="AT158" s="8"/>
      <c r="AU158" s="8"/>
      <c r="AV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195"/>
      <c r="Z159" s="195"/>
      <c r="AA159" s="195"/>
      <c r="AB159" s="195"/>
      <c r="AC159" s="8"/>
      <c r="AD159" s="8"/>
      <c r="AE159" s="8"/>
      <c r="AF159" s="8"/>
      <c r="AG159" s="202"/>
      <c r="AH159" s="202"/>
      <c r="AI159" s="202"/>
      <c r="AJ159" s="202"/>
      <c r="AK159" s="8"/>
      <c r="AL159" s="8"/>
      <c r="AM159" s="8"/>
      <c r="AN159" s="8"/>
      <c r="AO159" s="8"/>
      <c r="AP159" s="8"/>
      <c r="AQ159" s="8"/>
      <c r="AR159" s="8"/>
      <c r="AS159" s="8"/>
      <c r="AT159" s="8"/>
      <c r="AU159" s="8"/>
      <c r="AV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195"/>
      <c r="Z160" s="195"/>
      <c r="AA160" s="195"/>
      <c r="AB160" s="195"/>
      <c r="AC160" s="8"/>
      <c r="AD160" s="8"/>
      <c r="AE160" s="8"/>
      <c r="AF160" s="8"/>
      <c r="AG160" s="202"/>
      <c r="AH160" s="202"/>
      <c r="AI160" s="202"/>
      <c r="AJ160" s="202"/>
      <c r="AK160" s="8"/>
      <c r="AL160" s="8"/>
      <c r="AM160" s="8"/>
      <c r="AN160" s="8"/>
      <c r="AO160" s="8"/>
      <c r="AP160" s="8"/>
      <c r="AQ160" s="8"/>
      <c r="AR160" s="8"/>
      <c r="AS160" s="8"/>
      <c r="AT160" s="8"/>
      <c r="AU160" s="8"/>
      <c r="AV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195"/>
      <c r="Z161" s="195"/>
      <c r="AA161" s="195"/>
      <c r="AB161" s="195"/>
      <c r="AC161" s="8"/>
      <c r="AD161" s="8"/>
      <c r="AE161" s="8"/>
      <c r="AF161" s="8"/>
      <c r="AG161" s="202"/>
      <c r="AH161" s="202"/>
      <c r="AI161" s="202"/>
      <c r="AJ161" s="202"/>
      <c r="AK161" s="8"/>
      <c r="AL161" s="8"/>
      <c r="AM161" s="8"/>
      <c r="AN161" s="8"/>
      <c r="AO161" s="8"/>
      <c r="AP161" s="8"/>
      <c r="AQ161" s="8"/>
      <c r="AR161" s="8"/>
      <c r="AS161" s="8"/>
      <c r="AT161" s="8"/>
      <c r="AU161" s="8"/>
      <c r="AV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195"/>
      <c r="Z162" s="195"/>
      <c r="AA162" s="195"/>
      <c r="AB162" s="195"/>
      <c r="AC162" s="8"/>
      <c r="AD162" s="8"/>
      <c r="AE162" s="8"/>
      <c r="AF162" s="8"/>
      <c r="AG162" s="202"/>
      <c r="AH162" s="202"/>
      <c r="AI162" s="202"/>
      <c r="AJ162" s="202"/>
      <c r="AK162" s="8"/>
      <c r="AL162" s="8"/>
      <c r="AM162" s="8"/>
      <c r="AN162" s="8"/>
      <c r="AO162" s="8"/>
      <c r="AP162" s="8"/>
      <c r="AQ162" s="8"/>
      <c r="AR162" s="8"/>
      <c r="AS162" s="8"/>
      <c r="AT162" s="8"/>
      <c r="AU162" s="8"/>
      <c r="AV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195"/>
      <c r="Z163" s="195"/>
      <c r="AA163" s="195"/>
      <c r="AB163" s="195"/>
      <c r="AC163" s="8"/>
      <c r="AD163" s="8"/>
      <c r="AE163" s="8"/>
      <c r="AF163" s="8"/>
      <c r="AG163" s="202"/>
      <c r="AH163" s="202"/>
      <c r="AI163" s="202"/>
      <c r="AJ163" s="202"/>
      <c r="AK163" s="8"/>
      <c r="AL163" s="8"/>
      <c r="AM163" s="8"/>
      <c r="AN163" s="8"/>
      <c r="AO163" s="8"/>
      <c r="AP163" s="8"/>
      <c r="AQ163" s="8"/>
      <c r="AR163" s="8"/>
      <c r="AS163" s="8"/>
      <c r="AT163" s="8"/>
      <c r="AU163" s="8"/>
      <c r="AV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195"/>
      <c r="Z164" s="195"/>
      <c r="AA164" s="195"/>
      <c r="AB164" s="195"/>
      <c r="AC164" s="8"/>
      <c r="AD164" s="8"/>
      <c r="AE164" s="8"/>
      <c r="AF164" s="8"/>
      <c r="AG164" s="202"/>
      <c r="AH164" s="202"/>
      <c r="AI164" s="202"/>
      <c r="AJ164" s="202"/>
      <c r="AK164" s="8"/>
      <c r="AL164" s="8"/>
      <c r="AM164" s="8"/>
      <c r="AN164" s="8"/>
      <c r="AO164" s="8"/>
      <c r="AP164" s="8"/>
      <c r="AQ164" s="8"/>
      <c r="AR164" s="8"/>
      <c r="AS164" s="8"/>
      <c r="AT164" s="8"/>
      <c r="AU164" s="8"/>
      <c r="AV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195"/>
      <c r="Z165" s="195"/>
      <c r="AA165" s="195"/>
      <c r="AB165" s="195"/>
      <c r="AC165" s="8"/>
      <c r="AD165" s="8"/>
      <c r="AE165" s="8"/>
      <c r="AF165" s="8"/>
      <c r="AG165" s="202"/>
      <c r="AH165" s="202"/>
      <c r="AI165" s="202"/>
      <c r="AJ165" s="202"/>
      <c r="AK165" s="8"/>
      <c r="AL165" s="8"/>
      <c r="AM165" s="8"/>
      <c r="AN165" s="8"/>
      <c r="AO165" s="8"/>
      <c r="AP165" s="8"/>
      <c r="AQ165" s="8"/>
      <c r="AR165" s="8"/>
      <c r="AS165" s="8"/>
      <c r="AT165" s="8"/>
      <c r="AU165" s="8"/>
      <c r="AV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195"/>
      <c r="Z166" s="195"/>
      <c r="AA166" s="195"/>
      <c r="AB166" s="195"/>
      <c r="AC166" s="8"/>
      <c r="AD166" s="8"/>
      <c r="AE166" s="8"/>
      <c r="AF166" s="8"/>
      <c r="AG166" s="202"/>
      <c r="AH166" s="202"/>
      <c r="AI166" s="202"/>
      <c r="AJ166" s="202"/>
      <c r="AK166" s="8"/>
      <c r="AL166" s="8"/>
      <c r="AM166" s="8"/>
      <c r="AN166" s="8"/>
      <c r="AO166" s="8"/>
      <c r="AP166" s="8"/>
      <c r="AQ166" s="8"/>
      <c r="AR166" s="8"/>
      <c r="AS166" s="8"/>
      <c r="AT166" s="8"/>
      <c r="AU166" s="8"/>
      <c r="AV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195"/>
      <c r="Z167" s="195"/>
      <c r="AA167" s="195"/>
      <c r="AB167" s="195"/>
      <c r="AC167" s="8"/>
      <c r="AD167" s="8"/>
      <c r="AE167" s="8"/>
      <c r="AF167" s="8"/>
      <c r="AG167" s="202"/>
      <c r="AH167" s="202"/>
      <c r="AI167" s="202"/>
      <c r="AJ167" s="202"/>
      <c r="AK167" s="8"/>
      <c r="AL167" s="8"/>
      <c r="AM167" s="8"/>
      <c r="AN167" s="8"/>
      <c r="AO167" s="8"/>
      <c r="AP167" s="8"/>
      <c r="AQ167" s="8"/>
      <c r="AR167" s="8"/>
      <c r="AS167" s="8"/>
      <c r="AT167" s="8"/>
      <c r="AU167" s="8"/>
      <c r="AV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195"/>
      <c r="Z168" s="195"/>
      <c r="AA168" s="195"/>
      <c r="AB168" s="195"/>
      <c r="AC168" s="8"/>
      <c r="AD168" s="8"/>
      <c r="AE168" s="8"/>
      <c r="AF168" s="8"/>
      <c r="AG168" s="202"/>
      <c r="AH168" s="202"/>
      <c r="AI168" s="202"/>
      <c r="AJ168" s="202"/>
      <c r="AK168" s="8"/>
      <c r="AL168" s="8"/>
      <c r="AM168" s="8"/>
      <c r="AN168" s="8"/>
      <c r="AO168" s="8"/>
      <c r="AP168" s="8"/>
      <c r="AQ168" s="8"/>
      <c r="AR168" s="8"/>
      <c r="AS168" s="8"/>
      <c r="AT168" s="8"/>
      <c r="AU168" s="8"/>
      <c r="AV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195"/>
      <c r="Z169" s="195"/>
      <c r="AA169" s="195"/>
      <c r="AB169" s="195"/>
      <c r="AC169" s="8"/>
      <c r="AD169" s="8"/>
      <c r="AE169" s="8"/>
      <c r="AF169" s="8"/>
      <c r="AG169" s="202"/>
      <c r="AH169" s="202"/>
      <c r="AI169" s="202"/>
      <c r="AJ169" s="202"/>
      <c r="AK169" s="8"/>
      <c r="AL169" s="8"/>
      <c r="AM169" s="8"/>
      <c r="AN169" s="8"/>
      <c r="AO169" s="8"/>
      <c r="AP169" s="8"/>
      <c r="AQ169" s="8"/>
      <c r="AR169" s="8"/>
      <c r="AS169" s="8"/>
      <c r="AT169" s="8"/>
      <c r="AU169" s="8"/>
      <c r="AV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195"/>
      <c r="Z170" s="195"/>
      <c r="AA170" s="195"/>
      <c r="AB170" s="195"/>
      <c r="AC170" s="8"/>
      <c r="AD170" s="8"/>
      <c r="AE170" s="8"/>
      <c r="AF170" s="8"/>
      <c r="AG170" s="202"/>
      <c r="AH170" s="202"/>
      <c r="AI170" s="202"/>
      <c r="AJ170" s="202"/>
      <c r="AK170" s="8"/>
      <c r="AL170" s="8"/>
      <c r="AM170" s="8"/>
      <c r="AN170" s="8"/>
      <c r="AO170" s="8"/>
      <c r="AP170" s="8"/>
      <c r="AQ170" s="8"/>
      <c r="AR170" s="8"/>
      <c r="AS170" s="8"/>
      <c r="AT170" s="8"/>
      <c r="AU170" s="8"/>
      <c r="AV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195"/>
      <c r="Z171" s="195"/>
      <c r="AA171" s="195"/>
      <c r="AB171" s="195"/>
      <c r="AC171" s="8"/>
      <c r="AD171" s="8"/>
      <c r="AE171" s="8"/>
      <c r="AF171" s="8"/>
      <c r="AG171" s="202"/>
      <c r="AH171" s="202"/>
      <c r="AI171" s="202"/>
      <c r="AJ171" s="202"/>
      <c r="AK171" s="8"/>
      <c r="AL171" s="8"/>
      <c r="AM171" s="8"/>
      <c r="AN171" s="8"/>
      <c r="AO171" s="8"/>
      <c r="AP171" s="8"/>
      <c r="AQ171" s="8"/>
      <c r="AR171" s="8"/>
      <c r="AS171" s="8"/>
      <c r="AT171" s="8"/>
      <c r="AU171" s="8"/>
      <c r="AV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195"/>
      <c r="Z172" s="195"/>
      <c r="AA172" s="195"/>
      <c r="AB172" s="195"/>
      <c r="AC172" s="8"/>
      <c r="AD172" s="8"/>
      <c r="AE172" s="8"/>
      <c r="AF172" s="8"/>
      <c r="AG172" s="202"/>
      <c r="AH172" s="202"/>
      <c r="AI172" s="202"/>
      <c r="AJ172" s="202"/>
      <c r="AK172" s="8"/>
      <c r="AL172" s="8"/>
      <c r="AM172" s="8"/>
      <c r="AN172" s="8"/>
      <c r="AO172" s="8"/>
      <c r="AP172" s="8"/>
      <c r="AQ172" s="8"/>
      <c r="AR172" s="8"/>
      <c r="AS172" s="8"/>
      <c r="AT172" s="8"/>
      <c r="AU172" s="8"/>
      <c r="AV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195"/>
      <c r="Z173" s="195"/>
      <c r="AA173" s="195"/>
      <c r="AB173" s="195"/>
      <c r="AC173" s="8"/>
      <c r="AD173" s="8"/>
      <c r="AE173" s="8"/>
      <c r="AF173" s="8"/>
      <c r="AG173" s="202"/>
      <c r="AH173" s="202"/>
      <c r="AI173" s="202"/>
      <c r="AJ173" s="202"/>
      <c r="AK173" s="8"/>
      <c r="AL173" s="8"/>
      <c r="AM173" s="8"/>
      <c r="AN173" s="8"/>
      <c r="AO173" s="8"/>
      <c r="AP173" s="8"/>
      <c r="AQ173" s="8"/>
      <c r="AR173" s="8"/>
      <c r="AS173" s="8"/>
      <c r="AT173" s="8"/>
      <c r="AU173" s="8"/>
      <c r="AV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195"/>
      <c r="Z174" s="195"/>
      <c r="AA174" s="195"/>
      <c r="AB174" s="195"/>
      <c r="AC174" s="8"/>
      <c r="AD174" s="8"/>
      <c r="AE174" s="8"/>
      <c r="AF174" s="8"/>
      <c r="AG174" s="202"/>
      <c r="AH174" s="202"/>
      <c r="AI174" s="202"/>
      <c r="AJ174" s="202"/>
      <c r="AK174" s="8"/>
      <c r="AL174" s="8"/>
      <c r="AM174" s="8"/>
      <c r="AN174" s="8"/>
      <c r="AO174" s="8"/>
      <c r="AP174" s="8"/>
      <c r="AQ174" s="8"/>
      <c r="AR174" s="8"/>
      <c r="AS174" s="8"/>
      <c r="AT174" s="8"/>
      <c r="AU174" s="8"/>
      <c r="AV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195"/>
      <c r="Z175" s="195"/>
      <c r="AA175" s="195"/>
      <c r="AB175" s="195"/>
      <c r="AC175" s="8"/>
      <c r="AD175" s="8"/>
      <c r="AE175" s="8"/>
      <c r="AF175" s="8"/>
      <c r="AG175" s="202"/>
      <c r="AH175" s="202"/>
      <c r="AI175" s="202"/>
      <c r="AJ175" s="202"/>
      <c r="AK175" s="8"/>
      <c r="AL175" s="8"/>
      <c r="AM175" s="8"/>
      <c r="AN175" s="8"/>
      <c r="AO175" s="8"/>
      <c r="AP175" s="8"/>
      <c r="AQ175" s="8"/>
      <c r="AR175" s="8"/>
      <c r="AS175" s="8"/>
      <c r="AT175" s="8"/>
      <c r="AU175" s="8"/>
      <c r="AV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195"/>
      <c r="Z176" s="195"/>
      <c r="AA176" s="195"/>
      <c r="AB176" s="195"/>
      <c r="AC176" s="8"/>
      <c r="AD176" s="8"/>
      <c r="AE176" s="8"/>
      <c r="AF176" s="8"/>
      <c r="AG176" s="202"/>
      <c r="AH176" s="202"/>
      <c r="AI176" s="202"/>
      <c r="AJ176" s="202"/>
      <c r="AK176" s="8"/>
      <c r="AL176" s="8"/>
      <c r="AM176" s="8"/>
      <c r="AN176" s="8"/>
      <c r="AO176" s="8"/>
      <c r="AP176" s="8"/>
      <c r="AQ176" s="8"/>
      <c r="AR176" s="8"/>
      <c r="AS176" s="8"/>
      <c r="AT176" s="8"/>
      <c r="AU176" s="8"/>
      <c r="AV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195"/>
      <c r="Z177" s="195"/>
      <c r="AA177" s="195"/>
      <c r="AB177" s="195"/>
      <c r="AC177" s="8"/>
      <c r="AD177" s="8"/>
      <c r="AE177" s="8"/>
      <c r="AF177" s="8"/>
      <c r="AG177" s="202"/>
      <c r="AH177" s="202"/>
      <c r="AI177" s="202"/>
      <c r="AJ177" s="202"/>
      <c r="AK177" s="8"/>
      <c r="AL177" s="8"/>
      <c r="AM177" s="8"/>
      <c r="AN177" s="8"/>
      <c r="AO177" s="8"/>
      <c r="AP177" s="8"/>
      <c r="AQ177" s="8"/>
      <c r="AR177" s="8"/>
      <c r="AS177" s="8"/>
      <c r="AT177" s="8"/>
      <c r="AU177" s="8"/>
      <c r="AV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195"/>
      <c r="Z178" s="195"/>
      <c r="AA178" s="195"/>
      <c r="AB178" s="195"/>
      <c r="AC178" s="8"/>
      <c r="AD178" s="8"/>
      <c r="AE178" s="8"/>
      <c r="AF178" s="8"/>
      <c r="AG178" s="202"/>
      <c r="AH178" s="202"/>
      <c r="AI178" s="202"/>
      <c r="AJ178" s="202"/>
      <c r="AK178" s="8"/>
      <c r="AL178" s="8"/>
      <c r="AM178" s="8"/>
      <c r="AN178" s="8"/>
      <c r="AO178" s="8"/>
      <c r="AP178" s="8"/>
      <c r="AQ178" s="8"/>
      <c r="AR178" s="8"/>
      <c r="AS178" s="8"/>
      <c r="AT178" s="8"/>
      <c r="AU178" s="8"/>
      <c r="AV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195"/>
      <c r="Z179" s="195"/>
      <c r="AA179" s="195"/>
      <c r="AB179" s="195"/>
      <c r="AC179" s="8"/>
      <c r="AD179" s="8"/>
      <c r="AE179" s="8"/>
      <c r="AF179" s="8"/>
      <c r="AG179" s="202"/>
      <c r="AH179" s="202"/>
      <c r="AI179" s="202"/>
      <c r="AJ179" s="202"/>
      <c r="AK179" s="8"/>
      <c r="AL179" s="8"/>
      <c r="AM179" s="8"/>
      <c r="AN179" s="8"/>
      <c r="AO179" s="8"/>
      <c r="AP179" s="8"/>
      <c r="AQ179" s="8"/>
      <c r="AR179" s="8"/>
      <c r="AS179" s="8"/>
      <c r="AT179" s="8"/>
      <c r="AU179" s="8"/>
      <c r="AV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195"/>
      <c r="Z180" s="195"/>
      <c r="AA180" s="195"/>
      <c r="AB180" s="195"/>
      <c r="AC180" s="8"/>
      <c r="AD180" s="8"/>
      <c r="AE180" s="8"/>
      <c r="AF180" s="8"/>
      <c r="AG180" s="202"/>
      <c r="AH180" s="202"/>
      <c r="AI180" s="202"/>
      <c r="AJ180" s="202"/>
      <c r="AK180" s="8"/>
      <c r="AL180" s="8"/>
      <c r="AM180" s="8"/>
      <c r="AN180" s="8"/>
      <c r="AO180" s="8"/>
      <c r="AP180" s="8"/>
      <c r="AQ180" s="8"/>
      <c r="AR180" s="8"/>
      <c r="AS180" s="8"/>
      <c r="AT180" s="8"/>
      <c r="AU180" s="8"/>
      <c r="AV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195"/>
      <c r="Z181" s="195"/>
      <c r="AA181" s="195"/>
      <c r="AB181" s="195"/>
      <c r="AC181" s="8"/>
      <c r="AD181" s="8"/>
      <c r="AE181" s="8"/>
      <c r="AF181" s="8"/>
      <c r="AG181" s="202"/>
      <c r="AH181" s="202"/>
      <c r="AI181" s="202"/>
      <c r="AJ181" s="202"/>
      <c r="AK181" s="8"/>
      <c r="AL181" s="8"/>
      <c r="AM181" s="8"/>
      <c r="AN181" s="8"/>
      <c r="AO181" s="8"/>
      <c r="AP181" s="8"/>
      <c r="AQ181" s="8"/>
      <c r="AR181" s="8"/>
      <c r="AS181" s="8"/>
      <c r="AT181" s="8"/>
      <c r="AU181" s="8"/>
      <c r="AV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195"/>
      <c r="Z182" s="195"/>
      <c r="AA182" s="195"/>
      <c r="AB182" s="195"/>
      <c r="AC182" s="8"/>
      <c r="AD182" s="8"/>
      <c r="AE182" s="8"/>
      <c r="AF182" s="8"/>
      <c r="AG182" s="202"/>
      <c r="AH182" s="202"/>
      <c r="AI182" s="202"/>
      <c r="AJ182" s="202"/>
      <c r="AK182" s="8"/>
      <c r="AL182" s="8"/>
      <c r="AM182" s="8"/>
      <c r="AN182" s="8"/>
      <c r="AO182" s="8"/>
      <c r="AP182" s="8"/>
      <c r="AQ182" s="8"/>
      <c r="AR182" s="8"/>
      <c r="AS182" s="8"/>
      <c r="AT182" s="8"/>
      <c r="AU182" s="8"/>
      <c r="AV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195"/>
      <c r="Z183" s="195"/>
      <c r="AA183" s="195"/>
      <c r="AB183" s="195"/>
      <c r="AC183" s="8"/>
      <c r="AD183" s="8"/>
      <c r="AE183" s="8"/>
      <c r="AF183" s="8"/>
      <c r="AG183" s="202"/>
      <c r="AH183" s="202"/>
      <c r="AI183" s="202"/>
      <c r="AJ183" s="202"/>
      <c r="AK183" s="8"/>
      <c r="AL183" s="8"/>
      <c r="AM183" s="8"/>
      <c r="AN183" s="8"/>
      <c r="AO183" s="8"/>
      <c r="AP183" s="8"/>
      <c r="AQ183" s="8"/>
      <c r="AR183" s="8"/>
      <c r="AS183" s="8"/>
      <c r="AT183" s="8"/>
      <c r="AU183" s="8"/>
      <c r="AV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195"/>
      <c r="Z184" s="195"/>
      <c r="AA184" s="195"/>
      <c r="AB184" s="195"/>
      <c r="AC184" s="8"/>
      <c r="AD184" s="8"/>
      <c r="AE184" s="8"/>
      <c r="AF184" s="8"/>
      <c r="AG184" s="202"/>
      <c r="AH184" s="202"/>
      <c r="AI184" s="202"/>
      <c r="AJ184" s="202"/>
      <c r="AK184" s="8"/>
      <c r="AL184" s="8"/>
      <c r="AM184" s="8"/>
      <c r="AN184" s="8"/>
      <c r="AO184" s="8"/>
      <c r="AP184" s="8"/>
      <c r="AQ184" s="8"/>
      <c r="AR184" s="8"/>
      <c r="AS184" s="8"/>
      <c r="AT184" s="8"/>
      <c r="AU184" s="8"/>
      <c r="AV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195"/>
      <c r="Z185" s="195"/>
      <c r="AA185" s="195"/>
      <c r="AB185" s="195"/>
      <c r="AC185" s="8"/>
      <c r="AD185" s="8"/>
      <c r="AE185" s="8"/>
      <c r="AF185" s="8"/>
      <c r="AG185" s="202"/>
      <c r="AH185" s="202"/>
      <c r="AI185" s="202"/>
      <c r="AJ185" s="202"/>
      <c r="AK185" s="8"/>
      <c r="AL185" s="8"/>
      <c r="AM185" s="8"/>
      <c r="AN185" s="8"/>
      <c r="AO185" s="8"/>
      <c r="AP185" s="8"/>
      <c r="AQ185" s="8"/>
      <c r="AR185" s="8"/>
      <c r="AS185" s="8"/>
      <c r="AT185" s="8"/>
      <c r="AU185" s="8"/>
      <c r="AV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195"/>
      <c r="Z186" s="195"/>
      <c r="AA186" s="195"/>
      <c r="AB186" s="195"/>
      <c r="AC186" s="8"/>
      <c r="AD186" s="8"/>
      <c r="AE186" s="8"/>
      <c r="AF186" s="8"/>
      <c r="AG186" s="202"/>
      <c r="AH186" s="202"/>
      <c r="AI186" s="202"/>
      <c r="AJ186" s="202"/>
      <c r="AK186" s="8"/>
      <c r="AL186" s="8"/>
      <c r="AM186" s="8"/>
      <c r="AN186" s="8"/>
      <c r="AO186" s="8"/>
      <c r="AP186" s="8"/>
      <c r="AQ186" s="8"/>
      <c r="AR186" s="8"/>
      <c r="AS186" s="8"/>
      <c r="AT186" s="8"/>
      <c r="AU186" s="8"/>
      <c r="AV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195"/>
      <c r="Z187" s="195"/>
      <c r="AA187" s="195"/>
      <c r="AB187" s="195"/>
      <c r="AC187" s="8"/>
      <c r="AD187" s="8"/>
      <c r="AE187" s="8"/>
      <c r="AF187" s="8"/>
      <c r="AG187" s="202"/>
      <c r="AH187" s="202"/>
      <c r="AI187" s="202"/>
      <c r="AJ187" s="202"/>
      <c r="AK187" s="8"/>
      <c r="AL187" s="8"/>
      <c r="AM187" s="8"/>
      <c r="AN187" s="8"/>
      <c r="AO187" s="8"/>
      <c r="AP187" s="8"/>
      <c r="AQ187" s="8"/>
      <c r="AR187" s="8"/>
      <c r="AS187" s="8"/>
      <c r="AT187" s="8"/>
      <c r="AU187" s="8"/>
      <c r="AV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195"/>
      <c r="Z188" s="195"/>
      <c r="AA188" s="195"/>
      <c r="AB188" s="195"/>
      <c r="AC188" s="8"/>
      <c r="AD188" s="8"/>
      <c r="AE188" s="8"/>
      <c r="AF188" s="8"/>
      <c r="AG188" s="202"/>
      <c r="AH188" s="202"/>
      <c r="AI188" s="202"/>
      <c r="AJ188" s="202"/>
      <c r="AK188" s="8"/>
      <c r="AL188" s="8"/>
      <c r="AM188" s="8"/>
      <c r="AN188" s="8"/>
      <c r="AO188" s="8"/>
      <c r="AP188" s="8"/>
      <c r="AQ188" s="8"/>
      <c r="AR188" s="8"/>
      <c r="AS188" s="8"/>
      <c r="AT188" s="8"/>
      <c r="AU188" s="8"/>
      <c r="AV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195"/>
      <c r="Z189" s="195"/>
      <c r="AA189" s="195"/>
      <c r="AB189" s="195"/>
      <c r="AC189" s="8"/>
      <c r="AD189" s="8"/>
      <c r="AE189" s="8"/>
      <c r="AF189" s="8"/>
      <c r="AG189" s="202"/>
      <c r="AH189" s="202"/>
      <c r="AI189" s="202"/>
      <c r="AJ189" s="202"/>
      <c r="AK189" s="8"/>
      <c r="AL189" s="8"/>
      <c r="AM189" s="8"/>
      <c r="AN189" s="8"/>
      <c r="AO189" s="8"/>
      <c r="AP189" s="8"/>
      <c r="AQ189" s="8"/>
      <c r="AR189" s="8"/>
      <c r="AS189" s="8"/>
      <c r="AT189" s="8"/>
      <c r="AU189" s="8"/>
      <c r="AV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195"/>
      <c r="Z190" s="195"/>
      <c r="AA190" s="195"/>
      <c r="AB190" s="195"/>
      <c r="AC190" s="8"/>
      <c r="AD190" s="8"/>
      <c r="AE190" s="8"/>
      <c r="AF190" s="8"/>
      <c r="AG190" s="202"/>
      <c r="AH190" s="202"/>
      <c r="AI190" s="202"/>
      <c r="AJ190" s="202"/>
      <c r="AK190" s="8"/>
      <c r="AL190" s="8"/>
      <c r="AM190" s="8"/>
      <c r="AN190" s="8"/>
      <c r="AO190" s="8"/>
      <c r="AP190" s="8"/>
      <c r="AQ190" s="8"/>
      <c r="AR190" s="8"/>
      <c r="AS190" s="8"/>
      <c r="AT190" s="8"/>
      <c r="AU190" s="8"/>
      <c r="AV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195"/>
      <c r="Z191" s="195"/>
      <c r="AA191" s="195"/>
      <c r="AB191" s="195"/>
      <c r="AC191" s="8"/>
      <c r="AD191" s="8"/>
      <c r="AE191" s="8"/>
      <c r="AF191" s="8"/>
      <c r="AG191" s="202"/>
      <c r="AH191" s="202"/>
      <c r="AI191" s="202"/>
      <c r="AJ191" s="202"/>
      <c r="AK191" s="8"/>
      <c r="AL191" s="8"/>
      <c r="AM191" s="8"/>
      <c r="AN191" s="8"/>
      <c r="AO191" s="8"/>
      <c r="AP191" s="8"/>
      <c r="AQ191" s="8"/>
      <c r="AR191" s="8"/>
      <c r="AS191" s="8"/>
      <c r="AT191" s="8"/>
      <c r="AU191" s="8"/>
      <c r="AV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195"/>
      <c r="Z192" s="195"/>
      <c r="AA192" s="195"/>
      <c r="AB192" s="195"/>
      <c r="AC192" s="8"/>
      <c r="AD192" s="8"/>
      <c r="AE192" s="8"/>
      <c r="AF192" s="8"/>
      <c r="AG192" s="202"/>
      <c r="AH192" s="202"/>
      <c r="AI192" s="202"/>
      <c r="AJ192" s="202"/>
      <c r="AK192" s="8"/>
      <c r="AL192" s="8"/>
      <c r="AM192" s="8"/>
      <c r="AN192" s="8"/>
      <c r="AO192" s="8"/>
      <c r="AP192" s="8"/>
      <c r="AQ192" s="8"/>
      <c r="AR192" s="8"/>
      <c r="AS192" s="8"/>
      <c r="AT192" s="8"/>
      <c r="AU192" s="8"/>
      <c r="AV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195"/>
      <c r="Z193" s="195"/>
      <c r="AA193" s="195"/>
      <c r="AB193" s="195"/>
      <c r="AC193" s="8"/>
      <c r="AD193" s="8"/>
      <c r="AE193" s="8"/>
      <c r="AF193" s="8"/>
      <c r="AG193" s="202"/>
      <c r="AH193" s="202"/>
      <c r="AI193" s="202"/>
      <c r="AJ193" s="202"/>
      <c r="AK193" s="8"/>
      <c r="AL193" s="8"/>
      <c r="AM193" s="8"/>
      <c r="AN193" s="8"/>
      <c r="AO193" s="8"/>
      <c r="AP193" s="8"/>
      <c r="AQ193" s="8"/>
      <c r="AR193" s="8"/>
      <c r="AS193" s="8"/>
      <c r="AT193" s="8"/>
      <c r="AU193" s="8"/>
      <c r="AV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195"/>
      <c r="Z194" s="195"/>
      <c r="AA194" s="195"/>
      <c r="AB194" s="195"/>
      <c r="AC194" s="8"/>
      <c r="AD194" s="8"/>
      <c r="AE194" s="8"/>
      <c r="AF194" s="8"/>
      <c r="AG194" s="202"/>
      <c r="AH194" s="202"/>
      <c r="AI194" s="202"/>
      <c r="AJ194" s="202"/>
      <c r="AK194" s="8"/>
      <c r="AL194" s="8"/>
      <c r="AM194" s="8"/>
      <c r="AN194" s="8"/>
      <c r="AO194" s="8"/>
      <c r="AP194" s="8"/>
      <c r="AQ194" s="8"/>
      <c r="AR194" s="8"/>
      <c r="AS194" s="8"/>
      <c r="AT194" s="8"/>
      <c r="AU194" s="8"/>
      <c r="AV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195"/>
      <c r="Z195" s="195"/>
      <c r="AA195" s="195"/>
      <c r="AB195" s="195"/>
      <c r="AC195" s="8"/>
      <c r="AD195" s="8"/>
      <c r="AE195" s="8"/>
      <c r="AF195" s="8"/>
      <c r="AG195" s="202"/>
      <c r="AH195" s="202"/>
      <c r="AI195" s="202"/>
      <c r="AJ195" s="202"/>
      <c r="AK195" s="8"/>
      <c r="AL195" s="8"/>
      <c r="AM195" s="8"/>
      <c r="AN195" s="8"/>
      <c r="AO195" s="8"/>
      <c r="AP195" s="8"/>
      <c r="AQ195" s="8"/>
      <c r="AR195" s="8"/>
      <c r="AS195" s="8"/>
      <c r="AT195" s="8"/>
      <c r="AU195" s="8"/>
      <c r="AV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195"/>
      <c r="Z196" s="195"/>
      <c r="AA196" s="195"/>
      <c r="AB196" s="195"/>
      <c r="AC196" s="8"/>
      <c r="AD196" s="8"/>
      <c r="AE196" s="8"/>
      <c r="AF196" s="8"/>
      <c r="AG196" s="202"/>
      <c r="AH196" s="202"/>
      <c r="AI196" s="202"/>
      <c r="AJ196" s="202"/>
      <c r="AK196" s="8"/>
      <c r="AL196" s="8"/>
      <c r="AM196" s="8"/>
      <c r="AN196" s="8"/>
      <c r="AO196" s="8"/>
      <c r="AP196" s="8"/>
      <c r="AQ196" s="8"/>
      <c r="AR196" s="8"/>
      <c r="AS196" s="8"/>
      <c r="AT196" s="8"/>
      <c r="AU196" s="8"/>
      <c r="AV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195"/>
      <c r="Z197" s="195"/>
      <c r="AA197" s="195"/>
      <c r="AB197" s="195"/>
      <c r="AC197" s="8"/>
      <c r="AD197" s="8"/>
      <c r="AE197" s="8"/>
      <c r="AF197" s="8"/>
      <c r="AG197" s="202"/>
      <c r="AH197" s="202"/>
      <c r="AI197" s="202"/>
      <c r="AJ197" s="202"/>
      <c r="AK197" s="8"/>
      <c r="AL197" s="8"/>
      <c r="AM197" s="8"/>
      <c r="AN197" s="8"/>
      <c r="AO197" s="8"/>
      <c r="AP197" s="8"/>
      <c r="AQ197" s="8"/>
      <c r="AR197" s="8"/>
      <c r="AS197" s="8"/>
      <c r="AT197" s="8"/>
      <c r="AU197" s="8"/>
      <c r="AV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195"/>
      <c r="Z198" s="195"/>
      <c r="AA198" s="195"/>
      <c r="AB198" s="195"/>
      <c r="AC198" s="8"/>
      <c r="AD198" s="8"/>
      <c r="AE198" s="8"/>
      <c r="AF198" s="8"/>
      <c r="AG198" s="202"/>
      <c r="AH198" s="202"/>
      <c r="AI198" s="202"/>
      <c r="AJ198" s="202"/>
      <c r="AK198" s="8"/>
      <c r="AL198" s="8"/>
      <c r="AM198" s="8"/>
      <c r="AN198" s="8"/>
      <c r="AO198" s="8"/>
      <c r="AP198" s="8"/>
      <c r="AQ198" s="8"/>
      <c r="AR198" s="8"/>
      <c r="AS198" s="8"/>
      <c r="AT198" s="8"/>
      <c r="AU198" s="8"/>
      <c r="AV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195"/>
      <c r="Z199" s="195"/>
      <c r="AA199" s="195"/>
      <c r="AB199" s="195"/>
      <c r="AC199" s="8"/>
      <c r="AD199" s="8"/>
      <c r="AE199" s="8"/>
      <c r="AF199" s="8"/>
      <c r="AG199" s="202"/>
      <c r="AH199" s="202"/>
      <c r="AI199" s="202"/>
      <c r="AJ199" s="202"/>
      <c r="AK199" s="8"/>
      <c r="AL199" s="8"/>
      <c r="AM199" s="8"/>
      <c r="AN199" s="8"/>
      <c r="AO199" s="8"/>
      <c r="AP199" s="8"/>
      <c r="AQ199" s="8"/>
      <c r="AR199" s="8"/>
      <c r="AS199" s="8"/>
      <c r="AT199" s="8"/>
      <c r="AU199" s="8"/>
      <c r="AV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195"/>
      <c r="Z200" s="195"/>
      <c r="AA200" s="195"/>
      <c r="AB200" s="195"/>
      <c r="AC200" s="8"/>
      <c r="AD200" s="8"/>
      <c r="AE200" s="8"/>
      <c r="AF200" s="8"/>
      <c r="AG200" s="202"/>
      <c r="AH200" s="202"/>
      <c r="AI200" s="202"/>
      <c r="AJ200" s="202"/>
      <c r="AK200" s="8"/>
      <c r="AL200" s="8"/>
      <c r="AM200" s="8"/>
      <c r="AN200" s="8"/>
      <c r="AO200" s="8"/>
      <c r="AP200" s="8"/>
      <c r="AQ200" s="8"/>
      <c r="AR200" s="8"/>
      <c r="AS200" s="8"/>
      <c r="AT200" s="8"/>
      <c r="AU200" s="8"/>
      <c r="AV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195"/>
      <c r="Z201" s="195"/>
      <c r="AA201" s="195"/>
      <c r="AB201" s="195"/>
      <c r="AC201" s="8"/>
      <c r="AD201" s="8"/>
      <c r="AE201" s="8"/>
      <c r="AF201" s="8"/>
      <c r="AG201" s="202"/>
      <c r="AH201" s="202"/>
      <c r="AI201" s="202"/>
      <c r="AJ201" s="202"/>
      <c r="AK201" s="8"/>
      <c r="AL201" s="8"/>
      <c r="AM201" s="8"/>
      <c r="AN201" s="8"/>
      <c r="AO201" s="8"/>
      <c r="AP201" s="8"/>
      <c r="AQ201" s="8"/>
      <c r="AR201" s="8"/>
      <c r="AS201" s="8"/>
      <c r="AT201" s="8"/>
      <c r="AU201" s="8"/>
      <c r="AV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195"/>
      <c r="Z202" s="195"/>
      <c r="AA202" s="195"/>
      <c r="AB202" s="195"/>
      <c r="AC202" s="8"/>
      <c r="AD202" s="8"/>
      <c r="AE202" s="8"/>
      <c r="AF202" s="8"/>
      <c r="AG202" s="202"/>
      <c r="AH202" s="202"/>
      <c r="AI202" s="202"/>
      <c r="AJ202" s="202"/>
      <c r="AK202" s="8"/>
      <c r="AL202" s="8"/>
      <c r="AM202" s="8"/>
      <c r="AN202" s="8"/>
      <c r="AO202" s="8"/>
      <c r="AP202" s="8"/>
      <c r="AQ202" s="8"/>
      <c r="AR202" s="8"/>
      <c r="AS202" s="8"/>
      <c r="AT202" s="8"/>
      <c r="AU202" s="8"/>
      <c r="AV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195"/>
      <c r="Z203" s="195"/>
      <c r="AA203" s="195"/>
      <c r="AB203" s="195"/>
      <c r="AC203" s="8"/>
      <c r="AD203" s="8"/>
      <c r="AE203" s="8"/>
      <c r="AF203" s="8"/>
      <c r="AG203" s="202"/>
      <c r="AH203" s="202"/>
      <c r="AI203" s="202"/>
      <c r="AJ203" s="202"/>
      <c r="AK203" s="8"/>
      <c r="AL203" s="8"/>
      <c r="AM203" s="8"/>
      <c r="AN203" s="8"/>
      <c r="AO203" s="8"/>
      <c r="AP203" s="8"/>
      <c r="AQ203" s="8"/>
      <c r="AR203" s="8"/>
      <c r="AS203" s="8"/>
      <c r="AT203" s="8"/>
      <c r="AU203" s="8"/>
      <c r="AV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195"/>
      <c r="Z204" s="195"/>
      <c r="AA204" s="195"/>
      <c r="AB204" s="195"/>
      <c r="AC204" s="8"/>
      <c r="AD204" s="8"/>
      <c r="AE204" s="8"/>
      <c r="AF204" s="8"/>
      <c r="AG204" s="202"/>
      <c r="AH204" s="202"/>
      <c r="AI204" s="202"/>
      <c r="AJ204" s="202"/>
      <c r="AK204" s="8"/>
      <c r="AL204" s="8"/>
      <c r="AM204" s="8"/>
      <c r="AN204" s="8"/>
      <c r="AO204" s="8"/>
      <c r="AP204" s="8"/>
      <c r="AQ204" s="8"/>
      <c r="AR204" s="8"/>
      <c r="AS204" s="8"/>
      <c r="AT204" s="8"/>
      <c r="AU204" s="8"/>
      <c r="AV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195"/>
      <c r="Z205" s="195"/>
      <c r="AA205" s="195"/>
      <c r="AB205" s="195"/>
      <c r="AC205" s="8"/>
      <c r="AD205" s="8"/>
      <c r="AE205" s="8"/>
      <c r="AF205" s="8"/>
      <c r="AG205" s="202"/>
      <c r="AH205" s="202"/>
      <c r="AI205" s="202"/>
      <c r="AJ205" s="202"/>
      <c r="AK205" s="8"/>
      <c r="AL205" s="8"/>
      <c r="AM205" s="8"/>
      <c r="AN205" s="8"/>
      <c r="AO205" s="8"/>
      <c r="AP205" s="8"/>
      <c r="AQ205" s="8"/>
      <c r="AR205" s="8"/>
      <c r="AS205" s="8"/>
      <c r="AT205" s="8"/>
      <c r="AU205" s="8"/>
      <c r="AV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195"/>
      <c r="Z206" s="195"/>
      <c r="AA206" s="195"/>
      <c r="AB206" s="195"/>
      <c r="AC206" s="8"/>
      <c r="AD206" s="8"/>
      <c r="AE206" s="8"/>
      <c r="AF206" s="8"/>
      <c r="AG206" s="202"/>
      <c r="AH206" s="202"/>
      <c r="AI206" s="202"/>
      <c r="AJ206" s="202"/>
      <c r="AK206" s="8"/>
      <c r="AL206" s="8"/>
      <c r="AM206" s="8"/>
      <c r="AN206" s="8"/>
      <c r="AO206" s="8"/>
      <c r="AP206" s="8"/>
      <c r="AQ206" s="8"/>
      <c r="AR206" s="8"/>
      <c r="AS206" s="8"/>
      <c r="AT206" s="8"/>
      <c r="AU206" s="8"/>
      <c r="AV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195"/>
      <c r="Z207" s="195"/>
      <c r="AA207" s="195"/>
      <c r="AB207" s="195"/>
      <c r="AC207" s="8"/>
      <c r="AD207" s="8"/>
      <c r="AE207" s="8"/>
      <c r="AF207" s="8"/>
      <c r="AG207" s="202"/>
      <c r="AH207" s="202"/>
      <c r="AI207" s="202"/>
      <c r="AJ207" s="202"/>
      <c r="AK207" s="8"/>
      <c r="AL207" s="8"/>
      <c r="AM207" s="8"/>
      <c r="AN207" s="8"/>
      <c r="AO207" s="8"/>
      <c r="AP207" s="8"/>
      <c r="AQ207" s="8"/>
      <c r="AR207" s="8"/>
      <c r="AS207" s="8"/>
      <c r="AT207" s="8"/>
      <c r="AU207" s="8"/>
      <c r="AV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195"/>
      <c r="Z208" s="195"/>
      <c r="AA208" s="195"/>
      <c r="AB208" s="195"/>
      <c r="AC208" s="8"/>
      <c r="AD208" s="8"/>
      <c r="AE208" s="8"/>
      <c r="AF208" s="8"/>
      <c r="AG208" s="202"/>
      <c r="AH208" s="202"/>
      <c r="AI208" s="202"/>
      <c r="AJ208" s="202"/>
      <c r="AK208" s="8"/>
      <c r="AL208" s="8"/>
      <c r="AM208" s="8"/>
      <c r="AN208" s="8"/>
      <c r="AO208" s="8"/>
      <c r="AP208" s="8"/>
      <c r="AQ208" s="8"/>
      <c r="AR208" s="8"/>
      <c r="AS208" s="8"/>
      <c r="AT208" s="8"/>
      <c r="AU208" s="8"/>
      <c r="AV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195"/>
      <c r="Z209" s="195"/>
      <c r="AA209" s="195"/>
      <c r="AB209" s="195"/>
      <c r="AC209" s="8"/>
      <c r="AD209" s="8"/>
      <c r="AE209" s="8"/>
      <c r="AF209" s="8"/>
      <c r="AG209" s="202"/>
      <c r="AH209" s="202"/>
      <c r="AI209" s="202"/>
      <c r="AJ209" s="202"/>
      <c r="AK209" s="8"/>
      <c r="AL209" s="8"/>
      <c r="AM209" s="8"/>
      <c r="AN209" s="8"/>
      <c r="AO209" s="8"/>
      <c r="AP209" s="8"/>
      <c r="AQ209" s="8"/>
      <c r="AR209" s="8"/>
      <c r="AS209" s="8"/>
      <c r="AT209" s="8"/>
      <c r="AU209" s="8"/>
      <c r="AV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195"/>
      <c r="Z210" s="195"/>
      <c r="AA210" s="195"/>
      <c r="AB210" s="195"/>
      <c r="AC210" s="8"/>
      <c r="AD210" s="8"/>
      <c r="AE210" s="8"/>
      <c r="AF210" s="8"/>
      <c r="AG210" s="202"/>
      <c r="AH210" s="202"/>
      <c r="AI210" s="202"/>
      <c r="AJ210" s="202"/>
      <c r="AK210" s="8"/>
      <c r="AL210" s="8"/>
      <c r="AM210" s="8"/>
      <c r="AN210" s="8"/>
      <c r="AO210" s="8"/>
      <c r="AP210" s="8"/>
      <c r="AQ210" s="8"/>
      <c r="AR210" s="8"/>
      <c r="AS210" s="8"/>
      <c r="AT210" s="8"/>
      <c r="AU210" s="8"/>
      <c r="AV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195"/>
      <c r="Z211" s="195"/>
      <c r="AA211" s="195"/>
      <c r="AB211" s="195"/>
      <c r="AC211" s="8"/>
      <c r="AD211" s="8"/>
      <c r="AE211" s="8"/>
      <c r="AF211" s="8"/>
      <c r="AG211" s="202"/>
      <c r="AH211" s="202"/>
      <c r="AI211" s="202"/>
      <c r="AJ211" s="202"/>
      <c r="AK211" s="8"/>
      <c r="AL211" s="8"/>
      <c r="AM211" s="8"/>
      <c r="AN211" s="8"/>
      <c r="AO211" s="8"/>
      <c r="AP211" s="8"/>
      <c r="AQ211" s="8"/>
      <c r="AR211" s="8"/>
      <c r="AS211" s="8"/>
      <c r="AT211" s="8"/>
      <c r="AU211" s="8"/>
      <c r="AV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195"/>
      <c r="Z212" s="195"/>
      <c r="AA212" s="195"/>
      <c r="AB212" s="195"/>
      <c r="AC212" s="8"/>
      <c r="AD212" s="8"/>
      <c r="AE212" s="8"/>
      <c r="AF212" s="8"/>
      <c r="AG212" s="202"/>
      <c r="AH212" s="202"/>
      <c r="AI212" s="202"/>
      <c r="AJ212" s="202"/>
      <c r="AK212" s="8"/>
      <c r="AL212" s="8"/>
      <c r="AM212" s="8"/>
      <c r="AN212" s="8"/>
      <c r="AO212" s="8"/>
      <c r="AP212" s="8"/>
      <c r="AQ212" s="8"/>
      <c r="AR212" s="8"/>
      <c r="AS212" s="8"/>
      <c r="AT212" s="8"/>
      <c r="AU212" s="8"/>
      <c r="AV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195"/>
      <c r="Z213" s="195"/>
      <c r="AA213" s="195"/>
      <c r="AB213" s="195"/>
      <c r="AC213" s="8"/>
      <c r="AD213" s="8"/>
      <c r="AE213" s="8"/>
      <c r="AF213" s="8"/>
      <c r="AG213" s="202"/>
      <c r="AH213" s="202"/>
      <c r="AI213" s="202"/>
      <c r="AJ213" s="202"/>
      <c r="AK213" s="8"/>
      <c r="AL213" s="8"/>
      <c r="AM213" s="8"/>
      <c r="AN213" s="8"/>
      <c r="AO213" s="8"/>
      <c r="AP213" s="8"/>
      <c r="AQ213" s="8"/>
      <c r="AR213" s="8"/>
      <c r="AS213" s="8"/>
      <c r="AT213" s="8"/>
      <c r="AU213" s="8"/>
      <c r="AV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195"/>
      <c r="Z214" s="195"/>
      <c r="AA214" s="195"/>
      <c r="AB214" s="195"/>
      <c r="AC214" s="8"/>
      <c r="AD214" s="8"/>
      <c r="AE214" s="8"/>
      <c r="AF214" s="8"/>
      <c r="AG214" s="202"/>
      <c r="AH214" s="202"/>
      <c r="AI214" s="202"/>
      <c r="AJ214" s="202"/>
      <c r="AK214" s="8"/>
      <c r="AL214" s="8"/>
      <c r="AM214" s="8"/>
      <c r="AN214" s="8"/>
      <c r="AO214" s="8"/>
      <c r="AP214" s="8"/>
      <c r="AQ214" s="8"/>
      <c r="AR214" s="8"/>
      <c r="AS214" s="8"/>
      <c r="AT214" s="8"/>
      <c r="AU214" s="8"/>
      <c r="AV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195"/>
      <c r="Z215" s="195"/>
      <c r="AA215" s="195"/>
      <c r="AB215" s="195"/>
      <c r="AC215" s="8"/>
      <c r="AD215" s="8"/>
      <c r="AE215" s="8"/>
      <c r="AF215" s="8"/>
      <c r="AG215" s="202"/>
      <c r="AH215" s="202"/>
      <c r="AI215" s="202"/>
      <c r="AJ215" s="202"/>
      <c r="AK215" s="8"/>
      <c r="AL215" s="8"/>
      <c r="AM215" s="8"/>
      <c r="AN215" s="8"/>
      <c r="AO215" s="8"/>
      <c r="AP215" s="8"/>
      <c r="AQ215" s="8"/>
      <c r="AR215" s="8"/>
      <c r="AS215" s="8"/>
      <c r="AT215" s="8"/>
      <c r="AU215" s="8"/>
      <c r="AV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195"/>
      <c r="Z216" s="195"/>
      <c r="AA216" s="195"/>
      <c r="AB216" s="195"/>
      <c r="AC216" s="8"/>
      <c r="AD216" s="8"/>
      <c r="AE216" s="8"/>
      <c r="AF216" s="8"/>
      <c r="AG216" s="202"/>
      <c r="AH216" s="202"/>
      <c r="AI216" s="202"/>
      <c r="AJ216" s="202"/>
      <c r="AK216" s="8"/>
      <c r="AL216" s="8"/>
      <c r="AM216" s="8"/>
      <c r="AN216" s="8"/>
      <c r="AO216" s="8"/>
      <c r="AP216" s="8"/>
      <c r="AQ216" s="8"/>
      <c r="AR216" s="8"/>
      <c r="AS216" s="8"/>
      <c r="AT216" s="8"/>
      <c r="AU216" s="8"/>
      <c r="AV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195"/>
      <c r="Z217" s="195"/>
      <c r="AA217" s="195"/>
      <c r="AB217" s="195"/>
      <c r="AC217" s="8"/>
      <c r="AD217" s="8"/>
      <c r="AE217" s="8"/>
      <c r="AF217" s="8"/>
      <c r="AG217" s="202"/>
      <c r="AH217" s="202"/>
      <c r="AI217" s="202"/>
      <c r="AJ217" s="202"/>
      <c r="AK217" s="8"/>
      <c r="AL217" s="8"/>
      <c r="AM217" s="8"/>
      <c r="AN217" s="8"/>
      <c r="AO217" s="8"/>
      <c r="AP217" s="8"/>
      <c r="AQ217" s="8"/>
      <c r="AR217" s="8"/>
      <c r="AS217" s="8"/>
      <c r="AT217" s="8"/>
      <c r="AU217" s="8"/>
      <c r="AV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195"/>
      <c r="Z218" s="195"/>
      <c r="AA218" s="195"/>
      <c r="AB218" s="195"/>
      <c r="AC218" s="8"/>
      <c r="AD218" s="8"/>
      <c r="AE218" s="8"/>
      <c r="AF218" s="8"/>
      <c r="AG218" s="202"/>
      <c r="AH218" s="202"/>
      <c r="AI218" s="202"/>
      <c r="AJ218" s="202"/>
      <c r="AK218" s="8"/>
      <c r="AL218" s="8"/>
      <c r="AM218" s="8"/>
      <c r="AN218" s="8"/>
      <c r="AO218" s="8"/>
      <c r="AP218" s="8"/>
      <c r="AQ218" s="8"/>
      <c r="AR218" s="8"/>
      <c r="AS218" s="8"/>
      <c r="AT218" s="8"/>
      <c r="AU218" s="8"/>
      <c r="AV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195"/>
      <c r="Z219" s="195"/>
      <c r="AA219" s="195"/>
      <c r="AB219" s="195"/>
      <c r="AC219" s="8"/>
      <c r="AD219" s="8"/>
      <c r="AE219" s="8"/>
      <c r="AF219" s="8"/>
      <c r="AG219" s="202"/>
      <c r="AH219" s="202"/>
      <c r="AI219" s="202"/>
      <c r="AJ219" s="202"/>
      <c r="AK219" s="8"/>
      <c r="AL219" s="8"/>
      <c r="AM219" s="8"/>
      <c r="AN219" s="8"/>
      <c r="AO219" s="8"/>
      <c r="AP219" s="8"/>
      <c r="AQ219" s="8"/>
      <c r="AR219" s="8"/>
      <c r="AS219" s="8"/>
      <c r="AT219" s="8"/>
      <c r="AU219" s="8"/>
      <c r="AV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195"/>
      <c r="Z220" s="195"/>
      <c r="AA220" s="195"/>
      <c r="AB220" s="195"/>
      <c r="AC220" s="8"/>
      <c r="AD220" s="8"/>
      <c r="AE220" s="8"/>
      <c r="AF220" s="8"/>
      <c r="AG220" s="202"/>
      <c r="AH220" s="202"/>
      <c r="AI220" s="202"/>
      <c r="AJ220" s="202"/>
      <c r="AK220" s="8"/>
      <c r="AL220" s="8"/>
      <c r="AM220" s="8"/>
      <c r="AN220" s="8"/>
      <c r="AO220" s="8"/>
      <c r="AP220" s="8"/>
      <c r="AQ220" s="8"/>
      <c r="AR220" s="8"/>
      <c r="AS220" s="8"/>
      <c r="AT220" s="8"/>
      <c r="AU220" s="8"/>
      <c r="AV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195"/>
      <c r="Z221" s="195"/>
      <c r="AA221" s="195"/>
      <c r="AB221" s="195"/>
      <c r="AC221" s="8"/>
      <c r="AD221" s="8"/>
      <c r="AE221" s="8"/>
      <c r="AF221" s="8"/>
      <c r="AG221" s="202"/>
      <c r="AH221" s="202"/>
      <c r="AI221" s="202"/>
      <c r="AJ221" s="202"/>
      <c r="AK221" s="8"/>
      <c r="AL221" s="8"/>
      <c r="AM221" s="8"/>
      <c r="AN221" s="8"/>
      <c r="AO221" s="8"/>
      <c r="AP221" s="8"/>
      <c r="AQ221" s="8"/>
      <c r="AR221" s="8"/>
      <c r="AS221" s="8"/>
      <c r="AT221" s="8"/>
      <c r="AU221" s="8"/>
      <c r="AV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195"/>
      <c r="Z222" s="195"/>
      <c r="AA222" s="195"/>
      <c r="AB222" s="195"/>
      <c r="AC222" s="8"/>
      <c r="AD222" s="8"/>
      <c r="AE222" s="8"/>
      <c r="AF222" s="8"/>
      <c r="AG222" s="202"/>
      <c r="AH222" s="202"/>
      <c r="AI222" s="202"/>
      <c r="AJ222" s="202"/>
      <c r="AK222" s="8"/>
      <c r="AL222" s="8"/>
      <c r="AM222" s="8"/>
      <c r="AN222" s="8"/>
      <c r="AO222" s="8"/>
      <c r="AP222" s="8"/>
      <c r="AQ222" s="8"/>
      <c r="AR222" s="8"/>
      <c r="AS222" s="8"/>
      <c r="AT222" s="8"/>
      <c r="AU222" s="8"/>
      <c r="AV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195"/>
      <c r="Z223" s="195"/>
      <c r="AA223" s="195"/>
      <c r="AB223" s="195"/>
      <c r="AC223" s="8"/>
      <c r="AD223" s="8"/>
      <c r="AE223" s="8"/>
      <c r="AF223" s="8"/>
      <c r="AG223" s="202"/>
      <c r="AH223" s="202"/>
      <c r="AI223" s="202"/>
      <c r="AJ223" s="202"/>
      <c r="AK223" s="8"/>
      <c r="AL223" s="8"/>
      <c r="AM223" s="8"/>
      <c r="AN223" s="8"/>
      <c r="AO223" s="8"/>
      <c r="AP223" s="8"/>
      <c r="AQ223" s="8"/>
      <c r="AR223" s="8"/>
      <c r="AS223" s="8"/>
      <c r="AT223" s="8"/>
      <c r="AU223" s="8"/>
      <c r="AV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195"/>
      <c r="Z224" s="195"/>
      <c r="AA224" s="195"/>
      <c r="AB224" s="195"/>
      <c r="AC224" s="8"/>
      <c r="AD224" s="8"/>
      <c r="AE224" s="8"/>
      <c r="AF224" s="8"/>
      <c r="AG224" s="202"/>
      <c r="AH224" s="202"/>
      <c r="AI224" s="202"/>
      <c r="AJ224" s="202"/>
      <c r="AK224" s="8"/>
      <c r="AL224" s="8"/>
      <c r="AM224" s="8"/>
      <c r="AN224" s="8"/>
      <c r="AO224" s="8"/>
      <c r="AP224" s="8"/>
      <c r="AQ224" s="8"/>
      <c r="AR224" s="8"/>
      <c r="AS224" s="8"/>
      <c r="AT224" s="8"/>
      <c r="AU224" s="8"/>
      <c r="AV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195"/>
      <c r="Z225" s="195"/>
      <c r="AA225" s="195"/>
      <c r="AB225" s="195"/>
      <c r="AC225" s="8"/>
      <c r="AD225" s="8"/>
      <c r="AE225" s="8"/>
      <c r="AF225" s="8"/>
      <c r="AG225" s="202"/>
      <c r="AH225" s="202"/>
      <c r="AI225" s="202"/>
      <c r="AJ225" s="202"/>
      <c r="AK225" s="8"/>
      <c r="AL225" s="8"/>
      <c r="AM225" s="8"/>
      <c r="AN225" s="8"/>
      <c r="AO225" s="8"/>
      <c r="AP225" s="8"/>
      <c r="AQ225" s="8"/>
      <c r="AR225" s="8"/>
      <c r="AS225" s="8"/>
      <c r="AT225" s="8"/>
      <c r="AU225" s="8"/>
      <c r="AV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195"/>
      <c r="Z226" s="195"/>
      <c r="AA226" s="195"/>
      <c r="AB226" s="195"/>
      <c r="AC226" s="8"/>
      <c r="AD226" s="8"/>
      <c r="AE226" s="8"/>
      <c r="AF226" s="8"/>
      <c r="AG226" s="202"/>
      <c r="AH226" s="202"/>
      <c r="AI226" s="202"/>
      <c r="AJ226" s="202"/>
      <c r="AK226" s="8"/>
      <c r="AL226" s="8"/>
      <c r="AM226" s="8"/>
      <c r="AN226" s="8"/>
      <c r="AO226" s="8"/>
      <c r="AP226" s="8"/>
      <c r="AQ226" s="8"/>
      <c r="AR226" s="8"/>
      <c r="AS226" s="8"/>
      <c r="AT226" s="8"/>
      <c r="AU226" s="8"/>
      <c r="AV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195"/>
      <c r="Z227" s="195"/>
      <c r="AA227" s="195"/>
      <c r="AB227" s="195"/>
      <c r="AC227" s="8"/>
      <c r="AD227" s="8"/>
      <c r="AE227" s="8"/>
      <c r="AF227" s="8"/>
      <c r="AG227" s="202"/>
      <c r="AH227" s="202"/>
      <c r="AI227" s="202"/>
      <c r="AJ227" s="202"/>
      <c r="AK227" s="8"/>
      <c r="AL227" s="8"/>
      <c r="AM227" s="8"/>
      <c r="AN227" s="8"/>
      <c r="AO227" s="8"/>
      <c r="AP227" s="8"/>
      <c r="AQ227" s="8"/>
      <c r="AR227" s="8"/>
      <c r="AS227" s="8"/>
      <c r="AT227" s="8"/>
      <c r="AU227" s="8"/>
      <c r="AV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195"/>
      <c r="Z228" s="195"/>
      <c r="AA228" s="195"/>
      <c r="AB228" s="195"/>
      <c r="AC228" s="8"/>
      <c r="AD228" s="8"/>
      <c r="AE228" s="8"/>
      <c r="AF228" s="8"/>
      <c r="AG228" s="202"/>
      <c r="AH228" s="202"/>
      <c r="AI228" s="202"/>
      <c r="AJ228" s="202"/>
      <c r="AK228" s="8"/>
      <c r="AL228" s="8"/>
      <c r="AM228" s="8"/>
      <c r="AN228" s="8"/>
      <c r="AO228" s="8"/>
      <c r="AP228" s="8"/>
      <c r="AQ228" s="8"/>
      <c r="AR228" s="8"/>
      <c r="AS228" s="8"/>
      <c r="AT228" s="8"/>
      <c r="AU228" s="8"/>
      <c r="AV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195"/>
      <c r="Z229" s="195"/>
      <c r="AA229" s="195"/>
      <c r="AB229" s="195"/>
      <c r="AC229" s="8"/>
      <c r="AD229" s="8"/>
      <c r="AE229" s="8"/>
      <c r="AF229" s="8"/>
      <c r="AG229" s="202"/>
      <c r="AH229" s="202"/>
      <c r="AI229" s="202"/>
      <c r="AJ229" s="202"/>
      <c r="AK229" s="8"/>
      <c r="AL229" s="8"/>
      <c r="AM229" s="8"/>
      <c r="AN229" s="8"/>
      <c r="AO229" s="8"/>
      <c r="AP229" s="8"/>
      <c r="AQ229" s="8"/>
      <c r="AR229" s="8"/>
      <c r="AS229" s="8"/>
      <c r="AT229" s="8"/>
      <c r="AU229" s="8"/>
      <c r="AV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195"/>
      <c r="Z230" s="195"/>
      <c r="AA230" s="195"/>
      <c r="AB230" s="195"/>
      <c r="AC230" s="8"/>
      <c r="AD230" s="8"/>
      <c r="AE230" s="8"/>
      <c r="AF230" s="8"/>
      <c r="AG230" s="202"/>
      <c r="AH230" s="202"/>
      <c r="AI230" s="202"/>
      <c r="AJ230" s="202"/>
      <c r="AK230" s="8"/>
      <c r="AL230" s="8"/>
      <c r="AM230" s="8"/>
      <c r="AN230" s="8"/>
      <c r="AO230" s="8"/>
      <c r="AP230" s="8"/>
      <c r="AQ230" s="8"/>
      <c r="AR230" s="8"/>
      <c r="AS230" s="8"/>
      <c r="AT230" s="8"/>
      <c r="AU230" s="8"/>
      <c r="AV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195"/>
      <c r="Z231" s="195"/>
      <c r="AA231" s="195"/>
      <c r="AB231" s="195"/>
      <c r="AC231" s="8"/>
      <c r="AD231" s="8"/>
      <c r="AE231" s="8"/>
      <c r="AF231" s="8"/>
      <c r="AG231" s="202"/>
      <c r="AH231" s="202"/>
      <c r="AI231" s="202"/>
      <c r="AJ231" s="202"/>
      <c r="AK231" s="8"/>
      <c r="AL231" s="8"/>
      <c r="AM231" s="8"/>
      <c r="AN231" s="8"/>
      <c r="AO231" s="8"/>
      <c r="AP231" s="8"/>
      <c r="AQ231" s="8"/>
      <c r="AR231" s="8"/>
      <c r="AS231" s="8"/>
      <c r="AT231" s="8"/>
      <c r="AU231" s="8"/>
      <c r="AV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195"/>
      <c r="Z232" s="195"/>
      <c r="AA232" s="195"/>
      <c r="AB232" s="195"/>
      <c r="AC232" s="8"/>
      <c r="AD232" s="8"/>
      <c r="AE232" s="8"/>
      <c r="AF232" s="8"/>
      <c r="AG232" s="202"/>
      <c r="AH232" s="202"/>
      <c r="AI232" s="202"/>
      <c r="AJ232" s="202"/>
      <c r="AK232" s="8"/>
      <c r="AL232" s="8"/>
      <c r="AM232" s="8"/>
      <c r="AN232" s="8"/>
      <c r="AO232" s="8"/>
      <c r="AP232" s="8"/>
      <c r="AQ232" s="8"/>
      <c r="AR232" s="8"/>
      <c r="AS232" s="8"/>
      <c r="AT232" s="8"/>
      <c r="AU232" s="8"/>
      <c r="AV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195"/>
      <c r="Z233" s="195"/>
      <c r="AA233" s="195"/>
      <c r="AB233" s="195"/>
      <c r="AC233" s="8"/>
      <c r="AD233" s="8"/>
      <c r="AE233" s="8"/>
      <c r="AF233" s="8"/>
      <c r="AG233" s="202"/>
      <c r="AH233" s="202"/>
      <c r="AI233" s="202"/>
      <c r="AJ233" s="202"/>
      <c r="AK233" s="8"/>
      <c r="AL233" s="8"/>
      <c r="AM233" s="8"/>
      <c r="AN233" s="8"/>
      <c r="AO233" s="8"/>
      <c r="AP233" s="8"/>
      <c r="AQ233" s="8"/>
      <c r="AR233" s="8"/>
      <c r="AS233" s="8"/>
      <c r="AT233" s="8"/>
      <c r="AU233" s="8"/>
      <c r="AV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195"/>
      <c r="Z234" s="195"/>
      <c r="AA234" s="195"/>
      <c r="AB234" s="195"/>
      <c r="AC234" s="8"/>
      <c r="AD234" s="8"/>
      <c r="AE234" s="8"/>
      <c r="AF234" s="8"/>
      <c r="AG234" s="202"/>
      <c r="AH234" s="202"/>
      <c r="AI234" s="202"/>
      <c r="AJ234" s="202"/>
      <c r="AK234" s="8"/>
      <c r="AL234" s="8"/>
      <c r="AM234" s="8"/>
      <c r="AN234" s="8"/>
      <c r="AO234" s="8"/>
      <c r="AP234" s="8"/>
      <c r="AQ234" s="8"/>
      <c r="AR234" s="8"/>
      <c r="AS234" s="8"/>
      <c r="AT234" s="8"/>
      <c r="AU234" s="8"/>
      <c r="AV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195"/>
      <c r="Z235" s="195"/>
      <c r="AA235" s="195"/>
      <c r="AB235" s="195"/>
      <c r="AC235" s="8"/>
      <c r="AD235" s="8"/>
      <c r="AE235" s="8"/>
      <c r="AF235" s="8"/>
      <c r="AG235" s="202"/>
      <c r="AH235" s="202"/>
      <c r="AI235" s="202"/>
      <c r="AJ235" s="202"/>
      <c r="AK235" s="8"/>
      <c r="AL235" s="8"/>
      <c r="AM235" s="8"/>
      <c r="AN235" s="8"/>
      <c r="AO235" s="8"/>
      <c r="AP235" s="8"/>
      <c r="AQ235" s="8"/>
      <c r="AR235" s="8"/>
      <c r="AS235" s="8"/>
      <c r="AT235" s="8"/>
      <c r="AU235" s="8"/>
      <c r="AV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195"/>
      <c r="Z236" s="195"/>
      <c r="AA236" s="195"/>
      <c r="AB236" s="195"/>
      <c r="AC236" s="8"/>
      <c r="AD236" s="8"/>
      <c r="AE236" s="8"/>
      <c r="AF236" s="8"/>
      <c r="AG236" s="202"/>
      <c r="AH236" s="202"/>
      <c r="AI236" s="202"/>
      <c r="AJ236" s="202"/>
      <c r="AK236" s="8"/>
      <c r="AL236" s="8"/>
      <c r="AM236" s="8"/>
      <c r="AN236" s="8"/>
      <c r="AO236" s="8"/>
      <c r="AP236" s="8"/>
      <c r="AQ236" s="8"/>
      <c r="AR236" s="8"/>
      <c r="AS236" s="8"/>
      <c r="AT236" s="8"/>
      <c r="AU236" s="8"/>
      <c r="AV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195"/>
      <c r="Z237" s="195"/>
      <c r="AA237" s="195"/>
      <c r="AB237" s="195"/>
      <c r="AC237" s="8"/>
      <c r="AD237" s="8"/>
      <c r="AE237" s="8"/>
      <c r="AF237" s="8"/>
      <c r="AG237" s="202"/>
      <c r="AH237" s="202"/>
      <c r="AI237" s="202"/>
      <c r="AJ237" s="202"/>
      <c r="AK237" s="8"/>
      <c r="AL237" s="8"/>
      <c r="AM237" s="8"/>
      <c r="AN237" s="8"/>
      <c r="AO237" s="8"/>
      <c r="AP237" s="8"/>
      <c r="AQ237" s="8"/>
      <c r="AR237" s="8"/>
      <c r="AS237" s="8"/>
      <c r="AT237" s="8"/>
      <c r="AU237" s="8"/>
      <c r="AV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195"/>
      <c r="Z238" s="195"/>
      <c r="AA238" s="195"/>
      <c r="AB238" s="195"/>
      <c r="AC238" s="8"/>
      <c r="AD238" s="8"/>
      <c r="AE238" s="8"/>
      <c r="AF238" s="8"/>
      <c r="AG238" s="202"/>
      <c r="AH238" s="202"/>
      <c r="AI238" s="202"/>
      <c r="AJ238" s="202"/>
      <c r="AK238" s="8"/>
      <c r="AL238" s="8"/>
      <c r="AM238" s="8"/>
      <c r="AN238" s="8"/>
      <c r="AO238" s="8"/>
      <c r="AP238" s="8"/>
      <c r="AQ238" s="8"/>
      <c r="AR238" s="8"/>
      <c r="AS238" s="8"/>
      <c r="AT238" s="8"/>
      <c r="AU238" s="8"/>
      <c r="AV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195"/>
      <c r="Z239" s="195"/>
      <c r="AA239" s="195"/>
      <c r="AB239" s="195"/>
      <c r="AC239" s="8"/>
      <c r="AD239" s="8"/>
      <c r="AE239" s="8"/>
      <c r="AF239" s="8"/>
      <c r="AG239" s="202"/>
      <c r="AH239" s="202"/>
      <c r="AI239" s="202"/>
      <c r="AJ239" s="202"/>
      <c r="AK239" s="8"/>
      <c r="AL239" s="8"/>
      <c r="AM239" s="8"/>
      <c r="AN239" s="8"/>
      <c r="AO239" s="8"/>
      <c r="AP239" s="8"/>
      <c r="AQ239" s="8"/>
      <c r="AR239" s="8"/>
      <c r="AS239" s="8"/>
      <c r="AT239" s="8"/>
      <c r="AU239" s="8"/>
      <c r="AV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195"/>
      <c r="Z240" s="195"/>
      <c r="AA240" s="195"/>
      <c r="AB240" s="195"/>
      <c r="AC240" s="8"/>
      <c r="AD240" s="8"/>
      <c r="AE240" s="8"/>
      <c r="AF240" s="8"/>
      <c r="AG240" s="202"/>
      <c r="AH240" s="202"/>
      <c r="AI240" s="202"/>
      <c r="AJ240" s="202"/>
      <c r="AK240" s="8"/>
      <c r="AL240" s="8"/>
      <c r="AM240" s="8"/>
      <c r="AN240" s="8"/>
      <c r="AO240" s="8"/>
      <c r="AP240" s="8"/>
      <c r="AQ240" s="8"/>
      <c r="AR240" s="8"/>
      <c r="AS240" s="8"/>
      <c r="AT240" s="8"/>
      <c r="AU240" s="8"/>
      <c r="AV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195"/>
      <c r="Z241" s="195"/>
      <c r="AA241" s="195"/>
      <c r="AB241" s="195"/>
      <c r="AC241" s="8"/>
      <c r="AD241" s="8"/>
      <c r="AE241" s="8"/>
      <c r="AF241" s="8"/>
      <c r="AG241" s="202"/>
      <c r="AH241" s="202"/>
      <c r="AI241" s="202"/>
      <c r="AJ241" s="202"/>
      <c r="AK241" s="8"/>
      <c r="AL241" s="8"/>
      <c r="AM241" s="8"/>
      <c r="AN241" s="8"/>
      <c r="AO241" s="8"/>
      <c r="AP241" s="8"/>
      <c r="AQ241" s="8"/>
      <c r="AR241" s="8"/>
      <c r="AS241" s="8"/>
      <c r="AT241" s="8"/>
      <c r="AU241" s="8"/>
      <c r="AV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195"/>
      <c r="Z242" s="195"/>
      <c r="AA242" s="195"/>
      <c r="AB242" s="195"/>
      <c r="AC242" s="8"/>
      <c r="AD242" s="8"/>
      <c r="AE242" s="8"/>
      <c r="AF242" s="8"/>
      <c r="AG242" s="202"/>
      <c r="AH242" s="202"/>
      <c r="AI242" s="202"/>
      <c r="AJ242" s="202"/>
      <c r="AK242" s="8"/>
      <c r="AL242" s="8"/>
      <c r="AM242" s="8"/>
      <c r="AN242" s="8"/>
      <c r="AO242" s="8"/>
      <c r="AP242" s="8"/>
      <c r="AQ242" s="8"/>
      <c r="AR242" s="8"/>
      <c r="AS242" s="8"/>
      <c r="AT242" s="8"/>
      <c r="AU242" s="8"/>
      <c r="AV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195"/>
      <c r="Z243" s="195"/>
      <c r="AA243" s="195"/>
      <c r="AB243" s="195"/>
      <c r="AC243" s="8"/>
      <c r="AD243" s="8"/>
      <c r="AE243" s="8"/>
      <c r="AF243" s="8"/>
      <c r="AG243" s="202"/>
      <c r="AH243" s="202"/>
      <c r="AI243" s="202"/>
      <c r="AJ243" s="202"/>
      <c r="AK243" s="8"/>
      <c r="AL243" s="8"/>
      <c r="AM243" s="8"/>
      <c r="AN243" s="8"/>
      <c r="AO243" s="8"/>
      <c r="AP243" s="8"/>
      <c r="AQ243" s="8"/>
      <c r="AR243" s="8"/>
      <c r="AS243" s="8"/>
      <c r="AT243" s="8"/>
      <c r="AU243" s="8"/>
      <c r="AV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195"/>
      <c r="Z244" s="195"/>
      <c r="AA244" s="195"/>
      <c r="AB244" s="195"/>
      <c r="AC244" s="8"/>
      <c r="AD244" s="8"/>
      <c r="AE244" s="8"/>
      <c r="AF244" s="8"/>
      <c r="AG244" s="202"/>
      <c r="AH244" s="202"/>
      <c r="AI244" s="202"/>
      <c r="AJ244" s="202"/>
      <c r="AK244" s="8"/>
      <c r="AL244" s="8"/>
      <c r="AM244" s="8"/>
      <c r="AN244" s="8"/>
      <c r="AO244" s="8"/>
      <c r="AP244" s="8"/>
      <c r="AQ244" s="8"/>
      <c r="AR244" s="8"/>
      <c r="AS244" s="8"/>
      <c r="AT244" s="8"/>
      <c r="AU244" s="8"/>
      <c r="AV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195"/>
      <c r="Z245" s="195"/>
      <c r="AA245" s="195"/>
      <c r="AB245" s="195"/>
      <c r="AC245" s="8"/>
      <c r="AD245" s="8"/>
      <c r="AE245" s="8"/>
      <c r="AF245" s="8"/>
      <c r="AG245" s="202"/>
      <c r="AH245" s="202"/>
      <c r="AI245" s="202"/>
      <c r="AJ245" s="202"/>
      <c r="AK245" s="8"/>
      <c r="AL245" s="8"/>
      <c r="AM245" s="8"/>
      <c r="AN245" s="8"/>
      <c r="AO245" s="8"/>
      <c r="AP245" s="8"/>
      <c r="AQ245" s="8"/>
      <c r="AR245" s="8"/>
      <c r="AS245" s="8"/>
      <c r="AT245" s="8"/>
      <c r="AU245" s="8"/>
      <c r="AV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195"/>
      <c r="Z246" s="195"/>
      <c r="AA246" s="195"/>
      <c r="AB246" s="195"/>
      <c r="AC246" s="8"/>
      <c r="AD246" s="8"/>
      <c r="AE246" s="8"/>
      <c r="AF246" s="8"/>
      <c r="AG246" s="202"/>
      <c r="AH246" s="202"/>
      <c r="AI246" s="202"/>
      <c r="AJ246" s="202"/>
      <c r="AK246" s="8"/>
      <c r="AL246" s="8"/>
      <c r="AM246" s="8"/>
      <c r="AN246" s="8"/>
      <c r="AO246" s="8"/>
      <c r="AP246" s="8"/>
      <c r="AQ246" s="8"/>
      <c r="AR246" s="8"/>
      <c r="AS246" s="8"/>
      <c r="AT246" s="8"/>
      <c r="AU246" s="8"/>
      <c r="AV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195"/>
      <c r="Z247" s="195"/>
      <c r="AA247" s="195"/>
      <c r="AB247" s="195"/>
      <c r="AC247" s="8"/>
      <c r="AD247" s="8"/>
      <c r="AE247" s="8"/>
      <c r="AF247" s="8"/>
      <c r="AG247" s="202"/>
      <c r="AH247" s="202"/>
      <c r="AI247" s="202"/>
      <c r="AJ247" s="202"/>
      <c r="AK247" s="8"/>
      <c r="AL247" s="8"/>
      <c r="AM247" s="8"/>
      <c r="AN247" s="8"/>
      <c r="AO247" s="8"/>
      <c r="AP247" s="8"/>
      <c r="AQ247" s="8"/>
      <c r="AR247" s="8"/>
      <c r="AS247" s="8"/>
      <c r="AT247" s="8"/>
      <c r="AU247" s="8"/>
      <c r="AV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195"/>
      <c r="Z248" s="195"/>
      <c r="AA248" s="195"/>
      <c r="AB248" s="195"/>
      <c r="AC248" s="8"/>
      <c r="AD248" s="8"/>
      <c r="AE248" s="8"/>
      <c r="AF248" s="8"/>
      <c r="AG248" s="202"/>
      <c r="AH248" s="202"/>
      <c r="AI248" s="202"/>
      <c r="AJ248" s="202"/>
      <c r="AK248" s="8"/>
      <c r="AL248" s="8"/>
      <c r="AM248" s="8"/>
      <c r="AN248" s="8"/>
      <c r="AO248" s="8"/>
      <c r="AP248" s="8"/>
      <c r="AQ248" s="8"/>
      <c r="AR248" s="8"/>
      <c r="AS248" s="8"/>
      <c r="AT248" s="8"/>
      <c r="AU248" s="8"/>
      <c r="AV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195"/>
      <c r="Z249" s="195"/>
      <c r="AA249" s="195"/>
      <c r="AB249" s="195"/>
      <c r="AC249" s="8"/>
      <c r="AD249" s="8"/>
      <c r="AE249" s="8"/>
      <c r="AF249" s="8"/>
      <c r="AG249" s="202"/>
      <c r="AH249" s="202"/>
      <c r="AI249" s="202"/>
      <c r="AJ249" s="202"/>
      <c r="AK249" s="8"/>
      <c r="AL249" s="8"/>
      <c r="AM249" s="8"/>
      <c r="AN249" s="8"/>
      <c r="AO249" s="8"/>
      <c r="AP249" s="8"/>
      <c r="AQ249" s="8"/>
      <c r="AR249" s="8"/>
      <c r="AS249" s="8"/>
      <c r="AT249" s="8"/>
      <c r="AU249" s="8"/>
      <c r="AV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195"/>
      <c r="Z250" s="195"/>
      <c r="AA250" s="195"/>
      <c r="AB250" s="195"/>
      <c r="AC250" s="8"/>
      <c r="AD250" s="8"/>
      <c r="AE250" s="8"/>
      <c r="AF250" s="8"/>
      <c r="AG250" s="202"/>
      <c r="AH250" s="202"/>
      <c r="AI250" s="202"/>
      <c r="AJ250" s="202"/>
      <c r="AK250" s="8"/>
      <c r="AL250" s="8"/>
      <c r="AM250" s="8"/>
      <c r="AN250" s="8"/>
      <c r="AO250" s="8"/>
      <c r="AP250" s="8"/>
      <c r="AQ250" s="8"/>
      <c r="AR250" s="8"/>
      <c r="AS250" s="8"/>
      <c r="AT250" s="8"/>
      <c r="AU250" s="8"/>
      <c r="AV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195"/>
      <c r="Z251" s="195"/>
      <c r="AA251" s="195"/>
      <c r="AB251" s="195"/>
      <c r="AC251" s="8"/>
      <c r="AD251" s="8"/>
      <c r="AE251" s="8"/>
      <c r="AF251" s="8"/>
      <c r="AG251" s="202"/>
      <c r="AH251" s="202"/>
      <c r="AI251" s="202"/>
      <c r="AJ251" s="202"/>
      <c r="AK251" s="8"/>
      <c r="AL251" s="8"/>
      <c r="AM251" s="8"/>
      <c r="AN251" s="8"/>
      <c r="AO251" s="8"/>
      <c r="AP251" s="8"/>
      <c r="AQ251" s="8"/>
      <c r="AR251" s="8"/>
      <c r="AS251" s="8"/>
      <c r="AT251" s="8"/>
      <c r="AU251" s="8"/>
      <c r="AV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195"/>
      <c r="Z252" s="195"/>
      <c r="AA252" s="195"/>
      <c r="AB252" s="195"/>
      <c r="AC252" s="8"/>
      <c r="AD252" s="8"/>
      <c r="AE252" s="8"/>
      <c r="AF252" s="8"/>
      <c r="AG252" s="202"/>
      <c r="AH252" s="202"/>
      <c r="AI252" s="202"/>
      <c r="AJ252" s="202"/>
      <c r="AK252" s="8"/>
      <c r="AL252" s="8"/>
      <c r="AM252" s="8"/>
      <c r="AN252" s="8"/>
      <c r="AO252" s="8"/>
      <c r="AP252" s="8"/>
      <c r="AQ252" s="8"/>
      <c r="AR252" s="8"/>
      <c r="AS252" s="8"/>
      <c r="AT252" s="8"/>
      <c r="AU252" s="8"/>
      <c r="AV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195"/>
      <c r="Z253" s="195"/>
      <c r="AA253" s="195"/>
      <c r="AB253" s="195"/>
      <c r="AC253" s="8"/>
      <c r="AD253" s="8"/>
      <c r="AE253" s="8"/>
      <c r="AF253" s="8"/>
      <c r="AG253" s="202"/>
      <c r="AH253" s="202"/>
      <c r="AI253" s="202"/>
      <c r="AJ253" s="202"/>
      <c r="AK253" s="8"/>
      <c r="AL253" s="8"/>
      <c r="AM253" s="8"/>
      <c r="AN253" s="8"/>
      <c r="AO253" s="8"/>
      <c r="AP253" s="8"/>
      <c r="AQ253" s="8"/>
      <c r="AR253" s="8"/>
      <c r="AS253" s="8"/>
      <c r="AT253" s="8"/>
      <c r="AU253" s="8"/>
      <c r="AV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195"/>
      <c r="Z254" s="195"/>
      <c r="AA254" s="195"/>
      <c r="AB254" s="195"/>
      <c r="AC254" s="8"/>
      <c r="AD254" s="8"/>
      <c r="AE254" s="8"/>
      <c r="AF254" s="8"/>
      <c r="AG254" s="202"/>
      <c r="AH254" s="202"/>
      <c r="AI254" s="202"/>
      <c r="AJ254" s="202"/>
      <c r="AK254" s="8"/>
      <c r="AL254" s="8"/>
      <c r="AM254" s="8"/>
      <c r="AN254" s="8"/>
      <c r="AO254" s="8"/>
      <c r="AP254" s="8"/>
      <c r="AQ254" s="8"/>
      <c r="AR254" s="8"/>
      <c r="AS254" s="8"/>
      <c r="AT254" s="8"/>
      <c r="AU254" s="8"/>
      <c r="AV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195"/>
      <c r="Z255" s="195"/>
      <c r="AA255" s="195"/>
      <c r="AB255" s="195"/>
      <c r="AC255" s="8"/>
      <c r="AD255" s="8"/>
      <c r="AE255" s="8"/>
      <c r="AF255" s="8"/>
      <c r="AG255" s="202"/>
      <c r="AH255" s="202"/>
      <c r="AI255" s="202"/>
      <c r="AJ255" s="202"/>
      <c r="AK255" s="8"/>
      <c r="AL255" s="8"/>
      <c r="AM255" s="8"/>
      <c r="AN255" s="8"/>
      <c r="AO255" s="8"/>
      <c r="AP255" s="8"/>
      <c r="AQ255" s="8"/>
      <c r="AR255" s="8"/>
      <c r="AS255" s="8"/>
      <c r="AT255" s="8"/>
      <c r="AU255" s="8"/>
      <c r="AV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195"/>
      <c r="Z256" s="195"/>
      <c r="AA256" s="195"/>
      <c r="AB256" s="195"/>
      <c r="AC256" s="8"/>
      <c r="AD256" s="8"/>
      <c r="AE256" s="8"/>
      <c r="AF256" s="8"/>
      <c r="AG256" s="202"/>
      <c r="AH256" s="202"/>
      <c r="AI256" s="202"/>
      <c r="AJ256" s="202"/>
      <c r="AK256" s="8"/>
      <c r="AL256" s="8"/>
      <c r="AM256" s="8"/>
      <c r="AN256" s="8"/>
      <c r="AO256" s="8"/>
      <c r="AP256" s="8"/>
      <c r="AQ256" s="8"/>
      <c r="AR256" s="8"/>
      <c r="AS256" s="8"/>
      <c r="AT256" s="8"/>
      <c r="AU256" s="8"/>
      <c r="AV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195"/>
      <c r="Z257" s="195"/>
      <c r="AA257" s="195"/>
      <c r="AB257" s="195"/>
      <c r="AC257" s="8"/>
      <c r="AD257" s="8"/>
      <c r="AE257" s="8"/>
      <c r="AF257" s="8"/>
      <c r="AG257" s="202"/>
      <c r="AH257" s="202"/>
      <c r="AI257" s="202"/>
      <c r="AJ257" s="202"/>
      <c r="AK257" s="8"/>
      <c r="AL257" s="8"/>
      <c r="AM257" s="8"/>
      <c r="AN257" s="8"/>
      <c r="AO257" s="8"/>
      <c r="AP257" s="8"/>
      <c r="AQ257" s="8"/>
      <c r="AR257" s="8"/>
      <c r="AS257" s="8"/>
      <c r="AT257" s="8"/>
      <c r="AU257" s="8"/>
      <c r="AV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195"/>
      <c r="Z258" s="195"/>
      <c r="AA258" s="195"/>
      <c r="AB258" s="195"/>
      <c r="AC258" s="8"/>
      <c r="AD258" s="8"/>
      <c r="AE258" s="8"/>
      <c r="AF258" s="8"/>
      <c r="AG258" s="202"/>
      <c r="AH258" s="202"/>
      <c r="AI258" s="202"/>
      <c r="AJ258" s="202"/>
      <c r="AK258" s="8"/>
      <c r="AL258" s="8"/>
      <c r="AM258" s="8"/>
      <c r="AN258" s="8"/>
      <c r="AO258" s="8"/>
      <c r="AP258" s="8"/>
      <c r="AQ258" s="8"/>
      <c r="AR258" s="8"/>
      <c r="AS258" s="8"/>
      <c r="AT258" s="8"/>
      <c r="AU258" s="8"/>
      <c r="AV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195"/>
      <c r="Z259" s="195"/>
      <c r="AA259" s="195"/>
      <c r="AB259" s="195"/>
      <c r="AC259" s="8"/>
      <c r="AD259" s="8"/>
      <c r="AE259" s="8"/>
      <c r="AF259" s="8"/>
      <c r="AG259" s="202"/>
      <c r="AH259" s="202"/>
      <c r="AI259" s="202"/>
      <c r="AJ259" s="202"/>
      <c r="AK259" s="8"/>
      <c r="AL259" s="8"/>
      <c r="AM259" s="8"/>
      <c r="AN259" s="8"/>
      <c r="AO259" s="8"/>
      <c r="AP259" s="8"/>
      <c r="AQ259" s="8"/>
      <c r="AR259" s="8"/>
      <c r="AS259" s="8"/>
      <c r="AT259" s="8"/>
      <c r="AU259" s="8"/>
      <c r="AV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195"/>
      <c r="Z260" s="195"/>
      <c r="AA260" s="195"/>
      <c r="AB260" s="195"/>
      <c r="AC260" s="8"/>
      <c r="AD260" s="8"/>
      <c r="AE260" s="8"/>
      <c r="AF260" s="8"/>
      <c r="AG260" s="202"/>
      <c r="AH260" s="202"/>
      <c r="AI260" s="202"/>
      <c r="AJ260" s="202"/>
      <c r="AK260" s="8"/>
      <c r="AL260" s="8"/>
      <c r="AM260" s="8"/>
      <c r="AN260" s="8"/>
      <c r="AO260" s="8"/>
      <c r="AP260" s="8"/>
      <c r="AQ260" s="8"/>
      <c r="AR260" s="8"/>
      <c r="AS260" s="8"/>
      <c r="AT260" s="8"/>
      <c r="AU260" s="8"/>
      <c r="AV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195"/>
      <c r="Z261" s="195"/>
      <c r="AA261" s="195"/>
      <c r="AB261" s="195"/>
      <c r="AC261" s="8"/>
      <c r="AD261" s="8"/>
      <c r="AE261" s="8"/>
      <c r="AF261" s="8"/>
      <c r="AG261" s="202"/>
      <c r="AH261" s="202"/>
      <c r="AI261" s="202"/>
      <c r="AJ261" s="202"/>
      <c r="AK261" s="8"/>
      <c r="AL261" s="8"/>
      <c r="AM261" s="8"/>
      <c r="AN261" s="8"/>
      <c r="AO261" s="8"/>
      <c r="AP261" s="8"/>
      <c r="AQ261" s="8"/>
      <c r="AR261" s="8"/>
      <c r="AS261" s="8"/>
      <c r="AT261" s="8"/>
      <c r="AU261" s="8"/>
      <c r="AV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195"/>
      <c r="Z262" s="195"/>
      <c r="AA262" s="195"/>
      <c r="AB262" s="195"/>
      <c r="AC262" s="8"/>
      <c r="AD262" s="8"/>
      <c r="AE262" s="8"/>
      <c r="AF262" s="8"/>
      <c r="AG262" s="202"/>
      <c r="AH262" s="202"/>
      <c r="AI262" s="202"/>
      <c r="AJ262" s="202"/>
      <c r="AK262" s="8"/>
      <c r="AL262" s="8"/>
      <c r="AM262" s="8"/>
      <c r="AN262" s="8"/>
      <c r="AO262" s="8"/>
      <c r="AP262" s="8"/>
      <c r="AQ262" s="8"/>
      <c r="AR262" s="8"/>
      <c r="AS262" s="8"/>
      <c r="AT262" s="8"/>
      <c r="AU262" s="8"/>
      <c r="AV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195"/>
      <c r="Z263" s="195"/>
      <c r="AA263" s="195"/>
      <c r="AB263" s="195"/>
      <c r="AC263" s="8"/>
      <c r="AD263" s="8"/>
      <c r="AE263" s="8"/>
      <c r="AF263" s="8"/>
      <c r="AG263" s="202"/>
      <c r="AH263" s="202"/>
      <c r="AI263" s="202"/>
      <c r="AJ263" s="202"/>
      <c r="AK263" s="8"/>
      <c r="AL263" s="8"/>
      <c r="AM263" s="8"/>
      <c r="AN263" s="8"/>
      <c r="AO263" s="8"/>
      <c r="AP263" s="8"/>
      <c r="AQ263" s="8"/>
      <c r="AR263" s="8"/>
      <c r="AS263" s="8"/>
      <c r="AT263" s="8"/>
      <c r="AU263" s="8"/>
      <c r="AV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195"/>
      <c r="Z264" s="195"/>
      <c r="AA264" s="195"/>
      <c r="AB264" s="195"/>
      <c r="AC264" s="8"/>
      <c r="AD264" s="8"/>
      <c r="AE264" s="8"/>
      <c r="AF264" s="8"/>
      <c r="AG264" s="202"/>
      <c r="AH264" s="202"/>
      <c r="AI264" s="202"/>
      <c r="AJ264" s="202"/>
      <c r="AK264" s="8"/>
      <c r="AL264" s="8"/>
      <c r="AM264" s="8"/>
      <c r="AN264" s="8"/>
      <c r="AO264" s="8"/>
      <c r="AP264" s="8"/>
      <c r="AQ264" s="8"/>
      <c r="AR264" s="8"/>
      <c r="AS264" s="8"/>
      <c r="AT264" s="8"/>
      <c r="AU264" s="8"/>
      <c r="AV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195"/>
      <c r="Z265" s="195"/>
      <c r="AA265" s="195"/>
      <c r="AB265" s="195"/>
      <c r="AC265" s="8"/>
      <c r="AD265" s="8"/>
      <c r="AE265" s="8"/>
      <c r="AF265" s="8"/>
      <c r="AG265" s="202"/>
      <c r="AH265" s="202"/>
      <c r="AI265" s="202"/>
      <c r="AJ265" s="202"/>
      <c r="AK265" s="8"/>
      <c r="AL265" s="8"/>
      <c r="AM265" s="8"/>
      <c r="AN265" s="8"/>
      <c r="AO265" s="8"/>
      <c r="AP265" s="8"/>
      <c r="AQ265" s="8"/>
      <c r="AR265" s="8"/>
      <c r="AS265" s="8"/>
      <c r="AT265" s="8"/>
      <c r="AU265" s="8"/>
      <c r="AV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195"/>
      <c r="Z266" s="195"/>
      <c r="AA266" s="195"/>
      <c r="AB266" s="195"/>
      <c r="AC266" s="8"/>
      <c r="AD266" s="8"/>
      <c r="AE266" s="8"/>
      <c r="AF266" s="8"/>
      <c r="AG266" s="202"/>
      <c r="AH266" s="202"/>
      <c r="AI266" s="202"/>
      <c r="AJ266" s="202"/>
      <c r="AK266" s="8"/>
      <c r="AL266" s="8"/>
      <c r="AM266" s="8"/>
      <c r="AN266" s="8"/>
      <c r="AO266" s="8"/>
      <c r="AP266" s="8"/>
      <c r="AQ266" s="8"/>
      <c r="AR266" s="8"/>
      <c r="AS266" s="8"/>
      <c r="AT266" s="8"/>
      <c r="AU266" s="8"/>
      <c r="AV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195"/>
      <c r="Z267" s="195"/>
      <c r="AA267" s="195"/>
      <c r="AB267" s="195"/>
      <c r="AC267" s="8"/>
      <c r="AD267" s="8"/>
      <c r="AE267" s="8"/>
      <c r="AF267" s="8"/>
      <c r="AG267" s="202"/>
      <c r="AH267" s="202"/>
      <c r="AI267" s="202"/>
      <c r="AJ267" s="202"/>
      <c r="AK267" s="8"/>
      <c r="AL267" s="8"/>
      <c r="AM267" s="8"/>
      <c r="AN267" s="8"/>
      <c r="AO267" s="8"/>
      <c r="AP267" s="8"/>
      <c r="AQ267" s="8"/>
      <c r="AR267" s="8"/>
      <c r="AS267" s="8"/>
      <c r="AT267" s="8"/>
      <c r="AU267" s="8"/>
      <c r="AV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195"/>
      <c r="Z268" s="195"/>
      <c r="AA268" s="195"/>
      <c r="AB268" s="195"/>
      <c r="AC268" s="8"/>
      <c r="AD268" s="8"/>
      <c r="AE268" s="8"/>
      <c r="AF268" s="8"/>
      <c r="AG268" s="202"/>
      <c r="AH268" s="202"/>
      <c r="AI268" s="202"/>
      <c r="AJ268" s="202"/>
      <c r="AK268" s="8"/>
      <c r="AL268" s="8"/>
      <c r="AM268" s="8"/>
      <c r="AN268" s="8"/>
      <c r="AO268" s="8"/>
      <c r="AP268" s="8"/>
      <c r="AQ268" s="8"/>
      <c r="AR268" s="8"/>
      <c r="AS268" s="8"/>
      <c r="AT268" s="8"/>
      <c r="AU268" s="8"/>
      <c r="AV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195"/>
      <c r="Z269" s="195"/>
      <c r="AA269" s="195"/>
      <c r="AB269" s="195"/>
      <c r="AC269" s="8"/>
      <c r="AD269" s="8"/>
      <c r="AE269" s="8"/>
      <c r="AF269" s="8"/>
      <c r="AG269" s="202"/>
      <c r="AH269" s="202"/>
      <c r="AI269" s="202"/>
      <c r="AJ269" s="202"/>
      <c r="AK269" s="8"/>
      <c r="AL269" s="8"/>
      <c r="AM269" s="8"/>
      <c r="AN269" s="8"/>
      <c r="AO269" s="8"/>
      <c r="AP269" s="8"/>
      <c r="AQ269" s="8"/>
      <c r="AR269" s="8"/>
      <c r="AS269" s="8"/>
      <c r="AT269" s="8"/>
      <c r="AU269" s="8"/>
      <c r="AV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195"/>
      <c r="Z270" s="195"/>
      <c r="AA270" s="195"/>
      <c r="AB270" s="195"/>
      <c r="AC270" s="8"/>
      <c r="AD270" s="8"/>
      <c r="AE270" s="8"/>
      <c r="AF270" s="8"/>
      <c r="AG270" s="202"/>
      <c r="AH270" s="202"/>
      <c r="AI270" s="202"/>
      <c r="AJ270" s="202"/>
      <c r="AK270" s="8"/>
      <c r="AL270" s="8"/>
      <c r="AM270" s="8"/>
      <c r="AN270" s="8"/>
      <c r="AO270" s="8"/>
      <c r="AP270" s="8"/>
      <c r="AQ270" s="8"/>
      <c r="AR270" s="8"/>
      <c r="AS270" s="8"/>
      <c r="AT270" s="8"/>
      <c r="AU270" s="8"/>
      <c r="AV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195"/>
      <c r="Z271" s="195"/>
      <c r="AA271" s="195"/>
      <c r="AB271" s="195"/>
      <c r="AC271" s="8"/>
      <c r="AD271" s="8"/>
      <c r="AE271" s="8"/>
      <c r="AF271" s="8"/>
      <c r="AG271" s="202"/>
      <c r="AH271" s="202"/>
      <c r="AI271" s="202"/>
      <c r="AJ271" s="202"/>
      <c r="AK271" s="8"/>
      <c r="AL271" s="8"/>
      <c r="AM271" s="8"/>
      <c r="AN271" s="8"/>
      <c r="AO271" s="8"/>
      <c r="AP271" s="8"/>
      <c r="AQ271" s="8"/>
      <c r="AR271" s="8"/>
      <c r="AS271" s="8"/>
      <c r="AT271" s="8"/>
      <c r="AU271" s="8"/>
      <c r="AV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195"/>
      <c r="Z272" s="195"/>
      <c r="AA272" s="195"/>
      <c r="AB272" s="195"/>
      <c r="AC272" s="8"/>
      <c r="AD272" s="8"/>
      <c r="AE272" s="8"/>
      <c r="AF272" s="8"/>
      <c r="AG272" s="202"/>
      <c r="AH272" s="202"/>
      <c r="AI272" s="202"/>
      <c r="AJ272" s="202"/>
      <c r="AK272" s="8"/>
      <c r="AL272" s="8"/>
      <c r="AM272" s="8"/>
      <c r="AN272" s="8"/>
      <c r="AO272" s="8"/>
      <c r="AP272" s="8"/>
      <c r="AQ272" s="8"/>
      <c r="AR272" s="8"/>
      <c r="AS272" s="8"/>
      <c r="AT272" s="8"/>
      <c r="AU272" s="8"/>
      <c r="AV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195"/>
      <c r="Z273" s="195"/>
      <c r="AA273" s="195"/>
      <c r="AB273" s="195"/>
      <c r="AC273" s="8"/>
      <c r="AD273" s="8"/>
      <c r="AE273" s="8"/>
      <c r="AF273" s="8"/>
      <c r="AG273" s="202"/>
      <c r="AH273" s="202"/>
      <c r="AI273" s="202"/>
      <c r="AJ273" s="202"/>
      <c r="AK273" s="8"/>
      <c r="AL273" s="8"/>
      <c r="AM273" s="8"/>
      <c r="AN273" s="8"/>
      <c r="AO273" s="8"/>
      <c r="AP273" s="8"/>
      <c r="AQ273" s="8"/>
      <c r="AR273" s="8"/>
      <c r="AS273" s="8"/>
      <c r="AT273" s="8"/>
      <c r="AU273" s="8"/>
      <c r="AV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195"/>
      <c r="Z274" s="195"/>
      <c r="AA274" s="195"/>
      <c r="AB274" s="195"/>
      <c r="AC274" s="8"/>
      <c r="AD274" s="8"/>
      <c r="AE274" s="8"/>
      <c r="AF274" s="8"/>
      <c r="AG274" s="202"/>
      <c r="AH274" s="202"/>
      <c r="AI274" s="202"/>
      <c r="AJ274" s="202"/>
      <c r="AK274" s="8"/>
      <c r="AL274" s="8"/>
      <c r="AM274" s="8"/>
      <c r="AN274" s="8"/>
      <c r="AO274" s="8"/>
      <c r="AP274" s="8"/>
      <c r="AQ274" s="8"/>
      <c r="AR274" s="8"/>
      <c r="AS274" s="8"/>
      <c r="AT274" s="8"/>
      <c r="AU274" s="8"/>
      <c r="AV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195"/>
      <c r="Z275" s="195"/>
      <c r="AA275" s="195"/>
      <c r="AB275" s="195"/>
      <c r="AC275" s="8"/>
      <c r="AD275" s="8"/>
      <c r="AE275" s="8"/>
      <c r="AF275" s="8"/>
      <c r="AG275" s="202"/>
      <c r="AH275" s="202"/>
      <c r="AI275" s="202"/>
      <c r="AJ275" s="202"/>
      <c r="AK275" s="8"/>
      <c r="AL275" s="8"/>
      <c r="AM275" s="8"/>
      <c r="AN275" s="8"/>
      <c r="AO275" s="8"/>
      <c r="AP275" s="8"/>
      <c r="AQ275" s="8"/>
      <c r="AR275" s="8"/>
      <c r="AS275" s="8"/>
      <c r="AT275" s="8"/>
      <c r="AU275" s="8"/>
      <c r="AV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195"/>
      <c r="Z276" s="195"/>
      <c r="AA276" s="195"/>
      <c r="AB276" s="195"/>
      <c r="AC276" s="8"/>
      <c r="AD276" s="8"/>
      <c r="AE276" s="8"/>
      <c r="AF276" s="8"/>
      <c r="AG276" s="202"/>
      <c r="AH276" s="202"/>
      <c r="AI276" s="202"/>
      <c r="AJ276" s="202"/>
      <c r="AK276" s="8"/>
      <c r="AL276" s="8"/>
      <c r="AM276" s="8"/>
      <c r="AN276" s="8"/>
      <c r="AO276" s="8"/>
      <c r="AP276" s="8"/>
      <c r="AQ276" s="8"/>
      <c r="AR276" s="8"/>
      <c r="AS276" s="8"/>
      <c r="AT276" s="8"/>
      <c r="AU276" s="8"/>
      <c r="AV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195"/>
      <c r="Z277" s="195"/>
      <c r="AA277" s="195"/>
      <c r="AB277" s="195"/>
      <c r="AC277" s="8"/>
      <c r="AD277" s="8"/>
      <c r="AE277" s="8"/>
      <c r="AF277" s="8"/>
      <c r="AG277" s="202"/>
      <c r="AH277" s="202"/>
      <c r="AI277" s="202"/>
      <c r="AJ277" s="202"/>
      <c r="AK277" s="8"/>
      <c r="AL277" s="8"/>
      <c r="AM277" s="8"/>
      <c r="AN277" s="8"/>
      <c r="AO277" s="8"/>
      <c r="AP277" s="8"/>
      <c r="AQ277" s="8"/>
      <c r="AR277" s="8"/>
      <c r="AS277" s="8"/>
      <c r="AT277" s="8"/>
      <c r="AU277" s="8"/>
      <c r="AV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195"/>
      <c r="Z278" s="195"/>
      <c r="AA278" s="195"/>
      <c r="AB278" s="195"/>
      <c r="AC278" s="8"/>
      <c r="AD278" s="8"/>
      <c r="AE278" s="8"/>
      <c r="AF278" s="8"/>
      <c r="AG278" s="202"/>
      <c r="AH278" s="202"/>
      <c r="AI278" s="202"/>
      <c r="AJ278" s="202"/>
      <c r="AK278" s="8"/>
      <c r="AL278" s="8"/>
      <c r="AM278" s="8"/>
      <c r="AN278" s="8"/>
      <c r="AO278" s="8"/>
      <c r="AP278" s="8"/>
      <c r="AQ278" s="8"/>
      <c r="AR278" s="8"/>
      <c r="AS278" s="8"/>
      <c r="AT278" s="8"/>
      <c r="AU278" s="8"/>
      <c r="AV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195"/>
      <c r="Z279" s="195"/>
      <c r="AA279" s="195"/>
      <c r="AB279" s="195"/>
      <c r="AC279" s="8"/>
      <c r="AD279" s="8"/>
      <c r="AE279" s="8"/>
      <c r="AF279" s="8"/>
      <c r="AG279" s="202"/>
      <c r="AH279" s="202"/>
      <c r="AI279" s="202"/>
      <c r="AJ279" s="202"/>
      <c r="AK279" s="8"/>
      <c r="AL279" s="8"/>
      <c r="AM279" s="8"/>
      <c r="AN279" s="8"/>
      <c r="AO279" s="8"/>
      <c r="AP279" s="8"/>
      <c r="AQ279" s="8"/>
      <c r="AR279" s="8"/>
      <c r="AS279" s="8"/>
      <c r="AT279" s="8"/>
      <c r="AU279" s="8"/>
      <c r="AV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195"/>
      <c r="Z280" s="195"/>
      <c r="AA280" s="195"/>
      <c r="AB280" s="195"/>
      <c r="AC280" s="8"/>
      <c r="AD280" s="8"/>
      <c r="AE280" s="8"/>
      <c r="AF280" s="8"/>
      <c r="AG280" s="202"/>
      <c r="AH280" s="202"/>
      <c r="AI280" s="202"/>
      <c r="AJ280" s="202"/>
      <c r="AK280" s="8"/>
      <c r="AL280" s="8"/>
      <c r="AM280" s="8"/>
      <c r="AN280" s="8"/>
      <c r="AO280" s="8"/>
      <c r="AP280" s="8"/>
      <c r="AQ280" s="8"/>
      <c r="AR280" s="8"/>
      <c r="AS280" s="8"/>
      <c r="AT280" s="8"/>
      <c r="AU280" s="8"/>
      <c r="AV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195"/>
      <c r="Z281" s="195"/>
      <c r="AA281" s="195"/>
      <c r="AB281" s="195"/>
      <c r="AC281" s="8"/>
      <c r="AD281" s="8"/>
      <c r="AE281" s="8"/>
      <c r="AF281" s="8"/>
      <c r="AG281" s="202"/>
      <c r="AH281" s="202"/>
      <c r="AI281" s="202"/>
      <c r="AJ281" s="202"/>
      <c r="AK281" s="8"/>
      <c r="AL281" s="8"/>
      <c r="AM281" s="8"/>
      <c r="AN281" s="8"/>
      <c r="AO281" s="8"/>
      <c r="AP281" s="8"/>
      <c r="AQ281" s="8"/>
      <c r="AR281" s="8"/>
      <c r="AS281" s="8"/>
      <c r="AT281" s="8"/>
      <c r="AU281" s="8"/>
      <c r="AV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195"/>
      <c r="Z282" s="195"/>
      <c r="AA282" s="195"/>
      <c r="AB282" s="195"/>
      <c r="AC282" s="8"/>
      <c r="AD282" s="8"/>
      <c r="AE282" s="8"/>
      <c r="AF282" s="8"/>
      <c r="AG282" s="202"/>
      <c r="AH282" s="202"/>
      <c r="AI282" s="202"/>
      <c r="AJ282" s="202"/>
      <c r="AK282" s="8"/>
      <c r="AL282" s="8"/>
      <c r="AM282" s="8"/>
      <c r="AN282" s="8"/>
      <c r="AO282" s="8"/>
      <c r="AP282" s="8"/>
      <c r="AQ282" s="8"/>
      <c r="AR282" s="8"/>
      <c r="AS282" s="8"/>
      <c r="AT282" s="8"/>
      <c r="AU282" s="8"/>
      <c r="AV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195"/>
      <c r="Z283" s="195"/>
      <c r="AA283" s="195"/>
      <c r="AB283" s="195"/>
      <c r="AC283" s="8"/>
      <c r="AD283" s="8"/>
      <c r="AE283" s="8"/>
      <c r="AF283" s="8"/>
      <c r="AG283" s="202"/>
      <c r="AH283" s="202"/>
      <c r="AI283" s="202"/>
      <c r="AJ283" s="202"/>
      <c r="AK283" s="8"/>
      <c r="AL283" s="8"/>
      <c r="AM283" s="8"/>
      <c r="AN283" s="8"/>
      <c r="AO283" s="8"/>
      <c r="AP283" s="8"/>
      <c r="AQ283" s="8"/>
      <c r="AR283" s="8"/>
      <c r="AS283" s="8"/>
      <c r="AT283" s="8"/>
      <c r="AU283" s="8"/>
      <c r="AV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195"/>
      <c r="Z284" s="195"/>
      <c r="AA284" s="195"/>
      <c r="AB284" s="195"/>
      <c r="AC284" s="8"/>
      <c r="AD284" s="8"/>
      <c r="AE284" s="8"/>
      <c r="AF284" s="8"/>
      <c r="AG284" s="202"/>
      <c r="AH284" s="202"/>
      <c r="AI284" s="202"/>
      <c r="AJ284" s="202"/>
      <c r="AK284" s="8"/>
      <c r="AL284" s="8"/>
      <c r="AM284" s="8"/>
      <c r="AN284" s="8"/>
      <c r="AO284" s="8"/>
      <c r="AP284" s="8"/>
      <c r="AQ284" s="8"/>
      <c r="AR284" s="8"/>
      <c r="AS284" s="8"/>
      <c r="AT284" s="8"/>
      <c r="AU284" s="8"/>
      <c r="AV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195"/>
      <c r="Z285" s="195"/>
      <c r="AA285" s="195"/>
      <c r="AB285" s="195"/>
      <c r="AC285" s="8"/>
      <c r="AD285" s="8"/>
      <c r="AE285" s="8"/>
      <c r="AF285" s="8"/>
      <c r="AG285" s="202"/>
      <c r="AH285" s="202"/>
      <c r="AI285" s="202"/>
      <c r="AJ285" s="202"/>
      <c r="AK285" s="8"/>
      <c r="AL285" s="8"/>
      <c r="AM285" s="8"/>
      <c r="AN285" s="8"/>
      <c r="AO285" s="8"/>
      <c r="AP285" s="8"/>
      <c r="AQ285" s="8"/>
      <c r="AR285" s="8"/>
      <c r="AS285" s="8"/>
      <c r="AT285" s="8"/>
      <c r="AU285" s="8"/>
      <c r="AV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195"/>
      <c r="Z286" s="195"/>
      <c r="AA286" s="195"/>
      <c r="AB286" s="195"/>
      <c r="AC286" s="8"/>
      <c r="AD286" s="8"/>
      <c r="AE286" s="8"/>
      <c r="AF286" s="8"/>
      <c r="AG286" s="202"/>
      <c r="AH286" s="202"/>
      <c r="AI286" s="202"/>
      <c r="AJ286" s="202"/>
      <c r="AK286" s="8"/>
      <c r="AL286" s="8"/>
      <c r="AM286" s="8"/>
      <c r="AN286" s="8"/>
      <c r="AO286" s="8"/>
      <c r="AP286" s="8"/>
      <c r="AQ286" s="8"/>
      <c r="AR286" s="8"/>
      <c r="AS286" s="8"/>
      <c r="AT286" s="8"/>
      <c r="AU286" s="8"/>
      <c r="AV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195"/>
      <c r="Z287" s="195"/>
      <c r="AA287" s="195"/>
      <c r="AB287" s="195"/>
      <c r="AC287" s="8"/>
      <c r="AD287" s="8"/>
      <c r="AE287" s="8"/>
      <c r="AF287" s="8"/>
      <c r="AG287" s="202"/>
      <c r="AH287" s="202"/>
      <c r="AI287" s="202"/>
      <c r="AJ287" s="202"/>
      <c r="AK287" s="8"/>
      <c r="AL287" s="8"/>
      <c r="AM287" s="8"/>
      <c r="AN287" s="8"/>
      <c r="AO287" s="8"/>
      <c r="AP287" s="8"/>
      <c r="AQ287" s="8"/>
      <c r="AR287" s="8"/>
      <c r="AS287" s="8"/>
      <c r="AT287" s="8"/>
      <c r="AU287" s="8"/>
      <c r="AV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195"/>
      <c r="Z288" s="195"/>
      <c r="AA288" s="195"/>
      <c r="AB288" s="195"/>
      <c r="AC288" s="8"/>
      <c r="AD288" s="8"/>
      <c r="AE288" s="8"/>
      <c r="AF288" s="8"/>
      <c r="AG288" s="202"/>
      <c r="AH288" s="202"/>
      <c r="AI288" s="202"/>
      <c r="AJ288" s="202"/>
      <c r="AK288" s="8"/>
      <c r="AL288" s="8"/>
      <c r="AM288" s="8"/>
      <c r="AN288" s="8"/>
      <c r="AO288" s="8"/>
      <c r="AP288" s="8"/>
      <c r="AQ288" s="8"/>
      <c r="AR288" s="8"/>
      <c r="AS288" s="8"/>
      <c r="AT288" s="8"/>
      <c r="AU288" s="8"/>
      <c r="AV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195"/>
      <c r="Z289" s="195"/>
      <c r="AA289" s="195"/>
      <c r="AB289" s="195"/>
      <c r="AC289" s="8"/>
      <c r="AD289" s="8"/>
      <c r="AE289" s="8"/>
      <c r="AF289" s="8"/>
      <c r="AG289" s="202"/>
      <c r="AH289" s="202"/>
      <c r="AI289" s="202"/>
      <c r="AJ289" s="202"/>
      <c r="AK289" s="8"/>
      <c r="AL289" s="8"/>
      <c r="AM289" s="8"/>
      <c r="AN289" s="8"/>
      <c r="AO289" s="8"/>
      <c r="AP289" s="8"/>
      <c r="AQ289" s="8"/>
      <c r="AR289" s="8"/>
      <c r="AS289" s="8"/>
      <c r="AT289" s="8"/>
      <c r="AU289" s="8"/>
      <c r="AV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195"/>
      <c r="Z290" s="195"/>
      <c r="AA290" s="195"/>
      <c r="AB290" s="195"/>
      <c r="AC290" s="8"/>
      <c r="AD290" s="8"/>
      <c r="AE290" s="8"/>
      <c r="AF290" s="8"/>
      <c r="AG290" s="202"/>
      <c r="AH290" s="202"/>
      <c r="AI290" s="202"/>
      <c r="AJ290" s="202"/>
      <c r="AK290" s="8"/>
      <c r="AL290" s="8"/>
      <c r="AM290" s="8"/>
      <c r="AN290" s="8"/>
      <c r="AO290" s="8"/>
      <c r="AP290" s="8"/>
      <c r="AQ290" s="8"/>
      <c r="AR290" s="8"/>
      <c r="AS290" s="8"/>
      <c r="AT290" s="8"/>
      <c r="AU290" s="8"/>
      <c r="AV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195"/>
      <c r="Z291" s="195"/>
      <c r="AA291" s="195"/>
      <c r="AB291" s="195"/>
      <c r="AC291" s="8"/>
      <c r="AD291" s="8"/>
      <c r="AE291" s="8"/>
      <c r="AF291" s="8"/>
      <c r="AG291" s="202"/>
      <c r="AH291" s="202"/>
      <c r="AI291" s="202"/>
      <c r="AJ291" s="202"/>
      <c r="AK291" s="8"/>
      <c r="AL291" s="8"/>
      <c r="AM291" s="8"/>
      <c r="AN291" s="8"/>
      <c r="AO291" s="8"/>
      <c r="AP291" s="8"/>
      <c r="AQ291" s="8"/>
      <c r="AR291" s="8"/>
      <c r="AS291" s="8"/>
      <c r="AT291" s="8"/>
      <c r="AU291" s="8"/>
      <c r="AV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195"/>
      <c r="Z292" s="195"/>
      <c r="AA292" s="195"/>
      <c r="AB292" s="195"/>
      <c r="AC292" s="8"/>
      <c r="AD292" s="8"/>
      <c r="AE292" s="8"/>
      <c r="AF292" s="8"/>
      <c r="AG292" s="202"/>
      <c r="AH292" s="202"/>
      <c r="AI292" s="202"/>
      <c r="AJ292" s="202"/>
      <c r="AK292" s="8"/>
      <c r="AL292" s="8"/>
      <c r="AM292" s="8"/>
      <c r="AN292" s="8"/>
      <c r="AO292" s="8"/>
      <c r="AP292" s="8"/>
      <c r="AQ292" s="8"/>
      <c r="AR292" s="8"/>
      <c r="AS292" s="8"/>
      <c r="AT292" s="8"/>
      <c r="AU292" s="8"/>
      <c r="AV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195"/>
      <c r="Z293" s="195"/>
      <c r="AA293" s="195"/>
      <c r="AB293" s="195"/>
      <c r="AC293" s="8"/>
      <c r="AD293" s="8"/>
      <c r="AE293" s="8"/>
      <c r="AF293" s="8"/>
      <c r="AG293" s="202"/>
      <c r="AH293" s="202"/>
      <c r="AI293" s="202"/>
      <c r="AJ293" s="202"/>
      <c r="AK293" s="8"/>
      <c r="AL293" s="8"/>
      <c r="AM293" s="8"/>
      <c r="AN293" s="8"/>
      <c r="AO293" s="8"/>
      <c r="AP293" s="8"/>
      <c r="AQ293" s="8"/>
      <c r="AR293" s="8"/>
      <c r="AS293" s="8"/>
      <c r="AT293" s="8"/>
      <c r="AU293" s="8"/>
      <c r="AV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195"/>
      <c r="Z294" s="195"/>
      <c r="AA294" s="195"/>
      <c r="AB294" s="195"/>
      <c r="AC294" s="8"/>
      <c r="AD294" s="8"/>
      <c r="AE294" s="8"/>
      <c r="AF294" s="8"/>
      <c r="AG294" s="202"/>
      <c r="AH294" s="202"/>
      <c r="AI294" s="202"/>
      <c r="AJ294" s="202"/>
      <c r="AK294" s="8"/>
      <c r="AL294" s="8"/>
      <c r="AM294" s="8"/>
      <c r="AN294" s="8"/>
      <c r="AO294" s="8"/>
      <c r="AP294" s="8"/>
      <c r="AQ294" s="8"/>
      <c r="AR294" s="8"/>
      <c r="AS294" s="8"/>
      <c r="AT294" s="8"/>
      <c r="AU294" s="8"/>
      <c r="AV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195"/>
      <c r="Z295" s="195"/>
      <c r="AA295" s="195"/>
      <c r="AB295" s="195"/>
      <c r="AC295" s="8"/>
      <c r="AD295" s="8"/>
      <c r="AE295" s="8"/>
      <c r="AF295" s="8"/>
      <c r="AG295" s="202"/>
      <c r="AH295" s="202"/>
      <c r="AI295" s="202"/>
      <c r="AJ295" s="202"/>
      <c r="AK295" s="8"/>
      <c r="AL295" s="8"/>
      <c r="AM295" s="8"/>
      <c r="AN295" s="8"/>
      <c r="AO295" s="8"/>
      <c r="AP295" s="8"/>
      <c r="AQ295" s="8"/>
      <c r="AR295" s="8"/>
      <c r="AS295" s="8"/>
      <c r="AT295" s="8"/>
      <c r="AU295" s="8"/>
      <c r="AV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195"/>
      <c r="Z296" s="195"/>
      <c r="AA296" s="195"/>
      <c r="AB296" s="195"/>
      <c r="AC296" s="8"/>
      <c r="AD296" s="8"/>
      <c r="AE296" s="8"/>
      <c r="AF296" s="8"/>
      <c r="AG296" s="202"/>
      <c r="AH296" s="202"/>
      <c r="AI296" s="202"/>
      <c r="AJ296" s="202"/>
      <c r="AK296" s="8"/>
      <c r="AL296" s="8"/>
      <c r="AM296" s="8"/>
      <c r="AN296" s="8"/>
      <c r="AO296" s="8"/>
      <c r="AP296" s="8"/>
      <c r="AQ296" s="8"/>
      <c r="AR296" s="8"/>
      <c r="AS296" s="8"/>
      <c r="AT296" s="8"/>
      <c r="AU296" s="8"/>
      <c r="AV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195"/>
      <c r="Z297" s="195"/>
      <c r="AA297" s="195"/>
      <c r="AB297" s="195"/>
      <c r="AC297" s="8"/>
      <c r="AD297" s="8"/>
      <c r="AE297" s="8"/>
      <c r="AF297" s="8"/>
      <c r="AG297" s="202"/>
      <c r="AH297" s="202"/>
      <c r="AI297" s="202"/>
      <c r="AJ297" s="202"/>
      <c r="AK297" s="8"/>
      <c r="AL297" s="8"/>
      <c r="AM297" s="8"/>
      <c r="AN297" s="8"/>
      <c r="AO297" s="8"/>
      <c r="AP297" s="8"/>
      <c r="AQ297" s="8"/>
      <c r="AR297" s="8"/>
      <c r="AS297" s="8"/>
      <c r="AT297" s="8"/>
      <c r="AU297" s="8"/>
      <c r="AV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195"/>
      <c r="Z298" s="195"/>
      <c r="AA298" s="195"/>
      <c r="AB298" s="195"/>
      <c r="AC298" s="8"/>
      <c r="AD298" s="8"/>
      <c r="AE298" s="8"/>
      <c r="AF298" s="8"/>
      <c r="AG298" s="202"/>
      <c r="AH298" s="202"/>
      <c r="AI298" s="202"/>
      <c r="AJ298" s="202"/>
      <c r="AK298" s="8"/>
      <c r="AL298" s="8"/>
      <c r="AM298" s="8"/>
      <c r="AN298" s="8"/>
      <c r="AO298" s="8"/>
      <c r="AP298" s="8"/>
      <c r="AQ298" s="8"/>
      <c r="AR298" s="8"/>
      <c r="AS298" s="8"/>
      <c r="AT298" s="8"/>
      <c r="AU298" s="8"/>
      <c r="AV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195"/>
      <c r="Z299" s="195"/>
      <c r="AA299" s="195"/>
      <c r="AB299" s="195"/>
      <c r="AC299" s="8"/>
      <c r="AD299" s="8"/>
      <c r="AE299" s="8"/>
      <c r="AF299" s="8"/>
      <c r="AG299" s="202"/>
      <c r="AH299" s="202"/>
      <c r="AI299" s="202"/>
      <c r="AJ299" s="202"/>
      <c r="AK299" s="8"/>
      <c r="AL299" s="8"/>
      <c r="AM299" s="8"/>
      <c r="AN299" s="8"/>
      <c r="AO299" s="8"/>
      <c r="AP299" s="8"/>
      <c r="AQ299" s="8"/>
      <c r="AR299" s="8"/>
      <c r="AS299" s="8"/>
      <c r="AT299" s="8"/>
      <c r="AU299" s="8"/>
      <c r="AV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195"/>
      <c r="Z300" s="195"/>
      <c r="AA300" s="195"/>
      <c r="AB300" s="195"/>
      <c r="AC300" s="8"/>
      <c r="AD300" s="8"/>
      <c r="AE300" s="8"/>
      <c r="AF300" s="8"/>
      <c r="AG300" s="202"/>
      <c r="AH300" s="202"/>
      <c r="AI300" s="202"/>
      <c r="AJ300" s="202"/>
      <c r="AK300" s="8"/>
      <c r="AL300" s="8"/>
      <c r="AM300" s="8"/>
      <c r="AN300" s="8"/>
      <c r="AO300" s="8"/>
      <c r="AP300" s="8"/>
      <c r="AQ300" s="8"/>
      <c r="AR300" s="8"/>
      <c r="AS300" s="8"/>
      <c r="AT300" s="8"/>
      <c r="AU300" s="8"/>
      <c r="AV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195"/>
      <c r="Z301" s="195"/>
      <c r="AA301" s="195"/>
      <c r="AB301" s="195"/>
      <c r="AC301" s="8"/>
      <c r="AD301" s="8"/>
      <c r="AE301" s="8"/>
      <c r="AF301" s="8"/>
      <c r="AG301" s="202"/>
      <c r="AH301" s="202"/>
      <c r="AI301" s="202"/>
      <c r="AJ301" s="202"/>
      <c r="AK301" s="8"/>
      <c r="AL301" s="8"/>
      <c r="AM301" s="8"/>
      <c r="AN301" s="8"/>
      <c r="AO301" s="8"/>
      <c r="AP301" s="8"/>
      <c r="AQ301" s="8"/>
      <c r="AR301" s="8"/>
      <c r="AS301" s="8"/>
      <c r="AT301" s="8"/>
      <c r="AU301" s="8"/>
      <c r="AV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195"/>
      <c r="Z302" s="195"/>
      <c r="AA302" s="195"/>
      <c r="AB302" s="195"/>
      <c r="AC302" s="8"/>
      <c r="AD302" s="8"/>
      <c r="AE302" s="8"/>
      <c r="AF302" s="8"/>
      <c r="AG302" s="202"/>
      <c r="AH302" s="202"/>
      <c r="AI302" s="202"/>
      <c r="AJ302" s="202"/>
      <c r="AK302" s="8"/>
      <c r="AL302" s="8"/>
      <c r="AM302" s="8"/>
      <c r="AN302" s="8"/>
      <c r="AO302" s="8"/>
      <c r="AP302" s="8"/>
      <c r="AQ302" s="8"/>
      <c r="AR302" s="8"/>
      <c r="AS302" s="8"/>
      <c r="AT302" s="8"/>
      <c r="AU302" s="8"/>
      <c r="AV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195"/>
      <c r="Z303" s="195"/>
      <c r="AA303" s="195"/>
      <c r="AB303" s="195"/>
      <c r="AC303" s="8"/>
      <c r="AD303" s="8"/>
      <c r="AE303" s="8"/>
      <c r="AF303" s="8"/>
      <c r="AG303" s="202"/>
      <c r="AH303" s="202"/>
      <c r="AI303" s="202"/>
      <c r="AJ303" s="202"/>
      <c r="AK303" s="8"/>
      <c r="AL303" s="8"/>
      <c r="AM303" s="8"/>
      <c r="AN303" s="8"/>
      <c r="AO303" s="8"/>
      <c r="AP303" s="8"/>
      <c r="AQ303" s="8"/>
      <c r="AR303" s="8"/>
      <c r="AS303" s="8"/>
      <c r="AT303" s="8"/>
      <c r="AU303" s="8"/>
      <c r="AV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195"/>
      <c r="Z304" s="195"/>
      <c r="AA304" s="195"/>
      <c r="AB304" s="195"/>
      <c r="AC304" s="8"/>
      <c r="AD304" s="8"/>
      <c r="AE304" s="8"/>
      <c r="AF304" s="8"/>
      <c r="AG304" s="202"/>
      <c r="AH304" s="202"/>
      <c r="AI304" s="202"/>
      <c r="AJ304" s="202"/>
      <c r="AK304" s="8"/>
      <c r="AL304" s="8"/>
      <c r="AM304" s="8"/>
      <c r="AN304" s="8"/>
      <c r="AO304" s="8"/>
      <c r="AP304" s="8"/>
      <c r="AQ304" s="8"/>
      <c r="AR304" s="8"/>
      <c r="AS304" s="8"/>
      <c r="AT304" s="8"/>
      <c r="AU304" s="8"/>
      <c r="AV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195"/>
      <c r="Z305" s="195"/>
      <c r="AA305" s="195"/>
      <c r="AB305" s="195"/>
      <c r="AC305" s="8"/>
      <c r="AD305" s="8"/>
      <c r="AE305" s="8"/>
      <c r="AF305" s="8"/>
      <c r="AG305" s="202"/>
      <c r="AH305" s="202"/>
      <c r="AI305" s="202"/>
      <c r="AJ305" s="202"/>
      <c r="AK305" s="8"/>
      <c r="AL305" s="8"/>
      <c r="AM305" s="8"/>
      <c r="AN305" s="8"/>
      <c r="AO305" s="8"/>
      <c r="AP305" s="8"/>
      <c r="AQ305" s="8"/>
      <c r="AR305" s="8"/>
      <c r="AS305" s="8"/>
      <c r="AT305" s="8"/>
      <c r="AU305" s="8"/>
      <c r="AV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195"/>
      <c r="Z306" s="195"/>
      <c r="AA306" s="195"/>
      <c r="AB306" s="195"/>
      <c r="AC306" s="8"/>
      <c r="AD306" s="8"/>
      <c r="AE306" s="8"/>
      <c r="AF306" s="8"/>
      <c r="AG306" s="202"/>
      <c r="AH306" s="202"/>
      <c r="AI306" s="202"/>
      <c r="AJ306" s="202"/>
      <c r="AK306" s="8"/>
      <c r="AL306" s="8"/>
      <c r="AM306" s="8"/>
      <c r="AN306" s="8"/>
      <c r="AO306" s="8"/>
      <c r="AP306" s="8"/>
      <c r="AQ306" s="8"/>
      <c r="AR306" s="8"/>
      <c r="AS306" s="8"/>
      <c r="AT306" s="8"/>
      <c r="AU306" s="8"/>
      <c r="AV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195"/>
      <c r="Z307" s="195"/>
      <c r="AA307" s="195"/>
      <c r="AB307" s="195"/>
      <c r="AC307" s="8"/>
      <c r="AD307" s="8"/>
      <c r="AE307" s="8"/>
      <c r="AF307" s="8"/>
      <c r="AG307" s="202"/>
      <c r="AH307" s="202"/>
      <c r="AI307" s="202"/>
      <c r="AJ307" s="202"/>
      <c r="AK307" s="8"/>
      <c r="AL307" s="8"/>
      <c r="AM307" s="8"/>
      <c r="AN307" s="8"/>
      <c r="AO307" s="8"/>
      <c r="AP307" s="8"/>
      <c r="AQ307" s="8"/>
      <c r="AR307" s="8"/>
      <c r="AS307" s="8"/>
      <c r="AT307" s="8"/>
      <c r="AU307" s="8"/>
      <c r="AV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195"/>
      <c r="Z308" s="195"/>
      <c r="AA308" s="195"/>
      <c r="AB308" s="195"/>
      <c r="AC308" s="8"/>
      <c r="AD308" s="8"/>
      <c r="AE308" s="8"/>
      <c r="AF308" s="8"/>
      <c r="AG308" s="202"/>
      <c r="AH308" s="202"/>
      <c r="AI308" s="202"/>
      <c r="AJ308" s="202"/>
      <c r="AK308" s="8"/>
      <c r="AL308" s="8"/>
      <c r="AM308" s="8"/>
      <c r="AN308" s="8"/>
      <c r="AO308" s="8"/>
      <c r="AP308" s="8"/>
      <c r="AQ308" s="8"/>
      <c r="AR308" s="8"/>
      <c r="AS308" s="8"/>
      <c r="AT308" s="8"/>
      <c r="AU308" s="8"/>
      <c r="AV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195"/>
      <c r="Z309" s="195"/>
      <c r="AA309" s="195"/>
      <c r="AB309" s="195"/>
      <c r="AC309" s="8"/>
      <c r="AD309" s="8"/>
      <c r="AE309" s="8"/>
      <c r="AF309" s="8"/>
      <c r="AG309" s="202"/>
      <c r="AH309" s="202"/>
      <c r="AI309" s="202"/>
      <c r="AJ309" s="202"/>
      <c r="AK309" s="8"/>
      <c r="AL309" s="8"/>
      <c r="AM309" s="8"/>
      <c r="AN309" s="8"/>
      <c r="AO309" s="8"/>
      <c r="AP309" s="8"/>
      <c r="AQ309" s="8"/>
      <c r="AR309" s="8"/>
      <c r="AS309" s="8"/>
      <c r="AT309" s="8"/>
      <c r="AU309" s="8"/>
      <c r="AV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195"/>
      <c r="Z310" s="195"/>
      <c r="AA310" s="195"/>
      <c r="AB310" s="195"/>
      <c r="AC310" s="8"/>
      <c r="AD310" s="8"/>
      <c r="AE310" s="8"/>
      <c r="AF310" s="8"/>
      <c r="AG310" s="202"/>
      <c r="AH310" s="202"/>
      <c r="AI310" s="202"/>
      <c r="AJ310" s="202"/>
      <c r="AK310" s="8"/>
      <c r="AL310" s="8"/>
      <c r="AM310" s="8"/>
      <c r="AN310" s="8"/>
      <c r="AO310" s="8"/>
      <c r="AP310" s="8"/>
      <c r="AQ310" s="8"/>
      <c r="AR310" s="8"/>
      <c r="AS310" s="8"/>
      <c r="AT310" s="8"/>
      <c r="AU310" s="8"/>
      <c r="AV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195"/>
      <c r="Z311" s="195"/>
      <c r="AA311" s="195"/>
      <c r="AB311" s="195"/>
      <c r="AC311" s="8"/>
      <c r="AD311" s="8"/>
      <c r="AE311" s="8"/>
      <c r="AF311" s="8"/>
      <c r="AG311" s="202"/>
      <c r="AH311" s="202"/>
      <c r="AI311" s="202"/>
      <c r="AJ311" s="202"/>
      <c r="AK311" s="8"/>
      <c r="AL311" s="8"/>
      <c r="AM311" s="8"/>
      <c r="AN311" s="8"/>
      <c r="AO311" s="8"/>
      <c r="AP311" s="8"/>
      <c r="AQ311" s="8"/>
      <c r="AR311" s="8"/>
      <c r="AS311" s="8"/>
      <c r="AT311" s="8"/>
      <c r="AU311" s="8"/>
      <c r="AV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195"/>
      <c r="Z312" s="195"/>
      <c r="AA312" s="195"/>
      <c r="AB312" s="195"/>
      <c r="AC312" s="8"/>
      <c r="AD312" s="8"/>
      <c r="AE312" s="8"/>
      <c r="AF312" s="8"/>
      <c r="AG312" s="202"/>
      <c r="AH312" s="202"/>
      <c r="AI312" s="202"/>
      <c r="AJ312" s="202"/>
      <c r="AK312" s="8"/>
      <c r="AL312" s="8"/>
      <c r="AM312" s="8"/>
      <c r="AN312" s="8"/>
      <c r="AO312" s="8"/>
      <c r="AP312" s="8"/>
      <c r="AQ312" s="8"/>
      <c r="AR312" s="8"/>
      <c r="AS312" s="8"/>
      <c r="AT312" s="8"/>
      <c r="AU312" s="8"/>
      <c r="AV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195"/>
      <c r="Z313" s="195"/>
      <c r="AA313" s="195"/>
      <c r="AB313" s="195"/>
      <c r="AC313" s="8"/>
      <c r="AD313" s="8"/>
      <c r="AE313" s="8"/>
      <c r="AF313" s="8"/>
      <c r="AG313" s="202"/>
      <c r="AH313" s="202"/>
      <c r="AI313" s="202"/>
      <c r="AJ313" s="202"/>
      <c r="AK313" s="8"/>
      <c r="AL313" s="8"/>
      <c r="AM313" s="8"/>
      <c r="AN313" s="8"/>
      <c r="AO313" s="8"/>
      <c r="AP313" s="8"/>
      <c r="AQ313" s="8"/>
      <c r="AR313" s="8"/>
      <c r="AS313" s="8"/>
      <c r="AT313" s="8"/>
      <c r="AU313" s="8"/>
      <c r="AV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195"/>
      <c r="Z314" s="195"/>
      <c r="AA314" s="195"/>
      <c r="AB314" s="195"/>
      <c r="AC314" s="8"/>
      <c r="AD314" s="8"/>
      <c r="AE314" s="8"/>
      <c r="AF314" s="8"/>
      <c r="AG314" s="202"/>
      <c r="AH314" s="202"/>
      <c r="AI314" s="202"/>
      <c r="AJ314" s="202"/>
      <c r="AK314" s="8"/>
      <c r="AL314" s="8"/>
      <c r="AM314" s="8"/>
      <c r="AN314" s="8"/>
      <c r="AO314" s="8"/>
      <c r="AP314" s="8"/>
      <c r="AQ314" s="8"/>
      <c r="AR314" s="8"/>
      <c r="AS314" s="8"/>
      <c r="AT314" s="8"/>
      <c r="AU314" s="8"/>
      <c r="AV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195"/>
      <c r="Z315" s="195"/>
      <c r="AA315" s="195"/>
      <c r="AB315" s="195"/>
      <c r="AC315" s="8"/>
      <c r="AD315" s="8"/>
      <c r="AE315" s="8"/>
      <c r="AF315" s="8"/>
      <c r="AG315" s="202"/>
      <c r="AH315" s="202"/>
      <c r="AI315" s="202"/>
      <c r="AJ315" s="202"/>
      <c r="AK315" s="8"/>
      <c r="AL315" s="8"/>
      <c r="AM315" s="8"/>
      <c r="AN315" s="8"/>
      <c r="AO315" s="8"/>
      <c r="AP315" s="8"/>
      <c r="AQ315" s="8"/>
      <c r="AR315" s="8"/>
      <c r="AS315" s="8"/>
      <c r="AT315" s="8"/>
      <c r="AU315" s="8"/>
      <c r="AV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195"/>
      <c r="Z316" s="195"/>
      <c r="AA316" s="195"/>
      <c r="AB316" s="195"/>
      <c r="AC316" s="8"/>
      <c r="AD316" s="8"/>
      <c r="AE316" s="8"/>
      <c r="AF316" s="8"/>
      <c r="AG316" s="202"/>
      <c r="AH316" s="202"/>
      <c r="AI316" s="202"/>
      <c r="AJ316" s="202"/>
      <c r="AK316" s="8"/>
      <c r="AL316" s="8"/>
      <c r="AM316" s="8"/>
      <c r="AN316" s="8"/>
      <c r="AO316" s="8"/>
      <c r="AP316" s="8"/>
      <c r="AQ316" s="8"/>
      <c r="AR316" s="8"/>
      <c r="AS316" s="8"/>
      <c r="AT316" s="8"/>
      <c r="AU316" s="8"/>
      <c r="AV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195"/>
      <c r="Z317" s="195"/>
      <c r="AA317" s="195"/>
      <c r="AB317" s="195"/>
      <c r="AC317" s="8"/>
      <c r="AD317" s="8"/>
      <c r="AE317" s="8"/>
      <c r="AF317" s="8"/>
      <c r="AG317" s="202"/>
      <c r="AH317" s="202"/>
      <c r="AI317" s="202"/>
      <c r="AJ317" s="202"/>
      <c r="AK317" s="8"/>
      <c r="AL317" s="8"/>
      <c r="AM317" s="8"/>
      <c r="AN317" s="8"/>
      <c r="AO317" s="8"/>
      <c r="AP317" s="8"/>
      <c r="AQ317" s="8"/>
      <c r="AR317" s="8"/>
      <c r="AS317" s="8"/>
      <c r="AT317" s="8"/>
      <c r="AU317" s="8"/>
      <c r="AV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195"/>
      <c r="Z318" s="195"/>
      <c r="AA318" s="195"/>
      <c r="AB318" s="195"/>
      <c r="AC318" s="8"/>
      <c r="AD318" s="8"/>
      <c r="AE318" s="8"/>
      <c r="AF318" s="8"/>
      <c r="AG318" s="202"/>
      <c r="AH318" s="202"/>
      <c r="AI318" s="202"/>
      <c r="AJ318" s="202"/>
      <c r="AK318" s="8"/>
      <c r="AL318" s="8"/>
      <c r="AM318" s="8"/>
      <c r="AN318" s="8"/>
      <c r="AO318" s="8"/>
      <c r="AP318" s="8"/>
      <c r="AQ318" s="8"/>
      <c r="AR318" s="8"/>
      <c r="AS318" s="8"/>
      <c r="AT318" s="8"/>
      <c r="AU318" s="8"/>
      <c r="AV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195"/>
      <c r="Z319" s="195"/>
      <c r="AA319" s="195"/>
      <c r="AB319" s="195"/>
      <c r="AC319" s="8"/>
      <c r="AD319" s="8"/>
      <c r="AE319" s="8"/>
      <c r="AF319" s="8"/>
      <c r="AG319" s="202"/>
      <c r="AH319" s="202"/>
      <c r="AI319" s="202"/>
      <c r="AJ319" s="202"/>
      <c r="AK319" s="8"/>
      <c r="AL319" s="8"/>
      <c r="AM319" s="8"/>
      <c r="AN319" s="8"/>
      <c r="AO319" s="8"/>
      <c r="AP319" s="8"/>
      <c r="AQ319" s="8"/>
      <c r="AR319" s="8"/>
      <c r="AS319" s="8"/>
      <c r="AT319" s="8"/>
      <c r="AU319" s="8"/>
      <c r="AV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195"/>
      <c r="Z320" s="195"/>
      <c r="AA320" s="195"/>
      <c r="AB320" s="195"/>
      <c r="AC320" s="8"/>
      <c r="AD320" s="8"/>
      <c r="AE320" s="8"/>
      <c r="AF320" s="8"/>
      <c r="AG320" s="202"/>
      <c r="AH320" s="202"/>
      <c r="AI320" s="202"/>
      <c r="AJ320" s="202"/>
      <c r="AK320" s="8"/>
      <c r="AL320" s="8"/>
      <c r="AM320" s="8"/>
      <c r="AN320" s="8"/>
      <c r="AO320" s="8"/>
      <c r="AP320" s="8"/>
      <c r="AQ320" s="8"/>
      <c r="AR320" s="8"/>
      <c r="AS320" s="8"/>
      <c r="AT320" s="8"/>
      <c r="AU320" s="8"/>
      <c r="AV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195"/>
      <c r="Z321" s="195"/>
      <c r="AA321" s="195"/>
      <c r="AB321" s="195"/>
      <c r="AC321" s="8"/>
      <c r="AD321" s="8"/>
      <c r="AE321" s="8"/>
      <c r="AF321" s="8"/>
      <c r="AG321" s="202"/>
      <c r="AH321" s="202"/>
      <c r="AI321" s="202"/>
      <c r="AJ321" s="202"/>
      <c r="AK321" s="8"/>
      <c r="AL321" s="8"/>
      <c r="AM321" s="8"/>
      <c r="AN321" s="8"/>
      <c r="AO321" s="8"/>
      <c r="AP321" s="8"/>
      <c r="AQ321" s="8"/>
      <c r="AR321" s="8"/>
      <c r="AS321" s="8"/>
      <c r="AT321" s="8"/>
      <c r="AU321" s="8"/>
      <c r="AV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195"/>
      <c r="Z322" s="195"/>
      <c r="AA322" s="195"/>
      <c r="AB322" s="195"/>
      <c r="AC322" s="8"/>
      <c r="AD322" s="8"/>
      <c r="AE322" s="8"/>
      <c r="AF322" s="8"/>
      <c r="AG322" s="202"/>
      <c r="AH322" s="202"/>
      <c r="AI322" s="202"/>
      <c r="AJ322" s="202"/>
      <c r="AK322" s="8"/>
      <c r="AL322" s="8"/>
      <c r="AM322" s="8"/>
      <c r="AN322" s="8"/>
      <c r="AO322" s="8"/>
      <c r="AP322" s="8"/>
      <c r="AQ322" s="8"/>
      <c r="AR322" s="8"/>
      <c r="AS322" s="8"/>
      <c r="AT322" s="8"/>
      <c r="AU322" s="8"/>
      <c r="AV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195"/>
      <c r="Z323" s="195"/>
      <c r="AA323" s="195"/>
      <c r="AB323" s="195"/>
      <c r="AC323" s="8"/>
      <c r="AD323" s="8"/>
      <c r="AE323" s="8"/>
      <c r="AF323" s="8"/>
      <c r="AG323" s="202"/>
      <c r="AH323" s="202"/>
      <c r="AI323" s="202"/>
      <c r="AJ323" s="202"/>
      <c r="AK323" s="8"/>
      <c r="AL323" s="8"/>
      <c r="AM323" s="8"/>
      <c r="AN323" s="8"/>
      <c r="AO323" s="8"/>
      <c r="AP323" s="8"/>
      <c r="AQ323" s="8"/>
      <c r="AR323" s="8"/>
      <c r="AS323" s="8"/>
      <c r="AT323" s="8"/>
      <c r="AU323" s="8"/>
      <c r="AV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195"/>
      <c r="Z324" s="195"/>
      <c r="AA324" s="195"/>
      <c r="AB324" s="195"/>
      <c r="AC324" s="8"/>
      <c r="AD324" s="8"/>
      <c r="AE324" s="8"/>
      <c r="AF324" s="8"/>
      <c r="AG324" s="202"/>
      <c r="AH324" s="202"/>
      <c r="AI324" s="202"/>
      <c r="AJ324" s="202"/>
      <c r="AK324" s="8"/>
      <c r="AL324" s="8"/>
      <c r="AM324" s="8"/>
      <c r="AN324" s="8"/>
      <c r="AO324" s="8"/>
      <c r="AP324" s="8"/>
      <c r="AQ324" s="8"/>
      <c r="AR324" s="8"/>
      <c r="AS324" s="8"/>
      <c r="AT324" s="8"/>
      <c r="AU324" s="8"/>
      <c r="AV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195"/>
      <c r="Z325" s="195"/>
      <c r="AA325" s="195"/>
      <c r="AB325" s="195"/>
      <c r="AC325" s="8"/>
      <c r="AD325" s="8"/>
      <c r="AE325" s="8"/>
      <c r="AF325" s="8"/>
      <c r="AG325" s="202"/>
      <c r="AH325" s="202"/>
      <c r="AI325" s="202"/>
      <c r="AJ325" s="202"/>
      <c r="AK325" s="8"/>
      <c r="AL325" s="8"/>
      <c r="AM325" s="8"/>
      <c r="AN325" s="8"/>
      <c r="AO325" s="8"/>
      <c r="AP325" s="8"/>
      <c r="AQ325" s="8"/>
      <c r="AR325" s="8"/>
      <c r="AS325" s="8"/>
      <c r="AT325" s="8"/>
      <c r="AU325" s="8"/>
      <c r="AV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195"/>
      <c r="Z326" s="195"/>
      <c r="AA326" s="195"/>
      <c r="AB326" s="195"/>
      <c r="AC326" s="8"/>
      <c r="AD326" s="8"/>
      <c r="AE326" s="8"/>
      <c r="AF326" s="8"/>
      <c r="AG326" s="202"/>
      <c r="AH326" s="202"/>
      <c r="AI326" s="202"/>
      <c r="AJ326" s="202"/>
      <c r="AK326" s="8"/>
      <c r="AL326" s="8"/>
      <c r="AM326" s="8"/>
      <c r="AN326" s="8"/>
      <c r="AO326" s="8"/>
      <c r="AP326" s="8"/>
      <c r="AQ326" s="8"/>
      <c r="AR326" s="8"/>
      <c r="AS326" s="8"/>
      <c r="AT326" s="8"/>
      <c r="AU326" s="8"/>
      <c r="AV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195"/>
      <c r="Z327" s="195"/>
      <c r="AA327" s="195"/>
      <c r="AB327" s="195"/>
      <c r="AC327" s="8"/>
      <c r="AD327" s="8"/>
      <c r="AE327" s="8"/>
      <c r="AF327" s="8"/>
      <c r="AG327" s="202"/>
      <c r="AH327" s="202"/>
      <c r="AI327" s="202"/>
      <c r="AJ327" s="202"/>
      <c r="AK327" s="8"/>
      <c r="AL327" s="8"/>
      <c r="AM327" s="8"/>
      <c r="AN327" s="8"/>
      <c r="AO327" s="8"/>
      <c r="AP327" s="8"/>
      <c r="AQ327" s="8"/>
      <c r="AR327" s="8"/>
      <c r="AS327" s="8"/>
      <c r="AT327" s="8"/>
      <c r="AU327" s="8"/>
      <c r="AV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195"/>
      <c r="Z328" s="195"/>
      <c r="AA328" s="195"/>
      <c r="AB328" s="195"/>
      <c r="AC328" s="8"/>
      <c r="AD328" s="8"/>
      <c r="AE328" s="8"/>
      <c r="AF328" s="8"/>
      <c r="AG328" s="202"/>
      <c r="AH328" s="202"/>
      <c r="AI328" s="202"/>
      <c r="AJ328" s="202"/>
      <c r="AK328" s="8"/>
      <c r="AL328" s="8"/>
      <c r="AM328" s="8"/>
      <c r="AN328" s="8"/>
      <c r="AO328" s="8"/>
      <c r="AP328" s="8"/>
      <c r="AQ328" s="8"/>
      <c r="AR328" s="8"/>
      <c r="AS328" s="8"/>
      <c r="AT328" s="8"/>
      <c r="AU328" s="8"/>
      <c r="AV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195"/>
      <c r="Z329" s="195"/>
      <c r="AA329" s="195"/>
      <c r="AB329" s="195"/>
      <c r="AC329" s="8"/>
      <c r="AD329" s="8"/>
      <c r="AE329" s="8"/>
      <c r="AF329" s="8"/>
      <c r="AG329" s="202"/>
      <c r="AH329" s="202"/>
      <c r="AI329" s="202"/>
      <c r="AJ329" s="202"/>
      <c r="AK329" s="8"/>
      <c r="AL329" s="8"/>
      <c r="AM329" s="8"/>
      <c r="AN329" s="8"/>
      <c r="AO329" s="8"/>
      <c r="AP329" s="8"/>
      <c r="AQ329" s="8"/>
      <c r="AR329" s="8"/>
      <c r="AS329" s="8"/>
      <c r="AT329" s="8"/>
      <c r="AU329" s="8"/>
      <c r="AV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195"/>
      <c r="Z330" s="195"/>
      <c r="AA330" s="195"/>
      <c r="AB330" s="195"/>
      <c r="AC330" s="8"/>
      <c r="AD330" s="8"/>
      <c r="AE330" s="8"/>
      <c r="AF330" s="8"/>
      <c r="AG330" s="202"/>
      <c r="AH330" s="202"/>
      <c r="AI330" s="202"/>
      <c r="AJ330" s="202"/>
      <c r="AK330" s="8"/>
      <c r="AL330" s="8"/>
      <c r="AM330" s="8"/>
      <c r="AN330" s="8"/>
      <c r="AO330" s="8"/>
      <c r="AP330" s="8"/>
      <c r="AQ330" s="8"/>
      <c r="AR330" s="8"/>
      <c r="AS330" s="8"/>
      <c r="AT330" s="8"/>
      <c r="AU330" s="8"/>
      <c r="AV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195"/>
      <c r="Z331" s="195"/>
      <c r="AA331" s="195"/>
      <c r="AB331" s="195"/>
      <c r="AC331" s="8"/>
      <c r="AD331" s="8"/>
      <c r="AE331" s="8"/>
      <c r="AF331" s="8"/>
      <c r="AG331" s="202"/>
      <c r="AH331" s="202"/>
      <c r="AI331" s="202"/>
      <c r="AJ331" s="202"/>
      <c r="AK331" s="8"/>
      <c r="AL331" s="8"/>
      <c r="AM331" s="8"/>
      <c r="AN331" s="8"/>
      <c r="AO331" s="8"/>
      <c r="AP331" s="8"/>
      <c r="AQ331" s="8"/>
      <c r="AR331" s="8"/>
      <c r="AS331" s="8"/>
      <c r="AT331" s="8"/>
      <c r="AU331" s="8"/>
      <c r="AV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195"/>
      <c r="Z332" s="195"/>
      <c r="AA332" s="195"/>
      <c r="AB332" s="195"/>
      <c r="AC332" s="8"/>
      <c r="AD332" s="8"/>
      <c r="AE332" s="8"/>
      <c r="AF332" s="8"/>
      <c r="AG332" s="202"/>
      <c r="AH332" s="202"/>
      <c r="AI332" s="202"/>
      <c r="AJ332" s="202"/>
      <c r="AK332" s="8"/>
      <c r="AL332" s="8"/>
      <c r="AM332" s="8"/>
      <c r="AN332" s="8"/>
      <c r="AO332" s="8"/>
      <c r="AP332" s="8"/>
      <c r="AQ332" s="8"/>
      <c r="AR332" s="8"/>
      <c r="AS332" s="8"/>
      <c r="AT332" s="8"/>
      <c r="AU332" s="8"/>
      <c r="AV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195"/>
      <c r="Z333" s="195"/>
      <c r="AA333" s="195"/>
      <c r="AB333" s="195"/>
      <c r="AC333" s="8"/>
      <c r="AD333" s="8"/>
      <c r="AE333" s="8"/>
      <c r="AF333" s="8"/>
      <c r="AG333" s="202"/>
      <c r="AH333" s="202"/>
      <c r="AI333" s="202"/>
      <c r="AJ333" s="202"/>
      <c r="AK333" s="8"/>
      <c r="AL333" s="8"/>
      <c r="AM333" s="8"/>
      <c r="AN333" s="8"/>
      <c r="AO333" s="8"/>
      <c r="AP333" s="8"/>
      <c r="AQ333" s="8"/>
      <c r="AR333" s="8"/>
      <c r="AS333" s="8"/>
      <c r="AT333" s="8"/>
      <c r="AU333" s="8"/>
      <c r="AV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195"/>
      <c r="Z334" s="195"/>
      <c r="AA334" s="195"/>
      <c r="AB334" s="195"/>
      <c r="AC334" s="8"/>
      <c r="AD334" s="8"/>
      <c r="AE334" s="8"/>
      <c r="AF334" s="8"/>
      <c r="AG334" s="202"/>
      <c r="AH334" s="202"/>
      <c r="AI334" s="202"/>
      <c r="AJ334" s="202"/>
      <c r="AK334" s="8"/>
      <c r="AL334" s="8"/>
      <c r="AM334" s="8"/>
      <c r="AN334" s="8"/>
      <c r="AO334" s="8"/>
      <c r="AP334" s="8"/>
      <c r="AQ334" s="8"/>
      <c r="AR334" s="8"/>
      <c r="AS334" s="8"/>
      <c r="AT334" s="8"/>
      <c r="AU334" s="8"/>
      <c r="AV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195"/>
      <c r="Z335" s="195"/>
      <c r="AA335" s="195"/>
      <c r="AB335" s="195"/>
      <c r="AC335" s="8"/>
      <c r="AD335" s="8"/>
      <c r="AE335" s="8"/>
      <c r="AF335" s="8"/>
      <c r="AG335" s="202"/>
      <c r="AH335" s="202"/>
      <c r="AI335" s="202"/>
      <c r="AJ335" s="202"/>
      <c r="AK335" s="8"/>
      <c r="AL335" s="8"/>
      <c r="AM335" s="8"/>
      <c r="AN335" s="8"/>
      <c r="AO335" s="8"/>
      <c r="AP335" s="8"/>
      <c r="AQ335" s="8"/>
      <c r="AR335" s="8"/>
      <c r="AS335" s="8"/>
      <c r="AT335" s="8"/>
      <c r="AU335" s="8"/>
      <c r="AV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195"/>
      <c r="Z336" s="195"/>
      <c r="AA336" s="195"/>
      <c r="AB336" s="195"/>
      <c r="AC336" s="8"/>
      <c r="AD336" s="8"/>
      <c r="AE336" s="8"/>
      <c r="AF336" s="8"/>
      <c r="AG336" s="202"/>
      <c r="AH336" s="202"/>
      <c r="AI336" s="202"/>
      <c r="AJ336" s="202"/>
      <c r="AK336" s="8"/>
      <c r="AL336" s="8"/>
      <c r="AM336" s="8"/>
      <c r="AN336" s="8"/>
      <c r="AO336" s="8"/>
      <c r="AP336" s="8"/>
      <c r="AQ336" s="8"/>
      <c r="AR336" s="8"/>
      <c r="AS336" s="8"/>
      <c r="AT336" s="8"/>
      <c r="AU336" s="8"/>
      <c r="AV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195"/>
      <c r="Z337" s="195"/>
      <c r="AA337" s="195"/>
      <c r="AB337" s="195"/>
      <c r="AC337" s="8"/>
      <c r="AD337" s="8"/>
      <c r="AE337" s="8"/>
      <c r="AF337" s="8"/>
      <c r="AG337" s="202"/>
      <c r="AH337" s="202"/>
      <c r="AI337" s="202"/>
      <c r="AJ337" s="202"/>
      <c r="AK337" s="8"/>
      <c r="AL337" s="8"/>
      <c r="AM337" s="8"/>
      <c r="AN337" s="8"/>
      <c r="AO337" s="8"/>
      <c r="AP337" s="8"/>
      <c r="AQ337" s="8"/>
      <c r="AR337" s="8"/>
      <c r="AS337" s="8"/>
      <c r="AT337" s="8"/>
      <c r="AU337" s="8"/>
      <c r="AV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195"/>
      <c r="Z338" s="195"/>
      <c r="AA338" s="195"/>
      <c r="AB338" s="195"/>
      <c r="AC338" s="8"/>
      <c r="AD338" s="8"/>
      <c r="AE338" s="8"/>
      <c r="AF338" s="8"/>
      <c r="AG338" s="202"/>
      <c r="AH338" s="202"/>
      <c r="AI338" s="202"/>
      <c r="AJ338" s="202"/>
      <c r="AK338" s="8"/>
      <c r="AL338" s="8"/>
      <c r="AM338" s="8"/>
      <c r="AN338" s="8"/>
      <c r="AO338" s="8"/>
      <c r="AP338" s="8"/>
      <c r="AQ338" s="8"/>
      <c r="AR338" s="8"/>
      <c r="AS338" s="8"/>
      <c r="AT338" s="8"/>
      <c r="AU338" s="8"/>
      <c r="AV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195"/>
      <c r="Z339" s="195"/>
      <c r="AA339" s="195"/>
      <c r="AB339" s="195"/>
      <c r="AC339" s="8"/>
      <c r="AD339" s="8"/>
      <c r="AE339" s="8"/>
      <c r="AF339" s="8"/>
      <c r="AG339" s="202"/>
      <c r="AH339" s="202"/>
      <c r="AI339" s="202"/>
      <c r="AJ339" s="202"/>
      <c r="AK339" s="8"/>
      <c r="AL339" s="8"/>
      <c r="AM339" s="8"/>
      <c r="AN339" s="8"/>
      <c r="AO339" s="8"/>
      <c r="AP339" s="8"/>
      <c r="AQ339" s="8"/>
      <c r="AR339" s="8"/>
      <c r="AS339" s="8"/>
      <c r="AT339" s="8"/>
      <c r="AU339" s="8"/>
      <c r="AV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195"/>
      <c r="Z340" s="195"/>
      <c r="AA340" s="195"/>
      <c r="AB340" s="195"/>
      <c r="AC340" s="8"/>
      <c r="AD340" s="8"/>
      <c r="AE340" s="8"/>
      <c r="AF340" s="8"/>
      <c r="AG340" s="202"/>
      <c r="AH340" s="202"/>
      <c r="AI340" s="202"/>
      <c r="AJ340" s="202"/>
      <c r="AK340" s="8"/>
      <c r="AL340" s="8"/>
      <c r="AM340" s="8"/>
      <c r="AN340" s="8"/>
      <c r="AO340" s="8"/>
      <c r="AP340" s="8"/>
      <c r="AQ340" s="8"/>
      <c r="AR340" s="8"/>
      <c r="AS340" s="8"/>
      <c r="AT340" s="8"/>
      <c r="AU340" s="8"/>
      <c r="AV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195"/>
      <c r="Z341" s="195"/>
      <c r="AA341" s="195"/>
      <c r="AB341" s="195"/>
      <c r="AC341" s="8"/>
      <c r="AD341" s="8"/>
      <c r="AE341" s="8"/>
      <c r="AF341" s="8"/>
      <c r="AG341" s="202"/>
      <c r="AH341" s="202"/>
      <c r="AI341" s="202"/>
      <c r="AJ341" s="202"/>
      <c r="AK341" s="8"/>
      <c r="AL341" s="8"/>
      <c r="AM341" s="8"/>
      <c r="AN341" s="8"/>
      <c r="AO341" s="8"/>
      <c r="AP341" s="8"/>
      <c r="AQ341" s="8"/>
      <c r="AR341" s="8"/>
      <c r="AS341" s="8"/>
      <c r="AT341" s="8"/>
      <c r="AU341" s="8"/>
      <c r="AV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195"/>
      <c r="Z342" s="195"/>
      <c r="AA342" s="195"/>
      <c r="AB342" s="195"/>
      <c r="AC342" s="8"/>
      <c r="AD342" s="8"/>
      <c r="AE342" s="8"/>
      <c r="AF342" s="8"/>
      <c r="AG342" s="202"/>
      <c r="AH342" s="202"/>
      <c r="AI342" s="202"/>
      <c r="AJ342" s="202"/>
      <c r="AK342" s="8"/>
      <c r="AL342" s="8"/>
      <c r="AM342" s="8"/>
      <c r="AN342" s="8"/>
      <c r="AO342" s="8"/>
      <c r="AP342" s="8"/>
      <c r="AQ342" s="8"/>
      <c r="AR342" s="8"/>
      <c r="AS342" s="8"/>
      <c r="AT342" s="8"/>
      <c r="AU342" s="8"/>
      <c r="AV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195"/>
      <c r="Z343" s="195"/>
      <c r="AA343" s="195"/>
      <c r="AB343" s="195"/>
      <c r="AC343" s="8"/>
      <c r="AD343" s="8"/>
      <c r="AE343" s="8"/>
      <c r="AF343" s="8"/>
      <c r="AG343" s="202"/>
      <c r="AH343" s="202"/>
      <c r="AI343" s="202"/>
      <c r="AJ343" s="202"/>
      <c r="AK343" s="8"/>
      <c r="AL343" s="8"/>
      <c r="AM343" s="8"/>
      <c r="AN343" s="8"/>
      <c r="AO343" s="8"/>
      <c r="AP343" s="8"/>
      <c r="AQ343" s="8"/>
      <c r="AR343" s="8"/>
      <c r="AS343" s="8"/>
      <c r="AT343" s="8"/>
      <c r="AU343" s="8"/>
      <c r="AV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195"/>
      <c r="Z344" s="195"/>
      <c r="AA344" s="195"/>
      <c r="AB344" s="195"/>
      <c r="AC344" s="8"/>
      <c r="AD344" s="8"/>
      <c r="AE344" s="8"/>
      <c r="AF344" s="8"/>
      <c r="AG344" s="202"/>
      <c r="AH344" s="202"/>
      <c r="AI344" s="202"/>
      <c r="AJ344" s="202"/>
      <c r="AK344" s="8"/>
      <c r="AL344" s="8"/>
      <c r="AM344" s="8"/>
      <c r="AN344" s="8"/>
      <c r="AO344" s="8"/>
      <c r="AP344" s="8"/>
      <c r="AQ344" s="8"/>
      <c r="AR344" s="8"/>
      <c r="AS344" s="8"/>
      <c r="AT344" s="8"/>
      <c r="AU344" s="8"/>
      <c r="AV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195"/>
      <c r="Z345" s="195"/>
      <c r="AA345" s="195"/>
      <c r="AB345" s="195"/>
      <c r="AC345" s="8"/>
      <c r="AD345" s="8"/>
      <c r="AE345" s="8"/>
      <c r="AF345" s="8"/>
      <c r="AG345" s="202"/>
      <c r="AH345" s="202"/>
      <c r="AI345" s="202"/>
      <c r="AJ345" s="202"/>
      <c r="AK345" s="8"/>
      <c r="AL345" s="8"/>
      <c r="AM345" s="8"/>
      <c r="AN345" s="8"/>
      <c r="AO345" s="8"/>
      <c r="AP345" s="8"/>
      <c r="AQ345" s="8"/>
      <c r="AR345" s="8"/>
      <c r="AS345" s="8"/>
      <c r="AT345" s="8"/>
      <c r="AU345" s="8"/>
      <c r="AV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195"/>
      <c r="Z346" s="195"/>
      <c r="AA346" s="195"/>
      <c r="AB346" s="195"/>
      <c r="AC346" s="8"/>
      <c r="AD346" s="8"/>
      <c r="AE346" s="8"/>
      <c r="AF346" s="8"/>
      <c r="AG346" s="202"/>
      <c r="AH346" s="202"/>
      <c r="AI346" s="202"/>
      <c r="AJ346" s="202"/>
      <c r="AK346" s="8"/>
      <c r="AL346" s="8"/>
      <c r="AM346" s="8"/>
      <c r="AN346" s="8"/>
      <c r="AO346" s="8"/>
      <c r="AP346" s="8"/>
      <c r="AQ346" s="8"/>
      <c r="AR346" s="8"/>
      <c r="AS346" s="8"/>
      <c r="AT346" s="8"/>
      <c r="AU346" s="8"/>
      <c r="AV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195"/>
      <c r="Z347" s="195"/>
      <c r="AA347" s="195"/>
      <c r="AB347" s="195"/>
      <c r="AC347" s="8"/>
      <c r="AD347" s="8"/>
      <c r="AE347" s="8"/>
      <c r="AF347" s="8"/>
      <c r="AG347" s="202"/>
      <c r="AH347" s="202"/>
      <c r="AI347" s="202"/>
      <c r="AJ347" s="202"/>
      <c r="AK347" s="8"/>
      <c r="AL347" s="8"/>
      <c r="AM347" s="8"/>
      <c r="AN347" s="8"/>
      <c r="AO347" s="8"/>
      <c r="AP347" s="8"/>
      <c r="AQ347" s="8"/>
      <c r="AR347" s="8"/>
      <c r="AS347" s="8"/>
      <c r="AT347" s="8"/>
      <c r="AU347" s="8"/>
      <c r="AV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195"/>
      <c r="Z348" s="195"/>
      <c r="AA348" s="195"/>
      <c r="AB348" s="195"/>
      <c r="AC348" s="8"/>
      <c r="AD348" s="8"/>
      <c r="AE348" s="8"/>
      <c r="AF348" s="8"/>
      <c r="AG348" s="202"/>
      <c r="AH348" s="202"/>
      <c r="AI348" s="202"/>
      <c r="AJ348" s="202"/>
      <c r="AK348" s="8"/>
      <c r="AL348" s="8"/>
      <c r="AM348" s="8"/>
      <c r="AN348" s="8"/>
      <c r="AO348" s="8"/>
      <c r="AP348" s="8"/>
      <c r="AQ348" s="8"/>
      <c r="AR348" s="8"/>
      <c r="AS348" s="8"/>
      <c r="AT348" s="8"/>
      <c r="AU348" s="8"/>
      <c r="AV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195"/>
      <c r="Z349" s="195"/>
      <c r="AA349" s="195"/>
      <c r="AB349" s="195"/>
      <c r="AC349" s="8"/>
      <c r="AD349" s="8"/>
      <c r="AE349" s="8"/>
      <c r="AF349" s="8"/>
      <c r="AG349" s="202"/>
      <c r="AH349" s="202"/>
      <c r="AI349" s="202"/>
      <c r="AJ349" s="202"/>
      <c r="AK349" s="8"/>
      <c r="AL349" s="8"/>
      <c r="AM349" s="8"/>
      <c r="AN349" s="8"/>
      <c r="AO349" s="8"/>
      <c r="AP349" s="8"/>
      <c r="AQ349" s="8"/>
      <c r="AR349" s="8"/>
      <c r="AS349" s="8"/>
      <c r="AT349" s="8"/>
      <c r="AU349" s="8"/>
      <c r="AV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195"/>
      <c r="Z350" s="195"/>
      <c r="AA350" s="195"/>
      <c r="AB350" s="195"/>
      <c r="AC350" s="8"/>
      <c r="AD350" s="8"/>
      <c r="AE350" s="8"/>
      <c r="AF350" s="8"/>
      <c r="AG350" s="202"/>
      <c r="AH350" s="202"/>
      <c r="AI350" s="202"/>
      <c r="AJ350" s="202"/>
      <c r="AK350" s="8"/>
      <c r="AL350" s="8"/>
      <c r="AM350" s="8"/>
      <c r="AN350" s="8"/>
      <c r="AO350" s="8"/>
      <c r="AP350" s="8"/>
      <c r="AQ350" s="8"/>
      <c r="AR350" s="8"/>
      <c r="AS350" s="8"/>
      <c r="AT350" s="8"/>
      <c r="AU350" s="8"/>
      <c r="AV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195"/>
      <c r="Z351" s="195"/>
      <c r="AA351" s="195"/>
      <c r="AB351" s="195"/>
      <c r="AC351" s="8"/>
      <c r="AD351" s="8"/>
      <c r="AE351" s="8"/>
      <c r="AF351" s="8"/>
      <c r="AG351" s="202"/>
      <c r="AH351" s="202"/>
      <c r="AI351" s="202"/>
      <c r="AJ351" s="202"/>
      <c r="AK351" s="8"/>
      <c r="AL351" s="8"/>
      <c r="AM351" s="8"/>
      <c r="AN351" s="8"/>
      <c r="AO351" s="8"/>
      <c r="AP351" s="8"/>
      <c r="AQ351" s="8"/>
      <c r="AR351" s="8"/>
      <c r="AS351" s="8"/>
      <c r="AT351" s="8"/>
      <c r="AU351" s="8"/>
      <c r="AV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195"/>
      <c r="Z352" s="195"/>
      <c r="AA352" s="195"/>
      <c r="AB352" s="195"/>
      <c r="AC352" s="8"/>
      <c r="AD352" s="8"/>
      <c r="AE352" s="8"/>
      <c r="AF352" s="8"/>
      <c r="AG352" s="202"/>
      <c r="AH352" s="202"/>
      <c r="AI352" s="202"/>
      <c r="AJ352" s="202"/>
      <c r="AK352" s="8"/>
      <c r="AL352" s="8"/>
      <c r="AM352" s="8"/>
      <c r="AN352" s="8"/>
      <c r="AO352" s="8"/>
      <c r="AP352" s="8"/>
      <c r="AQ352" s="8"/>
      <c r="AR352" s="8"/>
      <c r="AS352" s="8"/>
      <c r="AT352" s="8"/>
      <c r="AU352" s="8"/>
      <c r="AV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195"/>
      <c r="Z353" s="195"/>
      <c r="AA353" s="195"/>
      <c r="AB353" s="195"/>
      <c r="AC353" s="8"/>
      <c r="AD353" s="8"/>
      <c r="AE353" s="8"/>
      <c r="AF353" s="8"/>
      <c r="AG353" s="202"/>
      <c r="AH353" s="202"/>
      <c r="AI353" s="202"/>
      <c r="AJ353" s="202"/>
      <c r="AK353" s="8"/>
      <c r="AL353" s="8"/>
      <c r="AM353" s="8"/>
      <c r="AN353" s="8"/>
      <c r="AO353" s="8"/>
      <c r="AP353" s="8"/>
      <c r="AQ353" s="8"/>
      <c r="AR353" s="8"/>
      <c r="AS353" s="8"/>
      <c r="AT353" s="8"/>
      <c r="AU353" s="8"/>
      <c r="AV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195"/>
      <c r="Z354" s="195"/>
      <c r="AA354" s="195"/>
      <c r="AB354" s="195"/>
      <c r="AC354" s="8"/>
      <c r="AD354" s="8"/>
      <c r="AE354" s="8"/>
      <c r="AF354" s="8"/>
      <c r="AG354" s="202"/>
      <c r="AH354" s="202"/>
      <c r="AI354" s="202"/>
      <c r="AJ354" s="202"/>
      <c r="AK354" s="8"/>
      <c r="AL354" s="8"/>
      <c r="AM354" s="8"/>
      <c r="AN354" s="8"/>
      <c r="AO354" s="8"/>
      <c r="AP354" s="8"/>
      <c r="AQ354" s="8"/>
      <c r="AR354" s="8"/>
      <c r="AS354" s="8"/>
      <c r="AT354" s="8"/>
      <c r="AU354" s="8"/>
      <c r="AV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195"/>
      <c r="Z355" s="195"/>
      <c r="AA355" s="195"/>
      <c r="AB355" s="195"/>
      <c r="AC355" s="8"/>
      <c r="AD355" s="8"/>
      <c r="AE355" s="8"/>
      <c r="AF355" s="8"/>
      <c r="AG355" s="202"/>
      <c r="AH355" s="202"/>
      <c r="AI355" s="202"/>
      <c r="AJ355" s="202"/>
      <c r="AK355" s="8"/>
      <c r="AL355" s="8"/>
      <c r="AM355" s="8"/>
      <c r="AN355" s="8"/>
      <c r="AO355" s="8"/>
      <c r="AP355" s="8"/>
      <c r="AQ355" s="8"/>
      <c r="AR355" s="8"/>
      <c r="AS355" s="8"/>
      <c r="AT355" s="8"/>
      <c r="AU355" s="8"/>
      <c r="AV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195"/>
      <c r="Z356" s="195"/>
      <c r="AA356" s="195"/>
      <c r="AB356" s="195"/>
      <c r="AC356" s="8"/>
      <c r="AD356" s="8"/>
      <c r="AE356" s="8"/>
      <c r="AF356" s="8"/>
      <c r="AG356" s="202"/>
      <c r="AH356" s="202"/>
      <c r="AI356" s="202"/>
      <c r="AJ356" s="202"/>
      <c r="AK356" s="8"/>
      <c r="AL356" s="8"/>
      <c r="AM356" s="8"/>
      <c r="AN356" s="8"/>
      <c r="AO356" s="8"/>
      <c r="AP356" s="8"/>
      <c r="AQ356" s="8"/>
      <c r="AR356" s="8"/>
      <c r="AS356" s="8"/>
      <c r="AT356" s="8"/>
      <c r="AU356" s="8"/>
      <c r="AV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195"/>
      <c r="Z357" s="195"/>
      <c r="AA357" s="195"/>
      <c r="AB357" s="195"/>
      <c r="AC357" s="8"/>
      <c r="AD357" s="8"/>
      <c r="AE357" s="8"/>
      <c r="AF357" s="8"/>
      <c r="AG357" s="202"/>
      <c r="AH357" s="202"/>
      <c r="AI357" s="202"/>
      <c r="AJ357" s="202"/>
      <c r="AK357" s="8"/>
      <c r="AL357" s="8"/>
      <c r="AM357" s="8"/>
      <c r="AN357" s="8"/>
      <c r="AO357" s="8"/>
      <c r="AP357" s="8"/>
      <c r="AQ357" s="8"/>
      <c r="AR357" s="8"/>
      <c r="AS357" s="8"/>
      <c r="AT357" s="8"/>
      <c r="AU357" s="8"/>
      <c r="AV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195"/>
      <c r="Z358" s="195"/>
      <c r="AA358" s="195"/>
      <c r="AB358" s="195"/>
      <c r="AC358" s="8"/>
      <c r="AD358" s="8"/>
      <c r="AE358" s="8"/>
      <c r="AF358" s="8"/>
      <c r="AG358" s="202"/>
      <c r="AH358" s="202"/>
      <c r="AI358" s="202"/>
      <c r="AJ358" s="202"/>
      <c r="AK358" s="8"/>
      <c r="AL358" s="8"/>
      <c r="AM358" s="8"/>
      <c r="AN358" s="8"/>
      <c r="AO358" s="8"/>
      <c r="AP358" s="8"/>
      <c r="AQ358" s="8"/>
      <c r="AR358" s="8"/>
      <c r="AS358" s="8"/>
      <c r="AT358" s="8"/>
      <c r="AU358" s="8"/>
      <c r="AV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195"/>
      <c r="Z359" s="195"/>
      <c r="AA359" s="195"/>
      <c r="AB359" s="195"/>
      <c r="AC359" s="8"/>
      <c r="AD359" s="8"/>
      <c r="AE359" s="8"/>
      <c r="AF359" s="8"/>
      <c r="AG359" s="202"/>
      <c r="AH359" s="202"/>
      <c r="AI359" s="202"/>
      <c r="AJ359" s="202"/>
      <c r="AK359" s="8"/>
      <c r="AL359" s="8"/>
      <c r="AM359" s="8"/>
      <c r="AN359" s="8"/>
      <c r="AO359" s="8"/>
      <c r="AP359" s="8"/>
      <c r="AQ359" s="8"/>
      <c r="AR359" s="8"/>
      <c r="AS359" s="8"/>
      <c r="AT359" s="8"/>
      <c r="AU359" s="8"/>
      <c r="AV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195"/>
      <c r="Z360" s="195"/>
      <c r="AA360" s="195"/>
      <c r="AB360" s="195"/>
      <c r="AC360" s="8"/>
      <c r="AD360" s="8"/>
      <c r="AE360" s="8"/>
      <c r="AF360" s="8"/>
      <c r="AG360" s="202"/>
      <c r="AH360" s="202"/>
      <c r="AI360" s="202"/>
      <c r="AJ360" s="202"/>
      <c r="AK360" s="8"/>
      <c r="AL360" s="8"/>
      <c r="AM360" s="8"/>
      <c r="AN360" s="8"/>
      <c r="AO360" s="8"/>
      <c r="AP360" s="8"/>
      <c r="AQ360" s="8"/>
      <c r="AR360" s="8"/>
      <c r="AS360" s="8"/>
      <c r="AT360" s="8"/>
      <c r="AU360" s="8"/>
      <c r="AV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195"/>
      <c r="Z361" s="195"/>
      <c r="AA361" s="195"/>
      <c r="AB361" s="195"/>
      <c r="AC361" s="8"/>
      <c r="AD361" s="8"/>
      <c r="AE361" s="8"/>
      <c r="AF361" s="8"/>
      <c r="AG361" s="202"/>
      <c r="AH361" s="202"/>
      <c r="AI361" s="202"/>
      <c r="AJ361" s="202"/>
      <c r="AK361" s="8"/>
      <c r="AL361" s="8"/>
      <c r="AM361" s="8"/>
      <c r="AN361" s="8"/>
      <c r="AO361" s="8"/>
      <c r="AP361" s="8"/>
      <c r="AQ361" s="8"/>
      <c r="AR361" s="8"/>
      <c r="AS361" s="8"/>
      <c r="AT361" s="8"/>
      <c r="AU361" s="8"/>
      <c r="AV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195"/>
      <c r="Z362" s="195"/>
      <c r="AA362" s="195"/>
      <c r="AB362" s="195"/>
      <c r="AC362" s="8"/>
      <c r="AD362" s="8"/>
      <c r="AE362" s="8"/>
      <c r="AF362" s="8"/>
      <c r="AG362" s="202"/>
      <c r="AH362" s="202"/>
      <c r="AI362" s="202"/>
      <c r="AJ362" s="202"/>
      <c r="AK362" s="8"/>
      <c r="AL362" s="8"/>
      <c r="AM362" s="8"/>
      <c r="AN362" s="8"/>
      <c r="AO362" s="8"/>
      <c r="AP362" s="8"/>
      <c r="AQ362" s="8"/>
      <c r="AR362" s="8"/>
      <c r="AS362" s="8"/>
      <c r="AT362" s="8"/>
      <c r="AU362" s="8"/>
      <c r="AV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195"/>
      <c r="Z363" s="195"/>
      <c r="AA363" s="195"/>
      <c r="AB363" s="195"/>
      <c r="AC363" s="8"/>
      <c r="AD363" s="8"/>
      <c r="AE363" s="8"/>
      <c r="AF363" s="8"/>
      <c r="AG363" s="202"/>
      <c r="AH363" s="202"/>
      <c r="AI363" s="202"/>
      <c r="AJ363" s="202"/>
      <c r="AK363" s="8"/>
      <c r="AL363" s="8"/>
      <c r="AM363" s="8"/>
      <c r="AN363" s="8"/>
      <c r="AO363" s="8"/>
      <c r="AP363" s="8"/>
      <c r="AQ363" s="8"/>
      <c r="AR363" s="8"/>
      <c r="AS363" s="8"/>
      <c r="AT363" s="8"/>
      <c r="AU363" s="8"/>
      <c r="AV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195"/>
      <c r="Z364" s="195"/>
      <c r="AA364" s="195"/>
      <c r="AB364" s="195"/>
      <c r="AC364" s="8"/>
      <c r="AD364" s="8"/>
      <c r="AE364" s="8"/>
      <c r="AF364" s="8"/>
      <c r="AG364" s="202"/>
      <c r="AH364" s="202"/>
      <c r="AI364" s="202"/>
      <c r="AJ364" s="202"/>
      <c r="AK364" s="8"/>
      <c r="AL364" s="8"/>
      <c r="AM364" s="8"/>
      <c r="AN364" s="8"/>
      <c r="AO364" s="8"/>
      <c r="AP364" s="8"/>
      <c r="AQ364" s="8"/>
      <c r="AR364" s="8"/>
      <c r="AS364" s="8"/>
      <c r="AT364" s="8"/>
      <c r="AU364" s="8"/>
      <c r="AV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195"/>
      <c r="Z365" s="195"/>
      <c r="AA365" s="195"/>
      <c r="AB365" s="195"/>
      <c r="AC365" s="8"/>
      <c r="AD365" s="8"/>
      <c r="AE365" s="8"/>
      <c r="AF365" s="8"/>
      <c r="AG365" s="202"/>
      <c r="AH365" s="202"/>
      <c r="AI365" s="202"/>
      <c r="AJ365" s="202"/>
      <c r="AK365" s="8"/>
      <c r="AL365" s="8"/>
      <c r="AM365" s="8"/>
      <c r="AN365" s="8"/>
      <c r="AO365" s="8"/>
      <c r="AP365" s="8"/>
      <c r="AQ365" s="8"/>
      <c r="AR365" s="8"/>
      <c r="AS365" s="8"/>
      <c r="AT365" s="8"/>
      <c r="AU365" s="8"/>
      <c r="AV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195"/>
      <c r="Z366" s="195"/>
      <c r="AA366" s="195"/>
      <c r="AB366" s="195"/>
      <c r="AC366" s="8"/>
      <c r="AD366" s="8"/>
      <c r="AE366" s="8"/>
      <c r="AF366" s="8"/>
      <c r="AG366" s="202"/>
      <c r="AH366" s="202"/>
      <c r="AI366" s="202"/>
      <c r="AJ366" s="202"/>
      <c r="AK366" s="8"/>
      <c r="AL366" s="8"/>
      <c r="AM366" s="8"/>
      <c r="AN366" s="8"/>
      <c r="AO366" s="8"/>
      <c r="AP366" s="8"/>
      <c r="AQ366" s="8"/>
      <c r="AR366" s="8"/>
      <c r="AS366" s="8"/>
      <c r="AT366" s="8"/>
      <c r="AU366" s="8"/>
      <c r="AV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195"/>
      <c r="Z367" s="195"/>
      <c r="AA367" s="195"/>
      <c r="AB367" s="195"/>
      <c r="AC367" s="8"/>
      <c r="AD367" s="8"/>
      <c r="AE367" s="8"/>
      <c r="AF367" s="8"/>
      <c r="AG367" s="202"/>
      <c r="AH367" s="202"/>
      <c r="AI367" s="202"/>
      <c r="AJ367" s="202"/>
      <c r="AK367" s="8"/>
      <c r="AL367" s="8"/>
      <c r="AM367" s="8"/>
      <c r="AN367" s="8"/>
      <c r="AO367" s="8"/>
      <c r="AP367" s="8"/>
      <c r="AQ367" s="8"/>
      <c r="AR367" s="8"/>
      <c r="AS367" s="8"/>
      <c r="AT367" s="8"/>
      <c r="AU367" s="8"/>
      <c r="AV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195"/>
      <c r="Z368" s="195"/>
      <c r="AA368" s="195"/>
      <c r="AB368" s="195"/>
      <c r="AC368" s="8"/>
      <c r="AD368" s="8"/>
      <c r="AE368" s="8"/>
      <c r="AF368" s="8"/>
      <c r="AG368" s="202"/>
      <c r="AH368" s="202"/>
      <c r="AI368" s="202"/>
      <c r="AJ368" s="202"/>
      <c r="AK368" s="8"/>
      <c r="AL368" s="8"/>
      <c r="AM368" s="8"/>
      <c r="AN368" s="8"/>
      <c r="AO368" s="8"/>
      <c r="AP368" s="8"/>
      <c r="AQ368" s="8"/>
      <c r="AR368" s="8"/>
      <c r="AS368" s="8"/>
      <c r="AT368" s="8"/>
      <c r="AU368" s="8"/>
      <c r="AV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195"/>
      <c r="Z369" s="195"/>
      <c r="AA369" s="195"/>
      <c r="AB369" s="195"/>
      <c r="AC369" s="8"/>
      <c r="AD369" s="8"/>
      <c r="AE369" s="8"/>
      <c r="AF369" s="8"/>
      <c r="AG369" s="202"/>
      <c r="AH369" s="202"/>
      <c r="AI369" s="202"/>
      <c r="AJ369" s="202"/>
      <c r="AK369" s="8"/>
      <c r="AL369" s="8"/>
      <c r="AM369" s="8"/>
      <c r="AN369" s="8"/>
      <c r="AO369" s="8"/>
      <c r="AP369" s="8"/>
      <c r="AQ369" s="8"/>
      <c r="AR369" s="8"/>
      <c r="AS369" s="8"/>
      <c r="AT369" s="8"/>
      <c r="AU369" s="8"/>
      <c r="AV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195"/>
      <c r="Z370" s="195"/>
      <c r="AA370" s="195"/>
      <c r="AB370" s="195"/>
      <c r="AC370" s="8"/>
      <c r="AD370" s="8"/>
      <c r="AE370" s="8"/>
      <c r="AF370" s="8"/>
      <c r="AG370" s="202"/>
      <c r="AH370" s="202"/>
      <c r="AI370" s="202"/>
      <c r="AJ370" s="202"/>
      <c r="AK370" s="8"/>
      <c r="AL370" s="8"/>
      <c r="AM370" s="8"/>
      <c r="AN370" s="8"/>
      <c r="AO370" s="8"/>
      <c r="AP370" s="8"/>
      <c r="AQ370" s="8"/>
      <c r="AR370" s="8"/>
      <c r="AS370" s="8"/>
      <c r="AT370" s="8"/>
      <c r="AU370" s="8"/>
      <c r="AV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195"/>
      <c r="Z371" s="195"/>
      <c r="AA371" s="195"/>
      <c r="AB371" s="195"/>
      <c r="AC371" s="8"/>
      <c r="AD371" s="8"/>
      <c r="AE371" s="8"/>
      <c r="AF371" s="8"/>
      <c r="AG371" s="202"/>
      <c r="AH371" s="202"/>
      <c r="AI371" s="202"/>
      <c r="AJ371" s="202"/>
      <c r="AK371" s="8"/>
      <c r="AL371" s="8"/>
      <c r="AM371" s="8"/>
      <c r="AN371" s="8"/>
      <c r="AO371" s="8"/>
      <c r="AP371" s="8"/>
      <c r="AQ371" s="8"/>
      <c r="AR371" s="8"/>
      <c r="AS371" s="8"/>
      <c r="AT371" s="8"/>
      <c r="AU371" s="8"/>
      <c r="AV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195"/>
      <c r="Z372" s="195"/>
      <c r="AA372" s="195"/>
      <c r="AB372" s="195"/>
      <c r="AC372" s="8"/>
      <c r="AD372" s="8"/>
      <c r="AE372" s="8"/>
      <c r="AF372" s="8"/>
      <c r="AG372" s="202"/>
      <c r="AH372" s="202"/>
      <c r="AI372" s="202"/>
      <c r="AJ372" s="202"/>
      <c r="AK372" s="8"/>
      <c r="AL372" s="8"/>
      <c r="AM372" s="8"/>
      <c r="AN372" s="8"/>
      <c r="AO372" s="8"/>
      <c r="AP372" s="8"/>
      <c r="AQ372" s="8"/>
      <c r="AR372" s="8"/>
      <c r="AS372" s="8"/>
      <c r="AT372" s="8"/>
      <c r="AU372" s="8"/>
      <c r="AV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195"/>
      <c r="Z373" s="195"/>
      <c r="AA373" s="195"/>
      <c r="AB373" s="195"/>
      <c r="AC373" s="8"/>
      <c r="AD373" s="8"/>
      <c r="AE373" s="8"/>
      <c r="AF373" s="8"/>
      <c r="AG373" s="202"/>
      <c r="AH373" s="202"/>
      <c r="AI373" s="202"/>
      <c r="AJ373" s="202"/>
      <c r="AK373" s="8"/>
      <c r="AL373" s="8"/>
      <c r="AM373" s="8"/>
      <c r="AN373" s="8"/>
      <c r="AO373" s="8"/>
      <c r="AP373" s="8"/>
      <c r="AQ373" s="8"/>
      <c r="AR373" s="8"/>
      <c r="AS373" s="8"/>
      <c r="AT373" s="8"/>
      <c r="AU373" s="8"/>
      <c r="AV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195"/>
      <c r="Z374" s="195"/>
      <c r="AA374" s="195"/>
      <c r="AB374" s="195"/>
      <c r="AC374" s="8"/>
      <c r="AD374" s="8"/>
      <c r="AE374" s="8"/>
      <c r="AF374" s="8"/>
      <c r="AG374" s="202"/>
      <c r="AH374" s="202"/>
      <c r="AI374" s="202"/>
      <c r="AJ374" s="202"/>
      <c r="AK374" s="8"/>
      <c r="AL374" s="8"/>
      <c r="AM374" s="8"/>
      <c r="AN374" s="8"/>
      <c r="AO374" s="8"/>
      <c r="AP374" s="8"/>
      <c r="AQ374" s="8"/>
      <c r="AR374" s="8"/>
      <c r="AS374" s="8"/>
      <c r="AT374" s="8"/>
      <c r="AU374" s="8"/>
      <c r="AV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195"/>
      <c r="Z375" s="195"/>
      <c r="AA375" s="195"/>
      <c r="AB375" s="195"/>
      <c r="AC375" s="8"/>
      <c r="AD375" s="8"/>
      <c r="AE375" s="8"/>
      <c r="AF375" s="8"/>
      <c r="AG375" s="202"/>
      <c r="AH375" s="202"/>
      <c r="AI375" s="202"/>
      <c r="AJ375" s="202"/>
      <c r="AK375" s="8"/>
      <c r="AL375" s="8"/>
      <c r="AM375" s="8"/>
      <c r="AN375" s="8"/>
      <c r="AO375" s="8"/>
      <c r="AP375" s="8"/>
      <c r="AQ375" s="8"/>
      <c r="AR375" s="8"/>
      <c r="AS375" s="8"/>
      <c r="AT375" s="8"/>
      <c r="AU375" s="8"/>
      <c r="AV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195"/>
      <c r="Z376" s="195"/>
      <c r="AA376" s="195"/>
      <c r="AB376" s="195"/>
      <c r="AC376" s="8"/>
      <c r="AD376" s="8"/>
      <c r="AE376" s="8"/>
      <c r="AF376" s="8"/>
      <c r="AG376" s="202"/>
      <c r="AH376" s="202"/>
      <c r="AI376" s="202"/>
      <c r="AJ376" s="202"/>
      <c r="AK376" s="8"/>
      <c r="AL376" s="8"/>
      <c r="AM376" s="8"/>
      <c r="AN376" s="8"/>
      <c r="AO376" s="8"/>
      <c r="AP376" s="8"/>
      <c r="AQ376" s="8"/>
      <c r="AR376" s="8"/>
      <c r="AS376" s="8"/>
      <c r="AT376" s="8"/>
      <c r="AU376" s="8"/>
      <c r="AV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195"/>
      <c r="Z377" s="195"/>
      <c r="AA377" s="195"/>
      <c r="AB377" s="195"/>
      <c r="AC377" s="8"/>
      <c r="AD377" s="8"/>
      <c r="AE377" s="8"/>
      <c r="AF377" s="8"/>
      <c r="AG377" s="202"/>
      <c r="AH377" s="202"/>
      <c r="AI377" s="202"/>
      <c r="AJ377" s="202"/>
      <c r="AK377" s="8"/>
      <c r="AL377" s="8"/>
      <c r="AM377" s="8"/>
      <c r="AN377" s="8"/>
      <c r="AO377" s="8"/>
      <c r="AP377" s="8"/>
      <c r="AQ377" s="8"/>
      <c r="AR377" s="8"/>
      <c r="AS377" s="8"/>
      <c r="AT377" s="8"/>
      <c r="AU377" s="8"/>
      <c r="AV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195"/>
      <c r="Z378" s="195"/>
      <c r="AA378" s="195"/>
      <c r="AB378" s="195"/>
      <c r="AC378" s="8"/>
      <c r="AD378" s="8"/>
      <c r="AE378" s="8"/>
      <c r="AF378" s="8"/>
      <c r="AG378" s="202"/>
      <c r="AH378" s="202"/>
      <c r="AI378" s="202"/>
      <c r="AJ378" s="202"/>
      <c r="AK378" s="8"/>
      <c r="AL378" s="8"/>
      <c r="AM378" s="8"/>
      <c r="AN378" s="8"/>
      <c r="AO378" s="8"/>
      <c r="AP378" s="8"/>
      <c r="AQ378" s="8"/>
      <c r="AR378" s="8"/>
      <c r="AS378" s="8"/>
      <c r="AT378" s="8"/>
      <c r="AU378" s="8"/>
      <c r="AV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195"/>
      <c r="Z379" s="195"/>
      <c r="AA379" s="195"/>
      <c r="AB379" s="195"/>
      <c r="AC379" s="8"/>
      <c r="AD379" s="8"/>
      <c r="AE379" s="8"/>
      <c r="AF379" s="8"/>
      <c r="AG379" s="202"/>
      <c r="AH379" s="202"/>
      <c r="AI379" s="202"/>
      <c r="AJ379" s="202"/>
      <c r="AK379" s="8"/>
      <c r="AL379" s="8"/>
      <c r="AM379" s="8"/>
      <c r="AN379" s="8"/>
      <c r="AO379" s="8"/>
      <c r="AP379" s="8"/>
      <c r="AQ379" s="8"/>
      <c r="AR379" s="8"/>
      <c r="AS379" s="8"/>
      <c r="AT379" s="8"/>
      <c r="AU379" s="8"/>
      <c r="AV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195"/>
      <c r="Z380" s="195"/>
      <c r="AA380" s="195"/>
      <c r="AB380" s="195"/>
      <c r="AC380" s="8"/>
      <c r="AD380" s="8"/>
      <c r="AE380" s="8"/>
      <c r="AF380" s="8"/>
      <c r="AG380" s="202"/>
      <c r="AH380" s="202"/>
      <c r="AI380" s="202"/>
      <c r="AJ380" s="202"/>
      <c r="AK380" s="8"/>
      <c r="AL380" s="8"/>
      <c r="AM380" s="8"/>
      <c r="AN380" s="8"/>
      <c r="AO380" s="8"/>
      <c r="AP380" s="8"/>
      <c r="AQ380" s="8"/>
      <c r="AR380" s="8"/>
      <c r="AS380" s="8"/>
      <c r="AT380" s="8"/>
      <c r="AU380" s="8"/>
      <c r="AV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195"/>
      <c r="Z381" s="195"/>
      <c r="AA381" s="195"/>
      <c r="AB381" s="195"/>
      <c r="AC381" s="8"/>
      <c r="AD381" s="8"/>
      <c r="AE381" s="8"/>
      <c r="AF381" s="8"/>
      <c r="AG381" s="202"/>
      <c r="AH381" s="202"/>
      <c r="AI381" s="202"/>
      <c r="AJ381" s="202"/>
      <c r="AK381" s="8"/>
      <c r="AL381" s="8"/>
      <c r="AM381" s="8"/>
      <c r="AN381" s="8"/>
      <c r="AO381" s="8"/>
      <c r="AP381" s="8"/>
      <c r="AQ381" s="8"/>
      <c r="AR381" s="8"/>
      <c r="AS381" s="8"/>
      <c r="AT381" s="8"/>
      <c r="AU381" s="8"/>
      <c r="AV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195"/>
      <c r="Z382" s="195"/>
      <c r="AA382" s="195"/>
      <c r="AB382" s="195"/>
      <c r="AC382" s="8"/>
      <c r="AD382" s="8"/>
      <c r="AE382" s="8"/>
      <c r="AF382" s="8"/>
      <c r="AG382" s="202"/>
      <c r="AH382" s="202"/>
      <c r="AI382" s="202"/>
      <c r="AJ382" s="202"/>
      <c r="AK382" s="8"/>
      <c r="AL382" s="8"/>
      <c r="AM382" s="8"/>
      <c r="AN382" s="8"/>
      <c r="AO382" s="8"/>
      <c r="AP382" s="8"/>
      <c r="AQ382" s="8"/>
      <c r="AR382" s="8"/>
      <c r="AS382" s="8"/>
      <c r="AT382" s="8"/>
      <c r="AU382" s="8"/>
      <c r="AV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195"/>
      <c r="Z383" s="195"/>
      <c r="AA383" s="195"/>
      <c r="AB383" s="195"/>
      <c r="AC383" s="8"/>
      <c r="AD383" s="8"/>
      <c r="AE383" s="8"/>
      <c r="AF383" s="8"/>
      <c r="AG383" s="202"/>
      <c r="AH383" s="202"/>
      <c r="AI383" s="202"/>
      <c r="AJ383" s="202"/>
      <c r="AK383" s="8"/>
      <c r="AL383" s="8"/>
      <c r="AM383" s="8"/>
      <c r="AN383" s="8"/>
      <c r="AO383" s="8"/>
      <c r="AP383" s="8"/>
      <c r="AQ383" s="8"/>
      <c r="AR383" s="8"/>
      <c r="AS383" s="8"/>
      <c r="AT383" s="8"/>
      <c r="AU383" s="8"/>
      <c r="AV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195"/>
      <c r="Z384" s="195"/>
      <c r="AA384" s="195"/>
      <c r="AB384" s="195"/>
      <c r="AC384" s="8"/>
      <c r="AD384" s="8"/>
      <c r="AE384" s="8"/>
      <c r="AF384" s="8"/>
      <c r="AG384" s="202"/>
      <c r="AH384" s="202"/>
      <c r="AI384" s="202"/>
      <c r="AJ384" s="202"/>
      <c r="AK384" s="8"/>
      <c r="AL384" s="8"/>
      <c r="AM384" s="8"/>
      <c r="AN384" s="8"/>
      <c r="AO384" s="8"/>
      <c r="AP384" s="8"/>
      <c r="AQ384" s="8"/>
      <c r="AR384" s="8"/>
      <c r="AS384" s="8"/>
      <c r="AT384" s="8"/>
      <c r="AU384" s="8"/>
      <c r="AV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195"/>
      <c r="Z385" s="195"/>
      <c r="AA385" s="195"/>
      <c r="AB385" s="195"/>
      <c r="AC385" s="8"/>
      <c r="AD385" s="8"/>
      <c r="AE385" s="8"/>
      <c r="AF385" s="8"/>
      <c r="AG385" s="202"/>
      <c r="AH385" s="202"/>
      <c r="AI385" s="202"/>
      <c r="AJ385" s="202"/>
      <c r="AK385" s="8"/>
      <c r="AL385" s="8"/>
      <c r="AM385" s="8"/>
      <c r="AN385" s="8"/>
      <c r="AO385" s="8"/>
      <c r="AP385" s="8"/>
      <c r="AQ385" s="8"/>
      <c r="AR385" s="8"/>
      <c r="AS385" s="8"/>
      <c r="AT385" s="8"/>
      <c r="AU385" s="8"/>
      <c r="AV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195"/>
      <c r="Z386" s="195"/>
      <c r="AA386" s="195"/>
      <c r="AB386" s="195"/>
      <c r="AC386" s="8"/>
      <c r="AD386" s="8"/>
      <c r="AE386" s="8"/>
      <c r="AF386" s="8"/>
      <c r="AG386" s="202"/>
      <c r="AH386" s="202"/>
      <c r="AI386" s="202"/>
      <c r="AJ386" s="202"/>
      <c r="AK386" s="8"/>
      <c r="AL386" s="8"/>
      <c r="AM386" s="8"/>
      <c r="AN386" s="8"/>
      <c r="AO386" s="8"/>
      <c r="AP386" s="8"/>
      <c r="AQ386" s="8"/>
      <c r="AR386" s="8"/>
      <c r="AS386" s="8"/>
      <c r="AT386" s="8"/>
      <c r="AU386" s="8"/>
      <c r="AV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195"/>
      <c r="Z387" s="195"/>
      <c r="AA387" s="195"/>
      <c r="AB387" s="195"/>
      <c r="AC387" s="8"/>
      <c r="AD387" s="8"/>
      <c r="AE387" s="8"/>
      <c r="AF387" s="8"/>
      <c r="AG387" s="202"/>
      <c r="AH387" s="202"/>
      <c r="AI387" s="202"/>
      <c r="AJ387" s="202"/>
      <c r="AK387" s="8"/>
      <c r="AL387" s="8"/>
      <c r="AM387" s="8"/>
      <c r="AN387" s="8"/>
      <c r="AO387" s="8"/>
      <c r="AP387" s="8"/>
      <c r="AQ387" s="8"/>
      <c r="AR387" s="8"/>
      <c r="AS387" s="8"/>
      <c r="AT387" s="8"/>
      <c r="AU387" s="8"/>
      <c r="AV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195"/>
      <c r="Z388" s="195"/>
      <c r="AA388" s="195"/>
      <c r="AB388" s="195"/>
      <c r="AC388" s="8"/>
      <c r="AD388" s="8"/>
      <c r="AE388" s="8"/>
      <c r="AF388" s="8"/>
      <c r="AG388" s="202"/>
      <c r="AH388" s="202"/>
      <c r="AI388" s="202"/>
      <c r="AJ388" s="202"/>
      <c r="AK388" s="8"/>
      <c r="AL388" s="8"/>
      <c r="AM388" s="8"/>
      <c r="AN388" s="8"/>
      <c r="AO388" s="8"/>
      <c r="AP388" s="8"/>
      <c r="AQ388" s="8"/>
      <c r="AR388" s="8"/>
      <c r="AS388" s="8"/>
      <c r="AT388" s="8"/>
      <c r="AU388" s="8"/>
      <c r="AV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195"/>
      <c r="Z389" s="195"/>
      <c r="AA389" s="195"/>
      <c r="AB389" s="195"/>
      <c r="AC389" s="8"/>
      <c r="AD389" s="8"/>
      <c r="AE389" s="8"/>
      <c r="AF389" s="8"/>
      <c r="AG389" s="202"/>
      <c r="AH389" s="202"/>
      <c r="AI389" s="202"/>
      <c r="AJ389" s="202"/>
      <c r="AK389" s="8"/>
      <c r="AL389" s="8"/>
      <c r="AM389" s="8"/>
      <c r="AN389" s="8"/>
      <c r="AO389" s="8"/>
      <c r="AP389" s="8"/>
      <c r="AQ389" s="8"/>
      <c r="AR389" s="8"/>
      <c r="AS389" s="8"/>
      <c r="AT389" s="8"/>
      <c r="AU389" s="8"/>
      <c r="AV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195"/>
      <c r="Z390" s="195"/>
      <c r="AA390" s="195"/>
      <c r="AB390" s="195"/>
      <c r="AC390" s="8"/>
      <c r="AD390" s="8"/>
      <c r="AE390" s="8"/>
      <c r="AF390" s="8"/>
      <c r="AG390" s="202"/>
      <c r="AH390" s="202"/>
      <c r="AI390" s="202"/>
      <c r="AJ390" s="202"/>
      <c r="AK390" s="8"/>
      <c r="AL390" s="8"/>
      <c r="AM390" s="8"/>
      <c r="AN390" s="8"/>
      <c r="AO390" s="8"/>
      <c r="AP390" s="8"/>
      <c r="AQ390" s="8"/>
      <c r="AR390" s="8"/>
      <c r="AS390" s="8"/>
      <c r="AT390" s="8"/>
      <c r="AU390" s="8"/>
      <c r="AV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195"/>
      <c r="Z391" s="195"/>
      <c r="AA391" s="195"/>
      <c r="AB391" s="195"/>
      <c r="AC391" s="8"/>
      <c r="AD391" s="8"/>
      <c r="AE391" s="8"/>
      <c r="AF391" s="8"/>
      <c r="AG391" s="202"/>
      <c r="AH391" s="202"/>
      <c r="AI391" s="202"/>
      <c r="AJ391" s="202"/>
      <c r="AK391" s="8"/>
      <c r="AL391" s="8"/>
      <c r="AM391" s="8"/>
      <c r="AN391" s="8"/>
      <c r="AO391" s="8"/>
      <c r="AP391" s="8"/>
      <c r="AQ391" s="8"/>
      <c r="AR391" s="8"/>
      <c r="AS391" s="8"/>
      <c r="AT391" s="8"/>
      <c r="AU391" s="8"/>
      <c r="AV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195"/>
      <c r="Z392" s="195"/>
      <c r="AA392" s="195"/>
      <c r="AB392" s="195"/>
      <c r="AC392" s="8"/>
      <c r="AD392" s="8"/>
      <c r="AE392" s="8"/>
      <c r="AF392" s="8"/>
      <c r="AG392" s="202"/>
      <c r="AH392" s="202"/>
      <c r="AI392" s="202"/>
      <c r="AJ392" s="202"/>
      <c r="AK392" s="8"/>
      <c r="AL392" s="8"/>
      <c r="AM392" s="8"/>
      <c r="AN392" s="8"/>
      <c r="AO392" s="8"/>
      <c r="AP392" s="8"/>
      <c r="AQ392" s="8"/>
      <c r="AR392" s="8"/>
      <c r="AS392" s="8"/>
      <c r="AT392" s="8"/>
      <c r="AU392" s="8"/>
      <c r="AV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195"/>
      <c r="Z393" s="195"/>
      <c r="AA393" s="195"/>
      <c r="AB393" s="195"/>
      <c r="AC393" s="8"/>
      <c r="AD393" s="8"/>
      <c r="AE393" s="8"/>
      <c r="AF393" s="8"/>
      <c r="AG393" s="202"/>
      <c r="AH393" s="202"/>
      <c r="AI393" s="202"/>
      <c r="AJ393" s="202"/>
      <c r="AK393" s="8"/>
      <c r="AL393" s="8"/>
      <c r="AM393" s="8"/>
      <c r="AN393" s="8"/>
      <c r="AO393" s="8"/>
      <c r="AP393" s="8"/>
      <c r="AQ393" s="8"/>
      <c r="AR393" s="8"/>
      <c r="AS393" s="8"/>
      <c r="AT393" s="8"/>
      <c r="AU393" s="8"/>
      <c r="AV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195"/>
      <c r="Z394" s="195"/>
      <c r="AA394" s="195"/>
      <c r="AB394" s="195"/>
      <c r="AC394" s="8"/>
      <c r="AD394" s="8"/>
      <c r="AE394" s="8"/>
      <c r="AF394" s="8"/>
      <c r="AG394" s="202"/>
      <c r="AH394" s="202"/>
      <c r="AI394" s="202"/>
      <c r="AJ394" s="202"/>
      <c r="AK394" s="8"/>
      <c r="AL394" s="8"/>
      <c r="AM394" s="8"/>
      <c r="AN394" s="8"/>
      <c r="AO394" s="8"/>
      <c r="AP394" s="8"/>
      <c r="AQ394" s="8"/>
      <c r="AR394" s="8"/>
      <c r="AS394" s="8"/>
      <c r="AT394" s="8"/>
      <c r="AU394" s="8"/>
      <c r="AV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195"/>
      <c r="Z395" s="195"/>
      <c r="AA395" s="195"/>
      <c r="AB395" s="195"/>
      <c r="AC395" s="8"/>
      <c r="AD395" s="8"/>
      <c r="AE395" s="8"/>
      <c r="AF395" s="8"/>
      <c r="AG395" s="202"/>
      <c r="AH395" s="202"/>
      <c r="AI395" s="202"/>
      <c r="AJ395" s="202"/>
      <c r="AK395" s="8"/>
      <c r="AL395" s="8"/>
      <c r="AM395" s="8"/>
      <c r="AN395" s="8"/>
      <c r="AO395" s="8"/>
      <c r="AP395" s="8"/>
      <c r="AQ395" s="8"/>
      <c r="AR395" s="8"/>
      <c r="AS395" s="8"/>
      <c r="AT395" s="8"/>
      <c r="AU395" s="8"/>
      <c r="AV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195"/>
      <c r="Z396" s="195"/>
      <c r="AA396" s="195"/>
      <c r="AB396" s="195"/>
      <c r="AC396" s="8"/>
      <c r="AD396" s="8"/>
      <c r="AE396" s="8"/>
      <c r="AF396" s="8"/>
      <c r="AG396" s="202"/>
      <c r="AH396" s="202"/>
      <c r="AI396" s="202"/>
      <c r="AJ396" s="202"/>
      <c r="AK396" s="8"/>
      <c r="AL396" s="8"/>
      <c r="AM396" s="8"/>
      <c r="AN396" s="8"/>
      <c r="AO396" s="8"/>
      <c r="AP396" s="8"/>
      <c r="AQ396" s="8"/>
      <c r="AR396" s="8"/>
      <c r="AS396" s="8"/>
      <c r="AT396" s="8"/>
      <c r="AU396" s="8"/>
      <c r="AV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195"/>
      <c r="Z397" s="195"/>
      <c r="AA397" s="195"/>
      <c r="AB397" s="195"/>
      <c r="AC397" s="8"/>
      <c r="AD397" s="8"/>
      <c r="AE397" s="8"/>
      <c r="AF397" s="8"/>
      <c r="AG397" s="202"/>
      <c r="AH397" s="202"/>
      <c r="AI397" s="202"/>
      <c r="AJ397" s="202"/>
      <c r="AK397" s="8"/>
      <c r="AL397" s="8"/>
      <c r="AM397" s="8"/>
      <c r="AN397" s="8"/>
      <c r="AO397" s="8"/>
      <c r="AP397" s="8"/>
      <c r="AQ397" s="8"/>
      <c r="AR397" s="8"/>
      <c r="AS397" s="8"/>
      <c r="AT397" s="8"/>
      <c r="AU397" s="8"/>
      <c r="AV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195"/>
      <c r="Z398" s="195"/>
      <c r="AA398" s="195"/>
      <c r="AB398" s="195"/>
      <c r="AC398" s="8"/>
      <c r="AD398" s="8"/>
      <c r="AE398" s="8"/>
      <c r="AF398" s="8"/>
      <c r="AG398" s="202"/>
      <c r="AH398" s="202"/>
      <c r="AI398" s="202"/>
      <c r="AJ398" s="202"/>
      <c r="AK398" s="8"/>
      <c r="AL398" s="8"/>
      <c r="AM398" s="8"/>
      <c r="AN398" s="8"/>
      <c r="AO398" s="8"/>
      <c r="AP398" s="8"/>
      <c r="AQ398" s="8"/>
      <c r="AR398" s="8"/>
      <c r="AS398" s="8"/>
      <c r="AT398" s="8"/>
      <c r="AU398" s="8"/>
      <c r="AV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195"/>
      <c r="Z399" s="195"/>
      <c r="AA399" s="195"/>
      <c r="AB399" s="195"/>
      <c r="AC399" s="8"/>
      <c r="AD399" s="8"/>
      <c r="AE399" s="8"/>
      <c r="AF399" s="8"/>
      <c r="AG399" s="202"/>
      <c r="AH399" s="202"/>
      <c r="AI399" s="202"/>
      <c r="AJ399" s="202"/>
      <c r="AK399" s="8"/>
      <c r="AL399" s="8"/>
      <c r="AM399" s="8"/>
      <c r="AN399" s="8"/>
      <c r="AO399" s="8"/>
      <c r="AP399" s="8"/>
      <c r="AQ399" s="8"/>
      <c r="AR399" s="8"/>
      <c r="AS399" s="8"/>
      <c r="AT399" s="8"/>
      <c r="AU399" s="8"/>
      <c r="AV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195"/>
      <c r="Z400" s="195"/>
      <c r="AA400" s="195"/>
      <c r="AB400" s="195"/>
      <c r="AC400" s="8"/>
      <c r="AD400" s="8"/>
      <c r="AE400" s="8"/>
      <c r="AF400" s="8"/>
      <c r="AG400" s="202"/>
      <c r="AH400" s="202"/>
      <c r="AI400" s="202"/>
      <c r="AJ400" s="202"/>
      <c r="AK400" s="8"/>
      <c r="AL400" s="8"/>
      <c r="AM400" s="8"/>
      <c r="AN400" s="8"/>
      <c r="AO400" s="8"/>
      <c r="AP400" s="8"/>
      <c r="AQ400" s="8"/>
      <c r="AR400" s="8"/>
      <c r="AS400" s="8"/>
      <c r="AT400" s="8"/>
      <c r="AU400" s="8"/>
      <c r="AV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195"/>
      <c r="Z401" s="195"/>
      <c r="AA401" s="195"/>
      <c r="AB401" s="195"/>
      <c r="AC401" s="8"/>
      <c r="AD401" s="8"/>
      <c r="AE401" s="8"/>
      <c r="AF401" s="8"/>
      <c r="AG401" s="202"/>
      <c r="AH401" s="202"/>
      <c r="AI401" s="202"/>
      <c r="AJ401" s="202"/>
      <c r="AK401" s="8"/>
      <c r="AL401" s="8"/>
      <c r="AM401" s="8"/>
      <c r="AN401" s="8"/>
      <c r="AO401" s="8"/>
      <c r="AP401" s="8"/>
      <c r="AQ401" s="8"/>
      <c r="AR401" s="8"/>
      <c r="AS401" s="8"/>
      <c r="AT401" s="8"/>
      <c r="AU401" s="8"/>
      <c r="AV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195"/>
      <c r="Z402" s="195"/>
      <c r="AA402" s="195"/>
      <c r="AB402" s="195"/>
      <c r="AC402" s="8"/>
      <c r="AD402" s="8"/>
      <c r="AE402" s="8"/>
      <c r="AF402" s="8"/>
      <c r="AG402" s="202"/>
      <c r="AH402" s="202"/>
      <c r="AI402" s="202"/>
      <c r="AJ402" s="202"/>
      <c r="AK402" s="8"/>
      <c r="AL402" s="8"/>
      <c r="AM402" s="8"/>
      <c r="AN402" s="8"/>
      <c r="AO402" s="8"/>
      <c r="AP402" s="8"/>
      <c r="AQ402" s="8"/>
      <c r="AR402" s="8"/>
      <c r="AS402" s="8"/>
      <c r="AT402" s="8"/>
      <c r="AU402" s="8"/>
      <c r="AV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195"/>
      <c r="Z403" s="195"/>
      <c r="AA403" s="195"/>
      <c r="AB403" s="195"/>
      <c r="AC403" s="8"/>
      <c r="AD403" s="8"/>
      <c r="AE403" s="8"/>
      <c r="AF403" s="8"/>
      <c r="AG403" s="202"/>
      <c r="AH403" s="202"/>
      <c r="AI403" s="202"/>
      <c r="AJ403" s="202"/>
      <c r="AK403" s="8"/>
      <c r="AL403" s="8"/>
      <c r="AM403" s="8"/>
      <c r="AN403" s="8"/>
      <c r="AO403" s="8"/>
      <c r="AP403" s="8"/>
      <c r="AQ403" s="8"/>
      <c r="AR403" s="8"/>
      <c r="AS403" s="8"/>
      <c r="AT403" s="8"/>
      <c r="AU403" s="8"/>
      <c r="AV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195"/>
      <c r="Z404" s="195"/>
      <c r="AA404" s="195"/>
      <c r="AB404" s="195"/>
      <c r="AC404" s="8"/>
      <c r="AD404" s="8"/>
      <c r="AE404" s="8"/>
      <c r="AF404" s="8"/>
      <c r="AG404" s="202"/>
      <c r="AH404" s="202"/>
      <c r="AI404" s="202"/>
      <c r="AJ404" s="202"/>
      <c r="AK404" s="8"/>
      <c r="AL404" s="8"/>
      <c r="AM404" s="8"/>
      <c r="AN404" s="8"/>
      <c r="AO404" s="8"/>
      <c r="AP404" s="8"/>
      <c r="AQ404" s="8"/>
      <c r="AR404" s="8"/>
      <c r="AS404" s="8"/>
      <c r="AT404" s="8"/>
      <c r="AU404" s="8"/>
      <c r="AV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195"/>
      <c r="Z405" s="195"/>
      <c r="AA405" s="195"/>
      <c r="AB405" s="195"/>
      <c r="AC405" s="8"/>
      <c r="AD405" s="8"/>
      <c r="AE405" s="8"/>
      <c r="AF405" s="8"/>
      <c r="AG405" s="202"/>
      <c r="AH405" s="202"/>
      <c r="AI405" s="202"/>
      <c r="AJ405" s="202"/>
      <c r="AK405" s="8"/>
      <c r="AL405" s="8"/>
      <c r="AM405" s="8"/>
      <c r="AN405" s="8"/>
      <c r="AO405" s="8"/>
      <c r="AP405" s="8"/>
      <c r="AQ405" s="8"/>
      <c r="AR405" s="8"/>
      <c r="AS405" s="8"/>
      <c r="AT405" s="8"/>
      <c r="AU405" s="8"/>
      <c r="AV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195"/>
      <c r="Z406" s="195"/>
      <c r="AA406" s="195"/>
      <c r="AB406" s="195"/>
      <c r="AC406" s="8"/>
      <c r="AD406" s="8"/>
      <c r="AE406" s="8"/>
      <c r="AF406" s="8"/>
      <c r="AG406" s="202"/>
      <c r="AH406" s="202"/>
      <c r="AI406" s="202"/>
      <c r="AJ406" s="202"/>
      <c r="AK406" s="8"/>
      <c r="AL406" s="8"/>
      <c r="AM406" s="8"/>
      <c r="AN406" s="8"/>
      <c r="AO406" s="8"/>
      <c r="AP406" s="8"/>
      <c r="AQ406" s="8"/>
      <c r="AR406" s="8"/>
      <c r="AS406" s="8"/>
      <c r="AT406" s="8"/>
      <c r="AU406" s="8"/>
      <c r="AV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195"/>
      <c r="Z407" s="195"/>
      <c r="AA407" s="195"/>
      <c r="AB407" s="195"/>
      <c r="AC407" s="8"/>
      <c r="AD407" s="8"/>
      <c r="AE407" s="8"/>
      <c r="AF407" s="8"/>
      <c r="AG407" s="202"/>
      <c r="AH407" s="202"/>
      <c r="AI407" s="202"/>
      <c r="AJ407" s="202"/>
      <c r="AK407" s="8"/>
      <c r="AL407" s="8"/>
      <c r="AM407" s="8"/>
      <c r="AN407" s="8"/>
      <c r="AO407" s="8"/>
      <c r="AP407" s="8"/>
      <c r="AQ407" s="8"/>
      <c r="AR407" s="8"/>
      <c r="AS407" s="8"/>
      <c r="AT407" s="8"/>
      <c r="AU407" s="8"/>
      <c r="AV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195"/>
      <c r="Z408" s="195"/>
      <c r="AA408" s="195"/>
      <c r="AB408" s="195"/>
      <c r="AC408" s="8"/>
      <c r="AD408" s="8"/>
      <c r="AE408" s="8"/>
      <c r="AF408" s="8"/>
      <c r="AG408" s="202"/>
      <c r="AH408" s="202"/>
      <c r="AI408" s="202"/>
      <c r="AJ408" s="202"/>
      <c r="AK408" s="8"/>
      <c r="AL408" s="8"/>
      <c r="AM408" s="8"/>
      <c r="AN408" s="8"/>
      <c r="AO408" s="8"/>
      <c r="AP408" s="8"/>
      <c r="AQ408" s="8"/>
      <c r="AR408" s="8"/>
      <c r="AS408" s="8"/>
      <c r="AT408" s="8"/>
      <c r="AU408" s="8"/>
      <c r="AV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195"/>
      <c r="Z409" s="195"/>
      <c r="AA409" s="195"/>
      <c r="AB409" s="195"/>
      <c r="AC409" s="8"/>
      <c r="AD409" s="8"/>
      <c r="AE409" s="8"/>
      <c r="AF409" s="8"/>
      <c r="AG409" s="202"/>
      <c r="AH409" s="202"/>
      <c r="AI409" s="202"/>
      <c r="AJ409" s="202"/>
      <c r="AK409" s="8"/>
      <c r="AL409" s="8"/>
      <c r="AM409" s="8"/>
      <c r="AN409" s="8"/>
      <c r="AO409" s="8"/>
      <c r="AP409" s="8"/>
      <c r="AQ409" s="8"/>
      <c r="AR409" s="8"/>
      <c r="AS409" s="8"/>
      <c r="AT409" s="8"/>
      <c r="AU409" s="8"/>
      <c r="AV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195"/>
      <c r="Z410" s="195"/>
      <c r="AA410" s="195"/>
      <c r="AB410" s="195"/>
      <c r="AC410" s="8"/>
      <c r="AD410" s="8"/>
      <c r="AE410" s="8"/>
      <c r="AF410" s="8"/>
      <c r="AG410" s="202"/>
      <c r="AH410" s="202"/>
      <c r="AI410" s="202"/>
      <c r="AJ410" s="202"/>
      <c r="AK410" s="8"/>
      <c r="AL410" s="8"/>
      <c r="AM410" s="8"/>
      <c r="AN410" s="8"/>
      <c r="AO410" s="8"/>
      <c r="AP410" s="8"/>
      <c r="AQ410" s="8"/>
      <c r="AR410" s="8"/>
      <c r="AS410" s="8"/>
      <c r="AT410" s="8"/>
      <c r="AU410" s="8"/>
      <c r="AV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195"/>
      <c r="Z411" s="195"/>
      <c r="AA411" s="195"/>
      <c r="AB411" s="195"/>
      <c r="AC411" s="8"/>
      <c r="AD411" s="8"/>
      <c r="AE411" s="8"/>
      <c r="AF411" s="8"/>
      <c r="AG411" s="202"/>
      <c r="AH411" s="202"/>
      <c r="AI411" s="202"/>
      <c r="AJ411" s="202"/>
      <c r="AK411" s="8"/>
      <c r="AL411" s="8"/>
      <c r="AM411" s="8"/>
      <c r="AN411" s="8"/>
      <c r="AO411" s="8"/>
      <c r="AP411" s="8"/>
      <c r="AQ411" s="8"/>
      <c r="AR411" s="8"/>
      <c r="AS411" s="8"/>
      <c r="AT411" s="8"/>
      <c r="AU411" s="8"/>
      <c r="AV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195"/>
      <c r="Z412" s="195"/>
      <c r="AA412" s="195"/>
      <c r="AB412" s="195"/>
      <c r="AC412" s="8"/>
      <c r="AD412" s="8"/>
      <c r="AE412" s="8"/>
      <c r="AF412" s="8"/>
      <c r="AG412" s="202"/>
      <c r="AH412" s="202"/>
      <c r="AI412" s="202"/>
      <c r="AJ412" s="202"/>
      <c r="AK412" s="8"/>
      <c r="AL412" s="8"/>
      <c r="AM412" s="8"/>
      <c r="AN412" s="8"/>
      <c r="AO412" s="8"/>
      <c r="AP412" s="8"/>
      <c r="AQ412" s="8"/>
      <c r="AR412" s="8"/>
      <c r="AS412" s="8"/>
      <c r="AT412" s="8"/>
      <c r="AU412" s="8"/>
      <c r="AV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195"/>
      <c r="Z413" s="195"/>
      <c r="AA413" s="195"/>
      <c r="AB413" s="195"/>
      <c r="AC413" s="8"/>
      <c r="AD413" s="8"/>
      <c r="AE413" s="8"/>
      <c r="AF413" s="8"/>
      <c r="AG413" s="202"/>
      <c r="AH413" s="202"/>
      <c r="AI413" s="202"/>
      <c r="AJ413" s="202"/>
      <c r="AK413" s="8"/>
      <c r="AL413" s="8"/>
      <c r="AM413" s="8"/>
      <c r="AN413" s="8"/>
      <c r="AO413" s="8"/>
      <c r="AP413" s="8"/>
      <c r="AQ413" s="8"/>
      <c r="AR413" s="8"/>
      <c r="AS413" s="8"/>
      <c r="AT413" s="8"/>
      <c r="AU413" s="8"/>
      <c r="AV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195"/>
      <c r="Z414" s="195"/>
      <c r="AA414" s="195"/>
      <c r="AB414" s="195"/>
      <c r="AC414" s="8"/>
      <c r="AD414" s="8"/>
      <c r="AE414" s="8"/>
      <c r="AF414" s="8"/>
      <c r="AG414" s="202"/>
      <c r="AH414" s="202"/>
      <c r="AI414" s="202"/>
      <c r="AJ414" s="202"/>
      <c r="AK414" s="8"/>
      <c r="AL414" s="8"/>
      <c r="AM414" s="8"/>
      <c r="AN414" s="8"/>
      <c r="AO414" s="8"/>
      <c r="AP414" s="8"/>
      <c r="AQ414" s="8"/>
      <c r="AR414" s="8"/>
      <c r="AS414" s="8"/>
      <c r="AT414" s="8"/>
      <c r="AU414" s="8"/>
      <c r="AV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195"/>
      <c r="Z415" s="195"/>
      <c r="AA415" s="195"/>
      <c r="AB415" s="195"/>
      <c r="AC415" s="8"/>
      <c r="AD415" s="8"/>
      <c r="AE415" s="8"/>
      <c r="AF415" s="8"/>
      <c r="AG415" s="202"/>
      <c r="AH415" s="202"/>
      <c r="AI415" s="202"/>
      <c r="AJ415" s="202"/>
      <c r="AK415" s="8"/>
      <c r="AL415" s="8"/>
      <c r="AM415" s="8"/>
      <c r="AN415" s="8"/>
      <c r="AO415" s="8"/>
      <c r="AP415" s="8"/>
      <c r="AQ415" s="8"/>
      <c r="AR415" s="8"/>
      <c r="AS415" s="8"/>
      <c r="AT415" s="8"/>
      <c r="AU415" s="8"/>
      <c r="AV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195"/>
      <c r="Z416" s="195"/>
      <c r="AA416" s="195"/>
      <c r="AB416" s="195"/>
      <c r="AC416" s="8"/>
      <c r="AD416" s="8"/>
      <c r="AE416" s="8"/>
      <c r="AF416" s="8"/>
      <c r="AG416" s="202"/>
      <c r="AH416" s="202"/>
      <c r="AI416" s="202"/>
      <c r="AJ416" s="202"/>
      <c r="AK416" s="8"/>
      <c r="AL416" s="8"/>
      <c r="AM416" s="8"/>
      <c r="AN416" s="8"/>
      <c r="AO416" s="8"/>
      <c r="AP416" s="8"/>
      <c r="AQ416" s="8"/>
      <c r="AR416" s="8"/>
      <c r="AS416" s="8"/>
      <c r="AT416" s="8"/>
      <c r="AU416" s="8"/>
      <c r="AV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195"/>
      <c r="Z417" s="195"/>
      <c r="AA417" s="195"/>
      <c r="AB417" s="195"/>
      <c r="AC417" s="8"/>
      <c r="AD417" s="8"/>
      <c r="AE417" s="8"/>
      <c r="AF417" s="8"/>
      <c r="AG417" s="202"/>
      <c r="AH417" s="202"/>
      <c r="AI417" s="202"/>
      <c r="AJ417" s="202"/>
      <c r="AK417" s="8"/>
      <c r="AL417" s="8"/>
      <c r="AM417" s="8"/>
      <c r="AN417" s="8"/>
      <c r="AO417" s="8"/>
      <c r="AP417" s="8"/>
      <c r="AQ417" s="8"/>
      <c r="AR417" s="8"/>
      <c r="AS417" s="8"/>
      <c r="AT417" s="8"/>
      <c r="AU417" s="8"/>
      <c r="AV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195"/>
      <c r="Z418" s="195"/>
      <c r="AA418" s="195"/>
      <c r="AB418" s="195"/>
      <c r="AC418" s="8"/>
      <c r="AD418" s="8"/>
      <c r="AE418" s="8"/>
      <c r="AF418" s="8"/>
      <c r="AG418" s="202"/>
      <c r="AH418" s="202"/>
      <c r="AI418" s="202"/>
      <c r="AJ418" s="202"/>
      <c r="AK418" s="8"/>
      <c r="AL418" s="8"/>
      <c r="AM418" s="8"/>
      <c r="AN418" s="8"/>
      <c r="AO418" s="8"/>
      <c r="AP418" s="8"/>
      <c r="AQ418" s="8"/>
      <c r="AR418" s="8"/>
      <c r="AS418" s="8"/>
      <c r="AT418" s="8"/>
      <c r="AU418" s="8"/>
      <c r="AV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195"/>
      <c r="Z419" s="195"/>
      <c r="AA419" s="195"/>
      <c r="AB419" s="195"/>
      <c r="AC419" s="8"/>
      <c r="AD419" s="8"/>
      <c r="AE419" s="8"/>
      <c r="AF419" s="8"/>
      <c r="AG419" s="202"/>
      <c r="AH419" s="202"/>
      <c r="AI419" s="202"/>
      <c r="AJ419" s="202"/>
      <c r="AK419" s="8"/>
      <c r="AL419" s="8"/>
      <c r="AM419" s="8"/>
      <c r="AN419" s="8"/>
      <c r="AO419" s="8"/>
      <c r="AP419" s="8"/>
      <c r="AQ419" s="8"/>
      <c r="AR419" s="8"/>
      <c r="AS419" s="8"/>
      <c r="AT419" s="8"/>
      <c r="AU419" s="8"/>
      <c r="AV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195"/>
      <c r="Z420" s="195"/>
      <c r="AA420" s="195"/>
      <c r="AB420" s="195"/>
      <c r="AC420" s="8"/>
      <c r="AD420" s="8"/>
      <c r="AE420" s="8"/>
      <c r="AF420" s="8"/>
      <c r="AG420" s="202"/>
      <c r="AH420" s="202"/>
      <c r="AI420" s="202"/>
      <c r="AJ420" s="202"/>
      <c r="AK420" s="8"/>
      <c r="AL420" s="8"/>
      <c r="AM420" s="8"/>
      <c r="AN420" s="8"/>
      <c r="AO420" s="8"/>
      <c r="AP420" s="8"/>
      <c r="AQ420" s="8"/>
      <c r="AR420" s="8"/>
      <c r="AS420" s="8"/>
      <c r="AT420" s="8"/>
      <c r="AU420" s="8"/>
      <c r="AV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195"/>
      <c r="Z421" s="195"/>
      <c r="AA421" s="195"/>
      <c r="AB421" s="195"/>
      <c r="AC421" s="8"/>
      <c r="AD421" s="8"/>
      <c r="AE421" s="8"/>
      <c r="AF421" s="8"/>
      <c r="AG421" s="202"/>
      <c r="AH421" s="202"/>
      <c r="AI421" s="202"/>
      <c r="AJ421" s="202"/>
      <c r="AK421" s="8"/>
      <c r="AL421" s="8"/>
      <c r="AM421" s="8"/>
      <c r="AN421" s="8"/>
      <c r="AO421" s="8"/>
      <c r="AP421" s="8"/>
      <c r="AQ421" s="8"/>
      <c r="AR421" s="8"/>
      <c r="AS421" s="8"/>
      <c r="AT421" s="8"/>
      <c r="AU421" s="8"/>
      <c r="AV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195"/>
      <c r="Z422" s="195"/>
      <c r="AA422" s="195"/>
      <c r="AB422" s="195"/>
      <c r="AC422" s="8"/>
      <c r="AD422" s="8"/>
      <c r="AE422" s="8"/>
      <c r="AF422" s="8"/>
      <c r="AG422" s="202"/>
      <c r="AH422" s="202"/>
      <c r="AI422" s="202"/>
      <c r="AJ422" s="202"/>
      <c r="AK422" s="8"/>
      <c r="AL422" s="8"/>
      <c r="AM422" s="8"/>
      <c r="AN422" s="8"/>
      <c r="AO422" s="8"/>
      <c r="AP422" s="8"/>
      <c r="AQ422" s="8"/>
      <c r="AR422" s="8"/>
      <c r="AS422" s="8"/>
      <c r="AT422" s="8"/>
      <c r="AU422" s="8"/>
      <c r="AV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195"/>
      <c r="Z423" s="195"/>
      <c r="AA423" s="195"/>
      <c r="AB423" s="195"/>
      <c r="AC423" s="8"/>
      <c r="AD423" s="8"/>
      <c r="AE423" s="8"/>
      <c r="AF423" s="8"/>
      <c r="AG423" s="202"/>
      <c r="AH423" s="202"/>
      <c r="AI423" s="202"/>
      <c r="AJ423" s="202"/>
      <c r="AK423" s="8"/>
      <c r="AL423" s="8"/>
      <c r="AM423" s="8"/>
      <c r="AN423" s="8"/>
      <c r="AO423" s="8"/>
      <c r="AP423" s="8"/>
      <c r="AQ423" s="8"/>
      <c r="AR423" s="8"/>
      <c r="AS423" s="8"/>
      <c r="AT423" s="8"/>
      <c r="AU423" s="8"/>
      <c r="AV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195"/>
      <c r="Z424" s="195"/>
      <c r="AA424" s="195"/>
      <c r="AB424" s="195"/>
      <c r="AC424" s="8"/>
      <c r="AD424" s="8"/>
      <c r="AE424" s="8"/>
      <c r="AF424" s="8"/>
      <c r="AG424" s="202"/>
      <c r="AH424" s="202"/>
      <c r="AI424" s="202"/>
      <c r="AJ424" s="202"/>
      <c r="AK424" s="8"/>
      <c r="AL424" s="8"/>
      <c r="AM424" s="8"/>
      <c r="AN424" s="8"/>
      <c r="AO424" s="8"/>
      <c r="AP424" s="8"/>
      <c r="AQ424" s="8"/>
      <c r="AR424" s="8"/>
      <c r="AS424" s="8"/>
      <c r="AT424" s="8"/>
      <c r="AU424" s="8"/>
      <c r="AV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195"/>
      <c r="Z425" s="195"/>
      <c r="AA425" s="195"/>
      <c r="AB425" s="195"/>
      <c r="AC425" s="8"/>
      <c r="AD425" s="8"/>
      <c r="AE425" s="8"/>
      <c r="AF425" s="8"/>
      <c r="AG425" s="202"/>
      <c r="AH425" s="202"/>
      <c r="AI425" s="202"/>
      <c r="AJ425" s="202"/>
      <c r="AK425" s="8"/>
      <c r="AL425" s="8"/>
      <c r="AM425" s="8"/>
      <c r="AN425" s="8"/>
      <c r="AO425" s="8"/>
      <c r="AP425" s="8"/>
      <c r="AQ425" s="8"/>
      <c r="AR425" s="8"/>
      <c r="AS425" s="8"/>
      <c r="AT425" s="8"/>
      <c r="AU425" s="8"/>
      <c r="AV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195"/>
      <c r="Z426" s="195"/>
      <c r="AA426" s="195"/>
      <c r="AB426" s="195"/>
      <c r="AC426" s="8"/>
      <c r="AD426" s="8"/>
      <c r="AE426" s="8"/>
      <c r="AF426" s="8"/>
      <c r="AG426" s="202"/>
      <c r="AH426" s="202"/>
      <c r="AI426" s="202"/>
      <c r="AJ426" s="202"/>
      <c r="AK426" s="8"/>
      <c r="AL426" s="8"/>
      <c r="AM426" s="8"/>
      <c r="AN426" s="8"/>
      <c r="AO426" s="8"/>
      <c r="AP426" s="8"/>
      <c r="AQ426" s="8"/>
      <c r="AR426" s="8"/>
      <c r="AS426" s="8"/>
      <c r="AT426" s="8"/>
      <c r="AU426" s="8"/>
      <c r="AV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195"/>
      <c r="Z427" s="195"/>
      <c r="AA427" s="195"/>
      <c r="AB427" s="195"/>
      <c r="AC427" s="8"/>
      <c r="AD427" s="8"/>
      <c r="AE427" s="8"/>
      <c r="AF427" s="8"/>
      <c r="AG427" s="202"/>
      <c r="AH427" s="202"/>
      <c r="AI427" s="202"/>
      <c r="AJ427" s="202"/>
      <c r="AK427" s="8"/>
      <c r="AL427" s="8"/>
      <c r="AM427" s="8"/>
      <c r="AN427" s="8"/>
      <c r="AO427" s="8"/>
      <c r="AP427" s="8"/>
      <c r="AQ427" s="8"/>
      <c r="AR427" s="8"/>
      <c r="AS427" s="8"/>
      <c r="AT427" s="8"/>
      <c r="AU427" s="8"/>
      <c r="AV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195"/>
      <c r="Z428" s="195"/>
      <c r="AA428" s="195"/>
      <c r="AB428" s="195"/>
      <c r="AC428" s="8"/>
      <c r="AD428" s="8"/>
      <c r="AE428" s="8"/>
      <c r="AF428" s="8"/>
      <c r="AG428" s="202"/>
      <c r="AH428" s="202"/>
      <c r="AI428" s="202"/>
      <c r="AJ428" s="202"/>
      <c r="AK428" s="8"/>
      <c r="AL428" s="8"/>
      <c r="AM428" s="8"/>
      <c r="AN428" s="8"/>
      <c r="AO428" s="8"/>
      <c r="AP428" s="8"/>
      <c r="AQ428" s="8"/>
      <c r="AR428" s="8"/>
      <c r="AS428" s="8"/>
      <c r="AT428" s="8"/>
      <c r="AU428" s="8"/>
      <c r="AV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195"/>
      <c r="Z429" s="195"/>
      <c r="AA429" s="195"/>
      <c r="AB429" s="195"/>
      <c r="AC429" s="8"/>
      <c r="AD429" s="8"/>
      <c r="AE429" s="8"/>
      <c r="AF429" s="8"/>
      <c r="AG429" s="202"/>
      <c r="AH429" s="202"/>
      <c r="AI429" s="202"/>
      <c r="AJ429" s="202"/>
      <c r="AK429" s="8"/>
      <c r="AL429" s="8"/>
      <c r="AM429" s="8"/>
      <c r="AN429" s="8"/>
      <c r="AO429" s="8"/>
      <c r="AP429" s="8"/>
      <c r="AQ429" s="8"/>
      <c r="AR429" s="8"/>
      <c r="AS429" s="8"/>
      <c r="AT429" s="8"/>
      <c r="AU429" s="8"/>
      <c r="AV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195"/>
      <c r="Z430" s="195"/>
      <c r="AA430" s="195"/>
      <c r="AB430" s="195"/>
      <c r="AC430" s="8"/>
      <c r="AD430" s="8"/>
      <c r="AE430" s="8"/>
      <c r="AF430" s="8"/>
      <c r="AG430" s="202"/>
      <c r="AH430" s="202"/>
      <c r="AI430" s="202"/>
      <c r="AJ430" s="202"/>
      <c r="AK430" s="8"/>
      <c r="AL430" s="8"/>
      <c r="AM430" s="8"/>
      <c r="AN430" s="8"/>
      <c r="AO430" s="8"/>
      <c r="AP430" s="8"/>
      <c r="AQ430" s="8"/>
      <c r="AR430" s="8"/>
      <c r="AS430" s="8"/>
      <c r="AT430" s="8"/>
      <c r="AU430" s="8"/>
      <c r="AV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195"/>
      <c r="Z431" s="195"/>
      <c r="AA431" s="195"/>
      <c r="AB431" s="195"/>
      <c r="AC431" s="8"/>
      <c r="AD431" s="8"/>
      <c r="AE431" s="8"/>
      <c r="AF431" s="8"/>
      <c r="AG431" s="202"/>
      <c r="AH431" s="202"/>
      <c r="AI431" s="202"/>
      <c r="AJ431" s="202"/>
      <c r="AK431" s="8"/>
      <c r="AL431" s="8"/>
      <c r="AM431" s="8"/>
      <c r="AN431" s="8"/>
      <c r="AO431" s="8"/>
      <c r="AP431" s="8"/>
      <c r="AQ431" s="8"/>
      <c r="AR431" s="8"/>
      <c r="AS431" s="8"/>
      <c r="AT431" s="8"/>
      <c r="AU431" s="8"/>
      <c r="AV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195"/>
      <c r="Z432" s="195"/>
      <c r="AA432" s="195"/>
      <c r="AB432" s="195"/>
      <c r="AC432" s="8"/>
      <c r="AD432" s="8"/>
      <c r="AE432" s="8"/>
      <c r="AF432" s="8"/>
      <c r="AG432" s="202"/>
      <c r="AH432" s="202"/>
      <c r="AI432" s="202"/>
      <c r="AJ432" s="202"/>
      <c r="AK432" s="8"/>
      <c r="AL432" s="8"/>
      <c r="AM432" s="8"/>
      <c r="AN432" s="8"/>
      <c r="AO432" s="8"/>
      <c r="AP432" s="8"/>
      <c r="AQ432" s="8"/>
      <c r="AR432" s="8"/>
      <c r="AS432" s="8"/>
      <c r="AT432" s="8"/>
      <c r="AU432" s="8"/>
      <c r="AV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195"/>
      <c r="Z433" s="195"/>
      <c r="AA433" s="195"/>
      <c r="AB433" s="195"/>
      <c r="AC433" s="8"/>
      <c r="AD433" s="8"/>
      <c r="AE433" s="8"/>
      <c r="AF433" s="8"/>
      <c r="AG433" s="202"/>
      <c r="AH433" s="202"/>
      <c r="AI433" s="202"/>
      <c r="AJ433" s="202"/>
      <c r="AK433" s="8"/>
      <c r="AL433" s="8"/>
      <c r="AM433" s="8"/>
      <c r="AN433" s="8"/>
      <c r="AO433" s="8"/>
      <c r="AP433" s="8"/>
      <c r="AQ433" s="8"/>
      <c r="AR433" s="8"/>
      <c r="AS433" s="8"/>
      <c r="AT433" s="8"/>
      <c r="AU433" s="8"/>
      <c r="AV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195"/>
      <c r="Z434" s="195"/>
      <c r="AA434" s="195"/>
      <c r="AB434" s="195"/>
      <c r="AC434" s="8"/>
      <c r="AD434" s="8"/>
      <c r="AE434" s="8"/>
      <c r="AF434" s="8"/>
      <c r="AG434" s="202"/>
      <c r="AH434" s="202"/>
      <c r="AI434" s="202"/>
      <c r="AJ434" s="202"/>
      <c r="AK434" s="8"/>
      <c r="AL434" s="8"/>
      <c r="AM434" s="8"/>
      <c r="AN434" s="8"/>
      <c r="AO434" s="8"/>
      <c r="AP434" s="8"/>
      <c r="AQ434" s="8"/>
      <c r="AR434" s="8"/>
      <c r="AS434" s="8"/>
      <c r="AT434" s="8"/>
      <c r="AU434" s="8"/>
      <c r="AV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195"/>
      <c r="Z435" s="195"/>
      <c r="AA435" s="195"/>
      <c r="AB435" s="195"/>
      <c r="AC435" s="8"/>
      <c r="AD435" s="8"/>
      <c r="AE435" s="8"/>
      <c r="AF435" s="8"/>
      <c r="AG435" s="202"/>
      <c r="AH435" s="202"/>
      <c r="AI435" s="202"/>
      <c r="AJ435" s="202"/>
      <c r="AK435" s="8"/>
      <c r="AL435" s="8"/>
      <c r="AM435" s="8"/>
      <c r="AN435" s="8"/>
      <c r="AO435" s="8"/>
      <c r="AP435" s="8"/>
      <c r="AQ435" s="8"/>
      <c r="AR435" s="8"/>
      <c r="AS435" s="8"/>
      <c r="AT435" s="8"/>
      <c r="AU435" s="8"/>
      <c r="AV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195"/>
      <c r="Z436" s="195"/>
      <c r="AA436" s="195"/>
      <c r="AB436" s="195"/>
      <c r="AC436" s="8"/>
      <c r="AD436" s="8"/>
      <c r="AE436" s="8"/>
      <c r="AF436" s="8"/>
      <c r="AG436" s="202"/>
      <c r="AH436" s="202"/>
      <c r="AI436" s="202"/>
      <c r="AJ436" s="202"/>
      <c r="AK436" s="8"/>
      <c r="AL436" s="8"/>
      <c r="AM436" s="8"/>
      <c r="AN436" s="8"/>
      <c r="AO436" s="8"/>
      <c r="AP436" s="8"/>
      <c r="AQ436" s="8"/>
      <c r="AR436" s="8"/>
      <c r="AS436" s="8"/>
      <c r="AT436" s="8"/>
      <c r="AU436" s="8"/>
      <c r="AV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195"/>
      <c r="Z437" s="195"/>
      <c r="AA437" s="195"/>
      <c r="AB437" s="195"/>
      <c r="AC437" s="8"/>
      <c r="AD437" s="8"/>
      <c r="AE437" s="8"/>
      <c r="AF437" s="8"/>
      <c r="AG437" s="202"/>
      <c r="AH437" s="202"/>
      <c r="AI437" s="202"/>
      <c r="AJ437" s="202"/>
      <c r="AK437" s="8"/>
      <c r="AL437" s="8"/>
      <c r="AM437" s="8"/>
      <c r="AN437" s="8"/>
      <c r="AO437" s="8"/>
      <c r="AP437" s="8"/>
      <c r="AQ437" s="8"/>
      <c r="AR437" s="8"/>
      <c r="AS437" s="8"/>
      <c r="AT437" s="8"/>
      <c r="AU437" s="8"/>
      <c r="AV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195"/>
      <c r="Z438" s="195"/>
      <c r="AA438" s="195"/>
      <c r="AB438" s="195"/>
      <c r="AC438" s="8"/>
      <c r="AD438" s="8"/>
      <c r="AE438" s="8"/>
      <c r="AF438" s="8"/>
      <c r="AG438" s="202"/>
      <c r="AH438" s="202"/>
      <c r="AI438" s="202"/>
      <c r="AJ438" s="202"/>
      <c r="AK438" s="8"/>
      <c r="AL438" s="8"/>
      <c r="AM438" s="8"/>
      <c r="AN438" s="8"/>
      <c r="AO438" s="8"/>
      <c r="AP438" s="8"/>
      <c r="AQ438" s="8"/>
      <c r="AR438" s="8"/>
      <c r="AS438" s="8"/>
      <c r="AT438" s="8"/>
      <c r="AU438" s="8"/>
      <c r="AV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195"/>
      <c r="Z439" s="195"/>
      <c r="AA439" s="195"/>
      <c r="AB439" s="195"/>
      <c r="AC439" s="8"/>
      <c r="AD439" s="8"/>
      <c r="AE439" s="8"/>
      <c r="AF439" s="8"/>
      <c r="AG439" s="202"/>
      <c r="AH439" s="202"/>
      <c r="AI439" s="202"/>
      <c r="AJ439" s="202"/>
      <c r="AK439" s="8"/>
      <c r="AL439" s="8"/>
      <c r="AM439" s="8"/>
      <c r="AN439" s="8"/>
      <c r="AO439" s="8"/>
      <c r="AP439" s="8"/>
      <c r="AQ439" s="8"/>
      <c r="AR439" s="8"/>
      <c r="AS439" s="8"/>
      <c r="AT439" s="8"/>
      <c r="AU439" s="8"/>
      <c r="AV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195"/>
      <c r="Z440" s="195"/>
      <c r="AA440" s="195"/>
      <c r="AB440" s="195"/>
      <c r="AC440" s="8"/>
      <c r="AD440" s="8"/>
      <c r="AE440" s="8"/>
      <c r="AF440" s="8"/>
      <c r="AG440" s="202"/>
      <c r="AH440" s="202"/>
      <c r="AI440" s="202"/>
      <c r="AJ440" s="202"/>
      <c r="AK440" s="8"/>
      <c r="AL440" s="8"/>
      <c r="AM440" s="8"/>
      <c r="AN440" s="8"/>
      <c r="AO440" s="8"/>
      <c r="AP440" s="8"/>
      <c r="AQ440" s="8"/>
      <c r="AR440" s="8"/>
      <c r="AS440" s="8"/>
      <c r="AT440" s="8"/>
      <c r="AU440" s="8"/>
      <c r="AV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195"/>
      <c r="Z441" s="195"/>
      <c r="AA441" s="195"/>
      <c r="AB441" s="195"/>
      <c r="AC441" s="8"/>
      <c r="AD441" s="8"/>
      <c r="AE441" s="8"/>
      <c r="AF441" s="8"/>
      <c r="AG441" s="202"/>
      <c r="AH441" s="202"/>
      <c r="AI441" s="202"/>
      <c r="AJ441" s="202"/>
      <c r="AK441" s="8"/>
      <c r="AL441" s="8"/>
      <c r="AM441" s="8"/>
      <c r="AN441" s="8"/>
      <c r="AO441" s="8"/>
      <c r="AP441" s="8"/>
      <c r="AQ441" s="8"/>
      <c r="AR441" s="8"/>
      <c r="AS441" s="8"/>
      <c r="AT441" s="8"/>
      <c r="AU441" s="8"/>
      <c r="AV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195"/>
      <c r="Z442" s="195"/>
      <c r="AA442" s="195"/>
      <c r="AB442" s="195"/>
      <c r="AC442" s="8"/>
      <c r="AD442" s="8"/>
      <c r="AE442" s="8"/>
      <c r="AF442" s="8"/>
      <c r="AG442" s="202"/>
      <c r="AH442" s="202"/>
      <c r="AI442" s="202"/>
      <c r="AJ442" s="202"/>
      <c r="AK442" s="8"/>
      <c r="AL442" s="8"/>
      <c r="AM442" s="8"/>
      <c r="AN442" s="8"/>
      <c r="AO442" s="8"/>
      <c r="AP442" s="8"/>
      <c r="AQ442" s="8"/>
      <c r="AR442" s="8"/>
      <c r="AS442" s="8"/>
      <c r="AT442" s="8"/>
      <c r="AU442" s="8"/>
      <c r="AV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195"/>
      <c r="Z443" s="195"/>
      <c r="AA443" s="195"/>
      <c r="AB443" s="195"/>
      <c r="AC443" s="8"/>
      <c r="AD443" s="8"/>
      <c r="AE443" s="8"/>
      <c r="AF443" s="8"/>
      <c r="AG443" s="202"/>
      <c r="AH443" s="202"/>
      <c r="AI443" s="202"/>
      <c r="AJ443" s="202"/>
      <c r="AK443" s="8"/>
      <c r="AL443" s="8"/>
      <c r="AM443" s="8"/>
      <c r="AN443" s="8"/>
      <c r="AO443" s="8"/>
      <c r="AP443" s="8"/>
      <c r="AQ443" s="8"/>
      <c r="AR443" s="8"/>
      <c r="AS443" s="8"/>
      <c r="AT443" s="8"/>
      <c r="AU443" s="8"/>
      <c r="AV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195"/>
      <c r="Z444" s="195"/>
      <c r="AA444" s="195"/>
      <c r="AB444" s="195"/>
      <c r="AC444" s="8"/>
      <c r="AD444" s="8"/>
      <c r="AE444" s="8"/>
      <c r="AF444" s="8"/>
      <c r="AG444" s="202"/>
      <c r="AH444" s="202"/>
      <c r="AI444" s="202"/>
      <c r="AJ444" s="202"/>
      <c r="AK444" s="8"/>
      <c r="AL444" s="8"/>
      <c r="AM444" s="8"/>
      <c r="AN444" s="8"/>
      <c r="AO444" s="8"/>
      <c r="AP444" s="8"/>
      <c r="AQ444" s="8"/>
      <c r="AR444" s="8"/>
      <c r="AS444" s="8"/>
      <c r="AT444" s="8"/>
      <c r="AU444" s="8"/>
      <c r="AV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195"/>
      <c r="Z445" s="195"/>
      <c r="AA445" s="195"/>
      <c r="AB445" s="195"/>
      <c r="AC445" s="8"/>
      <c r="AD445" s="8"/>
      <c r="AE445" s="8"/>
      <c r="AF445" s="8"/>
      <c r="AG445" s="202"/>
      <c r="AH445" s="202"/>
      <c r="AI445" s="202"/>
      <c r="AJ445" s="202"/>
      <c r="AK445" s="8"/>
      <c r="AL445" s="8"/>
      <c r="AM445" s="8"/>
      <c r="AN445" s="8"/>
      <c r="AO445" s="8"/>
      <c r="AP445" s="8"/>
      <c r="AQ445" s="8"/>
      <c r="AR445" s="8"/>
      <c r="AS445" s="8"/>
      <c r="AT445" s="8"/>
      <c r="AU445" s="8"/>
      <c r="AV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195"/>
      <c r="Z446" s="195"/>
      <c r="AA446" s="195"/>
      <c r="AB446" s="195"/>
      <c r="AC446" s="8"/>
      <c r="AD446" s="8"/>
      <c r="AE446" s="8"/>
      <c r="AF446" s="8"/>
      <c r="AG446" s="202"/>
      <c r="AH446" s="202"/>
      <c r="AI446" s="202"/>
      <c r="AJ446" s="202"/>
      <c r="AK446" s="8"/>
      <c r="AL446" s="8"/>
      <c r="AM446" s="8"/>
      <c r="AN446" s="8"/>
      <c r="AO446" s="8"/>
      <c r="AP446" s="8"/>
      <c r="AQ446" s="8"/>
      <c r="AR446" s="8"/>
      <c r="AS446" s="8"/>
      <c r="AT446" s="8"/>
      <c r="AU446" s="8"/>
      <c r="AV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195"/>
      <c r="Z447" s="195"/>
      <c r="AA447" s="195"/>
      <c r="AB447" s="195"/>
      <c r="AC447" s="8"/>
      <c r="AD447" s="8"/>
      <c r="AE447" s="8"/>
      <c r="AF447" s="8"/>
      <c r="AG447" s="202"/>
      <c r="AH447" s="202"/>
      <c r="AI447" s="202"/>
      <c r="AJ447" s="202"/>
      <c r="AK447" s="8"/>
      <c r="AL447" s="8"/>
      <c r="AM447" s="8"/>
      <c r="AN447" s="8"/>
      <c r="AO447" s="8"/>
      <c r="AP447" s="8"/>
      <c r="AQ447" s="8"/>
      <c r="AR447" s="8"/>
      <c r="AS447" s="8"/>
      <c r="AT447" s="8"/>
      <c r="AU447" s="8"/>
      <c r="AV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195"/>
      <c r="Z448" s="195"/>
      <c r="AA448" s="195"/>
      <c r="AB448" s="195"/>
      <c r="AC448" s="8"/>
      <c r="AD448" s="8"/>
      <c r="AE448" s="8"/>
      <c r="AF448" s="8"/>
      <c r="AG448" s="202"/>
      <c r="AH448" s="202"/>
      <c r="AI448" s="202"/>
      <c r="AJ448" s="202"/>
      <c r="AK448" s="8"/>
      <c r="AL448" s="8"/>
      <c r="AM448" s="8"/>
      <c r="AN448" s="8"/>
      <c r="AO448" s="8"/>
      <c r="AP448" s="8"/>
      <c r="AQ448" s="8"/>
      <c r="AR448" s="8"/>
      <c r="AS448" s="8"/>
      <c r="AT448" s="8"/>
      <c r="AU448" s="8"/>
      <c r="AV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195"/>
      <c r="Z449" s="195"/>
      <c r="AA449" s="195"/>
      <c r="AB449" s="195"/>
      <c r="AC449" s="8"/>
      <c r="AD449" s="8"/>
      <c r="AE449" s="8"/>
      <c r="AF449" s="8"/>
      <c r="AG449" s="202"/>
      <c r="AH449" s="202"/>
      <c r="AI449" s="202"/>
      <c r="AJ449" s="202"/>
      <c r="AK449" s="8"/>
      <c r="AL449" s="8"/>
      <c r="AM449" s="8"/>
      <c r="AN449" s="8"/>
      <c r="AO449" s="8"/>
      <c r="AP449" s="8"/>
      <c r="AQ449" s="8"/>
      <c r="AR449" s="8"/>
      <c r="AS449" s="8"/>
      <c r="AT449" s="8"/>
      <c r="AU449" s="8"/>
      <c r="AV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195"/>
      <c r="Z450" s="195"/>
      <c r="AA450" s="195"/>
      <c r="AB450" s="195"/>
      <c r="AC450" s="8"/>
      <c r="AD450" s="8"/>
      <c r="AE450" s="8"/>
      <c r="AF450" s="8"/>
      <c r="AG450" s="202"/>
      <c r="AH450" s="202"/>
      <c r="AI450" s="202"/>
      <c r="AJ450" s="202"/>
      <c r="AK450" s="8"/>
      <c r="AL450" s="8"/>
      <c r="AM450" s="8"/>
      <c r="AN450" s="8"/>
      <c r="AO450" s="8"/>
      <c r="AP450" s="8"/>
      <c r="AQ450" s="8"/>
      <c r="AR450" s="8"/>
      <c r="AS450" s="8"/>
      <c r="AT450" s="8"/>
      <c r="AU450" s="8"/>
      <c r="AV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195"/>
      <c r="Z451" s="195"/>
      <c r="AA451" s="195"/>
      <c r="AB451" s="195"/>
      <c r="AC451" s="8"/>
      <c r="AD451" s="8"/>
      <c r="AE451" s="8"/>
      <c r="AF451" s="8"/>
      <c r="AG451" s="202"/>
      <c r="AH451" s="202"/>
      <c r="AI451" s="202"/>
      <c r="AJ451" s="202"/>
      <c r="AK451" s="8"/>
      <c r="AL451" s="8"/>
      <c r="AM451" s="8"/>
      <c r="AN451" s="8"/>
      <c r="AO451" s="8"/>
      <c r="AP451" s="8"/>
      <c r="AQ451" s="8"/>
      <c r="AR451" s="8"/>
      <c r="AS451" s="8"/>
      <c r="AT451" s="8"/>
      <c r="AU451" s="8"/>
      <c r="AV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195"/>
      <c r="Z452" s="195"/>
      <c r="AA452" s="195"/>
      <c r="AB452" s="195"/>
      <c r="AC452" s="8"/>
      <c r="AD452" s="8"/>
      <c r="AE452" s="8"/>
      <c r="AF452" s="8"/>
      <c r="AG452" s="202"/>
      <c r="AH452" s="202"/>
      <c r="AI452" s="202"/>
      <c r="AJ452" s="202"/>
      <c r="AK452" s="8"/>
      <c r="AL452" s="8"/>
      <c r="AM452" s="8"/>
      <c r="AN452" s="8"/>
      <c r="AO452" s="8"/>
      <c r="AP452" s="8"/>
      <c r="AQ452" s="8"/>
      <c r="AR452" s="8"/>
      <c r="AS452" s="8"/>
      <c r="AT452" s="8"/>
      <c r="AU452" s="8"/>
      <c r="AV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195"/>
      <c r="Z453" s="195"/>
      <c r="AA453" s="195"/>
      <c r="AB453" s="195"/>
      <c r="AC453" s="8"/>
      <c r="AD453" s="8"/>
      <c r="AE453" s="8"/>
      <c r="AF453" s="8"/>
      <c r="AG453" s="202"/>
      <c r="AH453" s="202"/>
      <c r="AI453" s="202"/>
      <c r="AJ453" s="202"/>
      <c r="AK453" s="8"/>
      <c r="AL453" s="8"/>
      <c r="AM453" s="8"/>
      <c r="AN453" s="8"/>
      <c r="AO453" s="8"/>
      <c r="AP453" s="8"/>
      <c r="AQ453" s="8"/>
      <c r="AR453" s="8"/>
      <c r="AS453" s="8"/>
      <c r="AT453" s="8"/>
      <c r="AU453" s="8"/>
      <c r="AV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195"/>
      <c r="Z454" s="195"/>
      <c r="AA454" s="195"/>
      <c r="AB454" s="195"/>
      <c r="AC454" s="8"/>
      <c r="AD454" s="8"/>
      <c r="AE454" s="8"/>
      <c r="AF454" s="8"/>
      <c r="AG454" s="202"/>
      <c r="AH454" s="202"/>
      <c r="AI454" s="202"/>
      <c r="AJ454" s="202"/>
      <c r="AK454" s="8"/>
      <c r="AL454" s="8"/>
      <c r="AM454" s="8"/>
      <c r="AN454" s="8"/>
      <c r="AO454" s="8"/>
      <c r="AP454" s="8"/>
      <c r="AQ454" s="8"/>
      <c r="AR454" s="8"/>
      <c r="AS454" s="8"/>
      <c r="AT454" s="8"/>
      <c r="AU454" s="8"/>
      <c r="AV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195"/>
      <c r="Z455" s="195"/>
      <c r="AA455" s="195"/>
      <c r="AB455" s="195"/>
      <c r="AC455" s="8"/>
      <c r="AD455" s="8"/>
      <c r="AE455" s="8"/>
      <c r="AF455" s="8"/>
      <c r="AG455" s="202"/>
      <c r="AH455" s="202"/>
      <c r="AI455" s="202"/>
      <c r="AJ455" s="202"/>
      <c r="AK455" s="8"/>
      <c r="AL455" s="8"/>
      <c r="AM455" s="8"/>
      <c r="AN455" s="8"/>
      <c r="AO455" s="8"/>
      <c r="AP455" s="8"/>
      <c r="AQ455" s="8"/>
      <c r="AR455" s="8"/>
      <c r="AS455" s="8"/>
      <c r="AT455" s="8"/>
      <c r="AU455" s="8"/>
      <c r="AV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195"/>
      <c r="Z456" s="195"/>
      <c r="AA456" s="195"/>
      <c r="AB456" s="195"/>
      <c r="AC456" s="8"/>
      <c r="AD456" s="8"/>
      <c r="AE456" s="8"/>
      <c r="AF456" s="8"/>
      <c r="AG456" s="202"/>
      <c r="AH456" s="202"/>
      <c r="AI456" s="202"/>
      <c r="AJ456" s="202"/>
      <c r="AK456" s="8"/>
      <c r="AL456" s="8"/>
      <c r="AM456" s="8"/>
      <c r="AN456" s="8"/>
      <c r="AO456" s="8"/>
      <c r="AP456" s="8"/>
      <c r="AQ456" s="8"/>
      <c r="AR456" s="8"/>
      <c r="AS456" s="8"/>
      <c r="AT456" s="8"/>
      <c r="AU456" s="8"/>
      <c r="AV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195"/>
      <c r="Z457" s="195"/>
      <c r="AA457" s="195"/>
      <c r="AB457" s="195"/>
      <c r="AC457" s="8"/>
      <c r="AD457" s="8"/>
      <c r="AE457" s="8"/>
      <c r="AF457" s="8"/>
      <c r="AG457" s="202"/>
      <c r="AH457" s="202"/>
      <c r="AI457" s="202"/>
      <c r="AJ457" s="202"/>
      <c r="AK457" s="8"/>
      <c r="AL457" s="8"/>
      <c r="AM457" s="8"/>
      <c r="AN457" s="8"/>
      <c r="AO457" s="8"/>
      <c r="AP457" s="8"/>
      <c r="AQ457" s="8"/>
      <c r="AR457" s="8"/>
      <c r="AS457" s="8"/>
      <c r="AT457" s="8"/>
      <c r="AU457" s="8"/>
      <c r="AV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195"/>
      <c r="Z458" s="195"/>
      <c r="AA458" s="195"/>
      <c r="AB458" s="195"/>
      <c r="AC458" s="8"/>
      <c r="AD458" s="8"/>
      <c r="AE458" s="8"/>
      <c r="AF458" s="8"/>
      <c r="AG458" s="202"/>
      <c r="AH458" s="202"/>
      <c r="AI458" s="202"/>
      <c r="AJ458" s="202"/>
      <c r="AK458" s="8"/>
      <c r="AL458" s="8"/>
      <c r="AM458" s="8"/>
      <c r="AN458" s="8"/>
      <c r="AO458" s="8"/>
      <c r="AP458" s="8"/>
      <c r="AQ458" s="8"/>
      <c r="AR458" s="8"/>
      <c r="AS458" s="8"/>
      <c r="AT458" s="8"/>
      <c r="AU458" s="8"/>
      <c r="AV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195"/>
      <c r="Z459" s="195"/>
      <c r="AA459" s="195"/>
      <c r="AB459" s="195"/>
      <c r="AC459" s="8"/>
      <c r="AD459" s="8"/>
      <c r="AE459" s="8"/>
      <c r="AF459" s="8"/>
      <c r="AG459" s="202"/>
      <c r="AH459" s="202"/>
      <c r="AI459" s="202"/>
      <c r="AJ459" s="202"/>
      <c r="AK459" s="8"/>
      <c r="AL459" s="8"/>
      <c r="AM459" s="8"/>
      <c r="AN459" s="8"/>
      <c r="AO459" s="8"/>
      <c r="AP459" s="8"/>
      <c r="AQ459" s="8"/>
      <c r="AR459" s="8"/>
      <c r="AS459" s="8"/>
      <c r="AT459" s="8"/>
      <c r="AU459" s="8"/>
      <c r="AV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195"/>
      <c r="Z460" s="195"/>
      <c r="AA460" s="195"/>
      <c r="AB460" s="195"/>
      <c r="AC460" s="8"/>
      <c r="AD460" s="8"/>
      <c r="AE460" s="8"/>
      <c r="AF460" s="8"/>
      <c r="AG460" s="202"/>
      <c r="AH460" s="202"/>
      <c r="AI460" s="202"/>
      <c r="AJ460" s="202"/>
      <c r="AK460" s="8"/>
      <c r="AL460" s="8"/>
      <c r="AM460" s="8"/>
      <c r="AN460" s="8"/>
      <c r="AO460" s="8"/>
      <c r="AP460" s="8"/>
      <c r="AQ460" s="8"/>
      <c r="AR460" s="8"/>
      <c r="AS460" s="8"/>
      <c r="AT460" s="8"/>
      <c r="AU460" s="8"/>
      <c r="AV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195"/>
      <c r="Z461" s="195"/>
      <c r="AA461" s="195"/>
      <c r="AB461" s="195"/>
      <c r="AC461" s="8"/>
      <c r="AD461" s="8"/>
      <c r="AE461" s="8"/>
      <c r="AF461" s="8"/>
      <c r="AG461" s="202"/>
      <c r="AH461" s="202"/>
      <c r="AI461" s="202"/>
      <c r="AJ461" s="202"/>
      <c r="AK461" s="8"/>
      <c r="AL461" s="8"/>
      <c r="AM461" s="8"/>
      <c r="AN461" s="8"/>
      <c r="AO461" s="8"/>
      <c r="AP461" s="8"/>
      <c r="AQ461" s="8"/>
      <c r="AR461" s="8"/>
      <c r="AS461" s="8"/>
      <c r="AT461" s="8"/>
      <c r="AU461" s="8"/>
      <c r="AV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195"/>
      <c r="Z462" s="195"/>
      <c r="AA462" s="195"/>
      <c r="AB462" s="195"/>
      <c r="AC462" s="8"/>
      <c r="AD462" s="8"/>
      <c r="AE462" s="8"/>
      <c r="AF462" s="8"/>
      <c r="AG462" s="202"/>
      <c r="AH462" s="202"/>
      <c r="AI462" s="202"/>
      <c r="AJ462" s="202"/>
      <c r="AK462" s="8"/>
      <c r="AL462" s="8"/>
      <c r="AM462" s="8"/>
      <c r="AN462" s="8"/>
      <c r="AO462" s="8"/>
      <c r="AP462" s="8"/>
      <c r="AQ462" s="8"/>
      <c r="AR462" s="8"/>
      <c r="AS462" s="8"/>
      <c r="AT462" s="8"/>
      <c r="AU462" s="8"/>
      <c r="AV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195"/>
      <c r="Z463" s="195"/>
      <c r="AA463" s="195"/>
      <c r="AB463" s="195"/>
      <c r="AC463" s="8"/>
      <c r="AD463" s="8"/>
      <c r="AE463" s="8"/>
      <c r="AF463" s="8"/>
      <c r="AG463" s="202"/>
      <c r="AH463" s="202"/>
      <c r="AI463" s="202"/>
      <c r="AJ463" s="202"/>
      <c r="AK463" s="8"/>
      <c r="AL463" s="8"/>
      <c r="AM463" s="8"/>
      <c r="AN463" s="8"/>
      <c r="AO463" s="8"/>
      <c r="AP463" s="8"/>
      <c r="AQ463" s="8"/>
      <c r="AR463" s="8"/>
      <c r="AS463" s="8"/>
      <c r="AT463" s="8"/>
      <c r="AU463" s="8"/>
      <c r="AV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195"/>
      <c r="Z464" s="195"/>
      <c r="AA464" s="195"/>
      <c r="AB464" s="195"/>
      <c r="AC464" s="8"/>
      <c r="AD464" s="8"/>
      <c r="AE464" s="8"/>
      <c r="AF464" s="8"/>
      <c r="AG464" s="202"/>
      <c r="AH464" s="202"/>
      <c r="AI464" s="202"/>
      <c r="AJ464" s="202"/>
      <c r="AK464" s="8"/>
      <c r="AL464" s="8"/>
      <c r="AM464" s="8"/>
      <c r="AN464" s="8"/>
      <c r="AO464" s="8"/>
      <c r="AP464" s="8"/>
      <c r="AQ464" s="8"/>
      <c r="AR464" s="8"/>
      <c r="AS464" s="8"/>
      <c r="AT464" s="8"/>
      <c r="AU464" s="8"/>
      <c r="AV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195"/>
      <c r="Z465" s="195"/>
      <c r="AA465" s="195"/>
      <c r="AB465" s="195"/>
      <c r="AC465" s="8"/>
      <c r="AD465" s="8"/>
      <c r="AE465" s="8"/>
      <c r="AF465" s="8"/>
      <c r="AG465" s="202"/>
      <c r="AH465" s="202"/>
      <c r="AI465" s="202"/>
      <c r="AJ465" s="202"/>
      <c r="AK465" s="8"/>
      <c r="AL465" s="8"/>
      <c r="AM465" s="8"/>
      <c r="AN465" s="8"/>
      <c r="AO465" s="8"/>
      <c r="AP465" s="8"/>
      <c r="AQ465" s="8"/>
      <c r="AR465" s="8"/>
      <c r="AS465" s="8"/>
      <c r="AT465" s="8"/>
      <c r="AU465" s="8"/>
      <c r="AV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195"/>
      <c r="Z466" s="195"/>
      <c r="AA466" s="195"/>
      <c r="AB466" s="195"/>
      <c r="AC466" s="8"/>
      <c r="AD466" s="8"/>
      <c r="AE466" s="8"/>
      <c r="AF466" s="8"/>
      <c r="AG466" s="202"/>
      <c r="AH466" s="202"/>
      <c r="AI466" s="202"/>
      <c r="AJ466" s="202"/>
      <c r="AK466" s="8"/>
      <c r="AL466" s="8"/>
      <c r="AM466" s="8"/>
      <c r="AN466" s="8"/>
      <c r="AO466" s="8"/>
      <c r="AP466" s="8"/>
      <c r="AQ466" s="8"/>
      <c r="AR466" s="8"/>
      <c r="AS466" s="8"/>
      <c r="AT466" s="8"/>
      <c r="AU466" s="8"/>
      <c r="AV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195"/>
      <c r="Z467" s="195"/>
      <c r="AA467" s="195"/>
      <c r="AB467" s="195"/>
      <c r="AC467" s="8"/>
      <c r="AD467" s="8"/>
      <c r="AE467" s="8"/>
      <c r="AF467" s="8"/>
      <c r="AG467" s="202"/>
      <c r="AH467" s="202"/>
      <c r="AI467" s="202"/>
      <c r="AJ467" s="202"/>
      <c r="AK467" s="8"/>
      <c r="AL467" s="8"/>
      <c r="AM467" s="8"/>
      <c r="AN467" s="8"/>
      <c r="AO467" s="8"/>
      <c r="AP467" s="8"/>
      <c r="AQ467" s="8"/>
      <c r="AR467" s="8"/>
      <c r="AS467" s="8"/>
      <c r="AT467" s="8"/>
      <c r="AU467" s="8"/>
      <c r="AV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195"/>
      <c r="Z468" s="195"/>
      <c r="AA468" s="195"/>
      <c r="AB468" s="195"/>
      <c r="AC468" s="8"/>
      <c r="AD468" s="8"/>
      <c r="AE468" s="8"/>
      <c r="AF468" s="8"/>
      <c r="AG468" s="202"/>
      <c r="AH468" s="202"/>
      <c r="AI468" s="202"/>
      <c r="AJ468" s="202"/>
      <c r="AK468" s="8"/>
      <c r="AL468" s="8"/>
      <c r="AM468" s="8"/>
      <c r="AN468" s="8"/>
      <c r="AO468" s="8"/>
      <c r="AP468" s="8"/>
      <c r="AQ468" s="8"/>
      <c r="AR468" s="8"/>
      <c r="AS468" s="8"/>
      <c r="AT468" s="8"/>
      <c r="AU468" s="8"/>
      <c r="AV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195"/>
      <c r="Z469" s="195"/>
      <c r="AA469" s="195"/>
      <c r="AB469" s="195"/>
      <c r="AC469" s="8"/>
      <c r="AD469" s="8"/>
      <c r="AE469" s="8"/>
      <c r="AF469" s="8"/>
      <c r="AG469" s="202"/>
      <c r="AH469" s="202"/>
      <c r="AI469" s="202"/>
      <c r="AJ469" s="202"/>
      <c r="AK469" s="8"/>
      <c r="AL469" s="8"/>
      <c r="AM469" s="8"/>
      <c r="AN469" s="8"/>
      <c r="AO469" s="8"/>
      <c r="AP469" s="8"/>
      <c r="AQ469" s="8"/>
      <c r="AR469" s="8"/>
      <c r="AS469" s="8"/>
      <c r="AT469" s="8"/>
      <c r="AU469" s="8"/>
      <c r="AV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195"/>
      <c r="Z470" s="195"/>
      <c r="AA470" s="195"/>
      <c r="AB470" s="195"/>
      <c r="AC470" s="8"/>
      <c r="AD470" s="8"/>
      <c r="AE470" s="8"/>
      <c r="AF470" s="8"/>
      <c r="AG470" s="202"/>
      <c r="AH470" s="202"/>
      <c r="AI470" s="202"/>
      <c r="AJ470" s="202"/>
      <c r="AK470" s="8"/>
      <c r="AL470" s="8"/>
      <c r="AM470" s="8"/>
      <c r="AN470" s="8"/>
      <c r="AO470" s="8"/>
      <c r="AP470" s="8"/>
      <c r="AQ470" s="8"/>
      <c r="AR470" s="8"/>
      <c r="AS470" s="8"/>
      <c r="AT470" s="8"/>
      <c r="AU470" s="8"/>
      <c r="AV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195"/>
      <c r="Z471" s="195"/>
      <c r="AA471" s="195"/>
      <c r="AB471" s="195"/>
      <c r="AC471" s="8"/>
      <c r="AD471" s="8"/>
      <c r="AE471" s="8"/>
      <c r="AF471" s="8"/>
      <c r="AG471" s="202"/>
      <c r="AH471" s="202"/>
      <c r="AI471" s="202"/>
      <c r="AJ471" s="202"/>
      <c r="AK471" s="8"/>
      <c r="AL471" s="8"/>
      <c r="AM471" s="8"/>
      <c r="AN471" s="8"/>
      <c r="AO471" s="8"/>
      <c r="AP471" s="8"/>
      <c r="AQ471" s="8"/>
      <c r="AR471" s="8"/>
      <c r="AS471" s="8"/>
      <c r="AT471" s="8"/>
      <c r="AU471" s="8"/>
      <c r="AV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195"/>
      <c r="Z472" s="195"/>
      <c r="AA472" s="195"/>
      <c r="AB472" s="195"/>
      <c r="AC472" s="8"/>
      <c r="AD472" s="8"/>
      <c r="AE472" s="8"/>
      <c r="AF472" s="8"/>
      <c r="AG472" s="202"/>
      <c r="AH472" s="202"/>
      <c r="AI472" s="202"/>
      <c r="AJ472" s="202"/>
      <c r="AK472" s="8"/>
      <c r="AL472" s="8"/>
      <c r="AM472" s="8"/>
      <c r="AN472" s="8"/>
      <c r="AO472" s="8"/>
      <c r="AP472" s="8"/>
      <c r="AQ472" s="8"/>
      <c r="AR472" s="8"/>
      <c r="AS472" s="8"/>
      <c r="AT472" s="8"/>
      <c r="AU472" s="8"/>
      <c r="AV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195"/>
      <c r="Z473" s="195"/>
      <c r="AA473" s="195"/>
      <c r="AB473" s="195"/>
      <c r="AC473" s="8"/>
      <c r="AD473" s="8"/>
      <c r="AE473" s="8"/>
      <c r="AF473" s="8"/>
      <c r="AG473" s="202"/>
      <c r="AH473" s="202"/>
      <c r="AI473" s="202"/>
      <c r="AJ473" s="202"/>
      <c r="AK473" s="8"/>
      <c r="AL473" s="8"/>
      <c r="AM473" s="8"/>
      <c r="AN473" s="8"/>
      <c r="AO473" s="8"/>
      <c r="AP473" s="8"/>
      <c r="AQ473" s="8"/>
      <c r="AR473" s="8"/>
      <c r="AS473" s="8"/>
      <c r="AT473" s="8"/>
      <c r="AU473" s="8"/>
      <c r="AV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195"/>
      <c r="Z474" s="195"/>
      <c r="AA474" s="195"/>
      <c r="AB474" s="195"/>
      <c r="AC474" s="8"/>
      <c r="AD474" s="8"/>
      <c r="AE474" s="8"/>
      <c r="AF474" s="8"/>
      <c r="AG474" s="202"/>
      <c r="AH474" s="202"/>
      <c r="AI474" s="202"/>
      <c r="AJ474" s="202"/>
      <c r="AK474" s="8"/>
      <c r="AL474" s="8"/>
      <c r="AM474" s="8"/>
      <c r="AN474" s="8"/>
      <c r="AO474" s="8"/>
      <c r="AP474" s="8"/>
      <c r="AQ474" s="8"/>
      <c r="AR474" s="8"/>
      <c r="AS474" s="8"/>
      <c r="AT474" s="8"/>
      <c r="AU474" s="8"/>
      <c r="AV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195"/>
      <c r="Z475" s="195"/>
      <c r="AA475" s="195"/>
      <c r="AB475" s="195"/>
      <c r="AC475" s="8"/>
      <c r="AD475" s="8"/>
      <c r="AE475" s="8"/>
      <c r="AF475" s="8"/>
      <c r="AG475" s="202"/>
      <c r="AH475" s="202"/>
      <c r="AI475" s="202"/>
      <c r="AJ475" s="202"/>
      <c r="AK475" s="8"/>
      <c r="AL475" s="8"/>
      <c r="AM475" s="8"/>
      <c r="AN475" s="8"/>
      <c r="AO475" s="8"/>
      <c r="AP475" s="8"/>
      <c r="AQ475" s="8"/>
      <c r="AR475" s="8"/>
      <c r="AS475" s="8"/>
      <c r="AT475" s="8"/>
      <c r="AU475" s="8"/>
      <c r="AV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195"/>
      <c r="Z476" s="195"/>
      <c r="AA476" s="195"/>
      <c r="AB476" s="195"/>
      <c r="AC476" s="8"/>
      <c r="AD476" s="8"/>
      <c r="AE476" s="8"/>
      <c r="AF476" s="8"/>
      <c r="AG476" s="202"/>
      <c r="AH476" s="202"/>
      <c r="AI476" s="202"/>
      <c r="AJ476" s="202"/>
      <c r="AK476" s="8"/>
      <c r="AL476" s="8"/>
      <c r="AM476" s="8"/>
      <c r="AN476" s="8"/>
      <c r="AO476" s="8"/>
      <c r="AP476" s="8"/>
      <c r="AQ476" s="8"/>
      <c r="AR476" s="8"/>
      <c r="AS476" s="8"/>
      <c r="AT476" s="8"/>
      <c r="AU476" s="8"/>
      <c r="AV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195"/>
      <c r="Z477" s="195"/>
      <c r="AA477" s="195"/>
      <c r="AB477" s="195"/>
      <c r="AC477" s="8"/>
      <c r="AD477" s="8"/>
      <c r="AE477" s="8"/>
      <c r="AF477" s="8"/>
      <c r="AG477" s="202"/>
      <c r="AH477" s="202"/>
      <c r="AI477" s="202"/>
      <c r="AJ477" s="202"/>
      <c r="AK477" s="8"/>
      <c r="AL477" s="8"/>
      <c r="AM477" s="8"/>
      <c r="AN477" s="8"/>
      <c r="AO477" s="8"/>
      <c r="AP477" s="8"/>
      <c r="AQ477" s="8"/>
      <c r="AR477" s="8"/>
      <c r="AS477" s="8"/>
      <c r="AT477" s="8"/>
      <c r="AU477" s="8"/>
      <c r="AV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195"/>
      <c r="Z478" s="195"/>
      <c r="AA478" s="195"/>
      <c r="AB478" s="195"/>
      <c r="AC478" s="8"/>
      <c r="AD478" s="8"/>
      <c r="AE478" s="8"/>
      <c r="AF478" s="8"/>
      <c r="AG478" s="202"/>
      <c r="AH478" s="202"/>
      <c r="AI478" s="202"/>
      <c r="AJ478" s="202"/>
      <c r="AK478" s="8"/>
      <c r="AL478" s="8"/>
      <c r="AM478" s="8"/>
      <c r="AN478" s="8"/>
      <c r="AO478" s="8"/>
      <c r="AP478" s="8"/>
      <c r="AQ478" s="8"/>
      <c r="AR478" s="8"/>
      <c r="AS478" s="8"/>
      <c r="AT478" s="8"/>
      <c r="AU478" s="8"/>
      <c r="AV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195"/>
      <c r="Z479" s="195"/>
      <c r="AA479" s="195"/>
      <c r="AB479" s="195"/>
      <c r="AC479" s="8"/>
      <c r="AD479" s="8"/>
      <c r="AE479" s="8"/>
      <c r="AF479" s="8"/>
      <c r="AG479" s="202"/>
      <c r="AH479" s="202"/>
      <c r="AI479" s="202"/>
      <c r="AJ479" s="202"/>
      <c r="AK479" s="8"/>
      <c r="AL479" s="8"/>
      <c r="AM479" s="8"/>
      <c r="AN479" s="8"/>
      <c r="AO479" s="8"/>
      <c r="AP479" s="8"/>
      <c r="AQ479" s="8"/>
      <c r="AR479" s="8"/>
      <c r="AS479" s="8"/>
      <c r="AT479" s="8"/>
      <c r="AU479" s="8"/>
      <c r="AV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195"/>
      <c r="Z480" s="195"/>
      <c r="AA480" s="195"/>
      <c r="AB480" s="195"/>
      <c r="AC480" s="8"/>
      <c r="AD480" s="8"/>
      <c r="AE480" s="8"/>
      <c r="AF480" s="8"/>
      <c r="AG480" s="202"/>
      <c r="AH480" s="202"/>
      <c r="AI480" s="202"/>
      <c r="AJ480" s="202"/>
      <c r="AK480" s="8"/>
      <c r="AL480" s="8"/>
      <c r="AM480" s="8"/>
      <c r="AN480" s="8"/>
      <c r="AO480" s="8"/>
      <c r="AP480" s="8"/>
      <c r="AQ480" s="8"/>
      <c r="AR480" s="8"/>
      <c r="AS480" s="8"/>
      <c r="AT480" s="8"/>
      <c r="AU480" s="8"/>
      <c r="AV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195"/>
      <c r="Z481" s="195"/>
      <c r="AA481" s="195"/>
      <c r="AB481" s="195"/>
      <c r="AC481" s="8"/>
      <c r="AD481" s="8"/>
      <c r="AE481" s="8"/>
      <c r="AF481" s="8"/>
      <c r="AG481" s="202"/>
      <c r="AH481" s="202"/>
      <c r="AI481" s="202"/>
      <c r="AJ481" s="202"/>
      <c r="AK481" s="8"/>
      <c r="AL481" s="8"/>
      <c r="AM481" s="8"/>
      <c r="AN481" s="8"/>
      <c r="AO481" s="8"/>
      <c r="AP481" s="8"/>
      <c r="AQ481" s="8"/>
      <c r="AR481" s="8"/>
      <c r="AS481" s="8"/>
      <c r="AT481" s="8"/>
      <c r="AU481" s="8"/>
      <c r="AV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195"/>
      <c r="Z482" s="195"/>
      <c r="AA482" s="195"/>
      <c r="AB482" s="195"/>
      <c r="AC482" s="8"/>
      <c r="AD482" s="8"/>
      <c r="AE482" s="8"/>
      <c r="AF482" s="8"/>
      <c r="AG482" s="202"/>
      <c r="AH482" s="202"/>
      <c r="AI482" s="202"/>
      <c r="AJ482" s="202"/>
      <c r="AK482" s="8"/>
      <c r="AL482" s="8"/>
      <c r="AM482" s="8"/>
      <c r="AN482" s="8"/>
      <c r="AO482" s="8"/>
      <c r="AP482" s="8"/>
      <c r="AQ482" s="8"/>
      <c r="AR482" s="8"/>
      <c r="AS482" s="8"/>
      <c r="AT482" s="8"/>
      <c r="AU482" s="8"/>
      <c r="AV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195"/>
      <c r="Z483" s="195"/>
      <c r="AA483" s="195"/>
      <c r="AB483" s="195"/>
      <c r="AC483" s="8"/>
      <c r="AD483" s="8"/>
      <c r="AE483" s="8"/>
      <c r="AF483" s="8"/>
      <c r="AG483" s="202"/>
      <c r="AH483" s="202"/>
      <c r="AI483" s="202"/>
      <c r="AJ483" s="202"/>
      <c r="AK483" s="8"/>
      <c r="AL483" s="8"/>
      <c r="AM483" s="8"/>
      <c r="AN483" s="8"/>
      <c r="AO483" s="8"/>
      <c r="AP483" s="8"/>
      <c r="AQ483" s="8"/>
      <c r="AR483" s="8"/>
      <c r="AS483" s="8"/>
      <c r="AT483" s="8"/>
      <c r="AU483" s="8"/>
      <c r="AV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195"/>
      <c r="Z484" s="195"/>
      <c r="AA484" s="195"/>
      <c r="AB484" s="195"/>
      <c r="AC484" s="8"/>
      <c r="AD484" s="8"/>
      <c r="AE484" s="8"/>
      <c r="AF484" s="8"/>
      <c r="AG484" s="202"/>
      <c r="AH484" s="202"/>
      <c r="AI484" s="202"/>
      <c r="AJ484" s="202"/>
      <c r="AK484" s="8"/>
      <c r="AL484" s="8"/>
      <c r="AM484" s="8"/>
      <c r="AN484" s="8"/>
      <c r="AO484" s="8"/>
      <c r="AP484" s="8"/>
      <c r="AQ484" s="8"/>
      <c r="AR484" s="8"/>
      <c r="AS484" s="8"/>
      <c r="AT484" s="8"/>
      <c r="AU484" s="8"/>
      <c r="AV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195"/>
      <c r="Z485" s="195"/>
      <c r="AA485" s="195"/>
      <c r="AB485" s="195"/>
      <c r="AC485" s="8"/>
      <c r="AD485" s="8"/>
      <c r="AE485" s="8"/>
      <c r="AF485" s="8"/>
      <c r="AG485" s="202"/>
      <c r="AH485" s="202"/>
      <c r="AI485" s="202"/>
      <c r="AJ485" s="202"/>
      <c r="AK485" s="8"/>
      <c r="AL485" s="8"/>
      <c r="AM485" s="8"/>
      <c r="AN485" s="8"/>
      <c r="AO485" s="8"/>
      <c r="AP485" s="8"/>
      <c r="AQ485" s="8"/>
      <c r="AR485" s="8"/>
      <c r="AS485" s="8"/>
      <c r="AT485" s="8"/>
      <c r="AU485" s="8"/>
      <c r="AV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195"/>
      <c r="Z486" s="195"/>
      <c r="AA486" s="195"/>
      <c r="AB486" s="195"/>
      <c r="AC486" s="8"/>
      <c r="AD486" s="8"/>
      <c r="AE486" s="8"/>
      <c r="AF486" s="8"/>
      <c r="AG486" s="202"/>
      <c r="AH486" s="202"/>
      <c r="AI486" s="202"/>
      <c r="AJ486" s="202"/>
      <c r="AK486" s="8"/>
      <c r="AL486" s="8"/>
      <c r="AM486" s="8"/>
      <c r="AN486" s="8"/>
      <c r="AO486" s="8"/>
      <c r="AP486" s="8"/>
      <c r="AQ486" s="8"/>
      <c r="AR486" s="8"/>
      <c r="AS486" s="8"/>
      <c r="AT486" s="8"/>
      <c r="AU486" s="8"/>
      <c r="AV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195"/>
      <c r="Z487" s="195"/>
      <c r="AA487" s="195"/>
      <c r="AB487" s="195"/>
      <c r="AC487" s="8"/>
      <c r="AD487" s="8"/>
      <c r="AE487" s="8"/>
      <c r="AF487" s="8"/>
      <c r="AG487" s="202"/>
      <c r="AH487" s="202"/>
      <c r="AI487" s="202"/>
      <c r="AJ487" s="202"/>
      <c r="AK487" s="8"/>
      <c r="AL487" s="8"/>
      <c r="AM487" s="8"/>
      <c r="AN487" s="8"/>
      <c r="AO487" s="8"/>
      <c r="AP487" s="8"/>
      <c r="AQ487" s="8"/>
      <c r="AR487" s="8"/>
      <c r="AS487" s="8"/>
      <c r="AT487" s="8"/>
      <c r="AU487" s="8"/>
      <c r="AV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195"/>
      <c r="Z488" s="195"/>
      <c r="AA488" s="195"/>
      <c r="AB488" s="195"/>
      <c r="AC488" s="8"/>
      <c r="AD488" s="8"/>
      <c r="AE488" s="8"/>
      <c r="AF488" s="8"/>
      <c r="AG488" s="202"/>
      <c r="AH488" s="202"/>
      <c r="AI488" s="202"/>
      <c r="AJ488" s="202"/>
      <c r="AK488" s="8"/>
      <c r="AL488" s="8"/>
      <c r="AM488" s="8"/>
      <c r="AN488" s="8"/>
      <c r="AO488" s="8"/>
      <c r="AP488" s="8"/>
      <c r="AQ488" s="8"/>
      <c r="AR488" s="8"/>
      <c r="AS488" s="8"/>
      <c r="AT488" s="8"/>
      <c r="AU488" s="8"/>
      <c r="AV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195"/>
      <c r="Z489" s="195"/>
      <c r="AA489" s="195"/>
      <c r="AB489" s="195"/>
      <c r="AC489" s="8"/>
      <c r="AD489" s="8"/>
      <c r="AE489" s="8"/>
      <c r="AF489" s="8"/>
      <c r="AG489" s="202"/>
      <c r="AH489" s="202"/>
      <c r="AI489" s="202"/>
      <c r="AJ489" s="202"/>
      <c r="AK489" s="8"/>
      <c r="AL489" s="8"/>
      <c r="AM489" s="8"/>
      <c r="AN489" s="8"/>
      <c r="AO489" s="8"/>
      <c r="AP489" s="8"/>
      <c r="AQ489" s="8"/>
      <c r="AR489" s="8"/>
      <c r="AS489" s="8"/>
      <c r="AT489" s="8"/>
      <c r="AU489" s="8"/>
      <c r="AV489" s="8"/>
    </row>
    <row r="490">
      <c r="A490" s="209"/>
      <c r="B490" s="210"/>
      <c r="C490" s="390"/>
      <c r="D490" s="209"/>
      <c r="E490" s="210"/>
      <c r="F490" s="390"/>
      <c r="G490" s="209"/>
      <c r="H490" s="210"/>
      <c r="I490" s="390"/>
      <c r="J490" s="209"/>
      <c r="K490" s="210"/>
      <c r="L490" s="390"/>
      <c r="M490" s="209"/>
      <c r="N490" s="210"/>
      <c r="O490" s="390"/>
      <c r="P490" s="209"/>
      <c r="Q490" s="210"/>
      <c r="R490" s="390"/>
      <c r="S490" s="209"/>
      <c r="T490" s="210"/>
      <c r="U490" s="390"/>
      <c r="V490" s="209"/>
      <c r="W490" s="210"/>
      <c r="X490" s="390"/>
      <c r="Y490" s="195"/>
      <c r="Z490" s="195"/>
      <c r="AA490" s="195"/>
      <c r="AB490" s="195"/>
      <c r="AC490" s="8"/>
      <c r="AD490" s="8"/>
      <c r="AE490" s="8"/>
      <c r="AF490" s="8"/>
      <c r="AG490" s="202"/>
      <c r="AH490" s="202"/>
      <c r="AI490" s="202"/>
      <c r="AJ490" s="202"/>
      <c r="AK490" s="8"/>
      <c r="AL490" s="8"/>
      <c r="AM490" s="8"/>
      <c r="AN490" s="8"/>
      <c r="AO490" s="8"/>
      <c r="AP490" s="8"/>
      <c r="AQ490" s="8"/>
      <c r="AR490" s="8"/>
      <c r="AS490" s="8"/>
      <c r="AT490" s="8"/>
      <c r="AU490" s="8"/>
      <c r="AV490" s="8"/>
    </row>
    <row r="491">
      <c r="A491" s="209"/>
      <c r="B491" s="210"/>
      <c r="C491" s="390"/>
      <c r="D491" s="209"/>
      <c r="E491" s="210"/>
      <c r="F491" s="390"/>
      <c r="G491" s="209"/>
      <c r="H491" s="210"/>
      <c r="I491" s="390"/>
      <c r="J491" s="209"/>
      <c r="K491" s="210"/>
      <c r="L491" s="390"/>
      <c r="M491" s="209"/>
      <c r="N491" s="210"/>
      <c r="O491" s="390"/>
      <c r="P491" s="209"/>
      <c r="Q491" s="210"/>
      <c r="R491" s="390"/>
      <c r="S491" s="209"/>
      <c r="T491" s="210"/>
      <c r="U491" s="390"/>
      <c r="V491" s="209"/>
      <c r="W491" s="210"/>
      <c r="X491" s="390"/>
      <c r="Y491" s="195"/>
      <c r="Z491" s="195"/>
      <c r="AA491" s="195"/>
      <c r="AB491" s="195"/>
      <c r="AC491" s="8"/>
      <c r="AD491" s="8"/>
      <c r="AE491" s="8"/>
      <c r="AF491" s="8"/>
      <c r="AG491" s="202"/>
      <c r="AH491" s="202"/>
      <c r="AI491" s="202"/>
      <c r="AJ491" s="202"/>
      <c r="AK491" s="8"/>
      <c r="AL491" s="8"/>
      <c r="AM491" s="8"/>
      <c r="AN491" s="8"/>
      <c r="AO491" s="8"/>
      <c r="AP491" s="8"/>
      <c r="AQ491" s="8"/>
      <c r="AR491" s="8"/>
      <c r="AS491" s="8"/>
      <c r="AT491" s="8"/>
      <c r="AU491" s="8"/>
      <c r="AV491" s="8"/>
    </row>
    <row r="492">
      <c r="A492" s="209"/>
      <c r="B492" s="210"/>
      <c r="C492" s="390"/>
      <c r="D492" s="209"/>
      <c r="E492" s="210"/>
      <c r="F492" s="390"/>
      <c r="G492" s="209"/>
      <c r="H492" s="210"/>
      <c r="I492" s="390"/>
      <c r="J492" s="209"/>
      <c r="K492" s="210"/>
      <c r="L492" s="390"/>
      <c r="M492" s="209"/>
      <c r="N492" s="210"/>
      <c r="O492" s="390"/>
      <c r="P492" s="209"/>
      <c r="Q492" s="210"/>
      <c r="R492" s="390"/>
      <c r="S492" s="209"/>
      <c r="T492" s="210"/>
      <c r="U492" s="390"/>
      <c r="V492" s="209"/>
      <c r="W492" s="210"/>
      <c r="X492" s="390"/>
      <c r="Y492" s="195"/>
      <c r="Z492" s="195"/>
      <c r="AA492" s="195"/>
      <c r="AB492" s="195"/>
      <c r="AC492" s="8"/>
      <c r="AD492" s="8"/>
      <c r="AE492" s="8"/>
      <c r="AF492" s="8"/>
      <c r="AG492" s="202"/>
      <c r="AH492" s="202"/>
      <c r="AI492" s="202"/>
      <c r="AJ492" s="202"/>
      <c r="AK492" s="8"/>
      <c r="AL492" s="8"/>
      <c r="AM492" s="8"/>
      <c r="AN492" s="8"/>
      <c r="AO492" s="8"/>
      <c r="AP492" s="8"/>
      <c r="AQ492" s="8"/>
      <c r="AR492" s="8"/>
      <c r="AS492" s="8"/>
      <c r="AT492" s="8"/>
      <c r="AU492" s="8"/>
      <c r="AV492" s="8"/>
    </row>
    <row r="493">
      <c r="A493" s="209"/>
      <c r="B493" s="210"/>
      <c r="C493" s="390"/>
      <c r="D493" s="209"/>
      <c r="E493" s="210"/>
      <c r="F493" s="390"/>
      <c r="G493" s="209"/>
      <c r="H493" s="210"/>
      <c r="I493" s="390"/>
      <c r="J493" s="209"/>
      <c r="K493" s="210"/>
      <c r="L493" s="390"/>
      <c r="M493" s="209"/>
      <c r="N493" s="210"/>
      <c r="O493" s="390"/>
      <c r="P493" s="209"/>
      <c r="Q493" s="210"/>
      <c r="R493" s="390"/>
      <c r="S493" s="209"/>
      <c r="T493" s="210"/>
      <c r="U493" s="390"/>
      <c r="V493" s="209"/>
      <c r="W493" s="210"/>
      <c r="X493" s="390"/>
      <c r="Y493" s="195"/>
      <c r="Z493" s="195"/>
      <c r="AA493" s="195"/>
      <c r="AB493" s="195"/>
      <c r="AC493" s="8"/>
      <c r="AD493" s="8"/>
      <c r="AE493" s="8"/>
      <c r="AF493" s="8"/>
      <c r="AG493" s="202"/>
      <c r="AH493" s="202"/>
      <c r="AI493" s="202"/>
      <c r="AJ493" s="202"/>
      <c r="AK493" s="8"/>
      <c r="AL493" s="8"/>
      <c r="AM493" s="8"/>
      <c r="AN493" s="8"/>
      <c r="AO493" s="8"/>
      <c r="AP493" s="8"/>
      <c r="AQ493" s="8"/>
      <c r="AR493" s="8"/>
      <c r="AS493" s="8"/>
      <c r="AT493" s="8"/>
      <c r="AU493" s="8"/>
      <c r="AV493" s="8"/>
    </row>
    <row r="494">
      <c r="A494" s="209"/>
      <c r="B494" s="210"/>
      <c r="C494" s="390"/>
      <c r="D494" s="209"/>
      <c r="E494" s="210"/>
      <c r="F494" s="390"/>
      <c r="G494" s="209"/>
      <c r="H494" s="210"/>
      <c r="I494" s="390"/>
      <c r="J494" s="209"/>
      <c r="K494" s="210"/>
      <c r="L494" s="390"/>
      <c r="M494" s="209"/>
      <c r="N494" s="210"/>
      <c r="O494" s="390"/>
      <c r="P494" s="209"/>
      <c r="Q494" s="210"/>
      <c r="R494" s="390"/>
      <c r="S494" s="209"/>
      <c r="T494" s="210"/>
      <c r="U494" s="390"/>
      <c r="V494" s="209"/>
      <c r="W494" s="210"/>
      <c r="X494" s="390"/>
      <c r="Y494" s="195"/>
      <c r="Z494" s="195"/>
      <c r="AA494" s="195"/>
      <c r="AB494" s="195"/>
      <c r="AC494" s="8"/>
      <c r="AD494" s="8"/>
      <c r="AE494" s="8"/>
      <c r="AF494" s="8"/>
      <c r="AG494" s="202"/>
      <c r="AH494" s="202"/>
      <c r="AI494" s="202"/>
      <c r="AJ494" s="202"/>
      <c r="AK494" s="8"/>
      <c r="AL494" s="8"/>
      <c r="AM494" s="8"/>
      <c r="AN494" s="8"/>
      <c r="AO494" s="8"/>
      <c r="AP494" s="8"/>
      <c r="AQ494" s="8"/>
      <c r="AR494" s="8"/>
      <c r="AS494" s="8"/>
      <c r="AT494" s="8"/>
      <c r="AU494" s="8"/>
      <c r="AV494" s="8"/>
    </row>
    <row r="495">
      <c r="A495" s="209"/>
      <c r="B495" s="210"/>
      <c r="C495" s="390"/>
      <c r="D495" s="209"/>
      <c r="E495" s="210"/>
      <c r="F495" s="390"/>
      <c r="G495" s="209"/>
      <c r="H495" s="210"/>
      <c r="I495" s="390"/>
      <c r="J495" s="209"/>
      <c r="K495" s="210"/>
      <c r="L495" s="390"/>
      <c r="M495" s="209"/>
      <c r="N495" s="210"/>
      <c r="O495" s="390"/>
      <c r="P495" s="209"/>
      <c r="Q495" s="210"/>
      <c r="R495" s="390"/>
      <c r="S495" s="209"/>
      <c r="T495" s="210"/>
      <c r="U495" s="390"/>
      <c r="V495" s="209"/>
      <c r="W495" s="210"/>
      <c r="X495" s="390"/>
      <c r="Y495" s="195"/>
      <c r="Z495" s="195"/>
      <c r="AA495" s="195"/>
      <c r="AB495" s="195"/>
      <c r="AC495" s="8"/>
      <c r="AD495" s="8"/>
      <c r="AE495" s="8"/>
      <c r="AF495" s="8"/>
      <c r="AG495" s="202"/>
      <c r="AH495" s="202"/>
      <c r="AI495" s="202"/>
      <c r="AJ495" s="202"/>
      <c r="AK495" s="8"/>
      <c r="AL495" s="8"/>
      <c r="AM495" s="8"/>
      <c r="AN495" s="8"/>
      <c r="AO495" s="8"/>
      <c r="AP495" s="8"/>
      <c r="AQ495" s="8"/>
      <c r="AR495" s="8"/>
      <c r="AS495" s="8"/>
      <c r="AT495" s="8"/>
      <c r="AU495" s="8"/>
      <c r="AV495" s="8"/>
    </row>
    <row r="496">
      <c r="A496" s="209"/>
      <c r="B496" s="210"/>
      <c r="C496" s="390"/>
      <c r="D496" s="209"/>
      <c r="E496" s="210"/>
      <c r="F496" s="390"/>
      <c r="G496" s="209"/>
      <c r="H496" s="210"/>
      <c r="I496" s="390"/>
      <c r="J496" s="209"/>
      <c r="K496" s="210"/>
      <c r="L496" s="390"/>
      <c r="M496" s="209"/>
      <c r="N496" s="210"/>
      <c r="O496" s="390"/>
      <c r="P496" s="209"/>
      <c r="Q496" s="210"/>
      <c r="R496" s="390"/>
      <c r="S496" s="209"/>
      <c r="T496" s="210"/>
      <c r="U496" s="390"/>
      <c r="V496" s="209"/>
      <c r="W496" s="210"/>
      <c r="X496" s="390"/>
      <c r="Y496" s="195"/>
      <c r="Z496" s="195"/>
      <c r="AA496" s="195"/>
      <c r="AB496" s="195"/>
      <c r="AC496" s="8"/>
      <c r="AD496" s="8"/>
      <c r="AE496" s="8"/>
      <c r="AF496" s="8"/>
      <c r="AG496" s="202"/>
      <c r="AH496" s="202"/>
      <c r="AI496" s="202"/>
      <c r="AJ496" s="202"/>
      <c r="AK496" s="8"/>
      <c r="AL496" s="8"/>
      <c r="AM496" s="8"/>
      <c r="AN496" s="8"/>
      <c r="AO496" s="8"/>
      <c r="AP496" s="8"/>
      <c r="AQ496" s="8"/>
      <c r="AR496" s="8"/>
      <c r="AS496" s="8"/>
      <c r="AT496" s="8"/>
      <c r="AU496" s="8"/>
      <c r="AV496" s="8"/>
    </row>
    <row r="497">
      <c r="A497" s="209"/>
      <c r="B497" s="210"/>
      <c r="C497" s="390"/>
      <c r="D497" s="209"/>
      <c r="E497" s="210"/>
      <c r="F497" s="390"/>
      <c r="G497" s="209"/>
      <c r="H497" s="210"/>
      <c r="I497" s="390"/>
      <c r="J497" s="209"/>
      <c r="K497" s="210"/>
      <c r="L497" s="390"/>
      <c r="M497" s="209"/>
      <c r="N497" s="210"/>
      <c r="O497" s="390"/>
      <c r="P497" s="209"/>
      <c r="Q497" s="210"/>
      <c r="R497" s="390"/>
      <c r="S497" s="209"/>
      <c r="T497" s="210"/>
      <c r="U497" s="390"/>
      <c r="V497" s="209"/>
      <c r="W497" s="210"/>
      <c r="X497" s="390"/>
      <c r="Y497" s="195"/>
      <c r="Z497" s="195"/>
      <c r="AA497" s="195"/>
      <c r="AB497" s="195"/>
      <c r="AC497" s="8"/>
      <c r="AD497" s="8"/>
      <c r="AE497" s="8"/>
      <c r="AF497" s="8"/>
      <c r="AG497" s="202"/>
      <c r="AH497" s="202"/>
      <c r="AI497" s="202"/>
      <c r="AJ497" s="202"/>
      <c r="AK497" s="8"/>
      <c r="AL497" s="8"/>
      <c r="AM497" s="8"/>
      <c r="AN497" s="8"/>
      <c r="AO497" s="8"/>
      <c r="AP497" s="8"/>
      <c r="AQ497" s="8"/>
      <c r="AR497" s="8"/>
      <c r="AS497" s="8"/>
      <c r="AT497" s="8"/>
      <c r="AU497" s="8"/>
      <c r="AV497" s="8"/>
    </row>
    <row r="498">
      <c r="A498" s="209"/>
      <c r="B498" s="210"/>
      <c r="C498" s="390"/>
      <c r="D498" s="209"/>
      <c r="E498" s="210"/>
      <c r="F498" s="390"/>
      <c r="G498" s="209"/>
      <c r="H498" s="210"/>
      <c r="I498" s="390"/>
      <c r="J498" s="209"/>
      <c r="K498" s="210"/>
      <c r="L498" s="390"/>
      <c r="M498" s="209"/>
      <c r="N498" s="210"/>
      <c r="O498" s="390"/>
      <c r="P498" s="209"/>
      <c r="Q498" s="210"/>
      <c r="R498" s="390"/>
      <c r="S498" s="209"/>
      <c r="T498" s="210"/>
      <c r="U498" s="390"/>
      <c r="V498" s="209"/>
      <c r="W498" s="210"/>
      <c r="X498" s="390"/>
      <c r="Y498" s="195"/>
      <c r="Z498" s="195"/>
      <c r="AA498" s="195"/>
      <c r="AB498" s="195"/>
      <c r="AC498" s="8"/>
      <c r="AD498" s="8"/>
      <c r="AE498" s="8"/>
      <c r="AF498" s="8"/>
      <c r="AG498" s="202"/>
      <c r="AH498" s="202"/>
      <c r="AI498" s="202"/>
      <c r="AJ498" s="202"/>
      <c r="AK498" s="8"/>
      <c r="AL498" s="8"/>
      <c r="AM498" s="8"/>
      <c r="AN498" s="8"/>
      <c r="AO498" s="8"/>
      <c r="AP498" s="8"/>
      <c r="AQ498" s="8"/>
      <c r="AR498" s="8"/>
      <c r="AS498" s="8"/>
      <c r="AT498" s="8"/>
      <c r="AU498" s="8"/>
      <c r="AV498" s="8"/>
    </row>
    <row r="499">
      <c r="A499" s="209"/>
      <c r="B499" s="210"/>
      <c r="C499" s="390"/>
      <c r="D499" s="209"/>
      <c r="E499" s="210"/>
      <c r="F499" s="390"/>
      <c r="G499" s="209"/>
      <c r="H499" s="210"/>
      <c r="I499" s="390"/>
      <c r="J499" s="209"/>
      <c r="K499" s="210"/>
      <c r="L499" s="390"/>
      <c r="M499" s="209"/>
      <c r="N499" s="210"/>
      <c r="O499" s="390"/>
      <c r="P499" s="209"/>
      <c r="Q499" s="210"/>
      <c r="R499" s="390"/>
      <c r="S499" s="209"/>
      <c r="T499" s="210"/>
      <c r="U499" s="390"/>
      <c r="V499" s="209"/>
      <c r="W499" s="210"/>
      <c r="X499" s="390"/>
      <c r="Y499" s="195"/>
      <c r="Z499" s="195"/>
      <c r="AA499" s="195"/>
      <c r="AB499" s="195"/>
      <c r="AC499" s="8"/>
      <c r="AD499" s="8"/>
      <c r="AE499" s="8"/>
      <c r="AF499" s="8"/>
      <c r="AG499" s="202"/>
      <c r="AH499" s="202"/>
      <c r="AI499" s="202"/>
      <c r="AJ499" s="202"/>
      <c r="AK499" s="8"/>
      <c r="AL499" s="8"/>
      <c r="AM499" s="8"/>
      <c r="AN499" s="8"/>
      <c r="AO499" s="8"/>
      <c r="AP499" s="8"/>
      <c r="AQ499" s="8"/>
      <c r="AR499" s="8"/>
      <c r="AS499" s="8"/>
      <c r="AT499" s="8"/>
      <c r="AU499" s="8"/>
      <c r="AV499" s="8"/>
    </row>
    <row r="500">
      <c r="A500" s="209"/>
      <c r="B500" s="210"/>
      <c r="C500" s="390"/>
      <c r="D500" s="209"/>
      <c r="E500" s="210"/>
      <c r="F500" s="390"/>
      <c r="G500" s="209"/>
      <c r="H500" s="210"/>
      <c r="I500" s="390"/>
      <c r="J500" s="209"/>
      <c r="K500" s="210"/>
      <c r="L500" s="390"/>
      <c r="M500" s="209"/>
      <c r="N500" s="210"/>
      <c r="O500" s="390"/>
      <c r="P500" s="209"/>
      <c r="Q500" s="210"/>
      <c r="R500" s="390"/>
      <c r="S500" s="209"/>
      <c r="T500" s="210"/>
      <c r="U500" s="390"/>
      <c r="V500" s="209"/>
      <c r="W500" s="210"/>
      <c r="X500" s="390"/>
      <c r="Y500" s="195"/>
      <c r="Z500" s="195"/>
      <c r="AA500" s="195"/>
      <c r="AB500" s="195"/>
      <c r="AC500" s="8"/>
      <c r="AD500" s="8"/>
      <c r="AE500" s="8"/>
      <c r="AF500" s="8"/>
      <c r="AG500" s="202"/>
      <c r="AH500" s="202"/>
      <c r="AI500" s="202"/>
      <c r="AJ500" s="202"/>
      <c r="AK500" s="8"/>
      <c r="AL500" s="8"/>
      <c r="AM500" s="8"/>
      <c r="AN500" s="8"/>
      <c r="AO500" s="8"/>
      <c r="AP500" s="8"/>
      <c r="AQ500" s="8"/>
      <c r="AR500" s="8"/>
      <c r="AS500" s="8"/>
      <c r="AT500" s="8"/>
      <c r="AU500" s="8"/>
      <c r="AV500" s="8"/>
    </row>
    <row r="501">
      <c r="A501" s="209"/>
      <c r="B501" s="210"/>
      <c r="C501" s="390"/>
      <c r="D501" s="209"/>
      <c r="E501" s="210"/>
      <c r="F501" s="390"/>
      <c r="G501" s="209"/>
      <c r="H501" s="210"/>
      <c r="I501" s="390"/>
      <c r="J501" s="209"/>
      <c r="K501" s="210"/>
      <c r="L501" s="390"/>
      <c r="M501" s="209"/>
      <c r="N501" s="210"/>
      <c r="O501" s="390"/>
      <c r="P501" s="209"/>
      <c r="Q501" s="210"/>
      <c r="R501" s="390"/>
      <c r="S501" s="209"/>
      <c r="T501" s="210"/>
      <c r="U501" s="390"/>
      <c r="V501" s="209"/>
      <c r="W501" s="210"/>
      <c r="X501" s="390"/>
      <c r="Y501" s="195"/>
      <c r="Z501" s="195"/>
      <c r="AA501" s="195"/>
      <c r="AB501" s="195"/>
      <c r="AC501" s="8"/>
      <c r="AD501" s="8"/>
      <c r="AE501" s="8"/>
      <c r="AF501" s="8"/>
      <c r="AG501" s="202"/>
      <c r="AH501" s="202"/>
      <c r="AI501" s="202"/>
      <c r="AJ501" s="202"/>
      <c r="AK501" s="8"/>
      <c r="AL501" s="8"/>
      <c r="AM501" s="8"/>
      <c r="AN501" s="8"/>
      <c r="AO501" s="8"/>
      <c r="AP501" s="8"/>
      <c r="AQ501" s="8"/>
      <c r="AR501" s="8"/>
      <c r="AS501" s="8"/>
      <c r="AT501" s="8"/>
      <c r="AU501" s="8"/>
      <c r="AV501" s="8"/>
    </row>
    <row r="502">
      <c r="A502" s="209"/>
      <c r="B502" s="210"/>
      <c r="C502" s="390"/>
      <c r="D502" s="209"/>
      <c r="E502" s="210"/>
      <c r="F502" s="390"/>
      <c r="G502" s="209"/>
      <c r="H502" s="210"/>
      <c r="I502" s="390"/>
      <c r="J502" s="209"/>
      <c r="K502" s="210"/>
      <c r="L502" s="390"/>
      <c r="M502" s="209"/>
      <c r="N502" s="210"/>
      <c r="O502" s="390"/>
      <c r="P502" s="209"/>
      <c r="Q502" s="210"/>
      <c r="R502" s="390"/>
      <c r="S502" s="209"/>
      <c r="T502" s="210"/>
      <c r="U502" s="390"/>
      <c r="V502" s="209"/>
      <c r="W502" s="210"/>
      <c r="X502" s="390"/>
      <c r="Y502" s="195"/>
      <c r="Z502" s="195"/>
      <c r="AA502" s="195"/>
      <c r="AB502" s="195"/>
      <c r="AC502" s="8"/>
      <c r="AD502" s="8"/>
      <c r="AE502" s="8"/>
      <c r="AF502" s="8"/>
      <c r="AG502" s="202"/>
      <c r="AH502" s="202"/>
      <c r="AI502" s="202"/>
      <c r="AJ502" s="202"/>
      <c r="AK502" s="8"/>
      <c r="AL502" s="8"/>
      <c r="AM502" s="8"/>
      <c r="AN502" s="8"/>
      <c r="AO502" s="8"/>
      <c r="AP502" s="8"/>
      <c r="AQ502" s="8"/>
      <c r="AR502" s="8"/>
      <c r="AS502" s="8"/>
      <c r="AT502" s="8"/>
      <c r="AU502" s="8"/>
      <c r="AV502" s="8"/>
    </row>
    <row r="503">
      <c r="A503" s="209"/>
      <c r="B503" s="210"/>
      <c r="C503" s="390"/>
      <c r="D503" s="209"/>
      <c r="E503" s="210"/>
      <c r="F503" s="390"/>
      <c r="G503" s="209"/>
      <c r="H503" s="210"/>
      <c r="I503" s="390"/>
      <c r="J503" s="209"/>
      <c r="K503" s="210"/>
      <c r="L503" s="390"/>
      <c r="M503" s="209"/>
      <c r="N503" s="210"/>
      <c r="O503" s="390"/>
      <c r="P503" s="209"/>
      <c r="Q503" s="210"/>
      <c r="R503" s="390"/>
      <c r="S503" s="209"/>
      <c r="T503" s="210"/>
      <c r="U503" s="390"/>
      <c r="V503" s="209"/>
      <c r="W503" s="210"/>
      <c r="X503" s="390"/>
      <c r="Y503" s="195"/>
      <c r="Z503" s="195"/>
      <c r="AA503" s="195"/>
      <c r="AB503" s="195"/>
      <c r="AC503" s="8"/>
      <c r="AD503" s="8"/>
      <c r="AE503" s="8"/>
      <c r="AF503" s="8"/>
      <c r="AG503" s="202"/>
      <c r="AH503" s="202"/>
      <c r="AI503" s="202"/>
      <c r="AJ503" s="202"/>
      <c r="AK503" s="8"/>
      <c r="AL503" s="8"/>
      <c r="AM503" s="8"/>
      <c r="AN503" s="8"/>
      <c r="AO503" s="8"/>
      <c r="AP503" s="8"/>
      <c r="AQ503" s="8"/>
      <c r="AR503" s="8"/>
      <c r="AS503" s="8"/>
      <c r="AT503" s="8"/>
      <c r="AU503" s="8"/>
      <c r="AV503" s="8"/>
    </row>
    <row r="504">
      <c r="A504" s="209"/>
      <c r="B504" s="210"/>
      <c r="C504" s="390"/>
      <c r="D504" s="209"/>
      <c r="E504" s="210"/>
      <c r="F504" s="390"/>
      <c r="G504" s="209"/>
      <c r="H504" s="210"/>
      <c r="I504" s="390"/>
      <c r="J504" s="209"/>
      <c r="K504" s="210"/>
      <c r="L504" s="390"/>
      <c r="M504" s="209"/>
      <c r="N504" s="210"/>
      <c r="O504" s="390"/>
      <c r="P504" s="209"/>
      <c r="Q504" s="210"/>
      <c r="R504" s="390"/>
      <c r="S504" s="209"/>
      <c r="T504" s="210"/>
      <c r="U504" s="390"/>
      <c r="V504" s="209"/>
      <c r="W504" s="210"/>
      <c r="X504" s="390"/>
      <c r="Y504" s="195"/>
      <c r="Z504" s="195"/>
      <c r="AA504" s="195"/>
      <c r="AB504" s="195"/>
      <c r="AC504" s="8"/>
      <c r="AD504" s="8"/>
      <c r="AE504" s="8"/>
      <c r="AF504" s="8"/>
      <c r="AG504" s="202"/>
      <c r="AH504" s="202"/>
      <c r="AI504" s="202"/>
      <c r="AJ504" s="202"/>
      <c r="AK504" s="8"/>
      <c r="AL504" s="8"/>
      <c r="AM504" s="8"/>
      <c r="AN504" s="8"/>
      <c r="AO504" s="8"/>
      <c r="AP504" s="8"/>
      <c r="AQ504" s="8"/>
      <c r="AR504" s="8"/>
      <c r="AS504" s="8"/>
      <c r="AT504" s="8"/>
      <c r="AU504" s="8"/>
      <c r="AV504" s="8"/>
    </row>
    <row r="505">
      <c r="A505" s="209"/>
      <c r="B505" s="210"/>
      <c r="C505" s="390"/>
      <c r="D505" s="209"/>
      <c r="E505" s="210"/>
      <c r="F505" s="390"/>
      <c r="G505" s="209"/>
      <c r="H505" s="210"/>
      <c r="I505" s="390"/>
      <c r="J505" s="209"/>
      <c r="K505" s="210"/>
      <c r="L505" s="390"/>
      <c r="M505" s="209"/>
      <c r="N505" s="210"/>
      <c r="O505" s="390"/>
      <c r="P505" s="209"/>
      <c r="Q505" s="210"/>
      <c r="R505" s="390"/>
      <c r="S505" s="209"/>
      <c r="T505" s="210"/>
      <c r="U505" s="390"/>
      <c r="V505" s="209"/>
      <c r="W505" s="210"/>
      <c r="X505" s="390"/>
      <c r="Y505" s="195"/>
      <c r="Z505" s="195"/>
      <c r="AA505" s="195"/>
      <c r="AB505" s="195"/>
      <c r="AC505" s="8"/>
      <c r="AD505" s="8"/>
      <c r="AE505" s="8"/>
      <c r="AF505" s="8"/>
      <c r="AG505" s="202"/>
      <c r="AH505" s="202"/>
      <c r="AI505" s="202"/>
      <c r="AJ505" s="202"/>
      <c r="AK505" s="8"/>
      <c r="AL505" s="8"/>
      <c r="AM505" s="8"/>
      <c r="AN505" s="8"/>
      <c r="AO505" s="8"/>
      <c r="AP505" s="8"/>
      <c r="AQ505" s="8"/>
      <c r="AR505" s="8"/>
      <c r="AS505" s="8"/>
      <c r="AT505" s="8"/>
      <c r="AU505" s="8"/>
      <c r="AV505" s="8"/>
    </row>
    <row r="506">
      <c r="A506" s="209"/>
      <c r="B506" s="210"/>
      <c r="C506" s="390"/>
      <c r="D506" s="209"/>
      <c r="E506" s="210"/>
      <c r="F506" s="390"/>
      <c r="G506" s="209"/>
      <c r="H506" s="210"/>
      <c r="I506" s="390"/>
      <c r="J506" s="209"/>
      <c r="K506" s="210"/>
      <c r="L506" s="390"/>
      <c r="M506" s="209"/>
      <c r="N506" s="210"/>
      <c r="O506" s="390"/>
      <c r="P506" s="209"/>
      <c r="Q506" s="210"/>
      <c r="R506" s="390"/>
      <c r="S506" s="209"/>
      <c r="T506" s="210"/>
      <c r="U506" s="390"/>
      <c r="V506" s="209"/>
      <c r="W506" s="210"/>
      <c r="X506" s="390"/>
      <c r="Y506" s="195"/>
      <c r="Z506" s="195"/>
      <c r="AA506" s="195"/>
      <c r="AB506" s="195"/>
      <c r="AC506" s="8"/>
      <c r="AD506" s="8"/>
      <c r="AE506" s="8"/>
      <c r="AF506" s="8"/>
      <c r="AG506" s="202"/>
      <c r="AH506" s="202"/>
      <c r="AI506" s="202"/>
      <c r="AJ506" s="202"/>
      <c r="AK506" s="8"/>
      <c r="AL506" s="8"/>
      <c r="AM506" s="8"/>
      <c r="AN506" s="8"/>
      <c r="AO506" s="8"/>
      <c r="AP506" s="8"/>
      <c r="AQ506" s="8"/>
      <c r="AR506" s="8"/>
      <c r="AS506" s="8"/>
      <c r="AT506" s="8"/>
      <c r="AU506" s="8"/>
      <c r="AV506" s="8"/>
    </row>
    <row r="507">
      <c r="A507" s="209"/>
      <c r="B507" s="210"/>
      <c r="C507" s="390"/>
      <c r="D507" s="209"/>
      <c r="E507" s="210"/>
      <c r="F507" s="390"/>
      <c r="G507" s="209"/>
      <c r="H507" s="210"/>
      <c r="I507" s="390"/>
      <c r="J507" s="209"/>
      <c r="K507" s="210"/>
      <c r="L507" s="390"/>
      <c r="M507" s="209"/>
      <c r="N507" s="210"/>
      <c r="O507" s="390"/>
      <c r="P507" s="209"/>
      <c r="Q507" s="210"/>
      <c r="R507" s="390"/>
      <c r="S507" s="209"/>
      <c r="T507" s="210"/>
      <c r="U507" s="390"/>
      <c r="V507" s="209"/>
      <c r="W507" s="210"/>
      <c r="X507" s="390"/>
      <c r="Y507" s="195"/>
      <c r="Z507" s="195"/>
      <c r="AA507" s="195"/>
      <c r="AB507" s="195"/>
      <c r="AC507" s="8"/>
      <c r="AD507" s="8"/>
      <c r="AE507" s="8"/>
      <c r="AF507" s="8"/>
      <c r="AG507" s="202"/>
      <c r="AH507" s="202"/>
      <c r="AI507" s="202"/>
      <c r="AJ507" s="202"/>
      <c r="AK507" s="8"/>
      <c r="AL507" s="8"/>
      <c r="AM507" s="8"/>
      <c r="AN507" s="8"/>
      <c r="AO507" s="8"/>
      <c r="AP507" s="8"/>
      <c r="AQ507" s="8"/>
      <c r="AR507" s="8"/>
      <c r="AS507" s="8"/>
      <c r="AT507" s="8"/>
      <c r="AU507" s="8"/>
      <c r="AV507" s="8"/>
    </row>
    <row r="508">
      <c r="A508" s="209"/>
      <c r="B508" s="210"/>
      <c r="C508" s="390"/>
      <c r="D508" s="209"/>
      <c r="E508" s="210"/>
      <c r="F508" s="390"/>
      <c r="G508" s="209"/>
      <c r="H508" s="210"/>
      <c r="I508" s="390"/>
      <c r="J508" s="209"/>
      <c r="K508" s="210"/>
      <c r="L508" s="390"/>
      <c r="M508" s="209"/>
      <c r="N508" s="210"/>
      <c r="O508" s="390"/>
      <c r="P508" s="209"/>
      <c r="Q508" s="210"/>
      <c r="R508" s="390"/>
      <c r="S508" s="209"/>
      <c r="T508" s="210"/>
      <c r="U508" s="390"/>
      <c r="V508" s="209"/>
      <c r="W508" s="210"/>
      <c r="X508" s="390"/>
      <c r="Y508" s="195"/>
      <c r="Z508" s="195"/>
      <c r="AA508" s="195"/>
      <c r="AB508" s="195"/>
      <c r="AC508" s="8"/>
      <c r="AD508" s="8"/>
      <c r="AE508" s="8"/>
      <c r="AF508" s="8"/>
      <c r="AG508" s="202"/>
      <c r="AH508" s="202"/>
      <c r="AI508" s="202"/>
      <c r="AJ508" s="202"/>
      <c r="AK508" s="8"/>
      <c r="AL508" s="8"/>
      <c r="AM508" s="8"/>
      <c r="AN508" s="8"/>
      <c r="AO508" s="8"/>
      <c r="AP508" s="8"/>
      <c r="AQ508" s="8"/>
      <c r="AR508" s="8"/>
      <c r="AS508" s="8"/>
      <c r="AT508" s="8"/>
      <c r="AU508" s="8"/>
      <c r="AV508" s="8"/>
    </row>
    <row r="509">
      <c r="A509" s="209"/>
      <c r="B509" s="210"/>
      <c r="C509" s="390"/>
      <c r="D509" s="209"/>
      <c r="E509" s="210"/>
      <c r="F509" s="390"/>
      <c r="G509" s="209"/>
      <c r="H509" s="210"/>
      <c r="I509" s="390"/>
      <c r="J509" s="209"/>
      <c r="K509" s="210"/>
      <c r="L509" s="390"/>
      <c r="M509" s="209"/>
      <c r="N509" s="210"/>
      <c r="O509" s="390"/>
      <c r="P509" s="209"/>
      <c r="Q509" s="210"/>
      <c r="R509" s="390"/>
      <c r="S509" s="209"/>
      <c r="T509" s="210"/>
      <c r="U509" s="390"/>
      <c r="V509" s="209"/>
      <c r="W509" s="210"/>
      <c r="X509" s="390"/>
      <c r="Y509" s="195"/>
      <c r="Z509" s="195"/>
      <c r="AA509" s="195"/>
      <c r="AB509" s="195"/>
      <c r="AC509" s="8"/>
      <c r="AD509" s="8"/>
      <c r="AE509" s="8"/>
      <c r="AF509" s="8"/>
      <c r="AG509" s="202"/>
      <c r="AH509" s="202"/>
      <c r="AI509" s="202"/>
      <c r="AJ509" s="202"/>
      <c r="AK509" s="8"/>
      <c r="AL509" s="8"/>
      <c r="AM509" s="8"/>
      <c r="AN509" s="8"/>
      <c r="AO509" s="8"/>
      <c r="AP509" s="8"/>
      <c r="AQ509" s="8"/>
      <c r="AR509" s="8"/>
      <c r="AS509" s="8"/>
      <c r="AT509" s="8"/>
      <c r="AU509" s="8"/>
      <c r="AV509" s="8"/>
    </row>
    <row r="510">
      <c r="A510" s="209"/>
      <c r="B510" s="210"/>
      <c r="C510" s="390"/>
      <c r="D510" s="209"/>
      <c r="E510" s="210"/>
      <c r="F510" s="390"/>
      <c r="G510" s="209"/>
      <c r="H510" s="210"/>
      <c r="I510" s="390"/>
      <c r="J510" s="209"/>
      <c r="K510" s="210"/>
      <c r="L510" s="390"/>
      <c r="M510" s="209"/>
      <c r="N510" s="210"/>
      <c r="O510" s="390"/>
      <c r="P510" s="209"/>
      <c r="Q510" s="210"/>
      <c r="R510" s="390"/>
      <c r="S510" s="209"/>
      <c r="T510" s="210"/>
      <c r="U510" s="390"/>
      <c r="V510" s="209"/>
      <c r="W510" s="210"/>
      <c r="X510" s="390"/>
      <c r="Y510" s="195"/>
      <c r="Z510" s="195"/>
      <c r="AA510" s="195"/>
      <c r="AB510" s="195"/>
      <c r="AC510" s="8"/>
      <c r="AD510" s="8"/>
      <c r="AE510" s="8"/>
      <c r="AF510" s="8"/>
      <c r="AG510" s="202"/>
      <c r="AH510" s="202"/>
      <c r="AI510" s="202"/>
      <c r="AJ510" s="202"/>
      <c r="AK510" s="8"/>
      <c r="AL510" s="8"/>
      <c r="AM510" s="8"/>
      <c r="AN510" s="8"/>
      <c r="AO510" s="8"/>
      <c r="AP510" s="8"/>
      <c r="AQ510" s="8"/>
      <c r="AR510" s="8"/>
      <c r="AS510" s="8"/>
      <c r="AT510" s="8"/>
      <c r="AU510" s="8"/>
      <c r="AV510" s="8"/>
    </row>
    <row r="511">
      <c r="A511" s="209"/>
      <c r="B511" s="210"/>
      <c r="C511" s="390"/>
      <c r="D511" s="209"/>
      <c r="E511" s="210"/>
      <c r="F511" s="390"/>
      <c r="G511" s="209"/>
      <c r="H511" s="210"/>
      <c r="I511" s="390"/>
      <c r="J511" s="209"/>
      <c r="K511" s="210"/>
      <c r="L511" s="390"/>
      <c r="M511" s="209"/>
      <c r="N511" s="210"/>
      <c r="O511" s="390"/>
      <c r="P511" s="209"/>
      <c r="Q511" s="210"/>
      <c r="R511" s="390"/>
      <c r="S511" s="209"/>
      <c r="T511" s="210"/>
      <c r="U511" s="390"/>
      <c r="V511" s="209"/>
      <c r="W511" s="210"/>
      <c r="X511" s="390"/>
      <c r="Y511" s="195"/>
      <c r="Z511" s="195"/>
      <c r="AA511" s="195"/>
      <c r="AB511" s="195"/>
      <c r="AC511" s="8"/>
      <c r="AD511" s="8"/>
      <c r="AE511" s="8"/>
      <c r="AF511" s="8"/>
      <c r="AG511" s="202"/>
      <c r="AH511" s="202"/>
      <c r="AI511" s="202"/>
      <c r="AJ511" s="202"/>
      <c r="AK511" s="8"/>
      <c r="AL511" s="8"/>
      <c r="AM511" s="8"/>
      <c r="AN511" s="8"/>
      <c r="AO511" s="8"/>
      <c r="AP511" s="8"/>
      <c r="AQ511" s="8"/>
      <c r="AR511" s="8"/>
      <c r="AS511" s="8"/>
      <c r="AT511" s="8"/>
      <c r="AU511" s="8"/>
      <c r="AV511" s="8"/>
    </row>
    <row r="512">
      <c r="A512" s="209"/>
      <c r="B512" s="210"/>
      <c r="C512" s="390"/>
      <c r="D512" s="209"/>
      <c r="E512" s="210"/>
      <c r="F512" s="390"/>
      <c r="G512" s="209"/>
      <c r="H512" s="210"/>
      <c r="I512" s="390"/>
      <c r="J512" s="209"/>
      <c r="K512" s="210"/>
      <c r="L512" s="390"/>
      <c r="M512" s="209"/>
      <c r="N512" s="210"/>
      <c r="O512" s="390"/>
      <c r="P512" s="209"/>
      <c r="Q512" s="210"/>
      <c r="R512" s="390"/>
      <c r="S512" s="209"/>
      <c r="T512" s="210"/>
      <c r="U512" s="390"/>
      <c r="V512" s="209"/>
      <c r="W512" s="210"/>
      <c r="X512" s="390"/>
      <c r="Y512" s="195"/>
      <c r="Z512" s="195"/>
      <c r="AA512" s="195"/>
      <c r="AB512" s="195"/>
      <c r="AC512" s="8"/>
      <c r="AD512" s="8"/>
      <c r="AE512" s="8"/>
      <c r="AF512" s="8"/>
      <c r="AG512" s="202"/>
      <c r="AH512" s="202"/>
      <c r="AI512" s="202"/>
      <c r="AJ512" s="202"/>
      <c r="AK512" s="8"/>
      <c r="AL512" s="8"/>
      <c r="AM512" s="8"/>
      <c r="AN512" s="8"/>
      <c r="AO512" s="8"/>
      <c r="AP512" s="8"/>
      <c r="AQ512" s="8"/>
      <c r="AR512" s="8"/>
      <c r="AS512" s="8"/>
      <c r="AT512" s="8"/>
      <c r="AU512" s="8"/>
      <c r="AV512" s="8"/>
    </row>
    <row r="513">
      <c r="A513" s="209"/>
      <c r="B513" s="210"/>
      <c r="C513" s="390"/>
      <c r="D513" s="209"/>
      <c r="E513" s="210"/>
      <c r="F513" s="390"/>
      <c r="G513" s="209"/>
      <c r="H513" s="210"/>
      <c r="I513" s="390"/>
      <c r="J513" s="209"/>
      <c r="K513" s="210"/>
      <c r="L513" s="390"/>
      <c r="M513" s="209"/>
      <c r="N513" s="210"/>
      <c r="O513" s="390"/>
      <c r="P513" s="209"/>
      <c r="Q513" s="210"/>
      <c r="R513" s="390"/>
      <c r="S513" s="209"/>
      <c r="T513" s="210"/>
      <c r="U513" s="390"/>
      <c r="V513" s="209"/>
      <c r="W513" s="210"/>
      <c r="X513" s="390"/>
      <c r="Y513" s="195"/>
      <c r="Z513" s="195"/>
      <c r="AA513" s="195"/>
      <c r="AB513" s="195"/>
      <c r="AC513" s="8"/>
      <c r="AD513" s="8"/>
      <c r="AE513" s="8"/>
      <c r="AF513" s="8"/>
      <c r="AG513" s="202"/>
      <c r="AH513" s="202"/>
      <c r="AI513" s="202"/>
      <c r="AJ513" s="202"/>
      <c r="AK513" s="8"/>
      <c r="AL513" s="8"/>
      <c r="AM513" s="8"/>
      <c r="AN513" s="8"/>
      <c r="AO513" s="8"/>
      <c r="AP513" s="8"/>
      <c r="AQ513" s="8"/>
      <c r="AR513" s="8"/>
      <c r="AS513" s="8"/>
      <c r="AT513" s="8"/>
      <c r="AU513" s="8"/>
      <c r="AV513" s="8"/>
    </row>
    <row r="514">
      <c r="A514" s="209"/>
      <c r="B514" s="210"/>
      <c r="C514" s="390"/>
      <c r="D514" s="209"/>
      <c r="E514" s="210"/>
      <c r="F514" s="390"/>
      <c r="G514" s="209"/>
      <c r="H514" s="210"/>
      <c r="I514" s="390"/>
      <c r="J514" s="209"/>
      <c r="K514" s="210"/>
      <c r="L514" s="390"/>
      <c r="M514" s="209"/>
      <c r="N514" s="210"/>
      <c r="O514" s="390"/>
      <c r="P514" s="209"/>
      <c r="Q514" s="210"/>
      <c r="R514" s="390"/>
      <c r="S514" s="209"/>
      <c r="T514" s="210"/>
      <c r="U514" s="390"/>
      <c r="V514" s="209"/>
      <c r="W514" s="210"/>
      <c r="X514" s="390"/>
      <c r="Y514" s="195"/>
      <c r="Z514" s="195"/>
      <c r="AA514" s="195"/>
      <c r="AB514" s="195"/>
      <c r="AC514" s="8"/>
      <c r="AD514" s="8"/>
      <c r="AE514" s="8"/>
      <c r="AF514" s="8"/>
      <c r="AG514" s="202"/>
      <c r="AH514" s="202"/>
      <c r="AI514" s="202"/>
      <c r="AJ514" s="202"/>
      <c r="AK514" s="8"/>
      <c r="AL514" s="8"/>
      <c r="AM514" s="8"/>
      <c r="AN514" s="8"/>
      <c r="AO514" s="8"/>
      <c r="AP514" s="8"/>
      <c r="AQ514" s="8"/>
      <c r="AR514" s="8"/>
      <c r="AS514" s="8"/>
      <c r="AT514" s="8"/>
      <c r="AU514" s="8"/>
      <c r="AV514" s="8"/>
    </row>
    <row r="515">
      <c r="A515" s="209"/>
      <c r="B515" s="210"/>
      <c r="C515" s="390"/>
      <c r="D515" s="209"/>
      <c r="E515" s="210"/>
      <c r="F515" s="390"/>
      <c r="G515" s="209"/>
      <c r="H515" s="210"/>
      <c r="I515" s="390"/>
      <c r="J515" s="209"/>
      <c r="K515" s="210"/>
      <c r="L515" s="390"/>
      <c r="M515" s="209"/>
      <c r="N515" s="210"/>
      <c r="O515" s="390"/>
      <c r="P515" s="209"/>
      <c r="Q515" s="210"/>
      <c r="R515" s="390"/>
      <c r="S515" s="209"/>
      <c r="T515" s="210"/>
      <c r="U515" s="390"/>
      <c r="V515" s="209"/>
      <c r="W515" s="210"/>
      <c r="X515" s="390"/>
      <c r="Y515" s="195"/>
      <c r="Z515" s="195"/>
      <c r="AA515" s="195"/>
      <c r="AB515" s="195"/>
      <c r="AC515" s="8"/>
      <c r="AD515" s="8"/>
      <c r="AE515" s="8"/>
      <c r="AF515" s="8"/>
      <c r="AG515" s="202"/>
      <c r="AH515" s="202"/>
      <c r="AI515" s="202"/>
      <c r="AJ515" s="202"/>
      <c r="AK515" s="8"/>
      <c r="AL515" s="8"/>
      <c r="AM515" s="8"/>
      <c r="AN515" s="8"/>
      <c r="AO515" s="8"/>
      <c r="AP515" s="8"/>
      <c r="AQ515" s="8"/>
      <c r="AR515" s="8"/>
      <c r="AS515" s="8"/>
      <c r="AT515" s="8"/>
      <c r="AU515" s="8"/>
      <c r="AV515" s="8"/>
    </row>
    <row r="516">
      <c r="A516" s="209"/>
      <c r="B516" s="210"/>
      <c r="C516" s="390"/>
      <c r="D516" s="209"/>
      <c r="E516" s="210"/>
      <c r="F516" s="390"/>
      <c r="G516" s="209"/>
      <c r="H516" s="210"/>
      <c r="I516" s="390"/>
      <c r="J516" s="209"/>
      <c r="K516" s="210"/>
      <c r="L516" s="390"/>
      <c r="M516" s="209"/>
      <c r="N516" s="210"/>
      <c r="O516" s="390"/>
      <c r="P516" s="209"/>
      <c r="Q516" s="210"/>
      <c r="R516" s="390"/>
      <c r="S516" s="209"/>
      <c r="T516" s="210"/>
      <c r="U516" s="390"/>
      <c r="V516" s="209"/>
      <c r="W516" s="210"/>
      <c r="X516" s="390"/>
      <c r="Y516" s="195"/>
      <c r="Z516" s="195"/>
      <c r="AA516" s="195"/>
      <c r="AB516" s="195"/>
      <c r="AC516" s="8"/>
      <c r="AD516" s="8"/>
      <c r="AE516" s="8"/>
      <c r="AF516" s="8"/>
      <c r="AG516" s="202"/>
      <c r="AH516" s="202"/>
      <c r="AI516" s="202"/>
      <c r="AJ516" s="202"/>
      <c r="AK516" s="8"/>
      <c r="AL516" s="8"/>
      <c r="AM516" s="8"/>
      <c r="AN516" s="8"/>
      <c r="AO516" s="8"/>
      <c r="AP516" s="8"/>
      <c r="AQ516" s="8"/>
      <c r="AR516" s="8"/>
      <c r="AS516" s="8"/>
      <c r="AT516" s="8"/>
      <c r="AU516" s="8"/>
      <c r="AV516" s="8"/>
    </row>
    <row r="517">
      <c r="A517" s="209"/>
      <c r="B517" s="210"/>
      <c r="C517" s="390"/>
      <c r="D517" s="209"/>
      <c r="E517" s="210"/>
      <c r="F517" s="390"/>
      <c r="G517" s="209"/>
      <c r="H517" s="210"/>
      <c r="I517" s="390"/>
      <c r="J517" s="209"/>
      <c r="K517" s="210"/>
      <c r="L517" s="390"/>
      <c r="M517" s="209"/>
      <c r="N517" s="210"/>
      <c r="O517" s="390"/>
      <c r="P517" s="209"/>
      <c r="Q517" s="210"/>
      <c r="R517" s="390"/>
      <c r="S517" s="209"/>
      <c r="T517" s="210"/>
      <c r="U517" s="390"/>
      <c r="V517" s="209"/>
      <c r="W517" s="210"/>
      <c r="X517" s="390"/>
      <c r="Y517" s="195"/>
      <c r="Z517" s="195"/>
      <c r="AA517" s="195"/>
      <c r="AB517" s="195"/>
      <c r="AC517" s="8"/>
      <c r="AD517" s="8"/>
      <c r="AE517" s="8"/>
      <c r="AF517" s="8"/>
      <c r="AG517" s="202"/>
      <c r="AH517" s="202"/>
      <c r="AI517" s="202"/>
      <c r="AJ517" s="202"/>
      <c r="AK517" s="8"/>
      <c r="AL517" s="8"/>
      <c r="AM517" s="8"/>
      <c r="AN517" s="8"/>
      <c r="AO517" s="8"/>
      <c r="AP517" s="8"/>
      <c r="AQ517" s="8"/>
      <c r="AR517" s="8"/>
      <c r="AS517" s="8"/>
      <c r="AT517" s="8"/>
      <c r="AU517" s="8"/>
      <c r="AV517" s="8"/>
    </row>
    <row r="518">
      <c r="A518" s="209"/>
      <c r="B518" s="210"/>
      <c r="C518" s="390"/>
      <c r="D518" s="209"/>
      <c r="E518" s="210"/>
      <c r="F518" s="390"/>
      <c r="G518" s="209"/>
      <c r="H518" s="210"/>
      <c r="I518" s="390"/>
      <c r="J518" s="209"/>
      <c r="K518" s="210"/>
      <c r="L518" s="390"/>
      <c r="M518" s="209"/>
      <c r="N518" s="210"/>
      <c r="O518" s="390"/>
      <c r="P518" s="209"/>
      <c r="Q518" s="210"/>
      <c r="R518" s="390"/>
      <c r="S518" s="209"/>
      <c r="T518" s="210"/>
      <c r="U518" s="390"/>
      <c r="V518" s="209"/>
      <c r="W518" s="210"/>
      <c r="X518" s="390"/>
      <c r="Y518" s="195"/>
      <c r="Z518" s="195"/>
      <c r="AA518" s="195"/>
      <c r="AB518" s="195"/>
      <c r="AC518" s="8"/>
      <c r="AD518" s="8"/>
      <c r="AE518" s="8"/>
      <c r="AF518" s="8"/>
      <c r="AG518" s="202"/>
      <c r="AH518" s="202"/>
      <c r="AI518" s="202"/>
      <c r="AJ518" s="202"/>
      <c r="AK518" s="8"/>
      <c r="AL518" s="8"/>
      <c r="AM518" s="8"/>
      <c r="AN518" s="8"/>
      <c r="AO518" s="8"/>
      <c r="AP518" s="8"/>
      <c r="AQ518" s="8"/>
      <c r="AR518" s="8"/>
      <c r="AS518" s="8"/>
      <c r="AT518" s="8"/>
      <c r="AU518" s="8"/>
      <c r="AV518" s="8"/>
    </row>
    <row r="519">
      <c r="A519" s="209"/>
      <c r="B519" s="210"/>
      <c r="C519" s="390"/>
      <c r="D519" s="209"/>
      <c r="E519" s="210"/>
      <c r="F519" s="390"/>
      <c r="G519" s="209"/>
      <c r="H519" s="210"/>
      <c r="I519" s="390"/>
      <c r="J519" s="209"/>
      <c r="K519" s="210"/>
      <c r="L519" s="390"/>
      <c r="M519" s="209"/>
      <c r="N519" s="210"/>
      <c r="O519" s="390"/>
      <c r="P519" s="209"/>
      <c r="Q519" s="210"/>
      <c r="R519" s="390"/>
      <c r="S519" s="209"/>
      <c r="T519" s="210"/>
      <c r="U519" s="390"/>
      <c r="V519" s="209"/>
      <c r="W519" s="210"/>
      <c r="X519" s="390"/>
      <c r="Y519" s="195"/>
      <c r="Z519" s="195"/>
      <c r="AA519" s="195"/>
      <c r="AB519" s="195"/>
      <c r="AC519" s="8"/>
      <c r="AD519" s="8"/>
      <c r="AE519" s="8"/>
      <c r="AF519" s="8"/>
      <c r="AG519" s="202"/>
      <c r="AH519" s="202"/>
      <c r="AI519" s="202"/>
      <c r="AJ519" s="202"/>
      <c r="AK519" s="8"/>
      <c r="AL519" s="8"/>
      <c r="AM519" s="8"/>
      <c r="AN519" s="8"/>
      <c r="AO519" s="8"/>
      <c r="AP519" s="8"/>
      <c r="AQ519" s="8"/>
      <c r="AR519" s="8"/>
      <c r="AS519" s="8"/>
      <c r="AT519" s="8"/>
      <c r="AU519" s="8"/>
      <c r="AV519" s="8"/>
    </row>
    <row r="520">
      <c r="A520" s="209"/>
      <c r="B520" s="210"/>
      <c r="C520" s="390"/>
      <c r="D520" s="209"/>
      <c r="E520" s="210"/>
      <c r="F520" s="390"/>
      <c r="G520" s="209"/>
      <c r="H520" s="210"/>
      <c r="I520" s="390"/>
      <c r="J520" s="209"/>
      <c r="K520" s="210"/>
      <c r="L520" s="390"/>
      <c r="M520" s="209"/>
      <c r="N520" s="210"/>
      <c r="O520" s="390"/>
      <c r="P520" s="209"/>
      <c r="Q520" s="210"/>
      <c r="R520" s="390"/>
      <c r="S520" s="209"/>
      <c r="T520" s="210"/>
      <c r="U520" s="390"/>
      <c r="V520" s="209"/>
      <c r="W520" s="210"/>
      <c r="X520" s="390"/>
      <c r="Y520" s="195"/>
      <c r="Z520" s="195"/>
      <c r="AA520" s="195"/>
      <c r="AB520" s="195"/>
      <c r="AC520" s="8"/>
      <c r="AD520" s="8"/>
      <c r="AE520" s="8"/>
      <c r="AF520" s="8"/>
      <c r="AG520" s="202"/>
      <c r="AH520" s="202"/>
      <c r="AI520" s="202"/>
      <c r="AJ520" s="202"/>
      <c r="AK520" s="8"/>
      <c r="AL520" s="8"/>
      <c r="AM520" s="8"/>
      <c r="AN520" s="8"/>
      <c r="AO520" s="8"/>
      <c r="AP520" s="8"/>
      <c r="AQ520" s="8"/>
      <c r="AR520" s="8"/>
      <c r="AS520" s="8"/>
      <c r="AT520" s="8"/>
      <c r="AU520" s="8"/>
      <c r="AV520" s="8"/>
    </row>
    <row r="521">
      <c r="A521" s="209"/>
      <c r="B521" s="210"/>
      <c r="C521" s="390"/>
      <c r="D521" s="209"/>
      <c r="E521" s="210"/>
      <c r="F521" s="390"/>
      <c r="G521" s="209"/>
      <c r="H521" s="210"/>
      <c r="I521" s="390"/>
      <c r="J521" s="209"/>
      <c r="K521" s="210"/>
      <c r="L521" s="390"/>
      <c r="M521" s="209"/>
      <c r="N521" s="210"/>
      <c r="O521" s="390"/>
      <c r="P521" s="209"/>
      <c r="Q521" s="210"/>
      <c r="R521" s="390"/>
      <c r="S521" s="209"/>
      <c r="T521" s="210"/>
      <c r="U521" s="390"/>
      <c r="V521" s="209"/>
      <c r="W521" s="210"/>
      <c r="X521" s="390"/>
      <c r="Y521" s="195"/>
      <c r="Z521" s="195"/>
      <c r="AA521" s="195"/>
      <c r="AB521" s="195"/>
      <c r="AC521" s="8"/>
      <c r="AD521" s="8"/>
      <c r="AE521" s="8"/>
      <c r="AF521" s="8"/>
      <c r="AG521" s="202"/>
      <c r="AH521" s="202"/>
      <c r="AI521" s="202"/>
      <c r="AJ521" s="202"/>
      <c r="AK521" s="8"/>
      <c r="AL521" s="8"/>
      <c r="AM521" s="8"/>
      <c r="AN521" s="8"/>
      <c r="AO521" s="8"/>
      <c r="AP521" s="8"/>
      <c r="AQ521" s="8"/>
      <c r="AR521" s="8"/>
      <c r="AS521" s="8"/>
      <c r="AT521" s="8"/>
      <c r="AU521" s="8"/>
      <c r="AV521" s="8"/>
    </row>
    <row r="522">
      <c r="A522" s="209"/>
      <c r="B522" s="210"/>
      <c r="C522" s="390"/>
      <c r="D522" s="209"/>
      <c r="E522" s="210"/>
      <c r="F522" s="390"/>
      <c r="G522" s="209"/>
      <c r="H522" s="210"/>
      <c r="I522" s="390"/>
      <c r="J522" s="209"/>
      <c r="K522" s="210"/>
      <c r="L522" s="390"/>
      <c r="M522" s="209"/>
      <c r="N522" s="210"/>
      <c r="O522" s="390"/>
      <c r="P522" s="209"/>
      <c r="Q522" s="210"/>
      <c r="R522" s="390"/>
      <c r="S522" s="209"/>
      <c r="T522" s="210"/>
      <c r="U522" s="390"/>
      <c r="V522" s="209"/>
      <c r="W522" s="210"/>
      <c r="X522" s="390"/>
      <c r="Y522" s="195"/>
      <c r="Z522" s="195"/>
      <c r="AA522" s="195"/>
      <c r="AB522" s="195"/>
      <c r="AC522" s="8"/>
      <c r="AD522" s="8"/>
      <c r="AE522" s="8"/>
      <c r="AF522" s="8"/>
      <c r="AG522" s="202"/>
      <c r="AH522" s="202"/>
      <c r="AI522" s="202"/>
      <c r="AJ522" s="202"/>
      <c r="AK522" s="8"/>
      <c r="AL522" s="8"/>
      <c r="AM522" s="8"/>
      <c r="AN522" s="8"/>
      <c r="AO522" s="8"/>
      <c r="AP522" s="8"/>
      <c r="AQ522" s="8"/>
      <c r="AR522" s="8"/>
      <c r="AS522" s="8"/>
      <c r="AT522" s="8"/>
      <c r="AU522" s="8"/>
      <c r="AV522" s="8"/>
    </row>
    <row r="523">
      <c r="A523" s="209"/>
      <c r="B523" s="210"/>
      <c r="C523" s="390"/>
      <c r="D523" s="209"/>
      <c r="E523" s="210"/>
      <c r="F523" s="390"/>
      <c r="G523" s="209"/>
      <c r="H523" s="210"/>
      <c r="I523" s="390"/>
      <c r="J523" s="209"/>
      <c r="K523" s="210"/>
      <c r="L523" s="390"/>
      <c r="M523" s="209"/>
      <c r="N523" s="210"/>
      <c r="O523" s="390"/>
      <c r="P523" s="209"/>
      <c r="Q523" s="210"/>
      <c r="R523" s="390"/>
      <c r="S523" s="209"/>
      <c r="T523" s="210"/>
      <c r="U523" s="390"/>
      <c r="V523" s="209"/>
      <c r="W523" s="210"/>
      <c r="X523" s="390"/>
      <c r="Y523" s="195"/>
      <c r="Z523" s="195"/>
      <c r="AA523" s="195"/>
      <c r="AB523" s="195"/>
      <c r="AC523" s="8"/>
      <c r="AD523" s="8"/>
      <c r="AE523" s="8"/>
      <c r="AF523" s="8"/>
      <c r="AG523" s="202"/>
      <c r="AH523" s="202"/>
      <c r="AI523" s="202"/>
      <c r="AJ523" s="202"/>
      <c r="AK523" s="8"/>
      <c r="AL523" s="8"/>
      <c r="AM523" s="8"/>
      <c r="AN523" s="8"/>
      <c r="AO523" s="8"/>
      <c r="AP523" s="8"/>
      <c r="AQ523" s="8"/>
      <c r="AR523" s="8"/>
      <c r="AS523" s="8"/>
      <c r="AT523" s="8"/>
      <c r="AU523" s="8"/>
      <c r="AV523" s="8"/>
    </row>
    <row r="524">
      <c r="A524" s="209"/>
      <c r="B524" s="210"/>
      <c r="C524" s="390"/>
      <c r="D524" s="209"/>
      <c r="E524" s="210"/>
      <c r="F524" s="390"/>
      <c r="G524" s="209"/>
      <c r="H524" s="210"/>
      <c r="I524" s="390"/>
      <c r="J524" s="209"/>
      <c r="K524" s="210"/>
      <c r="L524" s="390"/>
      <c r="M524" s="209"/>
      <c r="N524" s="210"/>
      <c r="O524" s="390"/>
      <c r="P524" s="209"/>
      <c r="Q524" s="210"/>
      <c r="R524" s="390"/>
      <c r="S524" s="209"/>
      <c r="T524" s="210"/>
      <c r="U524" s="390"/>
      <c r="V524" s="209"/>
      <c r="W524" s="210"/>
      <c r="X524" s="390"/>
      <c r="Y524" s="195"/>
      <c r="Z524" s="195"/>
      <c r="AA524" s="195"/>
      <c r="AB524" s="195"/>
      <c r="AC524" s="8"/>
      <c r="AD524" s="8"/>
      <c r="AE524" s="8"/>
      <c r="AF524" s="8"/>
      <c r="AG524" s="202"/>
      <c r="AH524" s="202"/>
      <c r="AI524" s="202"/>
      <c r="AJ524" s="202"/>
      <c r="AK524" s="8"/>
      <c r="AL524" s="8"/>
      <c r="AM524" s="8"/>
      <c r="AN524" s="8"/>
      <c r="AO524" s="8"/>
      <c r="AP524" s="8"/>
      <c r="AQ524" s="8"/>
      <c r="AR524" s="8"/>
      <c r="AS524" s="8"/>
      <c r="AT524" s="8"/>
      <c r="AU524" s="8"/>
      <c r="AV524" s="8"/>
    </row>
    <row r="525">
      <c r="A525" s="209"/>
      <c r="B525" s="210"/>
      <c r="C525" s="390"/>
      <c r="D525" s="209"/>
      <c r="E525" s="210"/>
      <c r="F525" s="390"/>
      <c r="G525" s="209"/>
      <c r="H525" s="210"/>
      <c r="I525" s="390"/>
      <c r="J525" s="209"/>
      <c r="K525" s="210"/>
      <c r="L525" s="390"/>
      <c r="M525" s="209"/>
      <c r="N525" s="210"/>
      <c r="O525" s="390"/>
      <c r="P525" s="209"/>
      <c r="Q525" s="210"/>
      <c r="R525" s="390"/>
      <c r="S525" s="209"/>
      <c r="T525" s="210"/>
      <c r="U525" s="390"/>
      <c r="V525" s="209"/>
      <c r="W525" s="210"/>
      <c r="X525" s="390"/>
      <c r="Y525" s="195"/>
      <c r="Z525" s="195"/>
      <c r="AA525" s="195"/>
      <c r="AB525" s="195"/>
      <c r="AC525" s="8"/>
      <c r="AD525" s="8"/>
      <c r="AE525" s="8"/>
      <c r="AF525" s="8"/>
      <c r="AG525" s="202"/>
      <c r="AH525" s="202"/>
      <c r="AI525" s="202"/>
      <c r="AJ525" s="202"/>
      <c r="AK525" s="8"/>
      <c r="AL525" s="8"/>
      <c r="AM525" s="8"/>
      <c r="AN525" s="8"/>
      <c r="AO525" s="8"/>
      <c r="AP525" s="8"/>
      <c r="AQ525" s="8"/>
      <c r="AR525" s="8"/>
      <c r="AS525" s="8"/>
      <c r="AT525" s="8"/>
      <c r="AU525" s="8"/>
      <c r="AV525" s="8"/>
    </row>
    <row r="526">
      <c r="A526" s="209"/>
      <c r="B526" s="210"/>
      <c r="C526" s="390"/>
      <c r="D526" s="209"/>
      <c r="E526" s="210"/>
      <c r="F526" s="390"/>
      <c r="G526" s="209"/>
      <c r="H526" s="210"/>
      <c r="I526" s="390"/>
      <c r="J526" s="209"/>
      <c r="K526" s="210"/>
      <c r="L526" s="390"/>
      <c r="M526" s="209"/>
      <c r="N526" s="210"/>
      <c r="O526" s="390"/>
      <c r="P526" s="209"/>
      <c r="Q526" s="210"/>
      <c r="R526" s="390"/>
      <c r="S526" s="209"/>
      <c r="T526" s="210"/>
      <c r="U526" s="390"/>
      <c r="V526" s="209"/>
      <c r="W526" s="210"/>
      <c r="X526" s="390"/>
      <c r="Y526" s="195"/>
      <c r="Z526" s="195"/>
      <c r="AA526" s="195"/>
      <c r="AB526" s="195"/>
      <c r="AC526" s="8"/>
      <c r="AD526" s="8"/>
      <c r="AE526" s="8"/>
      <c r="AF526" s="8"/>
      <c r="AG526" s="202"/>
      <c r="AH526" s="202"/>
      <c r="AI526" s="202"/>
      <c r="AJ526" s="202"/>
      <c r="AK526" s="8"/>
      <c r="AL526" s="8"/>
      <c r="AM526" s="8"/>
      <c r="AN526" s="8"/>
      <c r="AO526" s="8"/>
      <c r="AP526" s="8"/>
      <c r="AQ526" s="8"/>
      <c r="AR526" s="8"/>
      <c r="AS526" s="8"/>
      <c r="AT526" s="8"/>
      <c r="AU526" s="8"/>
      <c r="AV526" s="8"/>
    </row>
    <row r="527">
      <c r="A527" s="209"/>
      <c r="B527" s="210"/>
      <c r="C527" s="390"/>
      <c r="D527" s="209"/>
      <c r="E527" s="210"/>
      <c r="F527" s="390"/>
      <c r="G527" s="209"/>
      <c r="H527" s="210"/>
      <c r="I527" s="390"/>
      <c r="J527" s="209"/>
      <c r="K527" s="210"/>
      <c r="L527" s="390"/>
      <c r="M527" s="209"/>
      <c r="N527" s="210"/>
      <c r="O527" s="390"/>
      <c r="P527" s="209"/>
      <c r="Q527" s="210"/>
      <c r="R527" s="390"/>
      <c r="S527" s="209"/>
      <c r="T527" s="210"/>
      <c r="U527" s="390"/>
      <c r="V527" s="209"/>
      <c r="W527" s="210"/>
      <c r="X527" s="390"/>
      <c r="Y527" s="195"/>
      <c r="Z527" s="195"/>
      <c r="AA527" s="195"/>
      <c r="AB527" s="195"/>
      <c r="AC527" s="8"/>
      <c r="AD527" s="8"/>
      <c r="AE527" s="8"/>
      <c r="AF527" s="8"/>
      <c r="AG527" s="202"/>
      <c r="AH527" s="202"/>
      <c r="AI527" s="202"/>
      <c r="AJ527" s="202"/>
      <c r="AK527" s="8"/>
      <c r="AL527" s="8"/>
      <c r="AM527" s="8"/>
      <c r="AN527" s="8"/>
      <c r="AO527" s="8"/>
      <c r="AP527" s="8"/>
      <c r="AQ527" s="8"/>
      <c r="AR527" s="8"/>
      <c r="AS527" s="8"/>
      <c r="AT527" s="8"/>
      <c r="AU527" s="8"/>
      <c r="AV527" s="8"/>
    </row>
    <row r="528">
      <c r="A528" s="209"/>
      <c r="B528" s="210"/>
      <c r="C528" s="390"/>
      <c r="D528" s="209"/>
      <c r="E528" s="210"/>
      <c r="F528" s="390"/>
      <c r="G528" s="209"/>
      <c r="H528" s="210"/>
      <c r="I528" s="390"/>
      <c r="J528" s="209"/>
      <c r="K528" s="210"/>
      <c r="L528" s="390"/>
      <c r="M528" s="209"/>
      <c r="N528" s="210"/>
      <c r="O528" s="390"/>
      <c r="P528" s="209"/>
      <c r="Q528" s="210"/>
      <c r="R528" s="390"/>
      <c r="S528" s="209"/>
      <c r="T528" s="210"/>
      <c r="U528" s="390"/>
      <c r="V528" s="209"/>
      <c r="W528" s="210"/>
      <c r="X528" s="390"/>
      <c r="Y528" s="195"/>
      <c r="Z528" s="195"/>
      <c r="AA528" s="195"/>
      <c r="AB528" s="195"/>
      <c r="AC528" s="8"/>
      <c r="AD528" s="8"/>
      <c r="AE528" s="8"/>
      <c r="AF528" s="8"/>
      <c r="AG528" s="202"/>
      <c r="AH528" s="202"/>
      <c r="AI528" s="202"/>
      <c r="AJ528" s="202"/>
      <c r="AK528" s="8"/>
      <c r="AL528" s="8"/>
      <c r="AM528" s="8"/>
      <c r="AN528" s="8"/>
      <c r="AO528" s="8"/>
      <c r="AP528" s="8"/>
      <c r="AQ528" s="8"/>
      <c r="AR528" s="8"/>
      <c r="AS528" s="8"/>
      <c r="AT528" s="8"/>
      <c r="AU528" s="8"/>
      <c r="AV528" s="8"/>
    </row>
    <row r="529">
      <c r="A529" s="209"/>
      <c r="B529" s="210"/>
      <c r="C529" s="390"/>
      <c r="D529" s="209"/>
      <c r="E529" s="210"/>
      <c r="F529" s="390"/>
      <c r="G529" s="209"/>
      <c r="H529" s="210"/>
      <c r="I529" s="390"/>
      <c r="J529" s="209"/>
      <c r="K529" s="210"/>
      <c r="L529" s="390"/>
      <c r="M529" s="209"/>
      <c r="N529" s="210"/>
      <c r="O529" s="390"/>
      <c r="P529" s="209"/>
      <c r="Q529" s="210"/>
      <c r="R529" s="390"/>
      <c r="S529" s="209"/>
      <c r="T529" s="210"/>
      <c r="U529" s="390"/>
      <c r="V529" s="209"/>
      <c r="W529" s="210"/>
      <c r="X529" s="390"/>
      <c r="Y529" s="195"/>
      <c r="Z529" s="195"/>
      <c r="AA529" s="195"/>
      <c r="AB529" s="195"/>
      <c r="AC529" s="8"/>
      <c r="AD529" s="8"/>
      <c r="AE529" s="8"/>
      <c r="AF529" s="8"/>
      <c r="AG529" s="202"/>
      <c r="AH529" s="202"/>
      <c r="AI529" s="202"/>
      <c r="AJ529" s="202"/>
      <c r="AK529" s="8"/>
      <c r="AL529" s="8"/>
      <c r="AM529" s="8"/>
      <c r="AN529" s="8"/>
      <c r="AO529" s="8"/>
      <c r="AP529" s="8"/>
      <c r="AQ529" s="8"/>
      <c r="AR529" s="8"/>
      <c r="AS529" s="8"/>
      <c r="AT529" s="8"/>
      <c r="AU529" s="8"/>
      <c r="AV529" s="8"/>
    </row>
    <row r="530">
      <c r="A530" s="209"/>
      <c r="B530" s="210"/>
      <c r="C530" s="390"/>
      <c r="D530" s="209"/>
      <c r="E530" s="210"/>
      <c r="F530" s="390"/>
      <c r="G530" s="209"/>
      <c r="H530" s="210"/>
      <c r="I530" s="390"/>
      <c r="J530" s="209"/>
      <c r="K530" s="210"/>
      <c r="L530" s="390"/>
      <c r="M530" s="209"/>
      <c r="N530" s="210"/>
      <c r="O530" s="390"/>
      <c r="P530" s="209"/>
      <c r="Q530" s="210"/>
      <c r="R530" s="390"/>
      <c r="S530" s="209"/>
      <c r="T530" s="210"/>
      <c r="U530" s="390"/>
      <c r="V530" s="209"/>
      <c r="W530" s="210"/>
      <c r="X530" s="390"/>
      <c r="Y530" s="195"/>
      <c r="Z530" s="195"/>
      <c r="AA530" s="195"/>
      <c r="AB530" s="195"/>
      <c r="AC530" s="8"/>
      <c r="AD530" s="8"/>
      <c r="AE530" s="8"/>
      <c r="AF530" s="8"/>
      <c r="AG530" s="202"/>
      <c r="AH530" s="202"/>
      <c r="AI530" s="202"/>
      <c r="AJ530" s="202"/>
      <c r="AK530" s="8"/>
      <c r="AL530" s="8"/>
      <c r="AM530" s="8"/>
      <c r="AN530" s="8"/>
      <c r="AO530" s="8"/>
      <c r="AP530" s="8"/>
      <c r="AQ530" s="8"/>
      <c r="AR530" s="8"/>
      <c r="AS530" s="8"/>
      <c r="AT530" s="8"/>
      <c r="AU530" s="8"/>
      <c r="AV530" s="8"/>
    </row>
    <row r="531">
      <c r="A531" s="209"/>
      <c r="B531" s="210"/>
      <c r="C531" s="390"/>
      <c r="D531" s="209"/>
      <c r="E531" s="210"/>
      <c r="F531" s="390"/>
      <c r="G531" s="209"/>
      <c r="H531" s="210"/>
      <c r="I531" s="390"/>
      <c r="J531" s="209"/>
      <c r="K531" s="210"/>
      <c r="L531" s="390"/>
      <c r="M531" s="209"/>
      <c r="N531" s="210"/>
      <c r="O531" s="390"/>
      <c r="P531" s="209"/>
      <c r="Q531" s="210"/>
      <c r="R531" s="390"/>
      <c r="S531" s="209"/>
      <c r="T531" s="210"/>
      <c r="U531" s="390"/>
      <c r="V531" s="209"/>
      <c r="W531" s="210"/>
      <c r="X531" s="390"/>
      <c r="Y531" s="195"/>
      <c r="Z531" s="195"/>
      <c r="AA531" s="195"/>
      <c r="AB531" s="195"/>
      <c r="AC531" s="8"/>
      <c r="AD531" s="8"/>
      <c r="AE531" s="8"/>
      <c r="AF531" s="8"/>
      <c r="AG531" s="202"/>
      <c r="AH531" s="202"/>
      <c r="AI531" s="202"/>
      <c r="AJ531" s="202"/>
      <c r="AK531" s="8"/>
      <c r="AL531" s="8"/>
      <c r="AM531" s="8"/>
      <c r="AN531" s="8"/>
      <c r="AO531" s="8"/>
      <c r="AP531" s="8"/>
      <c r="AQ531" s="8"/>
      <c r="AR531" s="8"/>
      <c r="AS531" s="8"/>
      <c r="AT531" s="8"/>
      <c r="AU531" s="8"/>
      <c r="AV531" s="8"/>
    </row>
    <row r="532">
      <c r="A532" s="209"/>
      <c r="B532" s="210"/>
      <c r="C532" s="390"/>
      <c r="D532" s="209"/>
      <c r="E532" s="210"/>
      <c r="F532" s="390"/>
      <c r="G532" s="209"/>
      <c r="H532" s="210"/>
      <c r="I532" s="390"/>
      <c r="J532" s="209"/>
      <c r="K532" s="210"/>
      <c r="L532" s="390"/>
      <c r="M532" s="209"/>
      <c r="N532" s="210"/>
      <c r="O532" s="390"/>
      <c r="P532" s="209"/>
      <c r="Q532" s="210"/>
      <c r="R532" s="390"/>
      <c r="S532" s="209"/>
      <c r="T532" s="210"/>
      <c r="U532" s="390"/>
      <c r="V532" s="209"/>
      <c r="W532" s="210"/>
      <c r="X532" s="390"/>
      <c r="Y532" s="195"/>
      <c r="Z532" s="195"/>
      <c r="AA532" s="195"/>
      <c r="AB532" s="195"/>
      <c r="AC532" s="8"/>
      <c r="AD532" s="8"/>
      <c r="AE532" s="8"/>
      <c r="AF532" s="8"/>
      <c r="AG532" s="202"/>
      <c r="AH532" s="202"/>
      <c r="AI532" s="202"/>
      <c r="AJ532" s="202"/>
      <c r="AK532" s="8"/>
      <c r="AL532" s="8"/>
      <c r="AM532" s="8"/>
      <c r="AN532" s="8"/>
      <c r="AO532" s="8"/>
      <c r="AP532" s="8"/>
      <c r="AQ532" s="8"/>
      <c r="AR532" s="8"/>
      <c r="AS532" s="8"/>
      <c r="AT532" s="8"/>
      <c r="AU532" s="8"/>
      <c r="AV532" s="8"/>
    </row>
    <row r="533">
      <c r="A533" s="209"/>
      <c r="B533" s="210"/>
      <c r="C533" s="390"/>
      <c r="D533" s="209"/>
      <c r="E533" s="210"/>
      <c r="F533" s="390"/>
      <c r="G533" s="209"/>
      <c r="H533" s="210"/>
      <c r="I533" s="390"/>
      <c r="J533" s="209"/>
      <c r="K533" s="210"/>
      <c r="L533" s="390"/>
      <c r="M533" s="209"/>
      <c r="N533" s="210"/>
      <c r="O533" s="390"/>
      <c r="P533" s="209"/>
      <c r="Q533" s="210"/>
      <c r="R533" s="390"/>
      <c r="S533" s="209"/>
      <c r="T533" s="210"/>
      <c r="U533" s="390"/>
      <c r="V533" s="209"/>
      <c r="W533" s="210"/>
      <c r="X533" s="390"/>
      <c r="Y533" s="195"/>
      <c r="Z533" s="195"/>
      <c r="AA533" s="195"/>
      <c r="AB533" s="195"/>
      <c r="AC533" s="8"/>
      <c r="AD533" s="8"/>
      <c r="AE533" s="8"/>
      <c r="AF533" s="8"/>
      <c r="AG533" s="202"/>
      <c r="AH533" s="202"/>
      <c r="AI533" s="202"/>
      <c r="AJ533" s="202"/>
      <c r="AK533" s="8"/>
      <c r="AL533" s="8"/>
      <c r="AM533" s="8"/>
      <c r="AN533" s="8"/>
      <c r="AO533" s="8"/>
      <c r="AP533" s="8"/>
      <c r="AQ533" s="8"/>
      <c r="AR533" s="8"/>
      <c r="AS533" s="8"/>
      <c r="AT533" s="8"/>
      <c r="AU533" s="8"/>
      <c r="AV533" s="8"/>
    </row>
    <row r="534">
      <c r="A534" s="209"/>
      <c r="B534" s="210"/>
      <c r="C534" s="390"/>
      <c r="D534" s="209"/>
      <c r="E534" s="210"/>
      <c r="F534" s="390"/>
      <c r="G534" s="209"/>
      <c r="H534" s="210"/>
      <c r="I534" s="390"/>
      <c r="J534" s="209"/>
      <c r="K534" s="210"/>
      <c r="L534" s="390"/>
      <c r="M534" s="209"/>
      <c r="N534" s="210"/>
      <c r="O534" s="390"/>
      <c r="P534" s="209"/>
      <c r="Q534" s="210"/>
      <c r="R534" s="390"/>
      <c r="S534" s="209"/>
      <c r="T534" s="210"/>
      <c r="U534" s="390"/>
      <c r="V534" s="209"/>
      <c r="W534" s="210"/>
      <c r="X534" s="390"/>
      <c r="Y534" s="195"/>
      <c r="Z534" s="195"/>
      <c r="AA534" s="195"/>
      <c r="AB534" s="195"/>
      <c r="AC534" s="8"/>
      <c r="AD534" s="8"/>
      <c r="AE534" s="8"/>
      <c r="AF534" s="8"/>
      <c r="AG534" s="202"/>
      <c r="AH534" s="202"/>
      <c r="AI534" s="202"/>
      <c r="AJ534" s="202"/>
      <c r="AK534" s="8"/>
      <c r="AL534" s="8"/>
      <c r="AM534" s="8"/>
      <c r="AN534" s="8"/>
      <c r="AO534" s="8"/>
      <c r="AP534" s="8"/>
      <c r="AQ534" s="8"/>
      <c r="AR534" s="8"/>
      <c r="AS534" s="8"/>
      <c r="AT534" s="8"/>
      <c r="AU534" s="8"/>
      <c r="AV534" s="8"/>
    </row>
    <row r="535">
      <c r="A535" s="209"/>
      <c r="B535" s="210"/>
      <c r="C535" s="390"/>
      <c r="D535" s="209"/>
      <c r="E535" s="210"/>
      <c r="F535" s="390"/>
      <c r="G535" s="209"/>
      <c r="H535" s="210"/>
      <c r="I535" s="390"/>
      <c r="J535" s="209"/>
      <c r="K535" s="210"/>
      <c r="L535" s="390"/>
      <c r="M535" s="209"/>
      <c r="N535" s="210"/>
      <c r="O535" s="390"/>
      <c r="P535" s="209"/>
      <c r="Q535" s="210"/>
      <c r="R535" s="390"/>
      <c r="S535" s="209"/>
      <c r="T535" s="210"/>
      <c r="U535" s="390"/>
      <c r="V535" s="209"/>
      <c r="W535" s="210"/>
      <c r="X535" s="390"/>
      <c r="Y535" s="195"/>
      <c r="Z535" s="195"/>
      <c r="AA535" s="195"/>
      <c r="AB535" s="195"/>
      <c r="AC535" s="8"/>
      <c r="AD535" s="8"/>
      <c r="AE535" s="8"/>
      <c r="AF535" s="8"/>
      <c r="AG535" s="202"/>
      <c r="AH535" s="202"/>
      <c r="AI535" s="202"/>
      <c r="AJ535" s="202"/>
      <c r="AK535" s="8"/>
      <c r="AL535" s="8"/>
      <c r="AM535" s="8"/>
      <c r="AN535" s="8"/>
      <c r="AO535" s="8"/>
      <c r="AP535" s="8"/>
      <c r="AQ535" s="8"/>
      <c r="AR535" s="8"/>
      <c r="AS535" s="8"/>
      <c r="AT535" s="8"/>
      <c r="AU535" s="8"/>
      <c r="AV535" s="8"/>
    </row>
    <row r="536">
      <c r="A536" s="209"/>
      <c r="B536" s="210"/>
      <c r="C536" s="390"/>
      <c r="D536" s="209"/>
      <c r="E536" s="210"/>
      <c r="F536" s="390"/>
      <c r="G536" s="209"/>
      <c r="H536" s="210"/>
      <c r="I536" s="390"/>
      <c r="J536" s="209"/>
      <c r="K536" s="210"/>
      <c r="L536" s="390"/>
      <c r="M536" s="209"/>
      <c r="N536" s="210"/>
      <c r="O536" s="390"/>
      <c r="P536" s="209"/>
      <c r="Q536" s="210"/>
      <c r="R536" s="390"/>
      <c r="S536" s="209"/>
      <c r="T536" s="210"/>
      <c r="U536" s="390"/>
      <c r="V536" s="209"/>
      <c r="W536" s="210"/>
      <c r="X536" s="390"/>
      <c r="Y536" s="195"/>
      <c r="Z536" s="195"/>
      <c r="AA536" s="195"/>
      <c r="AB536" s="195"/>
      <c r="AC536" s="8"/>
      <c r="AD536" s="8"/>
      <c r="AE536" s="8"/>
      <c r="AF536" s="8"/>
      <c r="AG536" s="202"/>
      <c r="AH536" s="202"/>
      <c r="AI536" s="202"/>
      <c r="AJ536" s="202"/>
      <c r="AK536" s="8"/>
      <c r="AL536" s="8"/>
      <c r="AM536" s="8"/>
      <c r="AN536" s="8"/>
      <c r="AO536" s="8"/>
      <c r="AP536" s="8"/>
      <c r="AQ536" s="8"/>
      <c r="AR536" s="8"/>
      <c r="AS536" s="8"/>
      <c r="AT536" s="8"/>
      <c r="AU536" s="8"/>
      <c r="AV536" s="8"/>
    </row>
    <row r="537">
      <c r="A537" s="209"/>
      <c r="B537" s="210"/>
      <c r="C537" s="390"/>
      <c r="D537" s="209"/>
      <c r="E537" s="210"/>
      <c r="F537" s="390"/>
      <c r="G537" s="209"/>
      <c r="H537" s="210"/>
      <c r="I537" s="390"/>
      <c r="J537" s="209"/>
      <c r="K537" s="210"/>
      <c r="L537" s="390"/>
      <c r="M537" s="209"/>
      <c r="N537" s="210"/>
      <c r="O537" s="390"/>
      <c r="P537" s="209"/>
      <c r="Q537" s="210"/>
      <c r="R537" s="390"/>
      <c r="S537" s="209"/>
      <c r="T537" s="210"/>
      <c r="U537" s="390"/>
      <c r="V537" s="209"/>
      <c r="W537" s="210"/>
      <c r="X537" s="390"/>
      <c r="Y537" s="195"/>
      <c r="Z537" s="195"/>
      <c r="AA537" s="195"/>
      <c r="AB537" s="195"/>
      <c r="AC537" s="8"/>
      <c r="AD537" s="8"/>
      <c r="AE537" s="8"/>
      <c r="AF537" s="8"/>
      <c r="AG537" s="202"/>
      <c r="AH537" s="202"/>
      <c r="AI537" s="202"/>
      <c r="AJ537" s="202"/>
      <c r="AK537" s="8"/>
      <c r="AL537" s="8"/>
      <c r="AM537" s="8"/>
      <c r="AN537" s="8"/>
      <c r="AO537" s="8"/>
      <c r="AP537" s="8"/>
      <c r="AQ537" s="8"/>
      <c r="AR537" s="8"/>
      <c r="AS537" s="8"/>
      <c r="AT537" s="8"/>
      <c r="AU537" s="8"/>
      <c r="AV537" s="8"/>
    </row>
    <row r="538">
      <c r="A538" s="209"/>
      <c r="B538" s="210"/>
      <c r="C538" s="390"/>
      <c r="D538" s="209"/>
      <c r="E538" s="210"/>
      <c r="F538" s="390"/>
      <c r="G538" s="209"/>
      <c r="H538" s="210"/>
      <c r="I538" s="390"/>
      <c r="J538" s="209"/>
      <c r="K538" s="210"/>
      <c r="L538" s="390"/>
      <c r="M538" s="209"/>
      <c r="N538" s="210"/>
      <c r="O538" s="390"/>
      <c r="P538" s="209"/>
      <c r="Q538" s="210"/>
      <c r="R538" s="390"/>
      <c r="S538" s="209"/>
      <c r="T538" s="210"/>
      <c r="U538" s="390"/>
      <c r="V538" s="209"/>
      <c r="W538" s="210"/>
      <c r="X538" s="390"/>
      <c r="Y538" s="195"/>
      <c r="Z538" s="195"/>
      <c r="AA538" s="195"/>
      <c r="AB538" s="195"/>
      <c r="AC538" s="8"/>
      <c r="AD538" s="8"/>
      <c r="AE538" s="8"/>
      <c r="AF538" s="8"/>
      <c r="AG538" s="202"/>
      <c r="AH538" s="202"/>
      <c r="AI538" s="202"/>
      <c r="AJ538" s="202"/>
      <c r="AK538" s="8"/>
      <c r="AL538" s="8"/>
      <c r="AM538" s="8"/>
      <c r="AN538" s="8"/>
      <c r="AO538" s="8"/>
      <c r="AP538" s="8"/>
      <c r="AQ538" s="8"/>
      <c r="AR538" s="8"/>
      <c r="AS538" s="8"/>
      <c r="AT538" s="8"/>
      <c r="AU538" s="8"/>
      <c r="AV538" s="8"/>
    </row>
    <row r="539">
      <c r="A539" s="209"/>
      <c r="B539" s="210"/>
      <c r="C539" s="390"/>
      <c r="D539" s="209"/>
      <c r="E539" s="210"/>
      <c r="F539" s="390"/>
      <c r="G539" s="209"/>
      <c r="H539" s="210"/>
      <c r="I539" s="390"/>
      <c r="J539" s="209"/>
      <c r="K539" s="210"/>
      <c r="L539" s="390"/>
      <c r="M539" s="209"/>
      <c r="N539" s="210"/>
      <c r="O539" s="390"/>
      <c r="P539" s="209"/>
      <c r="Q539" s="210"/>
      <c r="R539" s="390"/>
      <c r="S539" s="209"/>
      <c r="T539" s="210"/>
      <c r="U539" s="390"/>
      <c r="V539" s="209"/>
      <c r="W539" s="210"/>
      <c r="X539" s="390"/>
      <c r="Y539" s="195"/>
      <c r="Z539" s="195"/>
      <c r="AA539" s="195"/>
      <c r="AB539" s="195"/>
      <c r="AC539" s="8"/>
      <c r="AD539" s="8"/>
      <c r="AE539" s="8"/>
      <c r="AF539" s="8"/>
      <c r="AG539" s="202"/>
      <c r="AH539" s="202"/>
      <c r="AI539" s="202"/>
      <c r="AJ539" s="202"/>
      <c r="AK539" s="8"/>
      <c r="AL539" s="8"/>
      <c r="AM539" s="8"/>
      <c r="AN539" s="8"/>
      <c r="AO539" s="8"/>
      <c r="AP539" s="8"/>
      <c r="AQ539" s="8"/>
      <c r="AR539" s="8"/>
      <c r="AS539" s="8"/>
      <c r="AT539" s="8"/>
      <c r="AU539" s="8"/>
      <c r="AV539" s="8"/>
    </row>
    <row r="540">
      <c r="A540" s="209"/>
      <c r="B540" s="210"/>
      <c r="C540" s="390"/>
      <c r="D540" s="209"/>
      <c r="E540" s="210"/>
      <c r="F540" s="390"/>
      <c r="G540" s="209"/>
      <c r="H540" s="210"/>
      <c r="I540" s="390"/>
      <c r="J540" s="209"/>
      <c r="K540" s="210"/>
      <c r="L540" s="390"/>
      <c r="M540" s="209"/>
      <c r="N540" s="210"/>
      <c r="O540" s="390"/>
      <c r="P540" s="209"/>
      <c r="Q540" s="210"/>
      <c r="R540" s="390"/>
      <c r="S540" s="209"/>
      <c r="T540" s="210"/>
      <c r="U540" s="390"/>
      <c r="V540" s="209"/>
      <c r="W540" s="210"/>
      <c r="X540" s="390"/>
      <c r="Y540" s="195"/>
      <c r="Z540" s="195"/>
      <c r="AA540" s="195"/>
      <c r="AB540" s="195"/>
      <c r="AC540" s="8"/>
      <c r="AD540" s="8"/>
      <c r="AE540" s="8"/>
      <c r="AF540" s="8"/>
      <c r="AG540" s="202"/>
      <c r="AH540" s="202"/>
      <c r="AI540" s="202"/>
      <c r="AJ540" s="202"/>
      <c r="AK540" s="8"/>
      <c r="AL540" s="8"/>
      <c r="AM540" s="8"/>
      <c r="AN540" s="8"/>
      <c r="AO540" s="8"/>
      <c r="AP540" s="8"/>
      <c r="AQ540" s="8"/>
      <c r="AR540" s="8"/>
      <c r="AS540" s="8"/>
      <c r="AT540" s="8"/>
      <c r="AU540" s="8"/>
      <c r="AV540" s="8"/>
    </row>
    <row r="541">
      <c r="A541" s="209"/>
      <c r="B541" s="210"/>
      <c r="C541" s="390"/>
      <c r="D541" s="209"/>
      <c r="E541" s="210"/>
      <c r="F541" s="390"/>
      <c r="G541" s="209"/>
      <c r="H541" s="210"/>
      <c r="I541" s="390"/>
      <c r="J541" s="209"/>
      <c r="K541" s="210"/>
      <c r="L541" s="390"/>
      <c r="M541" s="209"/>
      <c r="N541" s="210"/>
      <c r="O541" s="390"/>
      <c r="P541" s="209"/>
      <c r="Q541" s="210"/>
      <c r="R541" s="390"/>
      <c r="S541" s="209"/>
      <c r="T541" s="210"/>
      <c r="U541" s="390"/>
      <c r="V541" s="209"/>
      <c r="W541" s="210"/>
      <c r="X541" s="390"/>
      <c r="Y541" s="195"/>
      <c r="Z541" s="195"/>
      <c r="AA541" s="195"/>
      <c r="AB541" s="195"/>
      <c r="AC541" s="8"/>
      <c r="AD541" s="8"/>
      <c r="AE541" s="8"/>
      <c r="AF541" s="8"/>
      <c r="AG541" s="202"/>
      <c r="AH541" s="202"/>
      <c r="AI541" s="202"/>
      <c r="AJ541" s="202"/>
      <c r="AK541" s="8"/>
      <c r="AL541" s="8"/>
      <c r="AM541" s="8"/>
      <c r="AN541" s="8"/>
      <c r="AO541" s="8"/>
      <c r="AP541" s="8"/>
      <c r="AQ541" s="8"/>
      <c r="AR541" s="8"/>
      <c r="AS541" s="8"/>
      <c r="AT541" s="8"/>
      <c r="AU541" s="8"/>
      <c r="AV541" s="8"/>
    </row>
    <row r="542">
      <c r="A542" s="209"/>
      <c r="B542" s="210"/>
      <c r="C542" s="390"/>
      <c r="D542" s="209"/>
      <c r="E542" s="210"/>
      <c r="F542" s="390"/>
      <c r="G542" s="209"/>
      <c r="H542" s="210"/>
      <c r="I542" s="390"/>
      <c r="J542" s="209"/>
      <c r="K542" s="210"/>
      <c r="L542" s="390"/>
      <c r="M542" s="209"/>
      <c r="N542" s="210"/>
      <c r="O542" s="390"/>
      <c r="P542" s="209"/>
      <c r="Q542" s="210"/>
      <c r="R542" s="390"/>
      <c r="S542" s="209"/>
      <c r="T542" s="210"/>
      <c r="U542" s="390"/>
      <c r="V542" s="209"/>
      <c r="W542" s="210"/>
      <c r="X542" s="390"/>
      <c r="Y542" s="195"/>
      <c r="Z542" s="195"/>
      <c r="AA542" s="195"/>
      <c r="AB542" s="195"/>
      <c r="AC542" s="8"/>
      <c r="AD542" s="8"/>
      <c r="AE542" s="8"/>
      <c r="AF542" s="8"/>
      <c r="AG542" s="202"/>
      <c r="AH542" s="202"/>
      <c r="AI542" s="202"/>
      <c r="AJ542" s="202"/>
      <c r="AK542" s="8"/>
      <c r="AL542" s="8"/>
      <c r="AM542" s="8"/>
      <c r="AN542" s="8"/>
      <c r="AO542" s="8"/>
      <c r="AP542" s="8"/>
      <c r="AQ542" s="8"/>
      <c r="AR542" s="8"/>
      <c r="AS542" s="8"/>
      <c r="AT542" s="8"/>
      <c r="AU542" s="8"/>
      <c r="AV542" s="8"/>
    </row>
    <row r="543">
      <c r="A543" s="209"/>
      <c r="B543" s="210"/>
      <c r="C543" s="390"/>
      <c r="D543" s="209"/>
      <c r="E543" s="210"/>
      <c r="F543" s="390"/>
      <c r="G543" s="209"/>
      <c r="H543" s="210"/>
      <c r="I543" s="390"/>
      <c r="J543" s="209"/>
      <c r="K543" s="210"/>
      <c r="L543" s="390"/>
      <c r="M543" s="209"/>
      <c r="N543" s="210"/>
      <c r="O543" s="390"/>
      <c r="P543" s="209"/>
      <c r="Q543" s="210"/>
      <c r="R543" s="390"/>
      <c r="S543" s="209"/>
      <c r="T543" s="210"/>
      <c r="U543" s="390"/>
      <c r="V543" s="209"/>
      <c r="W543" s="210"/>
      <c r="X543" s="390"/>
      <c r="Y543" s="195"/>
      <c r="Z543" s="195"/>
      <c r="AA543" s="195"/>
      <c r="AB543" s="195"/>
      <c r="AC543" s="8"/>
      <c r="AD543" s="8"/>
      <c r="AE543" s="8"/>
      <c r="AF543" s="8"/>
      <c r="AG543" s="202"/>
      <c r="AH543" s="202"/>
      <c r="AI543" s="202"/>
      <c r="AJ543" s="202"/>
      <c r="AK543" s="8"/>
      <c r="AL543" s="8"/>
      <c r="AM543" s="8"/>
      <c r="AN543" s="8"/>
      <c r="AO543" s="8"/>
      <c r="AP543" s="8"/>
      <c r="AQ543" s="8"/>
      <c r="AR543" s="8"/>
      <c r="AS543" s="8"/>
      <c r="AT543" s="8"/>
      <c r="AU543" s="8"/>
      <c r="AV543" s="8"/>
    </row>
    <row r="544">
      <c r="A544" s="209"/>
      <c r="B544" s="210"/>
      <c r="C544" s="390"/>
      <c r="D544" s="209"/>
      <c r="E544" s="210"/>
      <c r="F544" s="390"/>
      <c r="G544" s="209"/>
      <c r="H544" s="210"/>
      <c r="I544" s="390"/>
      <c r="J544" s="209"/>
      <c r="K544" s="210"/>
      <c r="L544" s="390"/>
      <c r="M544" s="209"/>
      <c r="N544" s="210"/>
      <c r="O544" s="390"/>
      <c r="P544" s="209"/>
      <c r="Q544" s="210"/>
      <c r="R544" s="390"/>
      <c r="S544" s="209"/>
      <c r="T544" s="210"/>
      <c r="U544" s="390"/>
      <c r="V544" s="209"/>
      <c r="W544" s="210"/>
      <c r="X544" s="390"/>
      <c r="Y544" s="195"/>
      <c r="Z544" s="195"/>
      <c r="AA544" s="195"/>
      <c r="AB544" s="195"/>
      <c r="AC544" s="8"/>
      <c r="AD544" s="8"/>
      <c r="AE544" s="8"/>
      <c r="AF544" s="8"/>
      <c r="AG544" s="202"/>
      <c r="AH544" s="202"/>
      <c r="AI544" s="202"/>
      <c r="AJ544" s="202"/>
      <c r="AK544" s="8"/>
      <c r="AL544" s="8"/>
      <c r="AM544" s="8"/>
      <c r="AN544" s="8"/>
      <c r="AO544" s="8"/>
      <c r="AP544" s="8"/>
      <c r="AQ544" s="8"/>
      <c r="AR544" s="8"/>
      <c r="AS544" s="8"/>
      <c r="AT544" s="8"/>
      <c r="AU544" s="8"/>
      <c r="AV544" s="8"/>
    </row>
    <row r="545">
      <c r="A545" s="209"/>
      <c r="B545" s="210"/>
      <c r="C545" s="390"/>
      <c r="D545" s="209"/>
      <c r="E545" s="210"/>
      <c r="F545" s="390"/>
      <c r="G545" s="209"/>
      <c r="H545" s="210"/>
      <c r="I545" s="390"/>
      <c r="J545" s="209"/>
      <c r="K545" s="210"/>
      <c r="L545" s="390"/>
      <c r="M545" s="209"/>
      <c r="N545" s="210"/>
      <c r="O545" s="390"/>
      <c r="P545" s="209"/>
      <c r="Q545" s="210"/>
      <c r="R545" s="390"/>
      <c r="S545" s="209"/>
      <c r="T545" s="210"/>
      <c r="U545" s="390"/>
      <c r="V545" s="209"/>
      <c r="W545" s="210"/>
      <c r="X545" s="390"/>
      <c r="Y545" s="195"/>
      <c r="Z545" s="195"/>
      <c r="AA545" s="195"/>
      <c r="AB545" s="195"/>
      <c r="AC545" s="8"/>
      <c r="AD545" s="8"/>
      <c r="AE545" s="8"/>
      <c r="AF545" s="8"/>
      <c r="AG545" s="202"/>
      <c r="AH545" s="202"/>
      <c r="AI545" s="202"/>
      <c r="AJ545" s="202"/>
      <c r="AK545" s="8"/>
      <c r="AL545" s="8"/>
      <c r="AM545" s="8"/>
      <c r="AN545" s="8"/>
      <c r="AO545" s="8"/>
      <c r="AP545" s="8"/>
      <c r="AQ545" s="8"/>
      <c r="AR545" s="8"/>
      <c r="AS545" s="8"/>
      <c r="AT545" s="8"/>
      <c r="AU545" s="8"/>
      <c r="AV545" s="8"/>
    </row>
    <row r="546">
      <c r="A546" s="209"/>
      <c r="B546" s="210"/>
      <c r="C546" s="390"/>
      <c r="D546" s="209"/>
      <c r="E546" s="210"/>
      <c r="F546" s="390"/>
      <c r="G546" s="209"/>
      <c r="H546" s="210"/>
      <c r="I546" s="390"/>
      <c r="J546" s="209"/>
      <c r="K546" s="210"/>
      <c r="L546" s="390"/>
      <c r="M546" s="209"/>
      <c r="N546" s="210"/>
      <c r="O546" s="390"/>
      <c r="P546" s="209"/>
      <c r="Q546" s="210"/>
      <c r="R546" s="390"/>
      <c r="S546" s="209"/>
      <c r="T546" s="210"/>
      <c r="U546" s="390"/>
      <c r="V546" s="209"/>
      <c r="W546" s="210"/>
      <c r="X546" s="390"/>
      <c r="Y546" s="195"/>
      <c r="Z546" s="195"/>
      <c r="AA546" s="195"/>
      <c r="AB546" s="195"/>
      <c r="AC546" s="8"/>
      <c r="AD546" s="8"/>
      <c r="AE546" s="8"/>
      <c r="AF546" s="8"/>
      <c r="AG546" s="202"/>
      <c r="AH546" s="202"/>
      <c r="AI546" s="202"/>
      <c r="AJ546" s="202"/>
      <c r="AK546" s="8"/>
      <c r="AL546" s="8"/>
      <c r="AM546" s="8"/>
      <c r="AN546" s="8"/>
      <c r="AO546" s="8"/>
      <c r="AP546" s="8"/>
      <c r="AQ546" s="8"/>
      <c r="AR546" s="8"/>
      <c r="AS546" s="8"/>
      <c r="AT546" s="8"/>
      <c r="AU546" s="8"/>
      <c r="AV546" s="8"/>
    </row>
    <row r="547">
      <c r="A547" s="209"/>
      <c r="B547" s="210"/>
      <c r="C547" s="390"/>
      <c r="D547" s="209"/>
      <c r="E547" s="210"/>
      <c r="F547" s="390"/>
      <c r="G547" s="209"/>
      <c r="H547" s="210"/>
      <c r="I547" s="390"/>
      <c r="J547" s="209"/>
      <c r="K547" s="210"/>
      <c r="L547" s="390"/>
      <c r="M547" s="209"/>
      <c r="N547" s="210"/>
      <c r="O547" s="390"/>
      <c r="P547" s="209"/>
      <c r="Q547" s="210"/>
      <c r="R547" s="390"/>
      <c r="S547" s="209"/>
      <c r="T547" s="210"/>
      <c r="U547" s="390"/>
      <c r="V547" s="209"/>
      <c r="W547" s="210"/>
      <c r="X547" s="390"/>
      <c r="Y547" s="195"/>
      <c r="Z547" s="195"/>
      <c r="AA547" s="195"/>
      <c r="AB547" s="195"/>
      <c r="AC547" s="8"/>
      <c r="AD547" s="8"/>
      <c r="AE547" s="8"/>
      <c r="AF547" s="8"/>
      <c r="AG547" s="202"/>
      <c r="AH547" s="202"/>
      <c r="AI547" s="202"/>
      <c r="AJ547" s="202"/>
      <c r="AK547" s="8"/>
      <c r="AL547" s="8"/>
      <c r="AM547" s="8"/>
      <c r="AN547" s="8"/>
      <c r="AO547" s="8"/>
      <c r="AP547" s="8"/>
      <c r="AQ547" s="8"/>
      <c r="AR547" s="8"/>
      <c r="AS547" s="8"/>
      <c r="AT547" s="8"/>
      <c r="AU547" s="8"/>
      <c r="AV547" s="8"/>
    </row>
    <row r="548">
      <c r="A548" s="209"/>
      <c r="B548" s="210"/>
      <c r="C548" s="390"/>
      <c r="D548" s="209"/>
      <c r="E548" s="210"/>
      <c r="F548" s="390"/>
      <c r="G548" s="209"/>
      <c r="H548" s="210"/>
      <c r="I548" s="390"/>
      <c r="J548" s="209"/>
      <c r="K548" s="210"/>
      <c r="L548" s="390"/>
      <c r="M548" s="209"/>
      <c r="N548" s="210"/>
      <c r="O548" s="390"/>
      <c r="P548" s="209"/>
      <c r="Q548" s="210"/>
      <c r="R548" s="390"/>
      <c r="S548" s="209"/>
      <c r="T548" s="210"/>
      <c r="U548" s="390"/>
      <c r="V548" s="209"/>
      <c r="W548" s="210"/>
      <c r="X548" s="390"/>
      <c r="Y548" s="195"/>
      <c r="Z548" s="195"/>
      <c r="AA548" s="195"/>
      <c r="AB548" s="195"/>
      <c r="AC548" s="8"/>
      <c r="AD548" s="8"/>
      <c r="AE548" s="8"/>
      <c r="AF548" s="8"/>
      <c r="AG548" s="202"/>
      <c r="AH548" s="202"/>
      <c r="AI548" s="202"/>
      <c r="AJ548" s="202"/>
      <c r="AK548" s="8"/>
      <c r="AL548" s="8"/>
      <c r="AM548" s="8"/>
      <c r="AN548" s="8"/>
      <c r="AO548" s="8"/>
      <c r="AP548" s="8"/>
      <c r="AQ548" s="8"/>
      <c r="AR548" s="8"/>
      <c r="AS548" s="8"/>
      <c r="AT548" s="8"/>
      <c r="AU548" s="8"/>
      <c r="AV548" s="8"/>
    </row>
    <row r="549">
      <c r="A549" s="209"/>
      <c r="B549" s="210"/>
      <c r="C549" s="390"/>
      <c r="D549" s="209"/>
      <c r="E549" s="210"/>
      <c r="F549" s="390"/>
      <c r="G549" s="209"/>
      <c r="H549" s="210"/>
      <c r="I549" s="390"/>
      <c r="J549" s="209"/>
      <c r="K549" s="210"/>
      <c r="L549" s="390"/>
      <c r="M549" s="209"/>
      <c r="N549" s="210"/>
      <c r="O549" s="390"/>
      <c r="P549" s="209"/>
      <c r="Q549" s="210"/>
      <c r="R549" s="390"/>
      <c r="S549" s="209"/>
      <c r="T549" s="210"/>
      <c r="U549" s="390"/>
      <c r="V549" s="209"/>
      <c r="W549" s="210"/>
      <c r="X549" s="390"/>
      <c r="Y549" s="195"/>
      <c r="Z549" s="195"/>
      <c r="AA549" s="195"/>
      <c r="AB549" s="195"/>
      <c r="AC549" s="8"/>
      <c r="AD549" s="8"/>
      <c r="AE549" s="8"/>
      <c r="AF549" s="8"/>
      <c r="AG549" s="202"/>
      <c r="AH549" s="202"/>
      <c r="AI549" s="202"/>
      <c r="AJ549" s="202"/>
      <c r="AK549" s="8"/>
      <c r="AL549" s="8"/>
      <c r="AM549" s="8"/>
      <c r="AN549" s="8"/>
      <c r="AO549" s="8"/>
      <c r="AP549" s="8"/>
      <c r="AQ549" s="8"/>
      <c r="AR549" s="8"/>
      <c r="AS549" s="8"/>
      <c r="AT549" s="8"/>
      <c r="AU549" s="8"/>
      <c r="AV549" s="8"/>
    </row>
    <row r="550">
      <c r="A550" s="209"/>
      <c r="B550" s="210"/>
      <c r="C550" s="390"/>
      <c r="D550" s="209"/>
      <c r="E550" s="210"/>
      <c r="F550" s="390"/>
      <c r="G550" s="209"/>
      <c r="H550" s="210"/>
      <c r="I550" s="390"/>
      <c r="J550" s="209"/>
      <c r="K550" s="210"/>
      <c r="L550" s="390"/>
      <c r="M550" s="209"/>
      <c r="N550" s="210"/>
      <c r="O550" s="390"/>
      <c r="P550" s="209"/>
      <c r="Q550" s="210"/>
      <c r="R550" s="390"/>
      <c r="S550" s="209"/>
      <c r="T550" s="210"/>
      <c r="U550" s="390"/>
      <c r="V550" s="209"/>
      <c r="W550" s="210"/>
      <c r="X550" s="390"/>
      <c r="Y550" s="195"/>
      <c r="Z550" s="195"/>
      <c r="AA550" s="195"/>
      <c r="AB550" s="195"/>
      <c r="AC550" s="8"/>
      <c r="AD550" s="8"/>
      <c r="AE550" s="8"/>
      <c r="AF550" s="8"/>
      <c r="AG550" s="202"/>
      <c r="AH550" s="202"/>
      <c r="AI550" s="202"/>
      <c r="AJ550" s="202"/>
      <c r="AK550" s="8"/>
      <c r="AL550" s="8"/>
      <c r="AM550" s="8"/>
      <c r="AN550" s="8"/>
      <c r="AO550" s="8"/>
      <c r="AP550" s="8"/>
      <c r="AQ550" s="8"/>
      <c r="AR550" s="8"/>
      <c r="AS550" s="8"/>
      <c r="AT550" s="8"/>
      <c r="AU550" s="8"/>
      <c r="AV550" s="8"/>
    </row>
    <row r="551">
      <c r="A551" s="209"/>
      <c r="B551" s="210"/>
      <c r="C551" s="390"/>
      <c r="D551" s="209"/>
      <c r="E551" s="210"/>
      <c r="F551" s="390"/>
      <c r="G551" s="209"/>
      <c r="H551" s="210"/>
      <c r="I551" s="390"/>
      <c r="J551" s="209"/>
      <c r="K551" s="210"/>
      <c r="L551" s="390"/>
      <c r="M551" s="209"/>
      <c r="N551" s="210"/>
      <c r="O551" s="390"/>
      <c r="P551" s="209"/>
      <c r="Q551" s="210"/>
      <c r="R551" s="390"/>
      <c r="S551" s="209"/>
      <c r="T551" s="210"/>
      <c r="U551" s="390"/>
      <c r="V551" s="209"/>
      <c r="W551" s="210"/>
      <c r="X551" s="390"/>
      <c r="Y551" s="195"/>
      <c r="Z551" s="195"/>
      <c r="AA551" s="195"/>
      <c r="AB551" s="195"/>
      <c r="AC551" s="8"/>
      <c r="AD551" s="8"/>
      <c r="AE551" s="8"/>
      <c r="AF551" s="8"/>
      <c r="AG551" s="202"/>
      <c r="AH551" s="202"/>
      <c r="AI551" s="202"/>
      <c r="AJ551" s="202"/>
      <c r="AK551" s="8"/>
      <c r="AL551" s="8"/>
      <c r="AM551" s="8"/>
      <c r="AN551" s="8"/>
      <c r="AO551" s="8"/>
      <c r="AP551" s="8"/>
      <c r="AQ551" s="8"/>
      <c r="AR551" s="8"/>
      <c r="AS551" s="8"/>
      <c r="AT551" s="8"/>
      <c r="AU551" s="8"/>
      <c r="AV551" s="8"/>
    </row>
    <row r="552">
      <c r="A552" s="209"/>
      <c r="B552" s="210"/>
      <c r="C552" s="390"/>
      <c r="D552" s="209"/>
      <c r="E552" s="210"/>
      <c r="F552" s="390"/>
      <c r="G552" s="209"/>
      <c r="H552" s="210"/>
      <c r="I552" s="390"/>
      <c r="J552" s="209"/>
      <c r="K552" s="210"/>
      <c r="L552" s="390"/>
      <c r="M552" s="209"/>
      <c r="N552" s="210"/>
      <c r="O552" s="390"/>
      <c r="P552" s="209"/>
      <c r="Q552" s="210"/>
      <c r="R552" s="390"/>
      <c r="S552" s="209"/>
      <c r="T552" s="210"/>
      <c r="U552" s="390"/>
      <c r="V552" s="209"/>
      <c r="W552" s="210"/>
      <c r="X552" s="390"/>
      <c r="Y552" s="195"/>
      <c r="Z552" s="195"/>
      <c r="AA552" s="195"/>
      <c r="AB552" s="195"/>
      <c r="AC552" s="8"/>
      <c r="AD552" s="8"/>
      <c r="AE552" s="8"/>
      <c r="AF552" s="8"/>
      <c r="AG552" s="202"/>
      <c r="AH552" s="202"/>
      <c r="AI552" s="202"/>
      <c r="AJ552" s="202"/>
      <c r="AK552" s="8"/>
      <c r="AL552" s="8"/>
      <c r="AM552" s="8"/>
      <c r="AN552" s="8"/>
      <c r="AO552" s="8"/>
      <c r="AP552" s="8"/>
      <c r="AQ552" s="8"/>
      <c r="AR552" s="8"/>
      <c r="AS552" s="8"/>
      <c r="AT552" s="8"/>
      <c r="AU552" s="8"/>
      <c r="AV552" s="8"/>
    </row>
    <row r="553">
      <c r="A553" s="209"/>
      <c r="B553" s="210"/>
      <c r="C553" s="390"/>
      <c r="D553" s="209"/>
      <c r="E553" s="210"/>
      <c r="F553" s="390"/>
      <c r="G553" s="209"/>
      <c r="H553" s="210"/>
      <c r="I553" s="390"/>
      <c r="J553" s="209"/>
      <c r="K553" s="210"/>
      <c r="L553" s="390"/>
      <c r="M553" s="209"/>
      <c r="N553" s="210"/>
      <c r="O553" s="390"/>
      <c r="P553" s="209"/>
      <c r="Q553" s="210"/>
      <c r="R553" s="390"/>
      <c r="S553" s="209"/>
      <c r="T553" s="210"/>
      <c r="U553" s="390"/>
      <c r="V553" s="209"/>
      <c r="W553" s="210"/>
      <c r="X553" s="390"/>
      <c r="Y553" s="195"/>
      <c r="Z553" s="195"/>
      <c r="AA553" s="195"/>
      <c r="AB553" s="195"/>
      <c r="AC553" s="8"/>
      <c r="AD553" s="8"/>
      <c r="AE553" s="8"/>
      <c r="AF553" s="8"/>
      <c r="AG553" s="202"/>
      <c r="AH553" s="202"/>
      <c r="AI553" s="202"/>
      <c r="AJ553" s="202"/>
      <c r="AK553" s="8"/>
      <c r="AL553" s="8"/>
      <c r="AM553" s="8"/>
      <c r="AN553" s="8"/>
      <c r="AO553" s="8"/>
      <c r="AP553" s="8"/>
      <c r="AQ553" s="8"/>
      <c r="AR553" s="8"/>
      <c r="AS553" s="8"/>
      <c r="AT553" s="8"/>
      <c r="AU553" s="8"/>
      <c r="AV553" s="8"/>
    </row>
    <row r="554">
      <c r="A554" s="209"/>
      <c r="B554" s="210"/>
      <c r="C554" s="390"/>
      <c r="D554" s="209"/>
      <c r="E554" s="210"/>
      <c r="F554" s="390"/>
      <c r="G554" s="209"/>
      <c r="H554" s="210"/>
      <c r="I554" s="390"/>
      <c r="J554" s="209"/>
      <c r="K554" s="210"/>
      <c r="L554" s="390"/>
      <c r="M554" s="209"/>
      <c r="N554" s="210"/>
      <c r="O554" s="390"/>
      <c r="P554" s="209"/>
      <c r="Q554" s="210"/>
      <c r="R554" s="390"/>
      <c r="S554" s="209"/>
      <c r="T554" s="210"/>
      <c r="U554" s="390"/>
      <c r="V554" s="209"/>
      <c r="W554" s="210"/>
      <c r="X554" s="390"/>
      <c r="Y554" s="195"/>
      <c r="Z554" s="195"/>
      <c r="AA554" s="195"/>
      <c r="AB554" s="195"/>
      <c r="AC554" s="8"/>
      <c r="AD554" s="8"/>
      <c r="AE554" s="8"/>
      <c r="AF554" s="8"/>
      <c r="AG554" s="202"/>
      <c r="AH554" s="202"/>
      <c r="AI554" s="202"/>
      <c r="AJ554" s="202"/>
      <c r="AK554" s="8"/>
      <c r="AL554" s="8"/>
      <c r="AM554" s="8"/>
      <c r="AN554" s="8"/>
      <c r="AO554" s="8"/>
      <c r="AP554" s="8"/>
      <c r="AQ554" s="8"/>
      <c r="AR554" s="8"/>
      <c r="AS554" s="8"/>
      <c r="AT554" s="8"/>
      <c r="AU554" s="8"/>
      <c r="AV554" s="8"/>
    </row>
    <row r="555">
      <c r="A555" s="209"/>
      <c r="B555" s="210"/>
      <c r="C555" s="390"/>
      <c r="D555" s="209"/>
      <c r="E555" s="210"/>
      <c r="F555" s="390"/>
      <c r="G555" s="209"/>
      <c r="H555" s="210"/>
      <c r="I555" s="390"/>
      <c r="J555" s="209"/>
      <c r="K555" s="210"/>
      <c r="L555" s="390"/>
      <c r="M555" s="209"/>
      <c r="N555" s="210"/>
      <c r="O555" s="390"/>
      <c r="P555" s="209"/>
      <c r="Q555" s="210"/>
      <c r="R555" s="390"/>
      <c r="S555" s="209"/>
      <c r="T555" s="210"/>
      <c r="U555" s="390"/>
      <c r="V555" s="209"/>
      <c r="W555" s="210"/>
      <c r="X555" s="390"/>
      <c r="Y555" s="195"/>
      <c r="Z555" s="195"/>
      <c r="AA555" s="195"/>
      <c r="AB555" s="195"/>
      <c r="AC555" s="8"/>
      <c r="AD555" s="8"/>
      <c r="AE555" s="8"/>
      <c r="AF555" s="8"/>
      <c r="AG555" s="202"/>
      <c r="AH555" s="202"/>
      <c r="AI555" s="202"/>
      <c r="AJ555" s="202"/>
      <c r="AK555" s="8"/>
      <c r="AL555" s="8"/>
      <c r="AM555" s="8"/>
      <c r="AN555" s="8"/>
      <c r="AO555" s="8"/>
      <c r="AP555" s="8"/>
      <c r="AQ555" s="8"/>
      <c r="AR555" s="8"/>
      <c r="AS555" s="8"/>
      <c r="AT555" s="8"/>
      <c r="AU555" s="8"/>
      <c r="AV555" s="8"/>
    </row>
    <row r="556">
      <c r="A556" s="209"/>
      <c r="B556" s="210"/>
      <c r="C556" s="390"/>
      <c r="D556" s="209"/>
      <c r="E556" s="210"/>
      <c r="F556" s="390"/>
      <c r="G556" s="209"/>
      <c r="H556" s="210"/>
      <c r="I556" s="390"/>
      <c r="J556" s="209"/>
      <c r="K556" s="210"/>
      <c r="L556" s="390"/>
      <c r="M556" s="209"/>
      <c r="N556" s="210"/>
      <c r="O556" s="390"/>
      <c r="P556" s="209"/>
      <c r="Q556" s="210"/>
      <c r="R556" s="390"/>
      <c r="S556" s="209"/>
      <c r="T556" s="210"/>
      <c r="U556" s="390"/>
      <c r="V556" s="209"/>
      <c r="W556" s="210"/>
      <c r="X556" s="390"/>
      <c r="Y556" s="195"/>
      <c r="Z556" s="195"/>
      <c r="AA556" s="195"/>
      <c r="AB556" s="195"/>
      <c r="AC556" s="8"/>
      <c r="AD556" s="8"/>
      <c r="AE556" s="8"/>
      <c r="AF556" s="8"/>
      <c r="AG556" s="202"/>
      <c r="AH556" s="202"/>
      <c r="AI556" s="202"/>
      <c r="AJ556" s="202"/>
      <c r="AK556" s="8"/>
      <c r="AL556" s="8"/>
      <c r="AM556" s="8"/>
      <c r="AN556" s="8"/>
      <c r="AO556" s="8"/>
      <c r="AP556" s="8"/>
      <c r="AQ556" s="8"/>
      <c r="AR556" s="8"/>
      <c r="AS556" s="8"/>
      <c r="AT556" s="8"/>
      <c r="AU556" s="8"/>
      <c r="AV556" s="8"/>
    </row>
    <row r="557">
      <c r="A557" s="209"/>
      <c r="B557" s="210"/>
      <c r="C557" s="390"/>
      <c r="D557" s="209"/>
      <c r="E557" s="210"/>
      <c r="F557" s="390"/>
      <c r="G557" s="209"/>
      <c r="H557" s="210"/>
      <c r="I557" s="390"/>
      <c r="J557" s="209"/>
      <c r="K557" s="210"/>
      <c r="L557" s="390"/>
      <c r="M557" s="209"/>
      <c r="N557" s="210"/>
      <c r="O557" s="390"/>
      <c r="P557" s="209"/>
      <c r="Q557" s="210"/>
      <c r="R557" s="390"/>
      <c r="S557" s="209"/>
      <c r="T557" s="210"/>
      <c r="U557" s="390"/>
      <c r="V557" s="209"/>
      <c r="W557" s="210"/>
      <c r="X557" s="390"/>
      <c r="Y557" s="195"/>
      <c r="Z557" s="195"/>
      <c r="AA557" s="195"/>
      <c r="AB557" s="195"/>
      <c r="AC557" s="8"/>
      <c r="AD557" s="8"/>
      <c r="AE557" s="8"/>
      <c r="AF557" s="8"/>
      <c r="AG557" s="202"/>
      <c r="AH557" s="202"/>
      <c r="AI557" s="202"/>
      <c r="AJ557" s="202"/>
      <c r="AK557" s="8"/>
      <c r="AL557" s="8"/>
      <c r="AM557" s="8"/>
      <c r="AN557" s="8"/>
      <c r="AO557" s="8"/>
      <c r="AP557" s="8"/>
      <c r="AQ557" s="8"/>
      <c r="AR557" s="8"/>
      <c r="AS557" s="8"/>
      <c r="AT557" s="8"/>
      <c r="AU557" s="8"/>
      <c r="AV557" s="8"/>
    </row>
    <row r="558">
      <c r="A558" s="209"/>
      <c r="B558" s="210"/>
      <c r="C558" s="390"/>
      <c r="D558" s="209"/>
      <c r="E558" s="210"/>
      <c r="F558" s="390"/>
      <c r="G558" s="209"/>
      <c r="H558" s="210"/>
      <c r="I558" s="390"/>
      <c r="J558" s="209"/>
      <c r="K558" s="210"/>
      <c r="L558" s="390"/>
      <c r="M558" s="209"/>
      <c r="N558" s="210"/>
      <c r="O558" s="390"/>
      <c r="P558" s="209"/>
      <c r="Q558" s="210"/>
      <c r="R558" s="390"/>
      <c r="S558" s="209"/>
      <c r="T558" s="210"/>
      <c r="U558" s="390"/>
      <c r="V558" s="209"/>
      <c r="W558" s="210"/>
      <c r="X558" s="390"/>
      <c r="Y558" s="195"/>
      <c r="Z558" s="195"/>
      <c r="AA558" s="195"/>
      <c r="AB558" s="195"/>
      <c r="AC558" s="8"/>
      <c r="AD558" s="8"/>
      <c r="AE558" s="8"/>
      <c r="AF558" s="8"/>
      <c r="AG558" s="202"/>
      <c r="AH558" s="202"/>
      <c r="AI558" s="202"/>
      <c r="AJ558" s="202"/>
      <c r="AK558" s="8"/>
      <c r="AL558" s="8"/>
      <c r="AM558" s="8"/>
      <c r="AN558" s="8"/>
      <c r="AO558" s="8"/>
      <c r="AP558" s="8"/>
      <c r="AQ558" s="8"/>
      <c r="AR558" s="8"/>
      <c r="AS558" s="8"/>
      <c r="AT558" s="8"/>
      <c r="AU558" s="8"/>
      <c r="AV558" s="8"/>
    </row>
    <row r="559">
      <c r="A559" s="209"/>
      <c r="B559" s="210"/>
      <c r="C559" s="390"/>
      <c r="D559" s="209"/>
      <c r="E559" s="210"/>
      <c r="F559" s="390"/>
      <c r="G559" s="209"/>
      <c r="H559" s="210"/>
      <c r="I559" s="390"/>
      <c r="J559" s="209"/>
      <c r="K559" s="210"/>
      <c r="L559" s="390"/>
      <c r="M559" s="209"/>
      <c r="N559" s="210"/>
      <c r="O559" s="390"/>
      <c r="P559" s="209"/>
      <c r="Q559" s="210"/>
      <c r="R559" s="390"/>
      <c r="S559" s="209"/>
      <c r="T559" s="210"/>
      <c r="U559" s="390"/>
      <c r="V559" s="209"/>
      <c r="W559" s="210"/>
      <c r="X559" s="390"/>
      <c r="Y559" s="195"/>
      <c r="Z559" s="195"/>
      <c r="AA559" s="195"/>
      <c r="AB559" s="195"/>
      <c r="AC559" s="8"/>
      <c r="AD559" s="8"/>
      <c r="AE559" s="8"/>
      <c r="AF559" s="8"/>
      <c r="AG559" s="202"/>
      <c r="AH559" s="202"/>
      <c r="AI559" s="202"/>
      <c r="AJ559" s="202"/>
      <c r="AK559" s="8"/>
      <c r="AL559" s="8"/>
      <c r="AM559" s="8"/>
      <c r="AN559" s="8"/>
      <c r="AO559" s="8"/>
      <c r="AP559" s="8"/>
      <c r="AQ559" s="8"/>
      <c r="AR559" s="8"/>
      <c r="AS559" s="8"/>
      <c r="AT559" s="8"/>
      <c r="AU559" s="8"/>
      <c r="AV559" s="8"/>
    </row>
    <row r="560">
      <c r="A560" s="209"/>
      <c r="B560" s="210"/>
      <c r="C560" s="390"/>
      <c r="D560" s="209"/>
      <c r="E560" s="210"/>
      <c r="F560" s="390"/>
      <c r="G560" s="209"/>
      <c r="H560" s="210"/>
      <c r="I560" s="390"/>
      <c r="J560" s="209"/>
      <c r="K560" s="210"/>
      <c r="L560" s="390"/>
      <c r="M560" s="209"/>
      <c r="N560" s="210"/>
      <c r="O560" s="390"/>
      <c r="P560" s="209"/>
      <c r="Q560" s="210"/>
      <c r="R560" s="390"/>
      <c r="S560" s="209"/>
      <c r="T560" s="210"/>
      <c r="U560" s="390"/>
      <c r="V560" s="209"/>
      <c r="W560" s="210"/>
      <c r="X560" s="390"/>
      <c r="Y560" s="195"/>
      <c r="Z560" s="195"/>
      <c r="AA560" s="195"/>
      <c r="AB560" s="195"/>
      <c r="AC560" s="8"/>
      <c r="AD560" s="8"/>
      <c r="AE560" s="8"/>
      <c r="AF560" s="8"/>
      <c r="AG560" s="202"/>
      <c r="AH560" s="202"/>
      <c r="AI560" s="202"/>
      <c r="AJ560" s="202"/>
      <c r="AK560" s="8"/>
      <c r="AL560" s="8"/>
      <c r="AM560" s="8"/>
      <c r="AN560" s="8"/>
      <c r="AO560" s="8"/>
      <c r="AP560" s="8"/>
      <c r="AQ560" s="8"/>
      <c r="AR560" s="8"/>
      <c r="AS560" s="8"/>
      <c r="AT560" s="8"/>
      <c r="AU560" s="8"/>
      <c r="AV560" s="8"/>
    </row>
    <row r="561">
      <c r="A561" s="209"/>
      <c r="B561" s="210"/>
      <c r="C561" s="390"/>
      <c r="D561" s="209"/>
      <c r="E561" s="210"/>
      <c r="F561" s="390"/>
      <c r="G561" s="209"/>
      <c r="H561" s="210"/>
      <c r="I561" s="390"/>
      <c r="J561" s="209"/>
      <c r="K561" s="210"/>
      <c r="L561" s="390"/>
      <c r="M561" s="209"/>
      <c r="N561" s="210"/>
      <c r="O561" s="390"/>
      <c r="P561" s="209"/>
      <c r="Q561" s="210"/>
      <c r="R561" s="390"/>
      <c r="S561" s="209"/>
      <c r="T561" s="210"/>
      <c r="U561" s="390"/>
      <c r="V561" s="209"/>
      <c r="W561" s="210"/>
      <c r="X561" s="390"/>
      <c r="Y561" s="195"/>
      <c r="Z561" s="195"/>
      <c r="AA561" s="195"/>
      <c r="AB561" s="195"/>
      <c r="AC561" s="8"/>
      <c r="AD561" s="8"/>
      <c r="AE561" s="8"/>
      <c r="AF561" s="8"/>
      <c r="AG561" s="202"/>
      <c r="AH561" s="202"/>
      <c r="AI561" s="202"/>
      <c r="AJ561" s="202"/>
      <c r="AK561" s="8"/>
      <c r="AL561" s="8"/>
      <c r="AM561" s="8"/>
      <c r="AN561" s="8"/>
      <c r="AO561" s="8"/>
      <c r="AP561" s="8"/>
      <c r="AQ561" s="8"/>
      <c r="AR561" s="8"/>
      <c r="AS561" s="8"/>
      <c r="AT561" s="8"/>
      <c r="AU561" s="8"/>
      <c r="AV561" s="8"/>
    </row>
    <row r="562">
      <c r="A562" s="209"/>
      <c r="B562" s="210"/>
      <c r="C562" s="390"/>
      <c r="D562" s="209"/>
      <c r="E562" s="210"/>
      <c r="F562" s="390"/>
      <c r="G562" s="209"/>
      <c r="H562" s="210"/>
      <c r="I562" s="390"/>
      <c r="J562" s="209"/>
      <c r="K562" s="210"/>
      <c r="L562" s="390"/>
      <c r="M562" s="209"/>
      <c r="N562" s="210"/>
      <c r="O562" s="390"/>
      <c r="P562" s="209"/>
      <c r="Q562" s="210"/>
      <c r="R562" s="390"/>
      <c r="S562" s="209"/>
      <c r="T562" s="210"/>
      <c r="U562" s="390"/>
      <c r="V562" s="209"/>
      <c r="W562" s="210"/>
      <c r="X562" s="390"/>
      <c r="Y562" s="195"/>
      <c r="Z562" s="195"/>
      <c r="AA562" s="195"/>
      <c r="AB562" s="195"/>
      <c r="AC562" s="8"/>
      <c r="AD562" s="8"/>
      <c r="AE562" s="8"/>
      <c r="AF562" s="8"/>
      <c r="AG562" s="202"/>
      <c r="AH562" s="202"/>
      <c r="AI562" s="202"/>
      <c r="AJ562" s="202"/>
      <c r="AK562" s="8"/>
      <c r="AL562" s="8"/>
      <c r="AM562" s="8"/>
      <c r="AN562" s="8"/>
      <c r="AO562" s="8"/>
      <c r="AP562" s="8"/>
      <c r="AQ562" s="8"/>
      <c r="AR562" s="8"/>
      <c r="AS562" s="8"/>
      <c r="AT562" s="8"/>
      <c r="AU562" s="8"/>
      <c r="AV562" s="8"/>
    </row>
    <row r="563">
      <c r="A563" s="209"/>
      <c r="B563" s="210"/>
      <c r="C563" s="390"/>
      <c r="D563" s="209"/>
      <c r="E563" s="210"/>
      <c r="F563" s="390"/>
      <c r="G563" s="209"/>
      <c r="H563" s="210"/>
      <c r="I563" s="390"/>
      <c r="J563" s="209"/>
      <c r="K563" s="210"/>
      <c r="L563" s="390"/>
      <c r="M563" s="209"/>
      <c r="N563" s="210"/>
      <c r="O563" s="390"/>
      <c r="P563" s="209"/>
      <c r="Q563" s="210"/>
      <c r="R563" s="390"/>
      <c r="S563" s="209"/>
      <c r="T563" s="210"/>
      <c r="U563" s="390"/>
      <c r="V563" s="209"/>
      <c r="W563" s="210"/>
      <c r="X563" s="390"/>
      <c r="Y563" s="195"/>
      <c r="Z563" s="195"/>
      <c r="AA563" s="195"/>
      <c r="AB563" s="195"/>
      <c r="AC563" s="8"/>
      <c r="AD563" s="8"/>
      <c r="AE563" s="8"/>
      <c r="AF563" s="8"/>
      <c r="AG563" s="202"/>
      <c r="AH563" s="202"/>
      <c r="AI563" s="202"/>
      <c r="AJ563" s="202"/>
      <c r="AK563" s="8"/>
      <c r="AL563" s="8"/>
      <c r="AM563" s="8"/>
      <c r="AN563" s="8"/>
      <c r="AO563" s="8"/>
      <c r="AP563" s="8"/>
      <c r="AQ563" s="8"/>
      <c r="AR563" s="8"/>
      <c r="AS563" s="8"/>
      <c r="AT563" s="8"/>
      <c r="AU563" s="8"/>
      <c r="AV563" s="8"/>
    </row>
    <row r="564">
      <c r="A564" s="209"/>
      <c r="B564" s="210"/>
      <c r="C564" s="390"/>
      <c r="D564" s="209"/>
      <c r="E564" s="210"/>
      <c r="F564" s="390"/>
      <c r="G564" s="209"/>
      <c r="H564" s="210"/>
      <c r="I564" s="390"/>
      <c r="J564" s="209"/>
      <c r="K564" s="210"/>
      <c r="L564" s="390"/>
      <c r="M564" s="209"/>
      <c r="N564" s="210"/>
      <c r="O564" s="390"/>
      <c r="P564" s="209"/>
      <c r="Q564" s="210"/>
      <c r="R564" s="390"/>
      <c r="S564" s="209"/>
      <c r="T564" s="210"/>
      <c r="U564" s="390"/>
      <c r="V564" s="209"/>
      <c r="W564" s="210"/>
      <c r="X564" s="390"/>
      <c r="Y564" s="195"/>
      <c r="Z564" s="195"/>
      <c r="AA564" s="195"/>
      <c r="AB564" s="195"/>
      <c r="AC564" s="8"/>
      <c r="AD564" s="8"/>
      <c r="AE564" s="8"/>
      <c r="AF564" s="8"/>
      <c r="AG564" s="202"/>
      <c r="AH564" s="202"/>
      <c r="AI564" s="202"/>
      <c r="AJ564" s="202"/>
      <c r="AK564" s="8"/>
      <c r="AL564" s="8"/>
      <c r="AM564" s="8"/>
      <c r="AN564" s="8"/>
      <c r="AO564" s="8"/>
      <c r="AP564" s="8"/>
      <c r="AQ564" s="8"/>
      <c r="AR564" s="8"/>
      <c r="AS564" s="8"/>
      <c r="AT564" s="8"/>
      <c r="AU564" s="8"/>
      <c r="AV564" s="8"/>
    </row>
    <row r="565">
      <c r="A565" s="209"/>
      <c r="B565" s="210"/>
      <c r="C565" s="390"/>
      <c r="D565" s="209"/>
      <c r="E565" s="210"/>
      <c r="F565" s="390"/>
      <c r="G565" s="209"/>
      <c r="H565" s="210"/>
      <c r="I565" s="390"/>
      <c r="J565" s="209"/>
      <c r="K565" s="210"/>
      <c r="L565" s="390"/>
      <c r="M565" s="209"/>
      <c r="N565" s="210"/>
      <c r="O565" s="390"/>
      <c r="P565" s="209"/>
      <c r="Q565" s="210"/>
      <c r="R565" s="390"/>
      <c r="S565" s="209"/>
      <c r="T565" s="210"/>
      <c r="U565" s="390"/>
      <c r="V565" s="209"/>
      <c r="W565" s="210"/>
      <c r="X565" s="390"/>
      <c r="Y565" s="195"/>
      <c r="Z565" s="195"/>
      <c r="AA565" s="195"/>
      <c r="AB565" s="195"/>
      <c r="AC565" s="8"/>
      <c r="AD565" s="8"/>
      <c r="AE565" s="8"/>
      <c r="AF565" s="8"/>
      <c r="AG565" s="202"/>
      <c r="AH565" s="202"/>
      <c r="AI565" s="202"/>
      <c r="AJ565" s="202"/>
      <c r="AK565" s="8"/>
      <c r="AL565" s="8"/>
      <c r="AM565" s="8"/>
      <c r="AN565" s="8"/>
      <c r="AO565" s="8"/>
      <c r="AP565" s="8"/>
      <c r="AQ565" s="8"/>
      <c r="AR565" s="8"/>
      <c r="AS565" s="8"/>
      <c r="AT565" s="8"/>
      <c r="AU565" s="8"/>
      <c r="AV565" s="8"/>
    </row>
    <row r="566">
      <c r="A566" s="209"/>
      <c r="B566" s="210"/>
      <c r="C566" s="390"/>
      <c r="D566" s="209"/>
      <c r="E566" s="210"/>
      <c r="F566" s="390"/>
      <c r="G566" s="209"/>
      <c r="H566" s="210"/>
      <c r="I566" s="390"/>
      <c r="J566" s="209"/>
      <c r="K566" s="210"/>
      <c r="L566" s="390"/>
      <c r="M566" s="209"/>
      <c r="N566" s="210"/>
      <c r="O566" s="390"/>
      <c r="P566" s="209"/>
      <c r="Q566" s="210"/>
      <c r="R566" s="390"/>
      <c r="S566" s="209"/>
      <c r="T566" s="210"/>
      <c r="U566" s="390"/>
      <c r="V566" s="209"/>
      <c r="W566" s="210"/>
      <c r="X566" s="390"/>
      <c r="Y566" s="195"/>
      <c r="Z566" s="195"/>
      <c r="AA566" s="195"/>
      <c r="AB566" s="195"/>
      <c r="AC566" s="8"/>
      <c r="AD566" s="8"/>
      <c r="AE566" s="8"/>
      <c r="AF566" s="8"/>
      <c r="AG566" s="202"/>
      <c r="AH566" s="202"/>
      <c r="AI566" s="202"/>
      <c r="AJ566" s="202"/>
      <c r="AK566" s="8"/>
      <c r="AL566" s="8"/>
      <c r="AM566" s="8"/>
      <c r="AN566" s="8"/>
      <c r="AO566" s="8"/>
      <c r="AP566" s="8"/>
      <c r="AQ566" s="8"/>
      <c r="AR566" s="8"/>
      <c r="AS566" s="8"/>
      <c r="AT566" s="8"/>
      <c r="AU566" s="8"/>
      <c r="AV566" s="8"/>
    </row>
    <row r="567">
      <c r="A567" s="209"/>
      <c r="B567" s="210"/>
      <c r="C567" s="390"/>
      <c r="D567" s="209"/>
      <c r="E567" s="210"/>
      <c r="F567" s="390"/>
      <c r="G567" s="209"/>
      <c r="H567" s="210"/>
      <c r="I567" s="390"/>
      <c r="J567" s="209"/>
      <c r="K567" s="210"/>
      <c r="L567" s="390"/>
      <c r="M567" s="209"/>
      <c r="N567" s="210"/>
      <c r="O567" s="390"/>
      <c r="P567" s="209"/>
      <c r="Q567" s="210"/>
      <c r="R567" s="390"/>
      <c r="S567" s="209"/>
      <c r="T567" s="210"/>
      <c r="U567" s="390"/>
      <c r="V567" s="209"/>
      <c r="W567" s="210"/>
      <c r="X567" s="390"/>
      <c r="Y567" s="195"/>
      <c r="Z567" s="195"/>
      <c r="AA567" s="195"/>
      <c r="AB567" s="195"/>
      <c r="AC567" s="8"/>
      <c r="AD567" s="8"/>
      <c r="AE567" s="8"/>
      <c r="AF567" s="8"/>
      <c r="AG567" s="202"/>
      <c r="AH567" s="202"/>
      <c r="AI567" s="202"/>
      <c r="AJ567" s="202"/>
      <c r="AK567" s="8"/>
      <c r="AL567" s="8"/>
      <c r="AM567" s="8"/>
      <c r="AN567" s="8"/>
      <c r="AO567" s="8"/>
      <c r="AP567" s="8"/>
      <c r="AQ567" s="8"/>
      <c r="AR567" s="8"/>
      <c r="AS567" s="8"/>
      <c r="AT567" s="8"/>
      <c r="AU567" s="8"/>
      <c r="AV567" s="8"/>
    </row>
    <row r="568">
      <c r="A568" s="209"/>
      <c r="B568" s="210"/>
      <c r="C568" s="390"/>
      <c r="D568" s="209"/>
      <c r="E568" s="210"/>
      <c r="F568" s="390"/>
      <c r="G568" s="209"/>
      <c r="H568" s="210"/>
      <c r="I568" s="390"/>
      <c r="J568" s="209"/>
      <c r="K568" s="210"/>
      <c r="L568" s="390"/>
      <c r="M568" s="209"/>
      <c r="N568" s="210"/>
      <c r="O568" s="390"/>
      <c r="P568" s="209"/>
      <c r="Q568" s="210"/>
      <c r="R568" s="390"/>
      <c r="S568" s="209"/>
      <c r="T568" s="210"/>
      <c r="U568" s="390"/>
      <c r="V568" s="209"/>
      <c r="W568" s="210"/>
      <c r="X568" s="390"/>
      <c r="Y568" s="195"/>
      <c r="Z568" s="195"/>
      <c r="AA568" s="195"/>
      <c r="AB568" s="195"/>
      <c r="AC568" s="8"/>
      <c r="AD568" s="8"/>
      <c r="AE568" s="8"/>
      <c r="AF568" s="8"/>
      <c r="AG568" s="202"/>
      <c r="AH568" s="202"/>
      <c r="AI568" s="202"/>
      <c r="AJ568" s="202"/>
      <c r="AK568" s="8"/>
      <c r="AL568" s="8"/>
      <c r="AM568" s="8"/>
      <c r="AN568" s="8"/>
      <c r="AO568" s="8"/>
      <c r="AP568" s="8"/>
      <c r="AQ568" s="8"/>
      <c r="AR568" s="8"/>
      <c r="AS568" s="8"/>
      <c r="AT568" s="8"/>
      <c r="AU568" s="8"/>
      <c r="AV568" s="8"/>
    </row>
    <row r="569">
      <c r="A569" s="209"/>
      <c r="B569" s="210"/>
      <c r="C569" s="390"/>
      <c r="D569" s="209"/>
      <c r="E569" s="210"/>
      <c r="F569" s="390"/>
      <c r="G569" s="209"/>
      <c r="H569" s="210"/>
      <c r="I569" s="390"/>
      <c r="J569" s="209"/>
      <c r="K569" s="210"/>
      <c r="L569" s="390"/>
      <c r="M569" s="209"/>
      <c r="N569" s="210"/>
      <c r="O569" s="390"/>
      <c r="P569" s="209"/>
      <c r="Q569" s="210"/>
      <c r="R569" s="390"/>
      <c r="S569" s="209"/>
      <c r="T569" s="210"/>
      <c r="U569" s="390"/>
      <c r="V569" s="209"/>
      <c r="W569" s="210"/>
      <c r="X569" s="390"/>
      <c r="Y569" s="195"/>
      <c r="Z569" s="195"/>
      <c r="AA569" s="195"/>
      <c r="AB569" s="195"/>
      <c r="AC569" s="8"/>
      <c r="AD569" s="8"/>
      <c r="AE569" s="8"/>
      <c r="AF569" s="8"/>
      <c r="AG569" s="202"/>
      <c r="AH569" s="202"/>
      <c r="AI569" s="202"/>
      <c r="AJ569" s="202"/>
      <c r="AK569" s="8"/>
      <c r="AL569" s="8"/>
      <c r="AM569" s="8"/>
      <c r="AN569" s="8"/>
      <c r="AO569" s="8"/>
      <c r="AP569" s="8"/>
      <c r="AQ569" s="8"/>
      <c r="AR569" s="8"/>
      <c r="AS569" s="8"/>
      <c r="AT569" s="8"/>
      <c r="AU569" s="8"/>
      <c r="AV569" s="8"/>
    </row>
    <row r="570">
      <c r="A570" s="209"/>
      <c r="B570" s="210"/>
      <c r="C570" s="390"/>
      <c r="D570" s="209"/>
      <c r="E570" s="210"/>
      <c r="F570" s="390"/>
      <c r="G570" s="209"/>
      <c r="H570" s="210"/>
      <c r="I570" s="390"/>
      <c r="J570" s="209"/>
      <c r="K570" s="210"/>
      <c r="L570" s="390"/>
      <c r="M570" s="209"/>
      <c r="N570" s="210"/>
      <c r="O570" s="390"/>
      <c r="P570" s="209"/>
      <c r="Q570" s="210"/>
      <c r="R570" s="390"/>
      <c r="S570" s="209"/>
      <c r="T570" s="210"/>
      <c r="U570" s="390"/>
      <c r="V570" s="209"/>
      <c r="W570" s="210"/>
      <c r="X570" s="390"/>
      <c r="Y570" s="195"/>
      <c r="Z570" s="195"/>
      <c r="AA570" s="195"/>
      <c r="AB570" s="195"/>
      <c r="AC570" s="8"/>
      <c r="AD570" s="8"/>
      <c r="AE570" s="8"/>
      <c r="AF570" s="8"/>
      <c r="AG570" s="202"/>
      <c r="AH570" s="202"/>
      <c r="AI570" s="202"/>
      <c r="AJ570" s="202"/>
      <c r="AK570" s="8"/>
      <c r="AL570" s="8"/>
      <c r="AM570" s="8"/>
      <c r="AN570" s="8"/>
      <c r="AO570" s="8"/>
      <c r="AP570" s="8"/>
      <c r="AQ570" s="8"/>
      <c r="AR570" s="8"/>
      <c r="AS570" s="8"/>
      <c r="AT570" s="8"/>
      <c r="AU570" s="8"/>
      <c r="AV570" s="8"/>
    </row>
    <row r="571">
      <c r="A571" s="209"/>
      <c r="B571" s="210"/>
      <c r="C571" s="390"/>
      <c r="D571" s="209"/>
      <c r="E571" s="210"/>
      <c r="F571" s="390"/>
      <c r="G571" s="209"/>
      <c r="H571" s="210"/>
      <c r="I571" s="390"/>
      <c r="J571" s="209"/>
      <c r="K571" s="210"/>
      <c r="L571" s="390"/>
      <c r="M571" s="209"/>
      <c r="N571" s="210"/>
      <c r="O571" s="390"/>
      <c r="P571" s="209"/>
      <c r="Q571" s="210"/>
      <c r="R571" s="390"/>
      <c r="S571" s="209"/>
      <c r="T571" s="210"/>
      <c r="U571" s="390"/>
      <c r="V571" s="209"/>
      <c r="W571" s="210"/>
      <c r="X571" s="390"/>
      <c r="Y571" s="195"/>
      <c r="Z571" s="195"/>
      <c r="AA571" s="195"/>
      <c r="AB571" s="195"/>
      <c r="AC571" s="8"/>
      <c r="AD571" s="8"/>
      <c r="AE571" s="8"/>
      <c r="AF571" s="8"/>
      <c r="AG571" s="202"/>
      <c r="AH571" s="202"/>
      <c r="AI571" s="202"/>
      <c r="AJ571" s="202"/>
      <c r="AK571" s="8"/>
      <c r="AL571" s="8"/>
      <c r="AM571" s="8"/>
      <c r="AN571" s="8"/>
      <c r="AO571" s="8"/>
      <c r="AP571" s="8"/>
      <c r="AQ571" s="8"/>
      <c r="AR571" s="8"/>
      <c r="AS571" s="8"/>
      <c r="AT571" s="8"/>
      <c r="AU571" s="8"/>
      <c r="AV571" s="8"/>
    </row>
    <row r="572">
      <c r="A572" s="209"/>
      <c r="B572" s="210"/>
      <c r="C572" s="390"/>
      <c r="D572" s="209"/>
      <c r="E572" s="210"/>
      <c r="F572" s="390"/>
      <c r="G572" s="209"/>
      <c r="H572" s="210"/>
      <c r="I572" s="390"/>
      <c r="J572" s="209"/>
      <c r="K572" s="210"/>
      <c r="L572" s="390"/>
      <c r="M572" s="209"/>
      <c r="N572" s="210"/>
      <c r="O572" s="390"/>
      <c r="P572" s="209"/>
      <c r="Q572" s="210"/>
      <c r="R572" s="390"/>
      <c r="S572" s="209"/>
      <c r="T572" s="210"/>
      <c r="U572" s="390"/>
      <c r="V572" s="209"/>
      <c r="W572" s="210"/>
      <c r="X572" s="390"/>
      <c r="Y572" s="195"/>
      <c r="Z572" s="195"/>
      <c r="AA572" s="195"/>
      <c r="AB572" s="195"/>
      <c r="AC572" s="8"/>
      <c r="AD572" s="8"/>
      <c r="AE572" s="8"/>
      <c r="AF572" s="8"/>
      <c r="AG572" s="202"/>
      <c r="AH572" s="202"/>
      <c r="AI572" s="202"/>
      <c r="AJ572" s="202"/>
      <c r="AK572" s="8"/>
      <c r="AL572" s="8"/>
      <c r="AM572" s="8"/>
      <c r="AN572" s="8"/>
      <c r="AO572" s="8"/>
      <c r="AP572" s="8"/>
      <c r="AQ572" s="8"/>
      <c r="AR572" s="8"/>
      <c r="AS572" s="8"/>
      <c r="AT572" s="8"/>
      <c r="AU572" s="8"/>
      <c r="AV572" s="8"/>
    </row>
    <row r="573">
      <c r="A573" s="209"/>
      <c r="B573" s="210"/>
      <c r="C573" s="390"/>
      <c r="D573" s="209"/>
      <c r="E573" s="210"/>
      <c r="F573" s="390"/>
      <c r="G573" s="209"/>
      <c r="H573" s="210"/>
      <c r="I573" s="390"/>
      <c r="J573" s="209"/>
      <c r="K573" s="210"/>
      <c r="L573" s="390"/>
      <c r="M573" s="209"/>
      <c r="N573" s="210"/>
      <c r="O573" s="390"/>
      <c r="P573" s="209"/>
      <c r="Q573" s="210"/>
      <c r="R573" s="390"/>
      <c r="S573" s="209"/>
      <c r="T573" s="210"/>
      <c r="U573" s="390"/>
      <c r="V573" s="209"/>
      <c r="W573" s="210"/>
      <c r="X573" s="390"/>
      <c r="Y573" s="195"/>
      <c r="Z573" s="195"/>
      <c r="AA573" s="195"/>
      <c r="AB573" s="195"/>
      <c r="AC573" s="8"/>
      <c r="AD573" s="8"/>
      <c r="AE573" s="8"/>
      <c r="AF573" s="8"/>
      <c r="AG573" s="202"/>
      <c r="AH573" s="202"/>
      <c r="AI573" s="202"/>
      <c r="AJ573" s="202"/>
      <c r="AK573" s="8"/>
      <c r="AL573" s="8"/>
      <c r="AM573" s="8"/>
      <c r="AN573" s="8"/>
      <c r="AO573" s="8"/>
      <c r="AP573" s="8"/>
      <c r="AQ573" s="8"/>
      <c r="AR573" s="8"/>
      <c r="AS573" s="8"/>
      <c r="AT573" s="8"/>
      <c r="AU573" s="8"/>
      <c r="AV573" s="8"/>
    </row>
    <row r="574">
      <c r="A574" s="209"/>
      <c r="B574" s="210"/>
      <c r="C574" s="390"/>
      <c r="D574" s="209"/>
      <c r="E574" s="210"/>
      <c r="F574" s="390"/>
      <c r="G574" s="209"/>
      <c r="H574" s="210"/>
      <c r="I574" s="390"/>
      <c r="J574" s="209"/>
      <c r="K574" s="210"/>
      <c r="L574" s="390"/>
      <c r="M574" s="209"/>
      <c r="N574" s="210"/>
      <c r="O574" s="390"/>
      <c r="P574" s="209"/>
      <c r="Q574" s="210"/>
      <c r="R574" s="390"/>
      <c r="S574" s="209"/>
      <c r="T574" s="210"/>
      <c r="U574" s="390"/>
      <c r="V574" s="209"/>
      <c r="W574" s="210"/>
      <c r="X574" s="390"/>
      <c r="Y574" s="195"/>
      <c r="Z574" s="195"/>
      <c r="AA574" s="195"/>
      <c r="AB574" s="195"/>
      <c r="AC574" s="8"/>
      <c r="AD574" s="8"/>
      <c r="AE574" s="8"/>
      <c r="AF574" s="8"/>
      <c r="AG574" s="202"/>
      <c r="AH574" s="202"/>
      <c r="AI574" s="202"/>
      <c r="AJ574" s="202"/>
      <c r="AK574" s="8"/>
      <c r="AL574" s="8"/>
      <c r="AM574" s="8"/>
      <c r="AN574" s="8"/>
      <c r="AO574" s="8"/>
      <c r="AP574" s="8"/>
      <c r="AQ574" s="8"/>
      <c r="AR574" s="8"/>
      <c r="AS574" s="8"/>
      <c r="AT574" s="8"/>
      <c r="AU574" s="8"/>
      <c r="AV574" s="8"/>
    </row>
    <row r="575">
      <c r="A575" s="209"/>
      <c r="B575" s="210"/>
      <c r="C575" s="390"/>
      <c r="D575" s="209"/>
      <c r="E575" s="210"/>
      <c r="F575" s="390"/>
      <c r="G575" s="209"/>
      <c r="H575" s="210"/>
      <c r="I575" s="390"/>
      <c r="J575" s="209"/>
      <c r="K575" s="210"/>
      <c r="L575" s="390"/>
      <c r="M575" s="209"/>
      <c r="N575" s="210"/>
      <c r="O575" s="390"/>
      <c r="P575" s="209"/>
      <c r="Q575" s="210"/>
      <c r="R575" s="390"/>
      <c r="S575" s="209"/>
      <c r="T575" s="210"/>
      <c r="U575" s="390"/>
      <c r="V575" s="209"/>
      <c r="W575" s="210"/>
      <c r="X575" s="390"/>
      <c r="Y575" s="195"/>
      <c r="Z575" s="195"/>
      <c r="AA575" s="195"/>
      <c r="AB575" s="195"/>
      <c r="AC575" s="8"/>
      <c r="AD575" s="8"/>
      <c r="AE575" s="8"/>
      <c r="AF575" s="8"/>
      <c r="AG575" s="202"/>
      <c r="AH575" s="202"/>
      <c r="AI575" s="202"/>
      <c r="AJ575" s="202"/>
      <c r="AK575" s="8"/>
      <c r="AL575" s="8"/>
      <c r="AM575" s="8"/>
      <c r="AN575" s="8"/>
      <c r="AO575" s="8"/>
      <c r="AP575" s="8"/>
      <c r="AQ575" s="8"/>
      <c r="AR575" s="8"/>
      <c r="AS575" s="8"/>
      <c r="AT575" s="8"/>
      <c r="AU575" s="8"/>
      <c r="AV575" s="8"/>
    </row>
    <row r="576">
      <c r="A576" s="209"/>
      <c r="B576" s="210"/>
      <c r="C576" s="390"/>
      <c r="D576" s="209"/>
      <c r="E576" s="210"/>
      <c r="F576" s="390"/>
      <c r="G576" s="209"/>
      <c r="H576" s="210"/>
      <c r="I576" s="390"/>
      <c r="J576" s="209"/>
      <c r="K576" s="210"/>
      <c r="L576" s="390"/>
      <c r="M576" s="209"/>
      <c r="N576" s="210"/>
      <c r="O576" s="390"/>
      <c r="P576" s="209"/>
      <c r="Q576" s="210"/>
      <c r="R576" s="390"/>
      <c r="S576" s="209"/>
      <c r="T576" s="210"/>
      <c r="U576" s="390"/>
      <c r="V576" s="209"/>
      <c r="W576" s="210"/>
      <c r="X576" s="390"/>
      <c r="Y576" s="195"/>
      <c r="Z576" s="195"/>
      <c r="AA576" s="195"/>
      <c r="AB576" s="195"/>
      <c r="AC576" s="8"/>
      <c r="AD576" s="8"/>
      <c r="AE576" s="8"/>
      <c r="AF576" s="8"/>
      <c r="AG576" s="202"/>
      <c r="AH576" s="202"/>
      <c r="AI576" s="202"/>
      <c r="AJ576" s="202"/>
      <c r="AK576" s="8"/>
      <c r="AL576" s="8"/>
      <c r="AM576" s="8"/>
      <c r="AN576" s="8"/>
      <c r="AO576" s="8"/>
      <c r="AP576" s="8"/>
      <c r="AQ576" s="8"/>
      <c r="AR576" s="8"/>
      <c r="AS576" s="8"/>
      <c r="AT576" s="8"/>
      <c r="AU576" s="8"/>
      <c r="AV576" s="8"/>
    </row>
    <row r="577">
      <c r="A577" s="209"/>
      <c r="B577" s="210"/>
      <c r="C577" s="390"/>
      <c r="D577" s="209"/>
      <c r="E577" s="210"/>
      <c r="F577" s="390"/>
      <c r="G577" s="209"/>
      <c r="H577" s="210"/>
      <c r="I577" s="390"/>
      <c r="J577" s="209"/>
      <c r="K577" s="210"/>
      <c r="L577" s="390"/>
      <c r="M577" s="209"/>
      <c r="N577" s="210"/>
      <c r="O577" s="390"/>
      <c r="P577" s="209"/>
      <c r="Q577" s="210"/>
      <c r="R577" s="390"/>
      <c r="S577" s="209"/>
      <c r="T577" s="210"/>
      <c r="U577" s="390"/>
      <c r="V577" s="209"/>
      <c r="W577" s="210"/>
      <c r="X577" s="390"/>
      <c r="Y577" s="195"/>
      <c r="Z577" s="195"/>
      <c r="AA577" s="195"/>
      <c r="AB577" s="195"/>
      <c r="AC577" s="8"/>
      <c r="AD577" s="8"/>
      <c r="AE577" s="8"/>
      <c r="AF577" s="8"/>
      <c r="AG577" s="202"/>
      <c r="AH577" s="202"/>
      <c r="AI577" s="202"/>
      <c r="AJ577" s="202"/>
      <c r="AK577" s="8"/>
      <c r="AL577" s="8"/>
      <c r="AM577" s="8"/>
      <c r="AN577" s="8"/>
      <c r="AO577" s="8"/>
      <c r="AP577" s="8"/>
      <c r="AQ577" s="8"/>
      <c r="AR577" s="8"/>
      <c r="AS577" s="8"/>
      <c r="AT577" s="8"/>
      <c r="AU577" s="8"/>
      <c r="AV577" s="8"/>
    </row>
    <row r="578">
      <c r="A578" s="209"/>
      <c r="B578" s="210"/>
      <c r="C578" s="390"/>
      <c r="D578" s="209"/>
      <c r="E578" s="210"/>
      <c r="F578" s="390"/>
      <c r="G578" s="209"/>
      <c r="H578" s="210"/>
      <c r="I578" s="390"/>
      <c r="J578" s="209"/>
      <c r="K578" s="210"/>
      <c r="L578" s="390"/>
      <c r="M578" s="209"/>
      <c r="N578" s="210"/>
      <c r="O578" s="390"/>
      <c r="P578" s="209"/>
      <c r="Q578" s="210"/>
      <c r="R578" s="390"/>
      <c r="S578" s="209"/>
      <c r="T578" s="210"/>
      <c r="U578" s="390"/>
      <c r="V578" s="209"/>
      <c r="W578" s="210"/>
      <c r="X578" s="390"/>
      <c r="Y578" s="195"/>
      <c r="Z578" s="195"/>
      <c r="AA578" s="195"/>
      <c r="AB578" s="195"/>
      <c r="AC578" s="8"/>
      <c r="AD578" s="8"/>
      <c r="AE578" s="8"/>
      <c r="AF578" s="8"/>
      <c r="AG578" s="202"/>
      <c r="AH578" s="202"/>
      <c r="AI578" s="202"/>
      <c r="AJ578" s="202"/>
      <c r="AK578" s="8"/>
      <c r="AL578" s="8"/>
      <c r="AM578" s="8"/>
      <c r="AN578" s="8"/>
      <c r="AO578" s="8"/>
      <c r="AP578" s="8"/>
      <c r="AQ578" s="8"/>
      <c r="AR578" s="8"/>
      <c r="AS578" s="8"/>
      <c r="AT578" s="8"/>
      <c r="AU578" s="8"/>
      <c r="AV578" s="8"/>
    </row>
    <row r="579">
      <c r="A579" s="209"/>
      <c r="B579" s="210"/>
      <c r="C579" s="390"/>
      <c r="D579" s="209"/>
      <c r="E579" s="210"/>
      <c r="F579" s="390"/>
      <c r="G579" s="209"/>
      <c r="H579" s="210"/>
      <c r="I579" s="390"/>
      <c r="J579" s="209"/>
      <c r="K579" s="210"/>
      <c r="L579" s="390"/>
      <c r="M579" s="209"/>
      <c r="N579" s="210"/>
      <c r="O579" s="390"/>
      <c r="P579" s="209"/>
      <c r="Q579" s="210"/>
      <c r="R579" s="390"/>
      <c r="S579" s="209"/>
      <c r="T579" s="210"/>
      <c r="U579" s="390"/>
      <c r="V579" s="209"/>
      <c r="W579" s="210"/>
      <c r="X579" s="390"/>
      <c r="Y579" s="195"/>
      <c r="Z579" s="195"/>
      <c r="AA579" s="195"/>
      <c r="AB579" s="195"/>
      <c r="AC579" s="8"/>
      <c r="AD579" s="8"/>
      <c r="AE579" s="8"/>
      <c r="AF579" s="8"/>
      <c r="AG579" s="202"/>
      <c r="AH579" s="202"/>
      <c r="AI579" s="202"/>
      <c r="AJ579" s="202"/>
      <c r="AK579" s="8"/>
      <c r="AL579" s="8"/>
      <c r="AM579" s="8"/>
      <c r="AN579" s="8"/>
      <c r="AO579" s="8"/>
      <c r="AP579" s="8"/>
      <c r="AQ579" s="8"/>
      <c r="AR579" s="8"/>
      <c r="AS579" s="8"/>
      <c r="AT579" s="8"/>
      <c r="AU579" s="8"/>
      <c r="AV579" s="8"/>
    </row>
    <row r="580">
      <c r="A580" s="209"/>
      <c r="B580" s="210"/>
      <c r="C580" s="390"/>
      <c r="D580" s="209"/>
      <c r="E580" s="210"/>
      <c r="F580" s="390"/>
      <c r="G580" s="209"/>
      <c r="H580" s="210"/>
      <c r="I580" s="390"/>
      <c r="J580" s="209"/>
      <c r="K580" s="210"/>
      <c r="L580" s="390"/>
      <c r="M580" s="209"/>
      <c r="N580" s="210"/>
      <c r="O580" s="390"/>
      <c r="P580" s="209"/>
      <c r="Q580" s="210"/>
      <c r="R580" s="390"/>
      <c r="S580" s="209"/>
      <c r="T580" s="210"/>
      <c r="U580" s="390"/>
      <c r="V580" s="209"/>
      <c r="W580" s="210"/>
      <c r="X580" s="390"/>
      <c r="Y580" s="195"/>
      <c r="Z580" s="195"/>
      <c r="AA580" s="195"/>
      <c r="AB580" s="195"/>
      <c r="AC580" s="8"/>
      <c r="AD580" s="8"/>
      <c r="AE580" s="8"/>
      <c r="AF580" s="8"/>
      <c r="AG580" s="202"/>
      <c r="AH580" s="202"/>
      <c r="AI580" s="202"/>
      <c r="AJ580" s="202"/>
      <c r="AK580" s="8"/>
      <c r="AL580" s="8"/>
      <c r="AM580" s="8"/>
      <c r="AN580" s="8"/>
      <c r="AO580" s="8"/>
      <c r="AP580" s="8"/>
      <c r="AQ580" s="8"/>
      <c r="AR580" s="8"/>
      <c r="AS580" s="8"/>
      <c r="AT580" s="8"/>
      <c r="AU580" s="8"/>
      <c r="AV580" s="8"/>
    </row>
    <row r="581">
      <c r="A581" s="209"/>
      <c r="B581" s="210"/>
      <c r="C581" s="390"/>
      <c r="D581" s="209"/>
      <c r="E581" s="210"/>
      <c r="F581" s="390"/>
      <c r="G581" s="209"/>
      <c r="H581" s="210"/>
      <c r="I581" s="390"/>
      <c r="J581" s="209"/>
      <c r="K581" s="210"/>
      <c r="L581" s="390"/>
      <c r="M581" s="209"/>
      <c r="N581" s="210"/>
      <c r="O581" s="390"/>
      <c r="P581" s="209"/>
      <c r="Q581" s="210"/>
      <c r="R581" s="390"/>
      <c r="S581" s="209"/>
      <c r="T581" s="210"/>
      <c r="U581" s="390"/>
      <c r="V581" s="209"/>
      <c r="W581" s="210"/>
      <c r="X581" s="390"/>
      <c r="Y581" s="195"/>
      <c r="Z581" s="195"/>
      <c r="AA581" s="195"/>
      <c r="AB581" s="195"/>
      <c r="AC581" s="8"/>
      <c r="AD581" s="8"/>
      <c r="AE581" s="8"/>
      <c r="AF581" s="8"/>
      <c r="AG581" s="202"/>
      <c r="AH581" s="202"/>
      <c r="AI581" s="202"/>
      <c r="AJ581" s="202"/>
      <c r="AK581" s="8"/>
      <c r="AL581" s="8"/>
      <c r="AM581" s="8"/>
      <c r="AN581" s="8"/>
      <c r="AO581" s="8"/>
      <c r="AP581" s="8"/>
      <c r="AQ581" s="8"/>
      <c r="AR581" s="8"/>
      <c r="AS581" s="8"/>
      <c r="AT581" s="8"/>
      <c r="AU581" s="8"/>
      <c r="AV581" s="8"/>
    </row>
    <row r="582">
      <c r="A582" s="209"/>
      <c r="B582" s="210"/>
      <c r="C582" s="390"/>
      <c r="D582" s="209"/>
      <c r="E582" s="210"/>
      <c r="F582" s="390"/>
      <c r="G582" s="209"/>
      <c r="H582" s="210"/>
      <c r="I582" s="390"/>
      <c r="J582" s="209"/>
      <c r="K582" s="210"/>
      <c r="L582" s="390"/>
      <c r="M582" s="209"/>
      <c r="N582" s="210"/>
      <c r="O582" s="390"/>
      <c r="P582" s="209"/>
      <c r="Q582" s="210"/>
      <c r="R582" s="390"/>
      <c r="S582" s="209"/>
      <c r="T582" s="210"/>
      <c r="U582" s="390"/>
      <c r="V582" s="209"/>
      <c r="W582" s="210"/>
      <c r="X582" s="390"/>
      <c r="Y582" s="195"/>
      <c r="Z582" s="195"/>
      <c r="AA582" s="195"/>
      <c r="AB582" s="195"/>
      <c r="AC582" s="8"/>
      <c r="AD582" s="8"/>
      <c r="AE582" s="8"/>
      <c r="AF582" s="8"/>
      <c r="AG582" s="202"/>
      <c r="AH582" s="202"/>
      <c r="AI582" s="202"/>
      <c r="AJ582" s="202"/>
      <c r="AK582" s="8"/>
      <c r="AL582" s="8"/>
      <c r="AM582" s="8"/>
      <c r="AN582" s="8"/>
      <c r="AO582" s="8"/>
      <c r="AP582" s="8"/>
      <c r="AQ582" s="8"/>
      <c r="AR582" s="8"/>
      <c r="AS582" s="8"/>
      <c r="AT582" s="8"/>
      <c r="AU582" s="8"/>
      <c r="AV582" s="8"/>
    </row>
    <row r="583">
      <c r="A583" s="209"/>
      <c r="B583" s="210"/>
      <c r="C583" s="390"/>
      <c r="D583" s="209"/>
      <c r="E583" s="210"/>
      <c r="F583" s="390"/>
      <c r="G583" s="209"/>
      <c r="H583" s="210"/>
      <c r="I583" s="390"/>
      <c r="J583" s="209"/>
      <c r="K583" s="210"/>
      <c r="L583" s="390"/>
      <c r="M583" s="209"/>
      <c r="N583" s="210"/>
      <c r="O583" s="390"/>
      <c r="P583" s="209"/>
      <c r="Q583" s="210"/>
      <c r="R583" s="390"/>
      <c r="S583" s="209"/>
      <c r="T583" s="210"/>
      <c r="U583" s="390"/>
      <c r="V583" s="209"/>
      <c r="W583" s="210"/>
      <c r="X583" s="390"/>
      <c r="Y583" s="195"/>
      <c r="Z583" s="195"/>
      <c r="AA583" s="195"/>
      <c r="AB583" s="195"/>
      <c r="AC583" s="8"/>
      <c r="AD583" s="8"/>
      <c r="AE583" s="8"/>
      <c r="AF583" s="8"/>
      <c r="AG583" s="202"/>
      <c r="AH583" s="202"/>
      <c r="AI583" s="202"/>
      <c r="AJ583" s="202"/>
      <c r="AK583" s="8"/>
      <c r="AL583" s="8"/>
      <c r="AM583" s="8"/>
      <c r="AN583" s="8"/>
      <c r="AO583" s="8"/>
      <c r="AP583" s="8"/>
      <c r="AQ583" s="8"/>
      <c r="AR583" s="8"/>
      <c r="AS583" s="8"/>
      <c r="AT583" s="8"/>
      <c r="AU583" s="8"/>
      <c r="AV583" s="8"/>
    </row>
    <row r="584">
      <c r="A584" s="209"/>
      <c r="B584" s="210"/>
      <c r="C584" s="390"/>
      <c r="D584" s="209"/>
      <c r="E584" s="210"/>
      <c r="F584" s="390"/>
      <c r="G584" s="209"/>
      <c r="H584" s="210"/>
      <c r="I584" s="390"/>
      <c r="J584" s="209"/>
      <c r="K584" s="210"/>
      <c r="L584" s="390"/>
      <c r="M584" s="209"/>
      <c r="N584" s="210"/>
      <c r="O584" s="390"/>
      <c r="P584" s="209"/>
      <c r="Q584" s="210"/>
      <c r="R584" s="390"/>
      <c r="S584" s="209"/>
      <c r="T584" s="210"/>
      <c r="U584" s="390"/>
      <c r="V584" s="209"/>
      <c r="W584" s="210"/>
      <c r="X584" s="390"/>
      <c r="Y584" s="195"/>
      <c r="Z584" s="195"/>
      <c r="AA584" s="195"/>
      <c r="AB584" s="195"/>
      <c r="AC584" s="8"/>
      <c r="AD584" s="8"/>
      <c r="AE584" s="8"/>
      <c r="AF584" s="8"/>
      <c r="AG584" s="202"/>
      <c r="AH584" s="202"/>
      <c r="AI584" s="202"/>
      <c r="AJ584" s="202"/>
      <c r="AK584" s="8"/>
      <c r="AL584" s="8"/>
      <c r="AM584" s="8"/>
      <c r="AN584" s="8"/>
      <c r="AO584" s="8"/>
      <c r="AP584" s="8"/>
      <c r="AQ584" s="8"/>
      <c r="AR584" s="8"/>
      <c r="AS584" s="8"/>
      <c r="AT584" s="8"/>
      <c r="AU584" s="8"/>
      <c r="AV584" s="8"/>
    </row>
    <row r="585">
      <c r="A585" s="209"/>
      <c r="B585" s="210"/>
      <c r="C585" s="390"/>
      <c r="D585" s="209"/>
      <c r="E585" s="210"/>
      <c r="F585" s="390"/>
      <c r="G585" s="209"/>
      <c r="H585" s="210"/>
      <c r="I585" s="390"/>
      <c r="J585" s="209"/>
      <c r="K585" s="210"/>
      <c r="L585" s="390"/>
      <c r="M585" s="209"/>
      <c r="N585" s="210"/>
      <c r="O585" s="390"/>
      <c r="P585" s="209"/>
      <c r="Q585" s="210"/>
      <c r="R585" s="390"/>
      <c r="S585" s="209"/>
      <c r="T585" s="210"/>
      <c r="U585" s="390"/>
      <c r="V585" s="209"/>
      <c r="W585" s="210"/>
      <c r="X585" s="390"/>
      <c r="Y585" s="195"/>
      <c r="Z585" s="195"/>
      <c r="AA585" s="195"/>
      <c r="AB585" s="195"/>
      <c r="AC585" s="8"/>
      <c r="AD585" s="8"/>
      <c r="AE585" s="8"/>
      <c r="AF585" s="8"/>
      <c r="AG585" s="202"/>
      <c r="AH585" s="202"/>
      <c r="AI585" s="202"/>
      <c r="AJ585" s="202"/>
      <c r="AK585" s="8"/>
      <c r="AL585" s="8"/>
      <c r="AM585" s="8"/>
      <c r="AN585" s="8"/>
      <c r="AO585" s="8"/>
      <c r="AP585" s="8"/>
      <c r="AQ585" s="8"/>
      <c r="AR585" s="8"/>
      <c r="AS585" s="8"/>
      <c r="AT585" s="8"/>
      <c r="AU585" s="8"/>
      <c r="AV585" s="8"/>
    </row>
    <row r="586">
      <c r="A586" s="209"/>
      <c r="B586" s="210"/>
      <c r="C586" s="390"/>
      <c r="D586" s="209"/>
      <c r="E586" s="210"/>
      <c r="F586" s="390"/>
      <c r="G586" s="209"/>
      <c r="H586" s="210"/>
      <c r="I586" s="390"/>
      <c r="J586" s="209"/>
      <c r="K586" s="210"/>
      <c r="L586" s="390"/>
      <c r="M586" s="209"/>
      <c r="N586" s="210"/>
      <c r="O586" s="390"/>
      <c r="P586" s="209"/>
      <c r="Q586" s="210"/>
      <c r="R586" s="390"/>
      <c r="S586" s="209"/>
      <c r="T586" s="210"/>
      <c r="U586" s="390"/>
      <c r="V586" s="209"/>
      <c r="W586" s="210"/>
      <c r="X586" s="390"/>
      <c r="Y586" s="195"/>
      <c r="Z586" s="195"/>
      <c r="AA586" s="195"/>
      <c r="AB586" s="195"/>
      <c r="AC586" s="8"/>
      <c r="AD586" s="8"/>
      <c r="AE586" s="8"/>
      <c r="AF586" s="8"/>
      <c r="AG586" s="202"/>
      <c r="AH586" s="202"/>
      <c r="AI586" s="202"/>
      <c r="AJ586" s="202"/>
      <c r="AK586" s="8"/>
      <c r="AL586" s="8"/>
      <c r="AM586" s="8"/>
      <c r="AN586" s="8"/>
      <c r="AO586" s="8"/>
      <c r="AP586" s="8"/>
      <c r="AQ586" s="8"/>
      <c r="AR586" s="8"/>
      <c r="AS586" s="8"/>
      <c r="AT586" s="8"/>
      <c r="AU586" s="8"/>
      <c r="AV586" s="8"/>
    </row>
    <row r="587">
      <c r="A587" s="209"/>
      <c r="B587" s="210"/>
      <c r="C587" s="390"/>
      <c r="D587" s="209"/>
      <c r="E587" s="210"/>
      <c r="F587" s="390"/>
      <c r="G587" s="209"/>
      <c r="H587" s="210"/>
      <c r="I587" s="390"/>
      <c r="J587" s="209"/>
      <c r="K587" s="210"/>
      <c r="L587" s="390"/>
      <c r="M587" s="209"/>
      <c r="N587" s="210"/>
      <c r="O587" s="390"/>
      <c r="P587" s="209"/>
      <c r="Q587" s="210"/>
      <c r="R587" s="390"/>
      <c r="S587" s="209"/>
      <c r="T587" s="210"/>
      <c r="U587" s="390"/>
      <c r="V587" s="209"/>
      <c r="W587" s="210"/>
      <c r="X587" s="390"/>
      <c r="Y587" s="195"/>
      <c r="Z587" s="195"/>
      <c r="AA587" s="195"/>
      <c r="AB587" s="195"/>
      <c r="AC587" s="8"/>
      <c r="AD587" s="8"/>
      <c r="AE587" s="8"/>
      <c r="AF587" s="8"/>
      <c r="AG587" s="202"/>
      <c r="AH587" s="202"/>
      <c r="AI587" s="202"/>
      <c r="AJ587" s="202"/>
      <c r="AK587" s="8"/>
      <c r="AL587" s="8"/>
      <c r="AM587" s="8"/>
      <c r="AN587" s="8"/>
      <c r="AO587" s="8"/>
      <c r="AP587" s="8"/>
      <c r="AQ587" s="8"/>
      <c r="AR587" s="8"/>
      <c r="AS587" s="8"/>
      <c r="AT587" s="8"/>
      <c r="AU587" s="8"/>
      <c r="AV587" s="8"/>
    </row>
    <row r="588">
      <c r="A588" s="209"/>
      <c r="B588" s="210"/>
      <c r="C588" s="390"/>
      <c r="D588" s="209"/>
      <c r="E588" s="210"/>
      <c r="F588" s="390"/>
      <c r="G588" s="209"/>
      <c r="H588" s="210"/>
      <c r="I588" s="390"/>
      <c r="J588" s="209"/>
      <c r="K588" s="210"/>
      <c r="L588" s="390"/>
      <c r="M588" s="209"/>
      <c r="N588" s="210"/>
      <c r="O588" s="390"/>
      <c r="P588" s="209"/>
      <c r="Q588" s="210"/>
      <c r="R588" s="390"/>
      <c r="S588" s="209"/>
      <c r="T588" s="210"/>
      <c r="U588" s="390"/>
      <c r="V588" s="209"/>
      <c r="W588" s="210"/>
      <c r="X588" s="390"/>
      <c r="Y588" s="195"/>
      <c r="Z588" s="195"/>
      <c r="AA588" s="195"/>
      <c r="AB588" s="195"/>
      <c r="AC588" s="8"/>
      <c r="AD588" s="8"/>
      <c r="AE588" s="8"/>
      <c r="AF588" s="8"/>
      <c r="AG588" s="202"/>
      <c r="AH588" s="202"/>
      <c r="AI588" s="202"/>
      <c r="AJ588" s="202"/>
      <c r="AK588" s="8"/>
      <c r="AL588" s="8"/>
      <c r="AM588" s="8"/>
      <c r="AN588" s="8"/>
      <c r="AO588" s="8"/>
      <c r="AP588" s="8"/>
      <c r="AQ588" s="8"/>
      <c r="AR588" s="8"/>
      <c r="AS588" s="8"/>
      <c r="AT588" s="8"/>
      <c r="AU588" s="8"/>
      <c r="AV588" s="8"/>
    </row>
    <row r="589">
      <c r="A589" s="209"/>
      <c r="B589" s="210"/>
      <c r="C589" s="390"/>
      <c r="D589" s="209"/>
      <c r="E589" s="210"/>
      <c r="F589" s="390"/>
      <c r="G589" s="209"/>
      <c r="H589" s="210"/>
      <c r="I589" s="390"/>
      <c r="J589" s="209"/>
      <c r="K589" s="210"/>
      <c r="L589" s="390"/>
      <c r="M589" s="209"/>
      <c r="N589" s="210"/>
      <c r="O589" s="390"/>
      <c r="P589" s="209"/>
      <c r="Q589" s="210"/>
      <c r="R589" s="390"/>
      <c r="S589" s="209"/>
      <c r="T589" s="210"/>
      <c r="U589" s="390"/>
      <c r="V589" s="209"/>
      <c r="W589" s="210"/>
      <c r="X589" s="390"/>
      <c r="Y589" s="195"/>
      <c r="Z589" s="195"/>
      <c r="AA589" s="195"/>
      <c r="AB589" s="195"/>
      <c r="AC589" s="8"/>
      <c r="AD589" s="8"/>
      <c r="AE589" s="8"/>
      <c r="AF589" s="8"/>
      <c r="AG589" s="202"/>
      <c r="AH589" s="202"/>
      <c r="AI589" s="202"/>
      <c r="AJ589" s="202"/>
      <c r="AK589" s="8"/>
      <c r="AL589" s="8"/>
      <c r="AM589" s="8"/>
      <c r="AN589" s="8"/>
      <c r="AO589" s="8"/>
      <c r="AP589" s="8"/>
      <c r="AQ589" s="8"/>
      <c r="AR589" s="8"/>
      <c r="AS589" s="8"/>
      <c r="AT589" s="8"/>
      <c r="AU589" s="8"/>
      <c r="AV589" s="8"/>
    </row>
    <row r="590">
      <c r="A590" s="209"/>
      <c r="B590" s="210"/>
      <c r="C590" s="390"/>
      <c r="D590" s="209"/>
      <c r="E590" s="210"/>
      <c r="F590" s="390"/>
      <c r="G590" s="209"/>
      <c r="H590" s="210"/>
      <c r="I590" s="390"/>
      <c r="J590" s="209"/>
      <c r="K590" s="210"/>
      <c r="L590" s="390"/>
      <c r="M590" s="209"/>
      <c r="N590" s="210"/>
      <c r="O590" s="390"/>
      <c r="P590" s="209"/>
      <c r="Q590" s="210"/>
      <c r="R590" s="390"/>
      <c r="S590" s="209"/>
      <c r="T590" s="210"/>
      <c r="U590" s="390"/>
      <c r="V590" s="209"/>
      <c r="W590" s="210"/>
      <c r="X590" s="390"/>
      <c r="Y590" s="195"/>
      <c r="Z590" s="195"/>
      <c r="AA590" s="195"/>
      <c r="AB590" s="195"/>
      <c r="AC590" s="8"/>
      <c r="AD590" s="8"/>
      <c r="AE590" s="8"/>
      <c r="AF590" s="8"/>
      <c r="AG590" s="202"/>
      <c r="AH590" s="202"/>
      <c r="AI590" s="202"/>
      <c r="AJ590" s="202"/>
      <c r="AK590" s="8"/>
      <c r="AL590" s="8"/>
      <c r="AM590" s="8"/>
      <c r="AN590" s="8"/>
      <c r="AO590" s="8"/>
      <c r="AP590" s="8"/>
      <c r="AQ590" s="8"/>
      <c r="AR590" s="8"/>
      <c r="AS590" s="8"/>
      <c r="AT590" s="8"/>
      <c r="AU590" s="8"/>
      <c r="AV590" s="8"/>
    </row>
    <row r="591">
      <c r="A591" s="209"/>
      <c r="B591" s="210"/>
      <c r="C591" s="390"/>
      <c r="D591" s="209"/>
      <c r="E591" s="210"/>
      <c r="F591" s="390"/>
      <c r="G591" s="209"/>
      <c r="H591" s="210"/>
      <c r="I591" s="390"/>
      <c r="J591" s="209"/>
      <c r="K591" s="210"/>
      <c r="L591" s="390"/>
      <c r="M591" s="209"/>
      <c r="N591" s="210"/>
      <c r="O591" s="390"/>
      <c r="P591" s="209"/>
      <c r="Q591" s="210"/>
      <c r="R591" s="390"/>
      <c r="S591" s="209"/>
      <c r="T591" s="210"/>
      <c r="U591" s="390"/>
      <c r="V591" s="209"/>
      <c r="W591" s="210"/>
      <c r="X591" s="390"/>
      <c r="Y591" s="195"/>
      <c r="Z591" s="195"/>
      <c r="AA591" s="195"/>
      <c r="AB591" s="195"/>
      <c r="AC591" s="8"/>
      <c r="AD591" s="8"/>
      <c r="AE591" s="8"/>
      <c r="AF591" s="8"/>
      <c r="AG591" s="202"/>
      <c r="AH591" s="202"/>
      <c r="AI591" s="202"/>
      <c r="AJ591" s="202"/>
      <c r="AK591" s="8"/>
      <c r="AL591" s="8"/>
      <c r="AM591" s="8"/>
      <c r="AN591" s="8"/>
      <c r="AO591" s="8"/>
      <c r="AP591" s="8"/>
      <c r="AQ591" s="8"/>
      <c r="AR591" s="8"/>
      <c r="AS591" s="8"/>
      <c r="AT591" s="8"/>
      <c r="AU591" s="8"/>
      <c r="AV591" s="8"/>
    </row>
    <row r="592">
      <c r="A592" s="209"/>
      <c r="B592" s="210"/>
      <c r="C592" s="390"/>
      <c r="D592" s="209"/>
      <c r="E592" s="210"/>
      <c r="F592" s="390"/>
      <c r="G592" s="209"/>
      <c r="H592" s="210"/>
      <c r="I592" s="390"/>
      <c r="J592" s="209"/>
      <c r="K592" s="210"/>
      <c r="L592" s="390"/>
      <c r="M592" s="209"/>
      <c r="N592" s="210"/>
      <c r="O592" s="390"/>
      <c r="P592" s="209"/>
      <c r="Q592" s="210"/>
      <c r="R592" s="390"/>
      <c r="S592" s="209"/>
      <c r="T592" s="210"/>
      <c r="U592" s="390"/>
      <c r="V592" s="209"/>
      <c r="W592" s="210"/>
      <c r="X592" s="390"/>
      <c r="Y592" s="195"/>
      <c r="Z592" s="195"/>
      <c r="AA592" s="195"/>
      <c r="AB592" s="195"/>
      <c r="AC592" s="8"/>
      <c r="AD592" s="8"/>
      <c r="AE592" s="8"/>
      <c r="AF592" s="8"/>
      <c r="AG592" s="202"/>
      <c r="AH592" s="202"/>
      <c r="AI592" s="202"/>
      <c r="AJ592" s="202"/>
      <c r="AK592" s="8"/>
      <c r="AL592" s="8"/>
      <c r="AM592" s="8"/>
      <c r="AN592" s="8"/>
      <c r="AO592" s="8"/>
      <c r="AP592" s="8"/>
      <c r="AQ592" s="8"/>
      <c r="AR592" s="8"/>
      <c r="AS592" s="8"/>
      <c r="AT592" s="8"/>
      <c r="AU592" s="8"/>
      <c r="AV592" s="8"/>
    </row>
    <row r="593">
      <c r="A593" s="209"/>
      <c r="B593" s="210"/>
      <c r="C593" s="390"/>
      <c r="D593" s="209"/>
      <c r="E593" s="210"/>
      <c r="F593" s="390"/>
      <c r="G593" s="209"/>
      <c r="H593" s="210"/>
      <c r="I593" s="390"/>
      <c r="J593" s="209"/>
      <c r="K593" s="210"/>
      <c r="L593" s="390"/>
      <c r="M593" s="209"/>
      <c r="N593" s="210"/>
      <c r="O593" s="390"/>
      <c r="P593" s="209"/>
      <c r="Q593" s="210"/>
      <c r="R593" s="390"/>
      <c r="S593" s="209"/>
      <c r="T593" s="210"/>
      <c r="U593" s="390"/>
      <c r="V593" s="209"/>
      <c r="W593" s="210"/>
      <c r="X593" s="390"/>
      <c r="Y593" s="195"/>
      <c r="Z593" s="195"/>
      <c r="AA593" s="195"/>
      <c r="AB593" s="195"/>
      <c r="AC593" s="8"/>
      <c r="AD593" s="8"/>
      <c r="AE593" s="8"/>
      <c r="AF593" s="8"/>
      <c r="AG593" s="202"/>
      <c r="AH593" s="202"/>
      <c r="AI593" s="202"/>
      <c r="AJ593" s="202"/>
      <c r="AK593" s="8"/>
      <c r="AL593" s="8"/>
      <c r="AM593" s="8"/>
      <c r="AN593" s="8"/>
      <c r="AO593" s="8"/>
      <c r="AP593" s="8"/>
      <c r="AQ593" s="8"/>
      <c r="AR593" s="8"/>
      <c r="AS593" s="8"/>
      <c r="AT593" s="8"/>
      <c r="AU593" s="8"/>
      <c r="AV593" s="8"/>
    </row>
    <row r="594">
      <c r="A594" s="209"/>
      <c r="B594" s="210"/>
      <c r="C594" s="390"/>
      <c r="D594" s="209"/>
      <c r="E594" s="210"/>
      <c r="F594" s="390"/>
      <c r="G594" s="209"/>
      <c r="H594" s="210"/>
      <c r="I594" s="390"/>
      <c r="J594" s="209"/>
      <c r="K594" s="210"/>
      <c r="L594" s="390"/>
      <c r="M594" s="209"/>
      <c r="N594" s="210"/>
      <c r="O594" s="390"/>
      <c r="P594" s="209"/>
      <c r="Q594" s="210"/>
      <c r="R594" s="390"/>
      <c r="S594" s="209"/>
      <c r="T594" s="210"/>
      <c r="U594" s="390"/>
      <c r="V594" s="209"/>
      <c r="W594" s="210"/>
      <c r="X594" s="390"/>
      <c r="Y594" s="195"/>
      <c r="Z594" s="195"/>
      <c r="AA594" s="195"/>
      <c r="AB594" s="195"/>
      <c r="AC594" s="8"/>
      <c r="AD594" s="8"/>
      <c r="AE594" s="8"/>
      <c r="AF594" s="8"/>
      <c r="AG594" s="202"/>
      <c r="AH594" s="202"/>
      <c r="AI594" s="202"/>
      <c r="AJ594" s="202"/>
      <c r="AK594" s="8"/>
      <c r="AL594" s="8"/>
      <c r="AM594" s="8"/>
      <c r="AN594" s="8"/>
      <c r="AO594" s="8"/>
      <c r="AP594" s="8"/>
      <c r="AQ594" s="8"/>
      <c r="AR594" s="8"/>
      <c r="AS594" s="8"/>
      <c r="AT594" s="8"/>
      <c r="AU594" s="8"/>
      <c r="AV594" s="8"/>
    </row>
    <row r="595">
      <c r="A595" s="209"/>
      <c r="B595" s="210"/>
      <c r="C595" s="390"/>
      <c r="D595" s="209"/>
      <c r="E595" s="210"/>
      <c r="F595" s="390"/>
      <c r="G595" s="209"/>
      <c r="H595" s="210"/>
      <c r="I595" s="390"/>
      <c r="J595" s="209"/>
      <c r="K595" s="210"/>
      <c r="L595" s="390"/>
      <c r="M595" s="209"/>
      <c r="N595" s="210"/>
      <c r="O595" s="390"/>
      <c r="P595" s="209"/>
      <c r="Q595" s="210"/>
      <c r="R595" s="390"/>
      <c r="S595" s="209"/>
      <c r="T595" s="210"/>
      <c r="U595" s="390"/>
      <c r="V595" s="209"/>
      <c r="W595" s="210"/>
      <c r="X595" s="390"/>
      <c r="Y595" s="195"/>
      <c r="Z595" s="195"/>
      <c r="AA595" s="195"/>
      <c r="AB595" s="195"/>
      <c r="AC595" s="8"/>
      <c r="AD595" s="8"/>
      <c r="AE595" s="8"/>
      <c r="AF595" s="8"/>
      <c r="AG595" s="202"/>
      <c r="AH595" s="202"/>
      <c r="AI595" s="202"/>
      <c r="AJ595" s="202"/>
      <c r="AK595" s="8"/>
      <c r="AL595" s="8"/>
      <c r="AM595" s="8"/>
      <c r="AN595" s="8"/>
      <c r="AO595" s="8"/>
      <c r="AP595" s="8"/>
      <c r="AQ595" s="8"/>
      <c r="AR595" s="8"/>
      <c r="AS595" s="8"/>
      <c r="AT595" s="8"/>
      <c r="AU595" s="8"/>
      <c r="AV595" s="8"/>
    </row>
    <row r="596">
      <c r="A596" s="209"/>
      <c r="B596" s="210"/>
      <c r="C596" s="390"/>
      <c r="D596" s="209"/>
      <c r="E596" s="210"/>
      <c r="F596" s="390"/>
      <c r="G596" s="209"/>
      <c r="H596" s="210"/>
      <c r="I596" s="390"/>
      <c r="J596" s="209"/>
      <c r="K596" s="210"/>
      <c r="L596" s="390"/>
      <c r="M596" s="209"/>
      <c r="N596" s="210"/>
      <c r="O596" s="390"/>
      <c r="P596" s="209"/>
      <c r="Q596" s="210"/>
      <c r="R596" s="390"/>
      <c r="S596" s="209"/>
      <c r="T596" s="210"/>
      <c r="U596" s="390"/>
      <c r="V596" s="209"/>
      <c r="W596" s="210"/>
      <c r="X596" s="390"/>
      <c r="Y596" s="195"/>
      <c r="Z596" s="195"/>
      <c r="AA596" s="195"/>
      <c r="AB596" s="195"/>
      <c r="AC596" s="8"/>
      <c r="AD596" s="8"/>
      <c r="AE596" s="8"/>
      <c r="AF596" s="8"/>
      <c r="AG596" s="202"/>
      <c r="AH596" s="202"/>
      <c r="AI596" s="202"/>
      <c r="AJ596" s="202"/>
      <c r="AK596" s="8"/>
      <c r="AL596" s="8"/>
      <c r="AM596" s="8"/>
      <c r="AN596" s="8"/>
      <c r="AO596" s="8"/>
      <c r="AP596" s="8"/>
      <c r="AQ596" s="8"/>
      <c r="AR596" s="8"/>
      <c r="AS596" s="8"/>
      <c r="AT596" s="8"/>
      <c r="AU596" s="8"/>
      <c r="AV596" s="8"/>
    </row>
    <row r="597">
      <c r="A597" s="209"/>
      <c r="B597" s="210"/>
      <c r="C597" s="390"/>
      <c r="D597" s="209"/>
      <c r="E597" s="210"/>
      <c r="F597" s="390"/>
      <c r="G597" s="209"/>
      <c r="H597" s="210"/>
      <c r="I597" s="390"/>
      <c r="J597" s="209"/>
      <c r="K597" s="210"/>
      <c r="L597" s="390"/>
      <c r="M597" s="209"/>
      <c r="N597" s="210"/>
      <c r="O597" s="390"/>
      <c r="P597" s="209"/>
      <c r="Q597" s="210"/>
      <c r="R597" s="390"/>
      <c r="S597" s="209"/>
      <c r="T597" s="210"/>
      <c r="U597" s="390"/>
      <c r="V597" s="209"/>
      <c r="W597" s="210"/>
      <c r="X597" s="390"/>
      <c r="Y597" s="195"/>
      <c r="Z597" s="195"/>
      <c r="AA597" s="195"/>
      <c r="AB597" s="195"/>
      <c r="AC597" s="8"/>
      <c r="AD597" s="8"/>
      <c r="AE597" s="8"/>
      <c r="AF597" s="8"/>
      <c r="AG597" s="202"/>
      <c r="AH597" s="202"/>
      <c r="AI597" s="202"/>
      <c r="AJ597" s="202"/>
      <c r="AK597" s="8"/>
      <c r="AL597" s="8"/>
      <c r="AM597" s="8"/>
      <c r="AN597" s="8"/>
      <c r="AO597" s="8"/>
      <c r="AP597" s="8"/>
      <c r="AQ597" s="8"/>
      <c r="AR597" s="8"/>
      <c r="AS597" s="8"/>
      <c r="AT597" s="8"/>
      <c r="AU597" s="8"/>
      <c r="AV597" s="8"/>
    </row>
    <row r="598">
      <c r="A598" s="209"/>
      <c r="B598" s="210"/>
      <c r="C598" s="390"/>
      <c r="D598" s="209"/>
      <c r="E598" s="210"/>
      <c r="F598" s="390"/>
      <c r="G598" s="209"/>
      <c r="H598" s="210"/>
      <c r="I598" s="390"/>
      <c r="J598" s="209"/>
      <c r="K598" s="210"/>
      <c r="L598" s="390"/>
      <c r="M598" s="209"/>
      <c r="N598" s="210"/>
      <c r="O598" s="390"/>
      <c r="P598" s="209"/>
      <c r="Q598" s="210"/>
      <c r="R598" s="390"/>
      <c r="S598" s="209"/>
      <c r="T598" s="210"/>
      <c r="U598" s="390"/>
      <c r="V598" s="209"/>
      <c r="W598" s="210"/>
      <c r="X598" s="390"/>
      <c r="Y598" s="195"/>
      <c r="Z598" s="195"/>
      <c r="AA598" s="195"/>
      <c r="AB598" s="195"/>
      <c r="AC598" s="8"/>
      <c r="AD598" s="8"/>
      <c r="AE598" s="8"/>
      <c r="AF598" s="8"/>
      <c r="AG598" s="202"/>
      <c r="AH598" s="202"/>
      <c r="AI598" s="202"/>
      <c r="AJ598" s="202"/>
      <c r="AK598" s="8"/>
      <c r="AL598" s="8"/>
      <c r="AM598" s="8"/>
      <c r="AN598" s="8"/>
      <c r="AO598" s="8"/>
      <c r="AP598" s="8"/>
      <c r="AQ598" s="8"/>
      <c r="AR598" s="8"/>
      <c r="AS598" s="8"/>
      <c r="AT598" s="8"/>
      <c r="AU598" s="8"/>
      <c r="AV598" s="8"/>
    </row>
    <row r="599">
      <c r="A599" s="209"/>
      <c r="B599" s="210"/>
      <c r="C599" s="390"/>
      <c r="D599" s="209"/>
      <c r="E599" s="210"/>
      <c r="F599" s="390"/>
      <c r="G599" s="209"/>
      <c r="H599" s="210"/>
      <c r="I599" s="390"/>
      <c r="J599" s="209"/>
      <c r="K599" s="210"/>
      <c r="L599" s="390"/>
      <c r="M599" s="209"/>
      <c r="N599" s="210"/>
      <c r="O599" s="390"/>
      <c r="P599" s="209"/>
      <c r="Q599" s="210"/>
      <c r="R599" s="390"/>
      <c r="S599" s="209"/>
      <c r="T599" s="210"/>
      <c r="U599" s="390"/>
      <c r="V599" s="209"/>
      <c r="W599" s="210"/>
      <c r="X599" s="390"/>
      <c r="Y599" s="195"/>
      <c r="Z599" s="195"/>
      <c r="AA599" s="195"/>
      <c r="AB599" s="195"/>
      <c r="AC599" s="8"/>
      <c r="AD599" s="8"/>
      <c r="AE599" s="8"/>
      <c r="AF599" s="8"/>
      <c r="AG599" s="202"/>
      <c r="AH599" s="202"/>
      <c r="AI599" s="202"/>
      <c r="AJ599" s="202"/>
      <c r="AK599" s="8"/>
      <c r="AL599" s="8"/>
      <c r="AM599" s="8"/>
      <c r="AN599" s="8"/>
      <c r="AO599" s="8"/>
      <c r="AP599" s="8"/>
      <c r="AQ599" s="8"/>
      <c r="AR599" s="8"/>
      <c r="AS599" s="8"/>
      <c r="AT599" s="8"/>
      <c r="AU599" s="8"/>
      <c r="AV599" s="8"/>
    </row>
    <row r="600">
      <c r="A600" s="209"/>
      <c r="B600" s="210"/>
      <c r="C600" s="390"/>
      <c r="D600" s="209"/>
      <c r="E600" s="210"/>
      <c r="F600" s="390"/>
      <c r="G600" s="209"/>
      <c r="H600" s="210"/>
      <c r="I600" s="390"/>
      <c r="J600" s="209"/>
      <c r="K600" s="210"/>
      <c r="L600" s="390"/>
      <c r="M600" s="209"/>
      <c r="N600" s="210"/>
      <c r="O600" s="390"/>
      <c r="P600" s="209"/>
      <c r="Q600" s="210"/>
      <c r="R600" s="390"/>
      <c r="S600" s="209"/>
      <c r="T600" s="210"/>
      <c r="U600" s="390"/>
      <c r="V600" s="209"/>
      <c r="W600" s="210"/>
      <c r="X600" s="390"/>
      <c r="Y600" s="195"/>
      <c r="Z600" s="195"/>
      <c r="AA600" s="195"/>
      <c r="AB600" s="195"/>
      <c r="AC600" s="8"/>
      <c r="AD600" s="8"/>
      <c r="AE600" s="8"/>
      <c r="AF600" s="8"/>
      <c r="AG600" s="202"/>
      <c r="AH600" s="202"/>
      <c r="AI600" s="202"/>
      <c r="AJ600" s="202"/>
      <c r="AK600" s="8"/>
      <c r="AL600" s="8"/>
      <c r="AM600" s="8"/>
      <c r="AN600" s="8"/>
      <c r="AO600" s="8"/>
      <c r="AP600" s="8"/>
      <c r="AQ600" s="8"/>
      <c r="AR600" s="8"/>
      <c r="AS600" s="8"/>
      <c r="AT600" s="8"/>
      <c r="AU600" s="8"/>
      <c r="AV600" s="8"/>
    </row>
    <row r="601">
      <c r="A601" s="209"/>
      <c r="B601" s="210"/>
      <c r="C601" s="390"/>
      <c r="D601" s="209"/>
      <c r="E601" s="210"/>
      <c r="F601" s="390"/>
      <c r="G601" s="209"/>
      <c r="H601" s="210"/>
      <c r="I601" s="390"/>
      <c r="J601" s="209"/>
      <c r="K601" s="210"/>
      <c r="L601" s="390"/>
      <c r="M601" s="209"/>
      <c r="N601" s="210"/>
      <c r="O601" s="390"/>
      <c r="P601" s="209"/>
      <c r="Q601" s="210"/>
      <c r="R601" s="390"/>
      <c r="S601" s="209"/>
      <c r="T601" s="210"/>
      <c r="U601" s="390"/>
      <c r="V601" s="209"/>
      <c r="W601" s="210"/>
      <c r="X601" s="390"/>
      <c r="Y601" s="195"/>
      <c r="Z601" s="195"/>
      <c r="AA601" s="195"/>
      <c r="AB601" s="195"/>
      <c r="AC601" s="8"/>
      <c r="AD601" s="8"/>
      <c r="AE601" s="8"/>
      <c r="AF601" s="8"/>
      <c r="AG601" s="202"/>
      <c r="AH601" s="202"/>
      <c r="AI601" s="202"/>
      <c r="AJ601" s="202"/>
      <c r="AK601" s="8"/>
      <c r="AL601" s="8"/>
      <c r="AM601" s="8"/>
      <c r="AN601" s="8"/>
      <c r="AO601" s="8"/>
      <c r="AP601" s="8"/>
      <c r="AQ601" s="8"/>
      <c r="AR601" s="8"/>
      <c r="AS601" s="8"/>
      <c r="AT601" s="8"/>
      <c r="AU601" s="8"/>
      <c r="AV601" s="8"/>
    </row>
    <row r="602">
      <c r="A602" s="209"/>
      <c r="B602" s="210"/>
      <c r="C602" s="390"/>
      <c r="D602" s="209"/>
      <c r="E602" s="210"/>
      <c r="F602" s="390"/>
      <c r="G602" s="209"/>
      <c r="H602" s="210"/>
      <c r="I602" s="390"/>
      <c r="J602" s="209"/>
      <c r="K602" s="210"/>
      <c r="L602" s="390"/>
      <c r="M602" s="209"/>
      <c r="N602" s="210"/>
      <c r="O602" s="390"/>
      <c r="P602" s="209"/>
      <c r="Q602" s="210"/>
      <c r="R602" s="390"/>
      <c r="S602" s="209"/>
      <c r="T602" s="210"/>
      <c r="U602" s="390"/>
      <c r="V602" s="209"/>
      <c r="W602" s="210"/>
      <c r="X602" s="390"/>
      <c r="Y602" s="195"/>
      <c r="Z602" s="195"/>
      <c r="AA602" s="195"/>
      <c r="AB602" s="195"/>
      <c r="AC602" s="8"/>
      <c r="AD602" s="8"/>
      <c r="AE602" s="8"/>
      <c r="AF602" s="8"/>
      <c r="AG602" s="202"/>
      <c r="AH602" s="202"/>
      <c r="AI602" s="202"/>
      <c r="AJ602" s="202"/>
      <c r="AK602" s="8"/>
      <c r="AL602" s="8"/>
      <c r="AM602" s="8"/>
      <c r="AN602" s="8"/>
      <c r="AO602" s="8"/>
      <c r="AP602" s="8"/>
      <c r="AQ602" s="8"/>
      <c r="AR602" s="8"/>
      <c r="AS602" s="8"/>
      <c r="AT602" s="8"/>
      <c r="AU602" s="8"/>
      <c r="AV602" s="8"/>
    </row>
    <row r="603">
      <c r="A603" s="209"/>
      <c r="B603" s="210"/>
      <c r="C603" s="390"/>
      <c r="D603" s="209"/>
      <c r="E603" s="210"/>
      <c r="F603" s="390"/>
      <c r="G603" s="209"/>
      <c r="H603" s="210"/>
      <c r="I603" s="390"/>
      <c r="J603" s="209"/>
      <c r="K603" s="210"/>
      <c r="L603" s="390"/>
      <c r="M603" s="209"/>
      <c r="N603" s="210"/>
      <c r="O603" s="390"/>
      <c r="P603" s="209"/>
      <c r="Q603" s="210"/>
      <c r="R603" s="390"/>
      <c r="S603" s="209"/>
      <c r="T603" s="210"/>
      <c r="U603" s="390"/>
      <c r="V603" s="209"/>
      <c r="W603" s="210"/>
      <c r="X603" s="390"/>
      <c r="Y603" s="195"/>
      <c r="Z603" s="195"/>
      <c r="AA603" s="195"/>
      <c r="AB603" s="195"/>
      <c r="AC603" s="8"/>
      <c r="AD603" s="8"/>
      <c r="AE603" s="8"/>
      <c r="AF603" s="8"/>
      <c r="AG603" s="202"/>
      <c r="AH603" s="202"/>
      <c r="AI603" s="202"/>
      <c r="AJ603" s="202"/>
      <c r="AK603" s="8"/>
      <c r="AL603" s="8"/>
      <c r="AM603" s="8"/>
      <c r="AN603" s="8"/>
      <c r="AO603" s="8"/>
      <c r="AP603" s="8"/>
      <c r="AQ603" s="8"/>
      <c r="AR603" s="8"/>
      <c r="AS603" s="8"/>
      <c r="AT603" s="8"/>
      <c r="AU603" s="8"/>
      <c r="AV603" s="8"/>
    </row>
    <row r="604">
      <c r="A604" s="209"/>
      <c r="B604" s="210"/>
      <c r="C604" s="390"/>
      <c r="D604" s="209"/>
      <c r="E604" s="210"/>
      <c r="F604" s="390"/>
      <c r="G604" s="209"/>
      <c r="H604" s="210"/>
      <c r="I604" s="390"/>
      <c r="J604" s="209"/>
      <c r="K604" s="210"/>
      <c r="L604" s="390"/>
      <c r="M604" s="209"/>
      <c r="N604" s="210"/>
      <c r="O604" s="390"/>
      <c r="P604" s="209"/>
      <c r="Q604" s="210"/>
      <c r="R604" s="390"/>
      <c r="S604" s="209"/>
      <c r="T604" s="210"/>
      <c r="U604" s="390"/>
      <c r="V604" s="209"/>
      <c r="W604" s="210"/>
      <c r="X604" s="390"/>
      <c r="Y604" s="195"/>
      <c r="Z604" s="195"/>
      <c r="AA604" s="195"/>
      <c r="AB604" s="195"/>
      <c r="AC604" s="8"/>
      <c r="AD604" s="8"/>
      <c r="AE604" s="8"/>
      <c r="AF604" s="8"/>
      <c r="AG604" s="202"/>
      <c r="AH604" s="202"/>
      <c r="AI604" s="202"/>
      <c r="AJ604" s="202"/>
      <c r="AK604" s="8"/>
      <c r="AL604" s="8"/>
      <c r="AM604" s="8"/>
      <c r="AN604" s="8"/>
      <c r="AO604" s="8"/>
      <c r="AP604" s="8"/>
      <c r="AQ604" s="8"/>
      <c r="AR604" s="8"/>
      <c r="AS604" s="8"/>
      <c r="AT604" s="8"/>
      <c r="AU604" s="8"/>
      <c r="AV604" s="8"/>
    </row>
    <row r="605">
      <c r="A605" s="209"/>
      <c r="B605" s="210"/>
      <c r="C605" s="390"/>
      <c r="D605" s="209"/>
      <c r="E605" s="210"/>
      <c r="F605" s="390"/>
      <c r="G605" s="209"/>
      <c r="H605" s="210"/>
      <c r="I605" s="390"/>
      <c r="J605" s="209"/>
      <c r="K605" s="210"/>
      <c r="L605" s="390"/>
      <c r="M605" s="209"/>
      <c r="N605" s="210"/>
      <c r="O605" s="390"/>
      <c r="P605" s="209"/>
      <c r="Q605" s="210"/>
      <c r="R605" s="390"/>
      <c r="S605" s="209"/>
      <c r="T605" s="210"/>
      <c r="U605" s="390"/>
      <c r="V605" s="209"/>
      <c r="W605" s="210"/>
      <c r="X605" s="390"/>
      <c r="Y605" s="195"/>
      <c r="Z605" s="195"/>
      <c r="AA605" s="195"/>
      <c r="AB605" s="195"/>
      <c r="AC605" s="8"/>
      <c r="AD605" s="8"/>
      <c r="AE605" s="8"/>
      <c r="AF605" s="8"/>
      <c r="AG605" s="202"/>
      <c r="AH605" s="202"/>
      <c r="AI605" s="202"/>
      <c r="AJ605" s="202"/>
      <c r="AK605" s="8"/>
      <c r="AL605" s="8"/>
      <c r="AM605" s="8"/>
      <c r="AN605" s="8"/>
      <c r="AO605" s="8"/>
      <c r="AP605" s="8"/>
      <c r="AQ605" s="8"/>
      <c r="AR605" s="8"/>
      <c r="AS605" s="8"/>
      <c r="AT605" s="8"/>
      <c r="AU605" s="8"/>
      <c r="AV605" s="8"/>
    </row>
    <row r="606">
      <c r="A606" s="209"/>
      <c r="B606" s="210"/>
      <c r="C606" s="390"/>
      <c r="D606" s="209"/>
      <c r="E606" s="210"/>
      <c r="F606" s="390"/>
      <c r="G606" s="209"/>
      <c r="H606" s="210"/>
      <c r="I606" s="390"/>
      <c r="J606" s="209"/>
      <c r="K606" s="210"/>
      <c r="L606" s="390"/>
      <c r="M606" s="209"/>
      <c r="N606" s="210"/>
      <c r="O606" s="390"/>
      <c r="P606" s="209"/>
      <c r="Q606" s="210"/>
      <c r="R606" s="390"/>
      <c r="S606" s="209"/>
      <c r="T606" s="210"/>
      <c r="U606" s="390"/>
      <c r="V606" s="209"/>
      <c r="W606" s="210"/>
      <c r="X606" s="390"/>
      <c r="Y606" s="195"/>
      <c r="Z606" s="195"/>
      <c r="AA606" s="195"/>
      <c r="AB606" s="195"/>
      <c r="AC606" s="8"/>
      <c r="AD606" s="8"/>
      <c r="AE606" s="8"/>
      <c r="AF606" s="8"/>
      <c r="AG606" s="202"/>
      <c r="AH606" s="202"/>
      <c r="AI606" s="202"/>
      <c r="AJ606" s="202"/>
      <c r="AK606" s="8"/>
      <c r="AL606" s="8"/>
      <c r="AM606" s="8"/>
      <c r="AN606" s="8"/>
      <c r="AO606" s="8"/>
      <c r="AP606" s="8"/>
      <c r="AQ606" s="8"/>
      <c r="AR606" s="8"/>
      <c r="AS606" s="8"/>
      <c r="AT606" s="8"/>
      <c r="AU606" s="8"/>
      <c r="AV606" s="8"/>
    </row>
    <row r="607">
      <c r="A607" s="209"/>
      <c r="B607" s="210"/>
      <c r="C607" s="390"/>
      <c r="D607" s="209"/>
      <c r="E607" s="210"/>
      <c r="F607" s="390"/>
      <c r="G607" s="209"/>
      <c r="H607" s="210"/>
      <c r="I607" s="390"/>
      <c r="J607" s="209"/>
      <c r="K607" s="210"/>
      <c r="L607" s="390"/>
      <c r="M607" s="209"/>
      <c r="N607" s="210"/>
      <c r="O607" s="390"/>
      <c r="P607" s="209"/>
      <c r="Q607" s="210"/>
      <c r="R607" s="390"/>
      <c r="S607" s="209"/>
      <c r="T607" s="210"/>
      <c r="U607" s="390"/>
      <c r="V607" s="209"/>
      <c r="W607" s="210"/>
      <c r="X607" s="390"/>
      <c r="Y607" s="195"/>
      <c r="Z607" s="195"/>
      <c r="AA607" s="195"/>
      <c r="AB607" s="195"/>
      <c r="AC607" s="8"/>
      <c r="AD607" s="8"/>
      <c r="AE607" s="8"/>
      <c r="AF607" s="8"/>
      <c r="AG607" s="202"/>
      <c r="AH607" s="202"/>
      <c r="AI607" s="202"/>
      <c r="AJ607" s="202"/>
      <c r="AK607" s="8"/>
      <c r="AL607" s="8"/>
      <c r="AM607" s="8"/>
      <c r="AN607" s="8"/>
      <c r="AO607" s="8"/>
      <c r="AP607" s="8"/>
      <c r="AQ607" s="8"/>
      <c r="AR607" s="8"/>
      <c r="AS607" s="8"/>
      <c r="AT607" s="8"/>
      <c r="AU607" s="8"/>
      <c r="AV607" s="8"/>
    </row>
    <row r="608">
      <c r="A608" s="209"/>
      <c r="B608" s="210"/>
      <c r="C608" s="390"/>
      <c r="D608" s="209"/>
      <c r="E608" s="210"/>
      <c r="F608" s="390"/>
      <c r="G608" s="209"/>
      <c r="H608" s="210"/>
      <c r="I608" s="390"/>
      <c r="J608" s="209"/>
      <c r="K608" s="210"/>
      <c r="L608" s="390"/>
      <c r="M608" s="209"/>
      <c r="N608" s="210"/>
      <c r="O608" s="390"/>
      <c r="P608" s="209"/>
      <c r="Q608" s="210"/>
      <c r="R608" s="390"/>
      <c r="S608" s="209"/>
      <c r="T608" s="210"/>
      <c r="U608" s="390"/>
      <c r="V608" s="209"/>
      <c r="W608" s="210"/>
      <c r="X608" s="390"/>
      <c r="Y608" s="195"/>
      <c r="Z608" s="195"/>
      <c r="AA608" s="195"/>
      <c r="AB608" s="195"/>
      <c r="AC608" s="8"/>
      <c r="AD608" s="8"/>
      <c r="AE608" s="8"/>
      <c r="AF608" s="8"/>
      <c r="AG608" s="202"/>
      <c r="AH608" s="202"/>
      <c r="AI608" s="202"/>
      <c r="AJ608" s="202"/>
      <c r="AK608" s="8"/>
      <c r="AL608" s="8"/>
      <c r="AM608" s="8"/>
      <c r="AN608" s="8"/>
      <c r="AO608" s="8"/>
      <c r="AP608" s="8"/>
      <c r="AQ608" s="8"/>
      <c r="AR608" s="8"/>
      <c r="AS608" s="8"/>
      <c r="AT608" s="8"/>
      <c r="AU608" s="8"/>
      <c r="AV608" s="8"/>
    </row>
    <row r="609">
      <c r="A609" s="209"/>
      <c r="B609" s="210"/>
      <c r="C609" s="390"/>
      <c r="D609" s="209"/>
      <c r="E609" s="210"/>
      <c r="F609" s="390"/>
      <c r="G609" s="209"/>
      <c r="H609" s="210"/>
      <c r="I609" s="390"/>
      <c r="J609" s="209"/>
      <c r="K609" s="210"/>
      <c r="L609" s="390"/>
      <c r="M609" s="209"/>
      <c r="N609" s="210"/>
      <c r="O609" s="390"/>
      <c r="P609" s="209"/>
      <c r="Q609" s="210"/>
      <c r="R609" s="390"/>
      <c r="S609" s="209"/>
      <c r="T609" s="210"/>
      <c r="U609" s="390"/>
      <c r="V609" s="209"/>
      <c r="W609" s="210"/>
      <c r="X609" s="390"/>
      <c r="Y609" s="195"/>
      <c r="Z609" s="195"/>
      <c r="AA609" s="195"/>
      <c r="AB609" s="195"/>
      <c r="AC609" s="8"/>
      <c r="AD609" s="8"/>
      <c r="AE609" s="8"/>
      <c r="AF609" s="8"/>
      <c r="AG609" s="202"/>
      <c r="AH609" s="202"/>
      <c r="AI609" s="202"/>
      <c r="AJ609" s="202"/>
      <c r="AK609" s="8"/>
      <c r="AL609" s="8"/>
      <c r="AM609" s="8"/>
      <c r="AN609" s="8"/>
      <c r="AO609" s="8"/>
      <c r="AP609" s="8"/>
      <c r="AQ609" s="8"/>
      <c r="AR609" s="8"/>
      <c r="AS609" s="8"/>
      <c r="AT609" s="8"/>
      <c r="AU609" s="8"/>
      <c r="AV609" s="8"/>
    </row>
    <row r="610">
      <c r="A610" s="209"/>
      <c r="B610" s="210"/>
      <c r="C610" s="390"/>
      <c r="D610" s="209"/>
      <c r="E610" s="210"/>
      <c r="F610" s="390"/>
      <c r="G610" s="209"/>
      <c r="H610" s="210"/>
      <c r="I610" s="390"/>
      <c r="J610" s="209"/>
      <c r="K610" s="210"/>
      <c r="L610" s="390"/>
      <c r="M610" s="209"/>
      <c r="N610" s="210"/>
      <c r="O610" s="390"/>
      <c r="P610" s="209"/>
      <c r="Q610" s="210"/>
      <c r="R610" s="390"/>
      <c r="S610" s="209"/>
      <c r="T610" s="210"/>
      <c r="U610" s="390"/>
      <c r="V610" s="209"/>
      <c r="W610" s="210"/>
      <c r="X610" s="390"/>
      <c r="Y610" s="195"/>
      <c r="Z610" s="195"/>
      <c r="AA610" s="195"/>
      <c r="AB610" s="195"/>
      <c r="AC610" s="8"/>
      <c r="AD610" s="8"/>
      <c r="AE610" s="8"/>
      <c r="AF610" s="8"/>
      <c r="AG610" s="202"/>
      <c r="AH610" s="202"/>
      <c r="AI610" s="202"/>
      <c r="AJ610" s="202"/>
      <c r="AK610" s="8"/>
      <c r="AL610" s="8"/>
      <c r="AM610" s="8"/>
      <c r="AN610" s="8"/>
      <c r="AO610" s="8"/>
      <c r="AP610" s="8"/>
      <c r="AQ610" s="8"/>
      <c r="AR610" s="8"/>
      <c r="AS610" s="8"/>
      <c r="AT610" s="8"/>
      <c r="AU610" s="8"/>
      <c r="AV610" s="8"/>
    </row>
    <row r="611">
      <c r="A611" s="209"/>
      <c r="B611" s="210"/>
      <c r="C611" s="390"/>
      <c r="D611" s="209"/>
      <c r="E611" s="210"/>
      <c r="F611" s="390"/>
      <c r="G611" s="209"/>
      <c r="H611" s="210"/>
      <c r="I611" s="390"/>
      <c r="J611" s="209"/>
      <c r="K611" s="210"/>
      <c r="L611" s="390"/>
      <c r="M611" s="209"/>
      <c r="N611" s="210"/>
      <c r="O611" s="390"/>
      <c r="P611" s="209"/>
      <c r="Q611" s="210"/>
      <c r="R611" s="390"/>
      <c r="S611" s="209"/>
      <c r="T611" s="210"/>
      <c r="U611" s="390"/>
      <c r="V611" s="209"/>
      <c r="W611" s="210"/>
      <c r="X611" s="390"/>
      <c r="Y611" s="195"/>
      <c r="Z611" s="195"/>
      <c r="AA611" s="195"/>
      <c r="AB611" s="195"/>
      <c r="AC611" s="8"/>
      <c r="AD611" s="8"/>
      <c r="AE611" s="8"/>
      <c r="AF611" s="8"/>
      <c r="AG611" s="202"/>
      <c r="AH611" s="202"/>
      <c r="AI611" s="202"/>
      <c r="AJ611" s="202"/>
      <c r="AK611" s="8"/>
      <c r="AL611" s="8"/>
      <c r="AM611" s="8"/>
      <c r="AN611" s="8"/>
      <c r="AO611" s="8"/>
      <c r="AP611" s="8"/>
      <c r="AQ611" s="8"/>
      <c r="AR611" s="8"/>
      <c r="AS611" s="8"/>
      <c r="AT611" s="8"/>
      <c r="AU611" s="8"/>
      <c r="AV611" s="8"/>
    </row>
    <row r="612">
      <c r="A612" s="209"/>
      <c r="B612" s="210"/>
      <c r="C612" s="390"/>
      <c r="D612" s="209"/>
      <c r="E612" s="210"/>
      <c r="F612" s="390"/>
      <c r="G612" s="209"/>
      <c r="H612" s="210"/>
      <c r="I612" s="390"/>
      <c r="J612" s="209"/>
      <c r="K612" s="210"/>
      <c r="L612" s="390"/>
      <c r="M612" s="209"/>
      <c r="N612" s="210"/>
      <c r="O612" s="390"/>
      <c r="P612" s="209"/>
      <c r="Q612" s="210"/>
      <c r="R612" s="390"/>
      <c r="S612" s="209"/>
      <c r="T612" s="210"/>
      <c r="U612" s="390"/>
      <c r="V612" s="209"/>
      <c r="W612" s="210"/>
      <c r="X612" s="390"/>
      <c r="Y612" s="195"/>
      <c r="Z612" s="195"/>
      <c r="AA612" s="195"/>
      <c r="AB612" s="195"/>
      <c r="AC612" s="8"/>
      <c r="AD612" s="8"/>
      <c r="AE612" s="8"/>
      <c r="AF612" s="8"/>
      <c r="AG612" s="202"/>
      <c r="AH612" s="202"/>
      <c r="AI612" s="202"/>
      <c r="AJ612" s="202"/>
      <c r="AK612" s="8"/>
      <c r="AL612" s="8"/>
      <c r="AM612" s="8"/>
      <c r="AN612" s="8"/>
      <c r="AO612" s="8"/>
      <c r="AP612" s="8"/>
      <c r="AQ612" s="8"/>
      <c r="AR612" s="8"/>
      <c r="AS612" s="8"/>
      <c r="AT612" s="8"/>
      <c r="AU612" s="8"/>
      <c r="AV612" s="8"/>
    </row>
    <row r="613">
      <c r="A613" s="209"/>
      <c r="B613" s="210"/>
      <c r="C613" s="390"/>
      <c r="D613" s="209"/>
      <c r="E613" s="210"/>
      <c r="F613" s="390"/>
      <c r="G613" s="209"/>
      <c r="H613" s="210"/>
      <c r="I613" s="390"/>
      <c r="J613" s="209"/>
      <c r="K613" s="210"/>
      <c r="L613" s="390"/>
      <c r="M613" s="209"/>
      <c r="N613" s="210"/>
      <c r="O613" s="390"/>
      <c r="P613" s="209"/>
      <c r="Q613" s="210"/>
      <c r="R613" s="390"/>
      <c r="S613" s="209"/>
      <c r="T613" s="210"/>
      <c r="U613" s="390"/>
      <c r="V613" s="209"/>
      <c r="W613" s="210"/>
      <c r="X613" s="390"/>
      <c r="Y613" s="195"/>
      <c r="Z613" s="195"/>
      <c r="AA613" s="195"/>
      <c r="AB613" s="195"/>
      <c r="AC613" s="8"/>
      <c r="AD613" s="8"/>
      <c r="AE613" s="8"/>
      <c r="AF613" s="8"/>
      <c r="AG613" s="202"/>
      <c r="AH613" s="202"/>
      <c r="AI613" s="202"/>
      <c r="AJ613" s="202"/>
      <c r="AK613" s="8"/>
      <c r="AL613" s="8"/>
      <c r="AM613" s="8"/>
      <c r="AN613" s="8"/>
      <c r="AO613" s="8"/>
      <c r="AP613" s="8"/>
      <c r="AQ613" s="8"/>
      <c r="AR613" s="8"/>
      <c r="AS613" s="8"/>
      <c r="AT613" s="8"/>
      <c r="AU613" s="8"/>
      <c r="AV613" s="8"/>
    </row>
    <row r="614">
      <c r="A614" s="209"/>
      <c r="B614" s="210"/>
      <c r="C614" s="390"/>
      <c r="D614" s="209"/>
      <c r="E614" s="210"/>
      <c r="F614" s="390"/>
      <c r="G614" s="209"/>
      <c r="H614" s="210"/>
      <c r="I614" s="390"/>
      <c r="J614" s="209"/>
      <c r="K614" s="210"/>
      <c r="L614" s="390"/>
      <c r="M614" s="209"/>
      <c r="N614" s="210"/>
      <c r="O614" s="390"/>
      <c r="P614" s="209"/>
      <c r="Q614" s="210"/>
      <c r="R614" s="390"/>
      <c r="S614" s="209"/>
      <c r="T614" s="210"/>
      <c r="U614" s="390"/>
      <c r="V614" s="209"/>
      <c r="W614" s="210"/>
      <c r="X614" s="390"/>
      <c r="Y614" s="195"/>
      <c r="Z614" s="195"/>
      <c r="AA614" s="195"/>
      <c r="AB614" s="195"/>
      <c r="AC614" s="8"/>
      <c r="AD614" s="8"/>
      <c r="AE614" s="8"/>
      <c r="AF614" s="8"/>
      <c r="AG614" s="202"/>
      <c r="AH614" s="202"/>
      <c r="AI614" s="202"/>
      <c r="AJ614" s="202"/>
      <c r="AK614" s="8"/>
      <c r="AL614" s="8"/>
      <c r="AM614" s="8"/>
      <c r="AN614" s="8"/>
      <c r="AO614" s="8"/>
      <c r="AP614" s="8"/>
      <c r="AQ614" s="8"/>
      <c r="AR614" s="8"/>
      <c r="AS614" s="8"/>
      <c r="AT614" s="8"/>
      <c r="AU614" s="8"/>
      <c r="AV614" s="8"/>
    </row>
    <row r="615">
      <c r="A615" s="209"/>
      <c r="B615" s="210"/>
      <c r="C615" s="390"/>
      <c r="D615" s="209"/>
      <c r="E615" s="210"/>
      <c r="F615" s="390"/>
      <c r="G615" s="209"/>
      <c r="H615" s="210"/>
      <c r="I615" s="390"/>
      <c r="J615" s="209"/>
      <c r="K615" s="210"/>
      <c r="L615" s="390"/>
      <c r="M615" s="209"/>
      <c r="N615" s="210"/>
      <c r="O615" s="390"/>
      <c r="P615" s="209"/>
      <c r="Q615" s="210"/>
      <c r="R615" s="390"/>
      <c r="S615" s="209"/>
      <c r="T615" s="210"/>
      <c r="U615" s="390"/>
      <c r="V615" s="209"/>
      <c r="W615" s="210"/>
      <c r="X615" s="390"/>
      <c r="Y615" s="195"/>
      <c r="Z615" s="195"/>
      <c r="AA615" s="195"/>
      <c r="AB615" s="195"/>
      <c r="AC615" s="8"/>
      <c r="AD615" s="8"/>
      <c r="AE615" s="8"/>
      <c r="AF615" s="8"/>
      <c r="AG615" s="202"/>
      <c r="AH615" s="202"/>
      <c r="AI615" s="202"/>
      <c r="AJ615" s="202"/>
      <c r="AK615" s="8"/>
      <c r="AL615" s="8"/>
      <c r="AM615" s="8"/>
      <c r="AN615" s="8"/>
      <c r="AO615" s="8"/>
      <c r="AP615" s="8"/>
      <c r="AQ615" s="8"/>
      <c r="AR615" s="8"/>
      <c r="AS615" s="8"/>
      <c r="AT615" s="8"/>
      <c r="AU615" s="8"/>
      <c r="AV615" s="8"/>
    </row>
    <row r="616">
      <c r="A616" s="209"/>
      <c r="B616" s="210"/>
      <c r="C616" s="390"/>
      <c r="D616" s="209"/>
      <c r="E616" s="210"/>
      <c r="F616" s="390"/>
      <c r="G616" s="209"/>
      <c r="H616" s="210"/>
      <c r="I616" s="390"/>
      <c r="J616" s="209"/>
      <c r="K616" s="210"/>
      <c r="L616" s="390"/>
      <c r="M616" s="209"/>
      <c r="N616" s="210"/>
      <c r="O616" s="390"/>
      <c r="P616" s="209"/>
      <c r="Q616" s="210"/>
      <c r="R616" s="390"/>
      <c r="S616" s="209"/>
      <c r="T616" s="210"/>
      <c r="U616" s="390"/>
      <c r="V616" s="209"/>
      <c r="W616" s="210"/>
      <c r="X616" s="390"/>
      <c r="Y616" s="195"/>
      <c r="Z616" s="195"/>
      <c r="AA616" s="195"/>
      <c r="AB616" s="195"/>
      <c r="AC616" s="8"/>
      <c r="AD616" s="8"/>
      <c r="AE616" s="8"/>
      <c r="AF616" s="8"/>
      <c r="AG616" s="202"/>
      <c r="AH616" s="202"/>
      <c r="AI616" s="202"/>
      <c r="AJ616" s="202"/>
      <c r="AK616" s="8"/>
      <c r="AL616" s="8"/>
      <c r="AM616" s="8"/>
      <c r="AN616" s="8"/>
      <c r="AO616" s="8"/>
      <c r="AP616" s="8"/>
      <c r="AQ616" s="8"/>
      <c r="AR616" s="8"/>
      <c r="AS616" s="8"/>
      <c r="AT616" s="8"/>
      <c r="AU616" s="8"/>
      <c r="AV616" s="8"/>
    </row>
    <row r="617">
      <c r="A617" s="209"/>
      <c r="B617" s="210"/>
      <c r="C617" s="390"/>
      <c r="D617" s="209"/>
      <c r="E617" s="210"/>
      <c r="F617" s="390"/>
      <c r="G617" s="209"/>
      <c r="H617" s="210"/>
      <c r="I617" s="390"/>
      <c r="J617" s="209"/>
      <c r="K617" s="210"/>
      <c r="L617" s="390"/>
      <c r="M617" s="209"/>
      <c r="N617" s="210"/>
      <c r="O617" s="390"/>
      <c r="P617" s="209"/>
      <c r="Q617" s="210"/>
      <c r="R617" s="390"/>
      <c r="S617" s="209"/>
      <c r="T617" s="210"/>
      <c r="U617" s="390"/>
      <c r="V617" s="209"/>
      <c r="W617" s="210"/>
      <c r="X617" s="390"/>
      <c r="Y617" s="195"/>
      <c r="Z617" s="195"/>
      <c r="AA617" s="195"/>
      <c r="AB617" s="195"/>
      <c r="AC617" s="8"/>
      <c r="AD617" s="8"/>
      <c r="AE617" s="8"/>
      <c r="AF617" s="8"/>
      <c r="AG617" s="202"/>
      <c r="AH617" s="202"/>
      <c r="AI617" s="202"/>
      <c r="AJ617" s="202"/>
      <c r="AK617" s="8"/>
      <c r="AL617" s="8"/>
      <c r="AM617" s="8"/>
      <c r="AN617" s="8"/>
      <c r="AO617" s="8"/>
      <c r="AP617" s="8"/>
      <c r="AQ617" s="8"/>
      <c r="AR617" s="8"/>
      <c r="AS617" s="8"/>
      <c r="AT617" s="8"/>
      <c r="AU617" s="8"/>
      <c r="AV617" s="8"/>
    </row>
    <row r="618">
      <c r="A618" s="209"/>
      <c r="B618" s="210"/>
      <c r="C618" s="390"/>
      <c r="D618" s="209"/>
      <c r="E618" s="210"/>
      <c r="F618" s="390"/>
      <c r="G618" s="209"/>
      <c r="H618" s="210"/>
      <c r="I618" s="390"/>
      <c r="J618" s="209"/>
      <c r="K618" s="210"/>
      <c r="L618" s="390"/>
      <c r="M618" s="209"/>
      <c r="N618" s="210"/>
      <c r="O618" s="390"/>
      <c r="P618" s="209"/>
      <c r="Q618" s="210"/>
      <c r="R618" s="390"/>
      <c r="S618" s="209"/>
      <c r="T618" s="210"/>
      <c r="U618" s="390"/>
      <c r="V618" s="209"/>
      <c r="W618" s="210"/>
      <c r="X618" s="390"/>
      <c r="Y618" s="195"/>
      <c r="Z618" s="195"/>
      <c r="AA618" s="195"/>
      <c r="AB618" s="195"/>
      <c r="AC618" s="8"/>
      <c r="AD618" s="8"/>
      <c r="AE618" s="8"/>
      <c r="AF618" s="8"/>
      <c r="AG618" s="202"/>
      <c r="AH618" s="202"/>
      <c r="AI618" s="202"/>
      <c r="AJ618" s="202"/>
      <c r="AK618" s="8"/>
      <c r="AL618" s="8"/>
      <c r="AM618" s="8"/>
      <c r="AN618" s="8"/>
      <c r="AO618" s="8"/>
      <c r="AP618" s="8"/>
      <c r="AQ618" s="8"/>
      <c r="AR618" s="8"/>
      <c r="AS618" s="8"/>
      <c r="AT618" s="8"/>
      <c r="AU618" s="8"/>
      <c r="AV618" s="8"/>
    </row>
    <row r="619">
      <c r="A619" s="209"/>
      <c r="B619" s="210"/>
      <c r="C619" s="390"/>
      <c r="D619" s="209"/>
      <c r="E619" s="210"/>
      <c r="F619" s="390"/>
      <c r="G619" s="209"/>
      <c r="H619" s="210"/>
      <c r="I619" s="390"/>
      <c r="J619" s="209"/>
      <c r="K619" s="210"/>
      <c r="L619" s="390"/>
      <c r="M619" s="209"/>
      <c r="N619" s="210"/>
      <c r="O619" s="390"/>
      <c r="P619" s="209"/>
      <c r="Q619" s="210"/>
      <c r="R619" s="390"/>
      <c r="S619" s="209"/>
      <c r="T619" s="210"/>
      <c r="U619" s="390"/>
      <c r="V619" s="209"/>
      <c r="W619" s="210"/>
      <c r="X619" s="390"/>
      <c r="Y619" s="195"/>
      <c r="Z619" s="195"/>
      <c r="AA619" s="195"/>
      <c r="AB619" s="195"/>
      <c r="AC619" s="8"/>
      <c r="AD619" s="8"/>
      <c r="AE619" s="8"/>
      <c r="AF619" s="8"/>
      <c r="AG619" s="202"/>
      <c r="AH619" s="202"/>
      <c r="AI619" s="202"/>
      <c r="AJ619" s="202"/>
      <c r="AK619" s="8"/>
      <c r="AL619" s="8"/>
      <c r="AM619" s="8"/>
      <c r="AN619" s="8"/>
      <c r="AO619" s="8"/>
      <c r="AP619" s="8"/>
      <c r="AQ619" s="8"/>
      <c r="AR619" s="8"/>
      <c r="AS619" s="8"/>
      <c r="AT619" s="8"/>
      <c r="AU619" s="8"/>
      <c r="AV619" s="8"/>
    </row>
    <row r="620">
      <c r="A620" s="209"/>
      <c r="B620" s="210"/>
      <c r="C620" s="390"/>
      <c r="D620" s="209"/>
      <c r="E620" s="210"/>
      <c r="F620" s="390"/>
      <c r="G620" s="209"/>
      <c r="H620" s="210"/>
      <c r="I620" s="390"/>
      <c r="J620" s="209"/>
      <c r="K620" s="210"/>
      <c r="L620" s="390"/>
      <c r="M620" s="209"/>
      <c r="N620" s="210"/>
      <c r="O620" s="390"/>
      <c r="P620" s="209"/>
      <c r="Q620" s="210"/>
      <c r="R620" s="390"/>
      <c r="S620" s="209"/>
      <c r="T620" s="210"/>
      <c r="U620" s="390"/>
      <c r="V620" s="209"/>
      <c r="W620" s="210"/>
      <c r="X620" s="390"/>
      <c r="Y620" s="195"/>
      <c r="Z620" s="195"/>
      <c r="AA620" s="195"/>
      <c r="AB620" s="195"/>
      <c r="AC620" s="8"/>
      <c r="AD620" s="8"/>
      <c r="AE620" s="8"/>
      <c r="AF620" s="8"/>
      <c r="AG620" s="202"/>
      <c r="AH620" s="202"/>
      <c r="AI620" s="202"/>
      <c r="AJ620" s="202"/>
      <c r="AK620" s="8"/>
      <c r="AL620" s="8"/>
      <c r="AM620" s="8"/>
      <c r="AN620" s="8"/>
      <c r="AO620" s="8"/>
      <c r="AP620" s="8"/>
      <c r="AQ620" s="8"/>
      <c r="AR620" s="8"/>
      <c r="AS620" s="8"/>
      <c r="AT620" s="8"/>
      <c r="AU620" s="8"/>
      <c r="AV620" s="8"/>
    </row>
    <row r="621">
      <c r="A621" s="209"/>
      <c r="B621" s="210"/>
      <c r="C621" s="390"/>
      <c r="D621" s="209"/>
      <c r="E621" s="210"/>
      <c r="F621" s="390"/>
      <c r="G621" s="209"/>
      <c r="H621" s="210"/>
      <c r="I621" s="390"/>
      <c r="J621" s="209"/>
      <c r="K621" s="210"/>
      <c r="L621" s="390"/>
      <c r="M621" s="209"/>
      <c r="N621" s="210"/>
      <c r="O621" s="390"/>
      <c r="P621" s="209"/>
      <c r="Q621" s="210"/>
      <c r="R621" s="390"/>
      <c r="S621" s="209"/>
      <c r="T621" s="210"/>
      <c r="U621" s="390"/>
      <c r="V621" s="209"/>
      <c r="W621" s="210"/>
      <c r="X621" s="390"/>
      <c r="Y621" s="195"/>
      <c r="Z621" s="195"/>
      <c r="AA621" s="195"/>
      <c r="AB621" s="195"/>
      <c r="AC621" s="8"/>
      <c r="AD621" s="8"/>
      <c r="AE621" s="8"/>
      <c r="AF621" s="8"/>
      <c r="AG621" s="202"/>
      <c r="AH621" s="202"/>
      <c r="AI621" s="202"/>
      <c r="AJ621" s="202"/>
      <c r="AK621" s="8"/>
      <c r="AL621" s="8"/>
      <c r="AM621" s="8"/>
      <c r="AN621" s="8"/>
      <c r="AO621" s="8"/>
      <c r="AP621" s="8"/>
      <c r="AQ621" s="8"/>
      <c r="AR621" s="8"/>
      <c r="AS621" s="8"/>
      <c r="AT621" s="8"/>
      <c r="AU621" s="8"/>
      <c r="AV621" s="8"/>
    </row>
    <row r="622">
      <c r="A622" s="209"/>
      <c r="B622" s="210"/>
      <c r="C622" s="390"/>
      <c r="D622" s="209"/>
      <c r="E622" s="210"/>
      <c r="F622" s="390"/>
      <c r="G622" s="209"/>
      <c r="H622" s="210"/>
      <c r="I622" s="390"/>
      <c r="J622" s="209"/>
      <c r="K622" s="210"/>
      <c r="L622" s="390"/>
      <c r="M622" s="209"/>
      <c r="N622" s="210"/>
      <c r="O622" s="390"/>
      <c r="P622" s="209"/>
      <c r="Q622" s="210"/>
      <c r="R622" s="390"/>
      <c r="S622" s="209"/>
      <c r="T622" s="210"/>
      <c r="U622" s="390"/>
      <c r="V622" s="209"/>
      <c r="W622" s="210"/>
      <c r="X622" s="390"/>
      <c r="Y622" s="195"/>
      <c r="Z622" s="195"/>
      <c r="AA622" s="195"/>
      <c r="AB622" s="195"/>
      <c r="AC622" s="8"/>
      <c r="AD622" s="8"/>
      <c r="AE622" s="8"/>
      <c r="AF622" s="8"/>
      <c r="AG622" s="202"/>
      <c r="AH622" s="202"/>
      <c r="AI622" s="202"/>
      <c r="AJ622" s="202"/>
      <c r="AK622" s="8"/>
      <c r="AL622" s="8"/>
      <c r="AM622" s="8"/>
      <c r="AN622" s="8"/>
      <c r="AO622" s="8"/>
      <c r="AP622" s="8"/>
      <c r="AQ622" s="8"/>
      <c r="AR622" s="8"/>
      <c r="AS622" s="8"/>
      <c r="AT622" s="8"/>
      <c r="AU622" s="8"/>
      <c r="AV622" s="8"/>
    </row>
    <row r="623">
      <c r="A623" s="209"/>
      <c r="B623" s="210"/>
      <c r="C623" s="390"/>
      <c r="D623" s="209"/>
      <c r="E623" s="210"/>
      <c r="F623" s="390"/>
      <c r="G623" s="209"/>
      <c r="H623" s="210"/>
      <c r="I623" s="390"/>
      <c r="J623" s="209"/>
      <c r="K623" s="210"/>
      <c r="L623" s="390"/>
      <c r="M623" s="209"/>
      <c r="N623" s="210"/>
      <c r="O623" s="390"/>
      <c r="P623" s="209"/>
      <c r="Q623" s="210"/>
      <c r="R623" s="390"/>
      <c r="S623" s="209"/>
      <c r="T623" s="210"/>
      <c r="U623" s="390"/>
      <c r="V623" s="209"/>
      <c r="W623" s="210"/>
      <c r="X623" s="390"/>
      <c r="Y623" s="195"/>
      <c r="Z623" s="195"/>
      <c r="AA623" s="195"/>
      <c r="AB623" s="195"/>
      <c r="AC623" s="8"/>
      <c r="AD623" s="8"/>
      <c r="AE623" s="8"/>
      <c r="AF623" s="8"/>
      <c r="AG623" s="202"/>
      <c r="AH623" s="202"/>
      <c r="AI623" s="202"/>
      <c r="AJ623" s="202"/>
      <c r="AK623" s="8"/>
      <c r="AL623" s="8"/>
      <c r="AM623" s="8"/>
      <c r="AN623" s="8"/>
      <c r="AO623" s="8"/>
      <c r="AP623" s="8"/>
      <c r="AQ623" s="8"/>
      <c r="AR623" s="8"/>
      <c r="AS623" s="8"/>
      <c r="AT623" s="8"/>
      <c r="AU623" s="8"/>
      <c r="AV623" s="8"/>
    </row>
    <row r="624">
      <c r="A624" s="209"/>
      <c r="B624" s="210"/>
      <c r="C624" s="390"/>
      <c r="D624" s="209"/>
      <c r="E624" s="210"/>
      <c r="F624" s="390"/>
      <c r="G624" s="209"/>
      <c r="H624" s="210"/>
      <c r="I624" s="390"/>
      <c r="J624" s="209"/>
      <c r="K624" s="210"/>
      <c r="L624" s="390"/>
      <c r="M624" s="209"/>
      <c r="N624" s="210"/>
      <c r="O624" s="390"/>
      <c r="P624" s="209"/>
      <c r="Q624" s="210"/>
      <c r="R624" s="390"/>
      <c r="S624" s="209"/>
      <c r="T624" s="210"/>
      <c r="U624" s="390"/>
      <c r="V624" s="209"/>
      <c r="W624" s="210"/>
      <c r="X624" s="390"/>
      <c r="Y624" s="195"/>
      <c r="Z624" s="195"/>
      <c r="AA624" s="195"/>
      <c r="AB624" s="195"/>
      <c r="AC624" s="8"/>
      <c r="AD624" s="8"/>
      <c r="AE624" s="8"/>
      <c r="AF624" s="8"/>
      <c r="AG624" s="202"/>
      <c r="AH624" s="202"/>
      <c r="AI624" s="202"/>
      <c r="AJ624" s="202"/>
      <c r="AK624" s="8"/>
      <c r="AL624" s="8"/>
      <c r="AM624" s="8"/>
      <c r="AN624" s="8"/>
      <c r="AO624" s="8"/>
      <c r="AP624" s="8"/>
      <c r="AQ624" s="8"/>
      <c r="AR624" s="8"/>
      <c r="AS624" s="8"/>
      <c r="AT624" s="8"/>
      <c r="AU624" s="8"/>
      <c r="AV624" s="8"/>
    </row>
    <row r="625">
      <c r="A625" s="209"/>
      <c r="B625" s="210"/>
      <c r="C625" s="390"/>
      <c r="D625" s="209"/>
      <c r="E625" s="210"/>
      <c r="F625" s="390"/>
      <c r="G625" s="209"/>
      <c r="H625" s="210"/>
      <c r="I625" s="390"/>
      <c r="J625" s="209"/>
      <c r="K625" s="210"/>
      <c r="L625" s="390"/>
      <c r="M625" s="209"/>
      <c r="N625" s="210"/>
      <c r="O625" s="390"/>
      <c r="P625" s="209"/>
      <c r="Q625" s="210"/>
      <c r="R625" s="390"/>
      <c r="S625" s="209"/>
      <c r="T625" s="210"/>
      <c r="U625" s="390"/>
      <c r="V625" s="209"/>
      <c r="W625" s="210"/>
      <c r="X625" s="390"/>
      <c r="Y625" s="195"/>
      <c r="Z625" s="195"/>
      <c r="AA625" s="195"/>
      <c r="AB625" s="195"/>
      <c r="AC625" s="8"/>
      <c r="AD625" s="8"/>
      <c r="AE625" s="8"/>
      <c r="AF625" s="8"/>
      <c r="AG625" s="202"/>
      <c r="AH625" s="202"/>
      <c r="AI625" s="202"/>
      <c r="AJ625" s="202"/>
      <c r="AK625" s="8"/>
      <c r="AL625" s="8"/>
      <c r="AM625" s="8"/>
      <c r="AN625" s="8"/>
      <c r="AO625" s="8"/>
      <c r="AP625" s="8"/>
      <c r="AQ625" s="8"/>
      <c r="AR625" s="8"/>
      <c r="AS625" s="8"/>
      <c r="AT625" s="8"/>
      <c r="AU625" s="8"/>
      <c r="AV625" s="8"/>
    </row>
    <row r="626">
      <c r="A626" s="209"/>
      <c r="B626" s="210"/>
      <c r="C626" s="390"/>
      <c r="D626" s="209"/>
      <c r="E626" s="210"/>
      <c r="F626" s="390"/>
      <c r="G626" s="209"/>
      <c r="H626" s="210"/>
      <c r="I626" s="390"/>
      <c r="J626" s="209"/>
      <c r="K626" s="210"/>
      <c r="L626" s="390"/>
      <c r="M626" s="209"/>
      <c r="N626" s="210"/>
      <c r="O626" s="390"/>
      <c r="P626" s="209"/>
      <c r="Q626" s="210"/>
      <c r="R626" s="390"/>
      <c r="S626" s="209"/>
      <c r="T626" s="210"/>
      <c r="U626" s="390"/>
      <c r="V626" s="209"/>
      <c r="W626" s="210"/>
      <c r="X626" s="390"/>
      <c r="Y626" s="195"/>
      <c r="Z626" s="195"/>
      <c r="AA626" s="195"/>
      <c r="AB626" s="195"/>
      <c r="AC626" s="8"/>
      <c r="AD626" s="8"/>
      <c r="AE626" s="8"/>
      <c r="AF626" s="8"/>
      <c r="AG626" s="202"/>
      <c r="AH626" s="202"/>
      <c r="AI626" s="202"/>
      <c r="AJ626" s="202"/>
      <c r="AK626" s="8"/>
      <c r="AL626" s="8"/>
      <c r="AM626" s="8"/>
      <c r="AN626" s="8"/>
      <c r="AO626" s="8"/>
      <c r="AP626" s="8"/>
      <c r="AQ626" s="8"/>
      <c r="AR626" s="8"/>
      <c r="AS626" s="8"/>
      <c r="AT626" s="8"/>
      <c r="AU626" s="8"/>
      <c r="AV626" s="8"/>
    </row>
    <row r="627">
      <c r="A627" s="209"/>
      <c r="B627" s="210"/>
      <c r="C627" s="390"/>
      <c r="D627" s="209"/>
      <c r="E627" s="210"/>
      <c r="F627" s="390"/>
      <c r="G627" s="209"/>
      <c r="H627" s="210"/>
      <c r="I627" s="390"/>
      <c r="J627" s="209"/>
      <c r="K627" s="210"/>
      <c r="L627" s="390"/>
      <c r="M627" s="209"/>
      <c r="N627" s="210"/>
      <c r="O627" s="390"/>
      <c r="P627" s="209"/>
      <c r="Q627" s="210"/>
      <c r="R627" s="390"/>
      <c r="S627" s="209"/>
      <c r="T627" s="210"/>
      <c r="U627" s="390"/>
      <c r="V627" s="209"/>
      <c r="W627" s="210"/>
      <c r="X627" s="390"/>
      <c r="Y627" s="195"/>
      <c r="Z627" s="195"/>
      <c r="AA627" s="195"/>
      <c r="AB627" s="195"/>
      <c r="AC627" s="8"/>
      <c r="AD627" s="8"/>
      <c r="AE627" s="8"/>
      <c r="AF627" s="8"/>
      <c r="AG627" s="202"/>
      <c r="AH627" s="202"/>
      <c r="AI627" s="202"/>
      <c r="AJ627" s="202"/>
      <c r="AK627" s="8"/>
      <c r="AL627" s="8"/>
      <c r="AM627" s="8"/>
      <c r="AN627" s="8"/>
      <c r="AO627" s="8"/>
      <c r="AP627" s="8"/>
      <c r="AQ627" s="8"/>
      <c r="AR627" s="8"/>
      <c r="AS627" s="8"/>
      <c r="AT627" s="8"/>
      <c r="AU627" s="8"/>
      <c r="AV627" s="8"/>
    </row>
    <row r="628">
      <c r="A628" s="209"/>
      <c r="B628" s="210"/>
      <c r="C628" s="390"/>
      <c r="D628" s="209"/>
      <c r="E628" s="210"/>
      <c r="F628" s="390"/>
      <c r="G628" s="209"/>
      <c r="H628" s="210"/>
      <c r="I628" s="390"/>
      <c r="J628" s="209"/>
      <c r="K628" s="210"/>
      <c r="L628" s="390"/>
      <c r="M628" s="209"/>
      <c r="N628" s="210"/>
      <c r="O628" s="390"/>
      <c r="P628" s="209"/>
      <c r="Q628" s="210"/>
      <c r="R628" s="390"/>
      <c r="S628" s="209"/>
      <c r="T628" s="210"/>
      <c r="U628" s="390"/>
      <c r="V628" s="209"/>
      <c r="W628" s="210"/>
      <c r="X628" s="390"/>
      <c r="Y628" s="195"/>
      <c r="Z628" s="195"/>
      <c r="AA628" s="195"/>
      <c r="AB628" s="195"/>
      <c r="AC628" s="8"/>
      <c r="AD628" s="8"/>
      <c r="AE628" s="8"/>
      <c r="AF628" s="8"/>
      <c r="AG628" s="202"/>
      <c r="AH628" s="202"/>
      <c r="AI628" s="202"/>
      <c r="AJ628" s="202"/>
      <c r="AK628" s="8"/>
      <c r="AL628" s="8"/>
      <c r="AM628" s="8"/>
      <c r="AN628" s="8"/>
      <c r="AO628" s="8"/>
      <c r="AP628" s="8"/>
      <c r="AQ628" s="8"/>
      <c r="AR628" s="8"/>
      <c r="AS628" s="8"/>
      <c r="AT628" s="8"/>
      <c r="AU628" s="8"/>
      <c r="AV628" s="8"/>
    </row>
    <row r="629">
      <c r="A629" s="209"/>
      <c r="B629" s="210"/>
      <c r="C629" s="390"/>
      <c r="D629" s="209"/>
      <c r="E629" s="210"/>
      <c r="F629" s="390"/>
      <c r="G629" s="209"/>
      <c r="H629" s="210"/>
      <c r="I629" s="390"/>
      <c r="J629" s="209"/>
      <c r="K629" s="210"/>
      <c r="L629" s="390"/>
      <c r="M629" s="209"/>
      <c r="N629" s="210"/>
      <c r="O629" s="390"/>
      <c r="P629" s="209"/>
      <c r="Q629" s="210"/>
      <c r="R629" s="390"/>
      <c r="S629" s="209"/>
      <c r="T629" s="210"/>
      <c r="U629" s="390"/>
      <c r="V629" s="209"/>
      <c r="W629" s="210"/>
      <c r="X629" s="390"/>
      <c r="Y629" s="195"/>
      <c r="Z629" s="195"/>
      <c r="AA629" s="195"/>
      <c r="AB629" s="195"/>
      <c r="AC629" s="8"/>
      <c r="AD629" s="8"/>
      <c r="AE629" s="8"/>
      <c r="AF629" s="8"/>
      <c r="AG629" s="202"/>
      <c r="AH629" s="202"/>
      <c r="AI629" s="202"/>
      <c r="AJ629" s="202"/>
      <c r="AK629" s="8"/>
      <c r="AL629" s="8"/>
      <c r="AM629" s="8"/>
      <c r="AN629" s="8"/>
      <c r="AO629" s="8"/>
      <c r="AP629" s="8"/>
      <c r="AQ629" s="8"/>
      <c r="AR629" s="8"/>
      <c r="AS629" s="8"/>
      <c r="AT629" s="8"/>
      <c r="AU629" s="8"/>
      <c r="AV629" s="8"/>
    </row>
    <row r="630">
      <c r="A630" s="209"/>
      <c r="B630" s="210"/>
      <c r="C630" s="390"/>
      <c r="D630" s="209"/>
      <c r="E630" s="210"/>
      <c r="F630" s="390"/>
      <c r="G630" s="209"/>
      <c r="H630" s="210"/>
      <c r="I630" s="390"/>
      <c r="J630" s="209"/>
      <c r="K630" s="210"/>
      <c r="L630" s="390"/>
      <c r="M630" s="209"/>
      <c r="N630" s="210"/>
      <c r="O630" s="390"/>
      <c r="P630" s="209"/>
      <c r="Q630" s="210"/>
      <c r="R630" s="390"/>
      <c r="S630" s="209"/>
      <c r="T630" s="210"/>
      <c r="U630" s="390"/>
      <c r="V630" s="209"/>
      <c r="W630" s="210"/>
      <c r="X630" s="390"/>
      <c r="Y630" s="195"/>
      <c r="Z630" s="195"/>
      <c r="AA630" s="195"/>
      <c r="AB630" s="195"/>
      <c r="AC630" s="8"/>
      <c r="AD630" s="8"/>
      <c r="AE630" s="8"/>
      <c r="AF630" s="8"/>
      <c r="AG630" s="202"/>
      <c r="AH630" s="202"/>
      <c r="AI630" s="202"/>
      <c r="AJ630" s="202"/>
      <c r="AK630" s="8"/>
      <c r="AL630" s="8"/>
      <c r="AM630" s="8"/>
      <c r="AN630" s="8"/>
      <c r="AO630" s="8"/>
      <c r="AP630" s="8"/>
      <c r="AQ630" s="8"/>
      <c r="AR630" s="8"/>
      <c r="AS630" s="8"/>
      <c r="AT630" s="8"/>
      <c r="AU630" s="8"/>
      <c r="AV630" s="8"/>
    </row>
    <row r="631">
      <c r="A631" s="209"/>
      <c r="B631" s="210"/>
      <c r="C631" s="390"/>
      <c r="D631" s="209"/>
      <c r="E631" s="210"/>
      <c r="F631" s="390"/>
      <c r="G631" s="209"/>
      <c r="H631" s="210"/>
      <c r="I631" s="390"/>
      <c r="J631" s="209"/>
      <c r="K631" s="210"/>
      <c r="L631" s="390"/>
      <c r="M631" s="209"/>
      <c r="N631" s="210"/>
      <c r="O631" s="390"/>
      <c r="P631" s="209"/>
      <c r="Q631" s="210"/>
      <c r="R631" s="390"/>
      <c r="S631" s="209"/>
      <c r="T631" s="210"/>
      <c r="U631" s="390"/>
      <c r="V631" s="209"/>
      <c r="W631" s="210"/>
      <c r="X631" s="390"/>
      <c r="Y631" s="195"/>
      <c r="Z631" s="195"/>
      <c r="AA631" s="195"/>
      <c r="AB631" s="195"/>
      <c r="AC631" s="8"/>
      <c r="AD631" s="8"/>
      <c r="AE631" s="8"/>
      <c r="AF631" s="8"/>
      <c r="AG631" s="202"/>
      <c r="AH631" s="202"/>
      <c r="AI631" s="202"/>
      <c r="AJ631" s="202"/>
      <c r="AK631" s="8"/>
      <c r="AL631" s="8"/>
      <c r="AM631" s="8"/>
      <c r="AN631" s="8"/>
      <c r="AO631" s="8"/>
      <c r="AP631" s="8"/>
      <c r="AQ631" s="8"/>
      <c r="AR631" s="8"/>
      <c r="AS631" s="8"/>
      <c r="AT631" s="8"/>
      <c r="AU631" s="8"/>
      <c r="AV631" s="8"/>
    </row>
    <row r="632">
      <c r="A632" s="209"/>
      <c r="B632" s="210"/>
      <c r="C632" s="390"/>
      <c r="D632" s="209"/>
      <c r="E632" s="210"/>
      <c r="F632" s="390"/>
      <c r="G632" s="209"/>
      <c r="H632" s="210"/>
      <c r="I632" s="390"/>
      <c r="J632" s="209"/>
      <c r="K632" s="210"/>
      <c r="L632" s="390"/>
      <c r="M632" s="209"/>
      <c r="N632" s="210"/>
      <c r="O632" s="390"/>
      <c r="P632" s="209"/>
      <c r="Q632" s="210"/>
      <c r="R632" s="390"/>
      <c r="S632" s="209"/>
      <c r="T632" s="210"/>
      <c r="U632" s="390"/>
      <c r="V632" s="209"/>
      <c r="W632" s="210"/>
      <c r="X632" s="390"/>
      <c r="Y632" s="195"/>
      <c r="Z632" s="195"/>
      <c r="AA632" s="195"/>
      <c r="AB632" s="195"/>
      <c r="AC632" s="8"/>
      <c r="AD632" s="8"/>
      <c r="AE632" s="8"/>
      <c r="AF632" s="8"/>
      <c r="AG632" s="202"/>
      <c r="AH632" s="202"/>
      <c r="AI632" s="202"/>
      <c r="AJ632" s="202"/>
      <c r="AK632" s="8"/>
      <c r="AL632" s="8"/>
      <c r="AM632" s="8"/>
      <c r="AN632" s="8"/>
      <c r="AO632" s="8"/>
      <c r="AP632" s="8"/>
      <c r="AQ632" s="8"/>
      <c r="AR632" s="8"/>
      <c r="AS632" s="8"/>
      <c r="AT632" s="8"/>
      <c r="AU632" s="8"/>
      <c r="AV632" s="8"/>
    </row>
    <row r="633">
      <c r="A633" s="209"/>
      <c r="B633" s="210"/>
      <c r="C633" s="390"/>
      <c r="D633" s="209"/>
      <c r="E633" s="210"/>
      <c r="F633" s="390"/>
      <c r="G633" s="209"/>
      <c r="H633" s="210"/>
      <c r="I633" s="390"/>
      <c r="J633" s="209"/>
      <c r="K633" s="210"/>
      <c r="L633" s="390"/>
      <c r="M633" s="209"/>
      <c r="N633" s="210"/>
      <c r="O633" s="390"/>
      <c r="P633" s="209"/>
      <c r="Q633" s="210"/>
      <c r="R633" s="390"/>
      <c r="S633" s="209"/>
      <c r="T633" s="210"/>
      <c r="U633" s="390"/>
      <c r="V633" s="209"/>
      <c r="W633" s="210"/>
      <c r="X633" s="390"/>
      <c r="Y633" s="195"/>
      <c r="Z633" s="195"/>
      <c r="AA633" s="195"/>
      <c r="AB633" s="195"/>
      <c r="AC633" s="8"/>
      <c r="AD633" s="8"/>
      <c r="AE633" s="8"/>
      <c r="AF633" s="8"/>
      <c r="AG633" s="202"/>
      <c r="AH633" s="202"/>
      <c r="AI633" s="202"/>
      <c r="AJ633" s="202"/>
      <c r="AK633" s="8"/>
      <c r="AL633" s="8"/>
      <c r="AM633" s="8"/>
      <c r="AN633" s="8"/>
      <c r="AO633" s="8"/>
      <c r="AP633" s="8"/>
      <c r="AQ633" s="8"/>
      <c r="AR633" s="8"/>
      <c r="AS633" s="8"/>
      <c r="AT633" s="8"/>
      <c r="AU633" s="8"/>
      <c r="AV633" s="8"/>
    </row>
    <row r="634">
      <c r="A634" s="209"/>
      <c r="B634" s="210"/>
      <c r="C634" s="390"/>
      <c r="D634" s="209"/>
      <c r="E634" s="210"/>
      <c r="F634" s="390"/>
      <c r="G634" s="209"/>
      <c r="H634" s="210"/>
      <c r="I634" s="390"/>
      <c r="J634" s="209"/>
      <c r="K634" s="210"/>
      <c r="L634" s="390"/>
      <c r="M634" s="209"/>
      <c r="N634" s="210"/>
      <c r="O634" s="390"/>
      <c r="P634" s="209"/>
      <c r="Q634" s="210"/>
      <c r="R634" s="390"/>
      <c r="S634" s="209"/>
      <c r="T634" s="210"/>
      <c r="U634" s="390"/>
      <c r="V634" s="209"/>
      <c r="W634" s="210"/>
      <c r="X634" s="390"/>
      <c r="Y634" s="195"/>
      <c r="Z634" s="195"/>
      <c r="AA634" s="195"/>
      <c r="AB634" s="195"/>
      <c r="AC634" s="8"/>
      <c r="AD634" s="8"/>
      <c r="AE634" s="8"/>
      <c r="AF634" s="8"/>
      <c r="AG634" s="202"/>
      <c r="AH634" s="202"/>
      <c r="AI634" s="202"/>
      <c r="AJ634" s="202"/>
      <c r="AK634" s="8"/>
      <c r="AL634" s="8"/>
      <c r="AM634" s="8"/>
      <c r="AN634" s="8"/>
      <c r="AO634" s="8"/>
      <c r="AP634" s="8"/>
      <c r="AQ634" s="8"/>
      <c r="AR634" s="8"/>
      <c r="AS634" s="8"/>
      <c r="AT634" s="8"/>
      <c r="AU634" s="8"/>
      <c r="AV634" s="8"/>
    </row>
    <row r="635">
      <c r="A635" s="209"/>
      <c r="B635" s="210"/>
      <c r="C635" s="390"/>
      <c r="D635" s="209"/>
      <c r="E635" s="210"/>
      <c r="F635" s="390"/>
      <c r="G635" s="209"/>
      <c r="H635" s="210"/>
      <c r="I635" s="390"/>
      <c r="J635" s="209"/>
      <c r="K635" s="210"/>
      <c r="L635" s="390"/>
      <c r="M635" s="209"/>
      <c r="N635" s="210"/>
      <c r="O635" s="390"/>
      <c r="P635" s="209"/>
      <c r="Q635" s="210"/>
      <c r="R635" s="390"/>
      <c r="S635" s="209"/>
      <c r="T635" s="210"/>
      <c r="U635" s="390"/>
      <c r="V635" s="209"/>
      <c r="W635" s="210"/>
      <c r="X635" s="390"/>
      <c r="Y635" s="195"/>
      <c r="Z635" s="195"/>
      <c r="AA635" s="195"/>
      <c r="AB635" s="195"/>
      <c r="AC635" s="8"/>
      <c r="AD635" s="8"/>
      <c r="AE635" s="8"/>
      <c r="AF635" s="8"/>
      <c r="AG635" s="202"/>
      <c r="AH635" s="202"/>
      <c r="AI635" s="202"/>
      <c r="AJ635" s="202"/>
      <c r="AK635" s="8"/>
      <c r="AL635" s="8"/>
      <c r="AM635" s="8"/>
      <c r="AN635" s="8"/>
      <c r="AO635" s="8"/>
      <c r="AP635" s="8"/>
      <c r="AQ635" s="8"/>
      <c r="AR635" s="8"/>
      <c r="AS635" s="8"/>
      <c r="AT635" s="8"/>
      <c r="AU635" s="8"/>
      <c r="AV635" s="8"/>
    </row>
    <row r="636">
      <c r="A636" s="209"/>
      <c r="B636" s="210"/>
      <c r="C636" s="390"/>
      <c r="D636" s="209"/>
      <c r="E636" s="210"/>
      <c r="F636" s="390"/>
      <c r="G636" s="209"/>
      <c r="H636" s="210"/>
      <c r="I636" s="390"/>
      <c r="J636" s="209"/>
      <c r="K636" s="210"/>
      <c r="L636" s="390"/>
      <c r="M636" s="209"/>
      <c r="N636" s="210"/>
      <c r="O636" s="390"/>
      <c r="P636" s="209"/>
      <c r="Q636" s="210"/>
      <c r="R636" s="390"/>
      <c r="S636" s="209"/>
      <c r="T636" s="210"/>
      <c r="U636" s="390"/>
      <c r="V636" s="209"/>
      <c r="W636" s="210"/>
      <c r="X636" s="390"/>
      <c r="Y636" s="195"/>
      <c r="Z636" s="195"/>
      <c r="AA636" s="195"/>
      <c r="AB636" s="195"/>
      <c r="AC636" s="8"/>
      <c r="AD636" s="8"/>
      <c r="AE636" s="8"/>
      <c r="AF636" s="8"/>
      <c r="AG636" s="202"/>
      <c r="AH636" s="202"/>
      <c r="AI636" s="202"/>
      <c r="AJ636" s="202"/>
      <c r="AK636" s="8"/>
      <c r="AL636" s="8"/>
      <c r="AM636" s="8"/>
      <c r="AN636" s="8"/>
      <c r="AO636" s="8"/>
      <c r="AP636" s="8"/>
      <c r="AQ636" s="8"/>
      <c r="AR636" s="8"/>
      <c r="AS636" s="8"/>
      <c r="AT636" s="8"/>
      <c r="AU636" s="8"/>
      <c r="AV636" s="8"/>
    </row>
    <row r="637">
      <c r="A637" s="209"/>
      <c r="B637" s="210"/>
      <c r="C637" s="390"/>
      <c r="D637" s="209"/>
      <c r="E637" s="210"/>
      <c r="F637" s="390"/>
      <c r="G637" s="209"/>
      <c r="H637" s="210"/>
      <c r="I637" s="390"/>
      <c r="J637" s="209"/>
      <c r="K637" s="210"/>
      <c r="L637" s="390"/>
      <c r="M637" s="209"/>
      <c r="N637" s="210"/>
      <c r="O637" s="390"/>
      <c r="P637" s="209"/>
      <c r="Q637" s="210"/>
      <c r="R637" s="390"/>
      <c r="S637" s="209"/>
      <c r="T637" s="210"/>
      <c r="U637" s="390"/>
      <c r="V637" s="209"/>
      <c r="W637" s="210"/>
      <c r="X637" s="390"/>
      <c r="Y637" s="195"/>
      <c r="Z637" s="195"/>
      <c r="AA637" s="195"/>
      <c r="AB637" s="195"/>
      <c r="AC637" s="8"/>
      <c r="AD637" s="8"/>
      <c r="AE637" s="8"/>
      <c r="AF637" s="8"/>
      <c r="AG637" s="202"/>
      <c r="AH637" s="202"/>
      <c r="AI637" s="202"/>
      <c r="AJ637" s="202"/>
      <c r="AK637" s="8"/>
      <c r="AL637" s="8"/>
      <c r="AM637" s="8"/>
      <c r="AN637" s="8"/>
      <c r="AO637" s="8"/>
      <c r="AP637" s="8"/>
      <c r="AQ637" s="8"/>
      <c r="AR637" s="8"/>
      <c r="AS637" s="8"/>
      <c r="AT637" s="8"/>
      <c r="AU637" s="8"/>
      <c r="AV637" s="8"/>
    </row>
    <row r="638">
      <c r="A638" s="209"/>
      <c r="B638" s="210"/>
      <c r="C638" s="390"/>
      <c r="D638" s="209"/>
      <c r="E638" s="210"/>
      <c r="F638" s="390"/>
      <c r="G638" s="209"/>
      <c r="H638" s="210"/>
      <c r="I638" s="390"/>
      <c r="J638" s="209"/>
      <c r="K638" s="210"/>
      <c r="L638" s="390"/>
      <c r="M638" s="209"/>
      <c r="N638" s="210"/>
      <c r="O638" s="390"/>
      <c r="P638" s="209"/>
      <c r="Q638" s="210"/>
      <c r="R638" s="390"/>
      <c r="S638" s="209"/>
      <c r="T638" s="210"/>
      <c r="U638" s="390"/>
      <c r="V638" s="209"/>
      <c r="W638" s="210"/>
      <c r="X638" s="390"/>
      <c r="Y638" s="195"/>
      <c r="Z638" s="195"/>
      <c r="AA638" s="195"/>
      <c r="AB638" s="195"/>
      <c r="AC638" s="8"/>
      <c r="AD638" s="8"/>
      <c r="AE638" s="8"/>
      <c r="AF638" s="8"/>
      <c r="AG638" s="202"/>
      <c r="AH638" s="202"/>
      <c r="AI638" s="202"/>
      <c r="AJ638" s="202"/>
      <c r="AK638" s="8"/>
      <c r="AL638" s="8"/>
      <c r="AM638" s="8"/>
      <c r="AN638" s="8"/>
      <c r="AO638" s="8"/>
      <c r="AP638" s="8"/>
      <c r="AQ638" s="8"/>
      <c r="AR638" s="8"/>
      <c r="AS638" s="8"/>
      <c r="AT638" s="8"/>
      <c r="AU638" s="8"/>
      <c r="AV638" s="8"/>
    </row>
    <row r="639">
      <c r="A639" s="209"/>
      <c r="B639" s="210"/>
      <c r="C639" s="390"/>
      <c r="D639" s="209"/>
      <c r="E639" s="210"/>
      <c r="F639" s="390"/>
      <c r="G639" s="209"/>
      <c r="H639" s="210"/>
      <c r="I639" s="390"/>
      <c r="J639" s="209"/>
      <c r="K639" s="210"/>
      <c r="L639" s="390"/>
      <c r="M639" s="209"/>
      <c r="N639" s="210"/>
      <c r="O639" s="390"/>
      <c r="P639" s="209"/>
      <c r="Q639" s="210"/>
      <c r="R639" s="390"/>
      <c r="S639" s="209"/>
      <c r="T639" s="210"/>
      <c r="U639" s="390"/>
      <c r="V639" s="209"/>
      <c r="W639" s="210"/>
      <c r="X639" s="390"/>
      <c r="Y639" s="195"/>
      <c r="Z639" s="195"/>
      <c r="AA639" s="195"/>
      <c r="AB639" s="195"/>
      <c r="AC639" s="8"/>
      <c r="AD639" s="8"/>
      <c r="AE639" s="8"/>
      <c r="AF639" s="8"/>
      <c r="AG639" s="202"/>
      <c r="AH639" s="202"/>
      <c r="AI639" s="202"/>
      <c r="AJ639" s="202"/>
      <c r="AK639" s="8"/>
      <c r="AL639" s="8"/>
      <c r="AM639" s="8"/>
      <c r="AN639" s="8"/>
      <c r="AO639" s="8"/>
      <c r="AP639" s="8"/>
      <c r="AQ639" s="8"/>
      <c r="AR639" s="8"/>
      <c r="AS639" s="8"/>
      <c r="AT639" s="8"/>
      <c r="AU639" s="8"/>
      <c r="AV639" s="8"/>
    </row>
    <row r="640">
      <c r="A640" s="209"/>
      <c r="B640" s="210"/>
      <c r="C640" s="390"/>
      <c r="D640" s="209"/>
      <c r="E640" s="210"/>
      <c r="F640" s="390"/>
      <c r="G640" s="209"/>
      <c r="H640" s="210"/>
      <c r="I640" s="390"/>
      <c r="J640" s="209"/>
      <c r="K640" s="210"/>
      <c r="L640" s="390"/>
      <c r="M640" s="209"/>
      <c r="N640" s="210"/>
      <c r="O640" s="390"/>
      <c r="P640" s="209"/>
      <c r="Q640" s="210"/>
      <c r="R640" s="390"/>
      <c r="S640" s="209"/>
      <c r="T640" s="210"/>
      <c r="U640" s="390"/>
      <c r="V640" s="209"/>
      <c r="W640" s="210"/>
      <c r="X640" s="390"/>
      <c r="Y640" s="195"/>
      <c r="Z640" s="195"/>
      <c r="AA640" s="195"/>
      <c r="AB640" s="195"/>
      <c r="AC640" s="8"/>
      <c r="AD640" s="8"/>
      <c r="AE640" s="8"/>
      <c r="AF640" s="8"/>
      <c r="AG640" s="202"/>
      <c r="AH640" s="202"/>
      <c r="AI640" s="202"/>
      <c r="AJ640" s="202"/>
      <c r="AK640" s="8"/>
      <c r="AL640" s="8"/>
      <c r="AM640" s="8"/>
      <c r="AN640" s="8"/>
      <c r="AO640" s="8"/>
      <c r="AP640" s="8"/>
      <c r="AQ640" s="8"/>
      <c r="AR640" s="8"/>
      <c r="AS640" s="8"/>
      <c r="AT640" s="8"/>
      <c r="AU640" s="8"/>
      <c r="AV640" s="8"/>
    </row>
    <row r="641">
      <c r="A641" s="209"/>
      <c r="B641" s="210"/>
      <c r="C641" s="390"/>
      <c r="D641" s="209"/>
      <c r="E641" s="210"/>
      <c r="F641" s="390"/>
      <c r="G641" s="209"/>
      <c r="H641" s="210"/>
      <c r="I641" s="390"/>
      <c r="J641" s="209"/>
      <c r="K641" s="210"/>
      <c r="L641" s="390"/>
      <c r="M641" s="209"/>
      <c r="N641" s="210"/>
      <c r="O641" s="390"/>
      <c r="P641" s="209"/>
      <c r="Q641" s="210"/>
      <c r="R641" s="390"/>
      <c r="S641" s="209"/>
      <c r="T641" s="210"/>
      <c r="U641" s="390"/>
      <c r="V641" s="209"/>
      <c r="W641" s="210"/>
      <c r="X641" s="390"/>
      <c r="Y641" s="195"/>
      <c r="Z641" s="195"/>
      <c r="AA641" s="195"/>
      <c r="AB641" s="195"/>
      <c r="AC641" s="8"/>
      <c r="AD641" s="8"/>
      <c r="AE641" s="8"/>
      <c r="AF641" s="8"/>
      <c r="AG641" s="202"/>
      <c r="AH641" s="202"/>
      <c r="AI641" s="202"/>
      <c r="AJ641" s="202"/>
      <c r="AK641" s="8"/>
      <c r="AL641" s="8"/>
      <c r="AM641" s="8"/>
      <c r="AN641" s="8"/>
      <c r="AO641" s="8"/>
      <c r="AP641" s="8"/>
      <c r="AQ641" s="8"/>
      <c r="AR641" s="8"/>
      <c r="AS641" s="8"/>
      <c r="AT641" s="8"/>
      <c r="AU641" s="8"/>
      <c r="AV641" s="8"/>
    </row>
    <row r="642">
      <c r="A642" s="209"/>
      <c r="B642" s="210"/>
      <c r="C642" s="390"/>
      <c r="D642" s="209"/>
      <c r="E642" s="210"/>
      <c r="F642" s="390"/>
      <c r="G642" s="209"/>
      <c r="H642" s="210"/>
      <c r="I642" s="390"/>
      <c r="J642" s="209"/>
      <c r="K642" s="210"/>
      <c r="L642" s="390"/>
      <c r="M642" s="209"/>
      <c r="N642" s="210"/>
      <c r="O642" s="390"/>
      <c r="P642" s="209"/>
      <c r="Q642" s="210"/>
      <c r="R642" s="390"/>
      <c r="S642" s="209"/>
      <c r="T642" s="210"/>
      <c r="U642" s="390"/>
      <c r="V642" s="209"/>
      <c r="W642" s="210"/>
      <c r="X642" s="390"/>
      <c r="Y642" s="195"/>
      <c r="Z642" s="195"/>
      <c r="AA642" s="195"/>
      <c r="AB642" s="195"/>
      <c r="AC642" s="8"/>
      <c r="AD642" s="8"/>
      <c r="AE642" s="8"/>
      <c r="AF642" s="8"/>
      <c r="AG642" s="202"/>
      <c r="AH642" s="202"/>
      <c r="AI642" s="202"/>
      <c r="AJ642" s="202"/>
      <c r="AK642" s="8"/>
      <c r="AL642" s="8"/>
      <c r="AM642" s="8"/>
      <c r="AN642" s="8"/>
      <c r="AO642" s="8"/>
      <c r="AP642" s="8"/>
      <c r="AQ642" s="8"/>
      <c r="AR642" s="8"/>
      <c r="AS642" s="8"/>
      <c r="AT642" s="8"/>
      <c r="AU642" s="8"/>
      <c r="AV642" s="8"/>
    </row>
    <row r="643">
      <c r="A643" s="209"/>
      <c r="B643" s="210"/>
      <c r="C643" s="390"/>
      <c r="D643" s="209"/>
      <c r="E643" s="210"/>
      <c r="F643" s="390"/>
      <c r="G643" s="209"/>
      <c r="H643" s="210"/>
      <c r="I643" s="390"/>
      <c r="J643" s="209"/>
      <c r="K643" s="210"/>
      <c r="L643" s="390"/>
      <c r="M643" s="209"/>
      <c r="N643" s="210"/>
      <c r="O643" s="390"/>
      <c r="P643" s="209"/>
      <c r="Q643" s="210"/>
      <c r="R643" s="390"/>
      <c r="S643" s="209"/>
      <c r="T643" s="210"/>
      <c r="U643" s="390"/>
      <c r="V643" s="209"/>
      <c r="W643" s="210"/>
      <c r="X643" s="390"/>
      <c r="Y643" s="195"/>
      <c r="Z643" s="195"/>
      <c r="AA643" s="195"/>
      <c r="AB643" s="195"/>
      <c r="AC643" s="8"/>
      <c r="AD643" s="8"/>
      <c r="AE643" s="8"/>
      <c r="AF643" s="8"/>
      <c r="AG643" s="202"/>
      <c r="AH643" s="202"/>
      <c r="AI643" s="202"/>
      <c r="AJ643" s="202"/>
      <c r="AK643" s="8"/>
      <c r="AL643" s="8"/>
      <c r="AM643" s="8"/>
      <c r="AN643" s="8"/>
      <c r="AO643" s="8"/>
      <c r="AP643" s="8"/>
      <c r="AQ643" s="8"/>
      <c r="AR643" s="8"/>
      <c r="AS643" s="8"/>
      <c r="AT643" s="8"/>
      <c r="AU643" s="8"/>
      <c r="AV643" s="8"/>
    </row>
    <row r="644">
      <c r="A644" s="209"/>
      <c r="B644" s="210"/>
      <c r="C644" s="390"/>
      <c r="D644" s="209"/>
      <c r="E644" s="210"/>
      <c r="F644" s="390"/>
      <c r="G644" s="209"/>
      <c r="H644" s="210"/>
      <c r="I644" s="390"/>
      <c r="J644" s="209"/>
      <c r="K644" s="210"/>
      <c r="L644" s="390"/>
      <c r="M644" s="209"/>
      <c r="N644" s="210"/>
      <c r="O644" s="390"/>
      <c r="P644" s="209"/>
      <c r="Q644" s="210"/>
      <c r="R644" s="390"/>
      <c r="S644" s="209"/>
      <c r="T644" s="210"/>
      <c r="U644" s="390"/>
      <c r="V644" s="209"/>
      <c r="W644" s="210"/>
      <c r="X644" s="390"/>
      <c r="Y644" s="195"/>
      <c r="Z644" s="195"/>
      <c r="AA644" s="195"/>
      <c r="AB644" s="195"/>
      <c r="AC644" s="8"/>
      <c r="AD644" s="8"/>
      <c r="AE644" s="8"/>
      <c r="AF644" s="8"/>
      <c r="AG644" s="202"/>
      <c r="AH644" s="202"/>
      <c r="AI644" s="202"/>
      <c r="AJ644" s="202"/>
      <c r="AK644" s="8"/>
      <c r="AL644" s="8"/>
      <c r="AM644" s="8"/>
      <c r="AN644" s="8"/>
      <c r="AO644" s="8"/>
      <c r="AP644" s="8"/>
      <c r="AQ644" s="8"/>
      <c r="AR644" s="8"/>
      <c r="AS644" s="8"/>
      <c r="AT644" s="8"/>
      <c r="AU644" s="8"/>
      <c r="AV644" s="8"/>
    </row>
    <row r="645">
      <c r="A645" s="209"/>
      <c r="B645" s="210"/>
      <c r="C645" s="390"/>
      <c r="D645" s="209"/>
      <c r="E645" s="210"/>
      <c r="F645" s="390"/>
      <c r="G645" s="209"/>
      <c r="H645" s="210"/>
      <c r="I645" s="390"/>
      <c r="J645" s="209"/>
      <c r="K645" s="210"/>
      <c r="L645" s="390"/>
      <c r="M645" s="209"/>
      <c r="N645" s="210"/>
      <c r="O645" s="390"/>
      <c r="P645" s="209"/>
      <c r="Q645" s="210"/>
      <c r="R645" s="390"/>
      <c r="S645" s="209"/>
      <c r="T645" s="210"/>
      <c r="U645" s="390"/>
      <c r="V645" s="209"/>
      <c r="W645" s="210"/>
      <c r="X645" s="390"/>
      <c r="Y645" s="195"/>
      <c r="Z645" s="195"/>
      <c r="AA645" s="195"/>
      <c r="AB645" s="195"/>
      <c r="AC645" s="8"/>
      <c r="AD645" s="8"/>
      <c r="AE645" s="8"/>
      <c r="AF645" s="8"/>
      <c r="AG645" s="202"/>
      <c r="AH645" s="202"/>
      <c r="AI645" s="202"/>
      <c r="AJ645" s="202"/>
      <c r="AK645" s="8"/>
      <c r="AL645" s="8"/>
      <c r="AM645" s="8"/>
      <c r="AN645" s="8"/>
      <c r="AO645" s="8"/>
      <c r="AP645" s="8"/>
      <c r="AQ645" s="8"/>
      <c r="AR645" s="8"/>
      <c r="AS645" s="8"/>
      <c r="AT645" s="8"/>
      <c r="AU645" s="8"/>
      <c r="AV645" s="8"/>
    </row>
    <row r="646">
      <c r="A646" s="209"/>
      <c r="B646" s="210"/>
      <c r="C646" s="390"/>
      <c r="D646" s="209"/>
      <c r="E646" s="210"/>
      <c r="F646" s="390"/>
      <c r="G646" s="209"/>
      <c r="H646" s="210"/>
      <c r="I646" s="390"/>
      <c r="J646" s="209"/>
      <c r="K646" s="210"/>
      <c r="L646" s="390"/>
      <c r="M646" s="209"/>
      <c r="N646" s="210"/>
      <c r="O646" s="390"/>
      <c r="P646" s="209"/>
      <c r="Q646" s="210"/>
      <c r="R646" s="390"/>
      <c r="S646" s="209"/>
      <c r="T646" s="210"/>
      <c r="U646" s="390"/>
      <c r="V646" s="209"/>
      <c r="W646" s="210"/>
      <c r="X646" s="390"/>
      <c r="Y646" s="195"/>
      <c r="Z646" s="195"/>
      <c r="AA646" s="195"/>
      <c r="AB646" s="195"/>
      <c r="AC646" s="8"/>
      <c r="AD646" s="8"/>
      <c r="AE646" s="8"/>
      <c r="AF646" s="8"/>
      <c r="AG646" s="202"/>
      <c r="AH646" s="202"/>
      <c r="AI646" s="202"/>
      <c r="AJ646" s="202"/>
      <c r="AK646" s="8"/>
      <c r="AL646" s="8"/>
      <c r="AM646" s="8"/>
      <c r="AN646" s="8"/>
      <c r="AO646" s="8"/>
      <c r="AP646" s="8"/>
      <c r="AQ646" s="8"/>
      <c r="AR646" s="8"/>
      <c r="AS646" s="8"/>
      <c r="AT646" s="8"/>
      <c r="AU646" s="8"/>
      <c r="AV646" s="8"/>
    </row>
    <row r="647">
      <c r="A647" s="209"/>
      <c r="B647" s="210"/>
      <c r="C647" s="390"/>
      <c r="D647" s="209"/>
      <c r="E647" s="210"/>
      <c r="F647" s="390"/>
      <c r="G647" s="209"/>
      <c r="H647" s="210"/>
      <c r="I647" s="390"/>
      <c r="J647" s="209"/>
      <c r="K647" s="210"/>
      <c r="L647" s="390"/>
      <c r="M647" s="209"/>
      <c r="N647" s="210"/>
      <c r="O647" s="390"/>
      <c r="P647" s="209"/>
      <c r="Q647" s="210"/>
      <c r="R647" s="390"/>
      <c r="S647" s="209"/>
      <c r="T647" s="210"/>
      <c r="U647" s="390"/>
      <c r="V647" s="209"/>
      <c r="W647" s="210"/>
      <c r="X647" s="390"/>
      <c r="Y647" s="195"/>
      <c r="Z647" s="195"/>
      <c r="AA647" s="195"/>
      <c r="AB647" s="195"/>
      <c r="AC647" s="8"/>
      <c r="AD647" s="8"/>
      <c r="AE647" s="8"/>
      <c r="AF647" s="8"/>
      <c r="AG647" s="202"/>
      <c r="AH647" s="202"/>
      <c r="AI647" s="202"/>
      <c r="AJ647" s="202"/>
      <c r="AK647" s="8"/>
      <c r="AL647" s="8"/>
      <c r="AM647" s="8"/>
      <c r="AN647" s="8"/>
      <c r="AO647" s="8"/>
      <c r="AP647" s="8"/>
      <c r="AQ647" s="8"/>
      <c r="AR647" s="8"/>
      <c r="AS647" s="8"/>
      <c r="AT647" s="8"/>
      <c r="AU647" s="8"/>
      <c r="AV647" s="8"/>
    </row>
    <row r="648">
      <c r="A648" s="209"/>
      <c r="B648" s="210"/>
      <c r="C648" s="390"/>
      <c r="D648" s="209"/>
      <c r="E648" s="210"/>
      <c r="F648" s="390"/>
      <c r="G648" s="209"/>
      <c r="H648" s="210"/>
      <c r="I648" s="390"/>
      <c r="J648" s="209"/>
      <c r="K648" s="210"/>
      <c r="L648" s="390"/>
      <c r="M648" s="209"/>
      <c r="N648" s="210"/>
      <c r="O648" s="390"/>
      <c r="P648" s="209"/>
      <c r="Q648" s="210"/>
      <c r="R648" s="390"/>
      <c r="S648" s="209"/>
      <c r="T648" s="210"/>
      <c r="U648" s="390"/>
      <c r="V648" s="209"/>
      <c r="W648" s="210"/>
      <c r="X648" s="390"/>
      <c r="Y648" s="195"/>
      <c r="Z648" s="195"/>
      <c r="AA648" s="195"/>
      <c r="AB648" s="195"/>
      <c r="AC648" s="8"/>
      <c r="AD648" s="8"/>
      <c r="AE648" s="8"/>
      <c r="AF648" s="8"/>
      <c r="AG648" s="202"/>
      <c r="AH648" s="202"/>
      <c r="AI648" s="202"/>
      <c r="AJ648" s="202"/>
      <c r="AK648" s="8"/>
      <c r="AL648" s="8"/>
      <c r="AM648" s="8"/>
      <c r="AN648" s="8"/>
      <c r="AO648" s="8"/>
      <c r="AP648" s="8"/>
      <c r="AQ648" s="8"/>
      <c r="AR648" s="8"/>
      <c r="AS648" s="8"/>
      <c r="AT648" s="8"/>
      <c r="AU648" s="8"/>
      <c r="AV648" s="8"/>
    </row>
    <row r="649">
      <c r="A649" s="209"/>
      <c r="B649" s="210"/>
      <c r="C649" s="390"/>
      <c r="D649" s="209"/>
      <c r="E649" s="210"/>
      <c r="F649" s="390"/>
      <c r="G649" s="209"/>
      <c r="H649" s="210"/>
      <c r="I649" s="390"/>
      <c r="J649" s="209"/>
      <c r="K649" s="210"/>
      <c r="L649" s="390"/>
      <c r="M649" s="209"/>
      <c r="N649" s="210"/>
      <c r="O649" s="390"/>
      <c r="P649" s="209"/>
      <c r="Q649" s="210"/>
      <c r="R649" s="390"/>
      <c r="S649" s="209"/>
      <c r="T649" s="210"/>
      <c r="U649" s="390"/>
      <c r="V649" s="209"/>
      <c r="W649" s="210"/>
      <c r="X649" s="390"/>
      <c r="Y649" s="195"/>
      <c r="Z649" s="195"/>
      <c r="AA649" s="195"/>
      <c r="AB649" s="195"/>
      <c r="AC649" s="8"/>
      <c r="AD649" s="8"/>
      <c r="AE649" s="8"/>
      <c r="AF649" s="8"/>
      <c r="AG649" s="202"/>
      <c r="AH649" s="202"/>
      <c r="AI649" s="202"/>
      <c r="AJ649" s="202"/>
      <c r="AK649" s="8"/>
      <c r="AL649" s="8"/>
      <c r="AM649" s="8"/>
      <c r="AN649" s="8"/>
      <c r="AO649" s="8"/>
      <c r="AP649" s="8"/>
      <c r="AQ649" s="8"/>
      <c r="AR649" s="8"/>
      <c r="AS649" s="8"/>
      <c r="AT649" s="8"/>
      <c r="AU649" s="8"/>
      <c r="AV649" s="8"/>
    </row>
    <row r="650">
      <c r="A650" s="209"/>
      <c r="B650" s="210"/>
      <c r="C650" s="390"/>
      <c r="D650" s="209"/>
      <c r="E650" s="210"/>
      <c r="F650" s="390"/>
      <c r="G650" s="209"/>
      <c r="H650" s="210"/>
      <c r="I650" s="390"/>
      <c r="J650" s="209"/>
      <c r="K650" s="210"/>
      <c r="L650" s="390"/>
      <c r="M650" s="209"/>
      <c r="N650" s="210"/>
      <c r="O650" s="390"/>
      <c r="P650" s="209"/>
      <c r="Q650" s="210"/>
      <c r="R650" s="390"/>
      <c r="S650" s="209"/>
      <c r="T650" s="210"/>
      <c r="U650" s="390"/>
      <c r="V650" s="209"/>
      <c r="W650" s="210"/>
      <c r="X650" s="390"/>
      <c r="Y650" s="195"/>
      <c r="Z650" s="195"/>
      <c r="AA650" s="195"/>
      <c r="AB650" s="195"/>
      <c r="AC650" s="8"/>
      <c r="AD650" s="8"/>
      <c r="AE650" s="8"/>
      <c r="AF650" s="8"/>
      <c r="AG650" s="202"/>
      <c r="AH650" s="202"/>
      <c r="AI650" s="202"/>
      <c r="AJ650" s="202"/>
      <c r="AK650" s="8"/>
      <c r="AL650" s="8"/>
      <c r="AM650" s="8"/>
      <c r="AN650" s="8"/>
      <c r="AO650" s="8"/>
      <c r="AP650" s="8"/>
      <c r="AQ650" s="8"/>
      <c r="AR650" s="8"/>
      <c r="AS650" s="8"/>
      <c r="AT650" s="8"/>
      <c r="AU650" s="8"/>
      <c r="AV650" s="8"/>
    </row>
    <row r="651">
      <c r="A651" s="209"/>
      <c r="B651" s="210"/>
      <c r="C651" s="390"/>
      <c r="D651" s="209"/>
      <c r="E651" s="210"/>
      <c r="F651" s="390"/>
      <c r="G651" s="209"/>
      <c r="H651" s="210"/>
      <c r="I651" s="390"/>
      <c r="J651" s="209"/>
      <c r="K651" s="210"/>
      <c r="L651" s="390"/>
      <c r="M651" s="209"/>
      <c r="N651" s="210"/>
      <c r="O651" s="390"/>
      <c r="P651" s="209"/>
      <c r="Q651" s="210"/>
      <c r="R651" s="390"/>
      <c r="S651" s="209"/>
      <c r="T651" s="210"/>
      <c r="U651" s="390"/>
      <c r="V651" s="209"/>
      <c r="W651" s="210"/>
      <c r="X651" s="390"/>
      <c r="Y651" s="195"/>
      <c r="Z651" s="195"/>
      <c r="AA651" s="195"/>
      <c r="AB651" s="195"/>
      <c r="AC651" s="8"/>
      <c r="AD651" s="8"/>
      <c r="AE651" s="8"/>
      <c r="AF651" s="8"/>
      <c r="AG651" s="202"/>
      <c r="AH651" s="202"/>
      <c r="AI651" s="202"/>
      <c r="AJ651" s="202"/>
      <c r="AK651" s="8"/>
      <c r="AL651" s="8"/>
      <c r="AM651" s="8"/>
      <c r="AN651" s="8"/>
      <c r="AO651" s="8"/>
      <c r="AP651" s="8"/>
      <c r="AQ651" s="8"/>
      <c r="AR651" s="8"/>
      <c r="AS651" s="8"/>
      <c r="AT651" s="8"/>
      <c r="AU651" s="8"/>
      <c r="AV651" s="8"/>
    </row>
    <row r="652">
      <c r="A652" s="209"/>
      <c r="B652" s="210"/>
      <c r="C652" s="390"/>
      <c r="D652" s="209"/>
      <c r="E652" s="210"/>
      <c r="F652" s="390"/>
      <c r="G652" s="209"/>
      <c r="H652" s="210"/>
      <c r="I652" s="390"/>
      <c r="J652" s="209"/>
      <c r="K652" s="210"/>
      <c r="L652" s="390"/>
      <c r="M652" s="209"/>
      <c r="N652" s="210"/>
      <c r="O652" s="390"/>
      <c r="P652" s="209"/>
      <c r="Q652" s="210"/>
      <c r="R652" s="390"/>
      <c r="S652" s="209"/>
      <c r="T652" s="210"/>
      <c r="U652" s="390"/>
      <c r="V652" s="209"/>
      <c r="W652" s="210"/>
      <c r="X652" s="390"/>
      <c r="Y652" s="195"/>
      <c r="Z652" s="195"/>
      <c r="AA652" s="195"/>
      <c r="AB652" s="195"/>
      <c r="AC652" s="8"/>
      <c r="AD652" s="8"/>
      <c r="AE652" s="8"/>
      <c r="AF652" s="8"/>
      <c r="AG652" s="202"/>
      <c r="AH652" s="202"/>
      <c r="AI652" s="202"/>
      <c r="AJ652" s="202"/>
      <c r="AK652" s="8"/>
      <c r="AL652" s="8"/>
      <c r="AM652" s="8"/>
      <c r="AN652" s="8"/>
      <c r="AO652" s="8"/>
      <c r="AP652" s="8"/>
      <c r="AQ652" s="8"/>
      <c r="AR652" s="8"/>
      <c r="AS652" s="8"/>
      <c r="AT652" s="8"/>
      <c r="AU652" s="8"/>
      <c r="AV652" s="8"/>
    </row>
    <row r="653">
      <c r="A653" s="209"/>
      <c r="B653" s="210"/>
      <c r="C653" s="390"/>
      <c r="D653" s="209"/>
      <c r="E653" s="210"/>
      <c r="F653" s="390"/>
      <c r="G653" s="209"/>
      <c r="H653" s="210"/>
      <c r="I653" s="390"/>
      <c r="J653" s="209"/>
      <c r="K653" s="210"/>
      <c r="L653" s="390"/>
      <c r="M653" s="209"/>
      <c r="N653" s="210"/>
      <c r="O653" s="390"/>
      <c r="P653" s="209"/>
      <c r="Q653" s="210"/>
      <c r="R653" s="390"/>
      <c r="S653" s="209"/>
      <c r="T653" s="210"/>
      <c r="U653" s="390"/>
      <c r="V653" s="209"/>
      <c r="W653" s="210"/>
      <c r="X653" s="390"/>
      <c r="Y653" s="195"/>
      <c r="Z653" s="195"/>
      <c r="AA653" s="195"/>
      <c r="AB653" s="195"/>
      <c r="AC653" s="8"/>
      <c r="AD653" s="8"/>
      <c r="AE653" s="8"/>
      <c r="AF653" s="8"/>
      <c r="AG653" s="202"/>
      <c r="AH653" s="202"/>
      <c r="AI653" s="202"/>
      <c r="AJ653" s="202"/>
      <c r="AK653" s="8"/>
      <c r="AL653" s="8"/>
      <c r="AM653" s="8"/>
      <c r="AN653" s="8"/>
      <c r="AO653" s="8"/>
      <c r="AP653" s="8"/>
      <c r="AQ653" s="8"/>
      <c r="AR653" s="8"/>
      <c r="AS653" s="8"/>
      <c r="AT653" s="8"/>
      <c r="AU653" s="8"/>
      <c r="AV653" s="8"/>
    </row>
    <row r="654">
      <c r="A654" s="209"/>
      <c r="B654" s="210"/>
      <c r="C654" s="390"/>
      <c r="D654" s="209"/>
      <c r="E654" s="210"/>
      <c r="F654" s="390"/>
      <c r="G654" s="209"/>
      <c r="H654" s="210"/>
      <c r="I654" s="390"/>
      <c r="J654" s="209"/>
      <c r="K654" s="210"/>
      <c r="L654" s="390"/>
      <c r="M654" s="209"/>
      <c r="N654" s="210"/>
      <c r="O654" s="390"/>
      <c r="P654" s="209"/>
      <c r="Q654" s="210"/>
      <c r="R654" s="390"/>
      <c r="S654" s="209"/>
      <c r="T654" s="210"/>
      <c r="U654" s="390"/>
      <c r="V654" s="209"/>
      <c r="W654" s="210"/>
      <c r="X654" s="390"/>
      <c r="Y654" s="195"/>
      <c r="Z654" s="195"/>
      <c r="AA654" s="195"/>
      <c r="AB654" s="195"/>
      <c r="AC654" s="8"/>
      <c r="AD654" s="8"/>
      <c r="AE654" s="8"/>
      <c r="AF654" s="8"/>
      <c r="AG654" s="202"/>
      <c r="AH654" s="202"/>
      <c r="AI654" s="202"/>
      <c r="AJ654" s="202"/>
      <c r="AK654" s="8"/>
      <c r="AL654" s="8"/>
      <c r="AM654" s="8"/>
      <c r="AN654" s="8"/>
      <c r="AO654" s="8"/>
      <c r="AP654" s="8"/>
      <c r="AQ654" s="8"/>
      <c r="AR654" s="8"/>
      <c r="AS654" s="8"/>
      <c r="AT654" s="8"/>
      <c r="AU654" s="8"/>
      <c r="AV654" s="8"/>
    </row>
    <row r="655">
      <c r="A655" s="209"/>
      <c r="B655" s="210"/>
      <c r="C655" s="390"/>
      <c r="D655" s="209"/>
      <c r="E655" s="210"/>
      <c r="F655" s="390"/>
      <c r="G655" s="209"/>
      <c r="H655" s="210"/>
      <c r="I655" s="390"/>
      <c r="J655" s="209"/>
      <c r="K655" s="210"/>
      <c r="L655" s="390"/>
      <c r="M655" s="209"/>
      <c r="N655" s="210"/>
      <c r="O655" s="390"/>
      <c r="P655" s="209"/>
      <c r="Q655" s="210"/>
      <c r="R655" s="390"/>
      <c r="S655" s="209"/>
      <c r="T655" s="210"/>
      <c r="U655" s="390"/>
      <c r="V655" s="209"/>
      <c r="W655" s="210"/>
      <c r="X655" s="390"/>
      <c r="Y655" s="195"/>
      <c r="Z655" s="195"/>
      <c r="AA655" s="195"/>
      <c r="AB655" s="195"/>
      <c r="AC655" s="8"/>
      <c r="AD655" s="8"/>
      <c r="AE655" s="8"/>
      <c r="AF655" s="8"/>
      <c r="AG655" s="202"/>
      <c r="AH655" s="202"/>
      <c r="AI655" s="202"/>
      <c r="AJ655" s="202"/>
      <c r="AK655" s="8"/>
      <c r="AL655" s="8"/>
      <c r="AM655" s="8"/>
      <c r="AN655" s="8"/>
      <c r="AO655" s="8"/>
      <c r="AP655" s="8"/>
      <c r="AQ655" s="8"/>
      <c r="AR655" s="8"/>
      <c r="AS655" s="8"/>
      <c r="AT655" s="8"/>
      <c r="AU655" s="8"/>
      <c r="AV655" s="8"/>
    </row>
    <row r="656">
      <c r="A656" s="209"/>
      <c r="B656" s="210"/>
      <c r="C656" s="390"/>
      <c r="D656" s="209"/>
      <c r="E656" s="210"/>
      <c r="F656" s="390"/>
      <c r="G656" s="209"/>
      <c r="H656" s="210"/>
      <c r="I656" s="390"/>
      <c r="J656" s="209"/>
      <c r="K656" s="210"/>
      <c r="L656" s="390"/>
      <c r="M656" s="209"/>
      <c r="N656" s="210"/>
      <c r="O656" s="390"/>
      <c r="P656" s="209"/>
      <c r="Q656" s="210"/>
      <c r="R656" s="390"/>
      <c r="S656" s="209"/>
      <c r="T656" s="210"/>
      <c r="U656" s="390"/>
      <c r="V656" s="209"/>
      <c r="W656" s="210"/>
      <c r="X656" s="390"/>
      <c r="Y656" s="195"/>
      <c r="Z656" s="195"/>
      <c r="AA656" s="195"/>
      <c r="AB656" s="195"/>
      <c r="AC656" s="8"/>
      <c r="AD656" s="8"/>
      <c r="AE656" s="8"/>
      <c r="AF656" s="8"/>
      <c r="AG656" s="202"/>
      <c r="AH656" s="202"/>
      <c r="AI656" s="202"/>
      <c r="AJ656" s="202"/>
      <c r="AK656" s="8"/>
      <c r="AL656" s="8"/>
      <c r="AM656" s="8"/>
      <c r="AN656" s="8"/>
      <c r="AO656" s="8"/>
      <c r="AP656" s="8"/>
      <c r="AQ656" s="8"/>
      <c r="AR656" s="8"/>
      <c r="AS656" s="8"/>
      <c r="AT656" s="8"/>
      <c r="AU656" s="8"/>
      <c r="AV656" s="8"/>
    </row>
    <row r="657">
      <c r="A657" s="209"/>
      <c r="B657" s="210"/>
      <c r="C657" s="390"/>
      <c r="D657" s="209"/>
      <c r="E657" s="210"/>
      <c r="F657" s="390"/>
      <c r="G657" s="209"/>
      <c r="H657" s="210"/>
      <c r="I657" s="390"/>
      <c r="J657" s="209"/>
      <c r="K657" s="210"/>
      <c r="L657" s="390"/>
      <c r="M657" s="209"/>
      <c r="N657" s="210"/>
      <c r="O657" s="390"/>
      <c r="P657" s="209"/>
      <c r="Q657" s="210"/>
      <c r="R657" s="390"/>
      <c r="S657" s="209"/>
      <c r="T657" s="210"/>
      <c r="U657" s="390"/>
      <c r="V657" s="209"/>
      <c r="W657" s="210"/>
      <c r="X657" s="390"/>
      <c r="Y657" s="195"/>
      <c r="Z657" s="195"/>
      <c r="AA657" s="195"/>
      <c r="AB657" s="195"/>
      <c r="AC657" s="8"/>
      <c r="AD657" s="8"/>
      <c r="AE657" s="8"/>
      <c r="AF657" s="8"/>
      <c r="AG657" s="202"/>
      <c r="AH657" s="202"/>
      <c r="AI657" s="202"/>
      <c r="AJ657" s="202"/>
      <c r="AK657" s="8"/>
      <c r="AL657" s="8"/>
      <c r="AM657" s="8"/>
      <c r="AN657" s="8"/>
      <c r="AO657" s="8"/>
      <c r="AP657" s="8"/>
      <c r="AQ657" s="8"/>
      <c r="AR657" s="8"/>
      <c r="AS657" s="8"/>
      <c r="AT657" s="8"/>
      <c r="AU657" s="8"/>
      <c r="AV657" s="8"/>
    </row>
    <row r="658">
      <c r="A658" s="209"/>
      <c r="B658" s="210"/>
      <c r="C658" s="390"/>
      <c r="D658" s="209"/>
      <c r="E658" s="210"/>
      <c r="F658" s="390"/>
      <c r="G658" s="209"/>
      <c r="H658" s="210"/>
      <c r="I658" s="390"/>
      <c r="J658" s="209"/>
      <c r="K658" s="210"/>
      <c r="L658" s="390"/>
      <c r="M658" s="209"/>
      <c r="N658" s="210"/>
      <c r="O658" s="390"/>
      <c r="P658" s="209"/>
      <c r="Q658" s="210"/>
      <c r="R658" s="390"/>
      <c r="S658" s="209"/>
      <c r="T658" s="210"/>
      <c r="U658" s="390"/>
      <c r="V658" s="209"/>
      <c r="W658" s="210"/>
      <c r="X658" s="390"/>
      <c r="Y658" s="195"/>
      <c r="Z658" s="195"/>
      <c r="AA658" s="195"/>
      <c r="AB658" s="195"/>
      <c r="AC658" s="8"/>
      <c r="AD658" s="8"/>
      <c r="AE658" s="8"/>
      <c r="AF658" s="8"/>
      <c r="AG658" s="202"/>
      <c r="AH658" s="202"/>
      <c r="AI658" s="202"/>
      <c r="AJ658" s="202"/>
      <c r="AK658" s="8"/>
      <c r="AL658" s="8"/>
      <c r="AM658" s="8"/>
      <c r="AN658" s="8"/>
      <c r="AO658" s="8"/>
      <c r="AP658" s="8"/>
      <c r="AQ658" s="8"/>
      <c r="AR658" s="8"/>
      <c r="AS658" s="8"/>
      <c r="AT658" s="8"/>
      <c r="AU658" s="8"/>
      <c r="AV658" s="8"/>
    </row>
    <row r="659">
      <c r="A659" s="209"/>
      <c r="B659" s="210"/>
      <c r="C659" s="390"/>
      <c r="D659" s="209"/>
      <c r="E659" s="210"/>
      <c r="F659" s="390"/>
      <c r="G659" s="209"/>
      <c r="H659" s="210"/>
      <c r="I659" s="390"/>
      <c r="J659" s="209"/>
      <c r="K659" s="210"/>
      <c r="L659" s="390"/>
      <c r="M659" s="209"/>
      <c r="N659" s="210"/>
      <c r="O659" s="390"/>
      <c r="P659" s="209"/>
      <c r="Q659" s="210"/>
      <c r="R659" s="390"/>
      <c r="S659" s="209"/>
      <c r="T659" s="210"/>
      <c r="U659" s="390"/>
      <c r="V659" s="209"/>
      <c r="W659" s="210"/>
      <c r="X659" s="390"/>
      <c r="Y659" s="195"/>
      <c r="Z659" s="195"/>
      <c r="AA659" s="195"/>
      <c r="AB659" s="195"/>
      <c r="AC659" s="8"/>
      <c r="AD659" s="8"/>
      <c r="AE659" s="8"/>
      <c r="AF659" s="8"/>
      <c r="AG659" s="202"/>
      <c r="AH659" s="202"/>
      <c r="AI659" s="202"/>
      <c r="AJ659" s="202"/>
      <c r="AK659" s="8"/>
      <c r="AL659" s="8"/>
      <c r="AM659" s="8"/>
      <c r="AN659" s="8"/>
      <c r="AO659" s="8"/>
      <c r="AP659" s="8"/>
      <c r="AQ659" s="8"/>
      <c r="AR659" s="8"/>
      <c r="AS659" s="8"/>
      <c r="AT659" s="8"/>
      <c r="AU659" s="8"/>
      <c r="AV659" s="8"/>
    </row>
    <row r="660">
      <c r="A660" s="209"/>
      <c r="B660" s="210"/>
      <c r="C660" s="390"/>
      <c r="D660" s="209"/>
      <c r="E660" s="210"/>
      <c r="F660" s="390"/>
      <c r="G660" s="209"/>
      <c r="H660" s="210"/>
      <c r="I660" s="390"/>
      <c r="J660" s="209"/>
      <c r="K660" s="210"/>
      <c r="L660" s="390"/>
      <c r="M660" s="209"/>
      <c r="N660" s="210"/>
      <c r="O660" s="390"/>
      <c r="P660" s="209"/>
      <c r="Q660" s="210"/>
      <c r="R660" s="390"/>
      <c r="S660" s="209"/>
      <c r="T660" s="210"/>
      <c r="U660" s="390"/>
      <c r="V660" s="209"/>
      <c r="W660" s="210"/>
      <c r="X660" s="390"/>
      <c r="Y660" s="195"/>
      <c r="Z660" s="195"/>
      <c r="AA660" s="195"/>
      <c r="AB660" s="195"/>
      <c r="AC660" s="8"/>
      <c r="AD660" s="8"/>
      <c r="AE660" s="8"/>
      <c r="AF660" s="8"/>
      <c r="AG660" s="202"/>
      <c r="AH660" s="202"/>
      <c r="AI660" s="202"/>
      <c r="AJ660" s="202"/>
      <c r="AK660" s="8"/>
      <c r="AL660" s="8"/>
      <c r="AM660" s="8"/>
      <c r="AN660" s="8"/>
      <c r="AO660" s="8"/>
      <c r="AP660" s="8"/>
      <c r="AQ660" s="8"/>
      <c r="AR660" s="8"/>
      <c r="AS660" s="8"/>
      <c r="AT660" s="8"/>
      <c r="AU660" s="8"/>
      <c r="AV660" s="8"/>
    </row>
    <row r="661">
      <c r="A661" s="209"/>
      <c r="B661" s="210"/>
      <c r="C661" s="390"/>
      <c r="D661" s="209"/>
      <c r="E661" s="210"/>
      <c r="F661" s="390"/>
      <c r="G661" s="209"/>
      <c r="H661" s="210"/>
      <c r="I661" s="390"/>
      <c r="J661" s="209"/>
      <c r="K661" s="210"/>
      <c r="L661" s="390"/>
      <c r="M661" s="209"/>
      <c r="N661" s="210"/>
      <c r="O661" s="390"/>
      <c r="P661" s="209"/>
      <c r="Q661" s="210"/>
      <c r="R661" s="390"/>
      <c r="S661" s="209"/>
      <c r="T661" s="210"/>
      <c r="U661" s="390"/>
      <c r="V661" s="209"/>
      <c r="W661" s="210"/>
      <c r="X661" s="390"/>
      <c r="Y661" s="195"/>
      <c r="Z661" s="195"/>
      <c r="AA661" s="195"/>
      <c r="AB661" s="195"/>
      <c r="AC661" s="8"/>
      <c r="AD661" s="8"/>
      <c r="AE661" s="8"/>
      <c r="AF661" s="8"/>
      <c r="AG661" s="202"/>
      <c r="AH661" s="202"/>
      <c r="AI661" s="202"/>
      <c r="AJ661" s="202"/>
      <c r="AK661" s="8"/>
      <c r="AL661" s="8"/>
      <c r="AM661" s="8"/>
      <c r="AN661" s="8"/>
      <c r="AO661" s="8"/>
      <c r="AP661" s="8"/>
      <c r="AQ661" s="8"/>
      <c r="AR661" s="8"/>
      <c r="AS661" s="8"/>
      <c r="AT661" s="8"/>
      <c r="AU661" s="8"/>
      <c r="AV661" s="8"/>
    </row>
    <row r="662">
      <c r="A662" s="209"/>
      <c r="B662" s="210"/>
      <c r="C662" s="390"/>
      <c r="D662" s="209"/>
      <c r="E662" s="210"/>
      <c r="F662" s="390"/>
      <c r="G662" s="209"/>
      <c r="H662" s="210"/>
      <c r="I662" s="390"/>
      <c r="J662" s="209"/>
      <c r="K662" s="210"/>
      <c r="L662" s="390"/>
      <c r="M662" s="209"/>
      <c r="N662" s="210"/>
      <c r="O662" s="390"/>
      <c r="P662" s="209"/>
      <c r="Q662" s="210"/>
      <c r="R662" s="390"/>
      <c r="S662" s="209"/>
      <c r="T662" s="210"/>
      <c r="U662" s="390"/>
      <c r="V662" s="209"/>
      <c r="W662" s="210"/>
      <c r="X662" s="390"/>
      <c r="Y662" s="195"/>
      <c r="Z662" s="195"/>
      <c r="AA662" s="195"/>
      <c r="AB662" s="195"/>
      <c r="AC662" s="8"/>
      <c r="AD662" s="8"/>
      <c r="AE662" s="8"/>
      <c r="AF662" s="8"/>
      <c r="AG662" s="202"/>
      <c r="AH662" s="202"/>
      <c r="AI662" s="202"/>
      <c r="AJ662" s="202"/>
      <c r="AK662" s="8"/>
      <c r="AL662" s="8"/>
      <c r="AM662" s="8"/>
      <c r="AN662" s="8"/>
      <c r="AO662" s="8"/>
      <c r="AP662" s="8"/>
      <c r="AQ662" s="8"/>
      <c r="AR662" s="8"/>
      <c r="AS662" s="8"/>
      <c r="AT662" s="8"/>
      <c r="AU662" s="8"/>
      <c r="AV662" s="8"/>
    </row>
    <row r="663">
      <c r="A663" s="209"/>
      <c r="B663" s="210"/>
      <c r="C663" s="390"/>
      <c r="D663" s="209"/>
      <c r="E663" s="210"/>
      <c r="F663" s="390"/>
      <c r="G663" s="209"/>
      <c r="H663" s="210"/>
      <c r="I663" s="390"/>
      <c r="J663" s="209"/>
      <c r="K663" s="210"/>
      <c r="L663" s="390"/>
      <c r="M663" s="209"/>
      <c r="N663" s="210"/>
      <c r="O663" s="390"/>
      <c r="P663" s="209"/>
      <c r="Q663" s="210"/>
      <c r="R663" s="390"/>
      <c r="S663" s="209"/>
      <c r="T663" s="210"/>
      <c r="U663" s="390"/>
      <c r="V663" s="209"/>
      <c r="W663" s="210"/>
      <c r="X663" s="390"/>
      <c r="Y663" s="195"/>
      <c r="Z663" s="195"/>
      <c r="AA663" s="195"/>
      <c r="AB663" s="195"/>
      <c r="AC663" s="8"/>
      <c r="AD663" s="8"/>
      <c r="AE663" s="8"/>
      <c r="AF663" s="8"/>
      <c r="AG663" s="202"/>
      <c r="AH663" s="202"/>
      <c r="AI663" s="202"/>
      <c r="AJ663" s="202"/>
      <c r="AK663" s="8"/>
      <c r="AL663" s="8"/>
      <c r="AM663" s="8"/>
      <c r="AN663" s="8"/>
      <c r="AO663" s="8"/>
      <c r="AP663" s="8"/>
      <c r="AQ663" s="8"/>
      <c r="AR663" s="8"/>
      <c r="AS663" s="8"/>
      <c r="AT663" s="8"/>
      <c r="AU663" s="8"/>
      <c r="AV663" s="8"/>
    </row>
    <row r="664">
      <c r="A664" s="209"/>
      <c r="B664" s="210"/>
      <c r="C664" s="390"/>
      <c r="D664" s="209"/>
      <c r="E664" s="210"/>
      <c r="F664" s="390"/>
      <c r="G664" s="209"/>
      <c r="H664" s="210"/>
      <c r="I664" s="390"/>
      <c r="J664" s="209"/>
      <c r="K664" s="210"/>
      <c r="L664" s="390"/>
      <c r="M664" s="209"/>
      <c r="N664" s="210"/>
      <c r="O664" s="390"/>
      <c r="P664" s="209"/>
      <c r="Q664" s="210"/>
      <c r="R664" s="390"/>
      <c r="S664" s="209"/>
      <c r="T664" s="210"/>
      <c r="U664" s="390"/>
      <c r="V664" s="209"/>
      <c r="W664" s="210"/>
      <c r="X664" s="390"/>
      <c r="Y664" s="195"/>
      <c r="Z664" s="195"/>
      <c r="AA664" s="195"/>
      <c r="AB664" s="195"/>
      <c r="AC664" s="8"/>
      <c r="AD664" s="8"/>
      <c r="AE664" s="8"/>
      <c r="AF664" s="8"/>
      <c r="AG664" s="202"/>
      <c r="AH664" s="202"/>
      <c r="AI664" s="202"/>
      <c r="AJ664" s="202"/>
      <c r="AK664" s="8"/>
      <c r="AL664" s="8"/>
      <c r="AM664" s="8"/>
      <c r="AN664" s="8"/>
      <c r="AO664" s="8"/>
      <c r="AP664" s="8"/>
      <c r="AQ664" s="8"/>
      <c r="AR664" s="8"/>
      <c r="AS664" s="8"/>
      <c r="AT664" s="8"/>
      <c r="AU664" s="8"/>
      <c r="AV664" s="8"/>
    </row>
    <row r="665">
      <c r="A665" s="209"/>
      <c r="B665" s="210"/>
      <c r="C665" s="390"/>
      <c r="D665" s="209"/>
      <c r="E665" s="210"/>
      <c r="F665" s="390"/>
      <c r="G665" s="209"/>
      <c r="H665" s="210"/>
      <c r="I665" s="390"/>
      <c r="J665" s="209"/>
      <c r="K665" s="210"/>
      <c r="L665" s="390"/>
      <c r="M665" s="209"/>
      <c r="N665" s="210"/>
      <c r="O665" s="390"/>
      <c r="P665" s="209"/>
      <c r="Q665" s="210"/>
      <c r="R665" s="390"/>
      <c r="S665" s="209"/>
      <c r="T665" s="210"/>
      <c r="U665" s="390"/>
      <c r="V665" s="209"/>
      <c r="W665" s="210"/>
      <c r="X665" s="390"/>
      <c r="Y665" s="195"/>
      <c r="Z665" s="195"/>
      <c r="AA665" s="195"/>
      <c r="AB665" s="195"/>
      <c r="AC665" s="8"/>
      <c r="AD665" s="8"/>
      <c r="AE665" s="8"/>
      <c r="AF665" s="8"/>
      <c r="AG665" s="202"/>
      <c r="AH665" s="202"/>
      <c r="AI665" s="202"/>
      <c r="AJ665" s="202"/>
      <c r="AK665" s="8"/>
      <c r="AL665" s="8"/>
      <c r="AM665" s="8"/>
      <c r="AN665" s="8"/>
      <c r="AO665" s="8"/>
      <c r="AP665" s="8"/>
      <c r="AQ665" s="8"/>
      <c r="AR665" s="8"/>
      <c r="AS665" s="8"/>
      <c r="AT665" s="8"/>
      <c r="AU665" s="8"/>
      <c r="AV665" s="8"/>
    </row>
    <row r="666">
      <c r="A666" s="209"/>
      <c r="B666" s="210"/>
      <c r="C666" s="390"/>
      <c r="D666" s="209"/>
      <c r="E666" s="210"/>
      <c r="F666" s="390"/>
      <c r="G666" s="209"/>
      <c r="H666" s="210"/>
      <c r="I666" s="390"/>
      <c r="J666" s="209"/>
      <c r="K666" s="210"/>
      <c r="L666" s="390"/>
      <c r="M666" s="209"/>
      <c r="N666" s="210"/>
      <c r="O666" s="390"/>
      <c r="P666" s="209"/>
      <c r="Q666" s="210"/>
      <c r="R666" s="390"/>
      <c r="S666" s="209"/>
      <c r="T666" s="210"/>
      <c r="U666" s="390"/>
      <c r="V666" s="209"/>
      <c r="W666" s="210"/>
      <c r="X666" s="390"/>
      <c r="Y666" s="195"/>
      <c r="Z666" s="195"/>
      <c r="AA666" s="195"/>
      <c r="AB666" s="195"/>
      <c r="AC666" s="8"/>
      <c r="AD666" s="8"/>
      <c r="AE666" s="8"/>
      <c r="AF666" s="8"/>
      <c r="AG666" s="202"/>
      <c r="AH666" s="202"/>
      <c r="AI666" s="202"/>
      <c r="AJ666" s="202"/>
      <c r="AK666" s="8"/>
      <c r="AL666" s="8"/>
      <c r="AM666" s="8"/>
      <c r="AN666" s="8"/>
      <c r="AO666" s="8"/>
      <c r="AP666" s="8"/>
      <c r="AQ666" s="8"/>
      <c r="AR666" s="8"/>
      <c r="AS666" s="8"/>
      <c r="AT666" s="8"/>
      <c r="AU666" s="8"/>
      <c r="AV666" s="8"/>
    </row>
    <row r="667">
      <c r="A667" s="209"/>
      <c r="B667" s="210"/>
      <c r="C667" s="390"/>
      <c r="D667" s="209"/>
      <c r="E667" s="210"/>
      <c r="F667" s="390"/>
      <c r="G667" s="209"/>
      <c r="H667" s="210"/>
      <c r="I667" s="390"/>
      <c r="J667" s="209"/>
      <c r="K667" s="210"/>
      <c r="L667" s="390"/>
      <c r="M667" s="209"/>
      <c r="N667" s="210"/>
      <c r="O667" s="390"/>
      <c r="P667" s="209"/>
      <c r="Q667" s="210"/>
      <c r="R667" s="390"/>
      <c r="S667" s="209"/>
      <c r="T667" s="210"/>
      <c r="U667" s="390"/>
      <c r="V667" s="209"/>
      <c r="W667" s="210"/>
      <c r="X667" s="390"/>
      <c r="Y667" s="195"/>
      <c r="Z667" s="195"/>
      <c r="AA667" s="195"/>
      <c r="AB667" s="195"/>
      <c r="AC667" s="8"/>
      <c r="AD667" s="8"/>
      <c r="AE667" s="8"/>
      <c r="AF667" s="8"/>
      <c r="AG667" s="202"/>
      <c r="AH667" s="202"/>
      <c r="AI667" s="202"/>
      <c r="AJ667" s="202"/>
      <c r="AK667" s="8"/>
      <c r="AL667" s="8"/>
      <c r="AM667" s="8"/>
      <c r="AN667" s="8"/>
      <c r="AO667" s="8"/>
      <c r="AP667" s="8"/>
      <c r="AQ667" s="8"/>
      <c r="AR667" s="8"/>
      <c r="AS667" s="8"/>
      <c r="AT667" s="8"/>
      <c r="AU667" s="8"/>
      <c r="AV667" s="8"/>
    </row>
    <row r="668">
      <c r="A668" s="209"/>
      <c r="B668" s="210"/>
      <c r="C668" s="390"/>
      <c r="D668" s="209"/>
      <c r="E668" s="210"/>
      <c r="F668" s="390"/>
      <c r="G668" s="209"/>
      <c r="H668" s="210"/>
      <c r="I668" s="390"/>
      <c r="J668" s="209"/>
      <c r="K668" s="210"/>
      <c r="L668" s="390"/>
      <c r="M668" s="209"/>
      <c r="N668" s="210"/>
      <c r="O668" s="390"/>
      <c r="P668" s="209"/>
      <c r="Q668" s="210"/>
      <c r="R668" s="390"/>
      <c r="S668" s="209"/>
      <c r="T668" s="210"/>
      <c r="U668" s="390"/>
      <c r="V668" s="209"/>
      <c r="W668" s="210"/>
      <c r="X668" s="390"/>
      <c r="Y668" s="195"/>
      <c r="Z668" s="195"/>
      <c r="AA668" s="195"/>
      <c r="AB668" s="195"/>
      <c r="AC668" s="8"/>
      <c r="AD668" s="8"/>
      <c r="AE668" s="8"/>
      <c r="AF668" s="8"/>
      <c r="AG668" s="202"/>
      <c r="AH668" s="202"/>
      <c r="AI668" s="202"/>
      <c r="AJ668" s="202"/>
      <c r="AK668" s="8"/>
      <c r="AL668" s="8"/>
      <c r="AM668" s="8"/>
      <c r="AN668" s="8"/>
      <c r="AO668" s="8"/>
      <c r="AP668" s="8"/>
      <c r="AQ668" s="8"/>
      <c r="AR668" s="8"/>
      <c r="AS668" s="8"/>
      <c r="AT668" s="8"/>
      <c r="AU668" s="8"/>
      <c r="AV668" s="8"/>
    </row>
    <row r="669">
      <c r="A669" s="209"/>
      <c r="B669" s="210"/>
      <c r="C669" s="390"/>
      <c r="D669" s="209"/>
      <c r="E669" s="210"/>
      <c r="F669" s="390"/>
      <c r="G669" s="209"/>
      <c r="H669" s="210"/>
      <c r="I669" s="390"/>
      <c r="J669" s="209"/>
      <c r="K669" s="210"/>
      <c r="L669" s="390"/>
      <c r="M669" s="209"/>
      <c r="N669" s="210"/>
      <c r="O669" s="390"/>
      <c r="P669" s="209"/>
      <c r="Q669" s="210"/>
      <c r="R669" s="390"/>
      <c r="S669" s="209"/>
      <c r="T669" s="210"/>
      <c r="U669" s="390"/>
      <c r="V669" s="209"/>
      <c r="W669" s="210"/>
      <c r="X669" s="390"/>
      <c r="Y669" s="195"/>
      <c r="Z669" s="195"/>
      <c r="AA669" s="195"/>
      <c r="AB669" s="195"/>
      <c r="AC669" s="8"/>
      <c r="AD669" s="8"/>
      <c r="AE669" s="8"/>
      <c r="AF669" s="8"/>
      <c r="AG669" s="202"/>
      <c r="AH669" s="202"/>
      <c r="AI669" s="202"/>
      <c r="AJ669" s="202"/>
      <c r="AK669" s="8"/>
      <c r="AL669" s="8"/>
      <c r="AM669" s="8"/>
      <c r="AN669" s="8"/>
      <c r="AO669" s="8"/>
      <c r="AP669" s="8"/>
      <c r="AQ669" s="8"/>
      <c r="AR669" s="8"/>
      <c r="AS669" s="8"/>
      <c r="AT669" s="8"/>
      <c r="AU669" s="8"/>
      <c r="AV669" s="8"/>
    </row>
    <row r="670">
      <c r="A670" s="209"/>
      <c r="B670" s="210"/>
      <c r="C670" s="390"/>
      <c r="D670" s="209"/>
      <c r="E670" s="210"/>
      <c r="F670" s="390"/>
      <c r="G670" s="209"/>
      <c r="H670" s="210"/>
      <c r="I670" s="390"/>
      <c r="J670" s="209"/>
      <c r="K670" s="210"/>
      <c r="L670" s="390"/>
      <c r="M670" s="209"/>
      <c r="N670" s="210"/>
      <c r="O670" s="390"/>
      <c r="P670" s="209"/>
      <c r="Q670" s="210"/>
      <c r="R670" s="390"/>
      <c r="S670" s="209"/>
      <c r="T670" s="210"/>
      <c r="U670" s="390"/>
      <c r="V670" s="209"/>
      <c r="W670" s="210"/>
      <c r="X670" s="390"/>
      <c r="Y670" s="195"/>
      <c r="Z670" s="195"/>
      <c r="AA670" s="195"/>
      <c r="AB670" s="195"/>
      <c r="AC670" s="8"/>
      <c r="AD670" s="8"/>
      <c r="AE670" s="8"/>
      <c r="AF670" s="8"/>
      <c r="AG670" s="202"/>
      <c r="AH670" s="202"/>
      <c r="AI670" s="202"/>
      <c r="AJ670" s="202"/>
      <c r="AK670" s="8"/>
      <c r="AL670" s="8"/>
      <c r="AM670" s="8"/>
      <c r="AN670" s="8"/>
      <c r="AO670" s="8"/>
      <c r="AP670" s="8"/>
      <c r="AQ670" s="8"/>
      <c r="AR670" s="8"/>
      <c r="AS670" s="8"/>
      <c r="AT670" s="8"/>
      <c r="AU670" s="8"/>
      <c r="AV670" s="8"/>
    </row>
    <row r="671">
      <c r="A671" s="209"/>
      <c r="B671" s="210"/>
      <c r="C671" s="390"/>
      <c r="D671" s="209"/>
      <c r="E671" s="210"/>
      <c r="F671" s="390"/>
      <c r="G671" s="209"/>
      <c r="H671" s="210"/>
      <c r="I671" s="390"/>
      <c r="J671" s="209"/>
      <c r="K671" s="210"/>
      <c r="L671" s="390"/>
      <c r="M671" s="209"/>
      <c r="N671" s="210"/>
      <c r="O671" s="390"/>
      <c r="P671" s="209"/>
      <c r="Q671" s="210"/>
      <c r="R671" s="390"/>
      <c r="S671" s="209"/>
      <c r="T671" s="210"/>
      <c r="U671" s="390"/>
      <c r="V671" s="209"/>
      <c r="W671" s="210"/>
      <c r="X671" s="390"/>
      <c r="Y671" s="195"/>
      <c r="Z671" s="195"/>
      <c r="AA671" s="195"/>
      <c r="AB671" s="195"/>
      <c r="AC671" s="8"/>
      <c r="AD671" s="8"/>
      <c r="AE671" s="8"/>
      <c r="AF671" s="8"/>
      <c r="AG671" s="202"/>
      <c r="AH671" s="202"/>
      <c r="AI671" s="202"/>
      <c r="AJ671" s="202"/>
      <c r="AK671" s="8"/>
      <c r="AL671" s="8"/>
      <c r="AM671" s="8"/>
      <c r="AN671" s="8"/>
      <c r="AO671" s="8"/>
      <c r="AP671" s="8"/>
      <c r="AQ671" s="8"/>
      <c r="AR671" s="8"/>
      <c r="AS671" s="8"/>
      <c r="AT671" s="8"/>
      <c r="AU671" s="8"/>
      <c r="AV671" s="8"/>
    </row>
    <row r="672">
      <c r="A672" s="209"/>
      <c r="B672" s="210"/>
      <c r="C672" s="390"/>
      <c r="D672" s="209"/>
      <c r="E672" s="210"/>
      <c r="F672" s="390"/>
      <c r="G672" s="209"/>
      <c r="H672" s="210"/>
      <c r="I672" s="390"/>
      <c r="J672" s="209"/>
      <c r="K672" s="210"/>
      <c r="L672" s="390"/>
      <c r="M672" s="209"/>
      <c r="N672" s="210"/>
      <c r="O672" s="390"/>
      <c r="P672" s="209"/>
      <c r="Q672" s="210"/>
      <c r="R672" s="390"/>
      <c r="S672" s="209"/>
      <c r="T672" s="210"/>
      <c r="U672" s="390"/>
      <c r="V672" s="209"/>
      <c r="W672" s="210"/>
      <c r="X672" s="390"/>
      <c r="Y672" s="195"/>
      <c r="Z672" s="195"/>
      <c r="AA672" s="195"/>
      <c r="AB672" s="195"/>
      <c r="AC672" s="8"/>
      <c r="AD672" s="8"/>
      <c r="AE672" s="8"/>
      <c r="AF672" s="8"/>
      <c r="AG672" s="202"/>
      <c r="AH672" s="202"/>
      <c r="AI672" s="202"/>
      <c r="AJ672" s="202"/>
      <c r="AK672" s="8"/>
      <c r="AL672" s="8"/>
      <c r="AM672" s="8"/>
      <c r="AN672" s="8"/>
      <c r="AO672" s="8"/>
      <c r="AP672" s="8"/>
      <c r="AQ672" s="8"/>
      <c r="AR672" s="8"/>
      <c r="AS672" s="8"/>
      <c r="AT672" s="8"/>
      <c r="AU672" s="8"/>
      <c r="AV672" s="8"/>
    </row>
    <row r="673">
      <c r="A673" s="209"/>
      <c r="B673" s="210"/>
      <c r="C673" s="390"/>
      <c r="D673" s="209"/>
      <c r="E673" s="210"/>
      <c r="F673" s="390"/>
      <c r="G673" s="209"/>
      <c r="H673" s="210"/>
      <c r="I673" s="390"/>
      <c r="J673" s="209"/>
      <c r="K673" s="210"/>
      <c r="L673" s="390"/>
      <c r="M673" s="209"/>
      <c r="N673" s="210"/>
      <c r="O673" s="390"/>
      <c r="P673" s="209"/>
      <c r="Q673" s="210"/>
      <c r="R673" s="390"/>
      <c r="S673" s="209"/>
      <c r="T673" s="210"/>
      <c r="U673" s="390"/>
      <c r="V673" s="209"/>
      <c r="W673" s="210"/>
      <c r="X673" s="390"/>
      <c r="Y673" s="195"/>
      <c r="Z673" s="195"/>
      <c r="AA673" s="195"/>
      <c r="AB673" s="195"/>
      <c r="AC673" s="8"/>
      <c r="AD673" s="8"/>
      <c r="AE673" s="8"/>
      <c r="AF673" s="8"/>
      <c r="AG673" s="202"/>
      <c r="AH673" s="202"/>
      <c r="AI673" s="202"/>
      <c r="AJ673" s="202"/>
      <c r="AK673" s="8"/>
      <c r="AL673" s="8"/>
      <c r="AM673" s="8"/>
      <c r="AN673" s="8"/>
      <c r="AO673" s="8"/>
      <c r="AP673" s="8"/>
      <c r="AQ673" s="8"/>
      <c r="AR673" s="8"/>
      <c r="AS673" s="8"/>
      <c r="AT673" s="8"/>
      <c r="AU673" s="8"/>
      <c r="AV673" s="8"/>
    </row>
    <row r="674">
      <c r="A674" s="209"/>
      <c r="B674" s="210"/>
      <c r="C674" s="390"/>
      <c r="D674" s="209"/>
      <c r="E674" s="210"/>
      <c r="F674" s="390"/>
      <c r="G674" s="209"/>
      <c r="H674" s="210"/>
      <c r="I674" s="390"/>
      <c r="J674" s="209"/>
      <c r="K674" s="210"/>
      <c r="L674" s="390"/>
      <c r="M674" s="209"/>
      <c r="N674" s="210"/>
      <c r="O674" s="390"/>
      <c r="P674" s="209"/>
      <c r="Q674" s="210"/>
      <c r="R674" s="390"/>
      <c r="S674" s="209"/>
      <c r="T674" s="210"/>
      <c r="U674" s="390"/>
      <c r="V674" s="209"/>
      <c r="W674" s="210"/>
      <c r="X674" s="390"/>
      <c r="Y674" s="195"/>
      <c r="Z674" s="195"/>
      <c r="AA674" s="195"/>
      <c r="AB674" s="195"/>
      <c r="AC674" s="8"/>
      <c r="AD674" s="8"/>
      <c r="AE674" s="8"/>
      <c r="AF674" s="8"/>
      <c r="AG674" s="202"/>
      <c r="AH674" s="202"/>
      <c r="AI674" s="202"/>
      <c r="AJ674" s="202"/>
      <c r="AK674" s="8"/>
      <c r="AL674" s="8"/>
      <c r="AM674" s="8"/>
      <c r="AN674" s="8"/>
      <c r="AO674" s="8"/>
      <c r="AP674" s="8"/>
      <c r="AQ674" s="8"/>
      <c r="AR674" s="8"/>
      <c r="AS674" s="8"/>
      <c r="AT674" s="8"/>
      <c r="AU674" s="8"/>
      <c r="AV674" s="8"/>
    </row>
    <row r="675">
      <c r="A675" s="209"/>
      <c r="B675" s="210"/>
      <c r="C675" s="390"/>
      <c r="D675" s="209"/>
      <c r="E675" s="210"/>
      <c r="F675" s="390"/>
      <c r="G675" s="209"/>
      <c r="H675" s="210"/>
      <c r="I675" s="390"/>
      <c r="J675" s="209"/>
      <c r="K675" s="210"/>
      <c r="L675" s="390"/>
      <c r="M675" s="209"/>
      <c r="N675" s="210"/>
      <c r="O675" s="390"/>
      <c r="P675" s="209"/>
      <c r="Q675" s="210"/>
      <c r="R675" s="390"/>
      <c r="S675" s="209"/>
      <c r="T675" s="210"/>
      <c r="U675" s="390"/>
      <c r="V675" s="209"/>
      <c r="W675" s="210"/>
      <c r="X675" s="390"/>
      <c r="Y675" s="195"/>
      <c r="Z675" s="195"/>
      <c r="AA675" s="195"/>
      <c r="AB675" s="195"/>
      <c r="AC675" s="8"/>
      <c r="AD675" s="8"/>
      <c r="AE675" s="8"/>
      <c r="AF675" s="8"/>
      <c r="AG675" s="202"/>
      <c r="AH675" s="202"/>
      <c r="AI675" s="202"/>
      <c r="AJ675" s="202"/>
      <c r="AK675" s="8"/>
      <c r="AL675" s="8"/>
      <c r="AM675" s="8"/>
      <c r="AN675" s="8"/>
      <c r="AO675" s="8"/>
      <c r="AP675" s="8"/>
      <c r="AQ675" s="8"/>
      <c r="AR675" s="8"/>
      <c r="AS675" s="8"/>
      <c r="AT675" s="8"/>
      <c r="AU675" s="8"/>
      <c r="AV675" s="8"/>
    </row>
    <row r="676">
      <c r="A676" s="209"/>
      <c r="B676" s="210"/>
      <c r="C676" s="390"/>
      <c r="D676" s="209"/>
      <c r="E676" s="210"/>
      <c r="F676" s="390"/>
      <c r="G676" s="209"/>
      <c r="H676" s="210"/>
      <c r="I676" s="390"/>
      <c r="J676" s="209"/>
      <c r="K676" s="210"/>
      <c r="L676" s="390"/>
      <c r="M676" s="209"/>
      <c r="N676" s="210"/>
      <c r="O676" s="390"/>
      <c r="P676" s="209"/>
      <c r="Q676" s="210"/>
      <c r="R676" s="390"/>
      <c r="S676" s="209"/>
      <c r="T676" s="210"/>
      <c r="U676" s="390"/>
      <c r="V676" s="209"/>
      <c r="W676" s="210"/>
      <c r="X676" s="390"/>
      <c r="Y676" s="195"/>
      <c r="Z676" s="195"/>
      <c r="AA676" s="195"/>
      <c r="AB676" s="195"/>
      <c r="AC676" s="8"/>
      <c r="AD676" s="8"/>
      <c r="AE676" s="8"/>
      <c r="AF676" s="8"/>
      <c r="AG676" s="202"/>
      <c r="AH676" s="202"/>
      <c r="AI676" s="202"/>
      <c r="AJ676" s="202"/>
      <c r="AK676" s="8"/>
      <c r="AL676" s="8"/>
      <c r="AM676" s="8"/>
      <c r="AN676" s="8"/>
      <c r="AO676" s="8"/>
      <c r="AP676" s="8"/>
      <c r="AQ676" s="8"/>
      <c r="AR676" s="8"/>
      <c r="AS676" s="8"/>
      <c r="AT676" s="8"/>
      <c r="AU676" s="8"/>
      <c r="AV676" s="8"/>
    </row>
    <row r="677">
      <c r="A677" s="209"/>
      <c r="B677" s="210"/>
      <c r="C677" s="390"/>
      <c r="D677" s="209"/>
      <c r="E677" s="210"/>
      <c r="F677" s="390"/>
      <c r="G677" s="209"/>
      <c r="H677" s="210"/>
      <c r="I677" s="390"/>
      <c r="J677" s="209"/>
      <c r="K677" s="210"/>
      <c r="L677" s="390"/>
      <c r="M677" s="209"/>
      <c r="N677" s="210"/>
      <c r="O677" s="390"/>
      <c r="P677" s="209"/>
      <c r="Q677" s="210"/>
      <c r="R677" s="390"/>
      <c r="S677" s="209"/>
      <c r="T677" s="210"/>
      <c r="U677" s="390"/>
      <c r="V677" s="209"/>
      <c r="W677" s="210"/>
      <c r="X677" s="390"/>
      <c r="Y677" s="195"/>
      <c r="Z677" s="195"/>
      <c r="AA677" s="195"/>
      <c r="AB677" s="195"/>
      <c r="AC677" s="8"/>
      <c r="AD677" s="8"/>
      <c r="AE677" s="8"/>
      <c r="AF677" s="8"/>
      <c r="AG677" s="202"/>
      <c r="AH677" s="202"/>
      <c r="AI677" s="202"/>
      <c r="AJ677" s="202"/>
      <c r="AK677" s="8"/>
      <c r="AL677" s="8"/>
      <c r="AM677" s="8"/>
      <c r="AN677" s="8"/>
      <c r="AO677" s="8"/>
      <c r="AP677" s="8"/>
      <c r="AQ677" s="8"/>
      <c r="AR677" s="8"/>
      <c r="AS677" s="8"/>
      <c r="AT677" s="8"/>
      <c r="AU677" s="8"/>
      <c r="AV677" s="8"/>
    </row>
    <row r="678">
      <c r="A678" s="209"/>
      <c r="B678" s="210"/>
      <c r="C678" s="390"/>
      <c r="D678" s="209"/>
      <c r="E678" s="210"/>
      <c r="F678" s="390"/>
      <c r="G678" s="209"/>
      <c r="H678" s="210"/>
      <c r="I678" s="390"/>
      <c r="J678" s="209"/>
      <c r="K678" s="210"/>
      <c r="L678" s="390"/>
      <c r="M678" s="209"/>
      <c r="N678" s="210"/>
      <c r="O678" s="390"/>
      <c r="P678" s="209"/>
      <c r="Q678" s="210"/>
      <c r="R678" s="390"/>
      <c r="S678" s="209"/>
      <c r="T678" s="210"/>
      <c r="U678" s="390"/>
      <c r="V678" s="209"/>
      <c r="W678" s="210"/>
      <c r="X678" s="390"/>
      <c r="Y678" s="195"/>
      <c r="Z678" s="195"/>
      <c r="AA678" s="195"/>
      <c r="AB678" s="195"/>
      <c r="AC678" s="8"/>
      <c r="AD678" s="8"/>
      <c r="AE678" s="8"/>
      <c r="AF678" s="8"/>
      <c r="AG678" s="202"/>
      <c r="AH678" s="202"/>
      <c r="AI678" s="202"/>
      <c r="AJ678" s="202"/>
      <c r="AK678" s="8"/>
      <c r="AL678" s="8"/>
      <c r="AM678" s="8"/>
      <c r="AN678" s="8"/>
      <c r="AO678" s="8"/>
      <c r="AP678" s="8"/>
      <c r="AQ678" s="8"/>
      <c r="AR678" s="8"/>
      <c r="AS678" s="8"/>
      <c r="AT678" s="8"/>
      <c r="AU678" s="8"/>
      <c r="AV678" s="8"/>
    </row>
    <row r="679">
      <c r="A679" s="209"/>
      <c r="B679" s="210"/>
      <c r="C679" s="390"/>
      <c r="D679" s="209"/>
      <c r="E679" s="210"/>
      <c r="F679" s="390"/>
      <c r="G679" s="209"/>
      <c r="H679" s="210"/>
      <c r="I679" s="390"/>
      <c r="J679" s="209"/>
      <c r="K679" s="210"/>
      <c r="L679" s="390"/>
      <c r="M679" s="209"/>
      <c r="N679" s="210"/>
      <c r="O679" s="390"/>
      <c r="P679" s="209"/>
      <c r="Q679" s="210"/>
      <c r="R679" s="390"/>
      <c r="S679" s="209"/>
      <c r="T679" s="210"/>
      <c r="U679" s="390"/>
      <c r="V679" s="209"/>
      <c r="W679" s="210"/>
      <c r="X679" s="390"/>
      <c r="Y679" s="195"/>
      <c r="Z679" s="195"/>
      <c r="AA679" s="195"/>
      <c r="AB679" s="195"/>
      <c r="AC679" s="8"/>
      <c r="AD679" s="8"/>
      <c r="AE679" s="8"/>
      <c r="AF679" s="8"/>
      <c r="AG679" s="202"/>
      <c r="AH679" s="202"/>
      <c r="AI679" s="202"/>
      <c r="AJ679" s="202"/>
      <c r="AK679" s="8"/>
      <c r="AL679" s="8"/>
      <c r="AM679" s="8"/>
      <c r="AN679" s="8"/>
      <c r="AO679" s="8"/>
      <c r="AP679" s="8"/>
      <c r="AQ679" s="8"/>
      <c r="AR679" s="8"/>
      <c r="AS679" s="8"/>
      <c r="AT679" s="8"/>
      <c r="AU679" s="8"/>
      <c r="AV679" s="8"/>
    </row>
    <row r="680">
      <c r="A680" s="209"/>
      <c r="B680" s="210"/>
      <c r="C680" s="390"/>
      <c r="D680" s="209"/>
      <c r="E680" s="210"/>
      <c r="F680" s="390"/>
      <c r="G680" s="209"/>
      <c r="H680" s="210"/>
      <c r="I680" s="390"/>
      <c r="J680" s="209"/>
      <c r="K680" s="210"/>
      <c r="L680" s="390"/>
      <c r="M680" s="209"/>
      <c r="N680" s="210"/>
      <c r="O680" s="390"/>
      <c r="P680" s="209"/>
      <c r="Q680" s="210"/>
      <c r="R680" s="390"/>
      <c r="S680" s="209"/>
      <c r="T680" s="210"/>
      <c r="U680" s="390"/>
      <c r="V680" s="209"/>
      <c r="W680" s="210"/>
      <c r="X680" s="390"/>
      <c r="Y680" s="195"/>
      <c r="Z680" s="195"/>
      <c r="AA680" s="195"/>
      <c r="AB680" s="195"/>
      <c r="AC680" s="8"/>
      <c r="AD680" s="8"/>
      <c r="AE680" s="8"/>
      <c r="AF680" s="8"/>
      <c r="AG680" s="202"/>
      <c r="AH680" s="202"/>
      <c r="AI680" s="202"/>
      <c r="AJ680" s="202"/>
      <c r="AK680" s="8"/>
      <c r="AL680" s="8"/>
      <c r="AM680" s="8"/>
      <c r="AN680" s="8"/>
      <c r="AO680" s="8"/>
      <c r="AP680" s="8"/>
      <c r="AQ680" s="8"/>
      <c r="AR680" s="8"/>
      <c r="AS680" s="8"/>
      <c r="AT680" s="8"/>
      <c r="AU680" s="8"/>
      <c r="AV680" s="8"/>
    </row>
    <row r="681">
      <c r="A681" s="209"/>
      <c r="B681" s="210"/>
      <c r="C681" s="390"/>
      <c r="D681" s="209"/>
      <c r="E681" s="210"/>
      <c r="F681" s="390"/>
      <c r="G681" s="209"/>
      <c r="H681" s="210"/>
      <c r="I681" s="390"/>
      <c r="J681" s="209"/>
      <c r="K681" s="210"/>
      <c r="L681" s="390"/>
      <c r="M681" s="209"/>
      <c r="N681" s="210"/>
      <c r="O681" s="390"/>
      <c r="P681" s="209"/>
      <c r="Q681" s="210"/>
      <c r="R681" s="390"/>
      <c r="S681" s="209"/>
      <c r="T681" s="210"/>
      <c r="U681" s="390"/>
      <c r="V681" s="209"/>
      <c r="W681" s="210"/>
      <c r="X681" s="390"/>
      <c r="Y681" s="195"/>
      <c r="Z681" s="195"/>
      <c r="AA681" s="195"/>
      <c r="AB681" s="195"/>
      <c r="AC681" s="8"/>
      <c r="AD681" s="8"/>
      <c r="AE681" s="8"/>
      <c r="AF681" s="8"/>
      <c r="AG681" s="202"/>
      <c r="AH681" s="202"/>
      <c r="AI681" s="202"/>
      <c r="AJ681" s="202"/>
      <c r="AK681" s="8"/>
      <c r="AL681" s="8"/>
      <c r="AM681" s="8"/>
      <c r="AN681" s="8"/>
      <c r="AO681" s="8"/>
      <c r="AP681" s="8"/>
      <c r="AQ681" s="8"/>
      <c r="AR681" s="8"/>
      <c r="AS681" s="8"/>
      <c r="AT681" s="8"/>
      <c r="AU681" s="8"/>
      <c r="AV681" s="8"/>
    </row>
    <row r="682">
      <c r="A682" s="209"/>
      <c r="B682" s="210"/>
      <c r="C682" s="390"/>
      <c r="D682" s="209"/>
      <c r="E682" s="210"/>
      <c r="F682" s="390"/>
      <c r="G682" s="209"/>
      <c r="H682" s="210"/>
      <c r="I682" s="390"/>
      <c r="J682" s="209"/>
      <c r="K682" s="210"/>
      <c r="L682" s="390"/>
      <c r="M682" s="209"/>
      <c r="N682" s="210"/>
      <c r="O682" s="390"/>
      <c r="P682" s="209"/>
      <c r="Q682" s="210"/>
      <c r="R682" s="390"/>
      <c r="S682" s="209"/>
      <c r="T682" s="210"/>
      <c r="U682" s="390"/>
      <c r="V682" s="209"/>
      <c r="W682" s="210"/>
      <c r="X682" s="390"/>
      <c r="Y682" s="195"/>
      <c r="Z682" s="195"/>
      <c r="AA682" s="195"/>
      <c r="AB682" s="195"/>
      <c r="AC682" s="8"/>
      <c r="AD682" s="8"/>
      <c r="AE682" s="8"/>
      <c r="AF682" s="8"/>
      <c r="AG682" s="202"/>
      <c r="AH682" s="202"/>
      <c r="AI682" s="202"/>
      <c r="AJ682" s="202"/>
      <c r="AK682" s="8"/>
      <c r="AL682" s="8"/>
      <c r="AM682" s="8"/>
      <c r="AN682" s="8"/>
      <c r="AO682" s="8"/>
      <c r="AP682" s="8"/>
      <c r="AQ682" s="8"/>
      <c r="AR682" s="8"/>
      <c r="AS682" s="8"/>
      <c r="AT682" s="8"/>
      <c r="AU682" s="8"/>
      <c r="AV682" s="8"/>
    </row>
    <row r="683">
      <c r="A683" s="209"/>
      <c r="B683" s="210"/>
      <c r="C683" s="390"/>
      <c r="D683" s="209"/>
      <c r="E683" s="210"/>
      <c r="F683" s="390"/>
      <c r="G683" s="209"/>
      <c r="H683" s="210"/>
      <c r="I683" s="390"/>
      <c r="J683" s="209"/>
      <c r="K683" s="210"/>
      <c r="L683" s="390"/>
      <c r="M683" s="209"/>
      <c r="N683" s="210"/>
      <c r="O683" s="390"/>
      <c r="P683" s="209"/>
      <c r="Q683" s="210"/>
      <c r="R683" s="390"/>
      <c r="S683" s="209"/>
      <c r="T683" s="210"/>
      <c r="U683" s="390"/>
      <c r="V683" s="209"/>
      <c r="W683" s="210"/>
      <c r="X683" s="390"/>
      <c r="Y683" s="195"/>
      <c r="Z683" s="195"/>
      <c r="AA683" s="195"/>
      <c r="AB683" s="195"/>
      <c r="AC683" s="8"/>
      <c r="AD683" s="8"/>
      <c r="AE683" s="8"/>
      <c r="AF683" s="8"/>
      <c r="AG683" s="202"/>
      <c r="AH683" s="202"/>
      <c r="AI683" s="202"/>
      <c r="AJ683" s="202"/>
      <c r="AK683" s="8"/>
      <c r="AL683" s="8"/>
      <c r="AM683" s="8"/>
      <c r="AN683" s="8"/>
      <c r="AO683" s="8"/>
      <c r="AP683" s="8"/>
      <c r="AQ683" s="8"/>
      <c r="AR683" s="8"/>
      <c r="AS683" s="8"/>
      <c r="AT683" s="8"/>
      <c r="AU683" s="8"/>
      <c r="AV683" s="8"/>
    </row>
    <row r="684">
      <c r="A684" s="209"/>
      <c r="B684" s="210"/>
      <c r="C684" s="390"/>
      <c r="D684" s="209"/>
      <c r="E684" s="210"/>
      <c r="F684" s="390"/>
      <c r="G684" s="209"/>
      <c r="H684" s="210"/>
      <c r="I684" s="390"/>
      <c r="J684" s="209"/>
      <c r="K684" s="210"/>
      <c r="L684" s="390"/>
      <c r="M684" s="209"/>
      <c r="N684" s="210"/>
      <c r="O684" s="390"/>
      <c r="P684" s="209"/>
      <c r="Q684" s="210"/>
      <c r="R684" s="390"/>
      <c r="S684" s="209"/>
      <c r="T684" s="210"/>
      <c r="U684" s="390"/>
      <c r="V684" s="209"/>
      <c r="W684" s="210"/>
      <c r="X684" s="390"/>
      <c r="Y684" s="195"/>
      <c r="Z684" s="195"/>
      <c r="AA684" s="195"/>
      <c r="AB684" s="195"/>
      <c r="AC684" s="8"/>
      <c r="AD684" s="8"/>
      <c r="AE684" s="8"/>
      <c r="AF684" s="8"/>
      <c r="AG684" s="202"/>
      <c r="AH684" s="202"/>
      <c r="AI684" s="202"/>
      <c r="AJ684" s="202"/>
      <c r="AK684" s="8"/>
      <c r="AL684" s="8"/>
      <c r="AM684" s="8"/>
      <c r="AN684" s="8"/>
      <c r="AO684" s="8"/>
      <c r="AP684" s="8"/>
      <c r="AQ684" s="8"/>
      <c r="AR684" s="8"/>
      <c r="AS684" s="8"/>
      <c r="AT684" s="8"/>
      <c r="AU684" s="8"/>
      <c r="AV684" s="8"/>
    </row>
    <row r="685">
      <c r="A685" s="209"/>
      <c r="B685" s="210"/>
      <c r="C685" s="390"/>
      <c r="D685" s="209"/>
      <c r="E685" s="210"/>
      <c r="F685" s="390"/>
      <c r="G685" s="209"/>
      <c r="H685" s="210"/>
      <c r="I685" s="390"/>
      <c r="J685" s="209"/>
      <c r="K685" s="210"/>
      <c r="L685" s="390"/>
      <c r="M685" s="209"/>
      <c r="N685" s="210"/>
      <c r="O685" s="390"/>
      <c r="P685" s="209"/>
      <c r="Q685" s="210"/>
      <c r="R685" s="390"/>
      <c r="S685" s="209"/>
      <c r="T685" s="210"/>
      <c r="U685" s="390"/>
      <c r="V685" s="209"/>
      <c r="W685" s="210"/>
      <c r="X685" s="390"/>
      <c r="Y685" s="195"/>
      <c r="Z685" s="195"/>
      <c r="AA685" s="195"/>
      <c r="AB685" s="195"/>
      <c r="AC685" s="8"/>
      <c r="AD685" s="8"/>
      <c r="AE685" s="8"/>
      <c r="AF685" s="8"/>
      <c r="AG685" s="202"/>
      <c r="AH685" s="202"/>
      <c r="AI685" s="202"/>
      <c r="AJ685" s="202"/>
      <c r="AK685" s="8"/>
      <c r="AL685" s="8"/>
      <c r="AM685" s="8"/>
      <c r="AN685" s="8"/>
      <c r="AO685" s="8"/>
      <c r="AP685" s="8"/>
      <c r="AQ685" s="8"/>
      <c r="AR685" s="8"/>
      <c r="AS685" s="8"/>
      <c r="AT685" s="8"/>
      <c r="AU685" s="8"/>
      <c r="AV685" s="8"/>
    </row>
    <row r="686">
      <c r="A686" s="209"/>
      <c r="B686" s="210"/>
      <c r="C686" s="390"/>
      <c r="D686" s="209"/>
      <c r="E686" s="210"/>
      <c r="F686" s="390"/>
      <c r="G686" s="209"/>
      <c r="H686" s="210"/>
      <c r="I686" s="390"/>
      <c r="J686" s="209"/>
      <c r="K686" s="210"/>
      <c r="L686" s="390"/>
      <c r="M686" s="209"/>
      <c r="N686" s="210"/>
      <c r="O686" s="390"/>
      <c r="P686" s="209"/>
      <c r="Q686" s="210"/>
      <c r="R686" s="390"/>
      <c r="S686" s="209"/>
      <c r="T686" s="210"/>
      <c r="U686" s="390"/>
      <c r="V686" s="209"/>
      <c r="W686" s="210"/>
      <c r="X686" s="390"/>
      <c r="Y686" s="195"/>
      <c r="Z686" s="195"/>
      <c r="AA686" s="195"/>
      <c r="AB686" s="195"/>
      <c r="AC686" s="8"/>
      <c r="AD686" s="8"/>
      <c r="AE686" s="8"/>
      <c r="AF686" s="8"/>
      <c r="AG686" s="202"/>
      <c r="AH686" s="202"/>
      <c r="AI686" s="202"/>
      <c r="AJ686" s="202"/>
      <c r="AK686" s="8"/>
      <c r="AL686" s="8"/>
      <c r="AM686" s="8"/>
      <c r="AN686" s="8"/>
      <c r="AO686" s="8"/>
      <c r="AP686" s="8"/>
      <c r="AQ686" s="8"/>
      <c r="AR686" s="8"/>
      <c r="AS686" s="8"/>
      <c r="AT686" s="8"/>
      <c r="AU686" s="8"/>
      <c r="AV686" s="8"/>
    </row>
    <row r="687">
      <c r="A687" s="209"/>
      <c r="B687" s="210"/>
      <c r="C687" s="390"/>
      <c r="D687" s="209"/>
      <c r="E687" s="210"/>
      <c r="F687" s="390"/>
      <c r="G687" s="209"/>
      <c r="H687" s="210"/>
      <c r="I687" s="390"/>
      <c r="J687" s="209"/>
      <c r="K687" s="210"/>
      <c r="L687" s="390"/>
      <c r="M687" s="209"/>
      <c r="N687" s="210"/>
      <c r="O687" s="390"/>
      <c r="P687" s="209"/>
      <c r="Q687" s="210"/>
      <c r="R687" s="390"/>
      <c r="S687" s="209"/>
      <c r="T687" s="210"/>
      <c r="U687" s="390"/>
      <c r="V687" s="209"/>
      <c r="W687" s="210"/>
      <c r="X687" s="390"/>
      <c r="Y687" s="195"/>
      <c r="Z687" s="195"/>
      <c r="AA687" s="195"/>
      <c r="AB687" s="195"/>
      <c r="AC687" s="8"/>
      <c r="AD687" s="8"/>
      <c r="AE687" s="8"/>
      <c r="AF687" s="8"/>
      <c r="AG687" s="202"/>
      <c r="AH687" s="202"/>
      <c r="AI687" s="202"/>
      <c r="AJ687" s="202"/>
      <c r="AK687" s="8"/>
      <c r="AL687" s="8"/>
      <c r="AM687" s="8"/>
      <c r="AN687" s="8"/>
      <c r="AO687" s="8"/>
      <c r="AP687" s="8"/>
      <c r="AQ687" s="8"/>
      <c r="AR687" s="8"/>
      <c r="AS687" s="8"/>
      <c r="AT687" s="8"/>
      <c r="AU687" s="8"/>
      <c r="AV687" s="8"/>
    </row>
    <row r="688">
      <c r="A688" s="209"/>
      <c r="B688" s="210"/>
      <c r="C688" s="390"/>
      <c r="D688" s="209"/>
      <c r="E688" s="210"/>
      <c r="F688" s="390"/>
      <c r="G688" s="209"/>
      <c r="H688" s="210"/>
      <c r="I688" s="390"/>
      <c r="J688" s="209"/>
      <c r="K688" s="210"/>
      <c r="L688" s="390"/>
      <c r="M688" s="209"/>
      <c r="N688" s="210"/>
      <c r="O688" s="390"/>
      <c r="P688" s="209"/>
      <c r="Q688" s="210"/>
      <c r="R688" s="390"/>
      <c r="S688" s="209"/>
      <c r="T688" s="210"/>
      <c r="U688" s="390"/>
      <c r="V688" s="209"/>
      <c r="W688" s="210"/>
      <c r="X688" s="390"/>
      <c r="Y688" s="195"/>
      <c r="Z688" s="195"/>
      <c r="AA688" s="195"/>
      <c r="AB688" s="195"/>
      <c r="AC688" s="8"/>
      <c r="AD688" s="8"/>
      <c r="AE688" s="8"/>
      <c r="AF688" s="8"/>
      <c r="AG688" s="202"/>
      <c r="AH688" s="202"/>
      <c r="AI688" s="202"/>
      <c r="AJ688" s="202"/>
      <c r="AK688" s="8"/>
      <c r="AL688" s="8"/>
      <c r="AM688" s="8"/>
      <c r="AN688" s="8"/>
      <c r="AO688" s="8"/>
      <c r="AP688" s="8"/>
      <c r="AQ688" s="8"/>
      <c r="AR688" s="8"/>
      <c r="AS688" s="8"/>
      <c r="AT688" s="8"/>
      <c r="AU688" s="8"/>
      <c r="AV688" s="8"/>
    </row>
    <row r="689">
      <c r="A689" s="209"/>
      <c r="B689" s="210"/>
      <c r="C689" s="390"/>
      <c r="D689" s="209"/>
      <c r="E689" s="210"/>
      <c r="F689" s="390"/>
      <c r="G689" s="209"/>
      <c r="H689" s="210"/>
      <c r="I689" s="390"/>
      <c r="J689" s="209"/>
      <c r="K689" s="210"/>
      <c r="L689" s="390"/>
      <c r="M689" s="209"/>
      <c r="N689" s="210"/>
      <c r="O689" s="390"/>
      <c r="P689" s="209"/>
      <c r="Q689" s="210"/>
      <c r="R689" s="390"/>
      <c r="S689" s="209"/>
      <c r="T689" s="210"/>
      <c r="U689" s="390"/>
      <c r="V689" s="209"/>
      <c r="W689" s="210"/>
      <c r="X689" s="390"/>
      <c r="Y689" s="195"/>
      <c r="Z689" s="195"/>
      <c r="AA689" s="195"/>
      <c r="AB689" s="195"/>
      <c r="AC689" s="8"/>
      <c r="AD689" s="8"/>
      <c r="AE689" s="8"/>
      <c r="AF689" s="8"/>
      <c r="AG689" s="202"/>
      <c r="AH689" s="202"/>
      <c r="AI689" s="202"/>
      <c r="AJ689" s="202"/>
      <c r="AK689" s="8"/>
      <c r="AL689" s="8"/>
      <c r="AM689" s="8"/>
      <c r="AN689" s="8"/>
      <c r="AO689" s="8"/>
      <c r="AP689" s="8"/>
      <c r="AQ689" s="8"/>
      <c r="AR689" s="8"/>
      <c r="AS689" s="8"/>
      <c r="AT689" s="8"/>
      <c r="AU689" s="8"/>
      <c r="AV689" s="8"/>
    </row>
    <row r="690">
      <c r="A690" s="209"/>
      <c r="B690" s="210"/>
      <c r="C690" s="390"/>
      <c r="D690" s="209"/>
      <c r="E690" s="210"/>
      <c r="F690" s="390"/>
      <c r="G690" s="209"/>
      <c r="H690" s="210"/>
      <c r="I690" s="390"/>
      <c r="J690" s="209"/>
      <c r="K690" s="210"/>
      <c r="L690" s="390"/>
      <c r="M690" s="209"/>
      <c r="N690" s="210"/>
      <c r="O690" s="390"/>
      <c r="P690" s="209"/>
      <c r="Q690" s="210"/>
      <c r="R690" s="390"/>
      <c r="S690" s="209"/>
      <c r="T690" s="210"/>
      <c r="U690" s="390"/>
      <c r="V690" s="209"/>
      <c r="W690" s="210"/>
      <c r="X690" s="390"/>
      <c r="Y690" s="195"/>
      <c r="Z690" s="195"/>
      <c r="AA690" s="195"/>
      <c r="AB690" s="195"/>
      <c r="AC690" s="8"/>
      <c r="AD690" s="8"/>
      <c r="AE690" s="8"/>
      <c r="AF690" s="8"/>
      <c r="AG690" s="202"/>
      <c r="AH690" s="202"/>
      <c r="AI690" s="202"/>
      <c r="AJ690" s="202"/>
      <c r="AK690" s="8"/>
      <c r="AL690" s="8"/>
      <c r="AM690" s="8"/>
      <c r="AN690" s="8"/>
      <c r="AO690" s="8"/>
      <c r="AP690" s="8"/>
      <c r="AQ690" s="8"/>
      <c r="AR690" s="8"/>
      <c r="AS690" s="8"/>
      <c r="AT690" s="8"/>
      <c r="AU690" s="8"/>
      <c r="AV690" s="8"/>
    </row>
    <row r="691">
      <c r="A691" s="209"/>
      <c r="B691" s="210"/>
      <c r="C691" s="390"/>
      <c r="D691" s="209"/>
      <c r="E691" s="210"/>
      <c r="F691" s="390"/>
      <c r="G691" s="209"/>
      <c r="H691" s="210"/>
      <c r="I691" s="390"/>
      <c r="J691" s="209"/>
      <c r="K691" s="210"/>
      <c r="L691" s="390"/>
      <c r="M691" s="209"/>
      <c r="N691" s="210"/>
      <c r="O691" s="390"/>
      <c r="P691" s="209"/>
      <c r="Q691" s="210"/>
      <c r="R691" s="390"/>
      <c r="S691" s="209"/>
      <c r="T691" s="210"/>
      <c r="U691" s="390"/>
      <c r="V691" s="209"/>
      <c r="W691" s="210"/>
      <c r="X691" s="390"/>
      <c r="Y691" s="195"/>
      <c r="Z691" s="195"/>
      <c r="AA691" s="195"/>
      <c r="AB691" s="195"/>
      <c r="AC691" s="8"/>
      <c r="AD691" s="8"/>
      <c r="AE691" s="8"/>
      <c r="AF691" s="8"/>
      <c r="AG691" s="202"/>
      <c r="AH691" s="202"/>
      <c r="AI691" s="202"/>
      <c r="AJ691" s="202"/>
      <c r="AK691" s="8"/>
      <c r="AL691" s="8"/>
      <c r="AM691" s="8"/>
      <c r="AN691" s="8"/>
      <c r="AO691" s="8"/>
      <c r="AP691" s="8"/>
      <c r="AQ691" s="8"/>
      <c r="AR691" s="8"/>
      <c r="AS691" s="8"/>
      <c r="AT691" s="8"/>
      <c r="AU691" s="8"/>
      <c r="AV691" s="8"/>
    </row>
    <row r="692">
      <c r="A692" s="209"/>
      <c r="B692" s="210"/>
      <c r="C692" s="390"/>
      <c r="D692" s="209"/>
      <c r="E692" s="210"/>
      <c r="F692" s="390"/>
      <c r="G692" s="209"/>
      <c r="H692" s="210"/>
      <c r="I692" s="390"/>
      <c r="J692" s="209"/>
      <c r="K692" s="210"/>
      <c r="L692" s="390"/>
      <c r="M692" s="209"/>
      <c r="N692" s="210"/>
      <c r="O692" s="390"/>
      <c r="P692" s="209"/>
      <c r="Q692" s="210"/>
      <c r="R692" s="390"/>
      <c r="S692" s="209"/>
      <c r="T692" s="210"/>
      <c r="U692" s="390"/>
      <c r="V692" s="209"/>
      <c r="W692" s="210"/>
      <c r="X692" s="390"/>
      <c r="Y692" s="195"/>
      <c r="Z692" s="195"/>
      <c r="AA692" s="195"/>
      <c r="AB692" s="195"/>
      <c r="AC692" s="8"/>
      <c r="AD692" s="8"/>
      <c r="AE692" s="8"/>
      <c r="AF692" s="8"/>
      <c r="AG692" s="202"/>
      <c r="AH692" s="202"/>
      <c r="AI692" s="202"/>
      <c r="AJ692" s="202"/>
      <c r="AK692" s="8"/>
      <c r="AL692" s="8"/>
      <c r="AM692" s="8"/>
      <c r="AN692" s="8"/>
      <c r="AO692" s="8"/>
      <c r="AP692" s="8"/>
      <c r="AQ692" s="8"/>
      <c r="AR692" s="8"/>
      <c r="AS692" s="8"/>
      <c r="AT692" s="8"/>
      <c r="AU692" s="8"/>
      <c r="AV692" s="8"/>
    </row>
    <row r="693">
      <c r="A693" s="209"/>
      <c r="B693" s="210"/>
      <c r="C693" s="390"/>
      <c r="D693" s="209"/>
      <c r="E693" s="210"/>
      <c r="F693" s="390"/>
      <c r="G693" s="209"/>
      <c r="H693" s="210"/>
      <c r="I693" s="390"/>
      <c r="J693" s="209"/>
      <c r="K693" s="210"/>
      <c r="L693" s="390"/>
      <c r="M693" s="209"/>
      <c r="N693" s="210"/>
      <c r="O693" s="390"/>
      <c r="P693" s="209"/>
      <c r="Q693" s="210"/>
      <c r="R693" s="390"/>
      <c r="S693" s="209"/>
      <c r="T693" s="210"/>
      <c r="U693" s="390"/>
      <c r="V693" s="209"/>
      <c r="W693" s="210"/>
      <c r="X693" s="390"/>
      <c r="Y693" s="195"/>
      <c r="Z693" s="195"/>
      <c r="AA693" s="195"/>
      <c r="AB693" s="195"/>
      <c r="AC693" s="8"/>
      <c r="AD693" s="8"/>
      <c r="AE693" s="8"/>
      <c r="AF693" s="8"/>
      <c r="AG693" s="202"/>
      <c r="AH693" s="202"/>
      <c r="AI693" s="202"/>
      <c r="AJ693" s="202"/>
      <c r="AK693" s="8"/>
      <c r="AL693" s="8"/>
      <c r="AM693" s="8"/>
      <c r="AN693" s="8"/>
      <c r="AO693" s="8"/>
      <c r="AP693" s="8"/>
      <c r="AQ693" s="8"/>
      <c r="AR693" s="8"/>
      <c r="AS693" s="8"/>
      <c r="AT693" s="8"/>
      <c r="AU693" s="8"/>
      <c r="AV693" s="8"/>
    </row>
    <row r="694">
      <c r="A694" s="209"/>
      <c r="B694" s="210"/>
      <c r="C694" s="390"/>
      <c r="D694" s="209"/>
      <c r="E694" s="210"/>
      <c r="F694" s="390"/>
      <c r="G694" s="209"/>
      <c r="H694" s="210"/>
      <c r="I694" s="390"/>
      <c r="J694" s="209"/>
      <c r="K694" s="210"/>
      <c r="L694" s="390"/>
      <c r="M694" s="209"/>
      <c r="N694" s="210"/>
      <c r="O694" s="390"/>
      <c r="P694" s="209"/>
      <c r="Q694" s="210"/>
      <c r="R694" s="390"/>
      <c r="S694" s="209"/>
      <c r="T694" s="210"/>
      <c r="U694" s="390"/>
      <c r="V694" s="209"/>
      <c r="W694" s="210"/>
      <c r="X694" s="390"/>
      <c r="Y694" s="195"/>
      <c r="Z694" s="195"/>
      <c r="AA694" s="195"/>
      <c r="AB694" s="195"/>
      <c r="AC694" s="8"/>
      <c r="AD694" s="8"/>
      <c r="AE694" s="8"/>
      <c r="AF694" s="8"/>
      <c r="AG694" s="202"/>
      <c r="AH694" s="202"/>
      <c r="AI694" s="202"/>
      <c r="AJ694" s="202"/>
      <c r="AK694" s="8"/>
      <c r="AL694" s="8"/>
      <c r="AM694" s="8"/>
      <c r="AN694" s="8"/>
      <c r="AO694" s="8"/>
      <c r="AP694" s="8"/>
      <c r="AQ694" s="8"/>
      <c r="AR694" s="8"/>
      <c r="AS694" s="8"/>
      <c r="AT694" s="8"/>
      <c r="AU694" s="8"/>
      <c r="AV694" s="8"/>
    </row>
    <row r="695">
      <c r="A695" s="209"/>
      <c r="B695" s="210"/>
      <c r="C695" s="390"/>
      <c r="D695" s="209"/>
      <c r="E695" s="210"/>
      <c r="F695" s="390"/>
      <c r="G695" s="209"/>
      <c r="H695" s="210"/>
      <c r="I695" s="390"/>
      <c r="J695" s="209"/>
      <c r="K695" s="210"/>
      <c r="L695" s="390"/>
      <c r="M695" s="209"/>
      <c r="N695" s="210"/>
      <c r="O695" s="390"/>
      <c r="P695" s="209"/>
      <c r="Q695" s="210"/>
      <c r="R695" s="390"/>
      <c r="S695" s="209"/>
      <c r="T695" s="210"/>
      <c r="U695" s="390"/>
      <c r="V695" s="209"/>
      <c r="W695" s="210"/>
      <c r="X695" s="390"/>
      <c r="Y695" s="195"/>
      <c r="Z695" s="195"/>
      <c r="AA695" s="195"/>
      <c r="AB695" s="195"/>
      <c r="AC695" s="8"/>
      <c r="AD695" s="8"/>
      <c r="AE695" s="8"/>
      <c r="AF695" s="8"/>
      <c r="AG695" s="202"/>
      <c r="AH695" s="202"/>
      <c r="AI695" s="202"/>
      <c r="AJ695" s="202"/>
      <c r="AK695" s="8"/>
      <c r="AL695" s="8"/>
      <c r="AM695" s="8"/>
      <c r="AN695" s="8"/>
      <c r="AO695" s="8"/>
      <c r="AP695" s="8"/>
      <c r="AQ695" s="8"/>
      <c r="AR695" s="8"/>
      <c r="AS695" s="8"/>
      <c r="AT695" s="8"/>
      <c r="AU695" s="8"/>
      <c r="AV695" s="8"/>
    </row>
    <row r="696">
      <c r="A696" s="209"/>
      <c r="B696" s="210"/>
      <c r="C696" s="390"/>
      <c r="D696" s="209"/>
      <c r="E696" s="210"/>
      <c r="F696" s="390"/>
      <c r="G696" s="209"/>
      <c r="H696" s="210"/>
      <c r="I696" s="390"/>
      <c r="J696" s="209"/>
      <c r="K696" s="210"/>
      <c r="L696" s="390"/>
      <c r="M696" s="209"/>
      <c r="N696" s="210"/>
      <c r="O696" s="390"/>
      <c r="P696" s="209"/>
      <c r="Q696" s="210"/>
      <c r="R696" s="390"/>
      <c r="S696" s="209"/>
      <c r="T696" s="210"/>
      <c r="U696" s="390"/>
      <c r="V696" s="209"/>
      <c r="W696" s="210"/>
      <c r="X696" s="390"/>
      <c r="Y696" s="195"/>
      <c r="Z696" s="195"/>
      <c r="AA696" s="195"/>
      <c r="AB696" s="195"/>
      <c r="AC696" s="8"/>
      <c r="AD696" s="8"/>
      <c r="AE696" s="8"/>
      <c r="AF696" s="8"/>
      <c r="AG696" s="202"/>
      <c r="AH696" s="202"/>
      <c r="AI696" s="202"/>
      <c r="AJ696" s="202"/>
      <c r="AK696" s="8"/>
      <c r="AL696" s="8"/>
      <c r="AM696" s="8"/>
      <c r="AN696" s="8"/>
      <c r="AO696" s="8"/>
      <c r="AP696" s="8"/>
      <c r="AQ696" s="8"/>
      <c r="AR696" s="8"/>
      <c r="AS696" s="8"/>
      <c r="AT696" s="8"/>
      <c r="AU696" s="8"/>
      <c r="AV696" s="8"/>
    </row>
    <row r="697">
      <c r="A697" s="209"/>
      <c r="B697" s="210"/>
      <c r="C697" s="390"/>
      <c r="D697" s="209"/>
      <c r="E697" s="210"/>
      <c r="F697" s="390"/>
      <c r="G697" s="209"/>
      <c r="H697" s="210"/>
      <c r="I697" s="390"/>
      <c r="J697" s="209"/>
      <c r="K697" s="210"/>
      <c r="L697" s="390"/>
      <c r="M697" s="209"/>
      <c r="N697" s="210"/>
      <c r="O697" s="390"/>
      <c r="P697" s="209"/>
      <c r="Q697" s="210"/>
      <c r="R697" s="390"/>
      <c r="S697" s="209"/>
      <c r="T697" s="210"/>
      <c r="U697" s="390"/>
      <c r="V697" s="209"/>
      <c r="W697" s="210"/>
      <c r="X697" s="390"/>
      <c r="Y697" s="195"/>
      <c r="Z697" s="195"/>
      <c r="AA697" s="195"/>
      <c r="AB697" s="195"/>
      <c r="AC697" s="8"/>
      <c r="AD697" s="8"/>
      <c r="AE697" s="8"/>
      <c r="AF697" s="8"/>
      <c r="AG697" s="202"/>
      <c r="AH697" s="202"/>
      <c r="AI697" s="202"/>
      <c r="AJ697" s="202"/>
      <c r="AK697" s="8"/>
      <c r="AL697" s="8"/>
      <c r="AM697" s="8"/>
      <c r="AN697" s="8"/>
      <c r="AO697" s="8"/>
      <c r="AP697" s="8"/>
      <c r="AQ697" s="8"/>
      <c r="AR697" s="8"/>
      <c r="AS697" s="8"/>
      <c r="AT697" s="8"/>
      <c r="AU697" s="8"/>
      <c r="AV697" s="8"/>
    </row>
    <row r="698">
      <c r="A698" s="209"/>
      <c r="B698" s="210"/>
      <c r="C698" s="390"/>
      <c r="D698" s="209"/>
      <c r="E698" s="210"/>
      <c r="F698" s="390"/>
      <c r="G698" s="209"/>
      <c r="H698" s="210"/>
      <c r="I698" s="390"/>
      <c r="J698" s="209"/>
      <c r="K698" s="210"/>
      <c r="L698" s="390"/>
      <c r="M698" s="209"/>
      <c r="N698" s="210"/>
      <c r="O698" s="390"/>
      <c r="P698" s="209"/>
      <c r="Q698" s="210"/>
      <c r="R698" s="390"/>
      <c r="S698" s="209"/>
      <c r="T698" s="210"/>
      <c r="U698" s="390"/>
      <c r="V698" s="209"/>
      <c r="W698" s="210"/>
      <c r="X698" s="390"/>
      <c r="Y698" s="195"/>
      <c r="Z698" s="195"/>
      <c r="AA698" s="195"/>
      <c r="AB698" s="195"/>
      <c r="AC698" s="8"/>
      <c r="AD698" s="8"/>
      <c r="AE698" s="8"/>
      <c r="AF698" s="8"/>
      <c r="AG698" s="202"/>
      <c r="AH698" s="202"/>
      <c r="AI698" s="202"/>
      <c r="AJ698" s="202"/>
      <c r="AK698" s="8"/>
      <c r="AL698" s="8"/>
      <c r="AM698" s="8"/>
      <c r="AN698" s="8"/>
      <c r="AO698" s="8"/>
      <c r="AP698" s="8"/>
      <c r="AQ698" s="8"/>
      <c r="AR698" s="8"/>
      <c r="AS698" s="8"/>
      <c r="AT698" s="8"/>
      <c r="AU698" s="8"/>
      <c r="AV698" s="8"/>
    </row>
    <row r="699">
      <c r="A699" s="209"/>
      <c r="B699" s="210"/>
      <c r="C699" s="390"/>
      <c r="D699" s="209"/>
      <c r="E699" s="210"/>
      <c r="F699" s="390"/>
      <c r="G699" s="209"/>
      <c r="H699" s="210"/>
      <c r="I699" s="390"/>
      <c r="J699" s="209"/>
      <c r="K699" s="210"/>
      <c r="L699" s="390"/>
      <c r="M699" s="209"/>
      <c r="N699" s="210"/>
      <c r="O699" s="390"/>
      <c r="P699" s="209"/>
      <c r="Q699" s="210"/>
      <c r="R699" s="390"/>
      <c r="S699" s="209"/>
      <c r="T699" s="210"/>
      <c r="U699" s="390"/>
      <c r="V699" s="209"/>
      <c r="W699" s="210"/>
      <c r="X699" s="390"/>
      <c r="Y699" s="195"/>
      <c r="Z699" s="195"/>
      <c r="AA699" s="195"/>
      <c r="AB699" s="195"/>
      <c r="AC699" s="8"/>
      <c r="AD699" s="8"/>
      <c r="AE699" s="8"/>
      <c r="AF699" s="8"/>
      <c r="AG699" s="202"/>
      <c r="AH699" s="202"/>
      <c r="AI699" s="202"/>
      <c r="AJ699" s="202"/>
      <c r="AK699" s="8"/>
      <c r="AL699" s="8"/>
      <c r="AM699" s="8"/>
      <c r="AN699" s="8"/>
      <c r="AO699" s="8"/>
      <c r="AP699" s="8"/>
      <c r="AQ699" s="8"/>
      <c r="AR699" s="8"/>
      <c r="AS699" s="8"/>
      <c r="AT699" s="8"/>
      <c r="AU699" s="8"/>
      <c r="AV699" s="8"/>
    </row>
    <row r="700">
      <c r="A700" s="209"/>
      <c r="B700" s="210"/>
      <c r="C700" s="390"/>
      <c r="D700" s="209"/>
      <c r="E700" s="210"/>
      <c r="F700" s="390"/>
      <c r="G700" s="209"/>
      <c r="H700" s="210"/>
      <c r="I700" s="390"/>
      <c r="J700" s="209"/>
      <c r="K700" s="210"/>
      <c r="L700" s="390"/>
      <c r="M700" s="209"/>
      <c r="N700" s="210"/>
      <c r="O700" s="390"/>
      <c r="P700" s="209"/>
      <c r="Q700" s="210"/>
      <c r="R700" s="390"/>
      <c r="S700" s="209"/>
      <c r="T700" s="210"/>
      <c r="U700" s="390"/>
      <c r="V700" s="209"/>
      <c r="W700" s="210"/>
      <c r="X700" s="390"/>
      <c r="Y700" s="195"/>
      <c r="Z700" s="195"/>
      <c r="AA700" s="195"/>
      <c r="AB700" s="195"/>
      <c r="AC700" s="8"/>
      <c r="AD700" s="8"/>
      <c r="AE700" s="8"/>
      <c r="AF700" s="8"/>
      <c r="AG700" s="202"/>
      <c r="AH700" s="202"/>
      <c r="AI700" s="202"/>
      <c r="AJ700" s="202"/>
      <c r="AK700" s="8"/>
      <c r="AL700" s="8"/>
      <c r="AM700" s="8"/>
      <c r="AN700" s="8"/>
      <c r="AO700" s="8"/>
      <c r="AP700" s="8"/>
      <c r="AQ700" s="8"/>
      <c r="AR700" s="8"/>
      <c r="AS700" s="8"/>
      <c r="AT700" s="8"/>
      <c r="AU700" s="8"/>
      <c r="AV700" s="8"/>
    </row>
    <row r="701">
      <c r="A701" s="209"/>
      <c r="B701" s="210"/>
      <c r="C701" s="390"/>
      <c r="D701" s="209"/>
      <c r="E701" s="210"/>
      <c r="F701" s="390"/>
      <c r="G701" s="209"/>
      <c r="H701" s="210"/>
      <c r="I701" s="390"/>
      <c r="J701" s="209"/>
      <c r="K701" s="210"/>
      <c r="L701" s="390"/>
      <c r="M701" s="209"/>
      <c r="N701" s="210"/>
      <c r="O701" s="390"/>
      <c r="P701" s="209"/>
      <c r="Q701" s="210"/>
      <c r="R701" s="390"/>
      <c r="S701" s="209"/>
      <c r="T701" s="210"/>
      <c r="U701" s="390"/>
      <c r="V701" s="209"/>
      <c r="W701" s="210"/>
      <c r="X701" s="390"/>
      <c r="Y701" s="195"/>
      <c r="Z701" s="195"/>
      <c r="AA701" s="195"/>
      <c r="AB701" s="195"/>
      <c r="AC701" s="8"/>
      <c r="AD701" s="8"/>
      <c r="AE701" s="8"/>
      <c r="AF701" s="8"/>
      <c r="AG701" s="202"/>
      <c r="AH701" s="202"/>
      <c r="AI701" s="202"/>
      <c r="AJ701" s="202"/>
      <c r="AK701" s="8"/>
      <c r="AL701" s="8"/>
      <c r="AM701" s="8"/>
      <c r="AN701" s="8"/>
      <c r="AO701" s="8"/>
      <c r="AP701" s="8"/>
      <c r="AQ701" s="8"/>
      <c r="AR701" s="8"/>
      <c r="AS701" s="8"/>
      <c r="AT701" s="8"/>
      <c r="AU701" s="8"/>
      <c r="AV701" s="8"/>
    </row>
    <row r="702">
      <c r="A702" s="209"/>
      <c r="B702" s="210"/>
      <c r="C702" s="390"/>
      <c r="D702" s="209"/>
      <c r="E702" s="210"/>
      <c r="F702" s="390"/>
      <c r="G702" s="209"/>
      <c r="H702" s="210"/>
      <c r="I702" s="390"/>
      <c r="J702" s="209"/>
      <c r="K702" s="210"/>
      <c r="L702" s="390"/>
      <c r="M702" s="209"/>
      <c r="N702" s="210"/>
      <c r="O702" s="390"/>
      <c r="P702" s="209"/>
      <c r="Q702" s="210"/>
      <c r="R702" s="390"/>
      <c r="S702" s="209"/>
      <c r="T702" s="210"/>
      <c r="U702" s="390"/>
      <c r="V702" s="209"/>
      <c r="W702" s="210"/>
      <c r="X702" s="390"/>
      <c r="Y702" s="195"/>
      <c r="Z702" s="195"/>
      <c r="AA702" s="195"/>
      <c r="AB702" s="195"/>
      <c r="AC702" s="8"/>
      <c r="AD702" s="8"/>
      <c r="AE702" s="8"/>
      <c r="AF702" s="8"/>
      <c r="AG702" s="202"/>
      <c r="AH702" s="202"/>
      <c r="AI702" s="202"/>
      <c r="AJ702" s="202"/>
      <c r="AK702" s="8"/>
      <c r="AL702" s="8"/>
      <c r="AM702" s="8"/>
      <c r="AN702" s="8"/>
      <c r="AO702" s="8"/>
      <c r="AP702" s="8"/>
      <c r="AQ702" s="8"/>
      <c r="AR702" s="8"/>
      <c r="AS702" s="8"/>
      <c r="AT702" s="8"/>
      <c r="AU702" s="8"/>
      <c r="AV702" s="8"/>
    </row>
    <row r="703">
      <c r="A703" s="209"/>
      <c r="B703" s="210"/>
      <c r="C703" s="390"/>
      <c r="D703" s="209"/>
      <c r="E703" s="210"/>
      <c r="F703" s="390"/>
      <c r="G703" s="209"/>
      <c r="H703" s="210"/>
      <c r="I703" s="390"/>
      <c r="J703" s="209"/>
      <c r="K703" s="210"/>
      <c r="L703" s="390"/>
      <c r="M703" s="209"/>
      <c r="N703" s="210"/>
      <c r="O703" s="390"/>
      <c r="P703" s="209"/>
      <c r="Q703" s="210"/>
      <c r="R703" s="390"/>
      <c r="S703" s="209"/>
      <c r="T703" s="210"/>
      <c r="U703" s="390"/>
      <c r="V703" s="209"/>
      <c r="W703" s="210"/>
      <c r="X703" s="390"/>
      <c r="Y703" s="195"/>
      <c r="Z703" s="195"/>
      <c r="AA703" s="195"/>
      <c r="AB703" s="195"/>
      <c r="AC703" s="8"/>
      <c r="AD703" s="8"/>
      <c r="AE703" s="8"/>
      <c r="AF703" s="8"/>
      <c r="AG703" s="202"/>
      <c r="AH703" s="202"/>
      <c r="AI703" s="202"/>
      <c r="AJ703" s="202"/>
      <c r="AK703" s="8"/>
      <c r="AL703" s="8"/>
      <c r="AM703" s="8"/>
      <c r="AN703" s="8"/>
      <c r="AO703" s="8"/>
      <c r="AP703" s="8"/>
      <c r="AQ703" s="8"/>
      <c r="AR703" s="8"/>
      <c r="AS703" s="8"/>
      <c r="AT703" s="8"/>
      <c r="AU703" s="8"/>
      <c r="AV703" s="8"/>
    </row>
    <row r="704">
      <c r="A704" s="209"/>
      <c r="B704" s="210"/>
      <c r="C704" s="390"/>
      <c r="D704" s="209"/>
      <c r="E704" s="210"/>
      <c r="F704" s="390"/>
      <c r="G704" s="209"/>
      <c r="H704" s="210"/>
      <c r="I704" s="390"/>
      <c r="J704" s="209"/>
      <c r="K704" s="210"/>
      <c r="L704" s="390"/>
      <c r="M704" s="209"/>
      <c r="N704" s="210"/>
      <c r="O704" s="390"/>
      <c r="P704" s="209"/>
      <c r="Q704" s="210"/>
      <c r="R704" s="390"/>
      <c r="S704" s="209"/>
      <c r="T704" s="210"/>
      <c r="U704" s="390"/>
      <c r="V704" s="209"/>
      <c r="W704" s="210"/>
      <c r="X704" s="390"/>
      <c r="Y704" s="195"/>
      <c r="Z704" s="195"/>
      <c r="AA704" s="195"/>
      <c r="AB704" s="195"/>
      <c r="AC704" s="8"/>
      <c r="AD704" s="8"/>
      <c r="AE704" s="8"/>
      <c r="AF704" s="8"/>
      <c r="AG704" s="202"/>
      <c r="AH704" s="202"/>
      <c r="AI704" s="202"/>
      <c r="AJ704" s="202"/>
      <c r="AK704" s="8"/>
      <c r="AL704" s="8"/>
      <c r="AM704" s="8"/>
      <c r="AN704" s="8"/>
      <c r="AO704" s="8"/>
      <c r="AP704" s="8"/>
      <c r="AQ704" s="8"/>
      <c r="AR704" s="8"/>
      <c r="AS704" s="8"/>
      <c r="AT704" s="8"/>
      <c r="AU704" s="8"/>
      <c r="AV704" s="8"/>
    </row>
    <row r="705">
      <c r="A705" s="209"/>
      <c r="B705" s="210"/>
      <c r="C705" s="390"/>
      <c r="D705" s="209"/>
      <c r="E705" s="210"/>
      <c r="F705" s="390"/>
      <c r="G705" s="209"/>
      <c r="H705" s="210"/>
      <c r="I705" s="390"/>
      <c r="J705" s="209"/>
      <c r="K705" s="210"/>
      <c r="L705" s="390"/>
      <c r="M705" s="209"/>
      <c r="N705" s="210"/>
      <c r="O705" s="390"/>
      <c r="P705" s="209"/>
      <c r="Q705" s="210"/>
      <c r="R705" s="390"/>
      <c r="S705" s="209"/>
      <c r="T705" s="210"/>
      <c r="U705" s="390"/>
      <c r="V705" s="209"/>
      <c r="W705" s="210"/>
      <c r="X705" s="390"/>
      <c r="Y705" s="195"/>
      <c r="Z705" s="195"/>
      <c r="AA705" s="195"/>
      <c r="AB705" s="195"/>
      <c r="AC705" s="8"/>
      <c r="AD705" s="8"/>
      <c r="AE705" s="8"/>
      <c r="AF705" s="8"/>
      <c r="AG705" s="202"/>
      <c r="AH705" s="202"/>
      <c r="AI705" s="202"/>
      <c r="AJ705" s="202"/>
      <c r="AK705" s="8"/>
      <c r="AL705" s="8"/>
      <c r="AM705" s="8"/>
      <c r="AN705" s="8"/>
      <c r="AO705" s="8"/>
      <c r="AP705" s="8"/>
      <c r="AQ705" s="8"/>
      <c r="AR705" s="8"/>
      <c r="AS705" s="8"/>
      <c r="AT705" s="8"/>
      <c r="AU705" s="8"/>
      <c r="AV705" s="8"/>
    </row>
    <row r="706">
      <c r="A706" s="209"/>
      <c r="B706" s="210"/>
      <c r="C706" s="390"/>
      <c r="D706" s="209"/>
      <c r="E706" s="210"/>
      <c r="F706" s="390"/>
      <c r="G706" s="209"/>
      <c r="H706" s="210"/>
      <c r="I706" s="390"/>
      <c r="J706" s="209"/>
      <c r="K706" s="210"/>
      <c r="L706" s="390"/>
      <c r="M706" s="209"/>
      <c r="N706" s="210"/>
      <c r="O706" s="390"/>
      <c r="P706" s="209"/>
      <c r="Q706" s="210"/>
      <c r="R706" s="390"/>
      <c r="S706" s="209"/>
      <c r="T706" s="210"/>
      <c r="U706" s="390"/>
      <c r="V706" s="209"/>
      <c r="W706" s="210"/>
      <c r="X706" s="390"/>
      <c r="Y706" s="195"/>
      <c r="Z706" s="195"/>
      <c r="AA706" s="195"/>
      <c r="AB706" s="195"/>
      <c r="AC706" s="8"/>
      <c r="AD706" s="8"/>
      <c r="AE706" s="8"/>
      <c r="AF706" s="8"/>
      <c r="AG706" s="202"/>
      <c r="AH706" s="202"/>
      <c r="AI706" s="202"/>
      <c r="AJ706" s="202"/>
      <c r="AK706" s="8"/>
      <c r="AL706" s="8"/>
      <c r="AM706" s="8"/>
      <c r="AN706" s="8"/>
      <c r="AO706" s="8"/>
      <c r="AP706" s="8"/>
      <c r="AQ706" s="8"/>
      <c r="AR706" s="8"/>
      <c r="AS706" s="8"/>
      <c r="AT706" s="8"/>
      <c r="AU706" s="8"/>
      <c r="AV706" s="8"/>
    </row>
    <row r="707">
      <c r="A707" s="209"/>
      <c r="B707" s="210"/>
      <c r="C707" s="390"/>
      <c r="D707" s="209"/>
      <c r="E707" s="210"/>
      <c r="F707" s="390"/>
      <c r="G707" s="209"/>
      <c r="H707" s="210"/>
      <c r="I707" s="390"/>
      <c r="J707" s="209"/>
      <c r="K707" s="210"/>
      <c r="L707" s="390"/>
      <c r="M707" s="209"/>
      <c r="N707" s="210"/>
      <c r="O707" s="390"/>
      <c r="P707" s="209"/>
      <c r="Q707" s="210"/>
      <c r="R707" s="390"/>
      <c r="S707" s="209"/>
      <c r="T707" s="210"/>
      <c r="U707" s="390"/>
      <c r="V707" s="209"/>
      <c r="W707" s="210"/>
      <c r="X707" s="390"/>
      <c r="Y707" s="195"/>
      <c r="Z707" s="195"/>
      <c r="AA707" s="195"/>
      <c r="AB707" s="195"/>
      <c r="AC707" s="8"/>
      <c r="AD707" s="8"/>
      <c r="AE707" s="8"/>
      <c r="AF707" s="8"/>
      <c r="AG707" s="202"/>
      <c r="AH707" s="202"/>
      <c r="AI707" s="202"/>
      <c r="AJ707" s="202"/>
      <c r="AK707" s="8"/>
      <c r="AL707" s="8"/>
      <c r="AM707" s="8"/>
      <c r="AN707" s="8"/>
      <c r="AO707" s="8"/>
      <c r="AP707" s="8"/>
      <c r="AQ707" s="8"/>
      <c r="AR707" s="8"/>
      <c r="AS707" s="8"/>
      <c r="AT707" s="8"/>
      <c r="AU707" s="8"/>
      <c r="AV707" s="8"/>
    </row>
    <row r="708">
      <c r="A708" s="209"/>
      <c r="B708" s="210"/>
      <c r="C708" s="390"/>
      <c r="D708" s="209"/>
      <c r="E708" s="210"/>
      <c r="F708" s="390"/>
      <c r="G708" s="209"/>
      <c r="H708" s="210"/>
      <c r="I708" s="390"/>
      <c r="J708" s="209"/>
      <c r="K708" s="210"/>
      <c r="L708" s="390"/>
      <c r="M708" s="209"/>
      <c r="N708" s="210"/>
      <c r="O708" s="390"/>
      <c r="P708" s="209"/>
      <c r="Q708" s="210"/>
      <c r="R708" s="390"/>
      <c r="S708" s="209"/>
      <c r="T708" s="210"/>
      <c r="U708" s="390"/>
      <c r="V708" s="209"/>
      <c r="W708" s="210"/>
      <c r="X708" s="390"/>
      <c r="Y708" s="195"/>
      <c r="Z708" s="195"/>
      <c r="AA708" s="195"/>
      <c r="AB708" s="195"/>
      <c r="AC708" s="8"/>
      <c r="AD708" s="8"/>
      <c r="AE708" s="8"/>
      <c r="AF708" s="8"/>
      <c r="AG708" s="202"/>
      <c r="AH708" s="202"/>
      <c r="AI708" s="202"/>
      <c r="AJ708" s="202"/>
      <c r="AK708" s="8"/>
      <c r="AL708" s="8"/>
      <c r="AM708" s="8"/>
      <c r="AN708" s="8"/>
      <c r="AO708" s="8"/>
      <c r="AP708" s="8"/>
      <c r="AQ708" s="8"/>
      <c r="AR708" s="8"/>
      <c r="AS708" s="8"/>
      <c r="AT708" s="8"/>
      <c r="AU708" s="8"/>
      <c r="AV708" s="8"/>
    </row>
    <row r="709">
      <c r="A709" s="209"/>
      <c r="B709" s="210"/>
      <c r="C709" s="390"/>
      <c r="D709" s="209"/>
      <c r="E709" s="210"/>
      <c r="F709" s="390"/>
      <c r="G709" s="209"/>
      <c r="H709" s="210"/>
      <c r="I709" s="390"/>
      <c r="J709" s="209"/>
      <c r="K709" s="210"/>
      <c r="L709" s="390"/>
      <c r="M709" s="209"/>
      <c r="N709" s="210"/>
      <c r="O709" s="390"/>
      <c r="P709" s="209"/>
      <c r="Q709" s="210"/>
      <c r="R709" s="390"/>
      <c r="S709" s="209"/>
      <c r="T709" s="210"/>
      <c r="U709" s="390"/>
      <c r="V709" s="209"/>
      <c r="W709" s="210"/>
      <c r="X709" s="390"/>
      <c r="Y709" s="195"/>
      <c r="Z709" s="195"/>
      <c r="AA709" s="195"/>
      <c r="AB709" s="195"/>
      <c r="AC709" s="8"/>
      <c r="AD709" s="8"/>
      <c r="AE709" s="8"/>
      <c r="AF709" s="8"/>
      <c r="AG709" s="202"/>
      <c r="AH709" s="202"/>
      <c r="AI709" s="202"/>
      <c r="AJ709" s="202"/>
      <c r="AK709" s="8"/>
      <c r="AL709" s="8"/>
      <c r="AM709" s="8"/>
      <c r="AN709" s="8"/>
      <c r="AO709" s="8"/>
      <c r="AP709" s="8"/>
      <c r="AQ709" s="8"/>
      <c r="AR709" s="8"/>
      <c r="AS709" s="8"/>
      <c r="AT709" s="8"/>
      <c r="AU709" s="8"/>
      <c r="AV709" s="8"/>
    </row>
    <row r="710">
      <c r="A710" s="209"/>
      <c r="B710" s="210"/>
      <c r="C710" s="390"/>
      <c r="D710" s="209"/>
      <c r="E710" s="210"/>
      <c r="F710" s="390"/>
      <c r="G710" s="209"/>
      <c r="H710" s="210"/>
      <c r="I710" s="390"/>
      <c r="J710" s="209"/>
      <c r="K710" s="210"/>
      <c r="L710" s="390"/>
      <c r="M710" s="209"/>
      <c r="N710" s="210"/>
      <c r="O710" s="390"/>
      <c r="P710" s="209"/>
      <c r="Q710" s="210"/>
      <c r="R710" s="390"/>
      <c r="S710" s="209"/>
      <c r="T710" s="210"/>
      <c r="U710" s="390"/>
      <c r="V710" s="209"/>
      <c r="W710" s="210"/>
      <c r="X710" s="390"/>
      <c r="Y710" s="195"/>
      <c r="Z710" s="195"/>
      <c r="AA710" s="195"/>
      <c r="AB710" s="195"/>
      <c r="AC710" s="8"/>
      <c r="AD710" s="8"/>
      <c r="AE710" s="8"/>
      <c r="AF710" s="8"/>
      <c r="AG710" s="202"/>
      <c r="AH710" s="202"/>
      <c r="AI710" s="202"/>
      <c r="AJ710" s="202"/>
      <c r="AK710" s="8"/>
      <c r="AL710" s="8"/>
      <c r="AM710" s="8"/>
      <c r="AN710" s="8"/>
      <c r="AO710" s="8"/>
      <c r="AP710" s="8"/>
      <c r="AQ710" s="8"/>
      <c r="AR710" s="8"/>
      <c r="AS710" s="8"/>
      <c r="AT710" s="8"/>
      <c r="AU710" s="8"/>
      <c r="AV710" s="8"/>
    </row>
    <row r="711">
      <c r="A711" s="209"/>
      <c r="B711" s="210"/>
      <c r="C711" s="390"/>
      <c r="D711" s="209"/>
      <c r="E711" s="210"/>
      <c r="F711" s="390"/>
      <c r="G711" s="209"/>
      <c r="H711" s="210"/>
      <c r="I711" s="390"/>
      <c r="J711" s="209"/>
      <c r="K711" s="210"/>
      <c r="L711" s="390"/>
      <c r="M711" s="209"/>
      <c r="N711" s="210"/>
      <c r="O711" s="390"/>
      <c r="P711" s="209"/>
      <c r="Q711" s="210"/>
      <c r="R711" s="390"/>
      <c r="S711" s="209"/>
      <c r="T711" s="210"/>
      <c r="U711" s="390"/>
      <c r="V711" s="209"/>
      <c r="W711" s="210"/>
      <c r="X711" s="390"/>
      <c r="Y711" s="195"/>
      <c r="Z711" s="195"/>
      <c r="AA711" s="195"/>
      <c r="AB711" s="195"/>
      <c r="AC711" s="8"/>
      <c r="AD711" s="8"/>
      <c r="AE711" s="8"/>
      <c r="AF711" s="8"/>
      <c r="AG711" s="202"/>
      <c r="AH711" s="202"/>
      <c r="AI711" s="202"/>
      <c r="AJ711" s="202"/>
      <c r="AK711" s="8"/>
      <c r="AL711" s="8"/>
      <c r="AM711" s="8"/>
      <c r="AN711" s="8"/>
      <c r="AO711" s="8"/>
      <c r="AP711" s="8"/>
      <c r="AQ711" s="8"/>
      <c r="AR711" s="8"/>
      <c r="AS711" s="8"/>
      <c r="AT711" s="8"/>
      <c r="AU711" s="8"/>
      <c r="AV711" s="8"/>
    </row>
    <row r="712">
      <c r="A712" s="209"/>
      <c r="B712" s="210"/>
      <c r="C712" s="390"/>
      <c r="D712" s="209"/>
      <c r="E712" s="210"/>
      <c r="F712" s="390"/>
      <c r="G712" s="209"/>
      <c r="H712" s="210"/>
      <c r="I712" s="390"/>
      <c r="J712" s="209"/>
      <c r="K712" s="210"/>
      <c r="L712" s="390"/>
      <c r="M712" s="209"/>
      <c r="N712" s="210"/>
      <c r="O712" s="390"/>
      <c r="P712" s="209"/>
      <c r="Q712" s="210"/>
      <c r="R712" s="390"/>
      <c r="S712" s="209"/>
      <c r="T712" s="210"/>
      <c r="U712" s="390"/>
      <c r="V712" s="209"/>
      <c r="W712" s="210"/>
      <c r="X712" s="390"/>
      <c r="Y712" s="195"/>
      <c r="Z712" s="195"/>
      <c r="AA712" s="195"/>
      <c r="AB712" s="195"/>
      <c r="AC712" s="8"/>
      <c r="AD712" s="8"/>
      <c r="AE712" s="8"/>
      <c r="AF712" s="8"/>
      <c r="AG712" s="202"/>
      <c r="AH712" s="202"/>
      <c r="AI712" s="202"/>
      <c r="AJ712" s="202"/>
      <c r="AK712" s="8"/>
      <c r="AL712" s="8"/>
      <c r="AM712" s="8"/>
      <c r="AN712" s="8"/>
      <c r="AO712" s="8"/>
      <c r="AP712" s="8"/>
      <c r="AQ712" s="8"/>
      <c r="AR712" s="8"/>
      <c r="AS712" s="8"/>
      <c r="AT712" s="8"/>
      <c r="AU712" s="8"/>
      <c r="AV712" s="8"/>
    </row>
    <row r="713">
      <c r="A713" s="209"/>
      <c r="B713" s="210"/>
      <c r="C713" s="390"/>
      <c r="D713" s="209"/>
      <c r="E713" s="210"/>
      <c r="F713" s="390"/>
      <c r="G713" s="209"/>
      <c r="H713" s="210"/>
      <c r="I713" s="390"/>
      <c r="J713" s="209"/>
      <c r="K713" s="210"/>
      <c r="L713" s="390"/>
      <c r="M713" s="209"/>
      <c r="N713" s="210"/>
      <c r="O713" s="390"/>
      <c r="P713" s="209"/>
      <c r="Q713" s="210"/>
      <c r="R713" s="390"/>
      <c r="S713" s="209"/>
      <c r="T713" s="210"/>
      <c r="U713" s="390"/>
      <c r="V713" s="209"/>
      <c r="W713" s="210"/>
      <c r="X713" s="390"/>
      <c r="Y713" s="195"/>
      <c r="Z713" s="195"/>
      <c r="AA713" s="195"/>
      <c r="AB713" s="195"/>
      <c r="AC713" s="8"/>
      <c r="AD713" s="8"/>
      <c r="AE713" s="8"/>
      <c r="AF713" s="8"/>
      <c r="AG713" s="202"/>
      <c r="AH713" s="202"/>
      <c r="AI713" s="202"/>
      <c r="AJ713" s="202"/>
      <c r="AK713" s="8"/>
      <c r="AL713" s="8"/>
      <c r="AM713" s="8"/>
      <c r="AN713" s="8"/>
      <c r="AO713" s="8"/>
      <c r="AP713" s="8"/>
      <c r="AQ713" s="8"/>
      <c r="AR713" s="8"/>
      <c r="AS713" s="8"/>
      <c r="AT713" s="8"/>
      <c r="AU713" s="8"/>
      <c r="AV713" s="8"/>
    </row>
    <row r="714">
      <c r="A714" s="209"/>
      <c r="B714" s="210"/>
      <c r="C714" s="390"/>
      <c r="D714" s="209"/>
      <c r="E714" s="210"/>
      <c r="F714" s="390"/>
      <c r="G714" s="209"/>
      <c r="H714" s="210"/>
      <c r="I714" s="390"/>
      <c r="J714" s="209"/>
      <c r="K714" s="210"/>
      <c r="L714" s="390"/>
      <c r="M714" s="209"/>
      <c r="N714" s="210"/>
      <c r="O714" s="390"/>
      <c r="P714" s="209"/>
      <c r="Q714" s="210"/>
      <c r="R714" s="390"/>
      <c r="S714" s="209"/>
      <c r="T714" s="210"/>
      <c r="U714" s="390"/>
      <c r="V714" s="209"/>
      <c r="W714" s="210"/>
      <c r="X714" s="390"/>
      <c r="Y714" s="195"/>
      <c r="Z714" s="195"/>
      <c r="AA714" s="195"/>
      <c r="AB714" s="195"/>
      <c r="AC714" s="8"/>
      <c r="AD714" s="8"/>
      <c r="AE714" s="8"/>
      <c r="AF714" s="8"/>
      <c r="AG714" s="202"/>
      <c r="AH714" s="202"/>
      <c r="AI714" s="202"/>
      <c r="AJ714" s="202"/>
      <c r="AK714" s="8"/>
      <c r="AL714" s="8"/>
      <c r="AM714" s="8"/>
      <c r="AN714" s="8"/>
      <c r="AO714" s="8"/>
      <c r="AP714" s="8"/>
      <c r="AQ714" s="8"/>
      <c r="AR714" s="8"/>
      <c r="AS714" s="8"/>
      <c r="AT714" s="8"/>
      <c r="AU714" s="8"/>
      <c r="AV714" s="8"/>
    </row>
    <row r="715">
      <c r="A715" s="209"/>
      <c r="B715" s="210"/>
      <c r="C715" s="390"/>
      <c r="D715" s="209"/>
      <c r="E715" s="210"/>
      <c r="F715" s="390"/>
      <c r="G715" s="209"/>
      <c r="H715" s="210"/>
      <c r="I715" s="390"/>
      <c r="J715" s="209"/>
      <c r="K715" s="210"/>
      <c r="L715" s="390"/>
      <c r="M715" s="209"/>
      <c r="N715" s="210"/>
      <c r="O715" s="390"/>
      <c r="P715" s="209"/>
      <c r="Q715" s="210"/>
      <c r="R715" s="390"/>
      <c r="S715" s="209"/>
      <c r="T715" s="210"/>
      <c r="U715" s="390"/>
      <c r="V715" s="209"/>
      <c r="W715" s="210"/>
      <c r="X715" s="390"/>
      <c r="Y715" s="195"/>
      <c r="Z715" s="195"/>
      <c r="AA715" s="195"/>
      <c r="AB715" s="195"/>
      <c r="AC715" s="8"/>
      <c r="AD715" s="8"/>
      <c r="AE715" s="8"/>
      <c r="AF715" s="8"/>
      <c r="AG715" s="202"/>
      <c r="AH715" s="202"/>
      <c r="AI715" s="202"/>
      <c r="AJ715" s="202"/>
      <c r="AK715" s="8"/>
      <c r="AL715" s="8"/>
      <c r="AM715" s="8"/>
      <c r="AN715" s="8"/>
      <c r="AO715" s="8"/>
      <c r="AP715" s="8"/>
      <c r="AQ715" s="8"/>
      <c r="AR715" s="8"/>
      <c r="AS715" s="8"/>
      <c r="AT715" s="8"/>
      <c r="AU715" s="8"/>
      <c r="AV715" s="8"/>
    </row>
    <row r="716">
      <c r="A716" s="209"/>
      <c r="B716" s="210"/>
      <c r="C716" s="390"/>
      <c r="D716" s="209"/>
      <c r="E716" s="210"/>
      <c r="F716" s="390"/>
      <c r="G716" s="209"/>
      <c r="H716" s="210"/>
      <c r="I716" s="390"/>
      <c r="J716" s="209"/>
      <c r="K716" s="210"/>
      <c r="L716" s="390"/>
      <c r="M716" s="209"/>
      <c r="N716" s="210"/>
      <c r="O716" s="390"/>
      <c r="P716" s="209"/>
      <c r="Q716" s="210"/>
      <c r="R716" s="390"/>
      <c r="S716" s="209"/>
      <c r="T716" s="210"/>
      <c r="U716" s="390"/>
      <c r="V716" s="209"/>
      <c r="W716" s="210"/>
      <c r="X716" s="390"/>
      <c r="Y716" s="195"/>
      <c r="Z716" s="195"/>
      <c r="AA716" s="195"/>
      <c r="AB716" s="195"/>
      <c r="AC716" s="8"/>
      <c r="AD716" s="8"/>
      <c r="AE716" s="8"/>
      <c r="AF716" s="8"/>
      <c r="AG716" s="202"/>
      <c r="AH716" s="202"/>
      <c r="AI716" s="202"/>
      <c r="AJ716" s="202"/>
      <c r="AK716" s="8"/>
      <c r="AL716" s="8"/>
      <c r="AM716" s="8"/>
      <c r="AN716" s="8"/>
      <c r="AO716" s="8"/>
      <c r="AP716" s="8"/>
      <c r="AQ716" s="8"/>
      <c r="AR716" s="8"/>
      <c r="AS716" s="8"/>
      <c r="AT716" s="8"/>
      <c r="AU716" s="8"/>
      <c r="AV716" s="8"/>
    </row>
    <row r="717">
      <c r="A717" s="209"/>
      <c r="B717" s="210"/>
      <c r="C717" s="390"/>
      <c r="D717" s="209"/>
      <c r="E717" s="210"/>
      <c r="F717" s="390"/>
      <c r="G717" s="209"/>
      <c r="H717" s="210"/>
      <c r="I717" s="390"/>
      <c r="J717" s="209"/>
      <c r="K717" s="210"/>
      <c r="L717" s="390"/>
      <c r="M717" s="209"/>
      <c r="N717" s="210"/>
      <c r="O717" s="390"/>
      <c r="P717" s="209"/>
      <c r="Q717" s="210"/>
      <c r="R717" s="390"/>
      <c r="S717" s="209"/>
      <c r="T717" s="210"/>
      <c r="U717" s="390"/>
      <c r="V717" s="209"/>
      <c r="W717" s="210"/>
      <c r="X717" s="390"/>
      <c r="Y717" s="195"/>
      <c r="Z717" s="195"/>
      <c r="AA717" s="195"/>
      <c r="AB717" s="195"/>
      <c r="AC717" s="8"/>
      <c r="AD717" s="8"/>
      <c r="AE717" s="8"/>
      <c r="AF717" s="8"/>
      <c r="AG717" s="202"/>
      <c r="AH717" s="202"/>
      <c r="AI717" s="202"/>
      <c r="AJ717" s="202"/>
      <c r="AK717" s="8"/>
      <c r="AL717" s="8"/>
      <c r="AM717" s="8"/>
      <c r="AN717" s="8"/>
      <c r="AO717" s="8"/>
      <c r="AP717" s="8"/>
      <c r="AQ717" s="8"/>
      <c r="AR717" s="8"/>
      <c r="AS717" s="8"/>
      <c r="AT717" s="8"/>
      <c r="AU717" s="8"/>
      <c r="AV717" s="8"/>
    </row>
    <row r="718">
      <c r="A718" s="209"/>
      <c r="B718" s="210"/>
      <c r="C718" s="390"/>
      <c r="D718" s="209"/>
      <c r="E718" s="210"/>
      <c r="F718" s="390"/>
      <c r="G718" s="209"/>
      <c r="H718" s="210"/>
      <c r="I718" s="390"/>
      <c r="J718" s="209"/>
      <c r="K718" s="210"/>
      <c r="L718" s="390"/>
      <c r="M718" s="209"/>
      <c r="N718" s="210"/>
      <c r="O718" s="390"/>
      <c r="P718" s="209"/>
      <c r="Q718" s="210"/>
      <c r="R718" s="390"/>
      <c r="S718" s="209"/>
      <c r="T718" s="210"/>
      <c r="U718" s="390"/>
      <c r="V718" s="209"/>
      <c r="W718" s="210"/>
      <c r="X718" s="390"/>
      <c r="Y718" s="195"/>
      <c r="Z718" s="195"/>
      <c r="AA718" s="195"/>
      <c r="AB718" s="195"/>
      <c r="AC718" s="8"/>
      <c r="AD718" s="8"/>
      <c r="AE718" s="8"/>
      <c r="AF718" s="8"/>
      <c r="AG718" s="202"/>
      <c r="AH718" s="202"/>
      <c r="AI718" s="202"/>
      <c r="AJ718" s="202"/>
      <c r="AK718" s="8"/>
      <c r="AL718" s="8"/>
      <c r="AM718" s="8"/>
      <c r="AN718" s="8"/>
      <c r="AO718" s="8"/>
      <c r="AP718" s="8"/>
      <c r="AQ718" s="8"/>
      <c r="AR718" s="8"/>
      <c r="AS718" s="8"/>
      <c r="AT718" s="8"/>
      <c r="AU718" s="8"/>
      <c r="AV718" s="8"/>
    </row>
    <row r="719">
      <c r="A719" s="209"/>
      <c r="B719" s="210"/>
      <c r="C719" s="390"/>
      <c r="D719" s="209"/>
      <c r="E719" s="210"/>
      <c r="F719" s="390"/>
      <c r="G719" s="209"/>
      <c r="H719" s="210"/>
      <c r="I719" s="390"/>
      <c r="J719" s="209"/>
      <c r="K719" s="210"/>
      <c r="L719" s="390"/>
      <c r="M719" s="209"/>
      <c r="N719" s="210"/>
      <c r="O719" s="390"/>
      <c r="P719" s="209"/>
      <c r="Q719" s="210"/>
      <c r="R719" s="390"/>
      <c r="S719" s="209"/>
      <c r="T719" s="210"/>
      <c r="U719" s="390"/>
      <c r="V719" s="209"/>
      <c r="W719" s="210"/>
      <c r="X719" s="390"/>
      <c r="Y719" s="195"/>
      <c r="Z719" s="195"/>
      <c r="AA719" s="195"/>
      <c r="AB719" s="195"/>
      <c r="AC719" s="8"/>
      <c r="AD719" s="8"/>
      <c r="AE719" s="8"/>
      <c r="AF719" s="8"/>
      <c r="AG719" s="202"/>
      <c r="AH719" s="202"/>
      <c r="AI719" s="202"/>
      <c r="AJ719" s="202"/>
      <c r="AK719" s="8"/>
      <c r="AL719" s="8"/>
      <c r="AM719" s="8"/>
      <c r="AN719" s="8"/>
      <c r="AO719" s="8"/>
      <c r="AP719" s="8"/>
      <c r="AQ719" s="8"/>
      <c r="AR719" s="8"/>
      <c r="AS719" s="8"/>
      <c r="AT719" s="8"/>
      <c r="AU719" s="8"/>
      <c r="AV719" s="8"/>
    </row>
    <row r="720">
      <c r="A720" s="209"/>
      <c r="B720" s="210"/>
      <c r="C720" s="390"/>
      <c r="D720" s="209"/>
      <c r="E720" s="210"/>
      <c r="F720" s="390"/>
      <c r="G720" s="209"/>
      <c r="H720" s="210"/>
      <c r="I720" s="390"/>
      <c r="J720" s="209"/>
      <c r="K720" s="210"/>
      <c r="L720" s="390"/>
      <c r="M720" s="209"/>
      <c r="N720" s="210"/>
      <c r="O720" s="390"/>
      <c r="P720" s="209"/>
      <c r="Q720" s="210"/>
      <c r="R720" s="390"/>
      <c r="S720" s="209"/>
      <c r="T720" s="210"/>
      <c r="U720" s="390"/>
      <c r="V720" s="209"/>
      <c r="W720" s="210"/>
      <c r="X720" s="390"/>
      <c r="Y720" s="195"/>
      <c r="Z720" s="195"/>
      <c r="AA720" s="195"/>
      <c r="AB720" s="195"/>
      <c r="AC720" s="8"/>
      <c r="AD720" s="8"/>
      <c r="AE720" s="8"/>
      <c r="AF720" s="8"/>
      <c r="AG720" s="202"/>
      <c r="AH720" s="202"/>
      <c r="AI720" s="202"/>
      <c r="AJ720" s="202"/>
      <c r="AK720" s="8"/>
      <c r="AL720" s="8"/>
      <c r="AM720" s="8"/>
      <c r="AN720" s="8"/>
      <c r="AO720" s="8"/>
      <c r="AP720" s="8"/>
      <c r="AQ720" s="8"/>
      <c r="AR720" s="8"/>
      <c r="AS720" s="8"/>
      <c r="AT720" s="8"/>
      <c r="AU720" s="8"/>
      <c r="AV720" s="8"/>
    </row>
    <row r="721">
      <c r="A721" s="209"/>
      <c r="B721" s="210"/>
      <c r="C721" s="390"/>
      <c r="D721" s="209"/>
      <c r="E721" s="210"/>
      <c r="F721" s="390"/>
      <c r="G721" s="209"/>
      <c r="H721" s="210"/>
      <c r="I721" s="390"/>
      <c r="J721" s="209"/>
      <c r="K721" s="210"/>
      <c r="L721" s="390"/>
      <c r="M721" s="209"/>
      <c r="N721" s="210"/>
      <c r="O721" s="390"/>
      <c r="P721" s="209"/>
      <c r="Q721" s="210"/>
      <c r="R721" s="390"/>
      <c r="S721" s="209"/>
      <c r="T721" s="210"/>
      <c r="U721" s="390"/>
      <c r="V721" s="209"/>
      <c r="W721" s="210"/>
      <c r="X721" s="390"/>
      <c r="Y721" s="195"/>
      <c r="Z721" s="195"/>
      <c r="AA721" s="195"/>
      <c r="AB721" s="195"/>
      <c r="AC721" s="8"/>
      <c r="AD721" s="8"/>
      <c r="AE721" s="8"/>
      <c r="AF721" s="8"/>
      <c r="AG721" s="202"/>
      <c r="AH721" s="202"/>
      <c r="AI721" s="202"/>
      <c r="AJ721" s="202"/>
      <c r="AK721" s="8"/>
      <c r="AL721" s="8"/>
      <c r="AM721" s="8"/>
      <c r="AN721" s="8"/>
      <c r="AO721" s="8"/>
      <c r="AP721" s="8"/>
      <c r="AQ721" s="8"/>
      <c r="AR721" s="8"/>
      <c r="AS721" s="8"/>
      <c r="AT721" s="8"/>
      <c r="AU721" s="8"/>
      <c r="AV721" s="8"/>
    </row>
    <row r="722">
      <c r="A722" s="209"/>
      <c r="B722" s="210"/>
      <c r="C722" s="390"/>
      <c r="D722" s="209"/>
      <c r="E722" s="210"/>
      <c r="F722" s="390"/>
      <c r="G722" s="209"/>
      <c r="H722" s="210"/>
      <c r="I722" s="390"/>
      <c r="J722" s="209"/>
      <c r="K722" s="210"/>
      <c r="L722" s="390"/>
      <c r="M722" s="209"/>
      <c r="N722" s="210"/>
      <c r="O722" s="390"/>
      <c r="P722" s="209"/>
      <c r="Q722" s="210"/>
      <c r="R722" s="390"/>
      <c r="S722" s="209"/>
      <c r="T722" s="210"/>
      <c r="U722" s="390"/>
      <c r="V722" s="209"/>
      <c r="W722" s="210"/>
      <c r="X722" s="390"/>
      <c r="Y722" s="195"/>
      <c r="Z722" s="195"/>
      <c r="AA722" s="195"/>
      <c r="AB722" s="195"/>
      <c r="AC722" s="8"/>
      <c r="AD722" s="8"/>
      <c r="AE722" s="8"/>
      <c r="AF722" s="8"/>
      <c r="AG722" s="202"/>
      <c r="AH722" s="202"/>
      <c r="AI722" s="202"/>
      <c r="AJ722" s="202"/>
      <c r="AK722" s="8"/>
      <c r="AL722" s="8"/>
      <c r="AM722" s="8"/>
      <c r="AN722" s="8"/>
      <c r="AO722" s="8"/>
      <c r="AP722" s="8"/>
      <c r="AQ722" s="8"/>
      <c r="AR722" s="8"/>
      <c r="AS722" s="8"/>
      <c r="AT722" s="8"/>
      <c r="AU722" s="8"/>
      <c r="AV722" s="8"/>
    </row>
    <row r="723">
      <c r="A723" s="209"/>
      <c r="B723" s="210"/>
      <c r="C723" s="390"/>
      <c r="D723" s="209"/>
      <c r="E723" s="210"/>
      <c r="F723" s="390"/>
      <c r="G723" s="209"/>
      <c r="H723" s="210"/>
      <c r="I723" s="390"/>
      <c r="J723" s="209"/>
      <c r="K723" s="210"/>
      <c r="L723" s="390"/>
      <c r="M723" s="209"/>
      <c r="N723" s="210"/>
      <c r="O723" s="390"/>
      <c r="P723" s="209"/>
      <c r="Q723" s="210"/>
      <c r="R723" s="390"/>
      <c r="S723" s="209"/>
      <c r="T723" s="210"/>
      <c r="U723" s="390"/>
      <c r="V723" s="209"/>
      <c r="W723" s="210"/>
      <c r="X723" s="390"/>
      <c r="Y723" s="195"/>
      <c r="Z723" s="195"/>
      <c r="AA723" s="195"/>
      <c r="AB723" s="195"/>
      <c r="AC723" s="8"/>
      <c r="AD723" s="8"/>
      <c r="AE723" s="8"/>
      <c r="AF723" s="8"/>
      <c r="AG723" s="202"/>
      <c r="AH723" s="202"/>
      <c r="AI723" s="202"/>
      <c r="AJ723" s="202"/>
      <c r="AK723" s="8"/>
      <c r="AL723" s="8"/>
      <c r="AM723" s="8"/>
      <c r="AN723" s="8"/>
      <c r="AO723" s="8"/>
      <c r="AP723" s="8"/>
      <c r="AQ723" s="8"/>
      <c r="AR723" s="8"/>
      <c r="AS723" s="8"/>
      <c r="AT723" s="8"/>
      <c r="AU723" s="8"/>
      <c r="AV723" s="8"/>
    </row>
    <row r="724">
      <c r="A724" s="209"/>
      <c r="B724" s="210"/>
      <c r="C724" s="390"/>
      <c r="D724" s="209"/>
      <c r="E724" s="210"/>
      <c r="F724" s="390"/>
      <c r="G724" s="209"/>
      <c r="H724" s="210"/>
      <c r="I724" s="390"/>
      <c r="J724" s="209"/>
      <c r="K724" s="210"/>
      <c r="L724" s="390"/>
      <c r="M724" s="209"/>
      <c r="N724" s="210"/>
      <c r="O724" s="390"/>
      <c r="P724" s="209"/>
      <c r="Q724" s="210"/>
      <c r="R724" s="390"/>
      <c r="S724" s="209"/>
      <c r="T724" s="210"/>
      <c r="U724" s="390"/>
      <c r="V724" s="209"/>
      <c r="W724" s="210"/>
      <c r="X724" s="390"/>
      <c r="Y724" s="195"/>
      <c r="Z724" s="195"/>
      <c r="AA724" s="195"/>
      <c r="AB724" s="195"/>
      <c r="AC724" s="8"/>
      <c r="AD724" s="8"/>
      <c r="AE724" s="8"/>
      <c r="AF724" s="8"/>
      <c r="AG724" s="202"/>
      <c r="AH724" s="202"/>
      <c r="AI724" s="202"/>
      <c r="AJ724" s="202"/>
      <c r="AK724" s="8"/>
      <c r="AL724" s="8"/>
      <c r="AM724" s="8"/>
      <c r="AN724" s="8"/>
      <c r="AO724" s="8"/>
      <c r="AP724" s="8"/>
      <c r="AQ724" s="8"/>
      <c r="AR724" s="8"/>
      <c r="AS724" s="8"/>
      <c r="AT724" s="8"/>
      <c r="AU724" s="8"/>
      <c r="AV724" s="8"/>
    </row>
    <row r="725">
      <c r="A725" s="209"/>
      <c r="B725" s="210"/>
      <c r="C725" s="390"/>
      <c r="D725" s="209"/>
      <c r="E725" s="210"/>
      <c r="F725" s="390"/>
      <c r="G725" s="209"/>
      <c r="H725" s="210"/>
      <c r="I725" s="390"/>
      <c r="J725" s="209"/>
      <c r="K725" s="210"/>
      <c r="L725" s="390"/>
      <c r="M725" s="209"/>
      <c r="N725" s="210"/>
      <c r="O725" s="390"/>
      <c r="P725" s="209"/>
      <c r="Q725" s="210"/>
      <c r="R725" s="390"/>
      <c r="S725" s="209"/>
      <c r="T725" s="210"/>
      <c r="U725" s="390"/>
      <c r="V725" s="209"/>
      <c r="W725" s="210"/>
      <c r="X725" s="390"/>
      <c r="Y725" s="195"/>
      <c r="Z725" s="195"/>
      <c r="AA725" s="195"/>
      <c r="AB725" s="195"/>
      <c r="AC725" s="8"/>
      <c r="AD725" s="8"/>
      <c r="AE725" s="8"/>
      <c r="AF725" s="8"/>
      <c r="AG725" s="202"/>
      <c r="AH725" s="202"/>
      <c r="AI725" s="202"/>
      <c r="AJ725" s="202"/>
      <c r="AK725" s="8"/>
      <c r="AL725" s="8"/>
      <c r="AM725" s="8"/>
      <c r="AN725" s="8"/>
      <c r="AO725" s="8"/>
      <c r="AP725" s="8"/>
      <c r="AQ725" s="8"/>
      <c r="AR725" s="8"/>
      <c r="AS725" s="8"/>
      <c r="AT725" s="8"/>
      <c r="AU725" s="8"/>
      <c r="AV725" s="8"/>
    </row>
    <row r="726">
      <c r="A726" s="209"/>
      <c r="B726" s="210"/>
      <c r="C726" s="390"/>
      <c r="D726" s="209"/>
      <c r="E726" s="210"/>
      <c r="F726" s="390"/>
      <c r="G726" s="209"/>
      <c r="H726" s="210"/>
      <c r="I726" s="390"/>
      <c r="J726" s="209"/>
      <c r="K726" s="210"/>
      <c r="L726" s="390"/>
      <c r="M726" s="209"/>
      <c r="N726" s="210"/>
      <c r="O726" s="390"/>
      <c r="P726" s="209"/>
      <c r="Q726" s="210"/>
      <c r="R726" s="390"/>
      <c r="S726" s="209"/>
      <c r="T726" s="210"/>
      <c r="U726" s="390"/>
      <c r="V726" s="209"/>
      <c r="W726" s="210"/>
      <c r="X726" s="390"/>
      <c r="Y726" s="195"/>
      <c r="Z726" s="195"/>
      <c r="AA726" s="195"/>
      <c r="AB726" s="195"/>
      <c r="AC726" s="8"/>
      <c r="AD726" s="8"/>
      <c r="AE726" s="8"/>
      <c r="AF726" s="8"/>
      <c r="AG726" s="202"/>
      <c r="AH726" s="202"/>
      <c r="AI726" s="202"/>
      <c r="AJ726" s="202"/>
      <c r="AK726" s="8"/>
      <c r="AL726" s="8"/>
      <c r="AM726" s="8"/>
      <c r="AN726" s="8"/>
      <c r="AO726" s="8"/>
      <c r="AP726" s="8"/>
      <c r="AQ726" s="8"/>
      <c r="AR726" s="8"/>
      <c r="AS726" s="8"/>
      <c r="AT726" s="8"/>
      <c r="AU726" s="8"/>
      <c r="AV726" s="8"/>
    </row>
    <row r="727">
      <c r="A727" s="209"/>
      <c r="B727" s="210"/>
      <c r="C727" s="390"/>
      <c r="D727" s="209"/>
      <c r="E727" s="210"/>
      <c r="F727" s="390"/>
      <c r="G727" s="209"/>
      <c r="H727" s="210"/>
      <c r="I727" s="390"/>
      <c r="J727" s="209"/>
      <c r="K727" s="210"/>
      <c r="L727" s="390"/>
      <c r="M727" s="209"/>
      <c r="N727" s="210"/>
      <c r="O727" s="390"/>
      <c r="P727" s="209"/>
      <c r="Q727" s="210"/>
      <c r="R727" s="390"/>
      <c r="S727" s="209"/>
      <c r="T727" s="210"/>
      <c r="U727" s="390"/>
      <c r="V727" s="209"/>
      <c r="W727" s="210"/>
      <c r="X727" s="390"/>
      <c r="Y727" s="195"/>
      <c r="Z727" s="195"/>
      <c r="AA727" s="195"/>
      <c r="AB727" s="195"/>
      <c r="AC727" s="8"/>
      <c r="AD727" s="8"/>
      <c r="AE727" s="8"/>
      <c r="AF727" s="8"/>
      <c r="AG727" s="202"/>
      <c r="AH727" s="202"/>
      <c r="AI727" s="202"/>
      <c r="AJ727" s="202"/>
      <c r="AK727" s="8"/>
      <c r="AL727" s="8"/>
      <c r="AM727" s="8"/>
      <c r="AN727" s="8"/>
      <c r="AO727" s="8"/>
      <c r="AP727" s="8"/>
      <c r="AQ727" s="8"/>
      <c r="AR727" s="8"/>
      <c r="AS727" s="8"/>
      <c r="AT727" s="8"/>
      <c r="AU727" s="8"/>
      <c r="AV727" s="8"/>
    </row>
    <row r="728">
      <c r="A728" s="209"/>
      <c r="B728" s="210"/>
      <c r="C728" s="390"/>
      <c r="D728" s="209"/>
      <c r="E728" s="210"/>
      <c r="F728" s="390"/>
      <c r="G728" s="209"/>
      <c r="H728" s="210"/>
      <c r="I728" s="390"/>
      <c r="J728" s="209"/>
      <c r="K728" s="210"/>
      <c r="L728" s="390"/>
      <c r="M728" s="209"/>
      <c r="N728" s="210"/>
      <c r="O728" s="390"/>
      <c r="P728" s="209"/>
      <c r="Q728" s="210"/>
      <c r="R728" s="390"/>
      <c r="S728" s="209"/>
      <c r="T728" s="210"/>
      <c r="U728" s="390"/>
      <c r="V728" s="209"/>
      <c r="W728" s="210"/>
      <c r="X728" s="390"/>
      <c r="Y728" s="195"/>
      <c r="Z728" s="195"/>
      <c r="AA728" s="195"/>
      <c r="AB728" s="195"/>
      <c r="AC728" s="8"/>
      <c r="AD728" s="8"/>
      <c r="AE728" s="8"/>
      <c r="AF728" s="8"/>
      <c r="AG728" s="202"/>
      <c r="AH728" s="202"/>
      <c r="AI728" s="202"/>
      <c r="AJ728" s="202"/>
      <c r="AK728" s="8"/>
      <c r="AL728" s="8"/>
      <c r="AM728" s="8"/>
      <c r="AN728" s="8"/>
      <c r="AO728" s="8"/>
      <c r="AP728" s="8"/>
      <c r="AQ728" s="8"/>
      <c r="AR728" s="8"/>
      <c r="AS728" s="8"/>
      <c r="AT728" s="8"/>
      <c r="AU728" s="8"/>
      <c r="AV728" s="8"/>
    </row>
    <row r="729">
      <c r="A729" s="209"/>
      <c r="B729" s="210"/>
      <c r="C729" s="390"/>
      <c r="D729" s="209"/>
      <c r="E729" s="210"/>
      <c r="F729" s="390"/>
      <c r="G729" s="209"/>
      <c r="H729" s="210"/>
      <c r="I729" s="390"/>
      <c r="J729" s="209"/>
      <c r="K729" s="210"/>
      <c r="L729" s="390"/>
      <c r="M729" s="209"/>
      <c r="N729" s="210"/>
      <c r="O729" s="390"/>
      <c r="P729" s="209"/>
      <c r="Q729" s="210"/>
      <c r="R729" s="390"/>
      <c r="S729" s="209"/>
      <c r="T729" s="210"/>
      <c r="U729" s="390"/>
      <c r="V729" s="209"/>
      <c r="W729" s="210"/>
      <c r="X729" s="390"/>
      <c r="Y729" s="195"/>
      <c r="Z729" s="195"/>
      <c r="AA729" s="195"/>
      <c r="AB729" s="195"/>
      <c r="AC729" s="8"/>
      <c r="AD729" s="8"/>
      <c r="AE729" s="8"/>
      <c r="AF729" s="8"/>
      <c r="AG729" s="202"/>
      <c r="AH729" s="202"/>
      <c r="AI729" s="202"/>
      <c r="AJ729" s="202"/>
      <c r="AK729" s="8"/>
      <c r="AL729" s="8"/>
      <c r="AM729" s="8"/>
      <c r="AN729" s="8"/>
      <c r="AO729" s="8"/>
      <c r="AP729" s="8"/>
      <c r="AQ729" s="8"/>
      <c r="AR729" s="8"/>
      <c r="AS729" s="8"/>
      <c r="AT729" s="8"/>
      <c r="AU729" s="8"/>
      <c r="AV729" s="8"/>
    </row>
    <row r="730">
      <c r="A730" s="209"/>
      <c r="B730" s="210"/>
      <c r="C730" s="390"/>
      <c r="D730" s="209"/>
      <c r="E730" s="210"/>
      <c r="F730" s="390"/>
      <c r="G730" s="209"/>
      <c r="H730" s="210"/>
      <c r="I730" s="390"/>
      <c r="J730" s="209"/>
      <c r="K730" s="210"/>
      <c r="L730" s="390"/>
      <c r="M730" s="209"/>
      <c r="N730" s="210"/>
      <c r="O730" s="390"/>
      <c r="P730" s="209"/>
      <c r="Q730" s="210"/>
      <c r="R730" s="390"/>
      <c r="S730" s="209"/>
      <c r="T730" s="210"/>
      <c r="U730" s="390"/>
      <c r="V730" s="209"/>
      <c r="W730" s="210"/>
      <c r="X730" s="390"/>
      <c r="Y730" s="195"/>
      <c r="Z730" s="195"/>
      <c r="AA730" s="195"/>
      <c r="AB730" s="195"/>
      <c r="AC730" s="8"/>
      <c r="AD730" s="8"/>
      <c r="AE730" s="8"/>
      <c r="AF730" s="8"/>
      <c r="AG730" s="202"/>
      <c r="AH730" s="202"/>
      <c r="AI730" s="202"/>
      <c r="AJ730" s="202"/>
      <c r="AK730" s="8"/>
      <c r="AL730" s="8"/>
      <c r="AM730" s="8"/>
      <c r="AN730" s="8"/>
      <c r="AO730" s="8"/>
      <c r="AP730" s="8"/>
      <c r="AQ730" s="8"/>
      <c r="AR730" s="8"/>
      <c r="AS730" s="8"/>
      <c r="AT730" s="8"/>
      <c r="AU730" s="8"/>
      <c r="AV730" s="8"/>
    </row>
    <row r="731">
      <c r="A731" s="209"/>
      <c r="B731" s="210"/>
      <c r="C731" s="390"/>
      <c r="D731" s="209"/>
      <c r="E731" s="210"/>
      <c r="F731" s="390"/>
      <c r="G731" s="209"/>
      <c r="H731" s="210"/>
      <c r="I731" s="390"/>
      <c r="J731" s="209"/>
      <c r="K731" s="210"/>
      <c r="L731" s="390"/>
      <c r="M731" s="209"/>
      <c r="N731" s="210"/>
      <c r="O731" s="390"/>
      <c r="P731" s="209"/>
      <c r="Q731" s="210"/>
      <c r="R731" s="390"/>
      <c r="S731" s="209"/>
      <c r="T731" s="210"/>
      <c r="U731" s="390"/>
      <c r="V731" s="209"/>
      <c r="W731" s="210"/>
      <c r="X731" s="390"/>
      <c r="Y731" s="195"/>
      <c r="Z731" s="195"/>
      <c r="AA731" s="195"/>
      <c r="AB731" s="195"/>
      <c r="AC731" s="8"/>
      <c r="AD731" s="8"/>
      <c r="AE731" s="8"/>
      <c r="AF731" s="8"/>
      <c r="AG731" s="202"/>
      <c r="AH731" s="202"/>
      <c r="AI731" s="202"/>
      <c r="AJ731" s="202"/>
      <c r="AK731" s="8"/>
      <c r="AL731" s="8"/>
      <c r="AM731" s="8"/>
      <c r="AN731" s="8"/>
      <c r="AO731" s="8"/>
      <c r="AP731" s="8"/>
      <c r="AQ731" s="8"/>
      <c r="AR731" s="8"/>
      <c r="AS731" s="8"/>
      <c r="AT731" s="8"/>
      <c r="AU731" s="8"/>
      <c r="AV731" s="8"/>
    </row>
    <row r="732">
      <c r="A732" s="209"/>
      <c r="B732" s="210"/>
      <c r="C732" s="390"/>
      <c r="D732" s="209"/>
      <c r="E732" s="210"/>
      <c r="F732" s="390"/>
      <c r="G732" s="209"/>
      <c r="H732" s="210"/>
      <c r="I732" s="390"/>
      <c r="J732" s="209"/>
      <c r="K732" s="210"/>
      <c r="L732" s="390"/>
      <c r="M732" s="209"/>
      <c r="N732" s="210"/>
      <c r="O732" s="390"/>
      <c r="P732" s="209"/>
      <c r="Q732" s="210"/>
      <c r="R732" s="390"/>
      <c r="S732" s="209"/>
      <c r="T732" s="210"/>
      <c r="U732" s="390"/>
      <c r="V732" s="209"/>
      <c r="W732" s="210"/>
      <c r="X732" s="390"/>
      <c r="Y732" s="195"/>
      <c r="Z732" s="195"/>
      <c r="AA732" s="195"/>
      <c r="AB732" s="195"/>
      <c r="AC732" s="8"/>
      <c r="AD732" s="8"/>
      <c r="AE732" s="8"/>
      <c r="AF732" s="8"/>
      <c r="AG732" s="202"/>
      <c r="AH732" s="202"/>
      <c r="AI732" s="202"/>
      <c r="AJ732" s="202"/>
      <c r="AK732" s="8"/>
      <c r="AL732" s="8"/>
      <c r="AM732" s="8"/>
      <c r="AN732" s="8"/>
      <c r="AO732" s="8"/>
      <c r="AP732" s="8"/>
      <c r="AQ732" s="8"/>
      <c r="AR732" s="8"/>
      <c r="AS732" s="8"/>
      <c r="AT732" s="8"/>
      <c r="AU732" s="8"/>
      <c r="AV732" s="8"/>
    </row>
    <row r="733">
      <c r="A733" s="209"/>
      <c r="B733" s="210"/>
      <c r="C733" s="390"/>
      <c r="D733" s="209"/>
      <c r="E733" s="210"/>
      <c r="F733" s="390"/>
      <c r="G733" s="209"/>
      <c r="H733" s="210"/>
      <c r="I733" s="390"/>
      <c r="J733" s="209"/>
      <c r="K733" s="210"/>
      <c r="L733" s="390"/>
      <c r="M733" s="209"/>
      <c r="N733" s="210"/>
      <c r="O733" s="390"/>
      <c r="P733" s="209"/>
      <c r="Q733" s="210"/>
      <c r="R733" s="390"/>
      <c r="S733" s="209"/>
      <c r="T733" s="210"/>
      <c r="U733" s="390"/>
      <c r="V733" s="209"/>
      <c r="W733" s="210"/>
      <c r="X733" s="390"/>
      <c r="Y733" s="195"/>
      <c r="Z733" s="195"/>
      <c r="AA733" s="195"/>
      <c r="AB733" s="195"/>
      <c r="AC733" s="8"/>
      <c r="AD733" s="8"/>
      <c r="AE733" s="8"/>
      <c r="AF733" s="8"/>
      <c r="AG733" s="202"/>
      <c r="AH733" s="202"/>
      <c r="AI733" s="202"/>
      <c r="AJ733" s="202"/>
      <c r="AK733" s="8"/>
      <c r="AL733" s="8"/>
      <c r="AM733" s="8"/>
      <c r="AN733" s="8"/>
      <c r="AO733" s="8"/>
      <c r="AP733" s="8"/>
      <c r="AQ733" s="8"/>
      <c r="AR733" s="8"/>
      <c r="AS733" s="8"/>
      <c r="AT733" s="8"/>
      <c r="AU733" s="8"/>
      <c r="AV733" s="8"/>
    </row>
    <row r="734">
      <c r="A734" s="209"/>
      <c r="B734" s="210"/>
      <c r="C734" s="390"/>
      <c r="D734" s="209"/>
      <c r="E734" s="210"/>
      <c r="F734" s="390"/>
      <c r="G734" s="209"/>
      <c r="H734" s="210"/>
      <c r="I734" s="390"/>
      <c r="J734" s="209"/>
      <c r="K734" s="210"/>
      <c r="L734" s="390"/>
      <c r="M734" s="209"/>
      <c r="N734" s="210"/>
      <c r="O734" s="390"/>
      <c r="P734" s="209"/>
      <c r="Q734" s="210"/>
      <c r="R734" s="390"/>
      <c r="S734" s="209"/>
      <c r="T734" s="210"/>
      <c r="U734" s="390"/>
      <c r="V734" s="209"/>
      <c r="W734" s="210"/>
      <c r="X734" s="390"/>
      <c r="Y734" s="195"/>
      <c r="Z734" s="195"/>
      <c r="AA734" s="195"/>
      <c r="AB734" s="195"/>
      <c r="AC734" s="8"/>
      <c r="AD734" s="8"/>
      <c r="AE734" s="8"/>
      <c r="AF734" s="8"/>
      <c r="AG734" s="202"/>
      <c r="AH734" s="202"/>
      <c r="AI734" s="202"/>
      <c r="AJ734" s="202"/>
      <c r="AK734" s="8"/>
      <c r="AL734" s="8"/>
      <c r="AM734" s="8"/>
      <c r="AN734" s="8"/>
      <c r="AO734" s="8"/>
      <c r="AP734" s="8"/>
      <c r="AQ734" s="8"/>
      <c r="AR734" s="8"/>
      <c r="AS734" s="8"/>
      <c r="AT734" s="8"/>
      <c r="AU734" s="8"/>
      <c r="AV734" s="8"/>
    </row>
    <row r="735">
      <c r="A735" s="209"/>
      <c r="B735" s="210"/>
      <c r="C735" s="390"/>
      <c r="D735" s="209"/>
      <c r="E735" s="210"/>
      <c r="F735" s="390"/>
      <c r="G735" s="209"/>
      <c r="H735" s="210"/>
      <c r="I735" s="390"/>
      <c r="J735" s="209"/>
      <c r="K735" s="210"/>
      <c r="L735" s="390"/>
      <c r="M735" s="209"/>
      <c r="N735" s="210"/>
      <c r="O735" s="390"/>
      <c r="P735" s="209"/>
      <c r="Q735" s="210"/>
      <c r="R735" s="390"/>
      <c r="S735" s="209"/>
      <c r="T735" s="210"/>
      <c r="U735" s="390"/>
      <c r="V735" s="209"/>
      <c r="W735" s="210"/>
      <c r="X735" s="390"/>
      <c r="Y735" s="195"/>
      <c r="Z735" s="195"/>
      <c r="AA735" s="195"/>
      <c r="AB735" s="195"/>
      <c r="AC735" s="8"/>
      <c r="AD735" s="8"/>
      <c r="AE735" s="8"/>
      <c r="AF735" s="8"/>
      <c r="AG735" s="202"/>
      <c r="AH735" s="202"/>
      <c r="AI735" s="202"/>
      <c r="AJ735" s="202"/>
      <c r="AK735" s="8"/>
      <c r="AL735" s="8"/>
      <c r="AM735" s="8"/>
      <c r="AN735" s="8"/>
      <c r="AO735" s="8"/>
      <c r="AP735" s="8"/>
      <c r="AQ735" s="8"/>
      <c r="AR735" s="8"/>
      <c r="AS735" s="8"/>
      <c r="AT735" s="8"/>
      <c r="AU735" s="8"/>
      <c r="AV735" s="8"/>
    </row>
    <row r="736">
      <c r="A736" s="209"/>
      <c r="B736" s="210"/>
      <c r="C736" s="390"/>
      <c r="D736" s="209"/>
      <c r="E736" s="210"/>
      <c r="F736" s="390"/>
      <c r="G736" s="209"/>
      <c r="H736" s="210"/>
      <c r="I736" s="390"/>
      <c r="J736" s="209"/>
      <c r="K736" s="210"/>
      <c r="L736" s="390"/>
      <c r="M736" s="209"/>
      <c r="N736" s="210"/>
      <c r="O736" s="390"/>
      <c r="P736" s="209"/>
      <c r="Q736" s="210"/>
      <c r="R736" s="390"/>
      <c r="S736" s="209"/>
      <c r="T736" s="210"/>
      <c r="U736" s="390"/>
      <c r="V736" s="209"/>
      <c r="W736" s="210"/>
      <c r="X736" s="390"/>
      <c r="Y736" s="195"/>
      <c r="Z736" s="195"/>
      <c r="AA736" s="195"/>
      <c r="AB736" s="195"/>
      <c r="AC736" s="8"/>
      <c r="AD736" s="8"/>
      <c r="AE736" s="8"/>
      <c r="AF736" s="8"/>
      <c r="AG736" s="202"/>
      <c r="AH736" s="202"/>
      <c r="AI736" s="202"/>
      <c r="AJ736" s="202"/>
      <c r="AK736" s="8"/>
      <c r="AL736" s="8"/>
      <c r="AM736" s="8"/>
      <c r="AN736" s="8"/>
      <c r="AO736" s="8"/>
      <c r="AP736" s="8"/>
      <c r="AQ736" s="8"/>
      <c r="AR736" s="8"/>
      <c r="AS736" s="8"/>
      <c r="AT736" s="8"/>
      <c r="AU736" s="8"/>
      <c r="AV736" s="8"/>
    </row>
    <row r="737">
      <c r="A737" s="209"/>
      <c r="B737" s="210"/>
      <c r="C737" s="390"/>
      <c r="D737" s="209"/>
      <c r="E737" s="210"/>
      <c r="F737" s="390"/>
      <c r="G737" s="209"/>
      <c r="H737" s="210"/>
      <c r="I737" s="390"/>
      <c r="J737" s="209"/>
      <c r="K737" s="210"/>
      <c r="L737" s="390"/>
      <c r="M737" s="209"/>
      <c r="N737" s="210"/>
      <c r="O737" s="390"/>
      <c r="P737" s="209"/>
      <c r="Q737" s="210"/>
      <c r="R737" s="390"/>
      <c r="S737" s="209"/>
      <c r="T737" s="210"/>
      <c r="U737" s="390"/>
      <c r="V737" s="209"/>
      <c r="W737" s="210"/>
      <c r="X737" s="390"/>
      <c r="Y737" s="195"/>
      <c r="Z737" s="195"/>
      <c r="AA737" s="195"/>
      <c r="AB737" s="195"/>
      <c r="AC737" s="8"/>
      <c r="AD737" s="8"/>
      <c r="AE737" s="8"/>
      <c r="AF737" s="8"/>
      <c r="AG737" s="202"/>
      <c r="AH737" s="202"/>
      <c r="AI737" s="202"/>
      <c r="AJ737" s="202"/>
      <c r="AK737" s="8"/>
      <c r="AL737" s="8"/>
      <c r="AM737" s="8"/>
      <c r="AN737" s="8"/>
      <c r="AO737" s="8"/>
      <c r="AP737" s="8"/>
      <c r="AQ737" s="8"/>
      <c r="AR737" s="8"/>
      <c r="AS737" s="8"/>
      <c r="AT737" s="8"/>
      <c r="AU737" s="8"/>
      <c r="AV737" s="8"/>
    </row>
    <row r="738">
      <c r="A738" s="209"/>
      <c r="B738" s="210"/>
      <c r="C738" s="390"/>
      <c r="D738" s="209"/>
      <c r="E738" s="210"/>
      <c r="F738" s="390"/>
      <c r="G738" s="209"/>
      <c r="H738" s="210"/>
      <c r="I738" s="390"/>
      <c r="J738" s="209"/>
      <c r="K738" s="210"/>
      <c r="L738" s="390"/>
      <c r="M738" s="209"/>
      <c r="N738" s="210"/>
      <c r="O738" s="390"/>
      <c r="P738" s="209"/>
      <c r="Q738" s="210"/>
      <c r="R738" s="390"/>
      <c r="S738" s="209"/>
      <c r="T738" s="210"/>
      <c r="U738" s="390"/>
      <c r="V738" s="209"/>
      <c r="W738" s="210"/>
      <c r="X738" s="390"/>
      <c r="Y738" s="195"/>
      <c r="Z738" s="195"/>
      <c r="AA738" s="195"/>
      <c r="AB738" s="195"/>
      <c r="AC738" s="8"/>
      <c r="AD738" s="8"/>
      <c r="AE738" s="8"/>
      <c r="AF738" s="8"/>
      <c r="AG738" s="202"/>
      <c r="AH738" s="202"/>
      <c r="AI738" s="202"/>
      <c r="AJ738" s="202"/>
      <c r="AK738" s="8"/>
      <c r="AL738" s="8"/>
      <c r="AM738" s="8"/>
      <c r="AN738" s="8"/>
      <c r="AO738" s="8"/>
      <c r="AP738" s="8"/>
      <c r="AQ738" s="8"/>
      <c r="AR738" s="8"/>
      <c r="AS738" s="8"/>
      <c r="AT738" s="8"/>
      <c r="AU738" s="8"/>
      <c r="AV738" s="8"/>
    </row>
    <row r="739">
      <c r="A739" s="209"/>
      <c r="B739" s="210"/>
      <c r="C739" s="390"/>
      <c r="D739" s="209"/>
      <c r="E739" s="210"/>
      <c r="F739" s="390"/>
      <c r="G739" s="209"/>
      <c r="H739" s="210"/>
      <c r="I739" s="390"/>
      <c r="J739" s="209"/>
      <c r="K739" s="210"/>
      <c r="L739" s="390"/>
      <c r="M739" s="209"/>
      <c r="N739" s="210"/>
      <c r="O739" s="390"/>
      <c r="P739" s="209"/>
      <c r="Q739" s="210"/>
      <c r="R739" s="390"/>
      <c r="S739" s="209"/>
      <c r="T739" s="210"/>
      <c r="U739" s="390"/>
      <c r="V739" s="209"/>
      <c r="W739" s="210"/>
      <c r="X739" s="390"/>
      <c r="Y739" s="195"/>
      <c r="Z739" s="195"/>
      <c r="AA739" s="195"/>
      <c r="AB739" s="195"/>
      <c r="AC739" s="8"/>
      <c r="AD739" s="8"/>
      <c r="AE739" s="8"/>
      <c r="AF739" s="8"/>
      <c r="AG739" s="202"/>
      <c r="AH739" s="202"/>
      <c r="AI739" s="202"/>
      <c r="AJ739" s="202"/>
      <c r="AK739" s="8"/>
      <c r="AL739" s="8"/>
      <c r="AM739" s="8"/>
      <c r="AN739" s="8"/>
      <c r="AO739" s="8"/>
      <c r="AP739" s="8"/>
      <c r="AQ739" s="8"/>
      <c r="AR739" s="8"/>
      <c r="AS739" s="8"/>
      <c r="AT739" s="8"/>
      <c r="AU739" s="8"/>
      <c r="AV739" s="8"/>
    </row>
    <row r="740">
      <c r="A740" s="209"/>
      <c r="B740" s="210"/>
      <c r="C740" s="390"/>
      <c r="D740" s="209"/>
      <c r="E740" s="210"/>
      <c r="F740" s="390"/>
      <c r="G740" s="209"/>
      <c r="H740" s="210"/>
      <c r="I740" s="390"/>
      <c r="J740" s="209"/>
      <c r="K740" s="210"/>
      <c r="L740" s="390"/>
      <c r="M740" s="209"/>
      <c r="N740" s="210"/>
      <c r="O740" s="390"/>
      <c r="P740" s="209"/>
      <c r="Q740" s="210"/>
      <c r="R740" s="390"/>
      <c r="S740" s="209"/>
      <c r="T740" s="210"/>
      <c r="U740" s="390"/>
      <c r="V740" s="209"/>
      <c r="W740" s="210"/>
      <c r="X740" s="390"/>
      <c r="Y740" s="195"/>
      <c r="Z740" s="195"/>
      <c r="AA740" s="195"/>
      <c r="AB740" s="195"/>
      <c r="AC740" s="8"/>
      <c r="AD740" s="8"/>
      <c r="AE740" s="8"/>
      <c r="AF740" s="8"/>
      <c r="AG740" s="202"/>
      <c r="AH740" s="202"/>
      <c r="AI740" s="202"/>
      <c r="AJ740" s="202"/>
      <c r="AK740" s="8"/>
      <c r="AL740" s="8"/>
      <c r="AM740" s="8"/>
      <c r="AN740" s="8"/>
      <c r="AO740" s="8"/>
      <c r="AP740" s="8"/>
      <c r="AQ740" s="8"/>
      <c r="AR740" s="8"/>
      <c r="AS740" s="8"/>
      <c r="AT740" s="8"/>
      <c r="AU740" s="8"/>
      <c r="AV740" s="8"/>
    </row>
    <row r="741">
      <c r="A741" s="209"/>
      <c r="B741" s="210"/>
      <c r="C741" s="390"/>
      <c r="D741" s="209"/>
      <c r="E741" s="210"/>
      <c r="F741" s="390"/>
      <c r="G741" s="209"/>
      <c r="H741" s="210"/>
      <c r="I741" s="390"/>
      <c r="J741" s="209"/>
      <c r="K741" s="210"/>
      <c r="L741" s="390"/>
      <c r="M741" s="209"/>
      <c r="N741" s="210"/>
      <c r="O741" s="390"/>
      <c r="P741" s="209"/>
      <c r="Q741" s="210"/>
      <c r="R741" s="390"/>
      <c r="S741" s="209"/>
      <c r="T741" s="210"/>
      <c r="U741" s="390"/>
      <c r="V741" s="209"/>
      <c r="W741" s="210"/>
      <c r="X741" s="390"/>
      <c r="Y741" s="195"/>
      <c r="Z741" s="195"/>
      <c r="AA741" s="195"/>
      <c r="AB741" s="195"/>
      <c r="AC741" s="8"/>
      <c r="AD741" s="8"/>
      <c r="AE741" s="8"/>
      <c r="AF741" s="8"/>
      <c r="AG741" s="202"/>
      <c r="AH741" s="202"/>
      <c r="AI741" s="202"/>
      <c r="AJ741" s="202"/>
      <c r="AK741" s="8"/>
      <c r="AL741" s="8"/>
      <c r="AM741" s="8"/>
      <c r="AN741" s="8"/>
      <c r="AO741" s="8"/>
      <c r="AP741" s="8"/>
      <c r="AQ741" s="8"/>
      <c r="AR741" s="8"/>
      <c r="AS741" s="8"/>
      <c r="AT741" s="8"/>
      <c r="AU741" s="8"/>
      <c r="AV741" s="8"/>
    </row>
    <row r="742">
      <c r="A742" s="209"/>
      <c r="B742" s="210"/>
      <c r="C742" s="390"/>
      <c r="D742" s="209"/>
      <c r="E742" s="210"/>
      <c r="F742" s="390"/>
      <c r="G742" s="209"/>
      <c r="H742" s="210"/>
      <c r="I742" s="390"/>
      <c r="J742" s="209"/>
      <c r="K742" s="210"/>
      <c r="L742" s="390"/>
      <c r="M742" s="209"/>
      <c r="N742" s="210"/>
      <c r="O742" s="390"/>
      <c r="P742" s="209"/>
      <c r="Q742" s="210"/>
      <c r="R742" s="390"/>
      <c r="S742" s="209"/>
      <c r="T742" s="210"/>
      <c r="U742" s="390"/>
      <c r="V742" s="209"/>
      <c r="W742" s="210"/>
      <c r="X742" s="390"/>
      <c r="Y742" s="195"/>
      <c r="Z742" s="195"/>
      <c r="AA742" s="195"/>
      <c r="AB742" s="195"/>
      <c r="AC742" s="8"/>
      <c r="AD742" s="8"/>
      <c r="AE742" s="8"/>
      <c r="AF742" s="8"/>
      <c r="AG742" s="202"/>
      <c r="AH742" s="202"/>
      <c r="AI742" s="202"/>
      <c r="AJ742" s="202"/>
      <c r="AK742" s="8"/>
      <c r="AL742" s="8"/>
      <c r="AM742" s="8"/>
      <c r="AN742" s="8"/>
      <c r="AO742" s="8"/>
      <c r="AP742" s="8"/>
      <c r="AQ742" s="8"/>
      <c r="AR742" s="8"/>
      <c r="AS742" s="8"/>
      <c r="AT742" s="8"/>
      <c r="AU742" s="8"/>
      <c r="AV742" s="8"/>
    </row>
    <row r="743">
      <c r="A743" s="209"/>
      <c r="B743" s="210"/>
      <c r="C743" s="390"/>
      <c r="D743" s="209"/>
      <c r="E743" s="210"/>
      <c r="F743" s="390"/>
      <c r="G743" s="209"/>
      <c r="H743" s="210"/>
      <c r="I743" s="390"/>
      <c r="J743" s="209"/>
      <c r="K743" s="210"/>
      <c r="L743" s="390"/>
      <c r="M743" s="209"/>
      <c r="N743" s="210"/>
      <c r="O743" s="390"/>
      <c r="P743" s="209"/>
      <c r="Q743" s="210"/>
      <c r="R743" s="390"/>
      <c r="S743" s="209"/>
      <c r="T743" s="210"/>
      <c r="U743" s="390"/>
      <c r="V743" s="209"/>
      <c r="W743" s="210"/>
      <c r="X743" s="390"/>
      <c r="Y743" s="195"/>
      <c r="Z743" s="195"/>
      <c r="AA743" s="195"/>
      <c r="AB743" s="195"/>
      <c r="AC743" s="8"/>
      <c r="AD743" s="8"/>
      <c r="AE743" s="8"/>
      <c r="AF743" s="8"/>
      <c r="AG743" s="202"/>
      <c r="AH743" s="202"/>
      <c r="AI743" s="202"/>
      <c r="AJ743" s="202"/>
      <c r="AK743" s="8"/>
      <c r="AL743" s="8"/>
      <c r="AM743" s="8"/>
      <c r="AN743" s="8"/>
      <c r="AO743" s="8"/>
      <c r="AP743" s="8"/>
      <c r="AQ743" s="8"/>
      <c r="AR743" s="8"/>
      <c r="AS743" s="8"/>
      <c r="AT743" s="8"/>
      <c r="AU743" s="8"/>
      <c r="AV743" s="8"/>
    </row>
    <row r="744">
      <c r="A744" s="209"/>
      <c r="B744" s="210"/>
      <c r="C744" s="390"/>
      <c r="D744" s="209"/>
      <c r="E744" s="210"/>
      <c r="F744" s="390"/>
      <c r="G744" s="209"/>
      <c r="H744" s="210"/>
      <c r="I744" s="390"/>
      <c r="J744" s="209"/>
      <c r="K744" s="210"/>
      <c r="L744" s="390"/>
      <c r="M744" s="209"/>
      <c r="N744" s="210"/>
      <c r="O744" s="390"/>
      <c r="P744" s="209"/>
      <c r="Q744" s="210"/>
      <c r="R744" s="390"/>
      <c r="S744" s="209"/>
      <c r="T744" s="210"/>
      <c r="U744" s="390"/>
      <c r="V744" s="209"/>
      <c r="W744" s="210"/>
      <c r="X744" s="390"/>
      <c r="Y744" s="195"/>
      <c r="Z744" s="195"/>
      <c r="AA744" s="195"/>
      <c r="AB744" s="195"/>
      <c r="AC744" s="8"/>
      <c r="AD744" s="8"/>
      <c r="AE744" s="8"/>
      <c r="AF744" s="8"/>
      <c r="AG744" s="202"/>
      <c r="AH744" s="202"/>
      <c r="AI744" s="202"/>
      <c r="AJ744" s="202"/>
      <c r="AK744" s="8"/>
      <c r="AL744" s="8"/>
      <c r="AM744" s="8"/>
      <c r="AN744" s="8"/>
      <c r="AO744" s="8"/>
      <c r="AP744" s="8"/>
      <c r="AQ744" s="8"/>
      <c r="AR744" s="8"/>
      <c r="AS744" s="8"/>
      <c r="AT744" s="8"/>
      <c r="AU744" s="8"/>
      <c r="AV744" s="8"/>
    </row>
    <row r="745">
      <c r="A745" s="209"/>
      <c r="B745" s="210"/>
      <c r="C745" s="390"/>
      <c r="D745" s="209"/>
      <c r="E745" s="210"/>
      <c r="F745" s="390"/>
      <c r="G745" s="209"/>
      <c r="H745" s="210"/>
      <c r="I745" s="390"/>
      <c r="J745" s="209"/>
      <c r="K745" s="210"/>
      <c r="L745" s="390"/>
      <c r="M745" s="209"/>
      <c r="N745" s="210"/>
      <c r="O745" s="390"/>
      <c r="P745" s="209"/>
      <c r="Q745" s="210"/>
      <c r="R745" s="390"/>
      <c r="S745" s="209"/>
      <c r="T745" s="210"/>
      <c r="U745" s="390"/>
      <c r="V745" s="209"/>
      <c r="W745" s="210"/>
      <c r="X745" s="390"/>
      <c r="Y745" s="195"/>
      <c r="Z745" s="195"/>
      <c r="AA745" s="195"/>
      <c r="AB745" s="195"/>
      <c r="AC745" s="8"/>
      <c r="AD745" s="8"/>
      <c r="AE745" s="8"/>
      <c r="AF745" s="8"/>
      <c r="AG745" s="202"/>
      <c r="AH745" s="202"/>
      <c r="AI745" s="202"/>
      <c r="AJ745" s="202"/>
      <c r="AK745" s="8"/>
      <c r="AL745" s="8"/>
      <c r="AM745" s="8"/>
      <c r="AN745" s="8"/>
      <c r="AO745" s="8"/>
      <c r="AP745" s="8"/>
      <c r="AQ745" s="8"/>
      <c r="AR745" s="8"/>
      <c r="AS745" s="8"/>
      <c r="AT745" s="8"/>
      <c r="AU745" s="8"/>
      <c r="AV745" s="8"/>
    </row>
    <row r="746">
      <c r="A746" s="209"/>
      <c r="B746" s="210"/>
      <c r="C746" s="390"/>
      <c r="D746" s="209"/>
      <c r="E746" s="210"/>
      <c r="F746" s="390"/>
      <c r="G746" s="209"/>
      <c r="H746" s="210"/>
      <c r="I746" s="390"/>
      <c r="J746" s="209"/>
      <c r="K746" s="210"/>
      <c r="L746" s="390"/>
      <c r="M746" s="209"/>
      <c r="N746" s="210"/>
      <c r="O746" s="390"/>
      <c r="P746" s="209"/>
      <c r="Q746" s="210"/>
      <c r="R746" s="390"/>
      <c r="S746" s="209"/>
      <c r="T746" s="210"/>
      <c r="U746" s="390"/>
      <c r="V746" s="209"/>
      <c r="W746" s="210"/>
      <c r="X746" s="390"/>
      <c r="Y746" s="195"/>
      <c r="Z746" s="195"/>
      <c r="AA746" s="195"/>
      <c r="AB746" s="195"/>
      <c r="AC746" s="8"/>
      <c r="AD746" s="8"/>
      <c r="AE746" s="8"/>
      <c r="AF746" s="8"/>
      <c r="AG746" s="202"/>
      <c r="AH746" s="202"/>
      <c r="AI746" s="202"/>
      <c r="AJ746" s="202"/>
      <c r="AK746" s="8"/>
      <c r="AL746" s="8"/>
      <c r="AM746" s="8"/>
      <c r="AN746" s="8"/>
      <c r="AO746" s="8"/>
      <c r="AP746" s="8"/>
      <c r="AQ746" s="8"/>
      <c r="AR746" s="8"/>
      <c r="AS746" s="8"/>
      <c r="AT746" s="8"/>
      <c r="AU746" s="8"/>
      <c r="AV746" s="8"/>
    </row>
    <row r="747">
      <c r="A747" s="209"/>
      <c r="B747" s="210"/>
      <c r="C747" s="390"/>
      <c r="D747" s="209"/>
      <c r="E747" s="210"/>
      <c r="F747" s="390"/>
      <c r="G747" s="209"/>
      <c r="H747" s="210"/>
      <c r="I747" s="390"/>
      <c r="J747" s="209"/>
      <c r="K747" s="210"/>
      <c r="L747" s="390"/>
      <c r="M747" s="209"/>
      <c r="N747" s="210"/>
      <c r="O747" s="390"/>
      <c r="P747" s="209"/>
      <c r="Q747" s="210"/>
      <c r="R747" s="390"/>
      <c r="S747" s="209"/>
      <c r="T747" s="210"/>
      <c r="U747" s="390"/>
      <c r="V747" s="209"/>
      <c r="W747" s="210"/>
      <c r="X747" s="390"/>
      <c r="Y747" s="195"/>
      <c r="Z747" s="195"/>
      <c r="AA747" s="195"/>
      <c r="AB747" s="195"/>
      <c r="AC747" s="8"/>
      <c r="AD747" s="8"/>
      <c r="AE747" s="8"/>
      <c r="AF747" s="8"/>
      <c r="AG747" s="202"/>
      <c r="AH747" s="202"/>
      <c r="AI747" s="202"/>
      <c r="AJ747" s="202"/>
      <c r="AK747" s="8"/>
      <c r="AL747" s="8"/>
      <c r="AM747" s="8"/>
      <c r="AN747" s="8"/>
      <c r="AO747" s="8"/>
      <c r="AP747" s="8"/>
      <c r="AQ747" s="8"/>
      <c r="AR747" s="8"/>
      <c r="AS747" s="8"/>
      <c r="AT747" s="8"/>
      <c r="AU747" s="8"/>
      <c r="AV747" s="8"/>
    </row>
    <row r="748">
      <c r="A748" s="209"/>
      <c r="B748" s="210"/>
      <c r="C748" s="390"/>
      <c r="D748" s="209"/>
      <c r="E748" s="210"/>
      <c r="F748" s="390"/>
      <c r="G748" s="209"/>
      <c r="H748" s="210"/>
      <c r="I748" s="390"/>
      <c r="J748" s="209"/>
      <c r="K748" s="210"/>
      <c r="L748" s="390"/>
      <c r="M748" s="209"/>
      <c r="N748" s="210"/>
      <c r="O748" s="390"/>
      <c r="P748" s="209"/>
      <c r="Q748" s="210"/>
      <c r="R748" s="390"/>
      <c r="S748" s="209"/>
      <c r="T748" s="210"/>
      <c r="U748" s="390"/>
      <c r="V748" s="209"/>
      <c r="W748" s="210"/>
      <c r="X748" s="390"/>
      <c r="Y748" s="195"/>
      <c r="Z748" s="195"/>
      <c r="AA748" s="195"/>
      <c r="AB748" s="195"/>
      <c r="AC748" s="8"/>
      <c r="AD748" s="8"/>
      <c r="AE748" s="8"/>
      <c r="AF748" s="8"/>
      <c r="AG748" s="202"/>
      <c r="AH748" s="202"/>
      <c r="AI748" s="202"/>
      <c r="AJ748" s="202"/>
      <c r="AK748" s="8"/>
      <c r="AL748" s="8"/>
      <c r="AM748" s="8"/>
      <c r="AN748" s="8"/>
      <c r="AO748" s="8"/>
      <c r="AP748" s="8"/>
      <c r="AQ748" s="8"/>
      <c r="AR748" s="8"/>
      <c r="AS748" s="8"/>
      <c r="AT748" s="8"/>
      <c r="AU748" s="8"/>
      <c r="AV748" s="8"/>
    </row>
    <row r="749">
      <c r="A749" s="209"/>
      <c r="B749" s="210"/>
      <c r="C749" s="390"/>
      <c r="D749" s="209"/>
      <c r="E749" s="210"/>
      <c r="F749" s="390"/>
      <c r="G749" s="209"/>
      <c r="H749" s="210"/>
      <c r="I749" s="390"/>
      <c r="J749" s="209"/>
      <c r="K749" s="210"/>
      <c r="L749" s="390"/>
      <c r="M749" s="209"/>
      <c r="N749" s="210"/>
      <c r="O749" s="390"/>
      <c r="P749" s="209"/>
      <c r="Q749" s="210"/>
      <c r="R749" s="390"/>
      <c r="S749" s="209"/>
      <c r="T749" s="210"/>
      <c r="U749" s="390"/>
      <c r="V749" s="209"/>
      <c r="W749" s="210"/>
      <c r="X749" s="390"/>
      <c r="Y749" s="195"/>
      <c r="Z749" s="195"/>
      <c r="AA749" s="195"/>
      <c r="AB749" s="195"/>
      <c r="AC749" s="8"/>
      <c r="AD749" s="8"/>
      <c r="AE749" s="8"/>
      <c r="AF749" s="8"/>
      <c r="AG749" s="202"/>
      <c r="AH749" s="202"/>
      <c r="AI749" s="202"/>
      <c r="AJ749" s="202"/>
      <c r="AK749" s="8"/>
      <c r="AL749" s="8"/>
      <c r="AM749" s="8"/>
      <c r="AN749" s="8"/>
      <c r="AO749" s="8"/>
      <c r="AP749" s="8"/>
      <c r="AQ749" s="8"/>
      <c r="AR749" s="8"/>
      <c r="AS749" s="8"/>
      <c r="AT749" s="8"/>
      <c r="AU749" s="8"/>
      <c r="AV749" s="8"/>
    </row>
    <row r="750">
      <c r="A750" s="209"/>
      <c r="B750" s="210"/>
      <c r="C750" s="390"/>
      <c r="D750" s="209"/>
      <c r="E750" s="210"/>
      <c r="F750" s="390"/>
      <c r="G750" s="209"/>
      <c r="H750" s="210"/>
      <c r="I750" s="390"/>
      <c r="J750" s="209"/>
      <c r="K750" s="210"/>
      <c r="L750" s="390"/>
      <c r="M750" s="209"/>
      <c r="N750" s="210"/>
      <c r="O750" s="390"/>
      <c r="P750" s="209"/>
      <c r="Q750" s="210"/>
      <c r="R750" s="390"/>
      <c r="S750" s="209"/>
      <c r="T750" s="210"/>
      <c r="U750" s="390"/>
      <c r="V750" s="209"/>
      <c r="W750" s="210"/>
      <c r="X750" s="390"/>
      <c r="Y750" s="195"/>
      <c r="Z750" s="195"/>
      <c r="AA750" s="195"/>
      <c r="AB750" s="195"/>
      <c r="AC750" s="8"/>
      <c r="AD750" s="8"/>
      <c r="AE750" s="8"/>
      <c r="AF750" s="8"/>
      <c r="AG750" s="202"/>
      <c r="AH750" s="202"/>
      <c r="AI750" s="202"/>
      <c r="AJ750" s="202"/>
      <c r="AK750" s="8"/>
      <c r="AL750" s="8"/>
      <c r="AM750" s="8"/>
      <c r="AN750" s="8"/>
      <c r="AO750" s="8"/>
      <c r="AP750" s="8"/>
      <c r="AQ750" s="8"/>
      <c r="AR750" s="8"/>
      <c r="AS750" s="8"/>
      <c r="AT750" s="8"/>
      <c r="AU750" s="8"/>
      <c r="AV750" s="8"/>
    </row>
    <row r="751">
      <c r="A751" s="209"/>
      <c r="B751" s="210"/>
      <c r="C751" s="390"/>
      <c r="D751" s="209"/>
      <c r="E751" s="210"/>
      <c r="F751" s="390"/>
      <c r="G751" s="209"/>
      <c r="H751" s="210"/>
      <c r="I751" s="390"/>
      <c r="J751" s="209"/>
      <c r="K751" s="210"/>
      <c r="L751" s="390"/>
      <c r="M751" s="209"/>
      <c r="N751" s="210"/>
      <c r="O751" s="390"/>
      <c r="P751" s="209"/>
      <c r="Q751" s="210"/>
      <c r="R751" s="390"/>
      <c r="S751" s="209"/>
      <c r="T751" s="210"/>
      <c r="U751" s="390"/>
      <c r="V751" s="209"/>
      <c r="W751" s="210"/>
      <c r="X751" s="390"/>
      <c r="Y751" s="195"/>
      <c r="Z751" s="195"/>
      <c r="AA751" s="195"/>
      <c r="AB751" s="195"/>
      <c r="AC751" s="8"/>
      <c r="AD751" s="8"/>
      <c r="AE751" s="8"/>
      <c r="AF751" s="8"/>
      <c r="AG751" s="202"/>
      <c r="AH751" s="202"/>
      <c r="AI751" s="202"/>
      <c r="AJ751" s="202"/>
      <c r="AK751" s="8"/>
      <c r="AL751" s="8"/>
      <c r="AM751" s="8"/>
      <c r="AN751" s="8"/>
      <c r="AO751" s="8"/>
      <c r="AP751" s="8"/>
      <c r="AQ751" s="8"/>
      <c r="AR751" s="8"/>
      <c r="AS751" s="8"/>
      <c r="AT751" s="8"/>
      <c r="AU751" s="8"/>
      <c r="AV751" s="8"/>
    </row>
    <row r="752">
      <c r="A752" s="209"/>
      <c r="B752" s="210"/>
      <c r="C752" s="390"/>
      <c r="D752" s="209"/>
      <c r="E752" s="210"/>
      <c r="F752" s="390"/>
      <c r="G752" s="209"/>
      <c r="H752" s="210"/>
      <c r="I752" s="390"/>
      <c r="J752" s="209"/>
      <c r="K752" s="210"/>
      <c r="L752" s="390"/>
      <c r="M752" s="209"/>
      <c r="N752" s="210"/>
      <c r="O752" s="390"/>
      <c r="P752" s="209"/>
      <c r="Q752" s="210"/>
      <c r="R752" s="390"/>
      <c r="S752" s="209"/>
      <c r="T752" s="210"/>
      <c r="U752" s="390"/>
      <c r="V752" s="209"/>
      <c r="W752" s="210"/>
      <c r="X752" s="390"/>
      <c r="Y752" s="195"/>
      <c r="Z752" s="195"/>
      <c r="AA752" s="195"/>
      <c r="AB752" s="195"/>
      <c r="AC752" s="8"/>
      <c r="AD752" s="8"/>
      <c r="AE752" s="8"/>
      <c r="AF752" s="8"/>
      <c r="AG752" s="202"/>
      <c r="AH752" s="202"/>
      <c r="AI752" s="202"/>
      <c r="AJ752" s="202"/>
      <c r="AK752" s="8"/>
      <c r="AL752" s="8"/>
      <c r="AM752" s="8"/>
      <c r="AN752" s="8"/>
      <c r="AO752" s="8"/>
      <c r="AP752" s="8"/>
      <c r="AQ752" s="8"/>
      <c r="AR752" s="8"/>
      <c r="AS752" s="8"/>
      <c r="AT752" s="8"/>
      <c r="AU752" s="8"/>
      <c r="AV752" s="8"/>
    </row>
    <row r="753">
      <c r="A753" s="209"/>
      <c r="B753" s="210"/>
      <c r="C753" s="390"/>
      <c r="D753" s="209"/>
      <c r="E753" s="210"/>
      <c r="F753" s="390"/>
      <c r="G753" s="209"/>
      <c r="H753" s="210"/>
      <c r="I753" s="390"/>
      <c r="J753" s="209"/>
      <c r="K753" s="210"/>
      <c r="L753" s="390"/>
      <c r="M753" s="209"/>
      <c r="N753" s="210"/>
      <c r="O753" s="390"/>
      <c r="P753" s="209"/>
      <c r="Q753" s="210"/>
      <c r="R753" s="390"/>
      <c r="S753" s="209"/>
      <c r="T753" s="210"/>
      <c r="U753" s="390"/>
      <c r="V753" s="209"/>
      <c r="W753" s="210"/>
      <c r="X753" s="390"/>
      <c r="Y753" s="195"/>
      <c r="Z753" s="195"/>
      <c r="AA753" s="195"/>
      <c r="AB753" s="195"/>
      <c r="AC753" s="8"/>
      <c r="AD753" s="8"/>
      <c r="AE753" s="8"/>
      <c r="AF753" s="8"/>
      <c r="AG753" s="202"/>
      <c r="AH753" s="202"/>
      <c r="AI753" s="202"/>
      <c r="AJ753" s="202"/>
      <c r="AK753" s="8"/>
      <c r="AL753" s="8"/>
      <c r="AM753" s="8"/>
      <c r="AN753" s="8"/>
      <c r="AO753" s="8"/>
      <c r="AP753" s="8"/>
      <c r="AQ753" s="8"/>
      <c r="AR753" s="8"/>
      <c r="AS753" s="8"/>
      <c r="AT753" s="8"/>
      <c r="AU753" s="8"/>
      <c r="AV753" s="8"/>
    </row>
    <row r="754">
      <c r="A754" s="209"/>
      <c r="B754" s="210"/>
      <c r="C754" s="390"/>
      <c r="D754" s="209"/>
      <c r="E754" s="210"/>
      <c r="F754" s="390"/>
      <c r="G754" s="209"/>
      <c r="H754" s="210"/>
      <c r="I754" s="390"/>
      <c r="J754" s="209"/>
      <c r="K754" s="210"/>
      <c r="L754" s="390"/>
      <c r="M754" s="209"/>
      <c r="N754" s="210"/>
      <c r="O754" s="390"/>
      <c r="P754" s="209"/>
      <c r="Q754" s="210"/>
      <c r="R754" s="390"/>
      <c r="S754" s="209"/>
      <c r="T754" s="210"/>
      <c r="U754" s="390"/>
      <c r="V754" s="209"/>
      <c r="W754" s="210"/>
      <c r="X754" s="390"/>
      <c r="Y754" s="195"/>
      <c r="Z754" s="195"/>
      <c r="AA754" s="195"/>
      <c r="AB754" s="195"/>
      <c r="AC754" s="8"/>
      <c r="AD754" s="8"/>
      <c r="AE754" s="8"/>
      <c r="AF754" s="8"/>
      <c r="AG754" s="202"/>
      <c r="AH754" s="202"/>
      <c r="AI754" s="202"/>
      <c r="AJ754" s="202"/>
      <c r="AK754" s="8"/>
      <c r="AL754" s="8"/>
      <c r="AM754" s="8"/>
      <c r="AN754" s="8"/>
      <c r="AO754" s="8"/>
      <c r="AP754" s="8"/>
      <c r="AQ754" s="8"/>
      <c r="AR754" s="8"/>
      <c r="AS754" s="8"/>
      <c r="AT754" s="8"/>
      <c r="AU754" s="8"/>
      <c r="AV754" s="8"/>
    </row>
    <row r="755">
      <c r="A755" s="209"/>
      <c r="B755" s="210"/>
      <c r="C755" s="390"/>
      <c r="D755" s="209"/>
      <c r="E755" s="210"/>
      <c r="F755" s="390"/>
      <c r="G755" s="209"/>
      <c r="H755" s="210"/>
      <c r="I755" s="390"/>
      <c r="J755" s="209"/>
      <c r="K755" s="210"/>
      <c r="L755" s="390"/>
      <c r="M755" s="209"/>
      <c r="N755" s="210"/>
      <c r="O755" s="390"/>
      <c r="P755" s="209"/>
      <c r="Q755" s="210"/>
      <c r="R755" s="390"/>
      <c r="S755" s="209"/>
      <c r="T755" s="210"/>
      <c r="U755" s="390"/>
      <c r="V755" s="209"/>
      <c r="W755" s="210"/>
      <c r="X755" s="390"/>
      <c r="Y755" s="195"/>
      <c r="Z755" s="195"/>
      <c r="AA755" s="195"/>
      <c r="AB755" s="195"/>
      <c r="AC755" s="8"/>
      <c r="AD755" s="8"/>
      <c r="AE755" s="8"/>
      <c r="AF755" s="8"/>
      <c r="AG755" s="202"/>
      <c r="AH755" s="202"/>
      <c r="AI755" s="202"/>
      <c r="AJ755" s="202"/>
      <c r="AK755" s="8"/>
      <c r="AL755" s="8"/>
      <c r="AM755" s="8"/>
      <c r="AN755" s="8"/>
      <c r="AO755" s="8"/>
      <c r="AP755" s="8"/>
      <c r="AQ755" s="8"/>
      <c r="AR755" s="8"/>
      <c r="AS755" s="8"/>
      <c r="AT755" s="8"/>
      <c r="AU755" s="8"/>
      <c r="AV755" s="8"/>
    </row>
    <row r="756">
      <c r="A756" s="209"/>
      <c r="B756" s="210"/>
      <c r="C756" s="390"/>
      <c r="D756" s="209"/>
      <c r="E756" s="210"/>
      <c r="F756" s="390"/>
      <c r="G756" s="209"/>
      <c r="H756" s="210"/>
      <c r="I756" s="390"/>
      <c r="J756" s="209"/>
      <c r="K756" s="210"/>
      <c r="L756" s="390"/>
      <c r="M756" s="209"/>
      <c r="N756" s="210"/>
      <c r="O756" s="390"/>
      <c r="P756" s="209"/>
      <c r="Q756" s="210"/>
      <c r="R756" s="390"/>
      <c r="S756" s="209"/>
      <c r="T756" s="210"/>
      <c r="U756" s="390"/>
      <c r="V756" s="209"/>
      <c r="W756" s="210"/>
      <c r="X756" s="390"/>
      <c r="Y756" s="195"/>
      <c r="Z756" s="195"/>
      <c r="AA756" s="195"/>
      <c r="AB756" s="195"/>
      <c r="AC756" s="8"/>
      <c r="AD756" s="8"/>
      <c r="AE756" s="8"/>
      <c r="AF756" s="8"/>
      <c r="AG756" s="202"/>
      <c r="AH756" s="202"/>
      <c r="AI756" s="202"/>
      <c r="AJ756" s="202"/>
      <c r="AK756" s="8"/>
      <c r="AL756" s="8"/>
      <c r="AM756" s="8"/>
      <c r="AN756" s="8"/>
      <c r="AO756" s="8"/>
      <c r="AP756" s="8"/>
      <c r="AQ756" s="8"/>
      <c r="AR756" s="8"/>
      <c r="AS756" s="8"/>
      <c r="AT756" s="8"/>
      <c r="AU756" s="8"/>
      <c r="AV756" s="8"/>
    </row>
    <row r="757">
      <c r="A757" s="209"/>
      <c r="B757" s="210"/>
      <c r="C757" s="390"/>
      <c r="D757" s="209"/>
      <c r="E757" s="210"/>
      <c r="F757" s="390"/>
      <c r="G757" s="209"/>
      <c r="H757" s="210"/>
      <c r="I757" s="390"/>
      <c r="J757" s="209"/>
      <c r="K757" s="210"/>
      <c r="L757" s="390"/>
      <c r="M757" s="209"/>
      <c r="N757" s="210"/>
      <c r="O757" s="390"/>
      <c r="P757" s="209"/>
      <c r="Q757" s="210"/>
      <c r="R757" s="390"/>
      <c r="S757" s="209"/>
      <c r="T757" s="210"/>
      <c r="U757" s="390"/>
      <c r="V757" s="209"/>
      <c r="W757" s="210"/>
      <c r="X757" s="390"/>
      <c r="Y757" s="195"/>
      <c r="Z757" s="195"/>
      <c r="AA757" s="195"/>
      <c r="AB757" s="195"/>
      <c r="AC757" s="8"/>
      <c r="AD757" s="8"/>
      <c r="AE757" s="8"/>
      <c r="AF757" s="8"/>
      <c r="AG757" s="202"/>
      <c r="AH757" s="202"/>
      <c r="AI757" s="202"/>
      <c r="AJ757" s="202"/>
      <c r="AK757" s="8"/>
      <c r="AL757" s="8"/>
      <c r="AM757" s="8"/>
      <c r="AN757" s="8"/>
      <c r="AO757" s="8"/>
      <c r="AP757" s="8"/>
      <c r="AQ757" s="8"/>
      <c r="AR757" s="8"/>
      <c r="AS757" s="8"/>
      <c r="AT757" s="8"/>
      <c r="AU757" s="8"/>
      <c r="AV757" s="8"/>
    </row>
    <row r="758">
      <c r="A758" s="209"/>
      <c r="B758" s="210"/>
      <c r="C758" s="390"/>
      <c r="D758" s="209"/>
      <c r="E758" s="210"/>
      <c r="F758" s="390"/>
      <c r="G758" s="209"/>
      <c r="H758" s="210"/>
      <c r="I758" s="390"/>
      <c r="J758" s="209"/>
      <c r="K758" s="210"/>
      <c r="L758" s="390"/>
      <c r="M758" s="209"/>
      <c r="N758" s="210"/>
      <c r="O758" s="390"/>
      <c r="P758" s="209"/>
      <c r="Q758" s="210"/>
      <c r="R758" s="390"/>
      <c r="S758" s="209"/>
      <c r="T758" s="210"/>
      <c r="U758" s="390"/>
      <c r="V758" s="209"/>
      <c r="W758" s="210"/>
      <c r="X758" s="390"/>
      <c r="Y758" s="195"/>
      <c r="Z758" s="195"/>
      <c r="AA758" s="195"/>
      <c r="AB758" s="195"/>
      <c r="AC758" s="8"/>
      <c r="AD758" s="8"/>
      <c r="AE758" s="8"/>
      <c r="AF758" s="8"/>
      <c r="AG758" s="202"/>
      <c r="AH758" s="202"/>
      <c r="AI758" s="202"/>
      <c r="AJ758" s="202"/>
      <c r="AK758" s="8"/>
      <c r="AL758" s="8"/>
      <c r="AM758" s="8"/>
      <c r="AN758" s="8"/>
      <c r="AO758" s="8"/>
      <c r="AP758" s="8"/>
      <c r="AQ758" s="8"/>
      <c r="AR758" s="8"/>
      <c r="AS758" s="8"/>
      <c r="AT758" s="8"/>
      <c r="AU758" s="8"/>
      <c r="AV758" s="8"/>
    </row>
    <row r="759">
      <c r="A759" s="209"/>
      <c r="B759" s="210"/>
      <c r="C759" s="390"/>
      <c r="D759" s="209"/>
      <c r="E759" s="210"/>
      <c r="F759" s="390"/>
      <c r="G759" s="209"/>
      <c r="H759" s="210"/>
      <c r="I759" s="390"/>
      <c r="J759" s="209"/>
      <c r="K759" s="210"/>
      <c r="L759" s="390"/>
      <c r="M759" s="209"/>
      <c r="N759" s="210"/>
      <c r="O759" s="390"/>
      <c r="P759" s="209"/>
      <c r="Q759" s="210"/>
      <c r="R759" s="390"/>
      <c r="S759" s="209"/>
      <c r="T759" s="210"/>
      <c r="U759" s="390"/>
      <c r="V759" s="209"/>
      <c r="W759" s="210"/>
      <c r="X759" s="390"/>
      <c r="Y759" s="195"/>
      <c r="Z759" s="195"/>
      <c r="AA759" s="195"/>
      <c r="AB759" s="195"/>
      <c r="AC759" s="8"/>
      <c r="AD759" s="8"/>
      <c r="AE759" s="8"/>
      <c r="AF759" s="8"/>
      <c r="AG759" s="202"/>
      <c r="AH759" s="202"/>
      <c r="AI759" s="202"/>
      <c r="AJ759" s="202"/>
      <c r="AK759" s="8"/>
      <c r="AL759" s="8"/>
      <c r="AM759" s="8"/>
      <c r="AN759" s="8"/>
      <c r="AO759" s="8"/>
      <c r="AP759" s="8"/>
      <c r="AQ759" s="8"/>
      <c r="AR759" s="8"/>
      <c r="AS759" s="8"/>
      <c r="AT759" s="8"/>
      <c r="AU759" s="8"/>
      <c r="AV759" s="8"/>
    </row>
    <row r="760">
      <c r="A760" s="209"/>
      <c r="B760" s="210"/>
      <c r="C760" s="390"/>
      <c r="D760" s="209"/>
      <c r="E760" s="210"/>
      <c r="F760" s="390"/>
      <c r="G760" s="209"/>
      <c r="H760" s="210"/>
      <c r="I760" s="390"/>
      <c r="J760" s="209"/>
      <c r="K760" s="210"/>
      <c r="L760" s="390"/>
      <c r="M760" s="209"/>
      <c r="N760" s="210"/>
      <c r="O760" s="390"/>
      <c r="P760" s="209"/>
      <c r="Q760" s="210"/>
      <c r="R760" s="390"/>
      <c r="S760" s="209"/>
      <c r="T760" s="210"/>
      <c r="U760" s="390"/>
      <c r="V760" s="209"/>
      <c r="W760" s="210"/>
      <c r="X760" s="390"/>
      <c r="Y760" s="195"/>
      <c r="Z760" s="195"/>
      <c r="AA760" s="195"/>
      <c r="AB760" s="195"/>
      <c r="AC760" s="8"/>
      <c r="AD760" s="8"/>
      <c r="AE760" s="8"/>
      <c r="AF760" s="8"/>
      <c r="AG760" s="202"/>
      <c r="AH760" s="202"/>
      <c r="AI760" s="202"/>
      <c r="AJ760" s="202"/>
      <c r="AK760" s="8"/>
      <c r="AL760" s="8"/>
      <c r="AM760" s="8"/>
      <c r="AN760" s="8"/>
      <c r="AO760" s="8"/>
      <c r="AP760" s="8"/>
      <c r="AQ760" s="8"/>
      <c r="AR760" s="8"/>
      <c r="AS760" s="8"/>
      <c r="AT760" s="8"/>
      <c r="AU760" s="8"/>
      <c r="AV760" s="8"/>
    </row>
    <row r="761">
      <c r="A761" s="209"/>
      <c r="B761" s="210"/>
      <c r="C761" s="390"/>
      <c r="D761" s="209"/>
      <c r="E761" s="210"/>
      <c r="F761" s="390"/>
      <c r="G761" s="209"/>
      <c r="H761" s="210"/>
      <c r="I761" s="390"/>
      <c r="J761" s="209"/>
      <c r="K761" s="210"/>
      <c r="L761" s="390"/>
      <c r="M761" s="209"/>
      <c r="N761" s="210"/>
      <c r="O761" s="390"/>
      <c r="P761" s="209"/>
      <c r="Q761" s="210"/>
      <c r="R761" s="390"/>
      <c r="S761" s="209"/>
      <c r="T761" s="210"/>
      <c r="U761" s="390"/>
      <c r="V761" s="209"/>
      <c r="W761" s="210"/>
      <c r="X761" s="390"/>
      <c r="Y761" s="195"/>
      <c r="Z761" s="195"/>
      <c r="AA761" s="195"/>
      <c r="AB761" s="195"/>
      <c r="AC761" s="8"/>
      <c r="AD761" s="8"/>
      <c r="AE761" s="8"/>
      <c r="AF761" s="8"/>
      <c r="AG761" s="202"/>
      <c r="AH761" s="202"/>
      <c r="AI761" s="202"/>
      <c r="AJ761" s="202"/>
      <c r="AK761" s="8"/>
      <c r="AL761" s="8"/>
      <c r="AM761" s="8"/>
      <c r="AN761" s="8"/>
      <c r="AO761" s="8"/>
      <c r="AP761" s="8"/>
      <c r="AQ761" s="8"/>
      <c r="AR761" s="8"/>
      <c r="AS761" s="8"/>
      <c r="AT761" s="8"/>
      <c r="AU761" s="8"/>
      <c r="AV761" s="8"/>
    </row>
    <row r="762">
      <c r="A762" s="209"/>
      <c r="B762" s="210"/>
      <c r="C762" s="390"/>
      <c r="D762" s="209"/>
      <c r="E762" s="210"/>
      <c r="F762" s="390"/>
      <c r="G762" s="209"/>
      <c r="H762" s="210"/>
      <c r="I762" s="390"/>
      <c r="J762" s="209"/>
      <c r="K762" s="210"/>
      <c r="L762" s="390"/>
      <c r="M762" s="209"/>
      <c r="N762" s="210"/>
      <c r="O762" s="390"/>
      <c r="P762" s="209"/>
      <c r="Q762" s="210"/>
      <c r="R762" s="390"/>
      <c r="S762" s="209"/>
      <c r="T762" s="210"/>
      <c r="U762" s="390"/>
      <c r="V762" s="209"/>
      <c r="W762" s="210"/>
      <c r="X762" s="390"/>
      <c r="Y762" s="195"/>
      <c r="Z762" s="195"/>
      <c r="AA762" s="195"/>
      <c r="AB762" s="195"/>
      <c r="AC762" s="8"/>
      <c r="AD762" s="8"/>
      <c r="AE762" s="8"/>
      <c r="AF762" s="8"/>
      <c r="AG762" s="202"/>
      <c r="AH762" s="202"/>
      <c r="AI762" s="202"/>
      <c r="AJ762" s="202"/>
      <c r="AK762" s="8"/>
      <c r="AL762" s="8"/>
      <c r="AM762" s="8"/>
      <c r="AN762" s="8"/>
      <c r="AO762" s="8"/>
      <c r="AP762" s="8"/>
      <c r="AQ762" s="8"/>
      <c r="AR762" s="8"/>
      <c r="AS762" s="8"/>
      <c r="AT762" s="8"/>
      <c r="AU762" s="8"/>
      <c r="AV762" s="8"/>
    </row>
    <row r="763">
      <c r="A763" s="209"/>
      <c r="B763" s="210"/>
      <c r="C763" s="390"/>
      <c r="D763" s="209"/>
      <c r="E763" s="210"/>
      <c r="F763" s="390"/>
      <c r="G763" s="209"/>
      <c r="H763" s="210"/>
      <c r="I763" s="390"/>
      <c r="J763" s="209"/>
      <c r="K763" s="210"/>
      <c r="L763" s="390"/>
      <c r="M763" s="209"/>
      <c r="N763" s="210"/>
      <c r="O763" s="390"/>
      <c r="P763" s="209"/>
      <c r="Q763" s="210"/>
      <c r="R763" s="390"/>
      <c r="S763" s="209"/>
      <c r="T763" s="210"/>
      <c r="U763" s="390"/>
      <c r="V763" s="209"/>
      <c r="W763" s="210"/>
      <c r="X763" s="390"/>
      <c r="Y763" s="195"/>
      <c r="Z763" s="195"/>
      <c r="AA763" s="195"/>
      <c r="AB763" s="195"/>
      <c r="AC763" s="8"/>
      <c r="AD763" s="8"/>
      <c r="AE763" s="8"/>
      <c r="AF763" s="8"/>
      <c r="AG763" s="202"/>
      <c r="AH763" s="202"/>
      <c r="AI763" s="202"/>
      <c r="AJ763" s="202"/>
      <c r="AK763" s="8"/>
      <c r="AL763" s="8"/>
      <c r="AM763" s="8"/>
      <c r="AN763" s="8"/>
      <c r="AO763" s="8"/>
      <c r="AP763" s="8"/>
      <c r="AQ763" s="8"/>
      <c r="AR763" s="8"/>
      <c r="AS763" s="8"/>
      <c r="AT763" s="8"/>
      <c r="AU763" s="8"/>
      <c r="AV763" s="8"/>
    </row>
    <row r="764">
      <c r="A764" s="209"/>
      <c r="B764" s="210"/>
      <c r="C764" s="390"/>
      <c r="D764" s="209"/>
      <c r="E764" s="210"/>
      <c r="F764" s="390"/>
      <c r="G764" s="209"/>
      <c r="H764" s="210"/>
      <c r="I764" s="390"/>
      <c r="J764" s="209"/>
      <c r="K764" s="210"/>
      <c r="L764" s="390"/>
      <c r="M764" s="209"/>
      <c r="N764" s="210"/>
      <c r="O764" s="390"/>
      <c r="P764" s="209"/>
      <c r="Q764" s="210"/>
      <c r="R764" s="390"/>
      <c r="S764" s="209"/>
      <c r="T764" s="210"/>
      <c r="U764" s="390"/>
      <c r="V764" s="209"/>
      <c r="W764" s="210"/>
      <c r="X764" s="390"/>
      <c r="Y764" s="195"/>
      <c r="Z764" s="195"/>
      <c r="AA764" s="195"/>
      <c r="AB764" s="195"/>
      <c r="AC764" s="8"/>
      <c r="AD764" s="8"/>
      <c r="AE764" s="8"/>
      <c r="AF764" s="8"/>
      <c r="AG764" s="202"/>
      <c r="AH764" s="202"/>
      <c r="AI764" s="202"/>
      <c r="AJ764" s="202"/>
      <c r="AK764" s="8"/>
      <c r="AL764" s="8"/>
      <c r="AM764" s="8"/>
      <c r="AN764" s="8"/>
      <c r="AO764" s="8"/>
      <c r="AP764" s="8"/>
      <c r="AQ764" s="8"/>
      <c r="AR764" s="8"/>
      <c r="AS764" s="8"/>
      <c r="AT764" s="8"/>
      <c r="AU764" s="8"/>
      <c r="AV764" s="8"/>
    </row>
    <row r="765">
      <c r="A765" s="209"/>
      <c r="B765" s="210"/>
      <c r="C765" s="390"/>
      <c r="D765" s="209"/>
      <c r="E765" s="210"/>
      <c r="F765" s="390"/>
      <c r="G765" s="209"/>
      <c r="H765" s="210"/>
      <c r="I765" s="390"/>
      <c r="J765" s="209"/>
      <c r="K765" s="210"/>
      <c r="L765" s="390"/>
      <c r="M765" s="209"/>
      <c r="N765" s="210"/>
      <c r="O765" s="390"/>
      <c r="P765" s="209"/>
      <c r="Q765" s="210"/>
      <c r="R765" s="390"/>
      <c r="S765" s="209"/>
      <c r="T765" s="210"/>
      <c r="U765" s="390"/>
      <c r="V765" s="209"/>
      <c r="W765" s="210"/>
      <c r="X765" s="390"/>
      <c r="Y765" s="195"/>
      <c r="Z765" s="195"/>
      <c r="AA765" s="195"/>
      <c r="AB765" s="195"/>
      <c r="AC765" s="8"/>
      <c r="AD765" s="8"/>
      <c r="AE765" s="8"/>
      <c r="AF765" s="8"/>
      <c r="AG765" s="202"/>
      <c r="AH765" s="202"/>
      <c r="AI765" s="202"/>
      <c r="AJ765" s="202"/>
      <c r="AK765" s="8"/>
      <c r="AL765" s="8"/>
      <c r="AM765" s="8"/>
      <c r="AN765" s="8"/>
      <c r="AO765" s="8"/>
      <c r="AP765" s="8"/>
      <c r="AQ765" s="8"/>
      <c r="AR765" s="8"/>
      <c r="AS765" s="8"/>
      <c r="AT765" s="8"/>
      <c r="AU765" s="8"/>
      <c r="AV765" s="8"/>
    </row>
    <row r="766">
      <c r="A766" s="209"/>
      <c r="B766" s="210"/>
      <c r="C766" s="390"/>
      <c r="D766" s="209"/>
      <c r="E766" s="210"/>
      <c r="F766" s="390"/>
      <c r="G766" s="209"/>
      <c r="H766" s="210"/>
      <c r="I766" s="390"/>
      <c r="J766" s="209"/>
      <c r="K766" s="210"/>
      <c r="L766" s="390"/>
      <c r="M766" s="209"/>
      <c r="N766" s="210"/>
      <c r="O766" s="390"/>
      <c r="P766" s="209"/>
      <c r="Q766" s="210"/>
      <c r="R766" s="390"/>
      <c r="S766" s="209"/>
      <c r="T766" s="210"/>
      <c r="U766" s="390"/>
      <c r="V766" s="209"/>
      <c r="W766" s="210"/>
      <c r="X766" s="390"/>
      <c r="Y766" s="195"/>
      <c r="Z766" s="195"/>
      <c r="AA766" s="195"/>
      <c r="AB766" s="195"/>
      <c r="AC766" s="8"/>
      <c r="AD766" s="8"/>
      <c r="AE766" s="8"/>
      <c r="AF766" s="8"/>
      <c r="AG766" s="202"/>
      <c r="AH766" s="202"/>
      <c r="AI766" s="202"/>
      <c r="AJ766" s="202"/>
      <c r="AK766" s="8"/>
      <c r="AL766" s="8"/>
      <c r="AM766" s="8"/>
      <c r="AN766" s="8"/>
      <c r="AO766" s="8"/>
      <c r="AP766" s="8"/>
      <c r="AQ766" s="8"/>
      <c r="AR766" s="8"/>
      <c r="AS766" s="8"/>
      <c r="AT766" s="8"/>
      <c r="AU766" s="8"/>
      <c r="AV766" s="8"/>
    </row>
    <row r="767">
      <c r="A767" s="209"/>
      <c r="B767" s="210"/>
      <c r="C767" s="390"/>
      <c r="D767" s="209"/>
      <c r="E767" s="210"/>
      <c r="F767" s="390"/>
      <c r="G767" s="209"/>
      <c r="H767" s="210"/>
      <c r="I767" s="390"/>
      <c r="J767" s="209"/>
      <c r="K767" s="210"/>
      <c r="L767" s="390"/>
      <c r="M767" s="209"/>
      <c r="N767" s="210"/>
      <c r="O767" s="390"/>
      <c r="P767" s="209"/>
      <c r="Q767" s="210"/>
      <c r="R767" s="390"/>
      <c r="S767" s="209"/>
      <c r="T767" s="210"/>
      <c r="U767" s="390"/>
      <c r="V767" s="209"/>
      <c r="W767" s="210"/>
      <c r="X767" s="390"/>
      <c r="Y767" s="195"/>
      <c r="Z767" s="195"/>
      <c r="AA767" s="195"/>
      <c r="AB767" s="195"/>
      <c r="AC767" s="8"/>
      <c r="AD767" s="8"/>
      <c r="AE767" s="8"/>
      <c r="AF767" s="8"/>
      <c r="AG767" s="202"/>
      <c r="AH767" s="202"/>
      <c r="AI767" s="202"/>
      <c r="AJ767" s="202"/>
      <c r="AK767" s="8"/>
      <c r="AL767" s="8"/>
      <c r="AM767" s="8"/>
      <c r="AN767" s="8"/>
      <c r="AO767" s="8"/>
      <c r="AP767" s="8"/>
      <c r="AQ767" s="8"/>
      <c r="AR767" s="8"/>
      <c r="AS767" s="8"/>
      <c r="AT767" s="8"/>
      <c r="AU767" s="8"/>
      <c r="AV767" s="8"/>
    </row>
    <row r="768">
      <c r="A768" s="209"/>
      <c r="B768" s="210"/>
      <c r="C768" s="390"/>
      <c r="D768" s="209"/>
      <c r="E768" s="210"/>
      <c r="F768" s="390"/>
      <c r="G768" s="209"/>
      <c r="H768" s="210"/>
      <c r="I768" s="390"/>
      <c r="J768" s="209"/>
      <c r="K768" s="210"/>
      <c r="L768" s="390"/>
      <c r="M768" s="209"/>
      <c r="N768" s="210"/>
      <c r="O768" s="390"/>
      <c r="P768" s="209"/>
      <c r="Q768" s="210"/>
      <c r="R768" s="390"/>
      <c r="S768" s="209"/>
      <c r="T768" s="210"/>
      <c r="U768" s="390"/>
      <c r="V768" s="209"/>
      <c r="W768" s="210"/>
      <c r="X768" s="390"/>
      <c r="Y768" s="195"/>
      <c r="Z768" s="195"/>
      <c r="AA768" s="195"/>
      <c r="AB768" s="195"/>
      <c r="AC768" s="8"/>
      <c r="AD768" s="8"/>
      <c r="AE768" s="8"/>
      <c r="AF768" s="8"/>
      <c r="AG768" s="202"/>
      <c r="AH768" s="202"/>
      <c r="AI768" s="202"/>
      <c r="AJ768" s="202"/>
      <c r="AK768" s="8"/>
      <c r="AL768" s="8"/>
      <c r="AM768" s="8"/>
      <c r="AN768" s="8"/>
      <c r="AO768" s="8"/>
      <c r="AP768" s="8"/>
      <c r="AQ768" s="8"/>
      <c r="AR768" s="8"/>
      <c r="AS768" s="8"/>
      <c r="AT768" s="8"/>
      <c r="AU768" s="8"/>
      <c r="AV768" s="8"/>
    </row>
    <row r="769">
      <c r="A769" s="209"/>
      <c r="B769" s="210"/>
      <c r="C769" s="390"/>
      <c r="D769" s="209"/>
      <c r="E769" s="210"/>
      <c r="F769" s="390"/>
      <c r="G769" s="209"/>
      <c r="H769" s="210"/>
      <c r="I769" s="390"/>
      <c r="J769" s="209"/>
      <c r="K769" s="210"/>
      <c r="L769" s="390"/>
      <c r="M769" s="209"/>
      <c r="N769" s="210"/>
      <c r="O769" s="390"/>
      <c r="P769" s="209"/>
      <c r="Q769" s="210"/>
      <c r="R769" s="390"/>
      <c r="S769" s="209"/>
      <c r="T769" s="210"/>
      <c r="U769" s="390"/>
      <c r="V769" s="209"/>
      <c r="W769" s="210"/>
      <c r="X769" s="390"/>
      <c r="Y769" s="195"/>
      <c r="Z769" s="195"/>
      <c r="AA769" s="195"/>
      <c r="AB769" s="195"/>
      <c r="AC769" s="8"/>
      <c r="AD769" s="8"/>
      <c r="AE769" s="8"/>
      <c r="AF769" s="8"/>
      <c r="AG769" s="202"/>
      <c r="AH769" s="202"/>
      <c r="AI769" s="202"/>
      <c r="AJ769" s="202"/>
      <c r="AK769" s="8"/>
      <c r="AL769" s="8"/>
      <c r="AM769" s="8"/>
      <c r="AN769" s="8"/>
      <c r="AO769" s="8"/>
      <c r="AP769" s="8"/>
      <c r="AQ769" s="8"/>
      <c r="AR769" s="8"/>
      <c r="AS769" s="8"/>
      <c r="AT769" s="8"/>
      <c r="AU769" s="8"/>
      <c r="AV769" s="8"/>
    </row>
    <row r="770">
      <c r="A770" s="209"/>
      <c r="B770" s="210"/>
      <c r="C770" s="390"/>
      <c r="D770" s="209"/>
      <c r="E770" s="210"/>
      <c r="F770" s="390"/>
      <c r="G770" s="209"/>
      <c r="H770" s="210"/>
      <c r="I770" s="390"/>
      <c r="J770" s="209"/>
      <c r="K770" s="210"/>
      <c r="L770" s="390"/>
      <c r="M770" s="209"/>
      <c r="N770" s="210"/>
      <c r="O770" s="390"/>
      <c r="P770" s="209"/>
      <c r="Q770" s="210"/>
      <c r="R770" s="390"/>
      <c r="S770" s="209"/>
      <c r="T770" s="210"/>
      <c r="U770" s="390"/>
      <c r="V770" s="209"/>
      <c r="W770" s="210"/>
      <c r="X770" s="390"/>
      <c r="Y770" s="195"/>
      <c r="Z770" s="195"/>
      <c r="AA770" s="195"/>
      <c r="AB770" s="195"/>
      <c r="AC770" s="8"/>
      <c r="AD770" s="8"/>
      <c r="AE770" s="8"/>
      <c r="AF770" s="8"/>
      <c r="AG770" s="202"/>
      <c r="AH770" s="202"/>
      <c r="AI770" s="202"/>
      <c r="AJ770" s="202"/>
      <c r="AK770" s="8"/>
      <c r="AL770" s="8"/>
      <c r="AM770" s="8"/>
      <c r="AN770" s="8"/>
      <c r="AO770" s="8"/>
      <c r="AP770" s="8"/>
      <c r="AQ770" s="8"/>
      <c r="AR770" s="8"/>
      <c r="AS770" s="8"/>
      <c r="AT770" s="8"/>
      <c r="AU770" s="8"/>
      <c r="AV770" s="8"/>
    </row>
    <row r="771">
      <c r="A771" s="209"/>
      <c r="B771" s="210"/>
      <c r="C771" s="390"/>
      <c r="D771" s="209"/>
      <c r="E771" s="210"/>
      <c r="F771" s="390"/>
      <c r="G771" s="209"/>
      <c r="H771" s="210"/>
      <c r="I771" s="390"/>
      <c r="J771" s="209"/>
      <c r="K771" s="210"/>
      <c r="L771" s="390"/>
      <c r="M771" s="209"/>
      <c r="N771" s="210"/>
      <c r="O771" s="390"/>
      <c r="P771" s="209"/>
      <c r="Q771" s="210"/>
      <c r="R771" s="390"/>
      <c r="S771" s="209"/>
      <c r="T771" s="210"/>
      <c r="U771" s="390"/>
      <c r="V771" s="209"/>
      <c r="W771" s="210"/>
      <c r="X771" s="390"/>
      <c r="Y771" s="195"/>
      <c r="Z771" s="195"/>
      <c r="AA771" s="195"/>
      <c r="AB771" s="195"/>
      <c r="AC771" s="8"/>
      <c r="AD771" s="8"/>
      <c r="AE771" s="8"/>
      <c r="AF771" s="8"/>
      <c r="AG771" s="202"/>
      <c r="AH771" s="202"/>
      <c r="AI771" s="202"/>
      <c r="AJ771" s="202"/>
      <c r="AK771" s="8"/>
      <c r="AL771" s="8"/>
      <c r="AM771" s="8"/>
      <c r="AN771" s="8"/>
      <c r="AO771" s="8"/>
      <c r="AP771" s="8"/>
      <c r="AQ771" s="8"/>
      <c r="AR771" s="8"/>
      <c r="AS771" s="8"/>
      <c r="AT771" s="8"/>
      <c r="AU771" s="8"/>
      <c r="AV771" s="8"/>
    </row>
    <row r="772">
      <c r="A772" s="209"/>
      <c r="B772" s="210"/>
      <c r="C772" s="390"/>
      <c r="D772" s="209"/>
      <c r="E772" s="210"/>
      <c r="F772" s="390"/>
      <c r="G772" s="209"/>
      <c r="H772" s="210"/>
      <c r="I772" s="390"/>
      <c r="J772" s="209"/>
      <c r="K772" s="210"/>
      <c r="L772" s="390"/>
      <c r="M772" s="209"/>
      <c r="N772" s="210"/>
      <c r="O772" s="390"/>
      <c r="P772" s="209"/>
      <c r="Q772" s="210"/>
      <c r="R772" s="390"/>
      <c r="S772" s="209"/>
      <c r="T772" s="210"/>
      <c r="U772" s="390"/>
      <c r="V772" s="209"/>
      <c r="W772" s="210"/>
      <c r="X772" s="390"/>
      <c r="Y772" s="195"/>
      <c r="Z772" s="195"/>
      <c r="AA772" s="195"/>
      <c r="AB772" s="195"/>
      <c r="AC772" s="8"/>
      <c r="AD772" s="8"/>
      <c r="AE772" s="8"/>
      <c r="AF772" s="8"/>
      <c r="AG772" s="202"/>
      <c r="AH772" s="202"/>
      <c r="AI772" s="202"/>
      <c r="AJ772" s="202"/>
      <c r="AK772" s="8"/>
      <c r="AL772" s="8"/>
      <c r="AM772" s="8"/>
      <c r="AN772" s="8"/>
      <c r="AO772" s="8"/>
      <c r="AP772" s="8"/>
      <c r="AQ772" s="8"/>
      <c r="AR772" s="8"/>
      <c r="AS772" s="8"/>
      <c r="AT772" s="8"/>
      <c r="AU772" s="8"/>
      <c r="AV772" s="8"/>
    </row>
    <row r="773">
      <c r="A773" s="209"/>
      <c r="B773" s="210"/>
      <c r="C773" s="390"/>
      <c r="D773" s="209"/>
      <c r="E773" s="210"/>
      <c r="F773" s="390"/>
      <c r="G773" s="209"/>
      <c r="H773" s="210"/>
      <c r="I773" s="390"/>
      <c r="J773" s="209"/>
      <c r="K773" s="210"/>
      <c r="L773" s="390"/>
      <c r="M773" s="209"/>
      <c r="N773" s="210"/>
      <c r="O773" s="390"/>
      <c r="P773" s="209"/>
      <c r="Q773" s="210"/>
      <c r="R773" s="390"/>
      <c r="S773" s="209"/>
      <c r="T773" s="210"/>
      <c r="U773" s="390"/>
      <c r="V773" s="209"/>
      <c r="W773" s="210"/>
      <c r="X773" s="390"/>
      <c r="Y773" s="195"/>
      <c r="Z773" s="195"/>
      <c r="AA773" s="195"/>
      <c r="AB773" s="195"/>
      <c r="AC773" s="8"/>
      <c r="AD773" s="8"/>
      <c r="AE773" s="8"/>
      <c r="AF773" s="8"/>
      <c r="AG773" s="202"/>
      <c r="AH773" s="202"/>
      <c r="AI773" s="202"/>
      <c r="AJ773" s="202"/>
      <c r="AK773" s="8"/>
      <c r="AL773" s="8"/>
      <c r="AM773" s="8"/>
      <c r="AN773" s="8"/>
      <c r="AO773" s="8"/>
      <c r="AP773" s="8"/>
      <c r="AQ773" s="8"/>
      <c r="AR773" s="8"/>
      <c r="AS773" s="8"/>
      <c r="AT773" s="8"/>
      <c r="AU773" s="8"/>
      <c r="AV773" s="8"/>
    </row>
    <row r="774">
      <c r="A774" s="209"/>
      <c r="B774" s="210"/>
      <c r="C774" s="390"/>
      <c r="D774" s="209"/>
      <c r="E774" s="210"/>
      <c r="F774" s="390"/>
      <c r="G774" s="209"/>
      <c r="H774" s="210"/>
      <c r="I774" s="390"/>
      <c r="J774" s="209"/>
      <c r="K774" s="210"/>
      <c r="L774" s="390"/>
      <c r="M774" s="209"/>
      <c r="N774" s="210"/>
      <c r="O774" s="390"/>
      <c r="P774" s="209"/>
      <c r="Q774" s="210"/>
      <c r="R774" s="390"/>
      <c r="S774" s="209"/>
      <c r="T774" s="210"/>
      <c r="U774" s="390"/>
      <c r="V774" s="209"/>
      <c r="W774" s="210"/>
      <c r="X774" s="390"/>
      <c r="Y774" s="195"/>
      <c r="Z774" s="195"/>
      <c r="AA774" s="195"/>
      <c r="AB774" s="195"/>
      <c r="AC774" s="8"/>
      <c r="AD774" s="8"/>
      <c r="AE774" s="8"/>
      <c r="AF774" s="8"/>
      <c r="AG774" s="202"/>
      <c r="AH774" s="202"/>
      <c r="AI774" s="202"/>
      <c r="AJ774" s="202"/>
      <c r="AK774" s="8"/>
      <c r="AL774" s="8"/>
      <c r="AM774" s="8"/>
      <c r="AN774" s="8"/>
      <c r="AO774" s="8"/>
      <c r="AP774" s="8"/>
      <c r="AQ774" s="8"/>
      <c r="AR774" s="8"/>
      <c r="AS774" s="8"/>
      <c r="AT774" s="8"/>
      <c r="AU774" s="8"/>
      <c r="AV774" s="8"/>
    </row>
    <row r="775">
      <c r="A775" s="209"/>
      <c r="B775" s="210"/>
      <c r="C775" s="390"/>
      <c r="D775" s="209"/>
      <c r="E775" s="210"/>
      <c r="F775" s="390"/>
      <c r="G775" s="209"/>
      <c r="H775" s="210"/>
      <c r="I775" s="390"/>
      <c r="J775" s="209"/>
      <c r="K775" s="210"/>
      <c r="L775" s="390"/>
      <c r="M775" s="209"/>
      <c r="N775" s="210"/>
      <c r="O775" s="390"/>
      <c r="P775" s="209"/>
      <c r="Q775" s="210"/>
      <c r="R775" s="390"/>
      <c r="S775" s="209"/>
      <c r="T775" s="210"/>
      <c r="U775" s="390"/>
      <c r="V775" s="209"/>
      <c r="W775" s="210"/>
      <c r="X775" s="390"/>
      <c r="Y775" s="195"/>
      <c r="Z775" s="195"/>
      <c r="AA775" s="195"/>
      <c r="AB775" s="195"/>
      <c r="AC775" s="8"/>
      <c r="AD775" s="8"/>
      <c r="AE775" s="8"/>
      <c r="AF775" s="8"/>
      <c r="AG775" s="202"/>
      <c r="AH775" s="202"/>
      <c r="AI775" s="202"/>
      <c r="AJ775" s="202"/>
      <c r="AK775" s="8"/>
      <c r="AL775" s="8"/>
      <c r="AM775" s="8"/>
      <c r="AN775" s="8"/>
      <c r="AO775" s="8"/>
      <c r="AP775" s="8"/>
      <c r="AQ775" s="8"/>
      <c r="AR775" s="8"/>
      <c r="AS775" s="8"/>
      <c r="AT775" s="8"/>
      <c r="AU775" s="8"/>
      <c r="AV775" s="8"/>
    </row>
    <row r="776">
      <c r="A776" s="209"/>
      <c r="B776" s="210"/>
      <c r="C776" s="390"/>
      <c r="D776" s="209"/>
      <c r="E776" s="210"/>
      <c r="F776" s="390"/>
      <c r="G776" s="209"/>
      <c r="H776" s="210"/>
      <c r="I776" s="390"/>
      <c r="J776" s="209"/>
      <c r="K776" s="210"/>
      <c r="L776" s="390"/>
      <c r="M776" s="209"/>
      <c r="N776" s="210"/>
      <c r="O776" s="390"/>
      <c r="P776" s="209"/>
      <c r="Q776" s="210"/>
      <c r="R776" s="390"/>
      <c r="S776" s="209"/>
      <c r="T776" s="210"/>
      <c r="U776" s="390"/>
      <c r="V776" s="209"/>
      <c r="W776" s="210"/>
      <c r="X776" s="390"/>
      <c r="Y776" s="195"/>
      <c r="Z776" s="195"/>
      <c r="AA776" s="195"/>
      <c r="AB776" s="195"/>
      <c r="AC776" s="8"/>
      <c r="AD776" s="8"/>
      <c r="AE776" s="8"/>
      <c r="AF776" s="8"/>
      <c r="AG776" s="202"/>
      <c r="AH776" s="202"/>
      <c r="AI776" s="202"/>
      <c r="AJ776" s="202"/>
      <c r="AK776" s="8"/>
      <c r="AL776" s="8"/>
      <c r="AM776" s="8"/>
      <c r="AN776" s="8"/>
      <c r="AO776" s="8"/>
      <c r="AP776" s="8"/>
      <c r="AQ776" s="8"/>
      <c r="AR776" s="8"/>
      <c r="AS776" s="8"/>
      <c r="AT776" s="8"/>
      <c r="AU776" s="8"/>
      <c r="AV776" s="8"/>
    </row>
    <row r="777">
      <c r="A777" s="209"/>
      <c r="B777" s="210"/>
      <c r="C777" s="390"/>
      <c r="D777" s="209"/>
      <c r="E777" s="210"/>
      <c r="F777" s="390"/>
      <c r="G777" s="209"/>
      <c r="H777" s="210"/>
      <c r="I777" s="390"/>
      <c r="J777" s="209"/>
      <c r="K777" s="210"/>
      <c r="L777" s="390"/>
      <c r="M777" s="209"/>
      <c r="N777" s="210"/>
      <c r="O777" s="390"/>
      <c r="P777" s="209"/>
      <c r="Q777" s="210"/>
      <c r="R777" s="390"/>
      <c r="S777" s="209"/>
      <c r="T777" s="210"/>
      <c r="U777" s="390"/>
      <c r="V777" s="209"/>
      <c r="W777" s="210"/>
      <c r="X777" s="390"/>
      <c r="Y777" s="195"/>
      <c r="Z777" s="195"/>
      <c r="AA777" s="195"/>
      <c r="AB777" s="195"/>
      <c r="AC777" s="8"/>
      <c r="AD777" s="8"/>
      <c r="AE777" s="8"/>
      <c r="AF777" s="8"/>
      <c r="AG777" s="202"/>
      <c r="AH777" s="202"/>
      <c r="AI777" s="202"/>
      <c r="AJ777" s="202"/>
      <c r="AK777" s="8"/>
      <c r="AL777" s="8"/>
      <c r="AM777" s="8"/>
      <c r="AN777" s="8"/>
      <c r="AO777" s="8"/>
      <c r="AP777" s="8"/>
      <c r="AQ777" s="8"/>
      <c r="AR777" s="8"/>
      <c r="AS777" s="8"/>
      <c r="AT777" s="8"/>
      <c r="AU777" s="8"/>
      <c r="AV777" s="8"/>
    </row>
    <row r="778">
      <c r="A778" s="209"/>
      <c r="B778" s="210"/>
      <c r="C778" s="390"/>
      <c r="D778" s="209"/>
      <c r="E778" s="210"/>
      <c r="F778" s="390"/>
      <c r="G778" s="209"/>
      <c r="H778" s="210"/>
      <c r="I778" s="390"/>
      <c r="J778" s="209"/>
      <c r="K778" s="210"/>
      <c r="L778" s="390"/>
      <c r="M778" s="209"/>
      <c r="N778" s="210"/>
      <c r="O778" s="390"/>
      <c r="P778" s="209"/>
      <c r="Q778" s="210"/>
      <c r="R778" s="390"/>
      <c r="S778" s="209"/>
      <c r="T778" s="210"/>
      <c r="U778" s="390"/>
      <c r="V778" s="209"/>
      <c r="W778" s="210"/>
      <c r="X778" s="390"/>
      <c r="Y778" s="195"/>
      <c r="Z778" s="195"/>
      <c r="AA778" s="195"/>
      <c r="AB778" s="195"/>
      <c r="AC778" s="8"/>
      <c r="AD778" s="8"/>
      <c r="AE778" s="8"/>
      <c r="AF778" s="8"/>
      <c r="AG778" s="202"/>
      <c r="AH778" s="202"/>
      <c r="AI778" s="202"/>
      <c r="AJ778" s="202"/>
      <c r="AK778" s="8"/>
      <c r="AL778" s="8"/>
      <c r="AM778" s="8"/>
      <c r="AN778" s="8"/>
      <c r="AO778" s="8"/>
      <c r="AP778" s="8"/>
      <c r="AQ778" s="8"/>
      <c r="AR778" s="8"/>
      <c r="AS778" s="8"/>
      <c r="AT778" s="8"/>
      <c r="AU778" s="8"/>
      <c r="AV778" s="8"/>
    </row>
    <row r="779">
      <c r="A779" s="209"/>
      <c r="B779" s="210"/>
      <c r="C779" s="390"/>
      <c r="D779" s="209"/>
      <c r="E779" s="210"/>
      <c r="F779" s="390"/>
      <c r="G779" s="209"/>
      <c r="H779" s="210"/>
      <c r="I779" s="390"/>
      <c r="J779" s="209"/>
      <c r="K779" s="210"/>
      <c r="L779" s="390"/>
      <c r="M779" s="209"/>
      <c r="N779" s="210"/>
      <c r="O779" s="390"/>
      <c r="P779" s="209"/>
      <c r="Q779" s="210"/>
      <c r="R779" s="390"/>
      <c r="S779" s="209"/>
      <c r="T779" s="210"/>
      <c r="U779" s="390"/>
      <c r="V779" s="209"/>
      <c r="W779" s="210"/>
      <c r="X779" s="390"/>
      <c r="Y779" s="195"/>
      <c r="Z779" s="195"/>
      <c r="AA779" s="195"/>
      <c r="AB779" s="195"/>
      <c r="AC779" s="8"/>
      <c r="AD779" s="8"/>
      <c r="AE779" s="8"/>
      <c r="AF779" s="8"/>
      <c r="AG779" s="202"/>
      <c r="AH779" s="202"/>
      <c r="AI779" s="202"/>
      <c r="AJ779" s="202"/>
      <c r="AK779" s="8"/>
      <c r="AL779" s="8"/>
      <c r="AM779" s="8"/>
      <c r="AN779" s="8"/>
      <c r="AO779" s="8"/>
      <c r="AP779" s="8"/>
      <c r="AQ779" s="8"/>
      <c r="AR779" s="8"/>
      <c r="AS779" s="8"/>
      <c r="AT779" s="8"/>
      <c r="AU779" s="8"/>
      <c r="AV779" s="8"/>
    </row>
    <row r="780">
      <c r="A780" s="209"/>
      <c r="B780" s="210"/>
      <c r="C780" s="390"/>
      <c r="D780" s="209"/>
      <c r="E780" s="210"/>
      <c r="F780" s="390"/>
      <c r="G780" s="209"/>
      <c r="H780" s="210"/>
      <c r="I780" s="390"/>
      <c r="J780" s="209"/>
      <c r="K780" s="210"/>
      <c r="L780" s="390"/>
      <c r="M780" s="209"/>
      <c r="N780" s="210"/>
      <c r="O780" s="390"/>
      <c r="P780" s="209"/>
      <c r="Q780" s="210"/>
      <c r="R780" s="390"/>
      <c r="S780" s="209"/>
      <c r="T780" s="210"/>
      <c r="U780" s="390"/>
      <c r="V780" s="209"/>
      <c r="W780" s="210"/>
      <c r="X780" s="390"/>
      <c r="Y780" s="195"/>
      <c r="Z780" s="195"/>
      <c r="AA780" s="195"/>
      <c r="AB780" s="195"/>
      <c r="AC780" s="8"/>
      <c r="AD780" s="8"/>
      <c r="AE780" s="8"/>
      <c r="AF780" s="8"/>
      <c r="AG780" s="202"/>
      <c r="AH780" s="202"/>
      <c r="AI780" s="202"/>
      <c r="AJ780" s="202"/>
      <c r="AK780" s="8"/>
      <c r="AL780" s="8"/>
      <c r="AM780" s="8"/>
      <c r="AN780" s="8"/>
      <c r="AO780" s="8"/>
      <c r="AP780" s="8"/>
      <c r="AQ780" s="8"/>
      <c r="AR780" s="8"/>
      <c r="AS780" s="8"/>
      <c r="AT780" s="8"/>
      <c r="AU780" s="8"/>
      <c r="AV780" s="8"/>
    </row>
    <row r="781">
      <c r="A781" s="209"/>
      <c r="B781" s="210"/>
      <c r="C781" s="390"/>
      <c r="D781" s="209"/>
      <c r="E781" s="210"/>
      <c r="F781" s="390"/>
      <c r="G781" s="209"/>
      <c r="H781" s="210"/>
      <c r="I781" s="390"/>
      <c r="J781" s="209"/>
      <c r="K781" s="210"/>
      <c r="L781" s="390"/>
      <c r="M781" s="209"/>
      <c r="N781" s="210"/>
      <c r="O781" s="390"/>
      <c r="P781" s="209"/>
      <c r="Q781" s="210"/>
      <c r="R781" s="390"/>
      <c r="S781" s="209"/>
      <c r="T781" s="210"/>
      <c r="U781" s="390"/>
      <c r="V781" s="209"/>
      <c r="W781" s="210"/>
      <c r="X781" s="390"/>
      <c r="Y781" s="195"/>
      <c r="Z781" s="195"/>
      <c r="AA781" s="195"/>
      <c r="AB781" s="195"/>
      <c r="AC781" s="8"/>
      <c r="AD781" s="8"/>
      <c r="AE781" s="8"/>
      <c r="AF781" s="8"/>
      <c r="AG781" s="202"/>
      <c r="AH781" s="202"/>
      <c r="AI781" s="202"/>
      <c r="AJ781" s="202"/>
      <c r="AK781" s="8"/>
      <c r="AL781" s="8"/>
      <c r="AM781" s="8"/>
      <c r="AN781" s="8"/>
      <c r="AO781" s="8"/>
      <c r="AP781" s="8"/>
      <c r="AQ781" s="8"/>
      <c r="AR781" s="8"/>
      <c r="AS781" s="8"/>
      <c r="AT781" s="8"/>
      <c r="AU781" s="8"/>
      <c r="AV781" s="8"/>
    </row>
    <row r="782">
      <c r="A782" s="209"/>
      <c r="B782" s="210"/>
      <c r="C782" s="390"/>
      <c r="D782" s="209"/>
      <c r="E782" s="210"/>
      <c r="F782" s="390"/>
      <c r="G782" s="209"/>
      <c r="H782" s="210"/>
      <c r="I782" s="390"/>
      <c r="J782" s="209"/>
      <c r="K782" s="210"/>
      <c r="L782" s="390"/>
      <c r="M782" s="209"/>
      <c r="N782" s="210"/>
      <c r="O782" s="390"/>
      <c r="P782" s="209"/>
      <c r="Q782" s="210"/>
      <c r="R782" s="390"/>
      <c r="S782" s="209"/>
      <c r="T782" s="210"/>
      <c r="U782" s="390"/>
      <c r="V782" s="209"/>
      <c r="W782" s="210"/>
      <c r="X782" s="390"/>
      <c r="Y782" s="195"/>
      <c r="Z782" s="195"/>
      <c r="AA782" s="195"/>
      <c r="AB782" s="195"/>
      <c r="AC782" s="8"/>
      <c r="AD782" s="8"/>
      <c r="AE782" s="8"/>
      <c r="AF782" s="8"/>
      <c r="AG782" s="202"/>
      <c r="AH782" s="202"/>
      <c r="AI782" s="202"/>
      <c r="AJ782" s="202"/>
      <c r="AK782" s="8"/>
      <c r="AL782" s="8"/>
      <c r="AM782" s="8"/>
      <c r="AN782" s="8"/>
      <c r="AO782" s="8"/>
      <c r="AP782" s="8"/>
      <c r="AQ782" s="8"/>
      <c r="AR782" s="8"/>
      <c r="AS782" s="8"/>
      <c r="AT782" s="8"/>
      <c r="AU782" s="8"/>
      <c r="AV782" s="8"/>
    </row>
    <row r="783">
      <c r="A783" s="209"/>
      <c r="B783" s="210"/>
      <c r="C783" s="390"/>
      <c r="D783" s="209"/>
      <c r="E783" s="210"/>
      <c r="F783" s="390"/>
      <c r="G783" s="209"/>
      <c r="H783" s="210"/>
      <c r="I783" s="390"/>
      <c r="J783" s="209"/>
      <c r="K783" s="210"/>
      <c r="L783" s="390"/>
      <c r="M783" s="209"/>
      <c r="N783" s="210"/>
      <c r="O783" s="390"/>
      <c r="P783" s="209"/>
      <c r="Q783" s="210"/>
      <c r="R783" s="390"/>
      <c r="S783" s="209"/>
      <c r="T783" s="210"/>
      <c r="U783" s="390"/>
      <c r="V783" s="209"/>
      <c r="W783" s="210"/>
      <c r="X783" s="390"/>
      <c r="Y783" s="195"/>
      <c r="Z783" s="195"/>
      <c r="AA783" s="195"/>
      <c r="AB783" s="195"/>
      <c r="AC783" s="8"/>
      <c r="AD783" s="8"/>
      <c r="AE783" s="8"/>
      <c r="AF783" s="8"/>
      <c r="AG783" s="202"/>
      <c r="AH783" s="202"/>
      <c r="AI783" s="202"/>
      <c r="AJ783" s="202"/>
      <c r="AK783" s="8"/>
      <c r="AL783" s="8"/>
      <c r="AM783" s="8"/>
      <c r="AN783" s="8"/>
      <c r="AO783" s="8"/>
      <c r="AP783" s="8"/>
      <c r="AQ783" s="8"/>
      <c r="AR783" s="8"/>
      <c r="AS783" s="8"/>
      <c r="AT783" s="8"/>
      <c r="AU783" s="8"/>
      <c r="AV783" s="8"/>
    </row>
    <row r="784">
      <c r="A784" s="209"/>
      <c r="B784" s="210"/>
      <c r="C784" s="390"/>
      <c r="D784" s="209"/>
      <c r="E784" s="210"/>
      <c r="F784" s="390"/>
      <c r="G784" s="209"/>
      <c r="H784" s="210"/>
      <c r="I784" s="390"/>
      <c r="J784" s="209"/>
      <c r="K784" s="210"/>
      <c r="L784" s="390"/>
      <c r="M784" s="209"/>
      <c r="N784" s="210"/>
      <c r="O784" s="390"/>
      <c r="P784" s="209"/>
      <c r="Q784" s="210"/>
      <c r="R784" s="390"/>
      <c r="S784" s="209"/>
      <c r="T784" s="210"/>
      <c r="U784" s="390"/>
      <c r="V784" s="209"/>
      <c r="W784" s="210"/>
      <c r="X784" s="390"/>
      <c r="Y784" s="195"/>
      <c r="Z784" s="195"/>
      <c r="AA784" s="195"/>
      <c r="AB784" s="195"/>
      <c r="AC784" s="8"/>
      <c r="AD784" s="8"/>
      <c r="AE784" s="8"/>
      <c r="AF784" s="8"/>
      <c r="AG784" s="202"/>
      <c r="AH784" s="202"/>
      <c r="AI784" s="202"/>
      <c r="AJ784" s="202"/>
      <c r="AK784" s="8"/>
      <c r="AL784" s="8"/>
      <c r="AM784" s="8"/>
      <c r="AN784" s="8"/>
      <c r="AO784" s="8"/>
      <c r="AP784" s="8"/>
      <c r="AQ784" s="8"/>
      <c r="AR784" s="8"/>
      <c r="AS784" s="8"/>
      <c r="AT784" s="8"/>
      <c r="AU784" s="8"/>
      <c r="AV784" s="8"/>
    </row>
    <row r="785">
      <c r="A785" s="209"/>
      <c r="B785" s="210"/>
      <c r="C785" s="390"/>
      <c r="D785" s="209"/>
      <c r="E785" s="210"/>
      <c r="F785" s="390"/>
      <c r="G785" s="209"/>
      <c r="H785" s="210"/>
      <c r="I785" s="390"/>
      <c r="J785" s="209"/>
      <c r="K785" s="210"/>
      <c r="L785" s="390"/>
      <c r="M785" s="209"/>
      <c r="N785" s="210"/>
      <c r="O785" s="390"/>
      <c r="P785" s="209"/>
      <c r="Q785" s="210"/>
      <c r="R785" s="390"/>
      <c r="S785" s="209"/>
      <c r="T785" s="210"/>
      <c r="U785" s="390"/>
      <c r="V785" s="209"/>
      <c r="W785" s="210"/>
      <c r="X785" s="390"/>
      <c r="Y785" s="195"/>
      <c r="Z785" s="195"/>
      <c r="AA785" s="195"/>
      <c r="AB785" s="195"/>
      <c r="AC785" s="8"/>
      <c r="AD785" s="8"/>
      <c r="AE785" s="8"/>
      <c r="AF785" s="8"/>
      <c r="AG785" s="202"/>
      <c r="AH785" s="202"/>
      <c r="AI785" s="202"/>
      <c r="AJ785" s="202"/>
      <c r="AK785" s="8"/>
      <c r="AL785" s="8"/>
      <c r="AM785" s="8"/>
      <c r="AN785" s="8"/>
      <c r="AO785" s="8"/>
      <c r="AP785" s="8"/>
      <c r="AQ785" s="8"/>
      <c r="AR785" s="8"/>
      <c r="AS785" s="8"/>
      <c r="AT785" s="8"/>
      <c r="AU785" s="8"/>
      <c r="AV785" s="8"/>
    </row>
    <row r="786">
      <c r="A786" s="209"/>
      <c r="B786" s="210"/>
      <c r="C786" s="390"/>
      <c r="D786" s="209"/>
      <c r="E786" s="210"/>
      <c r="F786" s="390"/>
      <c r="G786" s="209"/>
      <c r="H786" s="210"/>
      <c r="I786" s="390"/>
      <c r="J786" s="209"/>
      <c r="K786" s="210"/>
      <c r="L786" s="390"/>
      <c r="M786" s="209"/>
      <c r="N786" s="210"/>
      <c r="O786" s="390"/>
      <c r="P786" s="209"/>
      <c r="Q786" s="210"/>
      <c r="R786" s="390"/>
      <c r="S786" s="209"/>
      <c r="T786" s="210"/>
      <c r="U786" s="390"/>
      <c r="V786" s="209"/>
      <c r="W786" s="210"/>
      <c r="X786" s="390"/>
      <c r="Y786" s="195"/>
      <c r="Z786" s="195"/>
      <c r="AA786" s="195"/>
      <c r="AB786" s="195"/>
      <c r="AC786" s="8"/>
      <c r="AD786" s="8"/>
      <c r="AE786" s="8"/>
      <c r="AF786" s="8"/>
      <c r="AG786" s="202"/>
      <c r="AH786" s="202"/>
      <c r="AI786" s="202"/>
      <c r="AJ786" s="202"/>
      <c r="AK786" s="8"/>
      <c r="AL786" s="8"/>
      <c r="AM786" s="8"/>
      <c r="AN786" s="8"/>
      <c r="AO786" s="8"/>
      <c r="AP786" s="8"/>
      <c r="AQ786" s="8"/>
      <c r="AR786" s="8"/>
      <c r="AS786" s="8"/>
      <c r="AT786" s="8"/>
      <c r="AU786" s="8"/>
      <c r="AV786" s="8"/>
    </row>
    <row r="787">
      <c r="A787" s="209"/>
      <c r="B787" s="210"/>
      <c r="C787" s="390"/>
      <c r="D787" s="209"/>
      <c r="E787" s="210"/>
      <c r="F787" s="390"/>
      <c r="G787" s="209"/>
      <c r="H787" s="210"/>
      <c r="I787" s="390"/>
      <c r="J787" s="209"/>
      <c r="K787" s="210"/>
      <c r="L787" s="390"/>
      <c r="M787" s="209"/>
      <c r="N787" s="210"/>
      <c r="O787" s="390"/>
      <c r="P787" s="209"/>
      <c r="Q787" s="210"/>
      <c r="R787" s="390"/>
      <c r="S787" s="209"/>
      <c r="T787" s="210"/>
      <c r="U787" s="390"/>
      <c r="V787" s="209"/>
      <c r="W787" s="210"/>
      <c r="X787" s="390"/>
      <c r="Y787" s="195"/>
      <c r="Z787" s="195"/>
      <c r="AA787" s="195"/>
      <c r="AB787" s="195"/>
      <c r="AC787" s="8"/>
      <c r="AD787" s="8"/>
      <c r="AE787" s="8"/>
      <c r="AF787" s="8"/>
      <c r="AG787" s="202"/>
      <c r="AH787" s="202"/>
      <c r="AI787" s="202"/>
      <c r="AJ787" s="202"/>
      <c r="AK787" s="8"/>
      <c r="AL787" s="8"/>
      <c r="AM787" s="8"/>
      <c r="AN787" s="8"/>
      <c r="AO787" s="8"/>
      <c r="AP787" s="8"/>
      <c r="AQ787" s="8"/>
      <c r="AR787" s="8"/>
      <c r="AS787" s="8"/>
      <c r="AT787" s="8"/>
      <c r="AU787" s="8"/>
      <c r="AV787" s="8"/>
    </row>
    <row r="788">
      <c r="A788" s="209"/>
      <c r="B788" s="210"/>
      <c r="C788" s="390"/>
      <c r="D788" s="209"/>
      <c r="E788" s="210"/>
      <c r="F788" s="390"/>
      <c r="G788" s="209"/>
      <c r="H788" s="210"/>
      <c r="I788" s="390"/>
      <c r="J788" s="209"/>
      <c r="K788" s="210"/>
      <c r="L788" s="390"/>
      <c r="M788" s="209"/>
      <c r="N788" s="210"/>
      <c r="O788" s="390"/>
      <c r="P788" s="209"/>
      <c r="Q788" s="210"/>
      <c r="R788" s="390"/>
      <c r="S788" s="209"/>
      <c r="T788" s="210"/>
      <c r="U788" s="390"/>
      <c r="V788" s="209"/>
      <c r="W788" s="210"/>
      <c r="X788" s="390"/>
      <c r="Y788" s="195"/>
      <c r="Z788" s="195"/>
      <c r="AA788" s="195"/>
      <c r="AB788" s="195"/>
      <c r="AC788" s="8"/>
      <c r="AD788" s="8"/>
      <c r="AE788" s="8"/>
      <c r="AF788" s="8"/>
      <c r="AG788" s="202"/>
      <c r="AH788" s="202"/>
      <c r="AI788" s="202"/>
      <c r="AJ788" s="202"/>
      <c r="AK788" s="8"/>
      <c r="AL788" s="8"/>
      <c r="AM788" s="8"/>
      <c r="AN788" s="8"/>
      <c r="AO788" s="8"/>
      <c r="AP788" s="8"/>
      <c r="AQ788" s="8"/>
      <c r="AR788" s="8"/>
      <c r="AS788" s="8"/>
      <c r="AT788" s="8"/>
      <c r="AU788" s="8"/>
      <c r="AV788" s="8"/>
    </row>
    <row r="789">
      <c r="A789" s="209"/>
      <c r="B789" s="210"/>
      <c r="C789" s="390"/>
      <c r="D789" s="209"/>
      <c r="E789" s="210"/>
      <c r="F789" s="390"/>
      <c r="G789" s="209"/>
      <c r="H789" s="210"/>
      <c r="I789" s="390"/>
      <c r="J789" s="209"/>
      <c r="K789" s="210"/>
      <c r="L789" s="390"/>
      <c r="M789" s="209"/>
      <c r="N789" s="210"/>
      <c r="O789" s="390"/>
      <c r="P789" s="209"/>
      <c r="Q789" s="210"/>
      <c r="R789" s="390"/>
      <c r="S789" s="209"/>
      <c r="T789" s="210"/>
      <c r="U789" s="390"/>
      <c r="V789" s="209"/>
      <c r="W789" s="210"/>
      <c r="X789" s="390"/>
      <c r="Y789" s="195"/>
      <c r="Z789" s="195"/>
      <c r="AA789" s="195"/>
      <c r="AB789" s="195"/>
      <c r="AC789" s="8"/>
      <c r="AD789" s="8"/>
      <c r="AE789" s="8"/>
      <c r="AF789" s="8"/>
      <c r="AG789" s="202"/>
      <c r="AH789" s="202"/>
      <c r="AI789" s="202"/>
      <c r="AJ789" s="202"/>
      <c r="AK789" s="8"/>
      <c r="AL789" s="8"/>
      <c r="AM789" s="8"/>
      <c r="AN789" s="8"/>
      <c r="AO789" s="8"/>
      <c r="AP789" s="8"/>
      <c r="AQ789" s="8"/>
      <c r="AR789" s="8"/>
      <c r="AS789" s="8"/>
      <c r="AT789" s="8"/>
      <c r="AU789" s="8"/>
      <c r="AV789" s="8"/>
    </row>
    <row r="790">
      <c r="A790" s="209"/>
      <c r="B790" s="210"/>
      <c r="C790" s="390"/>
      <c r="D790" s="209"/>
      <c r="E790" s="210"/>
      <c r="F790" s="390"/>
      <c r="G790" s="209"/>
      <c r="H790" s="210"/>
      <c r="I790" s="390"/>
      <c r="J790" s="209"/>
      <c r="K790" s="210"/>
      <c r="L790" s="390"/>
      <c r="M790" s="209"/>
      <c r="N790" s="210"/>
      <c r="O790" s="390"/>
      <c r="P790" s="209"/>
      <c r="Q790" s="210"/>
      <c r="R790" s="390"/>
      <c r="S790" s="209"/>
      <c r="T790" s="210"/>
      <c r="U790" s="390"/>
      <c r="V790" s="209"/>
      <c r="W790" s="210"/>
      <c r="X790" s="390"/>
      <c r="Y790" s="195"/>
      <c r="Z790" s="195"/>
      <c r="AA790" s="195"/>
      <c r="AB790" s="195"/>
      <c r="AC790" s="8"/>
      <c r="AD790" s="8"/>
      <c r="AE790" s="8"/>
      <c r="AF790" s="8"/>
      <c r="AG790" s="202"/>
      <c r="AH790" s="202"/>
      <c r="AI790" s="202"/>
      <c r="AJ790" s="202"/>
      <c r="AK790" s="8"/>
      <c r="AL790" s="8"/>
      <c r="AM790" s="8"/>
      <c r="AN790" s="8"/>
      <c r="AO790" s="8"/>
      <c r="AP790" s="8"/>
      <c r="AQ790" s="8"/>
      <c r="AR790" s="8"/>
      <c r="AS790" s="8"/>
      <c r="AT790" s="8"/>
      <c r="AU790" s="8"/>
      <c r="AV790" s="8"/>
    </row>
    <row r="791">
      <c r="A791" s="209"/>
      <c r="B791" s="210"/>
      <c r="C791" s="390"/>
      <c r="D791" s="209"/>
      <c r="E791" s="210"/>
      <c r="F791" s="390"/>
      <c r="G791" s="209"/>
      <c r="H791" s="210"/>
      <c r="I791" s="390"/>
      <c r="J791" s="209"/>
      <c r="K791" s="210"/>
      <c r="L791" s="390"/>
      <c r="M791" s="209"/>
      <c r="N791" s="210"/>
      <c r="O791" s="390"/>
      <c r="P791" s="209"/>
      <c r="Q791" s="210"/>
      <c r="R791" s="390"/>
      <c r="S791" s="209"/>
      <c r="T791" s="210"/>
      <c r="U791" s="390"/>
      <c r="V791" s="209"/>
      <c r="W791" s="210"/>
      <c r="X791" s="390"/>
      <c r="Y791" s="195"/>
      <c r="Z791" s="195"/>
      <c r="AA791" s="195"/>
      <c r="AB791" s="195"/>
      <c r="AC791" s="8"/>
      <c r="AD791" s="8"/>
      <c r="AE791" s="8"/>
      <c r="AF791" s="8"/>
      <c r="AG791" s="202"/>
      <c r="AH791" s="202"/>
      <c r="AI791" s="202"/>
      <c r="AJ791" s="202"/>
      <c r="AK791" s="8"/>
      <c r="AL791" s="8"/>
      <c r="AM791" s="8"/>
      <c r="AN791" s="8"/>
      <c r="AO791" s="8"/>
      <c r="AP791" s="8"/>
      <c r="AQ791" s="8"/>
      <c r="AR791" s="8"/>
      <c r="AS791" s="8"/>
      <c r="AT791" s="8"/>
      <c r="AU791" s="8"/>
      <c r="AV791" s="8"/>
    </row>
    <row r="792">
      <c r="A792" s="209"/>
      <c r="B792" s="210"/>
      <c r="C792" s="390"/>
      <c r="D792" s="209"/>
      <c r="E792" s="210"/>
      <c r="F792" s="390"/>
      <c r="G792" s="209"/>
      <c r="H792" s="210"/>
      <c r="I792" s="390"/>
      <c r="J792" s="209"/>
      <c r="K792" s="210"/>
      <c r="L792" s="390"/>
      <c r="M792" s="209"/>
      <c r="N792" s="210"/>
      <c r="O792" s="390"/>
      <c r="P792" s="209"/>
      <c r="Q792" s="210"/>
      <c r="R792" s="390"/>
      <c r="S792" s="209"/>
      <c r="T792" s="210"/>
      <c r="U792" s="390"/>
      <c r="V792" s="209"/>
      <c r="W792" s="210"/>
      <c r="X792" s="390"/>
      <c r="Y792" s="195"/>
      <c r="Z792" s="195"/>
      <c r="AA792" s="195"/>
      <c r="AB792" s="195"/>
      <c r="AC792" s="8"/>
      <c r="AD792" s="8"/>
      <c r="AE792" s="8"/>
      <c r="AF792" s="8"/>
      <c r="AG792" s="202"/>
      <c r="AH792" s="202"/>
      <c r="AI792" s="202"/>
      <c r="AJ792" s="202"/>
      <c r="AK792" s="8"/>
      <c r="AL792" s="8"/>
      <c r="AM792" s="8"/>
      <c r="AN792" s="8"/>
      <c r="AO792" s="8"/>
      <c r="AP792" s="8"/>
      <c r="AQ792" s="8"/>
      <c r="AR792" s="8"/>
      <c r="AS792" s="8"/>
      <c r="AT792" s="8"/>
      <c r="AU792" s="8"/>
      <c r="AV792" s="8"/>
    </row>
    <row r="793">
      <c r="A793" s="209"/>
      <c r="B793" s="210"/>
      <c r="C793" s="390"/>
      <c r="D793" s="209"/>
      <c r="E793" s="210"/>
      <c r="F793" s="390"/>
      <c r="G793" s="209"/>
      <c r="H793" s="210"/>
      <c r="I793" s="390"/>
      <c r="J793" s="209"/>
      <c r="K793" s="210"/>
      <c r="L793" s="390"/>
      <c r="M793" s="209"/>
      <c r="N793" s="210"/>
      <c r="O793" s="390"/>
      <c r="P793" s="209"/>
      <c r="Q793" s="210"/>
      <c r="R793" s="390"/>
      <c r="S793" s="209"/>
      <c r="T793" s="210"/>
      <c r="U793" s="390"/>
      <c r="V793" s="209"/>
      <c r="W793" s="210"/>
      <c r="X793" s="390"/>
      <c r="Y793" s="195"/>
      <c r="Z793" s="195"/>
      <c r="AA793" s="195"/>
      <c r="AB793" s="195"/>
      <c r="AC793" s="8"/>
      <c r="AD793" s="8"/>
      <c r="AE793" s="8"/>
      <c r="AF793" s="8"/>
      <c r="AG793" s="202"/>
      <c r="AH793" s="202"/>
      <c r="AI793" s="202"/>
      <c r="AJ793" s="202"/>
      <c r="AK793" s="8"/>
      <c r="AL793" s="8"/>
      <c r="AM793" s="8"/>
      <c r="AN793" s="8"/>
      <c r="AO793" s="8"/>
      <c r="AP793" s="8"/>
      <c r="AQ793" s="8"/>
      <c r="AR793" s="8"/>
      <c r="AS793" s="8"/>
      <c r="AT793" s="8"/>
      <c r="AU793" s="8"/>
      <c r="AV793" s="8"/>
    </row>
    <row r="794">
      <c r="A794" s="209"/>
      <c r="B794" s="210"/>
      <c r="C794" s="390"/>
      <c r="D794" s="209"/>
      <c r="E794" s="210"/>
      <c r="F794" s="390"/>
      <c r="G794" s="209"/>
      <c r="H794" s="210"/>
      <c r="I794" s="390"/>
      <c r="J794" s="209"/>
      <c r="K794" s="210"/>
      <c r="L794" s="390"/>
      <c r="M794" s="209"/>
      <c r="N794" s="210"/>
      <c r="O794" s="390"/>
      <c r="P794" s="209"/>
      <c r="Q794" s="210"/>
      <c r="R794" s="390"/>
      <c r="S794" s="209"/>
      <c r="T794" s="210"/>
      <c r="U794" s="390"/>
      <c r="V794" s="209"/>
      <c r="W794" s="210"/>
      <c r="X794" s="390"/>
      <c r="Y794" s="195"/>
      <c r="Z794" s="195"/>
      <c r="AA794" s="195"/>
      <c r="AB794" s="195"/>
      <c r="AC794" s="8"/>
      <c r="AD794" s="8"/>
      <c r="AE794" s="8"/>
      <c r="AF794" s="8"/>
      <c r="AG794" s="202"/>
      <c r="AH794" s="202"/>
      <c r="AI794" s="202"/>
      <c r="AJ794" s="202"/>
      <c r="AK794" s="8"/>
      <c r="AL794" s="8"/>
      <c r="AM794" s="8"/>
      <c r="AN794" s="8"/>
      <c r="AO794" s="8"/>
      <c r="AP794" s="8"/>
      <c r="AQ794" s="8"/>
      <c r="AR794" s="8"/>
      <c r="AS794" s="8"/>
      <c r="AT794" s="8"/>
      <c r="AU794" s="8"/>
      <c r="AV794" s="8"/>
    </row>
    <row r="795">
      <c r="A795" s="209"/>
      <c r="B795" s="210"/>
      <c r="C795" s="390"/>
      <c r="D795" s="209"/>
      <c r="E795" s="210"/>
      <c r="F795" s="390"/>
      <c r="G795" s="209"/>
      <c r="H795" s="210"/>
      <c r="I795" s="390"/>
      <c r="J795" s="209"/>
      <c r="K795" s="210"/>
      <c r="L795" s="390"/>
      <c r="M795" s="209"/>
      <c r="N795" s="210"/>
      <c r="O795" s="390"/>
      <c r="P795" s="209"/>
      <c r="Q795" s="210"/>
      <c r="R795" s="390"/>
      <c r="S795" s="209"/>
      <c r="T795" s="210"/>
      <c r="U795" s="390"/>
      <c r="V795" s="209"/>
      <c r="W795" s="210"/>
      <c r="X795" s="390"/>
      <c r="Y795" s="195"/>
      <c r="Z795" s="195"/>
      <c r="AA795" s="195"/>
      <c r="AB795" s="195"/>
      <c r="AC795" s="8"/>
      <c r="AD795" s="8"/>
      <c r="AE795" s="8"/>
      <c r="AF795" s="8"/>
      <c r="AG795" s="202"/>
      <c r="AH795" s="202"/>
      <c r="AI795" s="202"/>
      <c r="AJ795" s="202"/>
      <c r="AK795" s="8"/>
      <c r="AL795" s="8"/>
      <c r="AM795" s="8"/>
      <c r="AN795" s="8"/>
      <c r="AO795" s="8"/>
      <c r="AP795" s="8"/>
      <c r="AQ795" s="8"/>
      <c r="AR795" s="8"/>
      <c r="AS795" s="8"/>
      <c r="AT795" s="8"/>
      <c r="AU795" s="8"/>
      <c r="AV795" s="8"/>
    </row>
    <row r="796">
      <c r="A796" s="209"/>
      <c r="B796" s="210"/>
      <c r="C796" s="390"/>
      <c r="D796" s="209"/>
      <c r="E796" s="210"/>
      <c r="F796" s="390"/>
      <c r="G796" s="209"/>
      <c r="H796" s="210"/>
      <c r="I796" s="390"/>
      <c r="J796" s="209"/>
      <c r="K796" s="210"/>
      <c r="L796" s="390"/>
      <c r="M796" s="209"/>
      <c r="N796" s="210"/>
      <c r="O796" s="390"/>
      <c r="P796" s="209"/>
      <c r="Q796" s="210"/>
      <c r="R796" s="390"/>
      <c r="S796" s="209"/>
      <c r="T796" s="210"/>
      <c r="U796" s="390"/>
      <c r="V796" s="209"/>
      <c r="W796" s="210"/>
      <c r="X796" s="390"/>
      <c r="Y796" s="195"/>
      <c r="Z796" s="195"/>
      <c r="AA796" s="195"/>
      <c r="AB796" s="195"/>
      <c r="AC796" s="8"/>
      <c r="AD796" s="8"/>
      <c r="AE796" s="8"/>
      <c r="AF796" s="8"/>
      <c r="AG796" s="202"/>
      <c r="AH796" s="202"/>
      <c r="AI796" s="202"/>
      <c r="AJ796" s="202"/>
      <c r="AK796" s="8"/>
      <c r="AL796" s="8"/>
      <c r="AM796" s="8"/>
      <c r="AN796" s="8"/>
      <c r="AO796" s="8"/>
      <c r="AP796" s="8"/>
      <c r="AQ796" s="8"/>
      <c r="AR796" s="8"/>
      <c r="AS796" s="8"/>
      <c r="AT796" s="8"/>
      <c r="AU796" s="8"/>
      <c r="AV796" s="8"/>
    </row>
    <row r="797">
      <c r="A797" s="209"/>
      <c r="B797" s="210"/>
      <c r="C797" s="390"/>
      <c r="D797" s="209"/>
      <c r="E797" s="210"/>
      <c r="F797" s="390"/>
      <c r="G797" s="209"/>
      <c r="H797" s="210"/>
      <c r="I797" s="390"/>
      <c r="J797" s="209"/>
      <c r="K797" s="210"/>
      <c r="L797" s="390"/>
      <c r="M797" s="209"/>
      <c r="N797" s="210"/>
      <c r="O797" s="390"/>
      <c r="P797" s="209"/>
      <c r="Q797" s="210"/>
      <c r="R797" s="390"/>
      <c r="S797" s="209"/>
      <c r="T797" s="210"/>
      <c r="U797" s="390"/>
      <c r="V797" s="209"/>
      <c r="W797" s="210"/>
      <c r="X797" s="390"/>
      <c r="Y797" s="195"/>
      <c r="Z797" s="195"/>
      <c r="AA797" s="195"/>
      <c r="AB797" s="195"/>
      <c r="AC797" s="8"/>
      <c r="AD797" s="8"/>
      <c r="AE797" s="8"/>
      <c r="AF797" s="8"/>
      <c r="AG797" s="202"/>
      <c r="AH797" s="202"/>
      <c r="AI797" s="202"/>
      <c r="AJ797" s="202"/>
      <c r="AK797" s="8"/>
      <c r="AL797" s="8"/>
      <c r="AM797" s="8"/>
      <c r="AN797" s="8"/>
      <c r="AO797" s="8"/>
      <c r="AP797" s="8"/>
      <c r="AQ797" s="8"/>
      <c r="AR797" s="8"/>
      <c r="AS797" s="8"/>
      <c r="AT797" s="8"/>
      <c r="AU797" s="8"/>
      <c r="AV797" s="8"/>
    </row>
    <row r="798">
      <c r="A798" s="209"/>
      <c r="B798" s="210"/>
      <c r="C798" s="390"/>
      <c r="D798" s="209"/>
      <c r="E798" s="210"/>
      <c r="F798" s="390"/>
      <c r="G798" s="209"/>
      <c r="H798" s="210"/>
      <c r="I798" s="390"/>
      <c r="J798" s="209"/>
      <c r="K798" s="210"/>
      <c r="L798" s="390"/>
      <c r="M798" s="209"/>
      <c r="N798" s="210"/>
      <c r="O798" s="390"/>
      <c r="P798" s="209"/>
      <c r="Q798" s="210"/>
      <c r="R798" s="390"/>
      <c r="S798" s="209"/>
      <c r="T798" s="210"/>
      <c r="U798" s="390"/>
      <c r="V798" s="209"/>
      <c r="W798" s="210"/>
      <c r="X798" s="390"/>
      <c r="Y798" s="195"/>
      <c r="Z798" s="195"/>
      <c r="AA798" s="195"/>
      <c r="AB798" s="195"/>
      <c r="AC798" s="8"/>
      <c r="AD798" s="8"/>
      <c r="AE798" s="8"/>
      <c r="AF798" s="8"/>
      <c r="AG798" s="202"/>
      <c r="AH798" s="202"/>
      <c r="AI798" s="202"/>
      <c r="AJ798" s="202"/>
      <c r="AK798" s="8"/>
      <c r="AL798" s="8"/>
      <c r="AM798" s="8"/>
      <c r="AN798" s="8"/>
      <c r="AO798" s="8"/>
      <c r="AP798" s="8"/>
      <c r="AQ798" s="8"/>
      <c r="AR798" s="8"/>
      <c r="AS798" s="8"/>
      <c r="AT798" s="8"/>
      <c r="AU798" s="8"/>
      <c r="AV798" s="8"/>
    </row>
    <row r="799">
      <c r="A799" s="209"/>
      <c r="B799" s="210"/>
      <c r="C799" s="390"/>
      <c r="D799" s="209"/>
      <c r="E799" s="210"/>
      <c r="F799" s="390"/>
      <c r="G799" s="209"/>
      <c r="H799" s="210"/>
      <c r="I799" s="390"/>
      <c r="J799" s="209"/>
      <c r="K799" s="210"/>
      <c r="L799" s="390"/>
      <c r="M799" s="209"/>
      <c r="N799" s="210"/>
      <c r="O799" s="390"/>
      <c r="P799" s="209"/>
      <c r="Q799" s="210"/>
      <c r="R799" s="390"/>
      <c r="S799" s="209"/>
      <c r="T799" s="210"/>
      <c r="U799" s="390"/>
      <c r="V799" s="209"/>
      <c r="W799" s="210"/>
      <c r="X799" s="390"/>
      <c r="Y799" s="195"/>
      <c r="Z799" s="195"/>
      <c r="AA799" s="195"/>
      <c r="AB799" s="195"/>
      <c r="AC799" s="8"/>
      <c r="AD799" s="8"/>
      <c r="AE799" s="8"/>
      <c r="AF799" s="8"/>
      <c r="AG799" s="202"/>
      <c r="AH799" s="202"/>
      <c r="AI799" s="202"/>
      <c r="AJ799" s="202"/>
      <c r="AK799" s="8"/>
      <c r="AL799" s="8"/>
      <c r="AM799" s="8"/>
      <c r="AN799" s="8"/>
      <c r="AO799" s="8"/>
      <c r="AP799" s="8"/>
      <c r="AQ799" s="8"/>
      <c r="AR799" s="8"/>
      <c r="AS799" s="8"/>
      <c r="AT799" s="8"/>
      <c r="AU799" s="8"/>
      <c r="AV799" s="8"/>
    </row>
    <row r="800">
      <c r="A800" s="209"/>
      <c r="B800" s="210"/>
      <c r="C800" s="390"/>
      <c r="D800" s="209"/>
      <c r="E800" s="210"/>
      <c r="F800" s="390"/>
      <c r="G800" s="209"/>
      <c r="H800" s="210"/>
      <c r="I800" s="390"/>
      <c r="J800" s="209"/>
      <c r="K800" s="210"/>
      <c r="L800" s="390"/>
      <c r="M800" s="209"/>
      <c r="N800" s="210"/>
      <c r="O800" s="390"/>
      <c r="P800" s="209"/>
      <c r="Q800" s="210"/>
      <c r="R800" s="390"/>
      <c r="S800" s="209"/>
      <c r="T800" s="210"/>
      <c r="U800" s="390"/>
      <c r="V800" s="209"/>
      <c r="W800" s="210"/>
      <c r="X800" s="390"/>
      <c r="Y800" s="195"/>
      <c r="Z800" s="195"/>
      <c r="AA800" s="195"/>
      <c r="AB800" s="195"/>
      <c r="AC800" s="8"/>
      <c r="AD800" s="8"/>
      <c r="AE800" s="8"/>
      <c r="AF800" s="8"/>
      <c r="AG800" s="202"/>
      <c r="AH800" s="202"/>
      <c r="AI800" s="202"/>
      <c r="AJ800" s="202"/>
      <c r="AK800" s="8"/>
      <c r="AL800" s="8"/>
      <c r="AM800" s="8"/>
      <c r="AN800" s="8"/>
      <c r="AO800" s="8"/>
      <c r="AP800" s="8"/>
      <c r="AQ800" s="8"/>
      <c r="AR800" s="8"/>
      <c r="AS800" s="8"/>
      <c r="AT800" s="8"/>
      <c r="AU800" s="8"/>
      <c r="AV800" s="8"/>
    </row>
    <row r="801">
      <c r="A801" s="209"/>
      <c r="B801" s="210"/>
      <c r="C801" s="390"/>
      <c r="D801" s="209"/>
      <c r="E801" s="210"/>
      <c r="F801" s="390"/>
      <c r="G801" s="209"/>
      <c r="H801" s="210"/>
      <c r="I801" s="390"/>
      <c r="J801" s="209"/>
      <c r="K801" s="210"/>
      <c r="L801" s="390"/>
      <c r="M801" s="209"/>
      <c r="N801" s="210"/>
      <c r="O801" s="390"/>
      <c r="P801" s="209"/>
      <c r="Q801" s="210"/>
      <c r="R801" s="390"/>
      <c r="S801" s="209"/>
      <c r="T801" s="210"/>
      <c r="U801" s="390"/>
      <c r="V801" s="209"/>
      <c r="W801" s="210"/>
      <c r="X801" s="390"/>
      <c r="Y801" s="195"/>
      <c r="Z801" s="195"/>
      <c r="AA801" s="195"/>
      <c r="AB801" s="195"/>
      <c r="AC801" s="8"/>
      <c r="AD801" s="8"/>
      <c r="AE801" s="8"/>
      <c r="AF801" s="8"/>
      <c r="AG801" s="202"/>
      <c r="AH801" s="202"/>
      <c r="AI801" s="202"/>
      <c r="AJ801" s="202"/>
      <c r="AK801" s="8"/>
      <c r="AL801" s="8"/>
      <c r="AM801" s="8"/>
      <c r="AN801" s="8"/>
      <c r="AO801" s="8"/>
      <c r="AP801" s="8"/>
      <c r="AQ801" s="8"/>
      <c r="AR801" s="8"/>
      <c r="AS801" s="8"/>
      <c r="AT801" s="8"/>
      <c r="AU801" s="8"/>
      <c r="AV801" s="8"/>
    </row>
    <row r="802">
      <c r="A802" s="209"/>
      <c r="B802" s="210"/>
      <c r="C802" s="390"/>
      <c r="D802" s="209"/>
      <c r="E802" s="210"/>
      <c r="F802" s="390"/>
      <c r="G802" s="209"/>
      <c r="H802" s="210"/>
      <c r="I802" s="390"/>
      <c r="J802" s="209"/>
      <c r="K802" s="210"/>
      <c r="L802" s="390"/>
      <c r="M802" s="209"/>
      <c r="N802" s="210"/>
      <c r="O802" s="390"/>
      <c r="P802" s="209"/>
      <c r="Q802" s="210"/>
      <c r="R802" s="390"/>
      <c r="S802" s="209"/>
      <c r="T802" s="210"/>
      <c r="U802" s="390"/>
      <c r="V802" s="209"/>
      <c r="W802" s="210"/>
      <c r="X802" s="390"/>
      <c r="Y802" s="195"/>
      <c r="Z802" s="195"/>
      <c r="AA802" s="195"/>
      <c r="AB802" s="195"/>
      <c r="AC802" s="8"/>
      <c r="AD802" s="8"/>
      <c r="AE802" s="8"/>
      <c r="AF802" s="8"/>
      <c r="AG802" s="202"/>
      <c r="AH802" s="202"/>
      <c r="AI802" s="202"/>
      <c r="AJ802" s="202"/>
      <c r="AK802" s="8"/>
      <c r="AL802" s="8"/>
      <c r="AM802" s="8"/>
      <c r="AN802" s="8"/>
      <c r="AO802" s="8"/>
      <c r="AP802" s="8"/>
      <c r="AQ802" s="8"/>
      <c r="AR802" s="8"/>
      <c r="AS802" s="8"/>
      <c r="AT802" s="8"/>
      <c r="AU802" s="8"/>
      <c r="AV802" s="8"/>
    </row>
    <row r="803">
      <c r="A803" s="209"/>
      <c r="B803" s="210"/>
      <c r="C803" s="390"/>
      <c r="D803" s="209"/>
      <c r="E803" s="210"/>
      <c r="F803" s="390"/>
      <c r="G803" s="209"/>
      <c r="H803" s="210"/>
      <c r="I803" s="390"/>
      <c r="J803" s="209"/>
      <c r="K803" s="210"/>
      <c r="L803" s="390"/>
      <c r="M803" s="209"/>
      <c r="N803" s="210"/>
      <c r="O803" s="390"/>
      <c r="P803" s="209"/>
      <c r="Q803" s="210"/>
      <c r="R803" s="390"/>
      <c r="S803" s="209"/>
      <c r="T803" s="210"/>
      <c r="U803" s="390"/>
      <c r="V803" s="209"/>
      <c r="W803" s="210"/>
      <c r="X803" s="390"/>
      <c r="Y803" s="195"/>
      <c r="Z803" s="195"/>
      <c r="AA803" s="195"/>
      <c r="AB803" s="195"/>
      <c r="AC803" s="8"/>
      <c r="AD803" s="8"/>
      <c r="AE803" s="8"/>
      <c r="AF803" s="8"/>
      <c r="AG803" s="202"/>
      <c r="AH803" s="202"/>
      <c r="AI803" s="202"/>
      <c r="AJ803" s="202"/>
      <c r="AK803" s="8"/>
      <c r="AL803" s="8"/>
      <c r="AM803" s="8"/>
      <c r="AN803" s="8"/>
      <c r="AO803" s="8"/>
      <c r="AP803" s="8"/>
      <c r="AQ803" s="8"/>
      <c r="AR803" s="8"/>
      <c r="AS803" s="8"/>
      <c r="AT803" s="8"/>
      <c r="AU803" s="8"/>
      <c r="AV803" s="8"/>
    </row>
    <row r="804">
      <c r="A804" s="209"/>
      <c r="B804" s="210"/>
      <c r="C804" s="390"/>
      <c r="D804" s="209"/>
      <c r="E804" s="210"/>
      <c r="F804" s="390"/>
      <c r="G804" s="209"/>
      <c r="H804" s="210"/>
      <c r="I804" s="390"/>
      <c r="J804" s="209"/>
      <c r="K804" s="210"/>
      <c r="L804" s="390"/>
      <c r="M804" s="209"/>
      <c r="N804" s="210"/>
      <c r="O804" s="390"/>
      <c r="P804" s="209"/>
      <c r="Q804" s="210"/>
      <c r="R804" s="390"/>
      <c r="S804" s="209"/>
      <c r="T804" s="210"/>
      <c r="U804" s="390"/>
      <c r="V804" s="209"/>
      <c r="W804" s="210"/>
      <c r="X804" s="390"/>
      <c r="Y804" s="195"/>
      <c r="Z804" s="195"/>
      <c r="AA804" s="195"/>
      <c r="AB804" s="195"/>
      <c r="AC804" s="8"/>
      <c r="AD804" s="8"/>
      <c r="AE804" s="8"/>
      <c r="AF804" s="8"/>
      <c r="AG804" s="202"/>
      <c r="AH804" s="202"/>
      <c r="AI804" s="202"/>
      <c r="AJ804" s="202"/>
      <c r="AK804" s="8"/>
      <c r="AL804" s="8"/>
      <c r="AM804" s="8"/>
      <c r="AN804" s="8"/>
      <c r="AO804" s="8"/>
      <c r="AP804" s="8"/>
      <c r="AQ804" s="8"/>
      <c r="AR804" s="8"/>
      <c r="AS804" s="8"/>
      <c r="AT804" s="8"/>
      <c r="AU804" s="8"/>
      <c r="AV804" s="8"/>
    </row>
    <row r="805">
      <c r="A805" s="209"/>
      <c r="B805" s="210"/>
      <c r="C805" s="390"/>
      <c r="D805" s="209"/>
      <c r="E805" s="210"/>
      <c r="F805" s="390"/>
      <c r="G805" s="209"/>
      <c r="H805" s="210"/>
      <c r="I805" s="390"/>
      <c r="J805" s="209"/>
      <c r="K805" s="210"/>
      <c r="L805" s="390"/>
      <c r="M805" s="209"/>
      <c r="N805" s="210"/>
      <c r="O805" s="390"/>
      <c r="P805" s="209"/>
      <c r="Q805" s="210"/>
      <c r="R805" s="390"/>
      <c r="S805" s="209"/>
      <c r="T805" s="210"/>
      <c r="U805" s="390"/>
      <c r="V805" s="209"/>
      <c r="W805" s="210"/>
      <c r="X805" s="390"/>
      <c r="Y805" s="195"/>
      <c r="Z805" s="195"/>
      <c r="AA805" s="195"/>
      <c r="AB805" s="195"/>
      <c r="AC805" s="8"/>
      <c r="AD805" s="8"/>
      <c r="AE805" s="8"/>
      <c r="AF805" s="8"/>
      <c r="AG805" s="202"/>
      <c r="AH805" s="202"/>
      <c r="AI805" s="202"/>
      <c r="AJ805" s="202"/>
      <c r="AK805" s="8"/>
      <c r="AL805" s="8"/>
      <c r="AM805" s="8"/>
      <c r="AN805" s="8"/>
      <c r="AO805" s="8"/>
      <c r="AP805" s="8"/>
      <c r="AQ805" s="8"/>
      <c r="AR805" s="8"/>
      <c r="AS805" s="8"/>
      <c r="AT805" s="8"/>
      <c r="AU805" s="8"/>
      <c r="AV805" s="8"/>
    </row>
    <row r="806">
      <c r="A806" s="209"/>
      <c r="B806" s="210"/>
      <c r="C806" s="390"/>
      <c r="D806" s="209"/>
      <c r="E806" s="210"/>
      <c r="F806" s="390"/>
      <c r="G806" s="209"/>
      <c r="H806" s="210"/>
      <c r="I806" s="390"/>
      <c r="J806" s="209"/>
      <c r="K806" s="210"/>
      <c r="L806" s="390"/>
      <c r="M806" s="209"/>
      <c r="N806" s="210"/>
      <c r="O806" s="390"/>
      <c r="P806" s="209"/>
      <c r="Q806" s="210"/>
      <c r="R806" s="390"/>
      <c r="S806" s="209"/>
      <c r="T806" s="210"/>
      <c r="U806" s="390"/>
      <c r="V806" s="209"/>
      <c r="W806" s="210"/>
      <c r="X806" s="390"/>
      <c r="Y806" s="195"/>
      <c r="Z806" s="195"/>
      <c r="AA806" s="195"/>
      <c r="AB806" s="195"/>
      <c r="AC806" s="8"/>
      <c r="AD806" s="8"/>
      <c r="AE806" s="8"/>
      <c r="AF806" s="8"/>
      <c r="AG806" s="202"/>
      <c r="AH806" s="202"/>
      <c r="AI806" s="202"/>
      <c r="AJ806" s="202"/>
      <c r="AK806" s="8"/>
      <c r="AL806" s="8"/>
      <c r="AM806" s="8"/>
      <c r="AN806" s="8"/>
      <c r="AO806" s="8"/>
      <c r="AP806" s="8"/>
      <c r="AQ806" s="8"/>
      <c r="AR806" s="8"/>
      <c r="AS806" s="8"/>
      <c r="AT806" s="8"/>
      <c r="AU806" s="8"/>
      <c r="AV806" s="8"/>
    </row>
    <row r="807">
      <c r="A807" s="209"/>
      <c r="B807" s="210"/>
      <c r="C807" s="390"/>
      <c r="D807" s="209"/>
      <c r="E807" s="210"/>
      <c r="F807" s="390"/>
      <c r="G807" s="209"/>
      <c r="H807" s="210"/>
      <c r="I807" s="390"/>
      <c r="J807" s="209"/>
      <c r="K807" s="210"/>
      <c r="L807" s="390"/>
      <c r="M807" s="209"/>
      <c r="N807" s="210"/>
      <c r="O807" s="390"/>
      <c r="P807" s="209"/>
      <c r="Q807" s="210"/>
      <c r="R807" s="390"/>
      <c r="S807" s="209"/>
      <c r="T807" s="210"/>
      <c r="U807" s="390"/>
      <c r="V807" s="209"/>
      <c r="W807" s="210"/>
      <c r="X807" s="390"/>
      <c r="Y807" s="195"/>
      <c r="Z807" s="195"/>
      <c r="AA807" s="195"/>
      <c r="AB807" s="195"/>
      <c r="AC807" s="8"/>
      <c r="AD807" s="8"/>
      <c r="AE807" s="8"/>
      <c r="AF807" s="8"/>
      <c r="AG807" s="202"/>
      <c r="AH807" s="202"/>
      <c r="AI807" s="202"/>
      <c r="AJ807" s="202"/>
      <c r="AK807" s="8"/>
      <c r="AL807" s="8"/>
      <c r="AM807" s="8"/>
      <c r="AN807" s="8"/>
      <c r="AO807" s="8"/>
      <c r="AP807" s="8"/>
      <c r="AQ807" s="8"/>
      <c r="AR807" s="8"/>
      <c r="AS807" s="8"/>
      <c r="AT807" s="8"/>
      <c r="AU807" s="8"/>
      <c r="AV807" s="8"/>
    </row>
    <row r="808">
      <c r="A808" s="209"/>
      <c r="B808" s="210"/>
      <c r="C808" s="390"/>
      <c r="D808" s="209"/>
      <c r="E808" s="210"/>
      <c r="F808" s="390"/>
      <c r="G808" s="209"/>
      <c r="H808" s="210"/>
      <c r="I808" s="390"/>
      <c r="J808" s="209"/>
      <c r="K808" s="210"/>
      <c r="L808" s="390"/>
      <c r="M808" s="209"/>
      <c r="N808" s="210"/>
      <c r="O808" s="390"/>
      <c r="P808" s="209"/>
      <c r="Q808" s="210"/>
      <c r="R808" s="390"/>
      <c r="S808" s="209"/>
      <c r="T808" s="210"/>
      <c r="U808" s="390"/>
      <c r="V808" s="209"/>
      <c r="W808" s="210"/>
      <c r="X808" s="390"/>
      <c r="Y808" s="195"/>
      <c r="Z808" s="195"/>
      <c r="AA808" s="195"/>
      <c r="AB808" s="195"/>
      <c r="AC808" s="8"/>
      <c r="AD808" s="8"/>
      <c r="AE808" s="8"/>
      <c r="AF808" s="8"/>
      <c r="AG808" s="202"/>
      <c r="AH808" s="202"/>
      <c r="AI808" s="202"/>
      <c r="AJ808" s="202"/>
      <c r="AK808" s="8"/>
      <c r="AL808" s="8"/>
      <c r="AM808" s="8"/>
      <c r="AN808" s="8"/>
      <c r="AO808" s="8"/>
      <c r="AP808" s="8"/>
      <c r="AQ808" s="8"/>
      <c r="AR808" s="8"/>
      <c r="AS808" s="8"/>
      <c r="AT808" s="8"/>
      <c r="AU808" s="8"/>
      <c r="AV808" s="8"/>
    </row>
    <row r="809">
      <c r="A809" s="209"/>
      <c r="B809" s="210"/>
      <c r="C809" s="390"/>
      <c r="D809" s="209"/>
      <c r="E809" s="210"/>
      <c r="F809" s="390"/>
      <c r="G809" s="209"/>
      <c r="H809" s="210"/>
      <c r="I809" s="390"/>
      <c r="J809" s="209"/>
      <c r="K809" s="210"/>
      <c r="L809" s="390"/>
      <c r="M809" s="209"/>
      <c r="N809" s="210"/>
      <c r="O809" s="390"/>
      <c r="P809" s="209"/>
      <c r="Q809" s="210"/>
      <c r="R809" s="390"/>
      <c r="S809" s="209"/>
      <c r="T809" s="210"/>
      <c r="U809" s="390"/>
      <c r="V809" s="209"/>
      <c r="W809" s="210"/>
      <c r="X809" s="390"/>
      <c r="Y809" s="195"/>
      <c r="Z809" s="195"/>
      <c r="AA809" s="195"/>
      <c r="AB809" s="195"/>
      <c r="AC809" s="8"/>
      <c r="AD809" s="8"/>
      <c r="AE809" s="8"/>
      <c r="AF809" s="8"/>
      <c r="AG809" s="202"/>
      <c r="AH809" s="202"/>
      <c r="AI809" s="202"/>
      <c r="AJ809" s="202"/>
      <c r="AK809" s="8"/>
      <c r="AL809" s="8"/>
      <c r="AM809" s="8"/>
      <c r="AN809" s="8"/>
      <c r="AO809" s="8"/>
      <c r="AP809" s="8"/>
      <c r="AQ809" s="8"/>
      <c r="AR809" s="8"/>
      <c r="AS809" s="8"/>
      <c r="AT809" s="8"/>
      <c r="AU809" s="8"/>
      <c r="AV809" s="8"/>
    </row>
    <row r="810">
      <c r="A810" s="209"/>
      <c r="B810" s="210"/>
      <c r="C810" s="390"/>
      <c r="D810" s="209"/>
      <c r="E810" s="210"/>
      <c r="F810" s="390"/>
      <c r="G810" s="209"/>
      <c r="H810" s="210"/>
      <c r="I810" s="390"/>
      <c r="J810" s="209"/>
      <c r="K810" s="210"/>
      <c r="L810" s="390"/>
      <c r="M810" s="209"/>
      <c r="N810" s="210"/>
      <c r="O810" s="390"/>
      <c r="P810" s="209"/>
      <c r="Q810" s="210"/>
      <c r="R810" s="390"/>
      <c r="S810" s="209"/>
      <c r="T810" s="210"/>
      <c r="U810" s="390"/>
      <c r="V810" s="209"/>
      <c r="W810" s="210"/>
      <c r="X810" s="390"/>
      <c r="Y810" s="195"/>
      <c r="Z810" s="195"/>
      <c r="AA810" s="195"/>
      <c r="AB810" s="195"/>
      <c r="AC810" s="8"/>
      <c r="AD810" s="8"/>
      <c r="AE810" s="8"/>
      <c r="AF810" s="8"/>
      <c r="AG810" s="202"/>
      <c r="AH810" s="202"/>
      <c r="AI810" s="202"/>
      <c r="AJ810" s="202"/>
      <c r="AK810" s="8"/>
      <c r="AL810" s="8"/>
      <c r="AM810" s="8"/>
      <c r="AN810" s="8"/>
      <c r="AO810" s="8"/>
      <c r="AP810" s="8"/>
      <c r="AQ810" s="8"/>
      <c r="AR810" s="8"/>
      <c r="AS810" s="8"/>
      <c r="AT810" s="8"/>
      <c r="AU810" s="8"/>
      <c r="AV810" s="8"/>
    </row>
    <row r="811">
      <c r="A811" s="209"/>
      <c r="B811" s="210"/>
      <c r="C811" s="390"/>
      <c r="D811" s="209"/>
      <c r="E811" s="210"/>
      <c r="F811" s="390"/>
      <c r="G811" s="209"/>
      <c r="H811" s="210"/>
      <c r="I811" s="390"/>
      <c r="J811" s="209"/>
      <c r="K811" s="210"/>
      <c r="L811" s="390"/>
      <c r="M811" s="209"/>
      <c r="N811" s="210"/>
      <c r="O811" s="390"/>
      <c r="P811" s="209"/>
      <c r="Q811" s="210"/>
      <c r="R811" s="390"/>
      <c r="S811" s="209"/>
      <c r="T811" s="210"/>
      <c r="U811" s="390"/>
      <c r="V811" s="209"/>
      <c r="W811" s="210"/>
      <c r="X811" s="390"/>
      <c r="Y811" s="195"/>
      <c r="Z811" s="195"/>
      <c r="AA811" s="195"/>
      <c r="AB811" s="195"/>
      <c r="AC811" s="8"/>
      <c r="AD811" s="8"/>
      <c r="AE811" s="8"/>
      <c r="AF811" s="8"/>
      <c r="AG811" s="202"/>
      <c r="AH811" s="202"/>
      <c r="AI811" s="202"/>
      <c r="AJ811" s="202"/>
      <c r="AK811" s="8"/>
      <c r="AL811" s="8"/>
      <c r="AM811" s="8"/>
      <c r="AN811" s="8"/>
      <c r="AO811" s="8"/>
      <c r="AP811" s="8"/>
      <c r="AQ811" s="8"/>
      <c r="AR811" s="8"/>
      <c r="AS811" s="8"/>
      <c r="AT811" s="8"/>
      <c r="AU811" s="8"/>
      <c r="AV811" s="8"/>
    </row>
    <row r="812">
      <c r="A812" s="209"/>
      <c r="B812" s="210"/>
      <c r="C812" s="390"/>
      <c r="D812" s="209"/>
      <c r="E812" s="210"/>
      <c r="F812" s="390"/>
      <c r="G812" s="209"/>
      <c r="H812" s="210"/>
      <c r="I812" s="390"/>
      <c r="J812" s="209"/>
      <c r="K812" s="210"/>
      <c r="L812" s="390"/>
      <c r="M812" s="209"/>
      <c r="N812" s="210"/>
      <c r="O812" s="390"/>
      <c r="P812" s="209"/>
      <c r="Q812" s="210"/>
      <c r="R812" s="390"/>
      <c r="S812" s="209"/>
      <c r="T812" s="210"/>
      <c r="U812" s="390"/>
      <c r="V812" s="209"/>
      <c r="W812" s="210"/>
      <c r="X812" s="390"/>
      <c r="Y812" s="195"/>
      <c r="Z812" s="195"/>
      <c r="AA812" s="195"/>
      <c r="AB812" s="195"/>
      <c r="AC812" s="8"/>
      <c r="AD812" s="8"/>
      <c r="AE812" s="8"/>
      <c r="AF812" s="8"/>
      <c r="AG812" s="202"/>
      <c r="AH812" s="202"/>
      <c r="AI812" s="202"/>
      <c r="AJ812" s="202"/>
      <c r="AK812" s="8"/>
      <c r="AL812" s="8"/>
      <c r="AM812" s="8"/>
      <c r="AN812" s="8"/>
      <c r="AO812" s="8"/>
      <c r="AP812" s="8"/>
      <c r="AQ812" s="8"/>
      <c r="AR812" s="8"/>
      <c r="AS812" s="8"/>
      <c r="AT812" s="8"/>
      <c r="AU812" s="8"/>
      <c r="AV812" s="8"/>
    </row>
    <row r="813">
      <c r="A813" s="209"/>
      <c r="B813" s="210"/>
      <c r="C813" s="390"/>
      <c r="D813" s="209"/>
      <c r="E813" s="210"/>
      <c r="F813" s="390"/>
      <c r="G813" s="209"/>
      <c r="H813" s="210"/>
      <c r="I813" s="390"/>
      <c r="J813" s="209"/>
      <c r="K813" s="210"/>
      <c r="L813" s="390"/>
      <c r="M813" s="209"/>
      <c r="N813" s="210"/>
      <c r="O813" s="390"/>
      <c r="P813" s="209"/>
      <c r="Q813" s="210"/>
      <c r="R813" s="390"/>
      <c r="S813" s="209"/>
      <c r="T813" s="210"/>
      <c r="U813" s="390"/>
      <c r="V813" s="209"/>
      <c r="W813" s="210"/>
      <c r="X813" s="390"/>
      <c r="Y813" s="195"/>
      <c r="Z813" s="195"/>
      <c r="AA813" s="195"/>
      <c r="AB813" s="195"/>
      <c r="AC813" s="8"/>
      <c r="AD813" s="8"/>
      <c r="AE813" s="8"/>
      <c r="AF813" s="8"/>
      <c r="AG813" s="202"/>
      <c r="AH813" s="202"/>
      <c r="AI813" s="202"/>
      <c r="AJ813" s="202"/>
      <c r="AK813" s="8"/>
      <c r="AL813" s="8"/>
      <c r="AM813" s="8"/>
      <c r="AN813" s="8"/>
      <c r="AO813" s="8"/>
      <c r="AP813" s="8"/>
      <c r="AQ813" s="8"/>
      <c r="AR813" s="8"/>
      <c r="AS813" s="8"/>
      <c r="AT813" s="8"/>
      <c r="AU813" s="8"/>
      <c r="AV813" s="8"/>
    </row>
    <row r="814">
      <c r="A814" s="209"/>
      <c r="B814" s="210"/>
      <c r="C814" s="390"/>
      <c r="D814" s="209"/>
      <c r="E814" s="210"/>
      <c r="F814" s="390"/>
      <c r="G814" s="209"/>
      <c r="H814" s="210"/>
      <c r="I814" s="390"/>
      <c r="J814" s="209"/>
      <c r="K814" s="210"/>
      <c r="L814" s="390"/>
      <c r="M814" s="209"/>
      <c r="N814" s="210"/>
      <c r="O814" s="390"/>
      <c r="P814" s="209"/>
      <c r="Q814" s="210"/>
      <c r="R814" s="390"/>
      <c r="S814" s="209"/>
      <c r="T814" s="210"/>
      <c r="U814" s="390"/>
      <c r="V814" s="209"/>
      <c r="W814" s="210"/>
      <c r="X814" s="390"/>
      <c r="Y814" s="195"/>
      <c r="Z814" s="195"/>
      <c r="AA814" s="195"/>
      <c r="AB814" s="195"/>
      <c r="AC814" s="8"/>
      <c r="AD814" s="8"/>
      <c r="AE814" s="8"/>
      <c r="AF814" s="8"/>
      <c r="AG814" s="202"/>
      <c r="AH814" s="202"/>
      <c r="AI814" s="202"/>
      <c r="AJ814" s="202"/>
      <c r="AK814" s="8"/>
      <c r="AL814" s="8"/>
      <c r="AM814" s="8"/>
      <c r="AN814" s="8"/>
      <c r="AO814" s="8"/>
      <c r="AP814" s="8"/>
      <c r="AQ814" s="8"/>
      <c r="AR814" s="8"/>
      <c r="AS814" s="8"/>
      <c r="AT814" s="8"/>
      <c r="AU814" s="8"/>
      <c r="AV814" s="8"/>
    </row>
    <row r="815">
      <c r="A815" s="209"/>
      <c r="B815" s="210"/>
      <c r="C815" s="390"/>
      <c r="D815" s="209"/>
      <c r="E815" s="210"/>
      <c r="F815" s="390"/>
      <c r="G815" s="209"/>
      <c r="H815" s="210"/>
      <c r="I815" s="390"/>
      <c r="J815" s="209"/>
      <c r="K815" s="210"/>
      <c r="L815" s="390"/>
      <c r="M815" s="209"/>
      <c r="N815" s="210"/>
      <c r="O815" s="390"/>
      <c r="P815" s="209"/>
      <c r="Q815" s="210"/>
      <c r="R815" s="390"/>
      <c r="S815" s="209"/>
      <c r="T815" s="210"/>
      <c r="U815" s="390"/>
      <c r="V815" s="209"/>
      <c r="W815" s="210"/>
      <c r="X815" s="390"/>
      <c r="Y815" s="195"/>
      <c r="Z815" s="195"/>
      <c r="AA815" s="195"/>
      <c r="AB815" s="195"/>
      <c r="AC815" s="8"/>
      <c r="AD815" s="8"/>
      <c r="AE815" s="8"/>
      <c r="AF815" s="8"/>
      <c r="AG815" s="202"/>
      <c r="AH815" s="202"/>
      <c r="AI815" s="202"/>
      <c r="AJ815" s="202"/>
      <c r="AK815" s="8"/>
      <c r="AL815" s="8"/>
      <c r="AM815" s="8"/>
      <c r="AN815" s="8"/>
      <c r="AO815" s="8"/>
      <c r="AP815" s="8"/>
      <c r="AQ815" s="8"/>
      <c r="AR815" s="8"/>
      <c r="AS815" s="8"/>
      <c r="AT815" s="8"/>
      <c r="AU815" s="8"/>
      <c r="AV815" s="8"/>
    </row>
    <row r="816">
      <c r="A816" s="209"/>
      <c r="B816" s="210"/>
      <c r="C816" s="390"/>
      <c r="D816" s="209"/>
      <c r="E816" s="210"/>
      <c r="F816" s="390"/>
      <c r="G816" s="209"/>
      <c r="H816" s="210"/>
      <c r="I816" s="390"/>
      <c r="J816" s="209"/>
      <c r="K816" s="210"/>
      <c r="L816" s="390"/>
      <c r="M816" s="209"/>
      <c r="N816" s="210"/>
      <c r="O816" s="390"/>
      <c r="P816" s="209"/>
      <c r="Q816" s="210"/>
      <c r="R816" s="390"/>
      <c r="S816" s="209"/>
      <c r="T816" s="210"/>
      <c r="U816" s="390"/>
      <c r="V816" s="209"/>
      <c r="W816" s="210"/>
      <c r="X816" s="390"/>
      <c r="Y816" s="195"/>
      <c r="Z816" s="195"/>
      <c r="AA816" s="195"/>
      <c r="AB816" s="195"/>
      <c r="AC816" s="8"/>
      <c r="AD816" s="8"/>
      <c r="AE816" s="8"/>
      <c r="AF816" s="8"/>
      <c r="AG816" s="202"/>
      <c r="AH816" s="202"/>
      <c r="AI816" s="202"/>
      <c r="AJ816" s="202"/>
      <c r="AK816" s="8"/>
      <c r="AL816" s="8"/>
      <c r="AM816" s="8"/>
      <c r="AN816" s="8"/>
      <c r="AO816" s="8"/>
      <c r="AP816" s="8"/>
      <c r="AQ816" s="8"/>
      <c r="AR816" s="8"/>
      <c r="AS816" s="8"/>
      <c r="AT816" s="8"/>
      <c r="AU816" s="8"/>
      <c r="AV816" s="8"/>
    </row>
    <row r="817">
      <c r="A817" s="209"/>
      <c r="B817" s="210"/>
      <c r="C817" s="390"/>
      <c r="D817" s="209"/>
      <c r="E817" s="210"/>
      <c r="F817" s="390"/>
      <c r="G817" s="209"/>
      <c r="H817" s="210"/>
      <c r="I817" s="390"/>
      <c r="J817" s="209"/>
      <c r="K817" s="210"/>
      <c r="L817" s="390"/>
      <c r="M817" s="209"/>
      <c r="N817" s="210"/>
      <c r="O817" s="390"/>
      <c r="P817" s="209"/>
      <c r="Q817" s="210"/>
      <c r="R817" s="390"/>
      <c r="S817" s="209"/>
      <c r="T817" s="210"/>
      <c r="U817" s="390"/>
      <c r="V817" s="209"/>
      <c r="W817" s="210"/>
      <c r="X817" s="390"/>
      <c r="Y817" s="195"/>
      <c r="Z817" s="195"/>
      <c r="AA817" s="195"/>
      <c r="AB817" s="195"/>
      <c r="AC817" s="8"/>
      <c r="AD817" s="8"/>
      <c r="AE817" s="8"/>
      <c r="AF817" s="8"/>
      <c r="AG817" s="202"/>
      <c r="AH817" s="202"/>
      <c r="AI817" s="202"/>
      <c r="AJ817" s="202"/>
      <c r="AK817" s="8"/>
      <c r="AL817" s="8"/>
      <c r="AM817" s="8"/>
      <c r="AN817" s="8"/>
      <c r="AO817" s="8"/>
      <c r="AP817" s="8"/>
      <c r="AQ817" s="8"/>
      <c r="AR817" s="8"/>
      <c r="AS817" s="8"/>
      <c r="AT817" s="8"/>
      <c r="AU817" s="8"/>
      <c r="AV817" s="8"/>
    </row>
    <row r="818">
      <c r="A818" s="209"/>
      <c r="B818" s="210"/>
      <c r="C818" s="390"/>
      <c r="D818" s="209"/>
      <c r="E818" s="210"/>
      <c r="F818" s="390"/>
      <c r="G818" s="209"/>
      <c r="H818" s="210"/>
      <c r="I818" s="390"/>
      <c r="J818" s="209"/>
      <c r="K818" s="210"/>
      <c r="L818" s="390"/>
      <c r="M818" s="209"/>
      <c r="N818" s="210"/>
      <c r="O818" s="390"/>
      <c r="P818" s="209"/>
      <c r="Q818" s="210"/>
      <c r="R818" s="390"/>
      <c r="S818" s="209"/>
      <c r="T818" s="210"/>
      <c r="U818" s="390"/>
      <c r="V818" s="209"/>
      <c r="W818" s="210"/>
      <c r="X818" s="390"/>
      <c r="Y818" s="195"/>
      <c r="Z818" s="195"/>
      <c r="AA818" s="195"/>
      <c r="AB818" s="195"/>
      <c r="AC818" s="8"/>
      <c r="AD818" s="8"/>
      <c r="AE818" s="8"/>
      <c r="AF818" s="8"/>
      <c r="AG818" s="202"/>
      <c r="AH818" s="202"/>
      <c r="AI818" s="202"/>
      <c r="AJ818" s="202"/>
      <c r="AK818" s="8"/>
      <c r="AL818" s="8"/>
      <c r="AM818" s="8"/>
      <c r="AN818" s="8"/>
      <c r="AO818" s="8"/>
      <c r="AP818" s="8"/>
      <c r="AQ818" s="8"/>
      <c r="AR818" s="8"/>
      <c r="AS818" s="8"/>
      <c r="AT818" s="8"/>
      <c r="AU818" s="8"/>
      <c r="AV818" s="8"/>
    </row>
    <row r="819">
      <c r="A819" s="209"/>
      <c r="B819" s="210"/>
      <c r="C819" s="390"/>
      <c r="D819" s="209"/>
      <c r="E819" s="210"/>
      <c r="F819" s="390"/>
      <c r="G819" s="209"/>
      <c r="H819" s="210"/>
      <c r="I819" s="390"/>
      <c r="J819" s="209"/>
      <c r="K819" s="210"/>
      <c r="L819" s="390"/>
      <c r="M819" s="209"/>
      <c r="N819" s="210"/>
      <c r="O819" s="390"/>
      <c r="P819" s="209"/>
      <c r="Q819" s="210"/>
      <c r="R819" s="390"/>
      <c r="S819" s="209"/>
      <c r="T819" s="210"/>
      <c r="U819" s="390"/>
      <c r="V819" s="209"/>
      <c r="W819" s="210"/>
      <c r="X819" s="390"/>
      <c r="Y819" s="195"/>
      <c r="Z819" s="195"/>
      <c r="AA819" s="195"/>
      <c r="AB819" s="195"/>
      <c r="AC819" s="8"/>
      <c r="AD819" s="8"/>
      <c r="AE819" s="8"/>
      <c r="AF819" s="8"/>
      <c r="AG819" s="202"/>
      <c r="AH819" s="202"/>
      <c r="AI819" s="202"/>
      <c r="AJ819" s="202"/>
      <c r="AK819" s="8"/>
      <c r="AL819" s="8"/>
      <c r="AM819" s="8"/>
      <c r="AN819" s="8"/>
      <c r="AO819" s="8"/>
      <c r="AP819" s="8"/>
      <c r="AQ819" s="8"/>
      <c r="AR819" s="8"/>
      <c r="AS819" s="8"/>
      <c r="AT819" s="8"/>
      <c r="AU819" s="8"/>
      <c r="AV819" s="8"/>
    </row>
    <row r="820">
      <c r="A820" s="209"/>
      <c r="B820" s="210"/>
      <c r="C820" s="390"/>
      <c r="D820" s="209"/>
      <c r="E820" s="210"/>
      <c r="F820" s="390"/>
      <c r="G820" s="209"/>
      <c r="H820" s="210"/>
      <c r="I820" s="390"/>
      <c r="J820" s="209"/>
      <c r="K820" s="210"/>
      <c r="L820" s="390"/>
      <c r="M820" s="209"/>
      <c r="N820" s="210"/>
      <c r="O820" s="390"/>
      <c r="P820" s="209"/>
      <c r="Q820" s="210"/>
      <c r="R820" s="390"/>
      <c r="S820" s="209"/>
      <c r="T820" s="210"/>
      <c r="U820" s="390"/>
      <c r="V820" s="209"/>
      <c r="W820" s="210"/>
      <c r="X820" s="390"/>
      <c r="Y820" s="195"/>
      <c r="Z820" s="195"/>
      <c r="AA820" s="195"/>
      <c r="AB820" s="195"/>
      <c r="AC820" s="8"/>
      <c r="AD820" s="8"/>
      <c r="AE820" s="8"/>
      <c r="AF820" s="8"/>
      <c r="AG820" s="202"/>
      <c r="AH820" s="202"/>
      <c r="AI820" s="202"/>
      <c r="AJ820" s="202"/>
      <c r="AK820" s="8"/>
      <c r="AL820" s="8"/>
      <c r="AM820" s="8"/>
      <c r="AN820" s="8"/>
      <c r="AO820" s="8"/>
      <c r="AP820" s="8"/>
      <c r="AQ820" s="8"/>
      <c r="AR820" s="8"/>
      <c r="AS820" s="8"/>
      <c r="AT820" s="8"/>
      <c r="AU820" s="8"/>
      <c r="AV820" s="8"/>
    </row>
    <row r="821">
      <c r="A821" s="209"/>
      <c r="B821" s="210"/>
      <c r="C821" s="390"/>
      <c r="D821" s="209"/>
      <c r="E821" s="210"/>
      <c r="F821" s="390"/>
      <c r="G821" s="209"/>
      <c r="H821" s="210"/>
      <c r="I821" s="390"/>
      <c r="J821" s="209"/>
      <c r="K821" s="210"/>
      <c r="L821" s="390"/>
      <c r="M821" s="209"/>
      <c r="N821" s="210"/>
      <c r="O821" s="390"/>
      <c r="P821" s="209"/>
      <c r="Q821" s="210"/>
      <c r="R821" s="390"/>
      <c r="S821" s="209"/>
      <c r="T821" s="210"/>
      <c r="U821" s="390"/>
      <c r="V821" s="209"/>
      <c r="W821" s="210"/>
      <c r="X821" s="390"/>
      <c r="Y821" s="195"/>
      <c r="Z821" s="195"/>
      <c r="AA821" s="195"/>
      <c r="AB821" s="195"/>
      <c r="AC821" s="8"/>
      <c r="AD821" s="8"/>
      <c r="AE821" s="8"/>
      <c r="AF821" s="8"/>
      <c r="AG821" s="202"/>
      <c r="AH821" s="202"/>
      <c r="AI821" s="202"/>
      <c r="AJ821" s="202"/>
      <c r="AK821" s="8"/>
      <c r="AL821" s="8"/>
      <c r="AM821" s="8"/>
      <c r="AN821" s="8"/>
      <c r="AO821" s="8"/>
      <c r="AP821" s="8"/>
      <c r="AQ821" s="8"/>
      <c r="AR821" s="8"/>
      <c r="AS821" s="8"/>
      <c r="AT821" s="8"/>
      <c r="AU821" s="8"/>
      <c r="AV821" s="8"/>
    </row>
    <row r="822">
      <c r="A822" s="209"/>
      <c r="B822" s="210"/>
      <c r="C822" s="390"/>
      <c r="D822" s="209"/>
      <c r="E822" s="210"/>
      <c r="F822" s="390"/>
      <c r="G822" s="209"/>
      <c r="H822" s="210"/>
      <c r="I822" s="390"/>
      <c r="J822" s="209"/>
      <c r="K822" s="210"/>
      <c r="L822" s="390"/>
      <c r="M822" s="209"/>
      <c r="N822" s="210"/>
      <c r="O822" s="390"/>
      <c r="P822" s="209"/>
      <c r="Q822" s="210"/>
      <c r="R822" s="390"/>
      <c r="S822" s="209"/>
      <c r="T822" s="210"/>
      <c r="U822" s="390"/>
      <c r="V822" s="209"/>
      <c r="W822" s="210"/>
      <c r="X822" s="390"/>
      <c r="Y822" s="195"/>
      <c r="Z822" s="195"/>
      <c r="AA822" s="195"/>
      <c r="AB822" s="195"/>
      <c r="AC822" s="8"/>
      <c r="AD822" s="8"/>
      <c r="AE822" s="8"/>
      <c r="AF822" s="8"/>
      <c r="AG822" s="202"/>
      <c r="AH822" s="202"/>
      <c r="AI822" s="202"/>
      <c r="AJ822" s="202"/>
      <c r="AK822" s="8"/>
      <c r="AL822" s="8"/>
      <c r="AM822" s="8"/>
      <c r="AN822" s="8"/>
      <c r="AO822" s="8"/>
      <c r="AP822" s="8"/>
      <c r="AQ822" s="8"/>
      <c r="AR822" s="8"/>
      <c r="AS822" s="8"/>
      <c r="AT822" s="8"/>
      <c r="AU822" s="8"/>
      <c r="AV822" s="8"/>
    </row>
    <row r="823">
      <c r="A823" s="209"/>
      <c r="B823" s="210"/>
      <c r="C823" s="390"/>
      <c r="D823" s="209"/>
      <c r="E823" s="210"/>
      <c r="F823" s="390"/>
      <c r="G823" s="209"/>
      <c r="H823" s="210"/>
      <c r="I823" s="390"/>
      <c r="J823" s="209"/>
      <c r="K823" s="210"/>
      <c r="L823" s="390"/>
      <c r="M823" s="209"/>
      <c r="N823" s="210"/>
      <c r="O823" s="390"/>
      <c r="P823" s="209"/>
      <c r="Q823" s="210"/>
      <c r="R823" s="390"/>
      <c r="S823" s="209"/>
      <c r="T823" s="210"/>
      <c r="U823" s="390"/>
      <c r="V823" s="209"/>
      <c r="W823" s="210"/>
      <c r="X823" s="390"/>
      <c r="Y823" s="195"/>
      <c r="Z823" s="195"/>
      <c r="AA823" s="195"/>
      <c r="AB823" s="195"/>
      <c r="AC823" s="8"/>
      <c r="AD823" s="8"/>
      <c r="AE823" s="8"/>
      <c r="AF823" s="8"/>
      <c r="AG823" s="202"/>
      <c r="AH823" s="202"/>
      <c r="AI823" s="202"/>
      <c r="AJ823" s="202"/>
      <c r="AK823" s="8"/>
      <c r="AL823" s="8"/>
      <c r="AM823" s="8"/>
      <c r="AN823" s="8"/>
      <c r="AO823" s="8"/>
      <c r="AP823" s="8"/>
      <c r="AQ823" s="8"/>
      <c r="AR823" s="8"/>
      <c r="AS823" s="8"/>
      <c r="AT823" s="8"/>
      <c r="AU823" s="8"/>
      <c r="AV823" s="8"/>
    </row>
    <row r="824">
      <c r="A824" s="209"/>
      <c r="B824" s="210"/>
      <c r="C824" s="390"/>
      <c r="D824" s="209"/>
      <c r="E824" s="210"/>
      <c r="F824" s="390"/>
      <c r="G824" s="209"/>
      <c r="H824" s="210"/>
      <c r="I824" s="390"/>
      <c r="J824" s="209"/>
      <c r="K824" s="210"/>
      <c r="L824" s="390"/>
      <c r="M824" s="209"/>
      <c r="N824" s="210"/>
      <c r="O824" s="390"/>
      <c r="P824" s="209"/>
      <c r="Q824" s="210"/>
      <c r="R824" s="390"/>
      <c r="S824" s="209"/>
      <c r="T824" s="210"/>
      <c r="U824" s="390"/>
      <c r="V824" s="209"/>
      <c r="W824" s="210"/>
      <c r="X824" s="390"/>
      <c r="Y824" s="195"/>
      <c r="Z824" s="195"/>
      <c r="AA824" s="195"/>
      <c r="AB824" s="195"/>
      <c r="AC824" s="8"/>
      <c r="AD824" s="8"/>
      <c r="AE824" s="8"/>
      <c r="AF824" s="8"/>
      <c r="AG824" s="202"/>
      <c r="AH824" s="202"/>
      <c r="AI824" s="202"/>
      <c r="AJ824" s="202"/>
      <c r="AK824" s="8"/>
      <c r="AL824" s="8"/>
      <c r="AM824" s="8"/>
      <c r="AN824" s="8"/>
      <c r="AO824" s="8"/>
      <c r="AP824" s="8"/>
      <c r="AQ824" s="8"/>
      <c r="AR824" s="8"/>
      <c r="AS824" s="8"/>
      <c r="AT824" s="8"/>
      <c r="AU824" s="8"/>
      <c r="AV824" s="8"/>
    </row>
    <row r="825">
      <c r="A825" s="209"/>
      <c r="B825" s="210"/>
      <c r="C825" s="390"/>
      <c r="D825" s="209"/>
      <c r="E825" s="210"/>
      <c r="F825" s="390"/>
      <c r="G825" s="209"/>
      <c r="H825" s="210"/>
      <c r="I825" s="390"/>
      <c r="J825" s="209"/>
      <c r="K825" s="210"/>
      <c r="L825" s="390"/>
      <c r="M825" s="209"/>
      <c r="N825" s="210"/>
      <c r="O825" s="390"/>
      <c r="P825" s="209"/>
      <c r="Q825" s="210"/>
      <c r="R825" s="390"/>
      <c r="S825" s="209"/>
      <c r="T825" s="210"/>
      <c r="U825" s="390"/>
      <c r="V825" s="209"/>
      <c r="W825" s="210"/>
      <c r="X825" s="390"/>
      <c r="Y825" s="195"/>
      <c r="Z825" s="195"/>
      <c r="AA825" s="195"/>
      <c r="AB825" s="195"/>
      <c r="AC825" s="8"/>
      <c r="AD825" s="8"/>
      <c r="AE825" s="8"/>
      <c r="AF825" s="8"/>
      <c r="AG825" s="202"/>
      <c r="AH825" s="202"/>
      <c r="AI825" s="202"/>
      <c r="AJ825" s="202"/>
      <c r="AK825" s="8"/>
      <c r="AL825" s="8"/>
      <c r="AM825" s="8"/>
      <c r="AN825" s="8"/>
      <c r="AO825" s="8"/>
      <c r="AP825" s="8"/>
      <c r="AQ825" s="8"/>
      <c r="AR825" s="8"/>
      <c r="AS825" s="8"/>
      <c r="AT825" s="8"/>
      <c r="AU825" s="8"/>
      <c r="AV825" s="8"/>
    </row>
    <row r="826">
      <c r="A826" s="209"/>
      <c r="B826" s="210"/>
      <c r="C826" s="390"/>
      <c r="D826" s="209"/>
      <c r="E826" s="210"/>
      <c r="F826" s="390"/>
      <c r="G826" s="209"/>
      <c r="H826" s="210"/>
      <c r="I826" s="390"/>
      <c r="J826" s="209"/>
      <c r="K826" s="210"/>
      <c r="L826" s="390"/>
      <c r="M826" s="209"/>
      <c r="N826" s="210"/>
      <c r="O826" s="390"/>
      <c r="P826" s="209"/>
      <c r="Q826" s="210"/>
      <c r="R826" s="390"/>
      <c r="S826" s="209"/>
      <c r="T826" s="210"/>
      <c r="U826" s="390"/>
      <c r="V826" s="209"/>
      <c r="W826" s="210"/>
      <c r="X826" s="390"/>
      <c r="Y826" s="195"/>
      <c r="Z826" s="195"/>
      <c r="AA826" s="195"/>
      <c r="AB826" s="195"/>
      <c r="AC826" s="8"/>
      <c r="AD826" s="8"/>
      <c r="AE826" s="8"/>
      <c r="AF826" s="8"/>
      <c r="AG826" s="202"/>
      <c r="AH826" s="202"/>
      <c r="AI826" s="202"/>
      <c r="AJ826" s="202"/>
      <c r="AK826" s="8"/>
      <c r="AL826" s="8"/>
      <c r="AM826" s="8"/>
      <c r="AN826" s="8"/>
      <c r="AO826" s="8"/>
      <c r="AP826" s="8"/>
      <c r="AQ826" s="8"/>
      <c r="AR826" s="8"/>
      <c r="AS826" s="8"/>
      <c r="AT826" s="8"/>
      <c r="AU826" s="8"/>
      <c r="AV826" s="8"/>
    </row>
    <row r="827">
      <c r="A827" s="209"/>
      <c r="B827" s="210"/>
      <c r="C827" s="390"/>
      <c r="D827" s="209"/>
      <c r="E827" s="210"/>
      <c r="F827" s="390"/>
      <c r="G827" s="209"/>
      <c r="H827" s="210"/>
      <c r="I827" s="390"/>
      <c r="J827" s="209"/>
      <c r="K827" s="210"/>
      <c r="L827" s="390"/>
      <c r="M827" s="209"/>
      <c r="N827" s="210"/>
      <c r="O827" s="390"/>
      <c r="P827" s="209"/>
      <c r="Q827" s="210"/>
      <c r="R827" s="390"/>
      <c r="S827" s="209"/>
      <c r="T827" s="210"/>
      <c r="U827" s="390"/>
      <c r="V827" s="209"/>
      <c r="W827" s="210"/>
      <c r="X827" s="390"/>
      <c r="Y827" s="195"/>
      <c r="Z827" s="195"/>
      <c r="AA827" s="195"/>
      <c r="AB827" s="195"/>
      <c r="AC827" s="8"/>
      <c r="AD827" s="8"/>
      <c r="AE827" s="8"/>
      <c r="AF827" s="8"/>
      <c r="AG827" s="202"/>
      <c r="AH827" s="202"/>
      <c r="AI827" s="202"/>
      <c r="AJ827" s="202"/>
      <c r="AK827" s="8"/>
      <c r="AL827" s="8"/>
      <c r="AM827" s="8"/>
      <c r="AN827" s="8"/>
      <c r="AO827" s="8"/>
      <c r="AP827" s="8"/>
      <c r="AQ827" s="8"/>
      <c r="AR827" s="8"/>
      <c r="AS827" s="8"/>
      <c r="AT827" s="8"/>
      <c r="AU827" s="8"/>
      <c r="AV827" s="8"/>
    </row>
    <row r="828">
      <c r="A828" s="209"/>
      <c r="B828" s="210"/>
      <c r="C828" s="390"/>
      <c r="D828" s="209"/>
      <c r="E828" s="210"/>
      <c r="F828" s="390"/>
      <c r="G828" s="209"/>
      <c r="H828" s="210"/>
      <c r="I828" s="390"/>
      <c r="J828" s="209"/>
      <c r="K828" s="210"/>
      <c r="L828" s="390"/>
      <c r="M828" s="209"/>
      <c r="N828" s="210"/>
      <c r="O828" s="390"/>
      <c r="P828" s="209"/>
      <c r="Q828" s="210"/>
      <c r="R828" s="390"/>
      <c r="S828" s="209"/>
      <c r="T828" s="210"/>
      <c r="U828" s="390"/>
      <c r="V828" s="209"/>
      <c r="W828" s="210"/>
      <c r="X828" s="390"/>
      <c r="Y828" s="195"/>
      <c r="Z828" s="195"/>
      <c r="AA828" s="195"/>
      <c r="AB828" s="195"/>
      <c r="AC828" s="8"/>
      <c r="AD828" s="8"/>
      <c r="AE828" s="8"/>
      <c r="AF828" s="8"/>
      <c r="AG828" s="202"/>
      <c r="AH828" s="202"/>
      <c r="AI828" s="202"/>
      <c r="AJ828" s="202"/>
      <c r="AK828" s="8"/>
      <c r="AL828" s="8"/>
      <c r="AM828" s="8"/>
      <c r="AN828" s="8"/>
      <c r="AO828" s="8"/>
      <c r="AP828" s="8"/>
      <c r="AQ828" s="8"/>
      <c r="AR828" s="8"/>
      <c r="AS828" s="8"/>
      <c r="AT828" s="8"/>
      <c r="AU828" s="8"/>
      <c r="AV828" s="8"/>
    </row>
    <row r="829">
      <c r="A829" s="209"/>
      <c r="B829" s="210"/>
      <c r="C829" s="390"/>
      <c r="D829" s="209"/>
      <c r="E829" s="210"/>
      <c r="F829" s="390"/>
      <c r="G829" s="209"/>
      <c r="H829" s="210"/>
      <c r="I829" s="390"/>
      <c r="J829" s="209"/>
      <c r="K829" s="210"/>
      <c r="L829" s="390"/>
      <c r="M829" s="209"/>
      <c r="N829" s="210"/>
      <c r="O829" s="390"/>
      <c r="P829" s="209"/>
      <c r="Q829" s="210"/>
      <c r="R829" s="390"/>
      <c r="S829" s="209"/>
      <c r="T829" s="210"/>
      <c r="U829" s="390"/>
      <c r="V829" s="209"/>
      <c r="W829" s="210"/>
      <c r="X829" s="390"/>
      <c r="Y829" s="195"/>
      <c r="Z829" s="195"/>
      <c r="AA829" s="195"/>
      <c r="AB829" s="195"/>
      <c r="AC829" s="8"/>
      <c r="AD829" s="8"/>
      <c r="AE829" s="8"/>
      <c r="AF829" s="8"/>
      <c r="AG829" s="202"/>
      <c r="AH829" s="202"/>
      <c r="AI829" s="202"/>
      <c r="AJ829" s="202"/>
      <c r="AK829" s="8"/>
      <c r="AL829" s="8"/>
      <c r="AM829" s="8"/>
      <c r="AN829" s="8"/>
      <c r="AO829" s="8"/>
      <c r="AP829" s="8"/>
      <c r="AQ829" s="8"/>
      <c r="AR829" s="8"/>
      <c r="AS829" s="8"/>
      <c r="AT829" s="8"/>
      <c r="AU829" s="8"/>
      <c r="AV829" s="8"/>
    </row>
    <row r="830">
      <c r="A830" s="209"/>
      <c r="B830" s="210"/>
      <c r="C830" s="390"/>
      <c r="D830" s="209"/>
      <c r="E830" s="210"/>
      <c r="F830" s="390"/>
      <c r="G830" s="209"/>
      <c r="H830" s="210"/>
      <c r="I830" s="390"/>
      <c r="J830" s="209"/>
      <c r="K830" s="210"/>
      <c r="L830" s="390"/>
      <c r="M830" s="209"/>
      <c r="N830" s="210"/>
      <c r="O830" s="390"/>
      <c r="P830" s="209"/>
      <c r="Q830" s="210"/>
      <c r="R830" s="390"/>
      <c r="S830" s="209"/>
      <c r="T830" s="210"/>
      <c r="U830" s="390"/>
      <c r="V830" s="209"/>
      <c r="W830" s="210"/>
      <c r="X830" s="390"/>
      <c r="Y830" s="195"/>
      <c r="Z830" s="195"/>
      <c r="AA830" s="195"/>
      <c r="AB830" s="195"/>
      <c r="AC830" s="8"/>
      <c r="AD830" s="8"/>
      <c r="AE830" s="8"/>
      <c r="AF830" s="8"/>
      <c r="AG830" s="202"/>
      <c r="AH830" s="202"/>
      <c r="AI830" s="202"/>
      <c r="AJ830" s="202"/>
      <c r="AK830" s="8"/>
      <c r="AL830" s="8"/>
      <c r="AM830" s="8"/>
      <c r="AN830" s="8"/>
      <c r="AO830" s="8"/>
      <c r="AP830" s="8"/>
      <c r="AQ830" s="8"/>
      <c r="AR830" s="8"/>
      <c r="AS830" s="8"/>
      <c r="AT830" s="8"/>
      <c r="AU830" s="8"/>
      <c r="AV830" s="8"/>
    </row>
    <row r="831">
      <c r="A831" s="209"/>
      <c r="B831" s="210"/>
      <c r="C831" s="390"/>
      <c r="D831" s="209"/>
      <c r="E831" s="210"/>
      <c r="F831" s="390"/>
      <c r="G831" s="209"/>
      <c r="H831" s="210"/>
      <c r="I831" s="390"/>
      <c r="J831" s="209"/>
      <c r="K831" s="210"/>
      <c r="L831" s="390"/>
      <c r="M831" s="209"/>
      <c r="N831" s="210"/>
      <c r="O831" s="390"/>
      <c r="P831" s="209"/>
      <c r="Q831" s="210"/>
      <c r="R831" s="390"/>
      <c r="S831" s="209"/>
      <c r="T831" s="210"/>
      <c r="U831" s="390"/>
      <c r="V831" s="209"/>
      <c r="W831" s="210"/>
      <c r="X831" s="390"/>
      <c r="Y831" s="195"/>
      <c r="Z831" s="195"/>
      <c r="AA831" s="195"/>
      <c r="AB831" s="195"/>
      <c r="AC831" s="8"/>
      <c r="AD831" s="8"/>
      <c r="AE831" s="8"/>
      <c r="AF831" s="8"/>
      <c r="AG831" s="202"/>
      <c r="AH831" s="202"/>
      <c r="AI831" s="202"/>
      <c r="AJ831" s="202"/>
      <c r="AK831" s="8"/>
      <c r="AL831" s="8"/>
      <c r="AM831" s="8"/>
      <c r="AN831" s="8"/>
      <c r="AO831" s="8"/>
      <c r="AP831" s="8"/>
      <c r="AQ831" s="8"/>
      <c r="AR831" s="8"/>
      <c r="AS831" s="8"/>
      <c r="AT831" s="8"/>
      <c r="AU831" s="8"/>
      <c r="AV831" s="8"/>
    </row>
    <row r="832">
      <c r="A832" s="209"/>
      <c r="B832" s="210"/>
      <c r="C832" s="390"/>
      <c r="D832" s="209"/>
      <c r="E832" s="210"/>
      <c r="F832" s="390"/>
      <c r="G832" s="209"/>
      <c r="H832" s="210"/>
      <c r="I832" s="390"/>
      <c r="J832" s="209"/>
      <c r="K832" s="210"/>
      <c r="L832" s="390"/>
      <c r="M832" s="209"/>
      <c r="N832" s="210"/>
      <c r="O832" s="390"/>
      <c r="P832" s="209"/>
      <c r="Q832" s="210"/>
      <c r="R832" s="390"/>
      <c r="S832" s="209"/>
      <c r="T832" s="210"/>
      <c r="U832" s="390"/>
      <c r="V832" s="209"/>
      <c r="W832" s="210"/>
      <c r="X832" s="390"/>
      <c r="Y832" s="195"/>
      <c r="Z832" s="195"/>
      <c r="AA832" s="195"/>
      <c r="AB832" s="195"/>
      <c r="AC832" s="8"/>
      <c r="AD832" s="8"/>
      <c r="AE832" s="8"/>
      <c r="AF832" s="8"/>
      <c r="AG832" s="202"/>
      <c r="AH832" s="202"/>
      <c r="AI832" s="202"/>
      <c r="AJ832" s="202"/>
      <c r="AK832" s="8"/>
      <c r="AL832" s="8"/>
      <c r="AM832" s="8"/>
      <c r="AN832" s="8"/>
      <c r="AO832" s="8"/>
      <c r="AP832" s="8"/>
      <c r="AQ832" s="8"/>
      <c r="AR832" s="8"/>
      <c r="AS832" s="8"/>
      <c r="AT832" s="8"/>
      <c r="AU832" s="8"/>
      <c r="AV832" s="8"/>
    </row>
    <row r="833">
      <c r="A833" s="209"/>
      <c r="B833" s="210"/>
      <c r="C833" s="390"/>
      <c r="D833" s="209"/>
      <c r="E833" s="210"/>
      <c r="F833" s="390"/>
      <c r="G833" s="209"/>
      <c r="H833" s="210"/>
      <c r="I833" s="390"/>
      <c r="J833" s="209"/>
      <c r="K833" s="210"/>
      <c r="L833" s="390"/>
      <c r="M833" s="209"/>
      <c r="N833" s="210"/>
      <c r="O833" s="390"/>
      <c r="P833" s="209"/>
      <c r="Q833" s="210"/>
      <c r="R833" s="390"/>
      <c r="S833" s="209"/>
      <c r="T833" s="210"/>
      <c r="U833" s="390"/>
      <c r="V833" s="209"/>
      <c r="W833" s="210"/>
      <c r="X833" s="390"/>
      <c r="Y833" s="195"/>
      <c r="Z833" s="195"/>
      <c r="AA833" s="195"/>
      <c r="AB833" s="195"/>
      <c r="AC833" s="8"/>
      <c r="AD833" s="8"/>
      <c r="AE833" s="8"/>
      <c r="AF833" s="8"/>
      <c r="AG833" s="202"/>
      <c r="AH833" s="202"/>
      <c r="AI833" s="202"/>
      <c r="AJ833" s="202"/>
      <c r="AK833" s="8"/>
      <c r="AL833" s="8"/>
      <c r="AM833" s="8"/>
      <c r="AN833" s="8"/>
      <c r="AO833" s="8"/>
      <c r="AP833" s="8"/>
      <c r="AQ833" s="8"/>
      <c r="AR833" s="8"/>
      <c r="AS833" s="8"/>
      <c r="AT833" s="8"/>
      <c r="AU833" s="8"/>
      <c r="AV833" s="8"/>
    </row>
    <row r="834">
      <c r="A834" s="209"/>
      <c r="B834" s="210"/>
      <c r="C834" s="390"/>
      <c r="D834" s="209"/>
      <c r="E834" s="210"/>
      <c r="F834" s="390"/>
      <c r="G834" s="209"/>
      <c r="H834" s="210"/>
      <c r="I834" s="390"/>
      <c r="J834" s="209"/>
      <c r="K834" s="210"/>
      <c r="L834" s="390"/>
      <c r="M834" s="209"/>
      <c r="N834" s="210"/>
      <c r="O834" s="390"/>
      <c r="P834" s="209"/>
      <c r="Q834" s="210"/>
      <c r="R834" s="390"/>
      <c r="S834" s="209"/>
      <c r="T834" s="210"/>
      <c r="U834" s="390"/>
      <c r="V834" s="209"/>
      <c r="W834" s="210"/>
      <c r="X834" s="390"/>
      <c r="Y834" s="195"/>
      <c r="Z834" s="195"/>
      <c r="AA834" s="195"/>
      <c r="AB834" s="195"/>
      <c r="AC834" s="8"/>
      <c r="AD834" s="8"/>
      <c r="AE834" s="8"/>
      <c r="AF834" s="8"/>
      <c r="AG834" s="202"/>
      <c r="AH834" s="202"/>
      <c r="AI834" s="202"/>
      <c r="AJ834" s="202"/>
      <c r="AK834" s="8"/>
      <c r="AL834" s="8"/>
      <c r="AM834" s="8"/>
      <c r="AN834" s="8"/>
      <c r="AO834" s="8"/>
      <c r="AP834" s="8"/>
      <c r="AQ834" s="8"/>
      <c r="AR834" s="8"/>
      <c r="AS834" s="8"/>
      <c r="AT834" s="8"/>
      <c r="AU834" s="8"/>
      <c r="AV834" s="8"/>
    </row>
    <row r="835">
      <c r="A835" s="209"/>
      <c r="B835" s="210"/>
      <c r="C835" s="390"/>
      <c r="D835" s="209"/>
      <c r="E835" s="210"/>
      <c r="F835" s="390"/>
      <c r="G835" s="209"/>
      <c r="H835" s="210"/>
      <c r="I835" s="390"/>
      <c r="J835" s="209"/>
      <c r="K835" s="210"/>
      <c r="L835" s="390"/>
      <c r="M835" s="209"/>
      <c r="N835" s="210"/>
      <c r="O835" s="390"/>
      <c r="P835" s="209"/>
      <c r="Q835" s="210"/>
      <c r="R835" s="390"/>
      <c r="S835" s="209"/>
      <c r="T835" s="210"/>
      <c r="U835" s="390"/>
      <c r="V835" s="209"/>
      <c r="W835" s="210"/>
      <c r="X835" s="390"/>
      <c r="Y835" s="195"/>
      <c r="Z835" s="195"/>
      <c r="AA835" s="195"/>
      <c r="AB835" s="195"/>
      <c r="AC835" s="8"/>
      <c r="AD835" s="8"/>
      <c r="AE835" s="8"/>
      <c r="AF835" s="8"/>
      <c r="AG835" s="202"/>
      <c r="AH835" s="202"/>
      <c r="AI835" s="202"/>
      <c r="AJ835" s="202"/>
      <c r="AK835" s="8"/>
      <c r="AL835" s="8"/>
      <c r="AM835" s="8"/>
      <c r="AN835" s="8"/>
      <c r="AO835" s="8"/>
      <c r="AP835" s="8"/>
      <c r="AQ835" s="8"/>
      <c r="AR835" s="8"/>
      <c r="AS835" s="8"/>
      <c r="AT835" s="8"/>
      <c r="AU835" s="8"/>
      <c r="AV835" s="8"/>
    </row>
    <row r="836">
      <c r="A836" s="209"/>
      <c r="B836" s="210"/>
      <c r="C836" s="390"/>
      <c r="D836" s="209"/>
      <c r="E836" s="210"/>
      <c r="F836" s="390"/>
      <c r="G836" s="209"/>
      <c r="H836" s="210"/>
      <c r="I836" s="390"/>
      <c r="J836" s="209"/>
      <c r="K836" s="210"/>
      <c r="L836" s="390"/>
      <c r="M836" s="209"/>
      <c r="N836" s="210"/>
      <c r="O836" s="390"/>
      <c r="P836" s="209"/>
      <c r="Q836" s="210"/>
      <c r="R836" s="390"/>
      <c r="S836" s="209"/>
      <c r="T836" s="210"/>
      <c r="U836" s="390"/>
      <c r="V836" s="209"/>
      <c r="W836" s="210"/>
      <c r="X836" s="390"/>
      <c r="Y836" s="195"/>
      <c r="Z836" s="195"/>
      <c r="AA836" s="195"/>
      <c r="AB836" s="195"/>
      <c r="AC836" s="8"/>
      <c r="AD836" s="8"/>
      <c r="AE836" s="8"/>
      <c r="AF836" s="8"/>
      <c r="AG836" s="202"/>
      <c r="AH836" s="202"/>
      <c r="AI836" s="202"/>
      <c r="AJ836" s="202"/>
      <c r="AK836" s="8"/>
      <c r="AL836" s="8"/>
      <c r="AM836" s="8"/>
      <c r="AN836" s="8"/>
      <c r="AO836" s="8"/>
      <c r="AP836" s="8"/>
      <c r="AQ836" s="8"/>
      <c r="AR836" s="8"/>
      <c r="AS836" s="8"/>
      <c r="AT836" s="8"/>
      <c r="AU836" s="8"/>
      <c r="AV836" s="8"/>
    </row>
    <row r="837">
      <c r="A837" s="209"/>
      <c r="B837" s="210"/>
      <c r="C837" s="390"/>
      <c r="D837" s="209"/>
      <c r="E837" s="210"/>
      <c r="F837" s="390"/>
      <c r="G837" s="209"/>
      <c r="H837" s="210"/>
      <c r="I837" s="390"/>
      <c r="J837" s="209"/>
      <c r="K837" s="210"/>
      <c r="L837" s="390"/>
      <c r="M837" s="209"/>
      <c r="N837" s="210"/>
      <c r="O837" s="390"/>
      <c r="P837" s="209"/>
      <c r="Q837" s="210"/>
      <c r="R837" s="390"/>
      <c r="S837" s="209"/>
      <c r="T837" s="210"/>
      <c r="U837" s="390"/>
      <c r="V837" s="209"/>
      <c r="W837" s="210"/>
      <c r="X837" s="390"/>
      <c r="Y837" s="195"/>
      <c r="Z837" s="195"/>
      <c r="AA837" s="195"/>
      <c r="AB837" s="195"/>
      <c r="AC837" s="8"/>
      <c r="AD837" s="8"/>
      <c r="AE837" s="8"/>
      <c r="AF837" s="8"/>
      <c r="AG837" s="202"/>
      <c r="AH837" s="202"/>
      <c r="AI837" s="202"/>
      <c r="AJ837" s="202"/>
      <c r="AK837" s="8"/>
      <c r="AL837" s="8"/>
      <c r="AM837" s="8"/>
      <c r="AN837" s="8"/>
      <c r="AO837" s="8"/>
      <c r="AP837" s="8"/>
      <c r="AQ837" s="8"/>
      <c r="AR837" s="8"/>
      <c r="AS837" s="8"/>
      <c r="AT837" s="8"/>
      <c r="AU837" s="8"/>
      <c r="AV837" s="8"/>
    </row>
    <row r="838">
      <c r="A838" s="209"/>
      <c r="B838" s="210"/>
      <c r="C838" s="390"/>
      <c r="D838" s="209"/>
      <c r="E838" s="210"/>
      <c r="F838" s="390"/>
      <c r="G838" s="209"/>
      <c r="H838" s="210"/>
      <c r="I838" s="390"/>
      <c r="J838" s="209"/>
      <c r="K838" s="210"/>
      <c r="L838" s="390"/>
      <c r="M838" s="209"/>
      <c r="N838" s="210"/>
      <c r="O838" s="390"/>
      <c r="P838" s="209"/>
      <c r="Q838" s="210"/>
      <c r="R838" s="390"/>
      <c r="S838" s="209"/>
      <c r="T838" s="210"/>
      <c r="U838" s="390"/>
      <c r="V838" s="209"/>
      <c r="W838" s="210"/>
      <c r="X838" s="390"/>
      <c r="Y838" s="195"/>
      <c r="Z838" s="195"/>
      <c r="AA838" s="195"/>
      <c r="AB838" s="195"/>
      <c r="AC838" s="8"/>
      <c r="AD838" s="8"/>
      <c r="AE838" s="8"/>
      <c r="AF838" s="8"/>
      <c r="AG838" s="202"/>
      <c r="AH838" s="202"/>
      <c r="AI838" s="202"/>
      <c r="AJ838" s="202"/>
      <c r="AK838" s="8"/>
      <c r="AL838" s="8"/>
      <c r="AM838" s="8"/>
      <c r="AN838" s="8"/>
      <c r="AO838" s="8"/>
      <c r="AP838" s="8"/>
      <c r="AQ838" s="8"/>
      <c r="AR838" s="8"/>
      <c r="AS838" s="8"/>
      <c r="AT838" s="8"/>
      <c r="AU838" s="8"/>
      <c r="AV838" s="8"/>
    </row>
    <row r="839">
      <c r="A839" s="209"/>
      <c r="B839" s="210"/>
      <c r="C839" s="390"/>
      <c r="D839" s="209"/>
      <c r="E839" s="210"/>
      <c r="F839" s="390"/>
      <c r="G839" s="209"/>
      <c r="H839" s="210"/>
      <c r="I839" s="390"/>
      <c r="J839" s="209"/>
      <c r="K839" s="210"/>
      <c r="L839" s="390"/>
      <c r="M839" s="209"/>
      <c r="N839" s="210"/>
      <c r="O839" s="390"/>
      <c r="P839" s="209"/>
      <c r="Q839" s="210"/>
      <c r="R839" s="390"/>
      <c r="S839" s="209"/>
      <c r="T839" s="210"/>
      <c r="U839" s="390"/>
      <c r="V839" s="209"/>
      <c r="W839" s="210"/>
      <c r="X839" s="390"/>
      <c r="Y839" s="195"/>
      <c r="Z839" s="195"/>
      <c r="AA839" s="195"/>
      <c r="AB839" s="195"/>
      <c r="AC839" s="8"/>
      <c r="AD839" s="8"/>
      <c r="AE839" s="8"/>
      <c r="AF839" s="8"/>
      <c r="AG839" s="202"/>
      <c r="AH839" s="202"/>
      <c r="AI839" s="202"/>
      <c r="AJ839" s="202"/>
      <c r="AK839" s="8"/>
      <c r="AL839" s="8"/>
      <c r="AM839" s="8"/>
      <c r="AN839" s="8"/>
      <c r="AO839" s="8"/>
      <c r="AP839" s="8"/>
      <c r="AQ839" s="8"/>
      <c r="AR839" s="8"/>
      <c r="AS839" s="8"/>
      <c r="AT839" s="8"/>
      <c r="AU839" s="8"/>
      <c r="AV839" s="8"/>
    </row>
    <row r="840">
      <c r="A840" s="209"/>
      <c r="B840" s="210"/>
      <c r="C840" s="390"/>
      <c r="D840" s="209"/>
      <c r="E840" s="210"/>
      <c r="F840" s="390"/>
      <c r="G840" s="209"/>
      <c r="H840" s="210"/>
      <c r="I840" s="390"/>
      <c r="J840" s="209"/>
      <c r="K840" s="210"/>
      <c r="L840" s="390"/>
      <c r="M840" s="209"/>
      <c r="N840" s="210"/>
      <c r="O840" s="390"/>
      <c r="P840" s="209"/>
      <c r="Q840" s="210"/>
      <c r="R840" s="390"/>
      <c r="S840" s="209"/>
      <c r="T840" s="210"/>
      <c r="U840" s="390"/>
      <c r="V840" s="209"/>
      <c r="W840" s="210"/>
      <c r="X840" s="390"/>
      <c r="Y840" s="195"/>
      <c r="Z840" s="195"/>
      <c r="AA840" s="195"/>
      <c r="AB840" s="195"/>
      <c r="AC840" s="8"/>
      <c r="AD840" s="8"/>
      <c r="AE840" s="8"/>
      <c r="AF840" s="8"/>
      <c r="AG840" s="202"/>
      <c r="AH840" s="202"/>
      <c r="AI840" s="202"/>
      <c r="AJ840" s="202"/>
      <c r="AK840" s="8"/>
      <c r="AL840" s="8"/>
      <c r="AM840" s="8"/>
      <c r="AN840" s="8"/>
      <c r="AO840" s="8"/>
      <c r="AP840" s="8"/>
      <c r="AQ840" s="8"/>
      <c r="AR840" s="8"/>
      <c r="AS840" s="8"/>
      <c r="AT840" s="8"/>
      <c r="AU840" s="8"/>
      <c r="AV840" s="8"/>
    </row>
    <row r="841">
      <c r="A841" s="209"/>
      <c r="B841" s="210"/>
      <c r="C841" s="390"/>
      <c r="D841" s="209"/>
      <c r="E841" s="210"/>
      <c r="F841" s="390"/>
      <c r="G841" s="209"/>
      <c r="H841" s="210"/>
      <c r="I841" s="390"/>
      <c r="J841" s="209"/>
      <c r="K841" s="210"/>
      <c r="L841" s="390"/>
      <c r="M841" s="209"/>
      <c r="N841" s="210"/>
      <c r="O841" s="390"/>
      <c r="P841" s="209"/>
      <c r="Q841" s="210"/>
      <c r="R841" s="390"/>
      <c r="S841" s="209"/>
      <c r="T841" s="210"/>
      <c r="U841" s="390"/>
      <c r="V841" s="209"/>
      <c r="W841" s="210"/>
      <c r="X841" s="390"/>
      <c r="Y841" s="195"/>
      <c r="Z841" s="195"/>
      <c r="AA841" s="195"/>
      <c r="AB841" s="195"/>
      <c r="AC841" s="8"/>
      <c r="AD841" s="8"/>
      <c r="AE841" s="8"/>
      <c r="AF841" s="8"/>
      <c r="AG841" s="202"/>
      <c r="AH841" s="202"/>
      <c r="AI841" s="202"/>
      <c r="AJ841" s="202"/>
      <c r="AK841" s="8"/>
      <c r="AL841" s="8"/>
      <c r="AM841" s="8"/>
      <c r="AN841" s="8"/>
      <c r="AO841" s="8"/>
      <c r="AP841" s="8"/>
      <c r="AQ841" s="8"/>
      <c r="AR841" s="8"/>
      <c r="AS841" s="8"/>
      <c r="AT841" s="8"/>
      <c r="AU841" s="8"/>
      <c r="AV841" s="8"/>
    </row>
    <row r="842">
      <c r="A842" s="209"/>
      <c r="B842" s="210"/>
      <c r="C842" s="390"/>
      <c r="D842" s="209"/>
      <c r="E842" s="210"/>
      <c r="F842" s="390"/>
      <c r="G842" s="209"/>
      <c r="H842" s="210"/>
      <c r="I842" s="390"/>
      <c r="J842" s="209"/>
      <c r="K842" s="210"/>
      <c r="L842" s="390"/>
      <c r="M842" s="209"/>
      <c r="N842" s="210"/>
      <c r="O842" s="390"/>
      <c r="P842" s="209"/>
      <c r="Q842" s="210"/>
      <c r="R842" s="390"/>
      <c r="S842" s="209"/>
      <c r="T842" s="210"/>
      <c r="U842" s="390"/>
      <c r="V842" s="209"/>
      <c r="W842" s="210"/>
      <c r="X842" s="390"/>
      <c r="Y842" s="195"/>
      <c r="Z842" s="195"/>
      <c r="AA842" s="195"/>
      <c r="AB842" s="195"/>
      <c r="AC842" s="8"/>
      <c r="AD842" s="8"/>
      <c r="AE842" s="8"/>
      <c r="AF842" s="8"/>
      <c r="AG842" s="202"/>
      <c r="AH842" s="202"/>
      <c r="AI842" s="202"/>
      <c r="AJ842" s="202"/>
      <c r="AK842" s="8"/>
      <c r="AL842" s="8"/>
      <c r="AM842" s="8"/>
      <c r="AN842" s="8"/>
      <c r="AO842" s="8"/>
      <c r="AP842" s="8"/>
      <c r="AQ842" s="8"/>
      <c r="AR842" s="8"/>
      <c r="AS842" s="8"/>
      <c r="AT842" s="8"/>
      <c r="AU842" s="8"/>
      <c r="AV842" s="8"/>
    </row>
    <row r="843">
      <c r="A843" s="209"/>
      <c r="B843" s="210"/>
      <c r="C843" s="390"/>
      <c r="D843" s="209"/>
      <c r="E843" s="210"/>
      <c r="F843" s="390"/>
      <c r="G843" s="209"/>
      <c r="H843" s="210"/>
      <c r="I843" s="390"/>
      <c r="J843" s="209"/>
      <c r="K843" s="210"/>
      <c r="L843" s="390"/>
      <c r="M843" s="209"/>
      <c r="N843" s="210"/>
      <c r="O843" s="390"/>
      <c r="P843" s="209"/>
      <c r="Q843" s="210"/>
      <c r="R843" s="390"/>
      <c r="S843" s="209"/>
      <c r="T843" s="210"/>
      <c r="U843" s="390"/>
      <c r="V843" s="209"/>
      <c r="W843" s="210"/>
      <c r="X843" s="390"/>
      <c r="Y843" s="195"/>
      <c r="Z843" s="195"/>
      <c r="AA843" s="195"/>
      <c r="AB843" s="195"/>
      <c r="AC843" s="8"/>
      <c r="AD843" s="8"/>
      <c r="AE843" s="8"/>
      <c r="AF843" s="8"/>
      <c r="AG843" s="202"/>
      <c r="AH843" s="202"/>
      <c r="AI843" s="202"/>
      <c r="AJ843" s="202"/>
      <c r="AK843" s="8"/>
      <c r="AL843" s="8"/>
      <c r="AM843" s="8"/>
      <c r="AN843" s="8"/>
      <c r="AO843" s="8"/>
      <c r="AP843" s="8"/>
      <c r="AQ843" s="8"/>
      <c r="AR843" s="8"/>
      <c r="AS843" s="8"/>
      <c r="AT843" s="8"/>
      <c r="AU843" s="8"/>
      <c r="AV843" s="8"/>
    </row>
    <row r="844">
      <c r="A844" s="209"/>
      <c r="B844" s="210"/>
      <c r="C844" s="390"/>
      <c r="D844" s="209"/>
      <c r="E844" s="210"/>
      <c r="F844" s="390"/>
      <c r="G844" s="209"/>
      <c r="H844" s="210"/>
      <c r="I844" s="390"/>
      <c r="J844" s="209"/>
      <c r="K844" s="210"/>
      <c r="L844" s="390"/>
      <c r="M844" s="209"/>
      <c r="N844" s="210"/>
      <c r="O844" s="390"/>
      <c r="P844" s="209"/>
      <c r="Q844" s="210"/>
      <c r="R844" s="390"/>
      <c r="S844" s="209"/>
      <c r="T844" s="210"/>
      <c r="U844" s="390"/>
      <c r="V844" s="209"/>
      <c r="W844" s="210"/>
      <c r="X844" s="390"/>
      <c r="Y844" s="195"/>
      <c r="Z844" s="195"/>
      <c r="AA844" s="195"/>
      <c r="AB844" s="195"/>
      <c r="AC844" s="8"/>
      <c r="AD844" s="8"/>
      <c r="AE844" s="8"/>
      <c r="AF844" s="8"/>
      <c r="AG844" s="202"/>
      <c r="AH844" s="202"/>
      <c r="AI844" s="202"/>
      <c r="AJ844" s="202"/>
      <c r="AK844" s="8"/>
      <c r="AL844" s="8"/>
      <c r="AM844" s="8"/>
      <c r="AN844" s="8"/>
      <c r="AO844" s="8"/>
      <c r="AP844" s="8"/>
      <c r="AQ844" s="8"/>
      <c r="AR844" s="8"/>
      <c r="AS844" s="8"/>
      <c r="AT844" s="8"/>
      <c r="AU844" s="8"/>
      <c r="AV844" s="8"/>
    </row>
    <row r="845">
      <c r="A845" s="209"/>
      <c r="B845" s="210"/>
      <c r="C845" s="390"/>
      <c r="D845" s="209"/>
      <c r="E845" s="210"/>
      <c r="F845" s="390"/>
      <c r="G845" s="209"/>
      <c r="H845" s="210"/>
      <c r="I845" s="390"/>
      <c r="J845" s="209"/>
      <c r="K845" s="210"/>
      <c r="L845" s="390"/>
      <c r="M845" s="209"/>
      <c r="N845" s="210"/>
      <c r="O845" s="390"/>
      <c r="P845" s="209"/>
      <c r="Q845" s="210"/>
      <c r="R845" s="390"/>
      <c r="S845" s="209"/>
      <c r="T845" s="210"/>
      <c r="U845" s="390"/>
      <c r="V845" s="209"/>
      <c r="W845" s="210"/>
      <c r="X845" s="390"/>
      <c r="Y845" s="195"/>
      <c r="Z845" s="195"/>
      <c r="AA845" s="195"/>
      <c r="AB845" s="195"/>
      <c r="AC845" s="8"/>
      <c r="AD845" s="8"/>
      <c r="AE845" s="8"/>
      <c r="AF845" s="8"/>
      <c r="AG845" s="202"/>
      <c r="AH845" s="202"/>
      <c r="AI845" s="202"/>
      <c r="AJ845" s="202"/>
      <c r="AK845" s="8"/>
      <c r="AL845" s="8"/>
      <c r="AM845" s="8"/>
      <c r="AN845" s="8"/>
      <c r="AO845" s="8"/>
      <c r="AP845" s="8"/>
      <c r="AQ845" s="8"/>
      <c r="AR845" s="8"/>
      <c r="AS845" s="8"/>
      <c r="AT845" s="8"/>
      <c r="AU845" s="8"/>
      <c r="AV845" s="8"/>
    </row>
    <row r="846">
      <c r="A846" s="209"/>
      <c r="B846" s="210"/>
      <c r="C846" s="390"/>
      <c r="D846" s="209"/>
      <c r="E846" s="210"/>
      <c r="F846" s="390"/>
      <c r="G846" s="209"/>
      <c r="H846" s="210"/>
      <c r="I846" s="390"/>
      <c r="J846" s="209"/>
      <c r="K846" s="210"/>
      <c r="L846" s="390"/>
      <c r="M846" s="209"/>
      <c r="N846" s="210"/>
      <c r="O846" s="390"/>
      <c r="P846" s="209"/>
      <c r="Q846" s="210"/>
      <c r="R846" s="390"/>
      <c r="S846" s="209"/>
      <c r="T846" s="210"/>
      <c r="U846" s="390"/>
      <c r="V846" s="209"/>
      <c r="W846" s="210"/>
      <c r="X846" s="390"/>
      <c r="Y846" s="195"/>
      <c r="Z846" s="195"/>
      <c r="AA846" s="195"/>
      <c r="AB846" s="195"/>
      <c r="AC846" s="8"/>
      <c r="AD846" s="8"/>
      <c r="AE846" s="8"/>
      <c r="AF846" s="8"/>
      <c r="AG846" s="202"/>
      <c r="AH846" s="202"/>
      <c r="AI846" s="202"/>
      <c r="AJ846" s="202"/>
      <c r="AK846" s="8"/>
      <c r="AL846" s="8"/>
      <c r="AM846" s="8"/>
      <c r="AN846" s="8"/>
      <c r="AO846" s="8"/>
      <c r="AP846" s="8"/>
      <c r="AQ846" s="8"/>
      <c r="AR846" s="8"/>
      <c r="AS846" s="8"/>
      <c r="AT846" s="8"/>
      <c r="AU846" s="8"/>
      <c r="AV846" s="8"/>
    </row>
    <row r="847">
      <c r="A847" s="209"/>
      <c r="B847" s="210"/>
      <c r="C847" s="390"/>
      <c r="D847" s="209"/>
      <c r="E847" s="210"/>
      <c r="F847" s="390"/>
      <c r="G847" s="209"/>
      <c r="H847" s="210"/>
      <c r="I847" s="390"/>
      <c r="J847" s="209"/>
      <c r="K847" s="210"/>
      <c r="L847" s="390"/>
      <c r="M847" s="209"/>
      <c r="N847" s="210"/>
      <c r="O847" s="390"/>
      <c r="P847" s="209"/>
      <c r="Q847" s="210"/>
      <c r="R847" s="390"/>
      <c r="S847" s="209"/>
      <c r="T847" s="210"/>
      <c r="U847" s="390"/>
      <c r="V847" s="209"/>
      <c r="W847" s="210"/>
      <c r="X847" s="390"/>
      <c r="Y847" s="195"/>
      <c r="Z847" s="195"/>
      <c r="AA847" s="195"/>
      <c r="AB847" s="195"/>
      <c r="AC847" s="8"/>
      <c r="AD847" s="8"/>
      <c r="AE847" s="8"/>
      <c r="AF847" s="8"/>
      <c r="AG847" s="202"/>
      <c r="AH847" s="202"/>
      <c r="AI847" s="202"/>
      <c r="AJ847" s="202"/>
      <c r="AK847" s="8"/>
      <c r="AL847" s="8"/>
      <c r="AM847" s="8"/>
      <c r="AN847" s="8"/>
      <c r="AO847" s="8"/>
      <c r="AP847" s="8"/>
      <c r="AQ847" s="8"/>
      <c r="AR847" s="8"/>
      <c r="AS847" s="8"/>
      <c r="AT847" s="8"/>
      <c r="AU847" s="8"/>
      <c r="AV847" s="8"/>
    </row>
    <row r="848">
      <c r="A848" s="209"/>
      <c r="B848" s="210"/>
      <c r="C848" s="390"/>
      <c r="D848" s="209"/>
      <c r="E848" s="210"/>
      <c r="F848" s="390"/>
      <c r="G848" s="209"/>
      <c r="H848" s="210"/>
      <c r="I848" s="390"/>
      <c r="J848" s="209"/>
      <c r="K848" s="210"/>
      <c r="L848" s="390"/>
      <c r="M848" s="209"/>
      <c r="N848" s="210"/>
      <c r="O848" s="390"/>
      <c r="P848" s="209"/>
      <c r="Q848" s="210"/>
      <c r="R848" s="390"/>
      <c r="S848" s="209"/>
      <c r="T848" s="210"/>
      <c r="U848" s="390"/>
      <c r="V848" s="209"/>
      <c r="W848" s="210"/>
      <c r="X848" s="390"/>
      <c r="Y848" s="195"/>
      <c r="Z848" s="195"/>
      <c r="AA848" s="195"/>
      <c r="AB848" s="195"/>
      <c r="AC848" s="8"/>
      <c r="AD848" s="8"/>
      <c r="AE848" s="8"/>
      <c r="AF848" s="8"/>
      <c r="AG848" s="202"/>
      <c r="AH848" s="202"/>
      <c r="AI848" s="202"/>
      <c r="AJ848" s="202"/>
      <c r="AK848" s="8"/>
      <c r="AL848" s="8"/>
      <c r="AM848" s="8"/>
      <c r="AN848" s="8"/>
      <c r="AO848" s="8"/>
      <c r="AP848" s="8"/>
      <c r="AQ848" s="8"/>
      <c r="AR848" s="8"/>
      <c r="AS848" s="8"/>
      <c r="AT848" s="8"/>
      <c r="AU848" s="8"/>
      <c r="AV848" s="8"/>
    </row>
    <row r="849">
      <c r="A849" s="209"/>
      <c r="B849" s="210"/>
      <c r="C849" s="390"/>
      <c r="D849" s="209"/>
      <c r="E849" s="210"/>
      <c r="F849" s="390"/>
      <c r="G849" s="209"/>
      <c r="H849" s="210"/>
      <c r="I849" s="390"/>
      <c r="J849" s="209"/>
      <c r="K849" s="210"/>
      <c r="L849" s="390"/>
      <c r="M849" s="209"/>
      <c r="N849" s="210"/>
      <c r="O849" s="390"/>
      <c r="P849" s="209"/>
      <c r="Q849" s="210"/>
      <c r="R849" s="390"/>
      <c r="S849" s="209"/>
      <c r="T849" s="210"/>
      <c r="U849" s="390"/>
      <c r="V849" s="209"/>
      <c r="W849" s="210"/>
      <c r="X849" s="390"/>
      <c r="Y849" s="195"/>
      <c r="Z849" s="195"/>
      <c r="AA849" s="195"/>
      <c r="AB849" s="195"/>
      <c r="AC849" s="8"/>
      <c r="AD849" s="8"/>
      <c r="AE849" s="8"/>
      <c r="AF849" s="8"/>
      <c r="AG849" s="202"/>
      <c r="AH849" s="202"/>
      <c r="AI849" s="202"/>
      <c r="AJ849" s="202"/>
      <c r="AK849" s="8"/>
      <c r="AL849" s="8"/>
      <c r="AM849" s="8"/>
      <c r="AN849" s="8"/>
      <c r="AO849" s="8"/>
      <c r="AP849" s="8"/>
      <c r="AQ849" s="8"/>
      <c r="AR849" s="8"/>
      <c r="AS849" s="8"/>
      <c r="AT849" s="8"/>
      <c r="AU849" s="8"/>
      <c r="AV849" s="8"/>
    </row>
    <row r="850">
      <c r="A850" s="209"/>
      <c r="B850" s="210"/>
      <c r="C850" s="390"/>
      <c r="D850" s="209"/>
      <c r="E850" s="210"/>
      <c r="F850" s="390"/>
      <c r="G850" s="209"/>
      <c r="H850" s="210"/>
      <c r="I850" s="390"/>
      <c r="J850" s="209"/>
      <c r="K850" s="210"/>
      <c r="L850" s="390"/>
      <c r="M850" s="209"/>
      <c r="N850" s="210"/>
      <c r="O850" s="390"/>
      <c r="P850" s="209"/>
      <c r="Q850" s="210"/>
      <c r="R850" s="390"/>
      <c r="S850" s="209"/>
      <c r="T850" s="210"/>
      <c r="U850" s="390"/>
      <c r="V850" s="209"/>
      <c r="W850" s="210"/>
      <c r="X850" s="390"/>
      <c r="Y850" s="195"/>
      <c r="Z850" s="195"/>
      <c r="AA850" s="195"/>
      <c r="AB850" s="195"/>
      <c r="AC850" s="8"/>
      <c r="AD850" s="8"/>
      <c r="AE850" s="8"/>
      <c r="AF850" s="8"/>
      <c r="AG850" s="202"/>
      <c r="AH850" s="202"/>
      <c r="AI850" s="202"/>
      <c r="AJ850" s="202"/>
      <c r="AK850" s="8"/>
      <c r="AL850" s="8"/>
      <c r="AM850" s="8"/>
      <c r="AN850" s="8"/>
      <c r="AO850" s="8"/>
      <c r="AP850" s="8"/>
      <c r="AQ850" s="8"/>
      <c r="AR850" s="8"/>
      <c r="AS850" s="8"/>
      <c r="AT850" s="8"/>
      <c r="AU850" s="8"/>
      <c r="AV850" s="8"/>
    </row>
    <row r="851">
      <c r="A851" s="209"/>
      <c r="B851" s="210"/>
      <c r="C851" s="390"/>
      <c r="D851" s="209"/>
      <c r="E851" s="210"/>
      <c r="F851" s="390"/>
      <c r="G851" s="209"/>
      <c r="H851" s="210"/>
      <c r="I851" s="390"/>
      <c r="J851" s="209"/>
      <c r="K851" s="210"/>
      <c r="L851" s="390"/>
      <c r="M851" s="209"/>
      <c r="N851" s="210"/>
      <c r="O851" s="390"/>
      <c r="P851" s="209"/>
      <c r="Q851" s="210"/>
      <c r="R851" s="390"/>
      <c r="S851" s="209"/>
      <c r="T851" s="210"/>
      <c r="U851" s="390"/>
      <c r="V851" s="209"/>
      <c r="W851" s="210"/>
      <c r="X851" s="390"/>
      <c r="Y851" s="195"/>
      <c r="Z851" s="195"/>
      <c r="AA851" s="195"/>
      <c r="AB851" s="195"/>
      <c r="AC851" s="8"/>
      <c r="AD851" s="8"/>
      <c r="AE851" s="8"/>
      <c r="AF851" s="8"/>
      <c r="AG851" s="202"/>
      <c r="AH851" s="202"/>
      <c r="AI851" s="202"/>
      <c r="AJ851" s="202"/>
      <c r="AK851" s="8"/>
      <c r="AL851" s="8"/>
      <c r="AM851" s="8"/>
      <c r="AN851" s="8"/>
      <c r="AO851" s="8"/>
      <c r="AP851" s="8"/>
      <c r="AQ851" s="8"/>
      <c r="AR851" s="8"/>
      <c r="AS851" s="8"/>
      <c r="AT851" s="8"/>
      <c r="AU851" s="8"/>
      <c r="AV851" s="8"/>
    </row>
    <row r="852">
      <c r="A852" s="209"/>
      <c r="B852" s="210"/>
      <c r="C852" s="390"/>
      <c r="D852" s="209"/>
      <c r="E852" s="210"/>
      <c r="F852" s="390"/>
      <c r="G852" s="209"/>
      <c r="H852" s="210"/>
      <c r="I852" s="390"/>
      <c r="J852" s="209"/>
      <c r="K852" s="210"/>
      <c r="L852" s="390"/>
      <c r="M852" s="209"/>
      <c r="N852" s="210"/>
      <c r="O852" s="390"/>
      <c r="P852" s="209"/>
      <c r="Q852" s="210"/>
      <c r="R852" s="390"/>
      <c r="S852" s="209"/>
      <c r="T852" s="210"/>
      <c r="U852" s="390"/>
      <c r="V852" s="209"/>
      <c r="W852" s="210"/>
      <c r="X852" s="390"/>
      <c r="Y852" s="195"/>
      <c r="Z852" s="195"/>
      <c r="AA852" s="195"/>
      <c r="AB852" s="195"/>
      <c r="AC852" s="8"/>
      <c r="AD852" s="8"/>
      <c r="AE852" s="8"/>
      <c r="AF852" s="8"/>
      <c r="AG852" s="202"/>
      <c r="AH852" s="202"/>
      <c r="AI852" s="202"/>
      <c r="AJ852" s="202"/>
      <c r="AK852" s="8"/>
      <c r="AL852" s="8"/>
      <c r="AM852" s="8"/>
      <c r="AN852" s="8"/>
      <c r="AO852" s="8"/>
      <c r="AP852" s="8"/>
      <c r="AQ852" s="8"/>
      <c r="AR852" s="8"/>
      <c r="AS852" s="8"/>
      <c r="AT852" s="8"/>
      <c r="AU852" s="8"/>
      <c r="AV852" s="8"/>
    </row>
    <row r="853">
      <c r="A853" s="209"/>
      <c r="B853" s="210"/>
      <c r="C853" s="390"/>
      <c r="D853" s="209"/>
      <c r="E853" s="210"/>
      <c r="F853" s="390"/>
      <c r="G853" s="209"/>
      <c r="H853" s="210"/>
      <c r="I853" s="390"/>
      <c r="J853" s="209"/>
      <c r="K853" s="210"/>
      <c r="L853" s="390"/>
      <c r="M853" s="209"/>
      <c r="N853" s="210"/>
      <c r="O853" s="390"/>
      <c r="P853" s="209"/>
      <c r="Q853" s="210"/>
      <c r="R853" s="390"/>
      <c r="S853" s="209"/>
      <c r="T853" s="210"/>
      <c r="U853" s="390"/>
      <c r="V853" s="209"/>
      <c r="W853" s="210"/>
      <c r="X853" s="390"/>
      <c r="Y853" s="195"/>
      <c r="Z853" s="195"/>
      <c r="AA853" s="195"/>
      <c r="AB853" s="195"/>
      <c r="AC853" s="8"/>
      <c r="AD853" s="8"/>
      <c r="AE853" s="8"/>
      <c r="AF853" s="8"/>
      <c r="AG853" s="202"/>
      <c r="AH853" s="202"/>
      <c r="AI853" s="202"/>
      <c r="AJ853" s="202"/>
      <c r="AK853" s="8"/>
      <c r="AL853" s="8"/>
      <c r="AM853" s="8"/>
      <c r="AN853" s="8"/>
      <c r="AO853" s="8"/>
      <c r="AP853" s="8"/>
      <c r="AQ853" s="8"/>
      <c r="AR853" s="8"/>
      <c r="AS853" s="8"/>
      <c r="AT853" s="8"/>
      <c r="AU853" s="8"/>
      <c r="AV853" s="8"/>
    </row>
    <row r="854">
      <c r="A854" s="209"/>
      <c r="B854" s="210"/>
      <c r="C854" s="390"/>
      <c r="D854" s="209"/>
      <c r="E854" s="210"/>
      <c r="F854" s="390"/>
      <c r="G854" s="209"/>
      <c r="H854" s="210"/>
      <c r="I854" s="390"/>
      <c r="J854" s="209"/>
      <c r="K854" s="210"/>
      <c r="L854" s="390"/>
      <c r="M854" s="209"/>
      <c r="N854" s="210"/>
      <c r="O854" s="390"/>
      <c r="P854" s="209"/>
      <c r="Q854" s="210"/>
      <c r="R854" s="390"/>
      <c r="S854" s="209"/>
      <c r="T854" s="210"/>
      <c r="U854" s="390"/>
      <c r="V854" s="209"/>
      <c r="W854" s="210"/>
      <c r="X854" s="390"/>
      <c r="Y854" s="195"/>
      <c r="Z854" s="195"/>
      <c r="AA854" s="195"/>
      <c r="AB854" s="195"/>
      <c r="AC854" s="8"/>
      <c r="AD854" s="8"/>
      <c r="AE854" s="8"/>
      <c r="AF854" s="8"/>
      <c r="AG854" s="202"/>
      <c r="AH854" s="202"/>
      <c r="AI854" s="202"/>
      <c r="AJ854" s="202"/>
      <c r="AK854" s="8"/>
      <c r="AL854" s="8"/>
      <c r="AM854" s="8"/>
      <c r="AN854" s="8"/>
      <c r="AO854" s="8"/>
      <c r="AP854" s="8"/>
      <c r="AQ854" s="8"/>
      <c r="AR854" s="8"/>
      <c r="AS854" s="8"/>
      <c r="AT854" s="8"/>
      <c r="AU854" s="8"/>
      <c r="AV854" s="8"/>
    </row>
    <row r="855">
      <c r="A855" s="209"/>
      <c r="B855" s="210"/>
      <c r="C855" s="390"/>
      <c r="D855" s="209"/>
      <c r="E855" s="210"/>
      <c r="F855" s="390"/>
      <c r="G855" s="209"/>
      <c r="H855" s="210"/>
      <c r="I855" s="390"/>
      <c r="J855" s="209"/>
      <c r="K855" s="210"/>
      <c r="L855" s="390"/>
      <c r="M855" s="209"/>
      <c r="N855" s="210"/>
      <c r="O855" s="390"/>
      <c r="P855" s="209"/>
      <c r="Q855" s="210"/>
      <c r="R855" s="390"/>
      <c r="S855" s="209"/>
      <c r="T855" s="210"/>
      <c r="U855" s="390"/>
      <c r="V855" s="209"/>
      <c r="W855" s="210"/>
      <c r="X855" s="390"/>
      <c r="Y855" s="195"/>
      <c r="Z855" s="195"/>
      <c r="AA855" s="195"/>
      <c r="AB855" s="195"/>
      <c r="AC855" s="8"/>
      <c r="AD855" s="8"/>
      <c r="AE855" s="8"/>
      <c r="AF855" s="8"/>
      <c r="AG855" s="202"/>
      <c r="AH855" s="202"/>
      <c r="AI855" s="202"/>
      <c r="AJ855" s="202"/>
      <c r="AK855" s="8"/>
      <c r="AL855" s="8"/>
      <c r="AM855" s="8"/>
      <c r="AN855" s="8"/>
      <c r="AO855" s="8"/>
      <c r="AP855" s="8"/>
      <c r="AQ855" s="8"/>
      <c r="AR855" s="8"/>
      <c r="AS855" s="8"/>
      <c r="AT855" s="8"/>
      <c r="AU855" s="8"/>
      <c r="AV855" s="8"/>
    </row>
    <row r="856">
      <c r="A856" s="209"/>
      <c r="B856" s="210"/>
      <c r="C856" s="390"/>
      <c r="D856" s="209"/>
      <c r="E856" s="210"/>
      <c r="F856" s="390"/>
      <c r="G856" s="209"/>
      <c r="H856" s="210"/>
      <c r="I856" s="390"/>
      <c r="J856" s="209"/>
      <c r="K856" s="210"/>
      <c r="L856" s="390"/>
      <c r="M856" s="209"/>
      <c r="N856" s="210"/>
      <c r="O856" s="390"/>
      <c r="P856" s="209"/>
      <c r="Q856" s="210"/>
      <c r="R856" s="390"/>
      <c r="S856" s="209"/>
      <c r="T856" s="210"/>
      <c r="U856" s="390"/>
      <c r="V856" s="209"/>
      <c r="W856" s="210"/>
      <c r="X856" s="390"/>
      <c r="Y856" s="195"/>
      <c r="Z856" s="195"/>
      <c r="AA856" s="195"/>
      <c r="AB856" s="195"/>
      <c r="AC856" s="8"/>
      <c r="AD856" s="8"/>
      <c r="AE856" s="8"/>
      <c r="AF856" s="8"/>
      <c r="AG856" s="202"/>
      <c r="AH856" s="202"/>
      <c r="AI856" s="202"/>
      <c r="AJ856" s="202"/>
      <c r="AK856" s="8"/>
      <c r="AL856" s="8"/>
      <c r="AM856" s="8"/>
      <c r="AN856" s="8"/>
      <c r="AO856" s="8"/>
      <c r="AP856" s="8"/>
      <c r="AQ856" s="8"/>
      <c r="AR856" s="8"/>
      <c r="AS856" s="8"/>
      <c r="AT856" s="8"/>
      <c r="AU856" s="8"/>
      <c r="AV856" s="8"/>
    </row>
    <row r="857">
      <c r="A857" s="209"/>
      <c r="B857" s="210"/>
      <c r="C857" s="390"/>
      <c r="D857" s="209"/>
      <c r="E857" s="210"/>
      <c r="F857" s="390"/>
      <c r="G857" s="209"/>
      <c r="H857" s="210"/>
      <c r="I857" s="390"/>
      <c r="J857" s="209"/>
      <c r="K857" s="210"/>
      <c r="L857" s="390"/>
      <c r="M857" s="209"/>
      <c r="N857" s="210"/>
      <c r="O857" s="390"/>
      <c r="P857" s="209"/>
      <c r="Q857" s="210"/>
      <c r="R857" s="390"/>
      <c r="S857" s="209"/>
      <c r="T857" s="210"/>
      <c r="U857" s="390"/>
      <c r="V857" s="209"/>
      <c r="W857" s="210"/>
      <c r="X857" s="390"/>
      <c r="Y857" s="195"/>
      <c r="Z857" s="195"/>
      <c r="AA857" s="195"/>
      <c r="AB857" s="195"/>
      <c r="AC857" s="8"/>
      <c r="AD857" s="8"/>
      <c r="AE857" s="8"/>
      <c r="AF857" s="8"/>
      <c r="AG857" s="202"/>
      <c r="AH857" s="202"/>
      <c r="AI857" s="202"/>
      <c r="AJ857" s="202"/>
      <c r="AK857" s="8"/>
      <c r="AL857" s="8"/>
      <c r="AM857" s="8"/>
      <c r="AN857" s="8"/>
      <c r="AO857" s="8"/>
      <c r="AP857" s="8"/>
      <c r="AQ857" s="8"/>
      <c r="AR857" s="8"/>
      <c r="AS857" s="8"/>
      <c r="AT857" s="8"/>
      <c r="AU857" s="8"/>
      <c r="AV857" s="8"/>
    </row>
    <row r="858">
      <c r="A858" s="209"/>
      <c r="B858" s="210"/>
      <c r="C858" s="390"/>
      <c r="D858" s="209"/>
      <c r="E858" s="210"/>
      <c r="F858" s="390"/>
      <c r="G858" s="209"/>
      <c r="H858" s="210"/>
      <c r="I858" s="390"/>
      <c r="J858" s="209"/>
      <c r="K858" s="210"/>
      <c r="L858" s="390"/>
      <c r="M858" s="209"/>
      <c r="N858" s="210"/>
      <c r="O858" s="390"/>
      <c r="P858" s="209"/>
      <c r="Q858" s="210"/>
      <c r="R858" s="390"/>
      <c r="S858" s="209"/>
      <c r="T858" s="210"/>
      <c r="U858" s="390"/>
      <c r="V858" s="209"/>
      <c r="W858" s="210"/>
      <c r="X858" s="390"/>
      <c r="Y858" s="195"/>
      <c r="Z858" s="195"/>
      <c r="AA858" s="195"/>
      <c r="AB858" s="195"/>
      <c r="AC858" s="8"/>
      <c r="AD858" s="8"/>
      <c r="AE858" s="8"/>
      <c r="AF858" s="8"/>
      <c r="AG858" s="202"/>
      <c r="AH858" s="202"/>
      <c r="AI858" s="202"/>
      <c r="AJ858" s="202"/>
      <c r="AK858" s="8"/>
      <c r="AL858" s="8"/>
      <c r="AM858" s="8"/>
      <c r="AN858" s="8"/>
      <c r="AO858" s="8"/>
      <c r="AP858" s="8"/>
      <c r="AQ858" s="8"/>
      <c r="AR858" s="8"/>
      <c r="AS858" s="8"/>
      <c r="AT858" s="8"/>
      <c r="AU858" s="8"/>
      <c r="AV858" s="8"/>
    </row>
    <row r="859">
      <c r="A859" s="209"/>
      <c r="B859" s="210"/>
      <c r="C859" s="390"/>
      <c r="D859" s="209"/>
      <c r="E859" s="210"/>
      <c r="F859" s="390"/>
      <c r="G859" s="209"/>
      <c r="H859" s="210"/>
      <c r="I859" s="390"/>
      <c r="J859" s="209"/>
      <c r="K859" s="210"/>
      <c r="L859" s="390"/>
      <c r="M859" s="209"/>
      <c r="N859" s="210"/>
      <c r="O859" s="390"/>
      <c r="P859" s="209"/>
      <c r="Q859" s="210"/>
      <c r="R859" s="390"/>
      <c r="S859" s="209"/>
      <c r="T859" s="210"/>
      <c r="U859" s="390"/>
      <c r="V859" s="209"/>
      <c r="W859" s="210"/>
      <c r="X859" s="390"/>
      <c r="Y859" s="195"/>
      <c r="Z859" s="195"/>
      <c r="AA859" s="195"/>
      <c r="AB859" s="195"/>
      <c r="AC859" s="8"/>
      <c r="AD859" s="8"/>
      <c r="AE859" s="8"/>
      <c r="AF859" s="8"/>
      <c r="AG859" s="202"/>
      <c r="AH859" s="202"/>
      <c r="AI859" s="202"/>
      <c r="AJ859" s="202"/>
      <c r="AK859" s="8"/>
      <c r="AL859" s="8"/>
      <c r="AM859" s="8"/>
      <c r="AN859" s="8"/>
      <c r="AO859" s="8"/>
      <c r="AP859" s="8"/>
      <c r="AQ859" s="8"/>
      <c r="AR859" s="8"/>
      <c r="AS859" s="8"/>
      <c r="AT859" s="8"/>
      <c r="AU859" s="8"/>
      <c r="AV859" s="8"/>
    </row>
    <row r="860">
      <c r="A860" s="209"/>
      <c r="B860" s="210"/>
      <c r="C860" s="390"/>
      <c r="D860" s="209"/>
      <c r="E860" s="210"/>
      <c r="F860" s="390"/>
      <c r="G860" s="209"/>
      <c r="H860" s="210"/>
      <c r="I860" s="390"/>
      <c r="J860" s="209"/>
      <c r="K860" s="210"/>
      <c r="L860" s="390"/>
      <c r="M860" s="209"/>
      <c r="N860" s="210"/>
      <c r="O860" s="390"/>
      <c r="P860" s="209"/>
      <c r="Q860" s="210"/>
      <c r="R860" s="390"/>
      <c r="S860" s="209"/>
      <c r="T860" s="210"/>
      <c r="U860" s="390"/>
      <c r="V860" s="209"/>
      <c r="W860" s="210"/>
      <c r="X860" s="390"/>
      <c r="Y860" s="195"/>
      <c r="Z860" s="195"/>
      <c r="AA860" s="195"/>
      <c r="AB860" s="195"/>
      <c r="AC860" s="8"/>
      <c r="AD860" s="8"/>
      <c r="AE860" s="8"/>
      <c r="AF860" s="8"/>
      <c r="AG860" s="202"/>
      <c r="AH860" s="202"/>
      <c r="AI860" s="202"/>
      <c r="AJ860" s="202"/>
      <c r="AK860" s="8"/>
      <c r="AL860" s="8"/>
      <c r="AM860" s="8"/>
      <c r="AN860" s="8"/>
      <c r="AO860" s="8"/>
      <c r="AP860" s="8"/>
      <c r="AQ860" s="8"/>
      <c r="AR860" s="8"/>
      <c r="AS860" s="8"/>
      <c r="AT860" s="8"/>
      <c r="AU860" s="8"/>
      <c r="AV860" s="8"/>
    </row>
    <row r="861">
      <c r="A861" s="209"/>
      <c r="B861" s="210"/>
      <c r="C861" s="390"/>
      <c r="D861" s="209"/>
      <c r="E861" s="210"/>
      <c r="F861" s="390"/>
      <c r="G861" s="209"/>
      <c r="H861" s="210"/>
      <c r="I861" s="390"/>
      <c r="J861" s="209"/>
      <c r="K861" s="210"/>
      <c r="L861" s="390"/>
      <c r="M861" s="209"/>
      <c r="N861" s="210"/>
      <c r="O861" s="390"/>
      <c r="P861" s="209"/>
      <c r="Q861" s="210"/>
      <c r="R861" s="390"/>
      <c r="S861" s="209"/>
      <c r="T861" s="210"/>
      <c r="U861" s="390"/>
      <c r="V861" s="209"/>
      <c r="W861" s="210"/>
      <c r="X861" s="390"/>
      <c r="Y861" s="195"/>
      <c r="Z861" s="195"/>
      <c r="AA861" s="195"/>
      <c r="AB861" s="195"/>
      <c r="AC861" s="8"/>
      <c r="AD861" s="8"/>
      <c r="AE861" s="8"/>
      <c r="AF861" s="8"/>
      <c r="AG861" s="202"/>
      <c r="AH861" s="202"/>
      <c r="AI861" s="202"/>
      <c r="AJ861" s="202"/>
      <c r="AK861" s="8"/>
      <c r="AL861" s="8"/>
      <c r="AM861" s="8"/>
      <c r="AN861" s="8"/>
      <c r="AO861" s="8"/>
      <c r="AP861" s="8"/>
      <c r="AQ861" s="8"/>
      <c r="AR861" s="8"/>
      <c r="AS861" s="8"/>
      <c r="AT861" s="8"/>
      <c r="AU861" s="8"/>
      <c r="AV861" s="8"/>
    </row>
    <row r="862">
      <c r="A862" s="209"/>
      <c r="B862" s="210"/>
      <c r="C862" s="390"/>
      <c r="D862" s="209"/>
      <c r="E862" s="210"/>
      <c r="F862" s="390"/>
      <c r="G862" s="209"/>
      <c r="H862" s="210"/>
      <c r="I862" s="390"/>
      <c r="J862" s="209"/>
      <c r="K862" s="210"/>
      <c r="L862" s="390"/>
      <c r="M862" s="209"/>
      <c r="N862" s="210"/>
      <c r="O862" s="390"/>
      <c r="P862" s="209"/>
      <c r="Q862" s="210"/>
      <c r="R862" s="390"/>
      <c r="S862" s="209"/>
      <c r="T862" s="210"/>
      <c r="U862" s="390"/>
      <c r="V862" s="209"/>
      <c r="W862" s="210"/>
      <c r="X862" s="390"/>
      <c r="Y862" s="195"/>
      <c r="Z862" s="195"/>
      <c r="AA862" s="195"/>
      <c r="AB862" s="195"/>
      <c r="AC862" s="8"/>
      <c r="AD862" s="8"/>
      <c r="AE862" s="8"/>
      <c r="AF862" s="8"/>
      <c r="AG862" s="202"/>
      <c r="AH862" s="202"/>
      <c r="AI862" s="202"/>
      <c r="AJ862" s="202"/>
      <c r="AK862" s="8"/>
      <c r="AL862" s="8"/>
      <c r="AM862" s="8"/>
      <c r="AN862" s="8"/>
      <c r="AO862" s="8"/>
      <c r="AP862" s="8"/>
      <c r="AQ862" s="8"/>
      <c r="AR862" s="8"/>
      <c r="AS862" s="8"/>
      <c r="AT862" s="8"/>
      <c r="AU862" s="8"/>
      <c r="AV862" s="8"/>
    </row>
    <row r="863">
      <c r="A863" s="209"/>
      <c r="B863" s="210"/>
      <c r="C863" s="390"/>
      <c r="D863" s="209"/>
      <c r="E863" s="210"/>
      <c r="F863" s="390"/>
      <c r="G863" s="209"/>
      <c r="H863" s="210"/>
      <c r="I863" s="390"/>
      <c r="J863" s="209"/>
      <c r="K863" s="210"/>
      <c r="L863" s="390"/>
      <c r="M863" s="209"/>
      <c r="N863" s="210"/>
      <c r="O863" s="390"/>
      <c r="P863" s="209"/>
      <c r="Q863" s="210"/>
      <c r="R863" s="390"/>
      <c r="S863" s="209"/>
      <c r="T863" s="210"/>
      <c r="U863" s="390"/>
      <c r="V863" s="209"/>
      <c r="W863" s="210"/>
      <c r="X863" s="390"/>
      <c r="Y863" s="195"/>
      <c r="Z863" s="195"/>
      <c r="AA863" s="195"/>
      <c r="AB863" s="195"/>
      <c r="AC863" s="8"/>
      <c r="AD863" s="8"/>
      <c r="AE863" s="8"/>
      <c r="AF863" s="8"/>
      <c r="AG863" s="202"/>
      <c r="AH863" s="202"/>
      <c r="AI863" s="202"/>
      <c r="AJ863" s="202"/>
      <c r="AK863" s="8"/>
      <c r="AL863" s="8"/>
      <c r="AM863" s="8"/>
      <c r="AN863" s="8"/>
      <c r="AO863" s="8"/>
      <c r="AP863" s="8"/>
      <c r="AQ863" s="8"/>
      <c r="AR863" s="8"/>
      <c r="AS863" s="8"/>
      <c r="AT863" s="8"/>
      <c r="AU863" s="8"/>
      <c r="AV863" s="8"/>
    </row>
    <row r="864">
      <c r="A864" s="209"/>
      <c r="B864" s="210"/>
      <c r="C864" s="390"/>
      <c r="D864" s="209"/>
      <c r="E864" s="210"/>
      <c r="F864" s="390"/>
      <c r="G864" s="209"/>
      <c r="H864" s="210"/>
      <c r="I864" s="390"/>
      <c r="J864" s="209"/>
      <c r="K864" s="210"/>
      <c r="L864" s="390"/>
      <c r="M864" s="209"/>
      <c r="N864" s="210"/>
      <c r="O864" s="390"/>
      <c r="P864" s="209"/>
      <c r="Q864" s="210"/>
      <c r="R864" s="390"/>
      <c r="S864" s="209"/>
      <c r="T864" s="210"/>
      <c r="U864" s="390"/>
      <c r="V864" s="209"/>
      <c r="W864" s="210"/>
      <c r="X864" s="390"/>
      <c r="Y864" s="195"/>
      <c r="Z864" s="195"/>
      <c r="AA864" s="195"/>
      <c r="AB864" s="195"/>
      <c r="AC864" s="8"/>
      <c r="AD864" s="8"/>
      <c r="AE864" s="8"/>
      <c r="AF864" s="8"/>
      <c r="AG864" s="202"/>
      <c r="AH864" s="202"/>
      <c r="AI864" s="202"/>
      <c r="AJ864" s="202"/>
      <c r="AK864" s="8"/>
      <c r="AL864" s="8"/>
      <c r="AM864" s="8"/>
      <c r="AN864" s="8"/>
      <c r="AO864" s="8"/>
      <c r="AP864" s="8"/>
      <c r="AQ864" s="8"/>
      <c r="AR864" s="8"/>
      <c r="AS864" s="8"/>
      <c r="AT864" s="8"/>
      <c r="AU864" s="8"/>
      <c r="AV864" s="8"/>
    </row>
    <row r="865">
      <c r="A865" s="209"/>
      <c r="B865" s="210"/>
      <c r="C865" s="390"/>
      <c r="D865" s="209"/>
      <c r="E865" s="210"/>
      <c r="F865" s="390"/>
      <c r="G865" s="209"/>
      <c r="H865" s="210"/>
      <c r="I865" s="390"/>
      <c r="J865" s="209"/>
      <c r="K865" s="210"/>
      <c r="L865" s="390"/>
      <c r="M865" s="209"/>
      <c r="N865" s="210"/>
      <c r="O865" s="390"/>
      <c r="P865" s="209"/>
      <c r="Q865" s="210"/>
      <c r="R865" s="390"/>
      <c r="S865" s="209"/>
      <c r="T865" s="210"/>
      <c r="U865" s="390"/>
      <c r="V865" s="209"/>
      <c r="W865" s="210"/>
      <c r="X865" s="390"/>
      <c r="Y865" s="195"/>
      <c r="Z865" s="195"/>
      <c r="AA865" s="195"/>
      <c r="AB865" s="195"/>
      <c r="AC865" s="8"/>
      <c r="AD865" s="8"/>
      <c r="AE865" s="8"/>
      <c r="AF865" s="8"/>
      <c r="AG865" s="202"/>
      <c r="AH865" s="202"/>
      <c r="AI865" s="202"/>
      <c r="AJ865" s="202"/>
      <c r="AK865" s="8"/>
      <c r="AL865" s="8"/>
      <c r="AM865" s="8"/>
      <c r="AN865" s="8"/>
      <c r="AO865" s="8"/>
      <c r="AP865" s="8"/>
      <c r="AQ865" s="8"/>
      <c r="AR865" s="8"/>
      <c r="AS865" s="8"/>
      <c r="AT865" s="8"/>
      <c r="AU865" s="8"/>
      <c r="AV865" s="8"/>
    </row>
    <row r="866">
      <c r="A866" s="209"/>
      <c r="B866" s="210"/>
      <c r="C866" s="390"/>
      <c r="D866" s="209"/>
      <c r="E866" s="210"/>
      <c r="F866" s="390"/>
      <c r="G866" s="209"/>
      <c r="H866" s="210"/>
      <c r="I866" s="390"/>
      <c r="J866" s="209"/>
      <c r="K866" s="210"/>
      <c r="L866" s="390"/>
      <c r="M866" s="209"/>
      <c r="N866" s="210"/>
      <c r="O866" s="390"/>
      <c r="P866" s="209"/>
      <c r="Q866" s="210"/>
      <c r="R866" s="390"/>
      <c r="S866" s="209"/>
      <c r="T866" s="210"/>
      <c r="U866" s="390"/>
      <c r="V866" s="209"/>
      <c r="W866" s="210"/>
      <c r="X866" s="390"/>
      <c r="Y866" s="195"/>
      <c r="Z866" s="195"/>
      <c r="AA866" s="195"/>
      <c r="AB866" s="195"/>
      <c r="AC866" s="8"/>
      <c r="AD866" s="8"/>
      <c r="AE866" s="8"/>
      <c r="AF866" s="8"/>
      <c r="AG866" s="202"/>
      <c r="AH866" s="202"/>
      <c r="AI866" s="202"/>
      <c r="AJ866" s="202"/>
      <c r="AK866" s="8"/>
      <c r="AL866" s="8"/>
      <c r="AM866" s="8"/>
      <c r="AN866" s="8"/>
      <c r="AO866" s="8"/>
      <c r="AP866" s="8"/>
      <c r="AQ866" s="8"/>
      <c r="AR866" s="8"/>
      <c r="AS866" s="8"/>
      <c r="AT866" s="8"/>
      <c r="AU866" s="8"/>
      <c r="AV866" s="8"/>
    </row>
    <row r="867">
      <c r="A867" s="209"/>
      <c r="B867" s="210"/>
      <c r="C867" s="390"/>
      <c r="D867" s="209"/>
      <c r="E867" s="210"/>
      <c r="F867" s="390"/>
      <c r="G867" s="209"/>
      <c r="H867" s="210"/>
      <c r="I867" s="390"/>
      <c r="J867" s="209"/>
      <c r="K867" s="210"/>
      <c r="L867" s="390"/>
      <c r="M867" s="209"/>
      <c r="N867" s="210"/>
      <c r="O867" s="390"/>
      <c r="P867" s="209"/>
      <c r="Q867" s="210"/>
      <c r="R867" s="390"/>
      <c r="S867" s="209"/>
      <c r="T867" s="210"/>
      <c r="U867" s="390"/>
      <c r="V867" s="209"/>
      <c r="W867" s="210"/>
      <c r="X867" s="390"/>
      <c r="Y867" s="195"/>
      <c r="Z867" s="195"/>
      <c r="AA867" s="195"/>
      <c r="AB867" s="195"/>
      <c r="AC867" s="8"/>
      <c r="AD867" s="8"/>
      <c r="AE867" s="8"/>
      <c r="AF867" s="8"/>
      <c r="AG867" s="202"/>
      <c r="AH867" s="202"/>
      <c r="AI867" s="202"/>
      <c r="AJ867" s="202"/>
      <c r="AK867" s="8"/>
      <c r="AL867" s="8"/>
      <c r="AM867" s="8"/>
      <c r="AN867" s="8"/>
      <c r="AO867" s="8"/>
      <c r="AP867" s="8"/>
      <c r="AQ867" s="8"/>
      <c r="AR867" s="8"/>
      <c r="AS867" s="8"/>
      <c r="AT867" s="8"/>
      <c r="AU867" s="8"/>
      <c r="AV867" s="8"/>
    </row>
    <row r="868">
      <c r="A868" s="209"/>
      <c r="B868" s="210"/>
      <c r="C868" s="390"/>
      <c r="D868" s="209"/>
      <c r="E868" s="210"/>
      <c r="F868" s="390"/>
      <c r="G868" s="209"/>
      <c r="H868" s="210"/>
      <c r="I868" s="390"/>
      <c r="J868" s="209"/>
      <c r="K868" s="210"/>
      <c r="L868" s="390"/>
      <c r="M868" s="209"/>
      <c r="N868" s="210"/>
      <c r="O868" s="390"/>
      <c r="P868" s="209"/>
      <c r="Q868" s="210"/>
      <c r="R868" s="390"/>
      <c r="S868" s="209"/>
      <c r="T868" s="210"/>
      <c r="U868" s="390"/>
      <c r="V868" s="209"/>
      <c r="W868" s="210"/>
      <c r="X868" s="390"/>
      <c r="Y868" s="195"/>
      <c r="Z868" s="195"/>
      <c r="AA868" s="195"/>
      <c r="AB868" s="195"/>
      <c r="AC868" s="8"/>
      <c r="AD868" s="8"/>
      <c r="AE868" s="8"/>
      <c r="AF868" s="8"/>
      <c r="AG868" s="202"/>
      <c r="AH868" s="202"/>
      <c r="AI868" s="202"/>
      <c r="AJ868" s="202"/>
      <c r="AK868" s="8"/>
      <c r="AL868" s="8"/>
      <c r="AM868" s="8"/>
      <c r="AN868" s="8"/>
      <c r="AO868" s="8"/>
      <c r="AP868" s="8"/>
      <c r="AQ868" s="8"/>
      <c r="AR868" s="8"/>
      <c r="AS868" s="8"/>
      <c r="AT868" s="8"/>
      <c r="AU868" s="8"/>
      <c r="AV868" s="8"/>
    </row>
    <row r="869">
      <c r="A869" s="209"/>
      <c r="B869" s="210"/>
      <c r="C869" s="390"/>
      <c r="D869" s="209"/>
      <c r="E869" s="210"/>
      <c r="F869" s="390"/>
      <c r="G869" s="209"/>
      <c r="H869" s="210"/>
      <c r="I869" s="390"/>
      <c r="J869" s="209"/>
      <c r="K869" s="210"/>
      <c r="L869" s="390"/>
      <c r="M869" s="209"/>
      <c r="N869" s="210"/>
      <c r="O869" s="390"/>
      <c r="P869" s="209"/>
      <c r="Q869" s="210"/>
      <c r="R869" s="390"/>
      <c r="S869" s="209"/>
      <c r="T869" s="210"/>
      <c r="U869" s="390"/>
      <c r="V869" s="209"/>
      <c r="W869" s="210"/>
      <c r="X869" s="390"/>
      <c r="Y869" s="195"/>
      <c r="Z869" s="195"/>
      <c r="AA869" s="195"/>
      <c r="AB869" s="195"/>
      <c r="AC869" s="8"/>
      <c r="AD869" s="8"/>
      <c r="AE869" s="8"/>
      <c r="AF869" s="8"/>
      <c r="AG869" s="202"/>
      <c r="AH869" s="202"/>
      <c r="AI869" s="202"/>
      <c r="AJ869" s="202"/>
      <c r="AK869" s="8"/>
      <c r="AL869" s="8"/>
      <c r="AM869" s="8"/>
      <c r="AN869" s="8"/>
      <c r="AO869" s="8"/>
      <c r="AP869" s="8"/>
      <c r="AQ869" s="8"/>
      <c r="AR869" s="8"/>
      <c r="AS869" s="8"/>
      <c r="AT869" s="8"/>
      <c r="AU869" s="8"/>
      <c r="AV869" s="8"/>
    </row>
    <row r="870">
      <c r="A870" s="209"/>
      <c r="B870" s="210"/>
      <c r="C870" s="390"/>
      <c r="D870" s="209"/>
      <c r="E870" s="210"/>
      <c r="F870" s="390"/>
      <c r="G870" s="209"/>
      <c r="H870" s="210"/>
      <c r="I870" s="390"/>
      <c r="J870" s="209"/>
      <c r="K870" s="210"/>
      <c r="L870" s="390"/>
      <c r="M870" s="209"/>
      <c r="N870" s="210"/>
      <c r="O870" s="390"/>
      <c r="P870" s="209"/>
      <c r="Q870" s="210"/>
      <c r="R870" s="390"/>
      <c r="S870" s="209"/>
      <c r="T870" s="210"/>
      <c r="U870" s="390"/>
      <c r="V870" s="209"/>
      <c r="W870" s="210"/>
      <c r="X870" s="390"/>
      <c r="Y870" s="195"/>
      <c r="Z870" s="195"/>
      <c r="AA870" s="195"/>
      <c r="AB870" s="195"/>
      <c r="AC870" s="8"/>
      <c r="AD870" s="8"/>
      <c r="AE870" s="8"/>
      <c r="AF870" s="8"/>
      <c r="AG870" s="202"/>
      <c r="AH870" s="202"/>
      <c r="AI870" s="202"/>
      <c r="AJ870" s="202"/>
      <c r="AK870" s="8"/>
      <c r="AL870" s="8"/>
      <c r="AM870" s="8"/>
      <c r="AN870" s="8"/>
      <c r="AO870" s="8"/>
      <c r="AP870" s="8"/>
      <c r="AQ870" s="8"/>
      <c r="AR870" s="8"/>
      <c r="AS870" s="8"/>
      <c r="AT870" s="8"/>
      <c r="AU870" s="8"/>
      <c r="AV870" s="8"/>
    </row>
    <row r="871">
      <c r="A871" s="209"/>
      <c r="B871" s="210"/>
      <c r="C871" s="390"/>
      <c r="D871" s="209"/>
      <c r="E871" s="210"/>
      <c r="F871" s="390"/>
      <c r="G871" s="209"/>
      <c r="H871" s="210"/>
      <c r="I871" s="390"/>
      <c r="J871" s="209"/>
      <c r="K871" s="210"/>
      <c r="L871" s="390"/>
      <c r="M871" s="209"/>
      <c r="N871" s="210"/>
      <c r="O871" s="390"/>
      <c r="P871" s="209"/>
      <c r="Q871" s="210"/>
      <c r="R871" s="390"/>
      <c r="S871" s="209"/>
      <c r="T871" s="210"/>
      <c r="U871" s="390"/>
      <c r="V871" s="209"/>
      <c r="W871" s="210"/>
      <c r="X871" s="390"/>
      <c r="Y871" s="195"/>
      <c r="Z871" s="195"/>
      <c r="AA871" s="195"/>
      <c r="AB871" s="195"/>
      <c r="AC871" s="8"/>
      <c r="AD871" s="8"/>
      <c r="AE871" s="8"/>
      <c r="AF871" s="8"/>
      <c r="AG871" s="202"/>
      <c r="AH871" s="202"/>
      <c r="AI871" s="202"/>
      <c r="AJ871" s="202"/>
      <c r="AK871" s="8"/>
      <c r="AL871" s="8"/>
      <c r="AM871" s="8"/>
      <c r="AN871" s="8"/>
      <c r="AO871" s="8"/>
      <c r="AP871" s="8"/>
      <c r="AQ871" s="8"/>
      <c r="AR871" s="8"/>
      <c r="AS871" s="8"/>
      <c r="AT871" s="8"/>
      <c r="AU871" s="8"/>
      <c r="AV871" s="8"/>
    </row>
    <row r="872">
      <c r="A872" s="209"/>
      <c r="B872" s="210"/>
      <c r="C872" s="390"/>
      <c r="D872" s="209"/>
      <c r="E872" s="210"/>
      <c r="F872" s="390"/>
      <c r="G872" s="209"/>
      <c r="H872" s="210"/>
      <c r="I872" s="390"/>
      <c r="J872" s="209"/>
      <c r="K872" s="210"/>
      <c r="L872" s="390"/>
      <c r="M872" s="209"/>
      <c r="N872" s="210"/>
      <c r="O872" s="390"/>
      <c r="P872" s="209"/>
      <c r="Q872" s="210"/>
      <c r="R872" s="390"/>
      <c r="S872" s="209"/>
      <c r="T872" s="210"/>
      <c r="U872" s="390"/>
      <c r="V872" s="209"/>
      <c r="W872" s="210"/>
      <c r="X872" s="390"/>
      <c r="Y872" s="195"/>
      <c r="Z872" s="195"/>
      <c r="AA872" s="195"/>
      <c r="AB872" s="195"/>
      <c r="AC872" s="8"/>
      <c r="AD872" s="8"/>
      <c r="AE872" s="8"/>
      <c r="AF872" s="8"/>
      <c r="AG872" s="202"/>
      <c r="AH872" s="202"/>
      <c r="AI872" s="202"/>
      <c r="AJ872" s="202"/>
      <c r="AK872" s="8"/>
      <c r="AL872" s="8"/>
      <c r="AM872" s="8"/>
      <c r="AN872" s="8"/>
      <c r="AO872" s="8"/>
      <c r="AP872" s="8"/>
      <c r="AQ872" s="8"/>
      <c r="AR872" s="8"/>
      <c r="AS872" s="8"/>
      <c r="AT872" s="8"/>
      <c r="AU872" s="8"/>
      <c r="AV872" s="8"/>
    </row>
    <row r="873">
      <c r="A873" s="209"/>
      <c r="B873" s="210"/>
      <c r="C873" s="390"/>
      <c r="D873" s="209"/>
      <c r="E873" s="210"/>
      <c r="F873" s="390"/>
      <c r="G873" s="209"/>
      <c r="H873" s="210"/>
      <c r="I873" s="390"/>
      <c r="J873" s="209"/>
      <c r="K873" s="210"/>
      <c r="L873" s="390"/>
      <c r="M873" s="209"/>
      <c r="N873" s="210"/>
      <c r="O873" s="390"/>
      <c r="P873" s="209"/>
      <c r="Q873" s="210"/>
      <c r="R873" s="390"/>
      <c r="S873" s="209"/>
      <c r="T873" s="210"/>
      <c r="U873" s="390"/>
      <c r="V873" s="209"/>
      <c r="W873" s="210"/>
      <c r="X873" s="390"/>
      <c r="Y873" s="195"/>
      <c r="Z873" s="195"/>
      <c r="AA873" s="195"/>
      <c r="AB873" s="195"/>
      <c r="AC873" s="8"/>
      <c r="AD873" s="8"/>
      <c r="AE873" s="8"/>
      <c r="AF873" s="8"/>
      <c r="AG873" s="202"/>
      <c r="AH873" s="202"/>
      <c r="AI873" s="202"/>
      <c r="AJ873" s="202"/>
      <c r="AK873" s="8"/>
      <c r="AL873" s="8"/>
      <c r="AM873" s="8"/>
      <c r="AN873" s="8"/>
      <c r="AO873" s="8"/>
      <c r="AP873" s="8"/>
      <c r="AQ873" s="8"/>
      <c r="AR873" s="8"/>
      <c r="AS873" s="8"/>
      <c r="AT873" s="8"/>
      <c r="AU873" s="8"/>
      <c r="AV873" s="8"/>
    </row>
    <row r="874">
      <c r="A874" s="209"/>
      <c r="B874" s="210"/>
      <c r="C874" s="390"/>
      <c r="D874" s="209"/>
      <c r="E874" s="210"/>
      <c r="F874" s="390"/>
      <c r="G874" s="209"/>
      <c r="H874" s="210"/>
      <c r="I874" s="390"/>
      <c r="J874" s="209"/>
      <c r="K874" s="210"/>
      <c r="L874" s="390"/>
      <c r="M874" s="209"/>
      <c r="N874" s="210"/>
      <c r="O874" s="390"/>
      <c r="P874" s="209"/>
      <c r="Q874" s="210"/>
      <c r="R874" s="390"/>
      <c r="S874" s="209"/>
      <c r="T874" s="210"/>
      <c r="U874" s="390"/>
      <c r="V874" s="209"/>
      <c r="W874" s="210"/>
      <c r="X874" s="390"/>
      <c r="Y874" s="195"/>
      <c r="Z874" s="195"/>
      <c r="AA874" s="195"/>
      <c r="AB874" s="195"/>
      <c r="AC874" s="8"/>
      <c r="AD874" s="8"/>
      <c r="AE874" s="8"/>
      <c r="AF874" s="8"/>
      <c r="AG874" s="202"/>
      <c r="AH874" s="202"/>
      <c r="AI874" s="202"/>
      <c r="AJ874" s="202"/>
      <c r="AK874" s="8"/>
      <c r="AL874" s="8"/>
      <c r="AM874" s="8"/>
      <c r="AN874" s="8"/>
      <c r="AO874" s="8"/>
      <c r="AP874" s="8"/>
      <c r="AQ874" s="8"/>
      <c r="AR874" s="8"/>
      <c r="AS874" s="8"/>
      <c r="AT874" s="8"/>
      <c r="AU874" s="8"/>
      <c r="AV874" s="8"/>
    </row>
    <row r="875">
      <c r="A875" s="209"/>
      <c r="B875" s="210"/>
      <c r="C875" s="390"/>
      <c r="D875" s="209"/>
      <c r="E875" s="210"/>
      <c r="F875" s="390"/>
      <c r="G875" s="209"/>
      <c r="H875" s="210"/>
      <c r="I875" s="390"/>
      <c r="J875" s="209"/>
      <c r="K875" s="210"/>
      <c r="L875" s="390"/>
      <c r="M875" s="209"/>
      <c r="N875" s="210"/>
      <c r="O875" s="390"/>
      <c r="P875" s="209"/>
      <c r="Q875" s="210"/>
      <c r="R875" s="390"/>
      <c r="S875" s="209"/>
      <c r="T875" s="210"/>
      <c r="U875" s="390"/>
      <c r="V875" s="209"/>
      <c r="W875" s="210"/>
      <c r="X875" s="390"/>
      <c r="Y875" s="195"/>
      <c r="Z875" s="195"/>
      <c r="AA875" s="195"/>
      <c r="AB875" s="195"/>
      <c r="AC875" s="8"/>
      <c r="AD875" s="8"/>
      <c r="AE875" s="8"/>
      <c r="AF875" s="8"/>
      <c r="AG875" s="202"/>
      <c r="AH875" s="202"/>
      <c r="AI875" s="202"/>
      <c r="AJ875" s="202"/>
      <c r="AK875" s="8"/>
      <c r="AL875" s="8"/>
      <c r="AM875" s="8"/>
      <c r="AN875" s="8"/>
      <c r="AO875" s="8"/>
      <c r="AP875" s="8"/>
      <c r="AQ875" s="8"/>
      <c r="AR875" s="8"/>
      <c r="AS875" s="8"/>
      <c r="AT875" s="8"/>
      <c r="AU875" s="8"/>
      <c r="AV875" s="8"/>
    </row>
    <row r="876">
      <c r="A876" s="209"/>
      <c r="B876" s="210"/>
      <c r="C876" s="390"/>
      <c r="D876" s="209"/>
      <c r="E876" s="210"/>
      <c r="F876" s="390"/>
      <c r="G876" s="209"/>
      <c r="H876" s="210"/>
      <c r="I876" s="390"/>
      <c r="J876" s="209"/>
      <c r="K876" s="210"/>
      <c r="L876" s="390"/>
      <c r="M876" s="209"/>
      <c r="N876" s="210"/>
      <c r="O876" s="390"/>
      <c r="P876" s="209"/>
      <c r="Q876" s="210"/>
      <c r="R876" s="390"/>
      <c r="S876" s="209"/>
      <c r="T876" s="210"/>
      <c r="U876" s="390"/>
      <c r="V876" s="209"/>
      <c r="W876" s="210"/>
      <c r="X876" s="390"/>
      <c r="Y876" s="195"/>
      <c r="Z876" s="195"/>
      <c r="AA876" s="195"/>
      <c r="AB876" s="195"/>
      <c r="AC876" s="8"/>
      <c r="AD876" s="8"/>
      <c r="AE876" s="8"/>
      <c r="AF876" s="8"/>
      <c r="AG876" s="202"/>
      <c r="AH876" s="202"/>
      <c r="AI876" s="202"/>
      <c r="AJ876" s="202"/>
      <c r="AK876" s="8"/>
      <c r="AL876" s="8"/>
      <c r="AM876" s="8"/>
      <c r="AN876" s="8"/>
      <c r="AO876" s="8"/>
      <c r="AP876" s="8"/>
      <c r="AQ876" s="8"/>
      <c r="AR876" s="8"/>
      <c r="AS876" s="8"/>
      <c r="AT876" s="8"/>
      <c r="AU876" s="8"/>
      <c r="AV876" s="8"/>
    </row>
    <row r="877">
      <c r="A877" s="209"/>
      <c r="B877" s="210"/>
      <c r="C877" s="390"/>
      <c r="D877" s="209"/>
      <c r="E877" s="210"/>
      <c r="F877" s="390"/>
      <c r="G877" s="209"/>
      <c r="H877" s="210"/>
      <c r="I877" s="390"/>
      <c r="J877" s="209"/>
      <c r="K877" s="210"/>
      <c r="L877" s="390"/>
      <c r="M877" s="209"/>
      <c r="N877" s="210"/>
      <c r="O877" s="390"/>
      <c r="P877" s="209"/>
      <c r="Q877" s="210"/>
      <c r="R877" s="390"/>
      <c r="S877" s="209"/>
      <c r="T877" s="210"/>
      <c r="U877" s="390"/>
      <c r="V877" s="209"/>
      <c r="W877" s="210"/>
      <c r="X877" s="390"/>
      <c r="Y877" s="195"/>
      <c r="Z877" s="195"/>
      <c r="AA877" s="195"/>
      <c r="AB877" s="195"/>
      <c r="AC877" s="8"/>
      <c r="AD877" s="8"/>
      <c r="AE877" s="8"/>
      <c r="AF877" s="8"/>
      <c r="AG877" s="202"/>
      <c r="AH877" s="202"/>
      <c r="AI877" s="202"/>
      <c r="AJ877" s="202"/>
      <c r="AK877" s="8"/>
      <c r="AL877" s="8"/>
      <c r="AM877" s="8"/>
      <c r="AN877" s="8"/>
      <c r="AO877" s="8"/>
      <c r="AP877" s="8"/>
      <c r="AQ877" s="8"/>
      <c r="AR877" s="8"/>
      <c r="AS877" s="8"/>
      <c r="AT877" s="8"/>
      <c r="AU877" s="8"/>
      <c r="AV877" s="8"/>
    </row>
    <row r="878">
      <c r="A878" s="209"/>
      <c r="B878" s="210"/>
      <c r="C878" s="390"/>
      <c r="D878" s="209"/>
      <c r="E878" s="210"/>
      <c r="F878" s="390"/>
      <c r="G878" s="209"/>
      <c r="H878" s="210"/>
      <c r="I878" s="390"/>
      <c r="J878" s="209"/>
      <c r="K878" s="210"/>
      <c r="L878" s="390"/>
      <c r="M878" s="209"/>
      <c r="N878" s="210"/>
      <c r="O878" s="390"/>
      <c r="P878" s="209"/>
      <c r="Q878" s="210"/>
      <c r="R878" s="390"/>
      <c r="S878" s="209"/>
      <c r="T878" s="210"/>
      <c r="U878" s="390"/>
      <c r="V878" s="209"/>
      <c r="W878" s="210"/>
      <c r="X878" s="390"/>
      <c r="Y878" s="195"/>
      <c r="Z878" s="195"/>
      <c r="AA878" s="195"/>
      <c r="AB878" s="195"/>
      <c r="AC878" s="8"/>
      <c r="AD878" s="8"/>
      <c r="AE878" s="8"/>
      <c r="AF878" s="8"/>
      <c r="AG878" s="202"/>
      <c r="AH878" s="202"/>
      <c r="AI878" s="202"/>
      <c r="AJ878" s="202"/>
      <c r="AK878" s="8"/>
      <c r="AL878" s="8"/>
      <c r="AM878" s="8"/>
      <c r="AN878" s="8"/>
      <c r="AO878" s="8"/>
      <c r="AP878" s="8"/>
      <c r="AQ878" s="8"/>
      <c r="AR878" s="8"/>
      <c r="AS878" s="8"/>
      <c r="AT878" s="8"/>
      <c r="AU878" s="8"/>
      <c r="AV878" s="8"/>
    </row>
    <row r="879">
      <c r="A879" s="209"/>
      <c r="B879" s="210"/>
      <c r="C879" s="390"/>
      <c r="D879" s="209"/>
      <c r="E879" s="210"/>
      <c r="F879" s="390"/>
      <c r="G879" s="209"/>
      <c r="H879" s="210"/>
      <c r="I879" s="390"/>
      <c r="J879" s="209"/>
      <c r="K879" s="210"/>
      <c r="L879" s="390"/>
      <c r="M879" s="209"/>
      <c r="N879" s="210"/>
      <c r="O879" s="390"/>
      <c r="P879" s="209"/>
      <c r="Q879" s="210"/>
      <c r="R879" s="390"/>
      <c r="S879" s="209"/>
      <c r="T879" s="210"/>
      <c r="U879" s="390"/>
      <c r="V879" s="209"/>
      <c r="W879" s="210"/>
      <c r="X879" s="390"/>
      <c r="Y879" s="195"/>
      <c r="Z879" s="195"/>
      <c r="AA879" s="195"/>
      <c r="AB879" s="195"/>
      <c r="AC879" s="8"/>
      <c r="AD879" s="8"/>
      <c r="AE879" s="8"/>
      <c r="AF879" s="8"/>
      <c r="AG879" s="202"/>
      <c r="AH879" s="202"/>
      <c r="AI879" s="202"/>
      <c r="AJ879" s="202"/>
      <c r="AK879" s="8"/>
      <c r="AL879" s="8"/>
      <c r="AM879" s="8"/>
      <c r="AN879" s="8"/>
      <c r="AO879" s="8"/>
      <c r="AP879" s="8"/>
      <c r="AQ879" s="8"/>
      <c r="AR879" s="8"/>
      <c r="AS879" s="8"/>
      <c r="AT879" s="8"/>
      <c r="AU879" s="8"/>
      <c r="AV879" s="8"/>
    </row>
    <row r="880">
      <c r="A880" s="209"/>
      <c r="B880" s="210"/>
      <c r="C880" s="390"/>
      <c r="D880" s="209"/>
      <c r="E880" s="210"/>
      <c r="F880" s="390"/>
      <c r="G880" s="209"/>
      <c r="H880" s="210"/>
      <c r="I880" s="390"/>
      <c r="J880" s="209"/>
      <c r="K880" s="210"/>
      <c r="L880" s="390"/>
      <c r="M880" s="209"/>
      <c r="N880" s="210"/>
      <c r="O880" s="390"/>
      <c r="P880" s="209"/>
      <c r="Q880" s="210"/>
      <c r="R880" s="390"/>
      <c r="S880" s="209"/>
      <c r="T880" s="210"/>
      <c r="U880" s="390"/>
      <c r="V880" s="209"/>
      <c r="W880" s="210"/>
      <c r="X880" s="390"/>
      <c r="Y880" s="195"/>
      <c r="Z880" s="195"/>
      <c r="AA880" s="195"/>
      <c r="AB880" s="195"/>
      <c r="AC880" s="8"/>
      <c r="AD880" s="8"/>
      <c r="AE880" s="8"/>
      <c r="AF880" s="8"/>
      <c r="AG880" s="202"/>
      <c r="AH880" s="202"/>
      <c r="AI880" s="202"/>
      <c r="AJ880" s="202"/>
      <c r="AK880" s="8"/>
      <c r="AL880" s="8"/>
      <c r="AM880" s="8"/>
      <c r="AN880" s="8"/>
      <c r="AO880" s="8"/>
      <c r="AP880" s="8"/>
      <c r="AQ880" s="8"/>
      <c r="AR880" s="8"/>
      <c r="AS880" s="8"/>
      <c r="AT880" s="8"/>
      <c r="AU880" s="8"/>
      <c r="AV880" s="8"/>
    </row>
    <row r="881">
      <c r="A881" s="209"/>
      <c r="B881" s="210"/>
      <c r="C881" s="390"/>
      <c r="D881" s="209"/>
      <c r="E881" s="210"/>
      <c r="F881" s="390"/>
      <c r="G881" s="209"/>
      <c r="H881" s="210"/>
      <c r="I881" s="390"/>
      <c r="J881" s="209"/>
      <c r="K881" s="210"/>
      <c r="L881" s="390"/>
      <c r="M881" s="209"/>
      <c r="N881" s="210"/>
      <c r="O881" s="390"/>
      <c r="P881" s="209"/>
      <c r="Q881" s="210"/>
      <c r="R881" s="390"/>
      <c r="S881" s="209"/>
      <c r="T881" s="210"/>
      <c r="U881" s="390"/>
      <c r="V881" s="209"/>
      <c r="W881" s="210"/>
      <c r="X881" s="390"/>
      <c r="Y881" s="195"/>
      <c r="Z881" s="195"/>
      <c r="AA881" s="195"/>
      <c r="AB881" s="195"/>
      <c r="AC881" s="8"/>
      <c r="AD881" s="8"/>
      <c r="AE881" s="8"/>
      <c r="AF881" s="8"/>
      <c r="AG881" s="202"/>
      <c r="AH881" s="202"/>
      <c r="AI881" s="202"/>
      <c r="AJ881" s="202"/>
      <c r="AK881" s="8"/>
      <c r="AL881" s="8"/>
      <c r="AM881" s="8"/>
      <c r="AN881" s="8"/>
      <c r="AO881" s="8"/>
      <c r="AP881" s="8"/>
      <c r="AQ881" s="8"/>
      <c r="AR881" s="8"/>
      <c r="AS881" s="8"/>
      <c r="AT881" s="8"/>
      <c r="AU881" s="8"/>
      <c r="AV881" s="8"/>
    </row>
    <row r="882">
      <c r="A882" s="209"/>
      <c r="B882" s="210"/>
      <c r="C882" s="390"/>
      <c r="D882" s="209"/>
      <c r="E882" s="210"/>
      <c r="F882" s="390"/>
      <c r="G882" s="209"/>
      <c r="H882" s="210"/>
      <c r="I882" s="390"/>
      <c r="J882" s="209"/>
      <c r="K882" s="210"/>
      <c r="L882" s="390"/>
      <c r="M882" s="209"/>
      <c r="N882" s="210"/>
      <c r="O882" s="390"/>
      <c r="P882" s="209"/>
      <c r="Q882" s="210"/>
      <c r="R882" s="390"/>
      <c r="S882" s="209"/>
      <c r="T882" s="210"/>
      <c r="U882" s="390"/>
      <c r="V882" s="209"/>
      <c r="W882" s="210"/>
      <c r="X882" s="390"/>
      <c r="Y882" s="195"/>
      <c r="Z882" s="195"/>
      <c r="AA882" s="195"/>
      <c r="AB882" s="195"/>
      <c r="AC882" s="8"/>
      <c r="AD882" s="8"/>
      <c r="AE882" s="8"/>
      <c r="AF882" s="8"/>
      <c r="AG882" s="202"/>
      <c r="AH882" s="202"/>
      <c r="AI882" s="202"/>
      <c r="AJ882" s="202"/>
      <c r="AK882" s="8"/>
      <c r="AL882" s="8"/>
      <c r="AM882" s="8"/>
      <c r="AN882" s="8"/>
      <c r="AO882" s="8"/>
      <c r="AP882" s="8"/>
      <c r="AQ882" s="8"/>
      <c r="AR882" s="8"/>
      <c r="AS882" s="8"/>
      <c r="AT882" s="8"/>
      <c r="AU882" s="8"/>
      <c r="AV882" s="8"/>
    </row>
    <row r="883">
      <c r="A883" s="209"/>
      <c r="B883" s="210"/>
      <c r="C883" s="390"/>
      <c r="D883" s="209"/>
      <c r="E883" s="210"/>
      <c r="F883" s="390"/>
      <c r="G883" s="209"/>
      <c r="H883" s="210"/>
      <c r="I883" s="390"/>
      <c r="J883" s="209"/>
      <c r="K883" s="210"/>
      <c r="L883" s="390"/>
      <c r="M883" s="209"/>
      <c r="N883" s="210"/>
      <c r="O883" s="390"/>
      <c r="P883" s="209"/>
      <c r="Q883" s="210"/>
      <c r="R883" s="390"/>
      <c r="S883" s="209"/>
      <c r="T883" s="210"/>
      <c r="U883" s="390"/>
      <c r="V883" s="209"/>
      <c r="W883" s="210"/>
      <c r="X883" s="390"/>
      <c r="Y883" s="195"/>
      <c r="Z883" s="195"/>
      <c r="AA883" s="195"/>
      <c r="AB883" s="195"/>
      <c r="AC883" s="8"/>
      <c r="AD883" s="8"/>
      <c r="AE883" s="8"/>
      <c r="AF883" s="8"/>
      <c r="AG883" s="202"/>
      <c r="AH883" s="202"/>
      <c r="AI883" s="202"/>
      <c r="AJ883" s="202"/>
      <c r="AK883" s="8"/>
      <c r="AL883" s="8"/>
      <c r="AM883" s="8"/>
      <c r="AN883" s="8"/>
      <c r="AO883" s="8"/>
      <c r="AP883" s="8"/>
      <c r="AQ883" s="8"/>
      <c r="AR883" s="8"/>
      <c r="AS883" s="8"/>
      <c r="AT883" s="8"/>
      <c r="AU883" s="8"/>
      <c r="AV883" s="8"/>
    </row>
    <row r="884">
      <c r="A884" s="209"/>
      <c r="B884" s="210"/>
      <c r="C884" s="390"/>
      <c r="D884" s="209"/>
      <c r="E884" s="210"/>
      <c r="F884" s="390"/>
      <c r="G884" s="209"/>
      <c r="H884" s="210"/>
      <c r="I884" s="390"/>
      <c r="J884" s="209"/>
      <c r="K884" s="210"/>
      <c r="L884" s="390"/>
      <c r="M884" s="209"/>
      <c r="N884" s="210"/>
      <c r="O884" s="390"/>
      <c r="P884" s="209"/>
      <c r="Q884" s="210"/>
      <c r="R884" s="390"/>
      <c r="S884" s="209"/>
      <c r="T884" s="210"/>
      <c r="U884" s="390"/>
      <c r="V884" s="209"/>
      <c r="W884" s="210"/>
      <c r="X884" s="390"/>
      <c r="Y884" s="195"/>
      <c r="Z884" s="195"/>
      <c r="AA884" s="195"/>
      <c r="AB884" s="195"/>
      <c r="AC884" s="8"/>
      <c r="AD884" s="8"/>
      <c r="AE884" s="8"/>
      <c r="AF884" s="8"/>
      <c r="AG884" s="202"/>
      <c r="AH884" s="202"/>
      <c r="AI884" s="202"/>
      <c r="AJ884" s="202"/>
      <c r="AK884" s="8"/>
      <c r="AL884" s="8"/>
      <c r="AM884" s="8"/>
      <c r="AN884" s="8"/>
      <c r="AO884" s="8"/>
      <c r="AP884" s="8"/>
      <c r="AQ884" s="8"/>
      <c r="AR884" s="8"/>
      <c r="AS884" s="8"/>
      <c r="AT884" s="8"/>
      <c r="AU884" s="8"/>
      <c r="AV884" s="8"/>
    </row>
    <row r="885">
      <c r="A885" s="209"/>
      <c r="B885" s="210"/>
      <c r="C885" s="390"/>
      <c r="D885" s="209"/>
      <c r="E885" s="210"/>
      <c r="F885" s="390"/>
      <c r="G885" s="209"/>
      <c r="H885" s="210"/>
      <c r="I885" s="390"/>
      <c r="J885" s="209"/>
      <c r="K885" s="210"/>
      <c r="L885" s="390"/>
      <c r="M885" s="209"/>
      <c r="N885" s="210"/>
      <c r="O885" s="390"/>
      <c r="P885" s="209"/>
      <c r="Q885" s="210"/>
      <c r="R885" s="390"/>
      <c r="S885" s="209"/>
      <c r="T885" s="210"/>
      <c r="U885" s="390"/>
      <c r="V885" s="209"/>
      <c r="W885" s="210"/>
      <c r="X885" s="390"/>
      <c r="Y885" s="195"/>
      <c r="Z885" s="195"/>
      <c r="AA885" s="195"/>
      <c r="AB885" s="195"/>
      <c r="AC885" s="8"/>
      <c r="AD885" s="8"/>
      <c r="AE885" s="8"/>
      <c r="AF885" s="8"/>
      <c r="AG885" s="202"/>
      <c r="AH885" s="202"/>
      <c r="AI885" s="202"/>
      <c r="AJ885" s="202"/>
      <c r="AK885" s="8"/>
      <c r="AL885" s="8"/>
      <c r="AM885" s="8"/>
      <c r="AN885" s="8"/>
      <c r="AO885" s="8"/>
      <c r="AP885" s="8"/>
      <c r="AQ885" s="8"/>
      <c r="AR885" s="8"/>
      <c r="AS885" s="8"/>
      <c r="AT885" s="8"/>
      <c r="AU885" s="8"/>
      <c r="AV885" s="8"/>
    </row>
    <row r="886">
      <c r="A886" s="209"/>
      <c r="B886" s="210"/>
      <c r="C886" s="390"/>
      <c r="D886" s="209"/>
      <c r="E886" s="210"/>
      <c r="F886" s="390"/>
      <c r="G886" s="209"/>
      <c r="H886" s="210"/>
      <c r="I886" s="390"/>
      <c r="J886" s="209"/>
      <c r="K886" s="210"/>
      <c r="L886" s="390"/>
      <c r="M886" s="209"/>
      <c r="N886" s="210"/>
      <c r="O886" s="390"/>
      <c r="P886" s="209"/>
      <c r="Q886" s="210"/>
      <c r="R886" s="390"/>
      <c r="S886" s="209"/>
      <c r="T886" s="210"/>
      <c r="U886" s="390"/>
      <c r="V886" s="209"/>
      <c r="W886" s="210"/>
      <c r="X886" s="390"/>
      <c r="Y886" s="195"/>
      <c r="Z886" s="195"/>
      <c r="AA886" s="195"/>
      <c r="AB886" s="195"/>
      <c r="AC886" s="8"/>
      <c r="AD886" s="8"/>
      <c r="AE886" s="8"/>
      <c r="AF886" s="8"/>
      <c r="AG886" s="202"/>
      <c r="AH886" s="202"/>
      <c r="AI886" s="202"/>
      <c r="AJ886" s="202"/>
      <c r="AK886" s="8"/>
      <c r="AL886" s="8"/>
      <c r="AM886" s="8"/>
      <c r="AN886" s="8"/>
      <c r="AO886" s="8"/>
      <c r="AP886" s="8"/>
      <c r="AQ886" s="8"/>
      <c r="AR886" s="8"/>
      <c r="AS886" s="8"/>
      <c r="AT886" s="8"/>
      <c r="AU886" s="8"/>
      <c r="AV886" s="8"/>
    </row>
    <row r="887">
      <c r="A887" s="209"/>
      <c r="B887" s="210"/>
      <c r="C887" s="390"/>
      <c r="D887" s="209"/>
      <c r="E887" s="210"/>
      <c r="F887" s="390"/>
      <c r="G887" s="209"/>
      <c r="H887" s="210"/>
      <c r="I887" s="390"/>
      <c r="J887" s="209"/>
      <c r="K887" s="210"/>
      <c r="L887" s="390"/>
      <c r="M887" s="209"/>
      <c r="N887" s="210"/>
      <c r="O887" s="390"/>
      <c r="P887" s="209"/>
      <c r="Q887" s="210"/>
      <c r="R887" s="390"/>
      <c r="S887" s="209"/>
      <c r="T887" s="210"/>
      <c r="U887" s="390"/>
      <c r="V887" s="209"/>
      <c r="W887" s="210"/>
      <c r="X887" s="390"/>
      <c r="Y887" s="195"/>
      <c r="Z887" s="195"/>
      <c r="AA887" s="195"/>
      <c r="AB887" s="195"/>
      <c r="AC887" s="8"/>
      <c r="AD887" s="8"/>
      <c r="AE887" s="8"/>
      <c r="AF887" s="8"/>
      <c r="AG887" s="202"/>
      <c r="AH887" s="202"/>
      <c r="AI887" s="202"/>
      <c r="AJ887" s="202"/>
      <c r="AK887" s="8"/>
      <c r="AL887" s="8"/>
      <c r="AM887" s="8"/>
      <c r="AN887" s="8"/>
      <c r="AO887" s="8"/>
      <c r="AP887" s="8"/>
      <c r="AQ887" s="8"/>
      <c r="AR887" s="8"/>
      <c r="AS887" s="8"/>
      <c r="AT887" s="8"/>
      <c r="AU887" s="8"/>
      <c r="AV887" s="8"/>
    </row>
    <row r="888">
      <c r="A888" s="209"/>
      <c r="B888" s="210"/>
      <c r="C888" s="390"/>
      <c r="D888" s="209"/>
      <c r="E888" s="210"/>
      <c r="F888" s="390"/>
      <c r="G888" s="209"/>
      <c r="H888" s="210"/>
      <c r="I888" s="390"/>
      <c r="J888" s="209"/>
      <c r="K888" s="210"/>
      <c r="L888" s="390"/>
      <c r="M888" s="209"/>
      <c r="N888" s="210"/>
      <c r="O888" s="390"/>
      <c r="P888" s="209"/>
      <c r="Q888" s="210"/>
      <c r="R888" s="390"/>
      <c r="S888" s="209"/>
      <c r="T888" s="210"/>
      <c r="U888" s="390"/>
      <c r="V888" s="209"/>
      <c r="W888" s="210"/>
      <c r="X888" s="390"/>
      <c r="Y888" s="195"/>
      <c r="Z888" s="195"/>
      <c r="AA888" s="195"/>
      <c r="AB888" s="195"/>
      <c r="AC888" s="8"/>
      <c r="AD888" s="8"/>
      <c r="AE888" s="8"/>
      <c r="AF888" s="8"/>
      <c r="AG888" s="202"/>
      <c r="AH888" s="202"/>
      <c r="AI888" s="202"/>
      <c r="AJ888" s="202"/>
      <c r="AK888" s="8"/>
      <c r="AL888" s="8"/>
      <c r="AM888" s="8"/>
      <c r="AN888" s="8"/>
      <c r="AO888" s="8"/>
      <c r="AP888" s="8"/>
      <c r="AQ888" s="8"/>
      <c r="AR888" s="8"/>
      <c r="AS888" s="8"/>
      <c r="AT888" s="8"/>
      <c r="AU888" s="8"/>
      <c r="AV888" s="8"/>
    </row>
    <row r="889">
      <c r="A889" s="209"/>
      <c r="B889" s="210"/>
      <c r="C889" s="390"/>
      <c r="D889" s="209"/>
      <c r="E889" s="210"/>
      <c r="F889" s="390"/>
      <c r="G889" s="209"/>
      <c r="H889" s="210"/>
      <c r="I889" s="390"/>
      <c r="J889" s="209"/>
      <c r="K889" s="210"/>
      <c r="L889" s="390"/>
      <c r="M889" s="209"/>
      <c r="N889" s="210"/>
      <c r="O889" s="390"/>
      <c r="P889" s="209"/>
      <c r="Q889" s="210"/>
      <c r="R889" s="390"/>
      <c r="S889" s="209"/>
      <c r="T889" s="210"/>
      <c r="U889" s="390"/>
      <c r="V889" s="209"/>
      <c r="W889" s="210"/>
      <c r="X889" s="390"/>
      <c r="Y889" s="195"/>
      <c r="Z889" s="195"/>
      <c r="AA889" s="195"/>
      <c r="AB889" s="195"/>
      <c r="AC889" s="8"/>
      <c r="AD889" s="8"/>
      <c r="AE889" s="8"/>
      <c r="AF889" s="8"/>
      <c r="AG889" s="202"/>
      <c r="AH889" s="202"/>
      <c r="AI889" s="202"/>
      <c r="AJ889" s="202"/>
      <c r="AK889" s="8"/>
      <c r="AL889" s="8"/>
      <c r="AM889" s="8"/>
      <c r="AN889" s="8"/>
      <c r="AO889" s="8"/>
      <c r="AP889" s="8"/>
      <c r="AQ889" s="8"/>
      <c r="AR889" s="8"/>
      <c r="AS889" s="8"/>
      <c r="AT889" s="8"/>
      <c r="AU889" s="8"/>
      <c r="AV889" s="8"/>
    </row>
    <row r="890">
      <c r="A890" s="209"/>
      <c r="B890" s="210"/>
      <c r="C890" s="390"/>
      <c r="D890" s="209"/>
      <c r="E890" s="210"/>
      <c r="F890" s="390"/>
      <c r="G890" s="209"/>
      <c r="H890" s="210"/>
      <c r="I890" s="390"/>
      <c r="J890" s="209"/>
      <c r="K890" s="210"/>
      <c r="L890" s="390"/>
      <c r="M890" s="209"/>
      <c r="N890" s="210"/>
      <c r="O890" s="390"/>
      <c r="P890" s="209"/>
      <c r="Q890" s="210"/>
      <c r="R890" s="390"/>
      <c r="S890" s="209"/>
      <c r="T890" s="210"/>
      <c r="U890" s="390"/>
      <c r="V890" s="209"/>
      <c r="W890" s="210"/>
      <c r="X890" s="390"/>
      <c r="Y890" s="195"/>
      <c r="Z890" s="195"/>
      <c r="AA890" s="195"/>
      <c r="AB890" s="195"/>
      <c r="AC890" s="8"/>
      <c r="AD890" s="8"/>
      <c r="AE890" s="8"/>
      <c r="AF890" s="8"/>
      <c r="AG890" s="202"/>
      <c r="AH890" s="202"/>
      <c r="AI890" s="202"/>
      <c r="AJ890" s="202"/>
      <c r="AK890" s="8"/>
      <c r="AL890" s="8"/>
      <c r="AM890" s="8"/>
      <c r="AN890" s="8"/>
      <c r="AO890" s="8"/>
      <c r="AP890" s="8"/>
      <c r="AQ890" s="8"/>
      <c r="AR890" s="8"/>
      <c r="AS890" s="8"/>
      <c r="AT890" s="8"/>
      <c r="AU890" s="8"/>
      <c r="AV890" s="8"/>
    </row>
    <row r="891">
      <c r="A891" s="209"/>
      <c r="B891" s="210"/>
      <c r="C891" s="390"/>
      <c r="D891" s="209"/>
      <c r="E891" s="210"/>
      <c r="F891" s="390"/>
      <c r="G891" s="209"/>
      <c r="H891" s="210"/>
      <c r="I891" s="390"/>
      <c r="J891" s="209"/>
      <c r="K891" s="210"/>
      <c r="L891" s="390"/>
      <c r="M891" s="209"/>
      <c r="N891" s="210"/>
      <c r="O891" s="390"/>
      <c r="P891" s="209"/>
      <c r="Q891" s="210"/>
      <c r="R891" s="390"/>
      <c r="S891" s="209"/>
      <c r="T891" s="210"/>
      <c r="U891" s="390"/>
      <c r="V891" s="209"/>
      <c r="W891" s="210"/>
      <c r="X891" s="390"/>
      <c r="Y891" s="195"/>
      <c r="Z891" s="195"/>
      <c r="AA891" s="195"/>
      <c r="AB891" s="195"/>
      <c r="AC891" s="8"/>
      <c r="AD891" s="8"/>
      <c r="AE891" s="8"/>
      <c r="AF891" s="8"/>
      <c r="AG891" s="202"/>
      <c r="AH891" s="202"/>
      <c r="AI891" s="202"/>
      <c r="AJ891" s="202"/>
      <c r="AK891" s="8"/>
      <c r="AL891" s="8"/>
      <c r="AM891" s="8"/>
      <c r="AN891" s="8"/>
      <c r="AO891" s="8"/>
      <c r="AP891" s="8"/>
      <c r="AQ891" s="8"/>
      <c r="AR891" s="8"/>
      <c r="AS891" s="8"/>
      <c r="AT891" s="8"/>
      <c r="AU891" s="8"/>
      <c r="AV891" s="8"/>
    </row>
    <row r="892">
      <c r="A892" s="209"/>
      <c r="B892" s="210"/>
      <c r="C892" s="390"/>
      <c r="D892" s="209"/>
      <c r="E892" s="210"/>
      <c r="F892" s="390"/>
      <c r="G892" s="209"/>
      <c r="H892" s="210"/>
      <c r="I892" s="390"/>
      <c r="J892" s="209"/>
      <c r="K892" s="210"/>
      <c r="L892" s="390"/>
      <c r="M892" s="209"/>
      <c r="N892" s="210"/>
      <c r="O892" s="390"/>
      <c r="P892" s="209"/>
      <c r="Q892" s="210"/>
      <c r="R892" s="390"/>
      <c r="S892" s="209"/>
      <c r="T892" s="210"/>
      <c r="U892" s="390"/>
      <c r="V892" s="209"/>
      <c r="W892" s="210"/>
      <c r="X892" s="390"/>
      <c r="Y892" s="195"/>
      <c r="Z892" s="195"/>
      <c r="AA892" s="195"/>
      <c r="AB892" s="195"/>
      <c r="AC892" s="8"/>
      <c r="AD892" s="8"/>
      <c r="AE892" s="8"/>
      <c r="AF892" s="8"/>
      <c r="AG892" s="202"/>
      <c r="AH892" s="202"/>
      <c r="AI892" s="202"/>
      <c r="AJ892" s="202"/>
      <c r="AK892" s="8"/>
      <c r="AL892" s="8"/>
      <c r="AM892" s="8"/>
      <c r="AN892" s="8"/>
      <c r="AO892" s="8"/>
      <c r="AP892" s="8"/>
      <c r="AQ892" s="8"/>
      <c r="AR892" s="8"/>
      <c r="AS892" s="8"/>
      <c r="AT892" s="8"/>
      <c r="AU892" s="8"/>
      <c r="AV892" s="8"/>
    </row>
    <row r="893">
      <c r="A893" s="209"/>
      <c r="B893" s="210"/>
      <c r="C893" s="390"/>
      <c r="D893" s="209"/>
      <c r="E893" s="210"/>
      <c r="F893" s="390"/>
      <c r="G893" s="209"/>
      <c r="H893" s="210"/>
      <c r="I893" s="390"/>
      <c r="J893" s="209"/>
      <c r="K893" s="210"/>
      <c r="L893" s="390"/>
      <c r="M893" s="209"/>
      <c r="N893" s="210"/>
      <c r="O893" s="390"/>
      <c r="P893" s="209"/>
      <c r="Q893" s="210"/>
      <c r="R893" s="390"/>
      <c r="S893" s="209"/>
      <c r="T893" s="210"/>
      <c r="U893" s="390"/>
      <c r="V893" s="209"/>
      <c r="W893" s="210"/>
      <c r="X893" s="390"/>
      <c r="Y893" s="195"/>
      <c r="Z893" s="195"/>
      <c r="AA893" s="195"/>
      <c r="AB893" s="195"/>
      <c r="AC893" s="8"/>
      <c r="AD893" s="8"/>
      <c r="AE893" s="8"/>
      <c r="AF893" s="8"/>
      <c r="AG893" s="202"/>
      <c r="AH893" s="202"/>
      <c r="AI893" s="202"/>
      <c r="AJ893" s="202"/>
      <c r="AK893" s="8"/>
      <c r="AL893" s="8"/>
      <c r="AM893" s="8"/>
      <c r="AN893" s="8"/>
      <c r="AO893" s="8"/>
      <c r="AP893" s="8"/>
      <c r="AQ893" s="8"/>
      <c r="AR893" s="8"/>
      <c r="AS893" s="8"/>
      <c r="AT893" s="8"/>
      <c r="AU893" s="8"/>
      <c r="AV893" s="8"/>
    </row>
    <row r="894">
      <c r="A894" s="209"/>
      <c r="B894" s="210"/>
      <c r="C894" s="390"/>
      <c r="D894" s="209"/>
      <c r="E894" s="210"/>
      <c r="F894" s="390"/>
      <c r="G894" s="209"/>
      <c r="H894" s="210"/>
      <c r="I894" s="390"/>
      <c r="J894" s="209"/>
      <c r="K894" s="210"/>
      <c r="L894" s="390"/>
      <c r="M894" s="209"/>
      <c r="N894" s="210"/>
      <c r="O894" s="390"/>
      <c r="P894" s="209"/>
      <c r="Q894" s="210"/>
      <c r="R894" s="390"/>
      <c r="S894" s="209"/>
      <c r="T894" s="210"/>
      <c r="U894" s="390"/>
      <c r="V894" s="209"/>
      <c r="W894" s="210"/>
      <c r="X894" s="390"/>
      <c r="Y894" s="195"/>
      <c r="Z894" s="195"/>
      <c r="AA894" s="195"/>
      <c r="AB894" s="195"/>
      <c r="AC894" s="8"/>
      <c r="AD894" s="8"/>
      <c r="AE894" s="8"/>
      <c r="AF894" s="8"/>
      <c r="AG894" s="202"/>
      <c r="AH894" s="202"/>
      <c r="AI894" s="202"/>
      <c r="AJ894" s="202"/>
      <c r="AK894" s="8"/>
      <c r="AL894" s="8"/>
      <c r="AM894" s="8"/>
      <c r="AN894" s="8"/>
      <c r="AO894" s="8"/>
      <c r="AP894" s="8"/>
      <c r="AQ894" s="8"/>
      <c r="AR894" s="8"/>
      <c r="AS894" s="8"/>
      <c r="AT894" s="8"/>
      <c r="AU894" s="8"/>
      <c r="AV894" s="8"/>
    </row>
    <row r="895">
      <c r="A895" s="209"/>
      <c r="B895" s="210"/>
      <c r="C895" s="390"/>
      <c r="D895" s="209"/>
      <c r="E895" s="210"/>
      <c r="F895" s="390"/>
      <c r="G895" s="209"/>
      <c r="H895" s="210"/>
      <c r="I895" s="390"/>
      <c r="J895" s="209"/>
      <c r="K895" s="210"/>
      <c r="L895" s="390"/>
      <c r="M895" s="209"/>
      <c r="N895" s="210"/>
      <c r="O895" s="390"/>
      <c r="P895" s="209"/>
      <c r="Q895" s="210"/>
      <c r="R895" s="390"/>
      <c r="S895" s="209"/>
      <c r="T895" s="210"/>
      <c r="U895" s="390"/>
      <c r="V895" s="209"/>
      <c r="W895" s="210"/>
      <c r="X895" s="390"/>
      <c r="Y895" s="195"/>
      <c r="Z895" s="195"/>
      <c r="AA895" s="195"/>
      <c r="AB895" s="195"/>
      <c r="AC895" s="8"/>
      <c r="AD895" s="8"/>
      <c r="AE895" s="8"/>
      <c r="AF895" s="8"/>
      <c r="AG895" s="202"/>
      <c r="AH895" s="202"/>
      <c r="AI895" s="202"/>
      <c r="AJ895" s="202"/>
      <c r="AK895" s="8"/>
      <c r="AL895" s="8"/>
      <c r="AM895" s="8"/>
      <c r="AN895" s="8"/>
      <c r="AO895" s="8"/>
      <c r="AP895" s="8"/>
      <c r="AQ895" s="8"/>
      <c r="AR895" s="8"/>
      <c r="AS895" s="8"/>
      <c r="AT895" s="8"/>
      <c r="AU895" s="8"/>
      <c r="AV895" s="8"/>
    </row>
    <row r="896">
      <c r="A896" s="209"/>
      <c r="B896" s="210"/>
      <c r="C896" s="390"/>
      <c r="D896" s="209"/>
      <c r="E896" s="210"/>
      <c r="F896" s="390"/>
      <c r="G896" s="209"/>
      <c r="H896" s="210"/>
      <c r="I896" s="390"/>
      <c r="J896" s="209"/>
      <c r="K896" s="210"/>
      <c r="L896" s="390"/>
      <c r="M896" s="209"/>
      <c r="N896" s="210"/>
      <c r="O896" s="390"/>
      <c r="P896" s="209"/>
      <c r="Q896" s="210"/>
      <c r="R896" s="390"/>
      <c r="S896" s="209"/>
      <c r="T896" s="210"/>
      <c r="U896" s="390"/>
      <c r="V896" s="209"/>
      <c r="W896" s="210"/>
      <c r="X896" s="390"/>
      <c r="Y896" s="195"/>
      <c r="Z896" s="195"/>
      <c r="AA896" s="195"/>
      <c r="AB896" s="195"/>
      <c r="AC896" s="8"/>
      <c r="AD896" s="8"/>
      <c r="AE896" s="8"/>
      <c r="AF896" s="8"/>
      <c r="AG896" s="202"/>
      <c r="AH896" s="202"/>
      <c r="AI896" s="202"/>
      <c r="AJ896" s="202"/>
      <c r="AK896" s="8"/>
      <c r="AL896" s="8"/>
      <c r="AM896" s="8"/>
      <c r="AN896" s="8"/>
      <c r="AO896" s="8"/>
      <c r="AP896" s="8"/>
      <c r="AQ896" s="8"/>
      <c r="AR896" s="8"/>
      <c r="AS896" s="8"/>
      <c r="AT896" s="8"/>
      <c r="AU896" s="8"/>
      <c r="AV896" s="8"/>
    </row>
    <row r="897">
      <c r="A897" s="209"/>
      <c r="B897" s="210"/>
      <c r="C897" s="390"/>
      <c r="D897" s="209"/>
      <c r="E897" s="210"/>
      <c r="F897" s="390"/>
      <c r="G897" s="209"/>
      <c r="H897" s="210"/>
      <c r="I897" s="390"/>
      <c r="J897" s="209"/>
      <c r="K897" s="210"/>
      <c r="L897" s="390"/>
      <c r="M897" s="209"/>
      <c r="N897" s="210"/>
      <c r="O897" s="390"/>
      <c r="P897" s="209"/>
      <c r="Q897" s="210"/>
      <c r="R897" s="390"/>
      <c r="S897" s="209"/>
      <c r="T897" s="210"/>
      <c r="U897" s="390"/>
      <c r="V897" s="209"/>
      <c r="W897" s="210"/>
      <c r="X897" s="390"/>
      <c r="Y897" s="195"/>
      <c r="Z897" s="195"/>
      <c r="AA897" s="195"/>
      <c r="AB897" s="195"/>
      <c r="AC897" s="8"/>
      <c r="AD897" s="8"/>
      <c r="AE897" s="8"/>
      <c r="AF897" s="8"/>
      <c r="AG897" s="202"/>
      <c r="AH897" s="202"/>
      <c r="AI897" s="202"/>
      <c r="AJ897" s="202"/>
      <c r="AK897" s="8"/>
      <c r="AL897" s="8"/>
      <c r="AM897" s="8"/>
      <c r="AN897" s="8"/>
      <c r="AO897" s="8"/>
      <c r="AP897" s="8"/>
      <c r="AQ897" s="8"/>
      <c r="AR897" s="8"/>
      <c r="AS897" s="8"/>
      <c r="AT897" s="8"/>
      <c r="AU897" s="8"/>
      <c r="AV897" s="8"/>
    </row>
    <row r="898">
      <c r="A898" s="209"/>
      <c r="B898" s="210"/>
      <c r="C898" s="390"/>
      <c r="D898" s="209"/>
      <c r="E898" s="210"/>
      <c r="F898" s="390"/>
      <c r="G898" s="209"/>
      <c r="H898" s="210"/>
      <c r="I898" s="390"/>
      <c r="J898" s="209"/>
      <c r="K898" s="210"/>
      <c r="L898" s="390"/>
      <c r="M898" s="209"/>
      <c r="N898" s="210"/>
      <c r="O898" s="390"/>
      <c r="P898" s="209"/>
      <c r="Q898" s="210"/>
      <c r="R898" s="390"/>
      <c r="S898" s="209"/>
      <c r="T898" s="210"/>
      <c r="U898" s="390"/>
      <c r="V898" s="209"/>
      <c r="W898" s="210"/>
      <c r="X898" s="390"/>
      <c r="Y898" s="195"/>
      <c r="Z898" s="195"/>
      <c r="AA898" s="195"/>
      <c r="AB898" s="195"/>
      <c r="AC898" s="8"/>
      <c r="AD898" s="8"/>
      <c r="AE898" s="8"/>
      <c r="AF898" s="8"/>
      <c r="AG898" s="202"/>
      <c r="AH898" s="202"/>
      <c r="AI898" s="202"/>
      <c r="AJ898" s="202"/>
      <c r="AK898" s="8"/>
      <c r="AL898" s="8"/>
      <c r="AM898" s="8"/>
      <c r="AN898" s="8"/>
      <c r="AO898" s="8"/>
      <c r="AP898" s="8"/>
      <c r="AQ898" s="8"/>
      <c r="AR898" s="8"/>
      <c r="AS898" s="8"/>
      <c r="AT898" s="8"/>
      <c r="AU898" s="8"/>
      <c r="AV898" s="8"/>
    </row>
    <row r="899">
      <c r="A899" s="209"/>
      <c r="B899" s="210"/>
      <c r="C899" s="390"/>
      <c r="D899" s="209"/>
      <c r="E899" s="210"/>
      <c r="F899" s="390"/>
      <c r="G899" s="209"/>
      <c r="H899" s="210"/>
      <c r="I899" s="390"/>
      <c r="J899" s="209"/>
      <c r="K899" s="210"/>
      <c r="L899" s="390"/>
      <c r="M899" s="209"/>
      <c r="N899" s="210"/>
      <c r="O899" s="390"/>
      <c r="P899" s="209"/>
      <c r="Q899" s="210"/>
      <c r="R899" s="390"/>
      <c r="S899" s="209"/>
      <c r="T899" s="210"/>
      <c r="U899" s="390"/>
      <c r="V899" s="209"/>
      <c r="W899" s="210"/>
      <c r="X899" s="390"/>
      <c r="Y899" s="195"/>
      <c r="Z899" s="195"/>
      <c r="AA899" s="195"/>
      <c r="AB899" s="195"/>
      <c r="AC899" s="8"/>
      <c r="AD899" s="8"/>
      <c r="AE899" s="8"/>
      <c r="AF899" s="8"/>
      <c r="AG899" s="202"/>
      <c r="AH899" s="202"/>
      <c r="AI899" s="202"/>
      <c r="AJ899" s="202"/>
      <c r="AK899" s="8"/>
      <c r="AL899" s="8"/>
      <c r="AM899" s="8"/>
      <c r="AN899" s="8"/>
      <c r="AO899" s="8"/>
      <c r="AP899" s="8"/>
      <c r="AQ899" s="8"/>
      <c r="AR899" s="8"/>
      <c r="AS899" s="8"/>
      <c r="AT899" s="8"/>
      <c r="AU899" s="8"/>
      <c r="AV899" s="8"/>
    </row>
    <row r="900">
      <c r="A900" s="209"/>
      <c r="B900" s="210"/>
      <c r="C900" s="390"/>
      <c r="D900" s="209"/>
      <c r="E900" s="210"/>
      <c r="F900" s="390"/>
      <c r="G900" s="209"/>
      <c r="H900" s="210"/>
      <c r="I900" s="390"/>
      <c r="J900" s="209"/>
      <c r="K900" s="210"/>
      <c r="L900" s="390"/>
      <c r="M900" s="209"/>
      <c r="N900" s="210"/>
      <c r="O900" s="390"/>
      <c r="P900" s="209"/>
      <c r="Q900" s="210"/>
      <c r="R900" s="390"/>
      <c r="S900" s="209"/>
      <c r="T900" s="210"/>
      <c r="U900" s="390"/>
      <c r="V900" s="209"/>
      <c r="W900" s="210"/>
      <c r="X900" s="390"/>
      <c r="Y900" s="195"/>
      <c r="Z900" s="195"/>
      <c r="AA900" s="195"/>
      <c r="AB900" s="195"/>
      <c r="AC900" s="8"/>
      <c r="AD900" s="8"/>
      <c r="AE900" s="8"/>
      <c r="AF900" s="8"/>
      <c r="AG900" s="202"/>
      <c r="AH900" s="202"/>
      <c r="AI900" s="202"/>
      <c r="AJ900" s="202"/>
      <c r="AK900" s="8"/>
      <c r="AL900" s="8"/>
      <c r="AM900" s="8"/>
      <c r="AN900" s="8"/>
      <c r="AO900" s="8"/>
      <c r="AP900" s="8"/>
      <c r="AQ900" s="8"/>
      <c r="AR900" s="8"/>
      <c r="AS900" s="8"/>
      <c r="AT900" s="8"/>
      <c r="AU900" s="8"/>
      <c r="AV900" s="8"/>
    </row>
    <row r="901">
      <c r="A901" s="209"/>
      <c r="B901" s="210"/>
      <c r="C901" s="390"/>
      <c r="D901" s="209"/>
      <c r="E901" s="210"/>
      <c r="F901" s="390"/>
      <c r="G901" s="209"/>
      <c r="H901" s="210"/>
      <c r="I901" s="390"/>
      <c r="J901" s="209"/>
      <c r="K901" s="210"/>
      <c r="L901" s="390"/>
      <c r="M901" s="209"/>
      <c r="N901" s="210"/>
      <c r="O901" s="390"/>
      <c r="P901" s="209"/>
      <c r="Q901" s="210"/>
      <c r="R901" s="390"/>
      <c r="S901" s="209"/>
      <c r="T901" s="210"/>
      <c r="U901" s="390"/>
      <c r="V901" s="209"/>
      <c r="W901" s="210"/>
      <c r="X901" s="390"/>
      <c r="Y901" s="195"/>
      <c r="Z901" s="195"/>
      <c r="AA901" s="195"/>
      <c r="AB901" s="195"/>
      <c r="AC901" s="8"/>
      <c r="AD901" s="8"/>
      <c r="AE901" s="8"/>
      <c r="AF901" s="8"/>
      <c r="AG901" s="202"/>
      <c r="AH901" s="202"/>
      <c r="AI901" s="202"/>
      <c r="AJ901" s="202"/>
      <c r="AK901" s="8"/>
      <c r="AL901" s="8"/>
      <c r="AM901" s="8"/>
      <c r="AN901" s="8"/>
      <c r="AO901" s="8"/>
      <c r="AP901" s="8"/>
      <c r="AQ901" s="8"/>
      <c r="AR901" s="8"/>
      <c r="AS901" s="8"/>
      <c r="AT901" s="8"/>
      <c r="AU901" s="8"/>
      <c r="AV901" s="8"/>
    </row>
    <row r="902">
      <c r="A902" s="209"/>
      <c r="B902" s="210"/>
      <c r="C902" s="390"/>
      <c r="D902" s="209"/>
      <c r="E902" s="210"/>
      <c r="F902" s="390"/>
      <c r="G902" s="209"/>
      <c r="H902" s="210"/>
      <c r="I902" s="390"/>
      <c r="J902" s="209"/>
      <c r="K902" s="210"/>
      <c r="L902" s="390"/>
      <c r="M902" s="209"/>
      <c r="N902" s="210"/>
      <c r="O902" s="390"/>
      <c r="P902" s="209"/>
      <c r="Q902" s="210"/>
      <c r="R902" s="390"/>
      <c r="S902" s="209"/>
      <c r="T902" s="210"/>
      <c r="U902" s="390"/>
      <c r="V902" s="209"/>
      <c r="W902" s="210"/>
      <c r="X902" s="390"/>
      <c r="Y902" s="195"/>
      <c r="Z902" s="195"/>
      <c r="AA902" s="195"/>
      <c r="AB902" s="195"/>
      <c r="AC902" s="8"/>
      <c r="AD902" s="8"/>
      <c r="AE902" s="8"/>
      <c r="AF902" s="8"/>
      <c r="AG902" s="202"/>
      <c r="AH902" s="202"/>
      <c r="AI902" s="202"/>
      <c r="AJ902" s="202"/>
      <c r="AK902" s="8"/>
      <c r="AL902" s="8"/>
      <c r="AM902" s="8"/>
      <c r="AN902" s="8"/>
      <c r="AO902" s="8"/>
      <c r="AP902" s="8"/>
      <c r="AQ902" s="8"/>
      <c r="AR902" s="8"/>
      <c r="AS902" s="8"/>
      <c r="AT902" s="8"/>
      <c r="AU902" s="8"/>
      <c r="AV902" s="8"/>
    </row>
    <row r="903">
      <c r="A903" s="209"/>
      <c r="B903" s="210"/>
      <c r="C903" s="390"/>
      <c r="D903" s="209"/>
      <c r="E903" s="210"/>
      <c r="F903" s="390"/>
      <c r="G903" s="209"/>
      <c r="H903" s="210"/>
      <c r="I903" s="390"/>
      <c r="J903" s="209"/>
      <c r="K903" s="210"/>
      <c r="L903" s="390"/>
      <c r="M903" s="209"/>
      <c r="N903" s="210"/>
      <c r="O903" s="390"/>
      <c r="P903" s="209"/>
      <c r="Q903" s="210"/>
      <c r="R903" s="390"/>
      <c r="S903" s="209"/>
      <c r="T903" s="210"/>
      <c r="U903" s="390"/>
      <c r="V903" s="209"/>
      <c r="W903" s="210"/>
      <c r="X903" s="390"/>
      <c r="Y903" s="195"/>
      <c r="Z903" s="195"/>
      <c r="AA903" s="195"/>
      <c r="AB903" s="195"/>
      <c r="AC903" s="8"/>
      <c r="AD903" s="8"/>
      <c r="AE903" s="8"/>
      <c r="AF903" s="8"/>
      <c r="AG903" s="202"/>
      <c r="AH903" s="202"/>
      <c r="AI903" s="202"/>
      <c r="AJ903" s="202"/>
      <c r="AK903" s="8"/>
      <c r="AL903" s="8"/>
      <c r="AM903" s="8"/>
      <c r="AN903" s="8"/>
      <c r="AO903" s="8"/>
      <c r="AP903" s="8"/>
      <c r="AQ903" s="8"/>
      <c r="AR903" s="8"/>
      <c r="AS903" s="8"/>
      <c r="AT903" s="8"/>
      <c r="AU903" s="8"/>
      <c r="AV903" s="8"/>
    </row>
    <row r="904">
      <c r="A904" s="209"/>
      <c r="B904" s="210"/>
      <c r="C904" s="390"/>
      <c r="D904" s="209"/>
      <c r="E904" s="210"/>
      <c r="F904" s="390"/>
      <c r="G904" s="209"/>
      <c r="H904" s="210"/>
      <c r="I904" s="390"/>
      <c r="J904" s="209"/>
      <c r="K904" s="210"/>
      <c r="L904" s="390"/>
      <c r="M904" s="209"/>
      <c r="N904" s="210"/>
      <c r="O904" s="390"/>
      <c r="P904" s="209"/>
      <c r="Q904" s="210"/>
      <c r="R904" s="390"/>
      <c r="S904" s="209"/>
      <c r="T904" s="210"/>
      <c r="U904" s="390"/>
      <c r="V904" s="209"/>
      <c r="W904" s="210"/>
      <c r="X904" s="390"/>
      <c r="Y904" s="195"/>
      <c r="Z904" s="195"/>
      <c r="AA904" s="195"/>
      <c r="AB904" s="195"/>
      <c r="AC904" s="8"/>
      <c r="AD904" s="8"/>
      <c r="AE904" s="8"/>
      <c r="AF904" s="8"/>
      <c r="AG904" s="202"/>
      <c r="AH904" s="202"/>
      <c r="AI904" s="202"/>
      <c r="AJ904" s="202"/>
      <c r="AK904" s="8"/>
      <c r="AL904" s="8"/>
      <c r="AM904" s="8"/>
      <c r="AN904" s="8"/>
      <c r="AO904" s="8"/>
      <c r="AP904" s="8"/>
      <c r="AQ904" s="8"/>
      <c r="AR904" s="8"/>
      <c r="AS904" s="8"/>
      <c r="AT904" s="8"/>
      <c r="AU904" s="8"/>
      <c r="AV904" s="8"/>
    </row>
    <row r="905">
      <c r="A905" s="209"/>
      <c r="B905" s="210"/>
      <c r="C905" s="390"/>
      <c r="D905" s="209"/>
      <c r="E905" s="210"/>
      <c r="F905" s="390"/>
      <c r="G905" s="209"/>
      <c r="H905" s="210"/>
      <c r="I905" s="390"/>
      <c r="J905" s="209"/>
      <c r="K905" s="210"/>
      <c r="L905" s="390"/>
      <c r="M905" s="209"/>
      <c r="N905" s="210"/>
      <c r="O905" s="390"/>
      <c r="P905" s="209"/>
      <c r="Q905" s="210"/>
      <c r="R905" s="390"/>
      <c r="S905" s="209"/>
      <c r="T905" s="210"/>
      <c r="U905" s="390"/>
      <c r="V905" s="209"/>
      <c r="W905" s="210"/>
      <c r="X905" s="390"/>
      <c r="Y905" s="195"/>
      <c r="Z905" s="195"/>
      <c r="AA905" s="195"/>
      <c r="AB905" s="195"/>
      <c r="AC905" s="8"/>
      <c r="AD905" s="8"/>
      <c r="AE905" s="8"/>
      <c r="AF905" s="8"/>
      <c r="AG905" s="202"/>
      <c r="AH905" s="202"/>
      <c r="AI905" s="202"/>
      <c r="AJ905" s="202"/>
      <c r="AK905" s="8"/>
      <c r="AL905" s="8"/>
      <c r="AM905" s="8"/>
      <c r="AN905" s="8"/>
      <c r="AO905" s="8"/>
      <c r="AP905" s="8"/>
      <c r="AQ905" s="8"/>
      <c r="AR905" s="8"/>
      <c r="AS905" s="8"/>
      <c r="AT905" s="8"/>
      <c r="AU905" s="8"/>
      <c r="AV905" s="8"/>
    </row>
    <row r="906">
      <c r="A906" s="209"/>
      <c r="B906" s="210"/>
      <c r="C906" s="390"/>
      <c r="D906" s="209"/>
      <c r="E906" s="210"/>
      <c r="F906" s="390"/>
      <c r="G906" s="209"/>
      <c r="H906" s="210"/>
      <c r="I906" s="390"/>
      <c r="J906" s="209"/>
      <c r="K906" s="210"/>
      <c r="L906" s="390"/>
      <c r="M906" s="209"/>
      <c r="N906" s="210"/>
      <c r="O906" s="390"/>
      <c r="P906" s="209"/>
      <c r="Q906" s="210"/>
      <c r="R906" s="390"/>
      <c r="S906" s="209"/>
      <c r="T906" s="210"/>
      <c r="U906" s="390"/>
      <c r="V906" s="209"/>
      <c r="W906" s="210"/>
      <c r="X906" s="390"/>
      <c r="Y906" s="195"/>
      <c r="Z906" s="195"/>
      <c r="AA906" s="195"/>
      <c r="AB906" s="195"/>
      <c r="AC906" s="8"/>
      <c r="AD906" s="8"/>
      <c r="AE906" s="8"/>
      <c r="AF906" s="8"/>
      <c r="AG906" s="202"/>
      <c r="AH906" s="202"/>
      <c r="AI906" s="202"/>
      <c r="AJ906" s="202"/>
      <c r="AK906" s="8"/>
      <c r="AL906" s="8"/>
      <c r="AM906" s="8"/>
      <c r="AN906" s="8"/>
      <c r="AO906" s="8"/>
      <c r="AP906" s="8"/>
      <c r="AQ906" s="8"/>
      <c r="AR906" s="8"/>
      <c r="AS906" s="8"/>
      <c r="AT906" s="8"/>
      <c r="AU906" s="8"/>
      <c r="AV906" s="8"/>
    </row>
    <row r="907">
      <c r="A907" s="209"/>
      <c r="B907" s="210"/>
      <c r="C907" s="390"/>
      <c r="D907" s="209"/>
      <c r="E907" s="210"/>
      <c r="F907" s="390"/>
      <c r="G907" s="209"/>
      <c r="H907" s="210"/>
      <c r="I907" s="390"/>
      <c r="J907" s="209"/>
      <c r="K907" s="210"/>
      <c r="L907" s="390"/>
      <c r="M907" s="209"/>
      <c r="N907" s="210"/>
      <c r="O907" s="390"/>
      <c r="P907" s="209"/>
      <c r="Q907" s="210"/>
      <c r="R907" s="390"/>
      <c r="S907" s="209"/>
      <c r="T907" s="210"/>
      <c r="U907" s="390"/>
      <c r="V907" s="209"/>
      <c r="W907" s="210"/>
      <c r="X907" s="390"/>
      <c r="Y907" s="195"/>
      <c r="Z907" s="195"/>
      <c r="AA907" s="195"/>
      <c r="AB907" s="195"/>
      <c r="AC907" s="8"/>
      <c r="AD907" s="8"/>
      <c r="AE907" s="8"/>
      <c r="AF907" s="8"/>
      <c r="AG907" s="202"/>
      <c r="AH907" s="202"/>
      <c r="AI907" s="202"/>
      <c r="AJ907" s="202"/>
      <c r="AK907" s="8"/>
      <c r="AL907" s="8"/>
      <c r="AM907" s="8"/>
      <c r="AN907" s="8"/>
      <c r="AO907" s="8"/>
      <c r="AP907" s="8"/>
      <c r="AQ907" s="8"/>
      <c r="AR907" s="8"/>
      <c r="AS907" s="8"/>
      <c r="AT907" s="8"/>
      <c r="AU907" s="8"/>
      <c r="AV907" s="8"/>
    </row>
    <row r="908">
      <c r="A908" s="209"/>
      <c r="B908" s="210"/>
      <c r="C908" s="390"/>
      <c r="D908" s="209"/>
      <c r="E908" s="210"/>
      <c r="F908" s="390"/>
      <c r="G908" s="209"/>
      <c r="H908" s="210"/>
      <c r="I908" s="390"/>
      <c r="J908" s="209"/>
      <c r="K908" s="210"/>
      <c r="L908" s="390"/>
      <c r="M908" s="209"/>
      <c r="N908" s="210"/>
      <c r="O908" s="390"/>
      <c r="P908" s="209"/>
      <c r="Q908" s="210"/>
      <c r="R908" s="390"/>
      <c r="S908" s="209"/>
      <c r="T908" s="210"/>
      <c r="U908" s="390"/>
      <c r="V908" s="209"/>
      <c r="W908" s="210"/>
      <c r="X908" s="390"/>
      <c r="Y908" s="195"/>
      <c r="Z908" s="195"/>
      <c r="AA908" s="195"/>
      <c r="AB908" s="195"/>
      <c r="AC908" s="8"/>
      <c r="AD908" s="8"/>
      <c r="AE908" s="8"/>
      <c r="AF908" s="8"/>
      <c r="AG908" s="202"/>
      <c r="AH908" s="202"/>
      <c r="AI908" s="202"/>
      <c r="AJ908" s="202"/>
      <c r="AK908" s="8"/>
      <c r="AL908" s="8"/>
      <c r="AM908" s="8"/>
      <c r="AN908" s="8"/>
      <c r="AO908" s="8"/>
      <c r="AP908" s="8"/>
      <c r="AQ908" s="8"/>
      <c r="AR908" s="8"/>
      <c r="AS908" s="8"/>
      <c r="AT908" s="8"/>
      <c r="AU908" s="8"/>
      <c r="AV908" s="8"/>
    </row>
    <row r="909">
      <c r="A909" s="209"/>
      <c r="B909" s="210"/>
      <c r="C909" s="390"/>
      <c r="D909" s="209"/>
      <c r="E909" s="210"/>
      <c r="F909" s="390"/>
      <c r="G909" s="209"/>
      <c r="H909" s="210"/>
      <c r="I909" s="390"/>
      <c r="J909" s="209"/>
      <c r="K909" s="210"/>
      <c r="L909" s="390"/>
      <c r="M909" s="209"/>
      <c r="N909" s="210"/>
      <c r="O909" s="390"/>
      <c r="P909" s="209"/>
      <c r="Q909" s="210"/>
      <c r="R909" s="390"/>
      <c r="S909" s="209"/>
      <c r="T909" s="210"/>
      <c r="U909" s="390"/>
      <c r="V909" s="209"/>
      <c r="W909" s="210"/>
      <c r="X909" s="390"/>
      <c r="Y909" s="195"/>
      <c r="Z909" s="195"/>
      <c r="AA909" s="195"/>
      <c r="AB909" s="195"/>
      <c r="AC909" s="8"/>
      <c r="AD909" s="8"/>
      <c r="AE909" s="8"/>
      <c r="AF909" s="8"/>
      <c r="AG909" s="202"/>
      <c r="AH909" s="202"/>
      <c r="AI909" s="202"/>
      <c r="AJ909" s="202"/>
      <c r="AK909" s="8"/>
      <c r="AL909" s="8"/>
      <c r="AM909" s="8"/>
      <c r="AN909" s="8"/>
      <c r="AO909" s="8"/>
      <c r="AP909" s="8"/>
      <c r="AQ909" s="8"/>
      <c r="AR909" s="8"/>
      <c r="AS909" s="8"/>
      <c r="AT909" s="8"/>
      <c r="AU909" s="8"/>
      <c r="AV909" s="8"/>
    </row>
    <row r="910">
      <c r="A910" s="209"/>
      <c r="B910" s="210"/>
      <c r="C910" s="390"/>
      <c r="D910" s="209"/>
      <c r="E910" s="210"/>
      <c r="F910" s="390"/>
      <c r="G910" s="209"/>
      <c r="H910" s="210"/>
      <c r="I910" s="390"/>
      <c r="J910" s="209"/>
      <c r="K910" s="210"/>
      <c r="L910" s="390"/>
      <c r="M910" s="209"/>
      <c r="N910" s="210"/>
      <c r="O910" s="390"/>
      <c r="P910" s="209"/>
      <c r="Q910" s="210"/>
      <c r="R910" s="390"/>
      <c r="S910" s="209"/>
      <c r="T910" s="210"/>
      <c r="U910" s="390"/>
      <c r="V910" s="209"/>
      <c r="W910" s="210"/>
      <c r="X910" s="390"/>
      <c r="Y910" s="195"/>
      <c r="Z910" s="195"/>
      <c r="AA910" s="195"/>
      <c r="AB910" s="195"/>
      <c r="AC910" s="8"/>
      <c r="AD910" s="8"/>
      <c r="AE910" s="8"/>
      <c r="AF910" s="8"/>
      <c r="AG910" s="202"/>
      <c r="AH910" s="202"/>
      <c r="AI910" s="202"/>
      <c r="AJ910" s="202"/>
      <c r="AK910" s="8"/>
      <c r="AL910" s="8"/>
      <c r="AM910" s="8"/>
      <c r="AN910" s="8"/>
      <c r="AO910" s="8"/>
      <c r="AP910" s="8"/>
      <c r="AQ910" s="8"/>
      <c r="AR910" s="8"/>
      <c r="AS910" s="8"/>
      <c r="AT910" s="8"/>
      <c r="AU910" s="8"/>
      <c r="AV910" s="8"/>
    </row>
    <row r="911">
      <c r="A911" s="209"/>
      <c r="B911" s="210"/>
      <c r="C911" s="390"/>
      <c r="D911" s="209"/>
      <c r="E911" s="210"/>
      <c r="F911" s="390"/>
      <c r="G911" s="209"/>
      <c r="H911" s="210"/>
      <c r="I911" s="390"/>
      <c r="J911" s="209"/>
      <c r="K911" s="210"/>
      <c r="L911" s="390"/>
      <c r="M911" s="209"/>
      <c r="N911" s="210"/>
      <c r="O911" s="390"/>
      <c r="P911" s="209"/>
      <c r="Q911" s="210"/>
      <c r="R911" s="390"/>
      <c r="S911" s="209"/>
      <c r="T911" s="210"/>
      <c r="U911" s="390"/>
      <c r="V911" s="209"/>
      <c r="W911" s="210"/>
      <c r="X911" s="390"/>
      <c r="Y911" s="195"/>
      <c r="Z911" s="195"/>
      <c r="AA911" s="195"/>
      <c r="AB911" s="195"/>
      <c r="AC911" s="8"/>
      <c r="AD911" s="8"/>
      <c r="AE911" s="8"/>
      <c r="AF911" s="8"/>
      <c r="AG911" s="202"/>
      <c r="AH911" s="202"/>
      <c r="AI911" s="202"/>
      <c r="AJ911" s="202"/>
      <c r="AK911" s="8"/>
      <c r="AL911" s="8"/>
      <c r="AM911" s="8"/>
      <c r="AN911" s="8"/>
      <c r="AO911" s="8"/>
      <c r="AP911" s="8"/>
      <c r="AQ911" s="8"/>
      <c r="AR911" s="8"/>
      <c r="AS911" s="8"/>
      <c r="AT911" s="8"/>
      <c r="AU911" s="8"/>
      <c r="AV911" s="8"/>
    </row>
    <row r="912">
      <c r="A912" s="209"/>
      <c r="B912" s="210"/>
      <c r="C912" s="390"/>
      <c r="D912" s="209"/>
      <c r="E912" s="210"/>
      <c r="F912" s="390"/>
      <c r="G912" s="209"/>
      <c r="H912" s="210"/>
      <c r="I912" s="390"/>
      <c r="J912" s="209"/>
      <c r="K912" s="210"/>
      <c r="L912" s="390"/>
      <c r="M912" s="209"/>
      <c r="N912" s="210"/>
      <c r="O912" s="390"/>
      <c r="P912" s="209"/>
      <c r="Q912" s="210"/>
      <c r="R912" s="390"/>
      <c r="S912" s="209"/>
      <c r="T912" s="210"/>
      <c r="U912" s="390"/>
      <c r="V912" s="209"/>
      <c r="W912" s="210"/>
      <c r="X912" s="390"/>
      <c r="Y912" s="195"/>
      <c r="Z912" s="195"/>
      <c r="AA912" s="195"/>
      <c r="AB912" s="195"/>
      <c r="AC912" s="8"/>
      <c r="AD912" s="8"/>
      <c r="AE912" s="8"/>
      <c r="AF912" s="8"/>
      <c r="AG912" s="202"/>
      <c r="AH912" s="202"/>
      <c r="AI912" s="202"/>
      <c r="AJ912" s="202"/>
      <c r="AK912" s="8"/>
      <c r="AL912" s="8"/>
      <c r="AM912" s="8"/>
      <c r="AN912" s="8"/>
      <c r="AO912" s="8"/>
      <c r="AP912" s="8"/>
      <c r="AQ912" s="8"/>
      <c r="AR912" s="8"/>
      <c r="AS912" s="8"/>
      <c r="AT912" s="8"/>
      <c r="AU912" s="8"/>
      <c r="AV912" s="8"/>
    </row>
    <row r="913">
      <c r="A913" s="209"/>
      <c r="B913" s="210"/>
      <c r="C913" s="390"/>
      <c r="D913" s="209"/>
      <c r="E913" s="210"/>
      <c r="F913" s="390"/>
      <c r="G913" s="209"/>
      <c r="H913" s="210"/>
      <c r="I913" s="390"/>
      <c r="J913" s="209"/>
      <c r="K913" s="210"/>
      <c r="L913" s="390"/>
      <c r="M913" s="209"/>
      <c r="N913" s="210"/>
      <c r="O913" s="390"/>
      <c r="P913" s="209"/>
      <c r="Q913" s="210"/>
      <c r="R913" s="390"/>
      <c r="S913" s="209"/>
      <c r="T913" s="210"/>
      <c r="U913" s="390"/>
      <c r="V913" s="209"/>
      <c r="W913" s="210"/>
      <c r="X913" s="390"/>
      <c r="Y913" s="195"/>
      <c r="Z913" s="195"/>
      <c r="AA913" s="195"/>
      <c r="AB913" s="195"/>
      <c r="AC913" s="8"/>
      <c r="AD913" s="8"/>
      <c r="AE913" s="8"/>
      <c r="AF913" s="8"/>
      <c r="AG913" s="202"/>
      <c r="AH913" s="202"/>
      <c r="AI913" s="202"/>
      <c r="AJ913" s="202"/>
      <c r="AK913" s="8"/>
      <c r="AL913" s="8"/>
      <c r="AM913" s="8"/>
      <c r="AN913" s="8"/>
      <c r="AO913" s="8"/>
      <c r="AP913" s="8"/>
      <c r="AQ913" s="8"/>
      <c r="AR913" s="8"/>
      <c r="AS913" s="8"/>
      <c r="AT913" s="8"/>
      <c r="AU913" s="8"/>
      <c r="AV913" s="8"/>
    </row>
    <row r="914">
      <c r="A914" s="209"/>
      <c r="B914" s="210"/>
      <c r="C914" s="390"/>
      <c r="D914" s="209"/>
      <c r="E914" s="210"/>
      <c r="F914" s="390"/>
      <c r="G914" s="209"/>
      <c r="H914" s="210"/>
      <c r="I914" s="390"/>
      <c r="J914" s="209"/>
      <c r="K914" s="210"/>
      <c r="L914" s="390"/>
      <c r="M914" s="209"/>
      <c r="N914" s="210"/>
      <c r="O914" s="390"/>
      <c r="P914" s="209"/>
      <c r="Q914" s="210"/>
      <c r="R914" s="390"/>
      <c r="S914" s="209"/>
      <c r="T914" s="210"/>
      <c r="U914" s="390"/>
      <c r="V914" s="209"/>
      <c r="W914" s="210"/>
      <c r="X914" s="390"/>
      <c r="Y914" s="195"/>
      <c r="Z914" s="195"/>
      <c r="AA914" s="195"/>
      <c r="AB914" s="195"/>
      <c r="AC914" s="8"/>
      <c r="AD914" s="8"/>
      <c r="AE914" s="8"/>
      <c r="AF914" s="8"/>
      <c r="AG914" s="202"/>
      <c r="AH914" s="202"/>
      <c r="AI914" s="202"/>
      <c r="AJ914" s="202"/>
      <c r="AK914" s="8"/>
      <c r="AL914" s="8"/>
      <c r="AM914" s="8"/>
      <c r="AN914" s="8"/>
      <c r="AO914" s="8"/>
      <c r="AP914" s="8"/>
      <c r="AQ914" s="8"/>
      <c r="AR914" s="8"/>
      <c r="AS914" s="8"/>
      <c r="AT914" s="8"/>
      <c r="AU914" s="8"/>
      <c r="AV914" s="8"/>
    </row>
    <row r="915">
      <c r="A915" s="209"/>
      <c r="B915" s="210"/>
      <c r="C915" s="390"/>
      <c r="D915" s="209"/>
      <c r="E915" s="210"/>
      <c r="F915" s="390"/>
      <c r="G915" s="209"/>
      <c r="H915" s="210"/>
      <c r="I915" s="390"/>
      <c r="J915" s="209"/>
      <c r="K915" s="210"/>
      <c r="L915" s="390"/>
      <c r="M915" s="209"/>
      <c r="N915" s="210"/>
      <c r="O915" s="390"/>
      <c r="P915" s="209"/>
      <c r="Q915" s="210"/>
      <c r="R915" s="390"/>
      <c r="S915" s="209"/>
      <c r="T915" s="210"/>
      <c r="U915" s="390"/>
      <c r="V915" s="209"/>
      <c r="W915" s="210"/>
      <c r="X915" s="390"/>
      <c r="Y915" s="195"/>
      <c r="Z915" s="195"/>
      <c r="AA915" s="195"/>
      <c r="AB915" s="195"/>
      <c r="AC915" s="8"/>
      <c r="AD915" s="8"/>
      <c r="AE915" s="8"/>
      <c r="AF915" s="8"/>
      <c r="AG915" s="202"/>
      <c r="AH915" s="202"/>
      <c r="AI915" s="202"/>
      <c r="AJ915" s="202"/>
      <c r="AK915" s="8"/>
      <c r="AL915" s="8"/>
      <c r="AM915" s="8"/>
      <c r="AN915" s="8"/>
      <c r="AO915" s="8"/>
      <c r="AP915" s="8"/>
      <c r="AQ915" s="8"/>
      <c r="AR915" s="8"/>
      <c r="AS915" s="8"/>
      <c r="AT915" s="8"/>
      <c r="AU915" s="8"/>
      <c r="AV915" s="8"/>
    </row>
    <row r="916">
      <c r="A916" s="209"/>
      <c r="B916" s="210"/>
      <c r="C916" s="390"/>
      <c r="D916" s="209"/>
      <c r="E916" s="210"/>
      <c r="F916" s="390"/>
      <c r="G916" s="209"/>
      <c r="H916" s="210"/>
      <c r="I916" s="390"/>
      <c r="J916" s="209"/>
      <c r="K916" s="210"/>
      <c r="L916" s="390"/>
      <c r="M916" s="209"/>
      <c r="N916" s="210"/>
      <c r="O916" s="390"/>
      <c r="P916" s="209"/>
      <c r="Q916" s="210"/>
      <c r="R916" s="390"/>
      <c r="S916" s="209"/>
      <c r="T916" s="210"/>
      <c r="U916" s="390"/>
      <c r="V916" s="209"/>
      <c r="W916" s="210"/>
      <c r="X916" s="390"/>
      <c r="Y916" s="195"/>
      <c r="Z916" s="195"/>
      <c r="AA916" s="195"/>
      <c r="AB916" s="195"/>
      <c r="AC916" s="8"/>
      <c r="AD916" s="8"/>
      <c r="AE916" s="8"/>
      <c r="AF916" s="8"/>
      <c r="AG916" s="202"/>
      <c r="AH916" s="202"/>
      <c r="AI916" s="202"/>
      <c r="AJ916" s="202"/>
      <c r="AK916" s="8"/>
      <c r="AL916" s="8"/>
      <c r="AM916" s="8"/>
      <c r="AN916" s="8"/>
      <c r="AO916" s="8"/>
      <c r="AP916" s="8"/>
      <c r="AQ916" s="8"/>
      <c r="AR916" s="8"/>
      <c r="AS916" s="8"/>
      <c r="AT916" s="8"/>
      <c r="AU916" s="8"/>
      <c r="AV916" s="8"/>
    </row>
    <row r="917">
      <c r="A917" s="209"/>
      <c r="B917" s="210"/>
      <c r="C917" s="390"/>
      <c r="D917" s="209"/>
      <c r="E917" s="210"/>
      <c r="F917" s="390"/>
      <c r="G917" s="209"/>
      <c r="H917" s="210"/>
      <c r="I917" s="390"/>
      <c r="J917" s="209"/>
      <c r="K917" s="210"/>
      <c r="L917" s="390"/>
      <c r="M917" s="209"/>
      <c r="N917" s="210"/>
      <c r="O917" s="390"/>
      <c r="P917" s="209"/>
      <c r="Q917" s="210"/>
      <c r="R917" s="390"/>
      <c r="S917" s="209"/>
      <c r="T917" s="210"/>
      <c r="U917" s="390"/>
      <c r="V917" s="209"/>
      <c r="W917" s="210"/>
      <c r="X917" s="390"/>
      <c r="Y917" s="195"/>
      <c r="Z917" s="195"/>
      <c r="AA917" s="195"/>
      <c r="AB917" s="195"/>
      <c r="AC917" s="8"/>
      <c r="AD917" s="8"/>
      <c r="AE917" s="8"/>
      <c r="AF917" s="8"/>
      <c r="AG917" s="202"/>
      <c r="AH917" s="202"/>
      <c r="AI917" s="202"/>
      <c r="AJ917" s="202"/>
      <c r="AK917" s="8"/>
      <c r="AL917" s="8"/>
      <c r="AM917" s="8"/>
      <c r="AN917" s="8"/>
      <c r="AO917" s="8"/>
      <c r="AP917" s="8"/>
      <c r="AQ917" s="8"/>
      <c r="AR917" s="8"/>
      <c r="AS917" s="8"/>
      <c r="AT917" s="8"/>
      <c r="AU917" s="8"/>
      <c r="AV917" s="8"/>
    </row>
    <row r="918">
      <c r="A918" s="209"/>
      <c r="B918" s="210"/>
      <c r="C918" s="390"/>
      <c r="D918" s="209"/>
      <c r="E918" s="210"/>
      <c r="F918" s="390"/>
      <c r="G918" s="209"/>
      <c r="H918" s="210"/>
      <c r="I918" s="390"/>
      <c r="J918" s="209"/>
      <c r="K918" s="210"/>
      <c r="L918" s="390"/>
      <c r="M918" s="209"/>
      <c r="N918" s="210"/>
      <c r="O918" s="390"/>
      <c r="P918" s="209"/>
      <c r="Q918" s="210"/>
      <c r="R918" s="390"/>
      <c r="S918" s="209"/>
      <c r="T918" s="210"/>
      <c r="U918" s="390"/>
      <c r="V918" s="209"/>
      <c r="W918" s="210"/>
      <c r="X918" s="390"/>
      <c r="Y918" s="195"/>
      <c r="Z918" s="195"/>
      <c r="AA918" s="195"/>
      <c r="AB918" s="195"/>
      <c r="AC918" s="8"/>
      <c r="AD918" s="8"/>
      <c r="AE918" s="8"/>
      <c r="AF918" s="8"/>
      <c r="AG918" s="202"/>
      <c r="AH918" s="202"/>
      <c r="AI918" s="202"/>
      <c r="AJ918" s="202"/>
      <c r="AK918" s="8"/>
      <c r="AL918" s="8"/>
      <c r="AM918" s="8"/>
      <c r="AN918" s="8"/>
      <c r="AO918" s="8"/>
      <c r="AP918" s="8"/>
      <c r="AQ918" s="8"/>
      <c r="AR918" s="8"/>
      <c r="AS918" s="8"/>
      <c r="AT918" s="8"/>
      <c r="AU918" s="8"/>
      <c r="AV918" s="8"/>
    </row>
    <row r="919">
      <c r="A919" s="209"/>
      <c r="B919" s="210"/>
      <c r="C919" s="390"/>
      <c r="D919" s="209"/>
      <c r="E919" s="210"/>
      <c r="F919" s="390"/>
      <c r="G919" s="209"/>
      <c r="H919" s="210"/>
      <c r="I919" s="390"/>
      <c r="J919" s="209"/>
      <c r="K919" s="210"/>
      <c r="L919" s="390"/>
      <c r="M919" s="209"/>
      <c r="N919" s="210"/>
      <c r="O919" s="390"/>
      <c r="P919" s="209"/>
      <c r="Q919" s="210"/>
      <c r="R919" s="390"/>
      <c r="S919" s="209"/>
      <c r="T919" s="210"/>
      <c r="U919" s="390"/>
      <c r="V919" s="209"/>
      <c r="W919" s="210"/>
      <c r="X919" s="390"/>
      <c r="Y919" s="195"/>
      <c r="Z919" s="195"/>
      <c r="AA919" s="195"/>
      <c r="AB919" s="195"/>
      <c r="AC919" s="8"/>
      <c r="AD919" s="8"/>
      <c r="AE919" s="8"/>
      <c r="AF919" s="8"/>
      <c r="AG919" s="202"/>
      <c r="AH919" s="202"/>
      <c r="AI919" s="202"/>
      <c r="AJ919" s="202"/>
      <c r="AK919" s="8"/>
      <c r="AL919" s="8"/>
      <c r="AM919" s="8"/>
      <c r="AN919" s="8"/>
      <c r="AO919" s="8"/>
      <c r="AP919" s="8"/>
      <c r="AQ919" s="8"/>
      <c r="AR919" s="8"/>
      <c r="AS919" s="8"/>
      <c r="AT919" s="8"/>
      <c r="AU919" s="8"/>
      <c r="AV919" s="8"/>
    </row>
    <row r="920">
      <c r="A920" s="209"/>
      <c r="B920" s="210"/>
      <c r="C920" s="390"/>
      <c r="D920" s="209"/>
      <c r="E920" s="210"/>
      <c r="F920" s="390"/>
      <c r="G920" s="209"/>
      <c r="H920" s="210"/>
      <c r="I920" s="390"/>
      <c r="J920" s="209"/>
      <c r="K920" s="210"/>
      <c r="L920" s="390"/>
      <c r="M920" s="209"/>
      <c r="N920" s="210"/>
      <c r="O920" s="390"/>
      <c r="P920" s="209"/>
      <c r="Q920" s="210"/>
      <c r="R920" s="390"/>
      <c r="S920" s="209"/>
      <c r="T920" s="210"/>
      <c r="U920" s="390"/>
      <c r="V920" s="209"/>
      <c r="W920" s="210"/>
      <c r="X920" s="390"/>
      <c r="Y920" s="195"/>
      <c r="Z920" s="195"/>
      <c r="AA920" s="195"/>
      <c r="AB920" s="195"/>
      <c r="AC920" s="8"/>
      <c r="AD920" s="8"/>
      <c r="AE920" s="8"/>
      <c r="AF920" s="8"/>
      <c r="AG920" s="202"/>
      <c r="AH920" s="202"/>
      <c r="AI920" s="202"/>
      <c r="AJ920" s="202"/>
      <c r="AK920" s="8"/>
      <c r="AL920" s="8"/>
      <c r="AM920" s="8"/>
      <c r="AN920" s="8"/>
      <c r="AO920" s="8"/>
      <c r="AP920" s="8"/>
      <c r="AQ920" s="8"/>
      <c r="AR920" s="8"/>
      <c r="AS920" s="8"/>
      <c r="AT920" s="8"/>
      <c r="AU920" s="8"/>
      <c r="AV920" s="8"/>
    </row>
    <row r="921">
      <c r="A921" s="209"/>
      <c r="B921" s="210"/>
      <c r="C921" s="390"/>
      <c r="D921" s="209"/>
      <c r="E921" s="210"/>
      <c r="F921" s="390"/>
      <c r="G921" s="209"/>
      <c r="H921" s="210"/>
      <c r="I921" s="390"/>
      <c r="J921" s="209"/>
      <c r="K921" s="210"/>
      <c r="L921" s="390"/>
      <c r="M921" s="209"/>
      <c r="N921" s="210"/>
      <c r="O921" s="390"/>
      <c r="P921" s="209"/>
      <c r="Q921" s="210"/>
      <c r="R921" s="390"/>
      <c r="S921" s="209"/>
      <c r="T921" s="210"/>
      <c r="U921" s="390"/>
      <c r="V921" s="209"/>
      <c r="W921" s="210"/>
      <c r="X921" s="390"/>
      <c r="Y921" s="195"/>
      <c r="Z921" s="195"/>
      <c r="AA921" s="195"/>
      <c r="AB921" s="195"/>
      <c r="AC921" s="8"/>
      <c r="AD921" s="8"/>
      <c r="AE921" s="8"/>
      <c r="AF921" s="8"/>
      <c r="AG921" s="202"/>
      <c r="AH921" s="202"/>
      <c r="AI921" s="202"/>
      <c r="AJ921" s="202"/>
      <c r="AK921" s="8"/>
      <c r="AL921" s="8"/>
      <c r="AM921" s="8"/>
      <c r="AN921" s="8"/>
      <c r="AO921" s="8"/>
      <c r="AP921" s="8"/>
      <c r="AQ921" s="8"/>
      <c r="AR921" s="8"/>
      <c r="AS921" s="8"/>
      <c r="AT921" s="8"/>
      <c r="AU921" s="8"/>
      <c r="AV921" s="8"/>
    </row>
    <row r="922">
      <c r="A922" s="209"/>
      <c r="B922" s="210"/>
      <c r="C922" s="390"/>
      <c r="D922" s="209"/>
      <c r="E922" s="210"/>
      <c r="F922" s="390"/>
      <c r="G922" s="209"/>
      <c r="H922" s="210"/>
      <c r="I922" s="390"/>
      <c r="J922" s="209"/>
      <c r="K922" s="210"/>
      <c r="L922" s="390"/>
      <c r="M922" s="209"/>
      <c r="N922" s="210"/>
      <c r="O922" s="390"/>
      <c r="P922" s="209"/>
      <c r="Q922" s="210"/>
      <c r="R922" s="390"/>
      <c r="S922" s="209"/>
      <c r="T922" s="210"/>
      <c r="U922" s="390"/>
      <c r="V922" s="209"/>
      <c r="W922" s="210"/>
      <c r="X922" s="390"/>
      <c r="Y922" s="195"/>
      <c r="Z922" s="195"/>
      <c r="AA922" s="195"/>
      <c r="AB922" s="195"/>
      <c r="AC922" s="8"/>
      <c r="AD922" s="8"/>
      <c r="AE922" s="8"/>
      <c r="AF922" s="8"/>
      <c r="AG922" s="202"/>
      <c r="AH922" s="202"/>
      <c r="AI922" s="202"/>
      <c r="AJ922" s="202"/>
      <c r="AK922" s="8"/>
      <c r="AL922" s="8"/>
      <c r="AM922" s="8"/>
      <c r="AN922" s="8"/>
      <c r="AO922" s="8"/>
      <c r="AP922" s="8"/>
      <c r="AQ922" s="8"/>
      <c r="AR922" s="8"/>
      <c r="AS922" s="8"/>
      <c r="AT922" s="8"/>
      <c r="AU922" s="8"/>
      <c r="AV922" s="8"/>
    </row>
    <row r="923">
      <c r="A923" s="209"/>
      <c r="B923" s="210"/>
      <c r="C923" s="390"/>
      <c r="D923" s="209"/>
      <c r="E923" s="210"/>
      <c r="F923" s="390"/>
      <c r="G923" s="209"/>
      <c r="H923" s="210"/>
      <c r="I923" s="390"/>
      <c r="J923" s="209"/>
      <c r="K923" s="210"/>
      <c r="L923" s="390"/>
      <c r="M923" s="209"/>
      <c r="N923" s="210"/>
      <c r="O923" s="390"/>
      <c r="P923" s="209"/>
      <c r="Q923" s="210"/>
      <c r="R923" s="390"/>
      <c r="S923" s="209"/>
      <c r="T923" s="210"/>
      <c r="U923" s="390"/>
      <c r="V923" s="209"/>
      <c r="W923" s="210"/>
      <c r="X923" s="390"/>
      <c r="Y923" s="195"/>
      <c r="Z923" s="195"/>
      <c r="AA923" s="195"/>
      <c r="AB923" s="195"/>
      <c r="AC923" s="8"/>
      <c r="AD923" s="8"/>
      <c r="AE923" s="8"/>
      <c r="AF923" s="8"/>
      <c r="AG923" s="202"/>
      <c r="AH923" s="202"/>
      <c r="AI923" s="202"/>
      <c r="AJ923" s="202"/>
      <c r="AK923" s="8"/>
      <c r="AL923" s="8"/>
      <c r="AM923" s="8"/>
      <c r="AN923" s="8"/>
      <c r="AO923" s="8"/>
      <c r="AP923" s="8"/>
      <c r="AQ923" s="8"/>
      <c r="AR923" s="8"/>
      <c r="AS923" s="8"/>
      <c r="AT923" s="8"/>
      <c r="AU923" s="8"/>
      <c r="AV923" s="8"/>
    </row>
    <row r="924">
      <c r="A924" s="209"/>
      <c r="B924" s="210"/>
      <c r="C924" s="390"/>
      <c r="D924" s="209"/>
      <c r="E924" s="210"/>
      <c r="F924" s="390"/>
      <c r="G924" s="209"/>
      <c r="H924" s="210"/>
      <c r="I924" s="390"/>
      <c r="J924" s="209"/>
      <c r="K924" s="210"/>
      <c r="L924" s="390"/>
      <c r="M924" s="209"/>
      <c r="N924" s="210"/>
      <c r="O924" s="390"/>
      <c r="P924" s="209"/>
      <c r="Q924" s="210"/>
      <c r="R924" s="390"/>
      <c r="S924" s="209"/>
      <c r="T924" s="210"/>
      <c r="U924" s="390"/>
      <c r="V924" s="209"/>
      <c r="W924" s="210"/>
      <c r="X924" s="390"/>
      <c r="Y924" s="195"/>
      <c r="Z924" s="195"/>
      <c r="AA924" s="195"/>
      <c r="AB924" s="195"/>
      <c r="AC924" s="8"/>
      <c r="AD924" s="8"/>
      <c r="AE924" s="8"/>
      <c r="AF924" s="8"/>
      <c r="AG924" s="202"/>
      <c r="AH924" s="202"/>
      <c r="AI924" s="202"/>
      <c r="AJ924" s="202"/>
      <c r="AK924" s="8"/>
      <c r="AL924" s="8"/>
      <c r="AM924" s="8"/>
      <c r="AN924" s="8"/>
      <c r="AO924" s="8"/>
      <c r="AP924" s="8"/>
      <c r="AQ924" s="8"/>
      <c r="AR924" s="8"/>
      <c r="AS924" s="8"/>
      <c r="AT924" s="8"/>
      <c r="AU924" s="8"/>
      <c r="AV924" s="8"/>
    </row>
    <row r="925">
      <c r="A925" s="209"/>
      <c r="B925" s="210"/>
      <c r="C925" s="390"/>
      <c r="D925" s="209"/>
      <c r="E925" s="210"/>
      <c r="F925" s="390"/>
      <c r="G925" s="209"/>
      <c r="H925" s="210"/>
      <c r="I925" s="390"/>
      <c r="J925" s="209"/>
      <c r="K925" s="210"/>
      <c r="L925" s="390"/>
      <c r="M925" s="209"/>
      <c r="N925" s="210"/>
      <c r="O925" s="390"/>
      <c r="P925" s="209"/>
      <c r="Q925" s="210"/>
      <c r="R925" s="390"/>
      <c r="S925" s="209"/>
      <c r="T925" s="210"/>
      <c r="U925" s="390"/>
      <c r="V925" s="209"/>
      <c r="W925" s="210"/>
      <c r="X925" s="390"/>
      <c r="Y925" s="195"/>
      <c r="Z925" s="195"/>
      <c r="AA925" s="195"/>
      <c r="AB925" s="195"/>
      <c r="AC925" s="8"/>
      <c r="AD925" s="8"/>
      <c r="AE925" s="8"/>
      <c r="AF925" s="8"/>
      <c r="AG925" s="202"/>
      <c r="AH925" s="202"/>
      <c r="AI925" s="202"/>
      <c r="AJ925" s="202"/>
      <c r="AK925" s="8"/>
      <c r="AL925" s="8"/>
      <c r="AM925" s="8"/>
      <c r="AN925" s="8"/>
      <c r="AO925" s="8"/>
      <c r="AP925" s="8"/>
      <c r="AQ925" s="8"/>
      <c r="AR925" s="8"/>
      <c r="AS925" s="8"/>
      <c r="AT925" s="8"/>
      <c r="AU925" s="8"/>
      <c r="AV925" s="8"/>
    </row>
    <row r="926">
      <c r="A926" s="209"/>
      <c r="B926" s="210"/>
      <c r="C926" s="390"/>
      <c r="D926" s="209"/>
      <c r="E926" s="210"/>
      <c r="F926" s="390"/>
      <c r="G926" s="209"/>
      <c r="H926" s="210"/>
      <c r="I926" s="390"/>
      <c r="J926" s="209"/>
      <c r="K926" s="210"/>
      <c r="L926" s="390"/>
      <c r="M926" s="209"/>
      <c r="N926" s="210"/>
      <c r="O926" s="390"/>
      <c r="P926" s="209"/>
      <c r="Q926" s="210"/>
      <c r="R926" s="390"/>
      <c r="S926" s="209"/>
      <c r="T926" s="210"/>
      <c r="U926" s="390"/>
      <c r="V926" s="209"/>
      <c r="W926" s="210"/>
      <c r="X926" s="390"/>
      <c r="Y926" s="195"/>
      <c r="Z926" s="195"/>
      <c r="AA926" s="195"/>
      <c r="AB926" s="195"/>
      <c r="AC926" s="8"/>
      <c r="AD926" s="8"/>
      <c r="AE926" s="8"/>
      <c r="AF926" s="8"/>
      <c r="AG926" s="202"/>
      <c r="AH926" s="202"/>
      <c r="AI926" s="202"/>
      <c r="AJ926" s="202"/>
      <c r="AK926" s="8"/>
      <c r="AL926" s="8"/>
      <c r="AM926" s="8"/>
      <c r="AN926" s="8"/>
      <c r="AO926" s="8"/>
      <c r="AP926" s="8"/>
      <c r="AQ926" s="8"/>
      <c r="AR926" s="8"/>
      <c r="AS926" s="8"/>
      <c r="AT926" s="8"/>
      <c r="AU926" s="8"/>
      <c r="AV926" s="8"/>
    </row>
    <row r="927">
      <c r="A927" s="209"/>
      <c r="B927" s="210"/>
      <c r="C927" s="390"/>
      <c r="D927" s="209"/>
      <c r="E927" s="210"/>
      <c r="F927" s="390"/>
      <c r="G927" s="209"/>
      <c r="H927" s="210"/>
      <c r="I927" s="390"/>
      <c r="J927" s="209"/>
      <c r="K927" s="210"/>
      <c r="L927" s="390"/>
      <c r="M927" s="209"/>
      <c r="N927" s="210"/>
      <c r="O927" s="390"/>
      <c r="P927" s="209"/>
      <c r="Q927" s="210"/>
      <c r="R927" s="390"/>
      <c r="S927" s="209"/>
      <c r="T927" s="210"/>
      <c r="U927" s="390"/>
      <c r="V927" s="209"/>
      <c r="W927" s="210"/>
      <c r="X927" s="390"/>
      <c r="Y927" s="195"/>
      <c r="Z927" s="195"/>
      <c r="AA927" s="195"/>
      <c r="AB927" s="195"/>
      <c r="AC927" s="8"/>
      <c r="AD927" s="8"/>
      <c r="AE927" s="8"/>
      <c r="AF927" s="8"/>
      <c r="AG927" s="202"/>
      <c r="AH927" s="202"/>
      <c r="AI927" s="202"/>
      <c r="AJ927" s="202"/>
      <c r="AK927" s="8"/>
      <c r="AL927" s="8"/>
      <c r="AM927" s="8"/>
      <c r="AN927" s="8"/>
      <c r="AO927" s="8"/>
      <c r="AP927" s="8"/>
      <c r="AQ927" s="8"/>
      <c r="AR927" s="8"/>
      <c r="AS927" s="8"/>
      <c r="AT927" s="8"/>
      <c r="AU927" s="8"/>
      <c r="AV927" s="8"/>
    </row>
    <row r="928">
      <c r="A928" s="209"/>
      <c r="B928" s="210"/>
      <c r="C928" s="390"/>
      <c r="D928" s="209"/>
      <c r="E928" s="210"/>
      <c r="F928" s="390"/>
      <c r="G928" s="209"/>
      <c r="H928" s="210"/>
      <c r="I928" s="390"/>
      <c r="J928" s="209"/>
      <c r="K928" s="210"/>
      <c r="L928" s="390"/>
      <c r="M928" s="209"/>
      <c r="N928" s="210"/>
      <c r="O928" s="390"/>
      <c r="P928" s="209"/>
      <c r="Q928" s="210"/>
      <c r="R928" s="390"/>
      <c r="S928" s="209"/>
      <c r="T928" s="210"/>
      <c r="U928" s="390"/>
      <c r="V928" s="209"/>
      <c r="W928" s="210"/>
      <c r="X928" s="390"/>
      <c r="Y928" s="195"/>
      <c r="Z928" s="195"/>
      <c r="AA928" s="195"/>
      <c r="AB928" s="195"/>
      <c r="AC928" s="8"/>
      <c r="AD928" s="8"/>
      <c r="AE928" s="8"/>
      <c r="AF928" s="8"/>
      <c r="AG928" s="202"/>
      <c r="AH928" s="202"/>
      <c r="AI928" s="202"/>
      <c r="AJ928" s="202"/>
      <c r="AK928" s="8"/>
      <c r="AL928" s="8"/>
      <c r="AM928" s="8"/>
      <c r="AN928" s="8"/>
      <c r="AO928" s="8"/>
      <c r="AP928" s="8"/>
      <c r="AQ928" s="8"/>
      <c r="AR928" s="8"/>
      <c r="AS928" s="8"/>
      <c r="AT928" s="8"/>
      <c r="AU928" s="8"/>
      <c r="AV928" s="8"/>
    </row>
    <row r="929">
      <c r="A929" s="209"/>
      <c r="B929" s="210"/>
      <c r="C929" s="390"/>
      <c r="D929" s="209"/>
      <c r="E929" s="210"/>
      <c r="F929" s="390"/>
      <c r="G929" s="209"/>
      <c r="H929" s="210"/>
      <c r="I929" s="390"/>
      <c r="J929" s="209"/>
      <c r="K929" s="210"/>
      <c r="L929" s="390"/>
      <c r="M929" s="209"/>
      <c r="N929" s="210"/>
      <c r="O929" s="390"/>
      <c r="P929" s="209"/>
      <c r="Q929" s="210"/>
      <c r="R929" s="390"/>
      <c r="S929" s="209"/>
      <c r="T929" s="210"/>
      <c r="U929" s="390"/>
      <c r="V929" s="209"/>
      <c r="W929" s="210"/>
      <c r="X929" s="390"/>
      <c r="Y929" s="195"/>
      <c r="Z929" s="195"/>
      <c r="AA929" s="195"/>
      <c r="AB929" s="195"/>
      <c r="AC929" s="8"/>
      <c r="AD929" s="8"/>
      <c r="AE929" s="8"/>
      <c r="AF929" s="8"/>
      <c r="AG929" s="202"/>
      <c r="AH929" s="202"/>
      <c r="AI929" s="202"/>
      <c r="AJ929" s="202"/>
      <c r="AK929" s="8"/>
      <c r="AL929" s="8"/>
      <c r="AM929" s="8"/>
      <c r="AN929" s="8"/>
      <c r="AO929" s="8"/>
      <c r="AP929" s="8"/>
      <c r="AQ929" s="8"/>
      <c r="AR929" s="8"/>
      <c r="AS929" s="8"/>
      <c r="AT929" s="8"/>
      <c r="AU929" s="8"/>
      <c r="AV929" s="8"/>
    </row>
    <row r="930">
      <c r="A930" s="209"/>
      <c r="B930" s="210"/>
      <c r="C930" s="390"/>
      <c r="D930" s="209"/>
      <c r="E930" s="210"/>
      <c r="F930" s="390"/>
      <c r="G930" s="209"/>
      <c r="H930" s="210"/>
      <c r="I930" s="390"/>
      <c r="J930" s="209"/>
      <c r="K930" s="210"/>
      <c r="L930" s="390"/>
      <c r="M930" s="209"/>
      <c r="N930" s="210"/>
      <c r="O930" s="390"/>
      <c r="P930" s="209"/>
      <c r="Q930" s="210"/>
      <c r="R930" s="390"/>
      <c r="S930" s="209"/>
      <c r="T930" s="210"/>
      <c r="U930" s="390"/>
      <c r="V930" s="209"/>
      <c r="W930" s="210"/>
      <c r="X930" s="390"/>
      <c r="Y930" s="195"/>
      <c r="Z930" s="195"/>
      <c r="AA930" s="195"/>
      <c r="AB930" s="195"/>
      <c r="AC930" s="8"/>
      <c r="AD930" s="8"/>
      <c r="AE930" s="8"/>
      <c r="AF930" s="8"/>
      <c r="AG930" s="202"/>
      <c r="AH930" s="202"/>
      <c r="AI930" s="202"/>
      <c r="AJ930" s="202"/>
      <c r="AK930" s="8"/>
      <c r="AL930" s="8"/>
      <c r="AM930" s="8"/>
      <c r="AN930" s="8"/>
      <c r="AO930" s="8"/>
      <c r="AP930" s="8"/>
      <c r="AQ930" s="8"/>
      <c r="AR930" s="8"/>
      <c r="AS930" s="8"/>
      <c r="AT930" s="8"/>
      <c r="AU930" s="8"/>
      <c r="AV930" s="8"/>
    </row>
    <row r="931">
      <c r="A931" s="209"/>
      <c r="B931" s="210"/>
      <c r="C931" s="390"/>
      <c r="D931" s="209"/>
      <c r="E931" s="210"/>
      <c r="F931" s="390"/>
      <c r="G931" s="209"/>
      <c r="H931" s="210"/>
      <c r="I931" s="390"/>
      <c r="J931" s="209"/>
      <c r="K931" s="210"/>
      <c r="L931" s="390"/>
      <c r="M931" s="209"/>
      <c r="N931" s="210"/>
      <c r="O931" s="390"/>
      <c r="P931" s="209"/>
      <c r="Q931" s="210"/>
      <c r="R931" s="390"/>
      <c r="S931" s="209"/>
      <c r="T931" s="210"/>
      <c r="U931" s="390"/>
      <c r="V931" s="209"/>
      <c r="W931" s="210"/>
      <c r="X931" s="390"/>
      <c r="Y931" s="195"/>
      <c r="Z931" s="195"/>
      <c r="AA931" s="195"/>
      <c r="AB931" s="195"/>
      <c r="AC931" s="8"/>
      <c r="AD931" s="8"/>
      <c r="AE931" s="8"/>
      <c r="AF931" s="8"/>
      <c r="AG931" s="202"/>
      <c r="AH931" s="202"/>
      <c r="AI931" s="202"/>
      <c r="AJ931" s="202"/>
      <c r="AK931" s="8"/>
      <c r="AL931" s="8"/>
      <c r="AM931" s="8"/>
      <c r="AN931" s="8"/>
      <c r="AO931" s="8"/>
      <c r="AP931" s="8"/>
      <c r="AQ931" s="8"/>
      <c r="AR931" s="8"/>
      <c r="AS931" s="8"/>
      <c r="AT931" s="8"/>
      <c r="AU931" s="8"/>
      <c r="AV931" s="8"/>
    </row>
    <row r="932">
      <c r="A932" s="209"/>
      <c r="B932" s="210"/>
      <c r="C932" s="390"/>
      <c r="D932" s="209"/>
      <c r="E932" s="210"/>
      <c r="F932" s="390"/>
      <c r="G932" s="209"/>
      <c r="H932" s="210"/>
      <c r="I932" s="390"/>
      <c r="J932" s="209"/>
      <c r="K932" s="210"/>
      <c r="L932" s="390"/>
      <c r="M932" s="209"/>
      <c r="N932" s="210"/>
      <c r="O932" s="390"/>
      <c r="P932" s="209"/>
      <c r="Q932" s="210"/>
      <c r="R932" s="390"/>
      <c r="S932" s="209"/>
      <c r="T932" s="210"/>
      <c r="U932" s="390"/>
      <c r="V932" s="209"/>
      <c r="W932" s="210"/>
      <c r="X932" s="390"/>
      <c r="Y932" s="195"/>
      <c r="Z932" s="195"/>
      <c r="AA932" s="195"/>
      <c r="AB932" s="195"/>
      <c r="AC932" s="8"/>
      <c r="AD932" s="8"/>
      <c r="AE932" s="8"/>
      <c r="AF932" s="8"/>
      <c r="AG932" s="202"/>
      <c r="AH932" s="202"/>
      <c r="AI932" s="202"/>
      <c r="AJ932" s="202"/>
      <c r="AK932" s="8"/>
      <c r="AL932" s="8"/>
      <c r="AM932" s="8"/>
      <c r="AN932" s="8"/>
      <c r="AO932" s="8"/>
      <c r="AP932" s="8"/>
      <c r="AQ932" s="8"/>
      <c r="AR932" s="8"/>
      <c r="AS932" s="8"/>
      <c r="AT932" s="8"/>
      <c r="AU932" s="8"/>
      <c r="AV932" s="8"/>
    </row>
    <row r="933">
      <c r="A933" s="209"/>
      <c r="B933" s="210"/>
      <c r="C933" s="390"/>
      <c r="D933" s="209"/>
      <c r="E933" s="210"/>
      <c r="F933" s="390"/>
      <c r="G933" s="209"/>
      <c r="H933" s="210"/>
      <c r="I933" s="390"/>
      <c r="J933" s="209"/>
      <c r="K933" s="210"/>
      <c r="L933" s="390"/>
      <c r="M933" s="209"/>
      <c r="N933" s="210"/>
      <c r="O933" s="390"/>
      <c r="P933" s="209"/>
      <c r="Q933" s="210"/>
      <c r="R933" s="390"/>
      <c r="S933" s="209"/>
      <c r="T933" s="210"/>
      <c r="U933" s="390"/>
      <c r="V933" s="209"/>
      <c r="W933" s="210"/>
      <c r="X933" s="390"/>
      <c r="Y933" s="195"/>
      <c r="Z933" s="195"/>
      <c r="AA933" s="195"/>
      <c r="AB933" s="195"/>
      <c r="AC933" s="8"/>
      <c r="AD933" s="8"/>
      <c r="AE933" s="8"/>
      <c r="AF933" s="8"/>
      <c r="AG933" s="202"/>
      <c r="AH933" s="202"/>
      <c r="AI933" s="202"/>
      <c r="AJ933" s="202"/>
      <c r="AK933" s="8"/>
      <c r="AL933" s="8"/>
      <c r="AM933" s="8"/>
      <c r="AN933" s="8"/>
      <c r="AO933" s="8"/>
      <c r="AP933" s="8"/>
      <c r="AQ933" s="8"/>
      <c r="AR933" s="8"/>
      <c r="AS933" s="8"/>
      <c r="AT933" s="8"/>
      <c r="AU933" s="8"/>
      <c r="AV933" s="8"/>
    </row>
    <row r="934">
      <c r="A934" s="209"/>
      <c r="B934" s="210"/>
      <c r="C934" s="390"/>
      <c r="D934" s="209"/>
      <c r="E934" s="210"/>
      <c r="F934" s="390"/>
      <c r="G934" s="209"/>
      <c r="H934" s="210"/>
      <c r="I934" s="390"/>
      <c r="J934" s="209"/>
      <c r="K934" s="210"/>
      <c r="L934" s="390"/>
      <c r="M934" s="209"/>
      <c r="N934" s="210"/>
      <c r="O934" s="390"/>
      <c r="P934" s="209"/>
      <c r="Q934" s="210"/>
      <c r="R934" s="390"/>
      <c r="S934" s="209"/>
      <c r="T934" s="210"/>
      <c r="U934" s="390"/>
      <c r="V934" s="209"/>
      <c r="W934" s="210"/>
      <c r="X934" s="390"/>
      <c r="Y934" s="195"/>
      <c r="Z934" s="195"/>
      <c r="AA934" s="195"/>
      <c r="AB934" s="195"/>
      <c r="AC934" s="8"/>
      <c r="AD934" s="8"/>
      <c r="AE934" s="8"/>
      <c r="AF934" s="8"/>
      <c r="AG934" s="202"/>
      <c r="AH934" s="202"/>
      <c r="AI934" s="202"/>
      <c r="AJ934" s="202"/>
      <c r="AK934" s="8"/>
      <c r="AL934" s="8"/>
      <c r="AM934" s="8"/>
      <c r="AN934" s="8"/>
      <c r="AO934" s="8"/>
      <c r="AP934" s="8"/>
      <c r="AQ934" s="8"/>
      <c r="AR934" s="8"/>
      <c r="AS934" s="8"/>
      <c r="AT934" s="8"/>
      <c r="AU934" s="8"/>
      <c r="AV934" s="8"/>
    </row>
    <row r="935">
      <c r="A935" s="209"/>
      <c r="B935" s="210"/>
      <c r="C935" s="390"/>
      <c r="D935" s="209"/>
      <c r="E935" s="210"/>
      <c r="F935" s="390"/>
      <c r="G935" s="209"/>
      <c r="H935" s="210"/>
      <c r="I935" s="390"/>
      <c r="J935" s="209"/>
      <c r="K935" s="210"/>
      <c r="L935" s="390"/>
      <c r="M935" s="209"/>
      <c r="N935" s="210"/>
      <c r="O935" s="390"/>
      <c r="P935" s="209"/>
      <c r="Q935" s="210"/>
      <c r="R935" s="390"/>
      <c r="S935" s="209"/>
      <c r="T935" s="210"/>
      <c r="U935" s="390"/>
      <c r="V935" s="209"/>
      <c r="W935" s="210"/>
      <c r="X935" s="390"/>
      <c r="Y935" s="195"/>
      <c r="Z935" s="195"/>
      <c r="AA935" s="195"/>
      <c r="AB935" s="195"/>
      <c r="AC935" s="8"/>
      <c r="AD935" s="8"/>
      <c r="AE935" s="8"/>
      <c r="AF935" s="8"/>
      <c r="AG935" s="202"/>
      <c r="AH935" s="202"/>
      <c r="AI935" s="202"/>
      <c r="AJ935" s="202"/>
      <c r="AK935" s="8"/>
      <c r="AL935" s="8"/>
      <c r="AM935" s="8"/>
      <c r="AN935" s="8"/>
      <c r="AO935" s="8"/>
      <c r="AP935" s="8"/>
      <c r="AQ935" s="8"/>
      <c r="AR935" s="8"/>
      <c r="AS935" s="8"/>
      <c r="AT935" s="8"/>
      <c r="AU935" s="8"/>
      <c r="AV935" s="8"/>
    </row>
    <row r="936">
      <c r="A936" s="209"/>
      <c r="B936" s="210"/>
      <c r="C936" s="390"/>
      <c r="D936" s="209"/>
      <c r="E936" s="210"/>
      <c r="F936" s="390"/>
      <c r="G936" s="209"/>
      <c r="H936" s="210"/>
      <c r="I936" s="390"/>
      <c r="J936" s="209"/>
      <c r="K936" s="210"/>
      <c r="L936" s="390"/>
      <c r="M936" s="209"/>
      <c r="N936" s="210"/>
      <c r="O936" s="390"/>
      <c r="P936" s="209"/>
      <c r="Q936" s="210"/>
      <c r="R936" s="390"/>
      <c r="S936" s="209"/>
      <c r="T936" s="210"/>
      <c r="U936" s="390"/>
      <c r="V936" s="209"/>
      <c r="W936" s="210"/>
      <c r="X936" s="390"/>
      <c r="Y936" s="195"/>
      <c r="Z936" s="195"/>
      <c r="AA936" s="195"/>
      <c r="AB936" s="195"/>
      <c r="AC936" s="8"/>
      <c r="AD936" s="8"/>
      <c r="AE936" s="8"/>
      <c r="AF936" s="8"/>
      <c r="AG936" s="202"/>
      <c r="AH936" s="202"/>
      <c r="AI936" s="202"/>
      <c r="AJ936" s="202"/>
      <c r="AK936" s="8"/>
      <c r="AL936" s="8"/>
      <c r="AM936" s="8"/>
      <c r="AN936" s="8"/>
      <c r="AO936" s="8"/>
      <c r="AP936" s="8"/>
      <c r="AQ936" s="8"/>
      <c r="AR936" s="8"/>
      <c r="AS936" s="8"/>
      <c r="AT936" s="8"/>
      <c r="AU936" s="8"/>
      <c r="AV936" s="8"/>
    </row>
    <row r="937">
      <c r="A937" s="209"/>
      <c r="B937" s="210"/>
      <c r="C937" s="390"/>
      <c r="D937" s="209"/>
      <c r="E937" s="210"/>
      <c r="F937" s="390"/>
      <c r="G937" s="209"/>
      <c r="H937" s="210"/>
      <c r="I937" s="390"/>
      <c r="J937" s="209"/>
      <c r="K937" s="210"/>
      <c r="L937" s="390"/>
      <c r="M937" s="209"/>
      <c r="N937" s="210"/>
      <c r="O937" s="390"/>
      <c r="P937" s="209"/>
      <c r="Q937" s="210"/>
      <c r="R937" s="390"/>
      <c r="S937" s="209"/>
      <c r="T937" s="210"/>
      <c r="U937" s="390"/>
      <c r="V937" s="209"/>
      <c r="W937" s="210"/>
      <c r="X937" s="390"/>
      <c r="Y937" s="195"/>
      <c r="Z937" s="195"/>
      <c r="AA937" s="195"/>
      <c r="AB937" s="195"/>
      <c r="AC937" s="8"/>
      <c r="AD937" s="8"/>
      <c r="AE937" s="8"/>
      <c r="AF937" s="8"/>
      <c r="AG937" s="202"/>
      <c r="AH937" s="202"/>
      <c r="AI937" s="202"/>
      <c r="AJ937" s="202"/>
      <c r="AK937" s="8"/>
      <c r="AL937" s="8"/>
      <c r="AM937" s="8"/>
      <c r="AN937" s="8"/>
      <c r="AO937" s="8"/>
      <c r="AP937" s="8"/>
      <c r="AQ937" s="8"/>
      <c r="AR937" s="8"/>
      <c r="AS937" s="8"/>
      <c r="AT937" s="8"/>
      <c r="AU937" s="8"/>
      <c r="AV937" s="8"/>
    </row>
    <row r="938">
      <c r="A938" s="209"/>
      <c r="B938" s="210"/>
      <c r="C938" s="390"/>
      <c r="D938" s="209"/>
      <c r="E938" s="210"/>
      <c r="F938" s="390"/>
      <c r="G938" s="209"/>
      <c r="H938" s="210"/>
      <c r="I938" s="390"/>
      <c r="J938" s="209"/>
      <c r="K938" s="210"/>
      <c r="L938" s="390"/>
      <c r="M938" s="209"/>
      <c r="N938" s="210"/>
      <c r="O938" s="390"/>
      <c r="P938" s="209"/>
      <c r="Q938" s="210"/>
      <c r="R938" s="390"/>
      <c r="S938" s="209"/>
      <c r="T938" s="210"/>
      <c r="U938" s="390"/>
      <c r="V938" s="209"/>
      <c r="W938" s="210"/>
      <c r="X938" s="390"/>
      <c r="Y938" s="195"/>
      <c r="Z938" s="195"/>
      <c r="AA938" s="195"/>
      <c r="AB938" s="195"/>
      <c r="AC938" s="8"/>
      <c r="AD938" s="8"/>
      <c r="AE938" s="8"/>
      <c r="AF938" s="8"/>
      <c r="AG938" s="202"/>
      <c r="AH938" s="202"/>
      <c r="AI938" s="202"/>
      <c r="AJ938" s="202"/>
      <c r="AK938" s="8"/>
      <c r="AL938" s="8"/>
      <c r="AM938" s="8"/>
      <c r="AN938" s="8"/>
      <c r="AO938" s="8"/>
      <c r="AP938" s="8"/>
      <c r="AQ938" s="8"/>
      <c r="AR938" s="8"/>
      <c r="AS938" s="8"/>
      <c r="AT938" s="8"/>
      <c r="AU938" s="8"/>
      <c r="AV938" s="8"/>
    </row>
    <row r="939">
      <c r="A939" s="209"/>
      <c r="B939" s="210"/>
      <c r="C939" s="390"/>
      <c r="D939" s="209"/>
      <c r="E939" s="210"/>
      <c r="F939" s="390"/>
      <c r="G939" s="209"/>
      <c r="H939" s="210"/>
      <c r="I939" s="390"/>
      <c r="J939" s="209"/>
      <c r="K939" s="210"/>
      <c r="L939" s="390"/>
      <c r="M939" s="209"/>
      <c r="N939" s="210"/>
      <c r="O939" s="390"/>
      <c r="P939" s="209"/>
      <c r="Q939" s="210"/>
      <c r="R939" s="390"/>
      <c r="S939" s="209"/>
      <c r="T939" s="210"/>
      <c r="U939" s="390"/>
      <c r="V939" s="209"/>
      <c r="W939" s="210"/>
      <c r="X939" s="390"/>
      <c r="Y939" s="195"/>
      <c r="Z939" s="195"/>
      <c r="AA939" s="195"/>
      <c r="AB939" s="195"/>
      <c r="AC939" s="8"/>
      <c r="AD939" s="8"/>
      <c r="AE939" s="8"/>
      <c r="AF939" s="8"/>
      <c r="AG939" s="202"/>
      <c r="AH939" s="202"/>
      <c r="AI939" s="202"/>
      <c r="AJ939" s="202"/>
      <c r="AK939" s="8"/>
      <c r="AL939" s="8"/>
      <c r="AM939" s="8"/>
      <c r="AN939" s="8"/>
      <c r="AO939" s="8"/>
      <c r="AP939" s="8"/>
      <c r="AQ939" s="8"/>
      <c r="AR939" s="8"/>
      <c r="AS939" s="8"/>
      <c r="AT939" s="8"/>
      <c r="AU939" s="8"/>
      <c r="AV939" s="8"/>
    </row>
    <row r="940">
      <c r="A940" s="209"/>
      <c r="B940" s="210"/>
      <c r="C940" s="390"/>
      <c r="D940" s="209"/>
      <c r="E940" s="210"/>
      <c r="F940" s="390"/>
      <c r="G940" s="209"/>
      <c r="H940" s="210"/>
      <c r="I940" s="390"/>
      <c r="J940" s="209"/>
      <c r="K940" s="210"/>
      <c r="L940" s="390"/>
      <c r="M940" s="209"/>
      <c r="N940" s="210"/>
      <c r="O940" s="390"/>
      <c r="P940" s="209"/>
      <c r="Q940" s="210"/>
      <c r="R940" s="390"/>
      <c r="S940" s="209"/>
      <c r="T940" s="210"/>
      <c r="U940" s="390"/>
      <c r="V940" s="209"/>
      <c r="W940" s="210"/>
      <c r="X940" s="390"/>
      <c r="Y940" s="195"/>
      <c r="Z940" s="195"/>
      <c r="AA940" s="195"/>
      <c r="AB940" s="195"/>
      <c r="AC940" s="8"/>
      <c r="AD940" s="8"/>
      <c r="AE940" s="8"/>
      <c r="AF940" s="8"/>
      <c r="AG940" s="202"/>
      <c r="AH940" s="202"/>
      <c r="AI940" s="202"/>
      <c r="AJ940" s="202"/>
      <c r="AK940" s="8"/>
      <c r="AL940" s="8"/>
      <c r="AM940" s="8"/>
      <c r="AN940" s="8"/>
      <c r="AO940" s="8"/>
      <c r="AP940" s="8"/>
      <c r="AQ940" s="8"/>
      <c r="AR940" s="8"/>
      <c r="AS940" s="8"/>
      <c r="AT940" s="8"/>
      <c r="AU940" s="8"/>
      <c r="AV940" s="8"/>
    </row>
    <row r="941">
      <c r="A941" s="209"/>
      <c r="B941" s="210"/>
      <c r="C941" s="390"/>
      <c r="D941" s="209"/>
      <c r="E941" s="210"/>
      <c r="F941" s="390"/>
      <c r="G941" s="209"/>
      <c r="H941" s="210"/>
      <c r="I941" s="390"/>
      <c r="J941" s="209"/>
      <c r="K941" s="210"/>
      <c r="L941" s="390"/>
      <c r="M941" s="209"/>
      <c r="N941" s="210"/>
      <c r="O941" s="390"/>
      <c r="P941" s="209"/>
      <c r="Q941" s="210"/>
      <c r="R941" s="390"/>
      <c r="S941" s="209"/>
      <c r="T941" s="210"/>
      <c r="U941" s="390"/>
      <c r="V941" s="209"/>
      <c r="W941" s="210"/>
      <c r="X941" s="390"/>
      <c r="Y941" s="195"/>
      <c r="Z941" s="195"/>
      <c r="AA941" s="195"/>
      <c r="AB941" s="195"/>
      <c r="AC941" s="8"/>
      <c r="AD941" s="8"/>
      <c r="AE941" s="8"/>
      <c r="AF941" s="8"/>
      <c r="AG941" s="202"/>
      <c r="AH941" s="202"/>
      <c r="AI941" s="202"/>
      <c r="AJ941" s="202"/>
      <c r="AK941" s="8"/>
      <c r="AL941" s="8"/>
      <c r="AM941" s="8"/>
      <c r="AN941" s="8"/>
      <c r="AO941" s="8"/>
      <c r="AP941" s="8"/>
      <c r="AQ941" s="8"/>
      <c r="AR941" s="8"/>
      <c r="AS941" s="8"/>
      <c r="AT941" s="8"/>
      <c r="AU941" s="8"/>
      <c r="AV941" s="8"/>
    </row>
    <row r="942">
      <c r="A942" s="209"/>
      <c r="B942" s="210"/>
      <c r="C942" s="390"/>
      <c r="D942" s="209"/>
      <c r="E942" s="210"/>
      <c r="F942" s="390"/>
      <c r="G942" s="209"/>
      <c r="H942" s="210"/>
      <c r="I942" s="390"/>
      <c r="J942" s="209"/>
      <c r="K942" s="210"/>
      <c r="L942" s="390"/>
      <c r="M942" s="209"/>
      <c r="N942" s="210"/>
      <c r="O942" s="390"/>
      <c r="P942" s="209"/>
      <c r="Q942" s="210"/>
      <c r="R942" s="390"/>
      <c r="S942" s="209"/>
      <c r="T942" s="210"/>
      <c r="U942" s="390"/>
      <c r="V942" s="209"/>
      <c r="W942" s="210"/>
      <c r="X942" s="390"/>
      <c r="Y942" s="195"/>
      <c r="Z942" s="195"/>
      <c r="AA942" s="195"/>
      <c r="AB942" s="195"/>
      <c r="AC942" s="8"/>
      <c r="AD942" s="8"/>
      <c r="AE942" s="8"/>
      <c r="AF942" s="8"/>
      <c r="AG942" s="202"/>
      <c r="AH942" s="202"/>
      <c r="AI942" s="202"/>
      <c r="AJ942" s="202"/>
      <c r="AK942" s="8"/>
      <c r="AL942" s="8"/>
      <c r="AM942" s="8"/>
      <c r="AN942" s="8"/>
      <c r="AO942" s="8"/>
      <c r="AP942" s="8"/>
      <c r="AQ942" s="8"/>
      <c r="AR942" s="8"/>
      <c r="AS942" s="8"/>
      <c r="AT942" s="8"/>
      <c r="AU942" s="8"/>
      <c r="AV942" s="8"/>
    </row>
    <row r="943">
      <c r="A943" s="209"/>
      <c r="B943" s="210"/>
      <c r="C943" s="390"/>
      <c r="D943" s="209"/>
      <c r="E943" s="210"/>
      <c r="F943" s="390"/>
      <c r="G943" s="209"/>
      <c r="H943" s="210"/>
      <c r="I943" s="390"/>
      <c r="J943" s="209"/>
      <c r="K943" s="210"/>
      <c r="L943" s="390"/>
      <c r="M943" s="209"/>
      <c r="N943" s="210"/>
      <c r="O943" s="390"/>
      <c r="P943" s="209"/>
      <c r="Q943" s="210"/>
      <c r="R943" s="390"/>
      <c r="S943" s="209"/>
      <c r="T943" s="210"/>
      <c r="U943" s="390"/>
      <c r="V943" s="209"/>
      <c r="W943" s="210"/>
      <c r="X943" s="390"/>
      <c r="Y943" s="195"/>
      <c r="Z943" s="195"/>
      <c r="AA943" s="195"/>
      <c r="AB943" s="195"/>
      <c r="AC943" s="8"/>
      <c r="AD943" s="8"/>
      <c r="AE943" s="8"/>
      <c r="AF943" s="8"/>
      <c r="AG943" s="202"/>
      <c r="AH943" s="202"/>
      <c r="AI943" s="202"/>
      <c r="AJ943" s="202"/>
      <c r="AK943" s="8"/>
      <c r="AL943" s="8"/>
      <c r="AM943" s="8"/>
      <c r="AN943" s="8"/>
      <c r="AO943" s="8"/>
      <c r="AP943" s="8"/>
      <c r="AQ943" s="8"/>
      <c r="AR943" s="8"/>
      <c r="AS943" s="8"/>
      <c r="AT943" s="8"/>
      <c r="AU943" s="8"/>
      <c r="AV943" s="8"/>
    </row>
    <row r="944">
      <c r="A944" s="209"/>
      <c r="B944" s="210"/>
      <c r="C944" s="390"/>
      <c r="D944" s="209"/>
      <c r="E944" s="210"/>
      <c r="F944" s="390"/>
      <c r="G944" s="209"/>
      <c r="H944" s="210"/>
      <c r="I944" s="390"/>
      <c r="J944" s="209"/>
      <c r="K944" s="210"/>
      <c r="L944" s="390"/>
      <c r="M944" s="209"/>
      <c r="N944" s="210"/>
      <c r="O944" s="390"/>
      <c r="P944" s="209"/>
      <c r="Q944" s="210"/>
      <c r="R944" s="390"/>
      <c r="S944" s="209"/>
      <c r="T944" s="210"/>
      <c r="U944" s="390"/>
      <c r="V944" s="209"/>
      <c r="W944" s="210"/>
      <c r="X944" s="390"/>
      <c r="Y944" s="195"/>
      <c r="Z944" s="195"/>
      <c r="AA944" s="195"/>
      <c r="AB944" s="195"/>
      <c r="AC944" s="8"/>
      <c r="AD944" s="8"/>
      <c r="AE944" s="8"/>
      <c r="AF944" s="8"/>
      <c r="AG944" s="202"/>
      <c r="AH944" s="202"/>
      <c r="AI944" s="202"/>
      <c r="AJ944" s="202"/>
      <c r="AK944" s="8"/>
      <c r="AL944" s="8"/>
      <c r="AM944" s="8"/>
      <c r="AN944" s="8"/>
      <c r="AO944" s="8"/>
      <c r="AP944" s="8"/>
      <c r="AQ944" s="8"/>
      <c r="AR944" s="8"/>
      <c r="AS944" s="8"/>
      <c r="AT944" s="8"/>
      <c r="AU944" s="8"/>
      <c r="AV944" s="8"/>
    </row>
    <row r="945">
      <c r="A945" s="209"/>
      <c r="B945" s="210"/>
      <c r="C945" s="390"/>
      <c r="D945" s="209"/>
      <c r="E945" s="210"/>
      <c r="F945" s="390"/>
      <c r="G945" s="209"/>
      <c r="H945" s="210"/>
      <c r="I945" s="390"/>
      <c r="J945" s="209"/>
      <c r="K945" s="210"/>
      <c r="L945" s="390"/>
      <c r="M945" s="209"/>
      <c r="N945" s="210"/>
      <c r="O945" s="390"/>
      <c r="P945" s="209"/>
      <c r="Q945" s="210"/>
      <c r="R945" s="390"/>
      <c r="S945" s="209"/>
      <c r="T945" s="210"/>
      <c r="U945" s="390"/>
      <c r="V945" s="209"/>
      <c r="W945" s="210"/>
      <c r="X945" s="390"/>
      <c r="Y945" s="195"/>
      <c r="Z945" s="195"/>
      <c r="AA945" s="195"/>
      <c r="AB945" s="195"/>
      <c r="AC945" s="8"/>
      <c r="AD945" s="8"/>
      <c r="AE945" s="8"/>
      <c r="AF945" s="8"/>
      <c r="AG945" s="202"/>
      <c r="AH945" s="202"/>
      <c r="AI945" s="202"/>
      <c r="AJ945" s="202"/>
      <c r="AK945" s="8"/>
      <c r="AL945" s="8"/>
      <c r="AM945" s="8"/>
      <c r="AN945" s="8"/>
      <c r="AO945" s="8"/>
      <c r="AP945" s="8"/>
      <c r="AQ945" s="8"/>
      <c r="AR945" s="8"/>
      <c r="AS945" s="8"/>
      <c r="AT945" s="8"/>
      <c r="AU945" s="8"/>
      <c r="AV945" s="8"/>
    </row>
    <row r="946">
      <c r="A946" s="209"/>
      <c r="B946" s="210"/>
      <c r="C946" s="390"/>
      <c r="D946" s="209"/>
      <c r="E946" s="210"/>
      <c r="F946" s="390"/>
      <c r="G946" s="209"/>
      <c r="H946" s="210"/>
      <c r="I946" s="390"/>
      <c r="J946" s="209"/>
      <c r="K946" s="210"/>
      <c r="L946" s="390"/>
      <c r="M946" s="209"/>
      <c r="N946" s="210"/>
      <c r="O946" s="390"/>
      <c r="P946" s="209"/>
      <c r="Q946" s="210"/>
      <c r="R946" s="390"/>
      <c r="S946" s="209"/>
      <c r="T946" s="210"/>
      <c r="U946" s="390"/>
      <c r="V946" s="209"/>
      <c r="W946" s="210"/>
      <c r="X946" s="390"/>
      <c r="Y946" s="195"/>
      <c r="Z946" s="195"/>
      <c r="AA946" s="195"/>
      <c r="AB946" s="195"/>
      <c r="AC946" s="8"/>
      <c r="AD946" s="8"/>
      <c r="AE946" s="8"/>
      <c r="AF946" s="8"/>
      <c r="AG946" s="202"/>
      <c r="AH946" s="202"/>
      <c r="AI946" s="202"/>
      <c r="AJ946" s="202"/>
      <c r="AK946" s="8"/>
      <c r="AL946" s="8"/>
      <c r="AM946" s="8"/>
      <c r="AN946" s="8"/>
      <c r="AO946" s="8"/>
      <c r="AP946" s="8"/>
      <c r="AQ946" s="8"/>
      <c r="AR946" s="8"/>
      <c r="AS946" s="8"/>
      <c r="AT946" s="8"/>
      <c r="AU946" s="8"/>
      <c r="AV946" s="8"/>
    </row>
    <row r="947">
      <c r="A947" s="209"/>
      <c r="B947" s="210"/>
      <c r="C947" s="390"/>
      <c r="D947" s="209"/>
      <c r="E947" s="210"/>
      <c r="F947" s="390"/>
      <c r="G947" s="209"/>
      <c r="H947" s="210"/>
      <c r="I947" s="390"/>
      <c r="J947" s="209"/>
      <c r="K947" s="210"/>
      <c r="L947" s="390"/>
      <c r="M947" s="209"/>
      <c r="N947" s="210"/>
      <c r="O947" s="390"/>
      <c r="P947" s="209"/>
      <c r="Q947" s="210"/>
      <c r="R947" s="390"/>
      <c r="S947" s="209"/>
      <c r="T947" s="210"/>
      <c r="U947" s="390"/>
      <c r="V947" s="209"/>
      <c r="W947" s="210"/>
      <c r="X947" s="390"/>
      <c r="Y947" s="195"/>
      <c r="Z947" s="195"/>
      <c r="AA947" s="195"/>
      <c r="AB947" s="195"/>
      <c r="AC947" s="8"/>
      <c r="AD947" s="8"/>
      <c r="AE947" s="8"/>
      <c r="AF947" s="8"/>
      <c r="AG947" s="202"/>
      <c r="AH947" s="202"/>
      <c r="AI947" s="202"/>
      <c r="AJ947" s="202"/>
      <c r="AK947" s="8"/>
      <c r="AL947" s="8"/>
      <c r="AM947" s="8"/>
      <c r="AN947" s="8"/>
      <c r="AO947" s="8"/>
      <c r="AP947" s="8"/>
      <c r="AQ947" s="8"/>
      <c r="AR947" s="8"/>
      <c r="AS947" s="8"/>
      <c r="AT947" s="8"/>
      <c r="AU947" s="8"/>
      <c r="AV947" s="8"/>
    </row>
    <row r="948">
      <c r="A948" s="209"/>
      <c r="B948" s="210"/>
      <c r="C948" s="390"/>
      <c r="D948" s="209"/>
      <c r="E948" s="210"/>
      <c r="F948" s="390"/>
      <c r="G948" s="209"/>
      <c r="H948" s="210"/>
      <c r="I948" s="390"/>
      <c r="J948" s="209"/>
      <c r="K948" s="210"/>
      <c r="L948" s="390"/>
      <c r="M948" s="209"/>
      <c r="N948" s="210"/>
      <c r="O948" s="390"/>
      <c r="P948" s="209"/>
      <c r="Q948" s="210"/>
      <c r="R948" s="390"/>
      <c r="S948" s="209"/>
      <c r="T948" s="210"/>
      <c r="U948" s="390"/>
      <c r="V948" s="209"/>
      <c r="W948" s="210"/>
      <c r="X948" s="390"/>
      <c r="Y948" s="195"/>
      <c r="Z948" s="195"/>
      <c r="AA948" s="195"/>
      <c r="AB948" s="195"/>
      <c r="AC948" s="8"/>
      <c r="AD948" s="8"/>
      <c r="AE948" s="8"/>
      <c r="AF948" s="8"/>
      <c r="AG948" s="202"/>
      <c r="AH948" s="202"/>
      <c r="AI948" s="202"/>
      <c r="AJ948" s="202"/>
      <c r="AK948" s="8"/>
      <c r="AL948" s="8"/>
      <c r="AM948" s="8"/>
      <c r="AN948" s="8"/>
      <c r="AO948" s="8"/>
      <c r="AP948" s="8"/>
      <c r="AQ948" s="8"/>
      <c r="AR948" s="8"/>
      <c r="AS948" s="8"/>
      <c r="AT948" s="8"/>
      <c r="AU948" s="8"/>
      <c r="AV948" s="8"/>
    </row>
    <row r="949">
      <c r="A949" s="209"/>
      <c r="B949" s="210"/>
      <c r="C949" s="390"/>
      <c r="D949" s="209"/>
      <c r="E949" s="210"/>
      <c r="F949" s="390"/>
      <c r="G949" s="209"/>
      <c r="H949" s="210"/>
      <c r="I949" s="390"/>
      <c r="J949" s="209"/>
      <c r="K949" s="210"/>
      <c r="L949" s="390"/>
      <c r="M949" s="209"/>
      <c r="N949" s="210"/>
      <c r="O949" s="390"/>
      <c r="P949" s="209"/>
      <c r="Q949" s="210"/>
      <c r="R949" s="390"/>
      <c r="S949" s="209"/>
      <c r="T949" s="210"/>
      <c r="U949" s="390"/>
      <c r="V949" s="209"/>
      <c r="W949" s="210"/>
      <c r="X949" s="390"/>
      <c r="Y949" s="195"/>
      <c r="Z949" s="195"/>
      <c r="AA949" s="195"/>
      <c r="AB949" s="195"/>
      <c r="AC949" s="8"/>
      <c r="AD949" s="8"/>
      <c r="AE949" s="8"/>
      <c r="AF949" s="8"/>
      <c r="AG949" s="202"/>
      <c r="AH949" s="202"/>
      <c r="AI949" s="202"/>
      <c r="AJ949" s="202"/>
      <c r="AK949" s="8"/>
      <c r="AL949" s="8"/>
      <c r="AM949" s="8"/>
      <c r="AN949" s="8"/>
      <c r="AO949" s="8"/>
      <c r="AP949" s="8"/>
      <c r="AQ949" s="8"/>
      <c r="AR949" s="8"/>
      <c r="AS949" s="8"/>
      <c r="AT949" s="8"/>
      <c r="AU949" s="8"/>
      <c r="AV949" s="8"/>
    </row>
    <row r="950">
      <c r="A950" s="209"/>
      <c r="B950" s="210"/>
      <c r="C950" s="390"/>
      <c r="D950" s="209"/>
      <c r="E950" s="210"/>
      <c r="F950" s="390"/>
      <c r="G950" s="209"/>
      <c r="H950" s="210"/>
      <c r="I950" s="390"/>
      <c r="J950" s="209"/>
      <c r="K950" s="210"/>
      <c r="L950" s="390"/>
      <c r="M950" s="209"/>
      <c r="N950" s="210"/>
      <c r="O950" s="390"/>
      <c r="P950" s="209"/>
      <c r="Q950" s="210"/>
      <c r="R950" s="390"/>
      <c r="S950" s="209"/>
      <c r="T950" s="210"/>
      <c r="U950" s="390"/>
      <c r="V950" s="209"/>
      <c r="W950" s="210"/>
      <c r="X950" s="390"/>
      <c r="Y950" s="195"/>
      <c r="Z950" s="195"/>
      <c r="AA950" s="195"/>
      <c r="AB950" s="195"/>
      <c r="AC950" s="8"/>
      <c r="AD950" s="8"/>
      <c r="AE950" s="8"/>
      <c r="AF950" s="8"/>
      <c r="AG950" s="202"/>
      <c r="AH950" s="202"/>
      <c r="AI950" s="202"/>
      <c r="AJ950" s="202"/>
      <c r="AK950" s="8"/>
      <c r="AL950" s="8"/>
      <c r="AM950" s="8"/>
      <c r="AN950" s="8"/>
      <c r="AO950" s="8"/>
      <c r="AP950" s="8"/>
      <c r="AQ950" s="8"/>
      <c r="AR950" s="8"/>
      <c r="AS950" s="8"/>
      <c r="AT950" s="8"/>
      <c r="AU950" s="8"/>
      <c r="AV950" s="8"/>
    </row>
    <row r="951">
      <c r="A951" s="209"/>
      <c r="B951" s="210"/>
      <c r="C951" s="390"/>
      <c r="D951" s="209"/>
      <c r="E951" s="210"/>
      <c r="F951" s="390"/>
      <c r="G951" s="209"/>
      <c r="H951" s="210"/>
      <c r="I951" s="390"/>
      <c r="J951" s="209"/>
      <c r="K951" s="210"/>
      <c r="L951" s="390"/>
      <c r="M951" s="209"/>
      <c r="N951" s="210"/>
      <c r="O951" s="390"/>
      <c r="P951" s="209"/>
      <c r="Q951" s="210"/>
      <c r="R951" s="390"/>
      <c r="S951" s="209"/>
      <c r="T951" s="210"/>
      <c r="U951" s="390"/>
      <c r="V951" s="209"/>
      <c r="W951" s="210"/>
      <c r="X951" s="390"/>
      <c r="Y951" s="195"/>
      <c r="Z951" s="195"/>
      <c r="AA951" s="195"/>
      <c r="AB951" s="195"/>
      <c r="AC951" s="8"/>
      <c r="AD951" s="8"/>
      <c r="AE951" s="8"/>
      <c r="AF951" s="8"/>
      <c r="AG951" s="202"/>
      <c r="AH951" s="202"/>
      <c r="AI951" s="202"/>
      <c r="AJ951" s="202"/>
      <c r="AK951" s="8"/>
      <c r="AL951" s="8"/>
      <c r="AM951" s="8"/>
      <c r="AN951" s="8"/>
      <c r="AO951" s="8"/>
      <c r="AP951" s="8"/>
      <c r="AQ951" s="8"/>
      <c r="AR951" s="8"/>
      <c r="AS951" s="8"/>
      <c r="AT951" s="8"/>
      <c r="AU951" s="8"/>
      <c r="AV951" s="8"/>
    </row>
    <row r="952">
      <c r="A952" s="209"/>
      <c r="B952" s="210"/>
      <c r="C952" s="390"/>
      <c r="D952" s="209"/>
      <c r="E952" s="210"/>
      <c r="F952" s="390"/>
      <c r="G952" s="209"/>
      <c r="H952" s="210"/>
      <c r="I952" s="390"/>
      <c r="J952" s="209"/>
      <c r="K952" s="210"/>
      <c r="L952" s="390"/>
      <c r="M952" s="209"/>
      <c r="N952" s="210"/>
      <c r="O952" s="390"/>
      <c r="P952" s="209"/>
      <c r="Q952" s="210"/>
      <c r="R952" s="390"/>
      <c r="S952" s="209"/>
      <c r="T952" s="210"/>
      <c r="U952" s="390"/>
      <c r="V952" s="209"/>
      <c r="W952" s="210"/>
      <c r="X952" s="390"/>
      <c r="Y952" s="195"/>
      <c r="Z952" s="195"/>
      <c r="AA952" s="195"/>
      <c r="AB952" s="195"/>
      <c r="AC952" s="8"/>
      <c r="AD952" s="8"/>
      <c r="AE952" s="8"/>
      <c r="AF952" s="8"/>
      <c r="AG952" s="202"/>
      <c r="AH952" s="202"/>
      <c r="AI952" s="202"/>
      <c r="AJ952" s="202"/>
      <c r="AK952" s="8"/>
      <c r="AL952" s="8"/>
      <c r="AM952" s="8"/>
      <c r="AN952" s="8"/>
      <c r="AO952" s="8"/>
      <c r="AP952" s="8"/>
      <c r="AQ952" s="8"/>
      <c r="AR952" s="8"/>
      <c r="AS952" s="8"/>
      <c r="AT952" s="8"/>
      <c r="AU952" s="8"/>
      <c r="AV952" s="8"/>
    </row>
    <row r="953">
      <c r="A953" s="209"/>
      <c r="B953" s="210"/>
      <c r="C953" s="390"/>
      <c r="D953" s="209"/>
      <c r="E953" s="210"/>
      <c r="F953" s="390"/>
      <c r="G953" s="209"/>
      <c r="H953" s="210"/>
      <c r="I953" s="390"/>
      <c r="J953" s="209"/>
      <c r="K953" s="210"/>
      <c r="L953" s="390"/>
      <c r="M953" s="209"/>
      <c r="N953" s="210"/>
      <c r="O953" s="390"/>
      <c r="P953" s="209"/>
      <c r="Q953" s="210"/>
      <c r="R953" s="390"/>
      <c r="S953" s="209"/>
      <c r="T953" s="210"/>
      <c r="U953" s="390"/>
      <c r="V953" s="209"/>
      <c r="W953" s="210"/>
      <c r="X953" s="390"/>
      <c r="Y953" s="195"/>
      <c r="Z953" s="195"/>
      <c r="AA953" s="195"/>
      <c r="AB953" s="195"/>
      <c r="AC953" s="8"/>
      <c r="AD953" s="8"/>
      <c r="AE953" s="8"/>
      <c r="AF953" s="8"/>
      <c r="AG953" s="202"/>
      <c r="AH953" s="202"/>
      <c r="AI953" s="202"/>
      <c r="AJ953" s="202"/>
      <c r="AK953" s="8"/>
      <c r="AL953" s="8"/>
      <c r="AM953" s="8"/>
      <c r="AN953" s="8"/>
      <c r="AO953" s="8"/>
      <c r="AP953" s="8"/>
      <c r="AQ953" s="8"/>
      <c r="AR953" s="8"/>
      <c r="AS953" s="8"/>
      <c r="AT953" s="8"/>
      <c r="AU953" s="8"/>
      <c r="AV953" s="8"/>
    </row>
    <row r="954">
      <c r="A954" s="209"/>
      <c r="B954" s="210"/>
      <c r="C954" s="390"/>
      <c r="D954" s="209"/>
      <c r="E954" s="210"/>
      <c r="F954" s="390"/>
      <c r="G954" s="209"/>
      <c r="H954" s="210"/>
      <c r="I954" s="390"/>
      <c r="J954" s="209"/>
      <c r="K954" s="210"/>
      <c r="L954" s="390"/>
      <c r="M954" s="209"/>
      <c r="N954" s="210"/>
      <c r="O954" s="390"/>
      <c r="P954" s="209"/>
      <c r="Q954" s="210"/>
      <c r="R954" s="390"/>
      <c r="S954" s="209"/>
      <c r="T954" s="210"/>
      <c r="U954" s="390"/>
      <c r="V954" s="209"/>
      <c r="W954" s="210"/>
      <c r="X954" s="390"/>
      <c r="Y954" s="195"/>
      <c r="Z954" s="195"/>
      <c r="AA954" s="195"/>
      <c r="AB954" s="195"/>
      <c r="AC954" s="8"/>
      <c r="AD954" s="8"/>
      <c r="AE954" s="8"/>
      <c r="AF954" s="8"/>
      <c r="AG954" s="202"/>
      <c r="AH954" s="202"/>
      <c r="AI954" s="202"/>
      <c r="AJ954" s="202"/>
      <c r="AK954" s="8"/>
      <c r="AL954" s="8"/>
      <c r="AM954" s="8"/>
      <c r="AN954" s="8"/>
      <c r="AO954" s="8"/>
      <c r="AP954" s="8"/>
      <c r="AQ954" s="8"/>
      <c r="AR954" s="8"/>
      <c r="AS954" s="8"/>
      <c r="AT954" s="8"/>
      <c r="AU954" s="8"/>
      <c r="AV954" s="8"/>
    </row>
    <row r="955">
      <c r="A955" s="209"/>
      <c r="B955" s="210"/>
      <c r="C955" s="390"/>
      <c r="D955" s="209"/>
      <c r="E955" s="210"/>
      <c r="F955" s="390"/>
      <c r="G955" s="209"/>
      <c r="H955" s="210"/>
      <c r="I955" s="390"/>
      <c r="J955" s="209"/>
      <c r="K955" s="210"/>
      <c r="L955" s="390"/>
      <c r="M955" s="209"/>
      <c r="N955" s="210"/>
      <c r="O955" s="390"/>
      <c r="P955" s="209"/>
      <c r="Q955" s="210"/>
      <c r="R955" s="390"/>
      <c r="S955" s="209"/>
      <c r="T955" s="210"/>
      <c r="U955" s="390"/>
      <c r="V955" s="209"/>
      <c r="W955" s="210"/>
      <c r="X955" s="390"/>
      <c r="Y955" s="195"/>
      <c r="Z955" s="195"/>
      <c r="AA955" s="195"/>
      <c r="AB955" s="195"/>
      <c r="AC955" s="8"/>
      <c r="AD955" s="8"/>
      <c r="AE955" s="8"/>
      <c r="AF955" s="8"/>
      <c r="AG955" s="202"/>
      <c r="AH955" s="202"/>
      <c r="AI955" s="202"/>
      <c r="AJ955" s="202"/>
      <c r="AK955" s="8"/>
      <c r="AL955" s="8"/>
      <c r="AM955" s="8"/>
      <c r="AN955" s="8"/>
      <c r="AO955" s="8"/>
      <c r="AP955" s="8"/>
      <c r="AQ955" s="8"/>
      <c r="AR955" s="8"/>
      <c r="AS955" s="8"/>
      <c r="AT955" s="8"/>
      <c r="AU955" s="8"/>
      <c r="AV955" s="8"/>
    </row>
    <row r="956">
      <c r="A956" s="209"/>
      <c r="B956" s="210"/>
      <c r="C956" s="390"/>
      <c r="D956" s="209"/>
      <c r="E956" s="210"/>
      <c r="F956" s="390"/>
      <c r="G956" s="209"/>
      <c r="H956" s="210"/>
      <c r="I956" s="390"/>
      <c r="J956" s="209"/>
      <c r="K956" s="210"/>
      <c r="L956" s="390"/>
      <c r="M956" s="209"/>
      <c r="N956" s="210"/>
      <c r="O956" s="390"/>
      <c r="P956" s="209"/>
      <c r="Q956" s="210"/>
      <c r="R956" s="390"/>
      <c r="S956" s="209"/>
      <c r="T956" s="210"/>
      <c r="U956" s="390"/>
      <c r="V956" s="209"/>
      <c r="W956" s="210"/>
      <c r="X956" s="390"/>
      <c r="Y956" s="195"/>
      <c r="Z956" s="195"/>
      <c r="AA956" s="195"/>
      <c r="AB956" s="195"/>
      <c r="AC956" s="8"/>
      <c r="AD956" s="8"/>
      <c r="AE956" s="8"/>
      <c r="AF956" s="8"/>
      <c r="AG956" s="202"/>
      <c r="AH956" s="202"/>
      <c r="AI956" s="202"/>
      <c r="AJ956" s="202"/>
      <c r="AK956" s="8"/>
      <c r="AL956" s="8"/>
      <c r="AM956" s="8"/>
      <c r="AN956" s="8"/>
      <c r="AO956" s="8"/>
      <c r="AP956" s="8"/>
      <c r="AQ956" s="8"/>
      <c r="AR956" s="8"/>
      <c r="AS956" s="8"/>
      <c r="AT956" s="8"/>
      <c r="AU956" s="8"/>
      <c r="AV956" s="8"/>
    </row>
    <row r="957">
      <c r="A957" s="209"/>
      <c r="B957" s="210"/>
      <c r="C957" s="390"/>
      <c r="D957" s="209"/>
      <c r="E957" s="210"/>
      <c r="F957" s="390"/>
      <c r="G957" s="209"/>
      <c r="H957" s="210"/>
      <c r="I957" s="390"/>
      <c r="J957" s="209"/>
      <c r="K957" s="210"/>
      <c r="L957" s="390"/>
      <c r="M957" s="209"/>
      <c r="N957" s="210"/>
      <c r="O957" s="390"/>
      <c r="P957" s="209"/>
      <c r="Q957" s="210"/>
      <c r="R957" s="390"/>
      <c r="S957" s="209"/>
      <c r="T957" s="210"/>
      <c r="U957" s="390"/>
      <c r="V957" s="209"/>
      <c r="W957" s="210"/>
      <c r="X957" s="390"/>
      <c r="Y957" s="195"/>
      <c r="Z957" s="195"/>
      <c r="AA957" s="195"/>
      <c r="AB957" s="195"/>
      <c r="AC957" s="8"/>
      <c r="AD957" s="8"/>
      <c r="AE957" s="8"/>
      <c r="AF957" s="8"/>
      <c r="AG957" s="202"/>
      <c r="AH957" s="202"/>
      <c r="AI957" s="202"/>
      <c r="AJ957" s="202"/>
      <c r="AK957" s="8"/>
      <c r="AL957" s="8"/>
      <c r="AM957" s="8"/>
      <c r="AN957" s="8"/>
      <c r="AO957" s="8"/>
      <c r="AP957" s="8"/>
      <c r="AQ957" s="8"/>
      <c r="AR957" s="8"/>
      <c r="AS957" s="8"/>
      <c r="AT957" s="8"/>
      <c r="AU957" s="8"/>
      <c r="AV957" s="8"/>
    </row>
    <row r="958">
      <c r="A958" s="209"/>
      <c r="B958" s="210"/>
      <c r="C958" s="390"/>
      <c r="D958" s="209"/>
      <c r="E958" s="210"/>
      <c r="F958" s="390"/>
      <c r="G958" s="209"/>
      <c r="H958" s="210"/>
      <c r="I958" s="390"/>
      <c r="J958" s="209"/>
      <c r="K958" s="210"/>
      <c r="L958" s="390"/>
      <c r="M958" s="209"/>
      <c r="N958" s="210"/>
      <c r="O958" s="390"/>
      <c r="P958" s="209"/>
      <c r="Q958" s="210"/>
      <c r="R958" s="390"/>
      <c r="S958" s="209"/>
      <c r="T958" s="210"/>
      <c r="U958" s="390"/>
      <c r="V958" s="209"/>
      <c r="W958" s="210"/>
      <c r="X958" s="390"/>
      <c r="Y958" s="195"/>
      <c r="Z958" s="195"/>
      <c r="AA958" s="195"/>
      <c r="AB958" s="195"/>
      <c r="AC958" s="8"/>
      <c r="AD958" s="8"/>
      <c r="AE958" s="8"/>
      <c r="AF958" s="8"/>
      <c r="AG958" s="202"/>
      <c r="AH958" s="202"/>
      <c r="AI958" s="202"/>
      <c r="AJ958" s="202"/>
      <c r="AK958" s="8"/>
      <c r="AL958" s="8"/>
      <c r="AM958" s="8"/>
      <c r="AN958" s="8"/>
      <c r="AO958" s="8"/>
      <c r="AP958" s="8"/>
      <c r="AQ958" s="8"/>
      <c r="AR958" s="8"/>
      <c r="AS958" s="8"/>
      <c r="AT958" s="8"/>
      <c r="AU958" s="8"/>
      <c r="AV958" s="8"/>
    </row>
    <row r="959">
      <c r="A959" s="209"/>
      <c r="B959" s="210"/>
      <c r="C959" s="390"/>
      <c r="D959" s="209"/>
      <c r="E959" s="210"/>
      <c r="F959" s="390"/>
      <c r="G959" s="209"/>
      <c r="H959" s="210"/>
      <c r="I959" s="390"/>
      <c r="J959" s="209"/>
      <c r="K959" s="210"/>
      <c r="L959" s="390"/>
      <c r="M959" s="209"/>
      <c r="N959" s="210"/>
      <c r="O959" s="390"/>
      <c r="P959" s="209"/>
      <c r="Q959" s="210"/>
      <c r="R959" s="390"/>
      <c r="S959" s="209"/>
      <c r="T959" s="210"/>
      <c r="U959" s="390"/>
      <c r="V959" s="209"/>
      <c r="W959" s="210"/>
      <c r="X959" s="390"/>
      <c r="Y959" s="195"/>
      <c r="Z959" s="195"/>
      <c r="AA959" s="195"/>
      <c r="AB959" s="195"/>
      <c r="AC959" s="8"/>
      <c r="AD959" s="8"/>
      <c r="AE959" s="8"/>
      <c r="AF959" s="8"/>
      <c r="AG959" s="202"/>
      <c r="AH959" s="202"/>
      <c r="AI959" s="202"/>
      <c r="AJ959" s="202"/>
      <c r="AK959" s="8"/>
      <c r="AL959" s="8"/>
      <c r="AM959" s="8"/>
      <c r="AN959" s="8"/>
      <c r="AO959" s="8"/>
      <c r="AP959" s="8"/>
      <c r="AQ959" s="8"/>
      <c r="AR959" s="8"/>
      <c r="AS959" s="8"/>
      <c r="AT959" s="8"/>
      <c r="AU959" s="8"/>
      <c r="AV959" s="8"/>
    </row>
    <row r="960">
      <c r="A960" s="209"/>
      <c r="B960" s="210"/>
      <c r="C960" s="390"/>
      <c r="D960" s="209"/>
      <c r="E960" s="210"/>
      <c r="F960" s="390"/>
      <c r="G960" s="209"/>
      <c r="H960" s="210"/>
      <c r="I960" s="390"/>
      <c r="J960" s="209"/>
      <c r="K960" s="210"/>
      <c r="L960" s="390"/>
      <c r="M960" s="209"/>
      <c r="N960" s="210"/>
      <c r="O960" s="390"/>
      <c r="P960" s="209"/>
      <c r="Q960" s="210"/>
      <c r="R960" s="390"/>
      <c r="S960" s="209"/>
      <c r="T960" s="210"/>
      <c r="U960" s="390"/>
      <c r="V960" s="209"/>
      <c r="W960" s="210"/>
      <c r="X960" s="390"/>
      <c r="Y960" s="195"/>
      <c r="Z960" s="195"/>
      <c r="AA960" s="195"/>
      <c r="AB960" s="195"/>
      <c r="AC960" s="8"/>
      <c r="AD960" s="8"/>
      <c r="AE960" s="8"/>
      <c r="AF960" s="8"/>
      <c r="AG960" s="202"/>
      <c r="AH960" s="202"/>
      <c r="AI960" s="202"/>
      <c r="AJ960" s="202"/>
      <c r="AK960" s="8"/>
      <c r="AL960" s="8"/>
      <c r="AM960" s="8"/>
      <c r="AN960" s="8"/>
      <c r="AO960" s="8"/>
      <c r="AP960" s="8"/>
      <c r="AQ960" s="8"/>
      <c r="AR960" s="8"/>
      <c r="AS960" s="8"/>
      <c r="AT960" s="8"/>
      <c r="AU960" s="8"/>
      <c r="AV960" s="8"/>
    </row>
    <row r="961">
      <c r="A961" s="209"/>
      <c r="B961" s="210"/>
      <c r="C961" s="390"/>
      <c r="D961" s="209"/>
      <c r="E961" s="210"/>
      <c r="F961" s="390"/>
      <c r="G961" s="209"/>
      <c r="H961" s="210"/>
      <c r="I961" s="390"/>
      <c r="J961" s="209"/>
      <c r="K961" s="210"/>
      <c r="L961" s="390"/>
      <c r="M961" s="209"/>
      <c r="N961" s="210"/>
      <c r="O961" s="390"/>
      <c r="P961" s="209"/>
      <c r="Q961" s="210"/>
      <c r="R961" s="390"/>
      <c r="S961" s="209"/>
      <c r="T961" s="210"/>
      <c r="U961" s="390"/>
      <c r="V961" s="209"/>
      <c r="W961" s="210"/>
      <c r="X961" s="390"/>
      <c r="Y961" s="195"/>
      <c r="Z961" s="195"/>
      <c r="AA961" s="195"/>
      <c r="AB961" s="195"/>
      <c r="AC961" s="8"/>
      <c r="AD961" s="8"/>
      <c r="AE961" s="8"/>
      <c r="AF961" s="8"/>
      <c r="AG961" s="202"/>
      <c r="AH961" s="202"/>
      <c r="AI961" s="202"/>
      <c r="AJ961" s="202"/>
      <c r="AK961" s="8"/>
      <c r="AL961" s="8"/>
      <c r="AM961" s="8"/>
      <c r="AN961" s="8"/>
      <c r="AO961" s="8"/>
      <c r="AP961" s="8"/>
      <c r="AQ961" s="8"/>
      <c r="AR961" s="8"/>
      <c r="AS961" s="8"/>
      <c r="AT961" s="8"/>
      <c r="AU961" s="8"/>
      <c r="AV961" s="8"/>
    </row>
    <row r="962">
      <c r="A962" s="209"/>
      <c r="B962" s="210"/>
      <c r="C962" s="390"/>
      <c r="D962" s="209"/>
      <c r="E962" s="210"/>
      <c r="F962" s="390"/>
      <c r="G962" s="209"/>
      <c r="H962" s="210"/>
      <c r="I962" s="390"/>
      <c r="J962" s="209"/>
      <c r="K962" s="210"/>
      <c r="L962" s="390"/>
      <c r="M962" s="209"/>
      <c r="N962" s="210"/>
      <c r="O962" s="390"/>
      <c r="P962" s="209"/>
      <c r="Q962" s="210"/>
      <c r="R962" s="390"/>
      <c r="S962" s="209"/>
      <c r="T962" s="210"/>
      <c r="U962" s="390"/>
      <c r="V962" s="209"/>
      <c r="W962" s="210"/>
      <c r="X962" s="390"/>
      <c r="Y962" s="195"/>
      <c r="Z962" s="195"/>
      <c r="AA962" s="195"/>
      <c r="AB962" s="195"/>
      <c r="AC962" s="8"/>
      <c r="AD962" s="8"/>
      <c r="AE962" s="8"/>
      <c r="AF962" s="8"/>
      <c r="AG962" s="202"/>
      <c r="AH962" s="202"/>
      <c r="AI962" s="202"/>
      <c r="AJ962" s="202"/>
      <c r="AK962" s="8"/>
      <c r="AL962" s="8"/>
      <c r="AM962" s="8"/>
      <c r="AN962" s="8"/>
      <c r="AO962" s="8"/>
      <c r="AP962" s="8"/>
      <c r="AQ962" s="8"/>
      <c r="AR962" s="8"/>
      <c r="AS962" s="8"/>
      <c r="AT962" s="8"/>
      <c r="AU962" s="8"/>
      <c r="AV962" s="8"/>
    </row>
    <row r="963">
      <c r="A963" s="209"/>
      <c r="B963" s="210"/>
      <c r="C963" s="390"/>
      <c r="D963" s="209"/>
      <c r="E963" s="210"/>
      <c r="F963" s="390"/>
      <c r="G963" s="209"/>
      <c r="H963" s="210"/>
      <c r="I963" s="390"/>
      <c r="J963" s="209"/>
      <c r="K963" s="210"/>
      <c r="L963" s="390"/>
      <c r="M963" s="209"/>
      <c r="N963" s="210"/>
      <c r="O963" s="390"/>
      <c r="P963" s="209"/>
      <c r="Q963" s="210"/>
      <c r="R963" s="390"/>
      <c r="S963" s="209"/>
      <c r="T963" s="210"/>
      <c r="U963" s="390"/>
      <c r="V963" s="209"/>
      <c r="W963" s="210"/>
      <c r="X963" s="390"/>
      <c r="Y963" s="195"/>
      <c r="Z963" s="195"/>
      <c r="AA963" s="195"/>
      <c r="AB963" s="195"/>
      <c r="AC963" s="8"/>
      <c r="AD963" s="8"/>
      <c r="AE963" s="8"/>
      <c r="AF963" s="8"/>
      <c r="AG963" s="202"/>
      <c r="AH963" s="202"/>
      <c r="AI963" s="202"/>
      <c r="AJ963" s="202"/>
      <c r="AK963" s="8"/>
      <c r="AL963" s="8"/>
      <c r="AM963" s="8"/>
      <c r="AN963" s="8"/>
      <c r="AO963" s="8"/>
      <c r="AP963" s="8"/>
      <c r="AQ963" s="8"/>
      <c r="AR963" s="8"/>
      <c r="AS963" s="8"/>
      <c r="AT963" s="8"/>
      <c r="AU963" s="8"/>
      <c r="AV963" s="8"/>
    </row>
    <row r="964">
      <c r="A964" s="209"/>
      <c r="B964" s="210"/>
      <c r="C964" s="390"/>
      <c r="D964" s="209"/>
      <c r="E964" s="210"/>
      <c r="F964" s="390"/>
      <c r="G964" s="209"/>
      <c r="H964" s="210"/>
      <c r="I964" s="390"/>
      <c r="J964" s="209"/>
      <c r="K964" s="210"/>
      <c r="L964" s="390"/>
      <c r="M964" s="209"/>
      <c r="N964" s="210"/>
      <c r="O964" s="390"/>
      <c r="P964" s="209"/>
      <c r="Q964" s="210"/>
      <c r="R964" s="390"/>
      <c r="S964" s="209"/>
      <c r="T964" s="210"/>
      <c r="U964" s="390"/>
      <c r="V964" s="209"/>
      <c r="W964" s="210"/>
      <c r="X964" s="390"/>
      <c r="Y964" s="195"/>
      <c r="Z964" s="195"/>
      <c r="AA964" s="195"/>
      <c r="AB964" s="195"/>
      <c r="AC964" s="8"/>
      <c r="AD964" s="8"/>
      <c r="AE964" s="8"/>
      <c r="AF964" s="8"/>
      <c r="AG964" s="202"/>
      <c r="AH964" s="202"/>
      <c r="AI964" s="202"/>
      <c r="AJ964" s="202"/>
      <c r="AK964" s="8"/>
      <c r="AL964" s="8"/>
      <c r="AM964" s="8"/>
      <c r="AN964" s="8"/>
      <c r="AO964" s="8"/>
      <c r="AP964" s="8"/>
      <c r="AQ964" s="8"/>
      <c r="AR964" s="8"/>
      <c r="AS964" s="8"/>
      <c r="AT964" s="8"/>
      <c r="AU964" s="8"/>
      <c r="AV964" s="8"/>
    </row>
    <row r="965">
      <c r="A965" s="209"/>
      <c r="B965" s="210"/>
      <c r="C965" s="390"/>
      <c r="D965" s="209"/>
      <c r="E965" s="210"/>
      <c r="F965" s="390"/>
      <c r="G965" s="209"/>
      <c r="H965" s="210"/>
      <c r="I965" s="390"/>
      <c r="J965" s="209"/>
      <c r="K965" s="210"/>
      <c r="L965" s="390"/>
      <c r="M965" s="209"/>
      <c r="N965" s="210"/>
      <c r="O965" s="390"/>
      <c r="P965" s="209"/>
      <c r="Q965" s="210"/>
      <c r="R965" s="390"/>
      <c r="S965" s="209"/>
      <c r="T965" s="210"/>
      <c r="U965" s="390"/>
      <c r="V965" s="209"/>
      <c r="W965" s="210"/>
      <c r="X965" s="390"/>
      <c r="Y965" s="195"/>
      <c r="Z965" s="195"/>
      <c r="AA965" s="195"/>
      <c r="AB965" s="195"/>
      <c r="AC965" s="8"/>
      <c r="AD965" s="8"/>
      <c r="AE965" s="8"/>
      <c r="AF965" s="8"/>
      <c r="AG965" s="202"/>
      <c r="AH965" s="202"/>
      <c r="AI965" s="202"/>
      <c r="AJ965" s="202"/>
      <c r="AK965" s="8"/>
      <c r="AL965" s="8"/>
      <c r="AM965" s="8"/>
      <c r="AN965" s="8"/>
      <c r="AO965" s="8"/>
      <c r="AP965" s="8"/>
      <c r="AQ965" s="8"/>
      <c r="AR965" s="8"/>
      <c r="AS965" s="8"/>
      <c r="AT965" s="8"/>
      <c r="AU965" s="8"/>
      <c r="AV965" s="8"/>
    </row>
    <row r="966">
      <c r="A966" s="209"/>
      <c r="B966" s="210"/>
      <c r="C966" s="390"/>
      <c r="D966" s="209"/>
      <c r="E966" s="210"/>
      <c r="F966" s="390"/>
      <c r="G966" s="209"/>
      <c r="H966" s="210"/>
      <c r="I966" s="390"/>
      <c r="J966" s="209"/>
      <c r="K966" s="210"/>
      <c r="L966" s="390"/>
      <c r="M966" s="209"/>
      <c r="N966" s="210"/>
      <c r="O966" s="390"/>
      <c r="P966" s="209"/>
      <c r="Q966" s="210"/>
      <c r="R966" s="390"/>
      <c r="S966" s="209"/>
      <c r="T966" s="210"/>
      <c r="U966" s="390"/>
      <c r="V966" s="209"/>
      <c r="W966" s="210"/>
      <c r="X966" s="390"/>
      <c r="Y966" s="195"/>
      <c r="Z966" s="195"/>
      <c r="AA966" s="195"/>
      <c r="AB966" s="195"/>
      <c r="AC966" s="8"/>
      <c r="AD966" s="8"/>
      <c r="AE966" s="8"/>
      <c r="AF966" s="8"/>
      <c r="AG966" s="202"/>
      <c r="AH966" s="202"/>
      <c r="AI966" s="202"/>
      <c r="AJ966" s="202"/>
      <c r="AK966" s="8"/>
      <c r="AL966" s="8"/>
      <c r="AM966" s="8"/>
      <c r="AN966" s="8"/>
      <c r="AO966" s="8"/>
      <c r="AP966" s="8"/>
      <c r="AQ966" s="8"/>
      <c r="AR966" s="8"/>
      <c r="AS966" s="8"/>
      <c r="AT966" s="8"/>
      <c r="AU966" s="8"/>
      <c r="AV966" s="8"/>
    </row>
    <row r="967">
      <c r="A967" s="209"/>
      <c r="B967" s="210"/>
      <c r="C967" s="390"/>
      <c r="D967" s="209"/>
      <c r="E967" s="210"/>
      <c r="F967" s="390"/>
      <c r="G967" s="209"/>
      <c r="H967" s="210"/>
      <c r="I967" s="390"/>
      <c r="J967" s="209"/>
      <c r="K967" s="210"/>
      <c r="L967" s="390"/>
      <c r="M967" s="209"/>
      <c r="N967" s="210"/>
      <c r="O967" s="390"/>
      <c r="P967" s="209"/>
      <c r="Q967" s="210"/>
      <c r="R967" s="390"/>
      <c r="S967" s="209"/>
      <c r="T967" s="210"/>
      <c r="U967" s="390"/>
      <c r="V967" s="209"/>
      <c r="W967" s="210"/>
      <c r="X967" s="390"/>
      <c r="Y967" s="195"/>
      <c r="Z967" s="195"/>
      <c r="AA967" s="195"/>
      <c r="AB967" s="195"/>
      <c r="AC967" s="8"/>
      <c r="AD967" s="8"/>
      <c r="AE967" s="8"/>
      <c r="AF967" s="8"/>
      <c r="AG967" s="202"/>
      <c r="AH967" s="202"/>
      <c r="AI967" s="202"/>
      <c r="AJ967" s="202"/>
      <c r="AK967" s="8"/>
      <c r="AL967" s="8"/>
      <c r="AM967" s="8"/>
      <c r="AN967" s="8"/>
      <c r="AO967" s="8"/>
      <c r="AP967" s="8"/>
      <c r="AQ967" s="8"/>
      <c r="AR967" s="8"/>
      <c r="AS967" s="8"/>
      <c r="AT967" s="8"/>
      <c r="AU967" s="8"/>
      <c r="AV967" s="8"/>
    </row>
    <row r="968">
      <c r="A968" s="209"/>
      <c r="B968" s="210"/>
      <c r="C968" s="390"/>
      <c r="D968" s="209"/>
      <c r="E968" s="210"/>
      <c r="F968" s="390"/>
      <c r="G968" s="209"/>
      <c r="H968" s="210"/>
      <c r="I968" s="390"/>
      <c r="J968" s="209"/>
      <c r="K968" s="210"/>
      <c r="L968" s="390"/>
      <c r="M968" s="209"/>
      <c r="N968" s="210"/>
      <c r="O968" s="390"/>
      <c r="P968" s="209"/>
      <c r="Q968" s="210"/>
      <c r="R968" s="390"/>
      <c r="S968" s="209"/>
      <c r="T968" s="210"/>
      <c r="U968" s="390"/>
      <c r="V968" s="209"/>
      <c r="W968" s="210"/>
      <c r="X968" s="390"/>
      <c r="Y968" s="195"/>
      <c r="Z968" s="195"/>
      <c r="AA968" s="195"/>
      <c r="AB968" s="195"/>
      <c r="AC968" s="8"/>
      <c r="AD968" s="8"/>
      <c r="AE968" s="8"/>
      <c r="AF968" s="8"/>
      <c r="AG968" s="202"/>
      <c r="AH968" s="202"/>
      <c r="AI968" s="202"/>
      <c r="AJ968" s="202"/>
      <c r="AK968" s="8"/>
      <c r="AL968" s="8"/>
      <c r="AM968" s="8"/>
      <c r="AN968" s="8"/>
      <c r="AO968" s="8"/>
      <c r="AP968" s="8"/>
      <c r="AQ968" s="8"/>
      <c r="AR968" s="8"/>
      <c r="AS968" s="8"/>
      <c r="AT968" s="8"/>
      <c r="AU968" s="8"/>
      <c r="AV968" s="8"/>
    </row>
    <row r="969">
      <c r="A969" s="209"/>
      <c r="B969" s="210"/>
      <c r="C969" s="390"/>
      <c r="D969" s="209"/>
      <c r="E969" s="210"/>
      <c r="F969" s="390"/>
      <c r="G969" s="209"/>
      <c r="H969" s="210"/>
      <c r="I969" s="390"/>
      <c r="J969" s="209"/>
      <c r="K969" s="210"/>
      <c r="L969" s="390"/>
      <c r="M969" s="209"/>
      <c r="N969" s="210"/>
      <c r="O969" s="390"/>
      <c r="P969" s="209"/>
      <c r="Q969" s="210"/>
      <c r="R969" s="390"/>
      <c r="S969" s="209"/>
      <c r="T969" s="210"/>
      <c r="U969" s="390"/>
      <c r="V969" s="209"/>
      <c r="W969" s="210"/>
      <c r="X969" s="390"/>
      <c r="Y969" s="195"/>
      <c r="Z969" s="195"/>
      <c r="AA969" s="195"/>
      <c r="AB969" s="195"/>
      <c r="AC969" s="8"/>
      <c r="AD969" s="8"/>
      <c r="AE969" s="8"/>
      <c r="AF969" s="8"/>
      <c r="AG969" s="202"/>
      <c r="AH969" s="202"/>
      <c r="AI969" s="202"/>
      <c r="AJ969" s="202"/>
      <c r="AK969" s="8"/>
      <c r="AL969" s="8"/>
      <c r="AM969" s="8"/>
      <c r="AN969" s="8"/>
      <c r="AO969" s="8"/>
      <c r="AP969" s="8"/>
      <c r="AQ969" s="8"/>
      <c r="AR969" s="8"/>
      <c r="AS969" s="8"/>
      <c r="AT969" s="8"/>
      <c r="AU969" s="8"/>
      <c r="AV969" s="8"/>
    </row>
    <row r="970">
      <c r="A970" s="209"/>
      <c r="B970" s="210"/>
      <c r="C970" s="390"/>
      <c r="D970" s="209"/>
      <c r="E970" s="210"/>
      <c r="F970" s="390"/>
      <c r="G970" s="209"/>
      <c r="H970" s="210"/>
      <c r="I970" s="390"/>
      <c r="J970" s="209"/>
      <c r="K970" s="210"/>
      <c r="L970" s="390"/>
      <c r="M970" s="209"/>
      <c r="N970" s="210"/>
      <c r="O970" s="390"/>
      <c r="P970" s="209"/>
      <c r="Q970" s="210"/>
      <c r="R970" s="390"/>
      <c r="S970" s="209"/>
      <c r="T970" s="210"/>
      <c r="U970" s="390"/>
      <c r="V970" s="209"/>
      <c r="W970" s="210"/>
      <c r="X970" s="390"/>
      <c r="Y970" s="195"/>
      <c r="Z970" s="195"/>
      <c r="AA970" s="195"/>
      <c r="AB970" s="195"/>
      <c r="AC970" s="8"/>
      <c r="AD970" s="8"/>
      <c r="AE970" s="8"/>
      <c r="AF970" s="8"/>
      <c r="AG970" s="202"/>
      <c r="AH970" s="202"/>
      <c r="AI970" s="202"/>
      <c r="AJ970" s="202"/>
      <c r="AK970" s="8"/>
      <c r="AL970" s="8"/>
      <c r="AM970" s="8"/>
      <c r="AN970" s="8"/>
      <c r="AO970" s="8"/>
      <c r="AP970" s="8"/>
      <c r="AQ970" s="8"/>
      <c r="AR970" s="8"/>
      <c r="AS970" s="8"/>
      <c r="AT970" s="8"/>
      <c r="AU970" s="8"/>
      <c r="AV970" s="8"/>
    </row>
    <row r="971">
      <c r="A971" s="209"/>
      <c r="B971" s="210"/>
      <c r="C971" s="390"/>
      <c r="D971" s="209"/>
      <c r="E971" s="210"/>
      <c r="F971" s="390"/>
      <c r="G971" s="209"/>
      <c r="H971" s="210"/>
      <c r="I971" s="390"/>
      <c r="J971" s="209"/>
      <c r="K971" s="210"/>
      <c r="L971" s="390"/>
      <c r="M971" s="209"/>
      <c r="N971" s="210"/>
      <c r="O971" s="390"/>
      <c r="P971" s="209"/>
      <c r="Q971" s="210"/>
      <c r="R971" s="390"/>
      <c r="S971" s="209"/>
      <c r="T971" s="210"/>
      <c r="U971" s="390"/>
      <c r="V971" s="209"/>
      <c r="W971" s="210"/>
      <c r="X971" s="390"/>
      <c r="Y971" s="195"/>
      <c r="Z971" s="195"/>
      <c r="AA971" s="195"/>
      <c r="AB971" s="195"/>
      <c r="AC971" s="8"/>
      <c r="AD971" s="8"/>
      <c r="AE971" s="8"/>
      <c r="AF971" s="8"/>
      <c r="AG971" s="202"/>
      <c r="AH971" s="202"/>
      <c r="AI971" s="202"/>
      <c r="AJ971" s="202"/>
      <c r="AK971" s="8"/>
      <c r="AL971" s="8"/>
      <c r="AM971" s="8"/>
      <c r="AN971" s="8"/>
      <c r="AO971" s="8"/>
      <c r="AP971" s="8"/>
      <c r="AQ971" s="8"/>
      <c r="AR971" s="8"/>
      <c r="AS971" s="8"/>
      <c r="AT971" s="8"/>
      <c r="AU971" s="8"/>
      <c r="AV971" s="8"/>
    </row>
    <row r="972">
      <c r="A972" s="209"/>
      <c r="B972" s="210"/>
      <c r="C972" s="390"/>
      <c r="D972" s="209"/>
      <c r="E972" s="210"/>
      <c r="F972" s="390"/>
      <c r="G972" s="209"/>
      <c r="H972" s="210"/>
      <c r="I972" s="390"/>
      <c r="J972" s="209"/>
      <c r="K972" s="210"/>
      <c r="L972" s="390"/>
      <c r="M972" s="209"/>
      <c r="N972" s="210"/>
      <c r="O972" s="390"/>
      <c r="P972" s="209"/>
      <c r="Q972" s="210"/>
      <c r="R972" s="390"/>
      <c r="S972" s="209"/>
      <c r="T972" s="210"/>
      <c r="U972" s="390"/>
      <c r="V972" s="209"/>
      <c r="W972" s="210"/>
      <c r="X972" s="390"/>
      <c r="Y972" s="195"/>
      <c r="Z972" s="195"/>
      <c r="AA972" s="195"/>
      <c r="AB972" s="195"/>
      <c r="AC972" s="8"/>
      <c r="AD972" s="8"/>
      <c r="AE972" s="8"/>
      <c r="AF972" s="8"/>
      <c r="AG972" s="202"/>
      <c r="AH972" s="202"/>
      <c r="AI972" s="202"/>
      <c r="AJ972" s="202"/>
      <c r="AK972" s="8"/>
      <c r="AL972" s="8"/>
      <c r="AM972" s="8"/>
      <c r="AN972" s="8"/>
      <c r="AO972" s="8"/>
      <c r="AP972" s="8"/>
      <c r="AQ972" s="8"/>
      <c r="AR972" s="8"/>
      <c r="AS972" s="8"/>
      <c r="AT972" s="8"/>
      <c r="AU972" s="8"/>
      <c r="AV972" s="8"/>
    </row>
    <row r="973">
      <c r="A973" s="209"/>
      <c r="B973" s="210"/>
      <c r="C973" s="390"/>
      <c r="D973" s="209"/>
      <c r="E973" s="210"/>
      <c r="F973" s="390"/>
      <c r="G973" s="209"/>
      <c r="H973" s="210"/>
      <c r="I973" s="390"/>
      <c r="J973" s="209"/>
      <c r="K973" s="210"/>
      <c r="L973" s="390"/>
      <c r="M973" s="209"/>
      <c r="N973" s="210"/>
      <c r="O973" s="390"/>
      <c r="P973" s="209"/>
      <c r="Q973" s="210"/>
      <c r="R973" s="390"/>
      <c r="S973" s="209"/>
      <c r="T973" s="210"/>
      <c r="U973" s="390"/>
      <c r="V973" s="209"/>
      <c r="W973" s="210"/>
      <c r="X973" s="390"/>
      <c r="Y973" s="195"/>
      <c r="Z973" s="195"/>
      <c r="AA973" s="195"/>
      <c r="AB973" s="195"/>
      <c r="AC973" s="8"/>
      <c r="AD973" s="8"/>
      <c r="AE973" s="8"/>
      <c r="AF973" s="8"/>
      <c r="AG973" s="202"/>
      <c r="AH973" s="202"/>
      <c r="AI973" s="202"/>
      <c r="AJ973" s="202"/>
      <c r="AK973" s="8"/>
      <c r="AL973" s="8"/>
      <c r="AM973" s="8"/>
      <c r="AN973" s="8"/>
      <c r="AO973" s="8"/>
      <c r="AP973" s="8"/>
      <c r="AQ973" s="8"/>
      <c r="AR973" s="8"/>
      <c r="AS973" s="8"/>
      <c r="AT973" s="8"/>
      <c r="AU973" s="8"/>
      <c r="AV973" s="8"/>
    </row>
    <row r="974">
      <c r="A974" s="209"/>
      <c r="B974" s="210"/>
      <c r="C974" s="390"/>
      <c r="D974" s="209"/>
      <c r="E974" s="210"/>
      <c r="F974" s="390"/>
      <c r="G974" s="209"/>
      <c r="H974" s="210"/>
      <c r="I974" s="390"/>
      <c r="J974" s="209"/>
      <c r="K974" s="210"/>
      <c r="L974" s="390"/>
      <c r="M974" s="209"/>
      <c r="N974" s="210"/>
      <c r="O974" s="390"/>
      <c r="P974" s="209"/>
      <c r="Q974" s="210"/>
      <c r="R974" s="390"/>
      <c r="S974" s="209"/>
      <c r="T974" s="210"/>
      <c r="U974" s="390"/>
      <c r="V974" s="209"/>
      <c r="W974" s="210"/>
      <c r="X974" s="390"/>
      <c r="Y974" s="195"/>
      <c r="Z974" s="195"/>
      <c r="AA974" s="195"/>
      <c r="AB974" s="195"/>
      <c r="AC974" s="8"/>
      <c r="AD974" s="8"/>
      <c r="AE974" s="8"/>
      <c r="AF974" s="8"/>
      <c r="AG974" s="202"/>
      <c r="AH974" s="202"/>
      <c r="AI974" s="202"/>
      <c r="AJ974" s="202"/>
      <c r="AK974" s="8"/>
      <c r="AL974" s="8"/>
      <c r="AM974" s="8"/>
      <c r="AN974" s="8"/>
      <c r="AO974" s="8"/>
      <c r="AP974" s="8"/>
      <c r="AQ974" s="8"/>
      <c r="AR974" s="8"/>
      <c r="AS974" s="8"/>
      <c r="AT974" s="8"/>
      <c r="AU974" s="8"/>
      <c r="AV974" s="8"/>
    </row>
    <row r="975">
      <c r="A975" s="209"/>
      <c r="B975" s="210"/>
      <c r="C975" s="390"/>
      <c r="D975" s="209"/>
      <c r="E975" s="210"/>
      <c r="F975" s="390"/>
      <c r="G975" s="209"/>
      <c r="H975" s="210"/>
      <c r="I975" s="390"/>
      <c r="J975" s="209"/>
      <c r="K975" s="210"/>
      <c r="L975" s="390"/>
      <c r="M975" s="209"/>
      <c r="N975" s="210"/>
      <c r="O975" s="390"/>
      <c r="P975" s="209"/>
      <c r="Q975" s="210"/>
      <c r="R975" s="390"/>
      <c r="S975" s="209"/>
      <c r="T975" s="210"/>
      <c r="U975" s="390"/>
      <c r="V975" s="209"/>
      <c r="W975" s="210"/>
      <c r="X975" s="390"/>
      <c r="Y975" s="195"/>
      <c r="Z975" s="195"/>
      <c r="AA975" s="195"/>
      <c r="AB975" s="195"/>
      <c r="AC975" s="8"/>
      <c r="AD975" s="8"/>
      <c r="AE975" s="8"/>
      <c r="AF975" s="8"/>
      <c r="AG975" s="202"/>
      <c r="AH975" s="202"/>
      <c r="AI975" s="202"/>
      <c r="AJ975" s="202"/>
      <c r="AK975" s="8"/>
      <c r="AL975" s="8"/>
      <c r="AM975" s="8"/>
      <c r="AN975" s="8"/>
      <c r="AO975" s="8"/>
      <c r="AP975" s="8"/>
      <c r="AQ975" s="8"/>
      <c r="AR975" s="8"/>
      <c r="AS975" s="8"/>
      <c r="AT975" s="8"/>
      <c r="AU975" s="8"/>
      <c r="AV975" s="8"/>
    </row>
    <row r="976">
      <c r="A976" s="209"/>
      <c r="B976" s="210"/>
      <c r="C976" s="390"/>
      <c r="D976" s="209"/>
      <c r="E976" s="210"/>
      <c r="F976" s="390"/>
      <c r="G976" s="209"/>
      <c r="H976" s="210"/>
      <c r="I976" s="390"/>
      <c r="J976" s="209"/>
      <c r="K976" s="210"/>
      <c r="L976" s="390"/>
      <c r="M976" s="209"/>
      <c r="N976" s="210"/>
      <c r="O976" s="390"/>
      <c r="P976" s="209"/>
      <c r="Q976" s="210"/>
      <c r="R976" s="390"/>
      <c r="S976" s="209"/>
      <c r="T976" s="210"/>
      <c r="U976" s="390"/>
      <c r="V976" s="209"/>
      <c r="W976" s="210"/>
      <c r="X976" s="390"/>
      <c r="Y976" s="195"/>
      <c r="Z976" s="195"/>
      <c r="AA976" s="195"/>
      <c r="AB976" s="195"/>
      <c r="AC976" s="8"/>
      <c r="AD976" s="8"/>
      <c r="AE976" s="8"/>
      <c r="AF976" s="8"/>
      <c r="AG976" s="202"/>
      <c r="AH976" s="202"/>
      <c r="AI976" s="202"/>
      <c r="AJ976" s="202"/>
      <c r="AK976" s="8"/>
      <c r="AL976" s="8"/>
      <c r="AM976" s="8"/>
      <c r="AN976" s="8"/>
      <c r="AO976" s="8"/>
      <c r="AP976" s="8"/>
      <c r="AQ976" s="8"/>
      <c r="AR976" s="8"/>
      <c r="AS976" s="8"/>
      <c r="AT976" s="8"/>
      <c r="AU976" s="8"/>
      <c r="AV976" s="8"/>
    </row>
    <row r="977">
      <c r="A977" s="209"/>
      <c r="B977" s="210"/>
      <c r="C977" s="390"/>
      <c r="D977" s="209"/>
      <c r="E977" s="210"/>
      <c r="F977" s="390"/>
      <c r="G977" s="209"/>
      <c r="H977" s="210"/>
      <c r="I977" s="390"/>
      <c r="J977" s="209"/>
      <c r="K977" s="210"/>
      <c r="L977" s="390"/>
      <c r="M977" s="209"/>
      <c r="N977" s="210"/>
      <c r="O977" s="390"/>
      <c r="P977" s="209"/>
      <c r="Q977" s="210"/>
      <c r="R977" s="390"/>
      <c r="S977" s="209"/>
      <c r="T977" s="210"/>
      <c r="U977" s="390"/>
      <c r="V977" s="209"/>
      <c r="W977" s="210"/>
      <c r="X977" s="390"/>
      <c r="Y977" s="195"/>
      <c r="Z977" s="195"/>
      <c r="AA977" s="195"/>
      <c r="AB977" s="195"/>
      <c r="AC977" s="8"/>
      <c r="AD977" s="8"/>
      <c r="AE977" s="8"/>
      <c r="AF977" s="8"/>
      <c r="AG977" s="202"/>
      <c r="AH977" s="202"/>
      <c r="AI977" s="202"/>
      <c r="AJ977" s="202"/>
      <c r="AK977" s="8"/>
      <c r="AL977" s="8"/>
      <c r="AM977" s="8"/>
      <c r="AN977" s="8"/>
      <c r="AO977" s="8"/>
      <c r="AP977" s="8"/>
      <c r="AQ977" s="8"/>
      <c r="AR977" s="8"/>
      <c r="AS977" s="8"/>
      <c r="AT977" s="8"/>
      <c r="AU977" s="8"/>
      <c r="AV977" s="8"/>
    </row>
    <row r="978">
      <c r="A978" s="209"/>
      <c r="B978" s="210"/>
      <c r="C978" s="390"/>
      <c r="D978" s="209"/>
      <c r="E978" s="210"/>
      <c r="F978" s="390"/>
      <c r="G978" s="209"/>
      <c r="H978" s="210"/>
      <c r="I978" s="390"/>
      <c r="J978" s="209"/>
      <c r="K978" s="210"/>
      <c r="L978" s="390"/>
      <c r="M978" s="209"/>
      <c r="N978" s="210"/>
      <c r="O978" s="390"/>
      <c r="P978" s="209"/>
      <c r="Q978" s="210"/>
      <c r="R978" s="390"/>
      <c r="S978" s="209"/>
      <c r="T978" s="210"/>
      <c r="U978" s="390"/>
      <c r="V978" s="209"/>
      <c r="W978" s="210"/>
      <c r="X978" s="390"/>
      <c r="Y978" s="195"/>
      <c r="Z978" s="195"/>
      <c r="AA978" s="195"/>
      <c r="AB978" s="195"/>
      <c r="AC978" s="8"/>
      <c r="AD978" s="8"/>
      <c r="AE978" s="8"/>
      <c r="AF978" s="8"/>
      <c r="AG978" s="202"/>
      <c r="AH978" s="202"/>
      <c r="AI978" s="202"/>
      <c r="AJ978" s="202"/>
      <c r="AK978" s="8"/>
      <c r="AL978" s="8"/>
      <c r="AM978" s="8"/>
      <c r="AN978" s="8"/>
      <c r="AO978" s="8"/>
      <c r="AP978" s="8"/>
      <c r="AQ978" s="8"/>
      <c r="AR978" s="8"/>
      <c r="AS978" s="8"/>
      <c r="AT978" s="8"/>
      <c r="AU978" s="8"/>
      <c r="AV978" s="8"/>
    </row>
    <row r="979">
      <c r="A979" s="209"/>
      <c r="B979" s="210"/>
      <c r="C979" s="390"/>
      <c r="D979" s="209"/>
      <c r="E979" s="210"/>
      <c r="F979" s="390"/>
      <c r="G979" s="209"/>
      <c r="H979" s="210"/>
      <c r="I979" s="390"/>
      <c r="J979" s="209"/>
      <c r="K979" s="210"/>
      <c r="L979" s="390"/>
      <c r="M979" s="209"/>
      <c r="N979" s="210"/>
      <c r="O979" s="390"/>
      <c r="P979" s="209"/>
      <c r="Q979" s="210"/>
      <c r="R979" s="390"/>
      <c r="S979" s="209"/>
      <c r="T979" s="210"/>
      <c r="U979" s="390"/>
      <c r="V979" s="209"/>
      <c r="W979" s="210"/>
      <c r="X979" s="390"/>
      <c r="Y979" s="195"/>
      <c r="Z979" s="195"/>
      <c r="AA979" s="195"/>
      <c r="AB979" s="195"/>
      <c r="AC979" s="8"/>
      <c r="AD979" s="8"/>
      <c r="AE979" s="8"/>
      <c r="AF979" s="8"/>
      <c r="AG979" s="202"/>
      <c r="AH979" s="202"/>
      <c r="AI979" s="202"/>
      <c r="AJ979" s="202"/>
      <c r="AK979" s="8"/>
      <c r="AL979" s="8"/>
      <c r="AM979" s="8"/>
      <c r="AN979" s="8"/>
      <c r="AO979" s="8"/>
      <c r="AP979" s="8"/>
      <c r="AQ979" s="8"/>
      <c r="AR979" s="8"/>
      <c r="AS979" s="8"/>
      <c r="AT979" s="8"/>
      <c r="AU979" s="8"/>
      <c r="AV979" s="8"/>
    </row>
    <row r="980">
      <c r="A980" s="209"/>
      <c r="B980" s="210"/>
      <c r="C980" s="390"/>
      <c r="D980" s="209"/>
      <c r="E980" s="210"/>
      <c r="F980" s="390"/>
      <c r="G980" s="209"/>
      <c r="H980" s="210"/>
      <c r="I980" s="390"/>
      <c r="J980" s="209"/>
      <c r="K980" s="210"/>
      <c r="L980" s="390"/>
      <c r="M980" s="209"/>
      <c r="N980" s="210"/>
      <c r="O980" s="390"/>
      <c r="P980" s="209"/>
      <c r="Q980" s="210"/>
      <c r="R980" s="390"/>
      <c r="S980" s="209"/>
      <c r="T980" s="210"/>
      <c r="U980" s="390"/>
      <c r="V980" s="209"/>
      <c r="W980" s="210"/>
      <c r="X980" s="390"/>
      <c r="Y980" s="195"/>
      <c r="Z980" s="195"/>
      <c r="AA980" s="195"/>
      <c r="AB980" s="195"/>
      <c r="AC980" s="8"/>
      <c r="AD980" s="8"/>
      <c r="AE980" s="8"/>
      <c r="AF980" s="8"/>
      <c r="AG980" s="202"/>
      <c r="AH980" s="202"/>
      <c r="AI980" s="202"/>
      <c r="AJ980" s="202"/>
      <c r="AK980" s="8"/>
      <c r="AL980" s="8"/>
      <c r="AM980" s="8"/>
      <c r="AN980" s="8"/>
      <c r="AO980" s="8"/>
      <c r="AP980" s="8"/>
      <c r="AQ980" s="8"/>
      <c r="AR980" s="8"/>
      <c r="AS980" s="8"/>
      <c r="AT980" s="8"/>
      <c r="AU980" s="8"/>
      <c r="AV980" s="8"/>
    </row>
    <row r="981">
      <c r="A981" s="209"/>
      <c r="B981" s="210"/>
      <c r="C981" s="390"/>
      <c r="D981" s="209"/>
      <c r="E981" s="210"/>
      <c r="F981" s="390"/>
      <c r="G981" s="209"/>
      <c r="H981" s="210"/>
      <c r="I981" s="390"/>
      <c r="J981" s="209"/>
      <c r="K981" s="210"/>
      <c r="L981" s="390"/>
      <c r="M981" s="209"/>
      <c r="N981" s="210"/>
      <c r="O981" s="390"/>
      <c r="P981" s="209"/>
      <c r="Q981" s="210"/>
      <c r="R981" s="390"/>
      <c r="S981" s="209"/>
      <c r="T981" s="210"/>
      <c r="U981" s="390"/>
      <c r="V981" s="209"/>
      <c r="W981" s="210"/>
      <c r="X981" s="390"/>
      <c r="Y981" s="195"/>
      <c r="Z981" s="195"/>
      <c r="AA981" s="195"/>
      <c r="AB981" s="195"/>
      <c r="AC981" s="8"/>
      <c r="AD981" s="8"/>
      <c r="AE981" s="8"/>
      <c r="AF981" s="8"/>
      <c r="AG981" s="202"/>
      <c r="AH981" s="202"/>
      <c r="AI981" s="202"/>
      <c r="AJ981" s="202"/>
      <c r="AK981" s="8"/>
      <c r="AL981" s="8"/>
      <c r="AM981" s="8"/>
      <c r="AN981" s="8"/>
      <c r="AO981" s="8"/>
      <c r="AP981" s="8"/>
      <c r="AQ981" s="8"/>
      <c r="AR981" s="8"/>
      <c r="AS981" s="8"/>
      <c r="AT981" s="8"/>
      <c r="AU981" s="8"/>
      <c r="AV981" s="8"/>
    </row>
    <row r="982">
      <c r="A982" s="209"/>
      <c r="B982" s="210"/>
      <c r="C982" s="390"/>
      <c r="D982" s="209"/>
      <c r="E982" s="210"/>
      <c r="F982" s="390"/>
      <c r="G982" s="209"/>
      <c r="H982" s="210"/>
      <c r="I982" s="390"/>
      <c r="J982" s="209"/>
      <c r="K982" s="210"/>
      <c r="L982" s="390"/>
      <c r="M982" s="209"/>
      <c r="N982" s="210"/>
      <c r="O982" s="390"/>
      <c r="P982" s="209"/>
      <c r="Q982" s="210"/>
      <c r="R982" s="390"/>
      <c r="S982" s="209"/>
      <c r="T982" s="210"/>
      <c r="U982" s="390"/>
      <c r="V982" s="209"/>
      <c r="W982" s="210"/>
      <c r="X982" s="390"/>
      <c r="Y982" s="195"/>
      <c r="Z982" s="195"/>
      <c r="AA982" s="195"/>
      <c r="AB982" s="195"/>
      <c r="AC982" s="8"/>
      <c r="AD982" s="8"/>
      <c r="AE982" s="8"/>
      <c r="AF982" s="8"/>
      <c r="AG982" s="202"/>
      <c r="AH982" s="202"/>
      <c r="AI982" s="202"/>
      <c r="AJ982" s="202"/>
      <c r="AK982" s="8"/>
      <c r="AL982" s="8"/>
      <c r="AM982" s="8"/>
      <c r="AN982" s="8"/>
      <c r="AO982" s="8"/>
      <c r="AP982" s="8"/>
      <c r="AQ982" s="8"/>
      <c r="AR982" s="8"/>
      <c r="AS982" s="8"/>
      <c r="AT982" s="8"/>
      <c r="AU982" s="8"/>
      <c r="AV982" s="8"/>
    </row>
    <row r="983">
      <c r="A983" s="209"/>
      <c r="B983" s="210"/>
      <c r="C983" s="390"/>
      <c r="D983" s="209"/>
      <c r="E983" s="210"/>
      <c r="F983" s="390"/>
      <c r="G983" s="209"/>
      <c r="H983" s="210"/>
      <c r="I983" s="390"/>
      <c r="J983" s="209"/>
      <c r="K983" s="210"/>
      <c r="L983" s="390"/>
      <c r="M983" s="209"/>
      <c r="N983" s="210"/>
      <c r="O983" s="390"/>
      <c r="P983" s="209"/>
      <c r="Q983" s="210"/>
      <c r="R983" s="390"/>
      <c r="S983" s="209"/>
      <c r="T983" s="210"/>
      <c r="U983" s="390"/>
      <c r="V983" s="209"/>
      <c r="W983" s="210"/>
      <c r="X983" s="390"/>
      <c r="Y983" s="195"/>
      <c r="Z983" s="195"/>
      <c r="AA983" s="195"/>
      <c r="AB983" s="195"/>
      <c r="AC983" s="8"/>
      <c r="AD983" s="8"/>
      <c r="AE983" s="8"/>
      <c r="AF983" s="8"/>
      <c r="AG983" s="202"/>
      <c r="AH983" s="202"/>
      <c r="AI983" s="202"/>
      <c r="AJ983" s="202"/>
      <c r="AK983" s="8"/>
      <c r="AL983" s="8"/>
      <c r="AM983" s="8"/>
      <c r="AN983" s="8"/>
      <c r="AO983" s="8"/>
      <c r="AP983" s="8"/>
      <c r="AQ983" s="8"/>
      <c r="AR983" s="8"/>
      <c r="AS983" s="8"/>
      <c r="AT983" s="8"/>
      <c r="AU983" s="8"/>
      <c r="AV983" s="8"/>
    </row>
    <row r="984">
      <c r="A984" s="209"/>
      <c r="B984" s="210"/>
      <c r="C984" s="390"/>
      <c r="D984" s="209"/>
      <c r="E984" s="210"/>
      <c r="F984" s="390"/>
      <c r="G984" s="209"/>
      <c r="H984" s="210"/>
      <c r="I984" s="390"/>
      <c r="J984" s="209"/>
      <c r="K984" s="210"/>
      <c r="L984" s="390"/>
      <c r="M984" s="209"/>
      <c r="N984" s="210"/>
      <c r="O984" s="390"/>
      <c r="P984" s="209"/>
      <c r="Q984" s="210"/>
      <c r="R984" s="390"/>
      <c r="S984" s="209"/>
      <c r="T984" s="210"/>
      <c r="U984" s="390"/>
      <c r="V984" s="209"/>
      <c r="W984" s="210"/>
      <c r="X984" s="390"/>
      <c r="Y984" s="195"/>
      <c r="Z984" s="195"/>
      <c r="AA984" s="195"/>
      <c r="AB984" s="195"/>
      <c r="AC984" s="8"/>
      <c r="AD984" s="8"/>
      <c r="AE984" s="8"/>
      <c r="AF984" s="8"/>
      <c r="AG984" s="202"/>
      <c r="AH984" s="202"/>
      <c r="AI984" s="202"/>
      <c r="AJ984" s="202"/>
      <c r="AK984" s="8"/>
      <c r="AL984" s="8"/>
      <c r="AM984" s="8"/>
      <c r="AN984" s="8"/>
      <c r="AO984" s="8"/>
      <c r="AP984" s="8"/>
      <c r="AQ984" s="8"/>
      <c r="AR984" s="8"/>
      <c r="AS984" s="8"/>
      <c r="AT984" s="8"/>
      <c r="AU984" s="8"/>
      <c r="AV984" s="8"/>
    </row>
    <row r="985">
      <c r="A985" s="209"/>
      <c r="B985" s="210"/>
      <c r="C985" s="390"/>
      <c r="D985" s="209"/>
      <c r="E985" s="210"/>
      <c r="F985" s="390"/>
      <c r="G985" s="209"/>
      <c r="H985" s="210"/>
      <c r="I985" s="390"/>
      <c r="J985" s="209"/>
      <c r="K985" s="210"/>
      <c r="L985" s="390"/>
      <c r="M985" s="209"/>
      <c r="N985" s="210"/>
      <c r="O985" s="390"/>
      <c r="P985" s="209"/>
      <c r="Q985" s="210"/>
      <c r="R985" s="390"/>
      <c r="S985" s="209"/>
      <c r="T985" s="210"/>
      <c r="U985" s="390"/>
      <c r="V985" s="209"/>
      <c r="W985" s="210"/>
      <c r="X985" s="390"/>
      <c r="Y985" s="195"/>
      <c r="Z985" s="195"/>
      <c r="AA985" s="195"/>
      <c r="AB985" s="195"/>
      <c r="AC985" s="8"/>
      <c r="AD985" s="8"/>
      <c r="AE985" s="8"/>
      <c r="AF985" s="8"/>
      <c r="AG985" s="202"/>
      <c r="AH985" s="202"/>
      <c r="AI985" s="202"/>
      <c r="AJ985" s="202"/>
      <c r="AK985" s="8"/>
      <c r="AL985" s="8"/>
      <c r="AM985" s="8"/>
      <c r="AN985" s="8"/>
      <c r="AO985" s="8"/>
      <c r="AP985" s="8"/>
      <c r="AQ985" s="8"/>
      <c r="AR985" s="8"/>
      <c r="AS985" s="8"/>
      <c r="AT985" s="8"/>
      <c r="AU985" s="8"/>
      <c r="AV985" s="8"/>
    </row>
    <row r="986">
      <c r="A986" s="209"/>
      <c r="B986" s="210"/>
      <c r="C986" s="390"/>
      <c r="D986" s="209"/>
      <c r="E986" s="210"/>
      <c r="F986" s="390"/>
      <c r="G986" s="209"/>
      <c r="H986" s="210"/>
      <c r="I986" s="390"/>
      <c r="J986" s="209"/>
      <c r="K986" s="210"/>
      <c r="L986" s="390"/>
      <c r="M986" s="209"/>
      <c r="N986" s="210"/>
      <c r="O986" s="390"/>
      <c r="P986" s="209"/>
      <c r="Q986" s="210"/>
      <c r="R986" s="390"/>
      <c r="S986" s="209"/>
      <c r="T986" s="210"/>
      <c r="U986" s="390"/>
      <c r="V986" s="209"/>
      <c r="W986" s="210"/>
      <c r="X986" s="390"/>
      <c r="Y986" s="195"/>
      <c r="Z986" s="195"/>
      <c r="AA986" s="195"/>
      <c r="AB986" s="195"/>
      <c r="AC986" s="8"/>
      <c r="AD986" s="8"/>
      <c r="AE986" s="8"/>
      <c r="AF986" s="8"/>
      <c r="AG986" s="202"/>
      <c r="AH986" s="202"/>
      <c r="AI986" s="202"/>
      <c r="AJ986" s="202"/>
      <c r="AK986" s="8"/>
      <c r="AL986" s="8"/>
      <c r="AM986" s="8"/>
      <c r="AN986" s="8"/>
      <c r="AO986" s="8"/>
      <c r="AP986" s="8"/>
      <c r="AQ986" s="8"/>
      <c r="AR986" s="8"/>
      <c r="AS986" s="8"/>
      <c r="AT986" s="8"/>
      <c r="AU986" s="8"/>
      <c r="AV986" s="8"/>
    </row>
    <row r="987">
      <c r="A987" s="209"/>
      <c r="B987" s="210"/>
      <c r="C987" s="390"/>
      <c r="D987" s="209"/>
      <c r="E987" s="210"/>
      <c r="F987" s="390"/>
      <c r="G987" s="209"/>
      <c r="H987" s="210"/>
      <c r="I987" s="390"/>
      <c r="J987" s="209"/>
      <c r="K987" s="210"/>
      <c r="L987" s="390"/>
      <c r="M987" s="209"/>
      <c r="N987" s="210"/>
      <c r="O987" s="390"/>
      <c r="P987" s="209"/>
      <c r="Q987" s="210"/>
      <c r="R987" s="390"/>
      <c r="S987" s="209"/>
      <c r="T987" s="210"/>
      <c r="U987" s="390"/>
      <c r="V987" s="209"/>
      <c r="W987" s="210"/>
      <c r="X987" s="390"/>
      <c r="Y987" s="195"/>
      <c r="Z987" s="195"/>
      <c r="AA987" s="195"/>
      <c r="AB987" s="195"/>
      <c r="AC987" s="8"/>
      <c r="AD987" s="8"/>
      <c r="AE987" s="8"/>
      <c r="AF987" s="8"/>
      <c r="AG987" s="202"/>
      <c r="AH987" s="202"/>
      <c r="AI987" s="202"/>
      <c r="AJ987" s="202"/>
      <c r="AK987" s="8"/>
      <c r="AL987" s="8"/>
      <c r="AM987" s="8"/>
      <c r="AN987" s="8"/>
      <c r="AO987" s="8"/>
      <c r="AP987" s="8"/>
      <c r="AQ987" s="8"/>
      <c r="AR987" s="8"/>
      <c r="AS987" s="8"/>
      <c r="AT987" s="8"/>
      <c r="AU987" s="8"/>
      <c r="AV987" s="8"/>
    </row>
    <row r="988">
      <c r="A988" s="209"/>
      <c r="B988" s="210"/>
      <c r="C988" s="390"/>
      <c r="D988" s="209"/>
      <c r="E988" s="210"/>
      <c r="F988" s="390"/>
      <c r="G988" s="209"/>
      <c r="H988" s="210"/>
      <c r="I988" s="390"/>
      <c r="J988" s="209"/>
      <c r="K988" s="210"/>
      <c r="L988" s="390"/>
      <c r="M988" s="209"/>
      <c r="N988" s="210"/>
      <c r="O988" s="390"/>
      <c r="P988" s="209"/>
      <c r="Q988" s="210"/>
      <c r="R988" s="390"/>
      <c r="S988" s="209"/>
      <c r="T988" s="210"/>
      <c r="U988" s="390"/>
      <c r="V988" s="209"/>
      <c r="W988" s="210"/>
      <c r="X988" s="390"/>
      <c r="Y988" s="195"/>
      <c r="Z988" s="195"/>
      <c r="AA988" s="195"/>
      <c r="AB988" s="195"/>
      <c r="AC988" s="8"/>
      <c r="AD988" s="8"/>
      <c r="AE988" s="8"/>
      <c r="AF988" s="8"/>
      <c r="AG988" s="202"/>
      <c r="AH988" s="202"/>
      <c r="AI988" s="202"/>
      <c r="AJ988" s="202"/>
      <c r="AK988" s="8"/>
      <c r="AL988" s="8"/>
      <c r="AM988" s="8"/>
      <c r="AN988" s="8"/>
      <c r="AO988" s="8"/>
      <c r="AP988" s="8"/>
      <c r="AQ988" s="8"/>
      <c r="AR988" s="8"/>
      <c r="AS988" s="8"/>
      <c r="AT988" s="8"/>
      <c r="AU988" s="8"/>
      <c r="AV988" s="8"/>
    </row>
    <row r="989">
      <c r="A989" s="209"/>
      <c r="B989" s="210"/>
      <c r="C989" s="390"/>
      <c r="D989" s="209"/>
      <c r="E989" s="210"/>
      <c r="F989" s="390"/>
      <c r="G989" s="209"/>
      <c r="H989" s="210"/>
      <c r="I989" s="390"/>
      <c r="J989" s="209"/>
      <c r="K989" s="210"/>
      <c r="L989" s="390"/>
      <c r="M989" s="209"/>
      <c r="N989" s="210"/>
      <c r="O989" s="390"/>
      <c r="P989" s="209"/>
      <c r="Q989" s="210"/>
      <c r="R989" s="390"/>
      <c r="S989" s="209"/>
      <c r="T989" s="210"/>
      <c r="U989" s="390"/>
      <c r="V989" s="209"/>
      <c r="W989" s="210"/>
      <c r="X989" s="390"/>
      <c r="Y989" s="195"/>
      <c r="Z989" s="195"/>
      <c r="AA989" s="195"/>
      <c r="AB989" s="195"/>
      <c r="AC989" s="8"/>
      <c r="AD989" s="8"/>
      <c r="AE989" s="8"/>
      <c r="AF989" s="8"/>
      <c r="AG989" s="202"/>
      <c r="AH989" s="202"/>
      <c r="AI989" s="202"/>
      <c r="AJ989" s="202"/>
      <c r="AK989" s="8"/>
      <c r="AL989" s="8"/>
      <c r="AM989" s="8"/>
      <c r="AN989" s="8"/>
      <c r="AO989" s="8"/>
      <c r="AP989" s="8"/>
      <c r="AQ989" s="8"/>
      <c r="AR989" s="8"/>
      <c r="AS989" s="8"/>
      <c r="AT989" s="8"/>
      <c r="AU989" s="8"/>
      <c r="AV989" s="8"/>
    </row>
    <row r="990">
      <c r="A990" s="209"/>
      <c r="B990" s="210"/>
      <c r="C990" s="390"/>
      <c r="D990" s="209"/>
      <c r="E990" s="210"/>
      <c r="F990" s="390"/>
      <c r="G990" s="209"/>
      <c r="H990" s="210"/>
      <c r="I990" s="390"/>
      <c r="J990" s="209"/>
      <c r="K990" s="210"/>
      <c r="L990" s="390"/>
      <c r="M990" s="209"/>
      <c r="N990" s="210"/>
      <c r="O990" s="390"/>
      <c r="P990" s="209"/>
      <c r="Q990" s="210"/>
      <c r="R990" s="390"/>
      <c r="S990" s="209"/>
      <c r="T990" s="210"/>
      <c r="U990" s="390"/>
      <c r="V990" s="209"/>
      <c r="W990" s="210"/>
      <c r="X990" s="390"/>
      <c r="Y990" s="195"/>
      <c r="Z990" s="195"/>
      <c r="AA990" s="195"/>
      <c r="AB990" s="195"/>
      <c r="AC990" s="8"/>
      <c r="AD990" s="8"/>
      <c r="AE990" s="8"/>
      <c r="AF990" s="8"/>
      <c r="AG990" s="202"/>
      <c r="AH990" s="202"/>
      <c r="AI990" s="202"/>
      <c r="AJ990" s="202"/>
      <c r="AK990" s="8"/>
      <c r="AL990" s="8"/>
      <c r="AM990" s="8"/>
      <c r="AN990" s="8"/>
      <c r="AO990" s="8"/>
      <c r="AP990" s="8"/>
      <c r="AQ990" s="8"/>
      <c r="AR990" s="8"/>
      <c r="AS990" s="8"/>
      <c r="AT990" s="8"/>
      <c r="AU990" s="8"/>
      <c r="AV990" s="8"/>
    </row>
    <row r="991">
      <c r="A991" s="209"/>
      <c r="B991" s="210"/>
      <c r="C991" s="390"/>
      <c r="D991" s="209"/>
      <c r="E991" s="210"/>
      <c r="F991" s="390"/>
      <c r="G991" s="209"/>
      <c r="H991" s="210"/>
      <c r="I991" s="390"/>
      <c r="J991" s="209"/>
      <c r="K991" s="210"/>
      <c r="L991" s="390"/>
      <c r="M991" s="209"/>
      <c r="N991" s="210"/>
      <c r="O991" s="390"/>
      <c r="P991" s="209"/>
      <c r="Q991" s="210"/>
      <c r="R991" s="390"/>
      <c r="S991" s="209"/>
      <c r="T991" s="210"/>
      <c r="U991" s="390"/>
      <c r="V991" s="209"/>
      <c r="W991" s="210"/>
      <c r="X991" s="390"/>
      <c r="Y991" s="195"/>
      <c r="Z991" s="195"/>
      <c r="AA991" s="195"/>
      <c r="AB991" s="195"/>
      <c r="AC991" s="8"/>
      <c r="AD991" s="8"/>
      <c r="AE991" s="8"/>
      <c r="AF991" s="8"/>
      <c r="AG991" s="202"/>
      <c r="AH991" s="202"/>
      <c r="AI991" s="202"/>
      <c r="AJ991" s="202"/>
      <c r="AK991" s="8"/>
      <c r="AL991" s="8"/>
      <c r="AM991" s="8"/>
      <c r="AN991" s="8"/>
      <c r="AO991" s="8"/>
      <c r="AP991" s="8"/>
      <c r="AQ991" s="8"/>
      <c r="AR991" s="8"/>
      <c r="AS991" s="8"/>
      <c r="AT991" s="8"/>
      <c r="AU991" s="8"/>
      <c r="AV991" s="8"/>
    </row>
    <row r="992">
      <c r="A992" s="209"/>
      <c r="B992" s="210"/>
      <c r="C992" s="390"/>
      <c r="D992" s="209"/>
      <c r="E992" s="210"/>
      <c r="F992" s="390"/>
      <c r="G992" s="209"/>
      <c r="H992" s="210"/>
      <c r="I992" s="390"/>
      <c r="J992" s="209"/>
      <c r="K992" s="210"/>
      <c r="L992" s="390"/>
      <c r="M992" s="209"/>
      <c r="N992" s="210"/>
      <c r="O992" s="390"/>
      <c r="P992" s="209"/>
      <c r="Q992" s="210"/>
      <c r="R992" s="390"/>
      <c r="S992" s="209"/>
      <c r="T992" s="210"/>
      <c r="U992" s="390"/>
      <c r="V992" s="209"/>
      <c r="W992" s="210"/>
      <c r="X992" s="390"/>
      <c r="Y992" s="195"/>
      <c r="Z992" s="195"/>
      <c r="AA992" s="195"/>
      <c r="AB992" s="195"/>
      <c r="AC992" s="8"/>
      <c r="AD992" s="8"/>
      <c r="AE992" s="8"/>
      <c r="AF992" s="8"/>
      <c r="AG992" s="202"/>
      <c r="AH992" s="202"/>
      <c r="AI992" s="202"/>
      <c r="AJ992" s="202"/>
      <c r="AK992" s="8"/>
      <c r="AL992" s="8"/>
      <c r="AM992" s="8"/>
      <c r="AN992" s="8"/>
      <c r="AO992" s="8"/>
      <c r="AP992" s="8"/>
      <c r="AQ992" s="8"/>
      <c r="AR992" s="8"/>
      <c r="AS992" s="8"/>
      <c r="AT992" s="8"/>
      <c r="AU992" s="8"/>
      <c r="AV992" s="8"/>
    </row>
    <row r="993">
      <c r="A993" s="209"/>
      <c r="B993" s="210"/>
      <c r="C993" s="390"/>
      <c r="D993" s="209"/>
      <c r="E993" s="210"/>
      <c r="F993" s="390"/>
      <c r="G993" s="209"/>
      <c r="H993" s="210"/>
      <c r="I993" s="390"/>
      <c r="J993" s="209"/>
      <c r="K993" s="210"/>
      <c r="L993" s="390"/>
      <c r="M993" s="209"/>
      <c r="N993" s="210"/>
      <c r="O993" s="390"/>
      <c r="P993" s="209"/>
      <c r="Q993" s="210"/>
      <c r="R993" s="390"/>
      <c r="S993" s="209"/>
      <c r="T993" s="210"/>
      <c r="U993" s="390"/>
      <c r="V993" s="209"/>
      <c r="W993" s="210"/>
      <c r="X993" s="390"/>
      <c r="Y993" s="195"/>
      <c r="Z993" s="195"/>
      <c r="AA993" s="195"/>
      <c r="AB993" s="195"/>
      <c r="AC993" s="8"/>
      <c r="AD993" s="8"/>
      <c r="AE993" s="8"/>
      <c r="AF993" s="8"/>
      <c r="AG993" s="202"/>
      <c r="AH993" s="202"/>
      <c r="AI993" s="202"/>
      <c r="AJ993" s="202"/>
      <c r="AK993" s="8"/>
      <c r="AL993" s="8"/>
      <c r="AM993" s="8"/>
      <c r="AN993" s="8"/>
      <c r="AO993" s="8"/>
      <c r="AP993" s="8"/>
      <c r="AQ993" s="8"/>
      <c r="AR993" s="8"/>
      <c r="AS993" s="8"/>
      <c r="AT993" s="8"/>
      <c r="AU993" s="8"/>
      <c r="AV993" s="8"/>
    </row>
    <row r="994">
      <c r="A994" s="209"/>
      <c r="B994" s="210"/>
      <c r="C994" s="390"/>
      <c r="D994" s="209"/>
      <c r="E994" s="210"/>
      <c r="F994" s="390"/>
      <c r="G994" s="209"/>
      <c r="H994" s="210"/>
      <c r="I994" s="390"/>
      <c r="J994" s="209"/>
      <c r="K994" s="210"/>
      <c r="L994" s="390"/>
      <c r="M994" s="209"/>
      <c r="N994" s="210"/>
      <c r="O994" s="390"/>
      <c r="P994" s="209"/>
      <c r="Q994" s="210"/>
      <c r="R994" s="390"/>
      <c r="S994" s="209"/>
      <c r="T994" s="210"/>
      <c r="U994" s="390"/>
      <c r="V994" s="209"/>
      <c r="W994" s="210"/>
      <c r="X994" s="390"/>
      <c r="Y994" s="195"/>
      <c r="Z994" s="195"/>
      <c r="AA994" s="195"/>
      <c r="AB994" s="195"/>
      <c r="AC994" s="8"/>
      <c r="AD994" s="8"/>
      <c r="AE994" s="8"/>
      <c r="AF994" s="8"/>
      <c r="AG994" s="202"/>
      <c r="AH994" s="202"/>
      <c r="AI994" s="202"/>
      <c r="AJ994" s="202"/>
      <c r="AK994" s="8"/>
      <c r="AL994" s="8"/>
      <c r="AM994" s="8"/>
      <c r="AN994" s="8"/>
      <c r="AO994" s="8"/>
      <c r="AP994" s="8"/>
      <c r="AQ994" s="8"/>
      <c r="AR994" s="8"/>
      <c r="AS994" s="8"/>
      <c r="AT994" s="8"/>
      <c r="AU994" s="8"/>
      <c r="AV994" s="8"/>
    </row>
    <row r="995">
      <c r="A995" s="209"/>
      <c r="B995" s="210"/>
      <c r="C995" s="390"/>
      <c r="D995" s="209"/>
      <c r="E995" s="210"/>
      <c r="F995" s="390"/>
      <c r="G995" s="209"/>
      <c r="H995" s="210"/>
      <c r="I995" s="390"/>
      <c r="J995" s="209"/>
      <c r="K995" s="210"/>
      <c r="L995" s="390"/>
      <c r="M995" s="209"/>
      <c r="N995" s="210"/>
      <c r="O995" s="390"/>
      <c r="P995" s="209"/>
      <c r="Q995" s="210"/>
      <c r="R995" s="390"/>
      <c r="S995" s="209"/>
      <c r="T995" s="210"/>
      <c r="U995" s="390"/>
      <c r="V995" s="209"/>
      <c r="W995" s="210"/>
      <c r="X995" s="390"/>
      <c r="Y995" s="195"/>
      <c r="Z995" s="195"/>
      <c r="AA995" s="195"/>
      <c r="AB995" s="195"/>
      <c r="AC995" s="8"/>
      <c r="AD995" s="8"/>
      <c r="AE995" s="8"/>
      <c r="AF995" s="8"/>
      <c r="AG995" s="202"/>
      <c r="AH995" s="202"/>
      <c r="AI995" s="202"/>
      <c r="AJ995" s="202"/>
      <c r="AK995" s="8"/>
      <c r="AL995" s="8"/>
      <c r="AM995" s="8"/>
      <c r="AN995" s="8"/>
      <c r="AO995" s="8"/>
      <c r="AP995" s="8"/>
      <c r="AQ995" s="8"/>
      <c r="AR995" s="8"/>
      <c r="AS995" s="8"/>
      <c r="AT995" s="8"/>
      <c r="AU995" s="8"/>
      <c r="AV995" s="8"/>
    </row>
    <row r="996">
      <c r="A996" s="209"/>
      <c r="B996" s="210"/>
      <c r="C996" s="390"/>
      <c r="D996" s="209"/>
      <c r="E996" s="210"/>
      <c r="F996" s="390"/>
      <c r="G996" s="209"/>
      <c r="H996" s="210"/>
      <c r="I996" s="390"/>
      <c r="J996" s="209"/>
      <c r="K996" s="210"/>
      <c r="L996" s="390"/>
      <c r="M996" s="209"/>
      <c r="N996" s="210"/>
      <c r="O996" s="390"/>
      <c r="P996" s="209"/>
      <c r="Q996" s="210"/>
      <c r="R996" s="390"/>
      <c r="S996" s="209"/>
      <c r="T996" s="210"/>
      <c r="U996" s="390"/>
      <c r="V996" s="209"/>
      <c r="W996" s="210"/>
      <c r="X996" s="390"/>
      <c r="Y996" s="195"/>
      <c r="Z996" s="195"/>
      <c r="AA996" s="195"/>
      <c r="AB996" s="195"/>
      <c r="AC996" s="8"/>
      <c r="AD996" s="8"/>
      <c r="AE996" s="8"/>
      <c r="AF996" s="8"/>
      <c r="AG996" s="202"/>
      <c r="AH996" s="202"/>
      <c r="AI996" s="202"/>
      <c r="AJ996" s="202"/>
      <c r="AK996" s="8"/>
      <c r="AL996" s="8"/>
      <c r="AM996" s="8"/>
      <c r="AN996" s="8"/>
      <c r="AO996" s="8"/>
      <c r="AP996" s="8"/>
      <c r="AQ996" s="8"/>
      <c r="AR996" s="8"/>
      <c r="AS996" s="8"/>
      <c r="AT996" s="8"/>
      <c r="AU996" s="8"/>
      <c r="AV996" s="8"/>
    </row>
    <row r="997">
      <c r="A997" s="209"/>
      <c r="B997" s="210"/>
      <c r="C997" s="390"/>
      <c r="D997" s="209"/>
      <c r="E997" s="210"/>
      <c r="F997" s="390"/>
      <c r="G997" s="209"/>
      <c r="H997" s="210"/>
      <c r="I997" s="390"/>
      <c r="J997" s="209"/>
      <c r="K997" s="210"/>
      <c r="L997" s="390"/>
      <c r="M997" s="209"/>
      <c r="N997" s="210"/>
      <c r="O997" s="390"/>
      <c r="P997" s="209"/>
      <c r="Q997" s="210"/>
      <c r="R997" s="390"/>
      <c r="S997" s="209"/>
      <c r="T997" s="210"/>
      <c r="U997" s="390"/>
      <c r="V997" s="209"/>
      <c r="W997" s="210"/>
      <c r="X997" s="390"/>
      <c r="Y997" s="195"/>
      <c r="Z997" s="195"/>
      <c r="AA997" s="195"/>
      <c r="AB997" s="195"/>
      <c r="AC997" s="8"/>
      <c r="AD997" s="8"/>
      <c r="AE997" s="8"/>
      <c r="AF997" s="8"/>
      <c r="AG997" s="202"/>
      <c r="AH997" s="202"/>
      <c r="AI997" s="202"/>
      <c r="AJ997" s="202"/>
      <c r="AK997" s="8"/>
      <c r="AL997" s="8"/>
      <c r="AM997" s="8"/>
      <c r="AN997" s="8"/>
      <c r="AO997" s="8"/>
      <c r="AP997" s="8"/>
      <c r="AQ997" s="8"/>
      <c r="AR997" s="8"/>
      <c r="AS997" s="8"/>
      <c r="AT997" s="8"/>
      <c r="AU997" s="8"/>
      <c r="AV997" s="8"/>
    </row>
    <row r="998">
      <c r="A998" s="209"/>
      <c r="B998" s="210"/>
      <c r="C998" s="390"/>
      <c r="D998" s="209"/>
      <c r="E998" s="210"/>
      <c r="F998" s="390"/>
      <c r="G998" s="209"/>
      <c r="H998" s="210"/>
      <c r="I998" s="390"/>
      <c r="J998" s="209"/>
      <c r="K998" s="210"/>
      <c r="L998" s="390"/>
      <c r="M998" s="209"/>
      <c r="N998" s="210"/>
      <c r="O998" s="390"/>
      <c r="P998" s="209"/>
      <c r="Q998" s="210"/>
      <c r="R998" s="390"/>
      <c r="S998" s="209"/>
      <c r="T998" s="210"/>
      <c r="U998" s="390"/>
      <c r="V998" s="209"/>
      <c r="W998" s="210"/>
      <c r="X998" s="390"/>
      <c r="Y998" s="195"/>
      <c r="Z998" s="195"/>
      <c r="AA998" s="195"/>
      <c r="AB998" s="195"/>
      <c r="AC998" s="8"/>
      <c r="AD998" s="8"/>
      <c r="AE998" s="8"/>
      <c r="AF998" s="8"/>
      <c r="AG998" s="202"/>
      <c r="AH998" s="202"/>
      <c r="AI998" s="202"/>
      <c r="AJ998" s="202"/>
      <c r="AK998" s="8"/>
      <c r="AL998" s="8"/>
      <c r="AM998" s="8"/>
      <c r="AN998" s="8"/>
      <c r="AO998" s="8"/>
      <c r="AP998" s="8"/>
      <c r="AQ998" s="8"/>
      <c r="AR998" s="8"/>
      <c r="AS998" s="8"/>
      <c r="AT998" s="8"/>
      <c r="AU998" s="8"/>
      <c r="AV998" s="8"/>
    </row>
    <row r="999">
      <c r="A999" s="209"/>
      <c r="B999" s="210"/>
      <c r="C999" s="390"/>
      <c r="D999" s="209"/>
      <c r="E999" s="210"/>
      <c r="F999" s="390"/>
      <c r="G999" s="209"/>
      <c r="H999" s="210"/>
      <c r="I999" s="390"/>
      <c r="J999" s="209"/>
      <c r="K999" s="210"/>
      <c r="L999" s="390"/>
      <c r="M999" s="209"/>
      <c r="N999" s="210"/>
      <c r="O999" s="390"/>
      <c r="P999" s="209"/>
      <c r="Q999" s="210"/>
      <c r="R999" s="390"/>
      <c r="S999" s="209"/>
      <c r="T999" s="210"/>
      <c r="U999" s="390"/>
      <c r="V999" s="209"/>
      <c r="W999" s="210"/>
      <c r="X999" s="390"/>
      <c r="Y999" s="195"/>
      <c r="Z999" s="195"/>
      <c r="AA999" s="195"/>
      <c r="AB999" s="195"/>
      <c r="AC999" s="8"/>
      <c r="AD999" s="8"/>
      <c r="AE999" s="8"/>
      <c r="AF999" s="8"/>
      <c r="AG999" s="202"/>
      <c r="AH999" s="202"/>
      <c r="AI999" s="202"/>
      <c r="AJ999" s="202"/>
      <c r="AK999" s="8"/>
      <c r="AL999" s="8"/>
      <c r="AM999" s="8"/>
      <c r="AN999" s="8"/>
      <c r="AO999" s="8"/>
      <c r="AP999" s="8"/>
      <c r="AQ999" s="8"/>
      <c r="AR999" s="8"/>
      <c r="AS999" s="8"/>
      <c r="AT999" s="8"/>
      <c r="AU999" s="8"/>
      <c r="AV999" s="8"/>
    </row>
    <row r="1000">
      <c r="A1000" s="209"/>
      <c r="B1000" s="210"/>
      <c r="C1000" s="390"/>
      <c r="D1000" s="209"/>
      <c r="E1000" s="210"/>
      <c r="F1000" s="390"/>
      <c r="G1000" s="209"/>
      <c r="H1000" s="210"/>
      <c r="I1000" s="390"/>
      <c r="J1000" s="209"/>
      <c r="K1000" s="210"/>
      <c r="L1000" s="390"/>
      <c r="M1000" s="209"/>
      <c r="N1000" s="210"/>
      <c r="O1000" s="390"/>
      <c r="P1000" s="209"/>
      <c r="Q1000" s="210"/>
      <c r="R1000" s="390"/>
      <c r="S1000" s="209"/>
      <c r="T1000" s="210"/>
      <c r="U1000" s="390"/>
      <c r="V1000" s="209"/>
      <c r="W1000" s="210"/>
      <c r="X1000" s="390"/>
      <c r="Y1000" s="195"/>
      <c r="Z1000" s="195"/>
      <c r="AA1000" s="195"/>
      <c r="AB1000" s="195"/>
      <c r="AC1000" s="8"/>
      <c r="AD1000" s="8"/>
      <c r="AE1000" s="8"/>
      <c r="AF1000" s="8"/>
      <c r="AG1000" s="202"/>
      <c r="AH1000" s="202"/>
      <c r="AI1000" s="202"/>
      <c r="AJ1000" s="202"/>
      <c r="AK1000" s="8"/>
      <c r="AL1000" s="8"/>
      <c r="AM1000" s="8"/>
      <c r="AN1000" s="8"/>
      <c r="AO1000" s="8"/>
      <c r="AP1000" s="8"/>
      <c r="AQ1000" s="8"/>
      <c r="AR1000" s="8"/>
      <c r="AS1000" s="8"/>
      <c r="AT1000" s="8"/>
      <c r="AU1000" s="8"/>
      <c r="AV1000" s="8"/>
    </row>
    <row r="1001">
      <c r="A1001" s="209"/>
      <c r="B1001" s="210"/>
      <c r="C1001" s="390"/>
      <c r="D1001" s="209"/>
      <c r="E1001" s="210"/>
      <c r="F1001" s="390"/>
      <c r="G1001" s="209"/>
      <c r="H1001" s="210"/>
      <c r="I1001" s="390"/>
      <c r="J1001" s="209"/>
      <c r="K1001" s="210"/>
      <c r="L1001" s="390"/>
      <c r="M1001" s="209"/>
      <c r="N1001" s="210"/>
      <c r="O1001" s="390"/>
      <c r="P1001" s="209"/>
      <c r="Q1001" s="210"/>
      <c r="R1001" s="390"/>
      <c r="S1001" s="209"/>
      <c r="T1001" s="210"/>
      <c r="U1001" s="390"/>
      <c r="V1001" s="209"/>
      <c r="W1001" s="210"/>
      <c r="X1001" s="390"/>
      <c r="Y1001" s="195"/>
      <c r="Z1001" s="195"/>
      <c r="AA1001" s="195"/>
      <c r="AB1001" s="195"/>
      <c r="AC1001" s="8"/>
      <c r="AD1001" s="8"/>
      <c r="AE1001" s="8"/>
      <c r="AF1001" s="8"/>
      <c r="AG1001" s="202"/>
      <c r="AH1001" s="202"/>
      <c r="AI1001" s="202"/>
      <c r="AJ1001" s="202"/>
      <c r="AK1001" s="8"/>
      <c r="AL1001" s="8"/>
      <c r="AM1001" s="8"/>
      <c r="AN1001" s="8"/>
      <c r="AO1001" s="8"/>
      <c r="AP1001" s="8"/>
      <c r="AQ1001" s="8"/>
      <c r="AR1001" s="8"/>
      <c r="AS1001" s="8"/>
      <c r="AT1001" s="8"/>
      <c r="AU1001" s="8"/>
      <c r="AV1001" s="8"/>
    </row>
    <row r="1002">
      <c r="A1002" s="209"/>
      <c r="B1002" s="210"/>
      <c r="C1002" s="390"/>
      <c r="D1002" s="209"/>
      <c r="E1002" s="210"/>
      <c r="F1002" s="390"/>
      <c r="G1002" s="209"/>
      <c r="H1002" s="210"/>
      <c r="I1002" s="390"/>
      <c r="J1002" s="209"/>
      <c r="K1002" s="210"/>
      <c r="L1002" s="390"/>
      <c r="M1002" s="209"/>
      <c r="N1002" s="210"/>
      <c r="O1002" s="390"/>
      <c r="P1002" s="209"/>
      <c r="Q1002" s="210"/>
      <c r="R1002" s="390"/>
      <c r="S1002" s="209"/>
      <c r="T1002" s="210"/>
      <c r="U1002" s="390"/>
      <c r="V1002" s="209"/>
      <c r="W1002" s="210"/>
      <c r="X1002" s="390"/>
      <c r="Y1002" s="195"/>
      <c r="Z1002" s="195"/>
      <c r="AA1002" s="195"/>
      <c r="AB1002" s="195"/>
      <c r="AC1002" s="8"/>
      <c r="AD1002" s="8"/>
      <c r="AE1002" s="8"/>
      <c r="AF1002" s="8"/>
      <c r="AG1002" s="202"/>
      <c r="AH1002" s="202"/>
      <c r="AI1002" s="202"/>
      <c r="AJ1002" s="202"/>
      <c r="AK1002" s="8"/>
      <c r="AL1002" s="8"/>
      <c r="AM1002" s="8"/>
      <c r="AN1002" s="8"/>
      <c r="AO1002" s="8"/>
      <c r="AP1002" s="8"/>
      <c r="AQ1002" s="8"/>
      <c r="AR1002" s="8"/>
      <c r="AS1002" s="8"/>
      <c r="AT1002" s="8"/>
      <c r="AU1002" s="8"/>
      <c r="AV1002" s="8"/>
    </row>
    <row r="1003">
      <c r="A1003" s="209"/>
      <c r="B1003" s="210"/>
      <c r="C1003" s="390"/>
      <c r="D1003" s="209"/>
      <c r="E1003" s="210"/>
      <c r="F1003" s="390"/>
      <c r="G1003" s="209"/>
      <c r="H1003" s="210"/>
      <c r="I1003" s="390"/>
      <c r="J1003" s="209"/>
      <c r="K1003" s="210"/>
      <c r="L1003" s="390"/>
      <c r="M1003" s="209"/>
      <c r="N1003" s="210"/>
      <c r="O1003" s="390"/>
      <c r="P1003" s="209"/>
      <c r="Q1003" s="210"/>
      <c r="R1003" s="390"/>
      <c r="S1003" s="209"/>
      <c r="T1003" s="210"/>
      <c r="U1003" s="390"/>
      <c r="V1003" s="209"/>
      <c r="W1003" s="210"/>
      <c r="X1003" s="390"/>
      <c r="Y1003" s="195"/>
      <c r="Z1003" s="195"/>
      <c r="AA1003" s="195"/>
      <c r="AB1003" s="195"/>
      <c r="AC1003" s="8"/>
      <c r="AD1003" s="8"/>
      <c r="AE1003" s="8"/>
      <c r="AF1003" s="8"/>
      <c r="AG1003" s="202"/>
      <c r="AH1003" s="202"/>
      <c r="AI1003" s="202"/>
      <c r="AJ1003" s="202"/>
      <c r="AK1003" s="8"/>
      <c r="AL1003" s="8"/>
      <c r="AM1003" s="8"/>
      <c r="AN1003" s="8"/>
      <c r="AO1003" s="8"/>
      <c r="AP1003" s="8"/>
      <c r="AQ1003" s="8"/>
      <c r="AR1003" s="8"/>
      <c r="AS1003" s="8"/>
      <c r="AT1003" s="8"/>
      <c r="AU1003" s="8"/>
      <c r="AV1003" s="8"/>
    </row>
    <row r="1004">
      <c r="A1004" s="209"/>
      <c r="B1004" s="210"/>
      <c r="C1004" s="390"/>
      <c r="D1004" s="209"/>
      <c r="E1004" s="210"/>
      <c r="F1004" s="390"/>
      <c r="G1004" s="209"/>
      <c r="H1004" s="210"/>
      <c r="I1004" s="390"/>
      <c r="J1004" s="209"/>
      <c r="K1004" s="210"/>
      <c r="L1004" s="390"/>
      <c r="M1004" s="209"/>
      <c r="N1004" s="210"/>
      <c r="O1004" s="390"/>
      <c r="P1004" s="209"/>
      <c r="Q1004" s="210"/>
      <c r="R1004" s="390"/>
      <c r="S1004" s="209"/>
      <c r="T1004" s="210"/>
      <c r="U1004" s="390"/>
      <c r="V1004" s="209"/>
      <c r="W1004" s="210"/>
      <c r="X1004" s="390"/>
      <c r="Y1004" s="195"/>
      <c r="Z1004" s="195"/>
      <c r="AA1004" s="195"/>
      <c r="AB1004" s="195"/>
      <c r="AC1004" s="8"/>
      <c r="AD1004" s="8"/>
      <c r="AE1004" s="8"/>
      <c r="AF1004" s="8"/>
      <c r="AG1004" s="202"/>
      <c r="AH1004" s="202"/>
      <c r="AI1004" s="202"/>
      <c r="AJ1004" s="202"/>
      <c r="AK1004" s="8"/>
      <c r="AL1004" s="8"/>
      <c r="AM1004" s="8"/>
      <c r="AN1004" s="8"/>
      <c r="AO1004" s="8"/>
      <c r="AP1004" s="8"/>
      <c r="AQ1004" s="8"/>
      <c r="AR1004" s="8"/>
      <c r="AS1004" s="8"/>
      <c r="AT1004" s="8"/>
      <c r="AU1004" s="8"/>
      <c r="AV1004" s="8"/>
    </row>
    <row r="1005">
      <c r="A1005" s="209"/>
      <c r="B1005" s="210"/>
      <c r="C1005" s="390"/>
      <c r="D1005" s="209"/>
      <c r="E1005" s="210"/>
      <c r="F1005" s="390"/>
      <c r="G1005" s="209"/>
      <c r="H1005" s="210"/>
      <c r="I1005" s="390"/>
      <c r="J1005" s="209"/>
      <c r="K1005" s="210"/>
      <c r="L1005" s="390"/>
      <c r="M1005" s="209"/>
      <c r="N1005" s="210"/>
      <c r="O1005" s="390"/>
      <c r="P1005" s="209"/>
      <c r="Q1005" s="210"/>
      <c r="R1005" s="390"/>
      <c r="S1005" s="209"/>
      <c r="T1005" s="210"/>
      <c r="U1005" s="390"/>
      <c r="V1005" s="209"/>
      <c r="W1005" s="210"/>
      <c r="X1005" s="390"/>
      <c r="Y1005" s="195"/>
      <c r="Z1005" s="195"/>
      <c r="AA1005" s="195"/>
      <c r="AB1005" s="195"/>
      <c r="AC1005" s="8"/>
      <c r="AD1005" s="8"/>
      <c r="AE1005" s="8"/>
      <c r="AF1005" s="8"/>
      <c r="AG1005" s="202"/>
      <c r="AH1005" s="202"/>
      <c r="AI1005" s="202"/>
      <c r="AJ1005" s="202"/>
      <c r="AK1005" s="8"/>
      <c r="AL1005" s="8"/>
      <c r="AM1005" s="8"/>
      <c r="AN1005" s="8"/>
      <c r="AO1005" s="8"/>
      <c r="AP1005" s="8"/>
      <c r="AQ1005" s="8"/>
      <c r="AR1005" s="8"/>
      <c r="AS1005" s="8"/>
      <c r="AT1005" s="8"/>
      <c r="AU1005" s="8"/>
      <c r="AV1005" s="8"/>
    </row>
    <row r="1006">
      <c r="A1006" s="209"/>
      <c r="B1006" s="210"/>
      <c r="C1006" s="390"/>
      <c r="D1006" s="209"/>
      <c r="E1006" s="210"/>
      <c r="F1006" s="390"/>
      <c r="G1006" s="209"/>
      <c r="H1006" s="210"/>
      <c r="I1006" s="390"/>
      <c r="J1006" s="209"/>
      <c r="K1006" s="210"/>
      <c r="L1006" s="390"/>
      <c r="M1006" s="209"/>
      <c r="N1006" s="210"/>
      <c r="O1006" s="390"/>
      <c r="P1006" s="209"/>
      <c r="Q1006" s="210"/>
      <c r="R1006" s="390"/>
      <c r="S1006" s="209"/>
      <c r="T1006" s="210"/>
      <c r="U1006" s="390"/>
      <c r="V1006" s="209"/>
      <c r="W1006" s="210"/>
      <c r="X1006" s="390"/>
      <c r="Y1006" s="195"/>
      <c r="Z1006" s="195"/>
      <c r="AA1006" s="195"/>
      <c r="AB1006" s="195"/>
      <c r="AC1006" s="8"/>
      <c r="AD1006" s="8"/>
      <c r="AE1006" s="8"/>
      <c r="AF1006" s="8"/>
      <c r="AG1006" s="202"/>
      <c r="AH1006" s="202"/>
      <c r="AI1006" s="202"/>
      <c r="AJ1006" s="202"/>
      <c r="AK1006" s="8"/>
      <c r="AL1006" s="8"/>
      <c r="AM1006" s="8"/>
      <c r="AN1006" s="8"/>
      <c r="AO1006" s="8"/>
      <c r="AP1006" s="8"/>
      <c r="AQ1006" s="8"/>
      <c r="AR1006" s="8"/>
      <c r="AS1006" s="8"/>
      <c r="AT1006" s="8"/>
      <c r="AU1006" s="8"/>
      <c r="AV1006" s="8"/>
    </row>
    <row r="1007">
      <c r="A1007" s="209"/>
      <c r="B1007" s="210"/>
      <c r="C1007" s="390"/>
      <c r="D1007" s="209"/>
      <c r="E1007" s="210"/>
      <c r="F1007" s="390"/>
      <c r="G1007" s="209"/>
      <c r="H1007" s="210"/>
      <c r="I1007" s="390"/>
      <c r="J1007" s="209"/>
      <c r="K1007" s="210"/>
      <c r="L1007" s="390"/>
      <c r="M1007" s="209"/>
      <c r="N1007" s="210"/>
      <c r="O1007" s="390"/>
      <c r="P1007" s="209"/>
      <c r="Q1007" s="210"/>
      <c r="R1007" s="390"/>
      <c r="S1007" s="209"/>
      <c r="T1007" s="210"/>
      <c r="U1007" s="390"/>
      <c r="V1007" s="209"/>
      <c r="W1007" s="210"/>
      <c r="X1007" s="390"/>
      <c r="Y1007" s="195"/>
      <c r="Z1007" s="195"/>
      <c r="AA1007" s="195"/>
      <c r="AB1007" s="195"/>
      <c r="AC1007" s="8"/>
      <c r="AD1007" s="8"/>
      <c r="AE1007" s="8"/>
      <c r="AF1007" s="8"/>
      <c r="AG1007" s="202"/>
      <c r="AH1007" s="202"/>
      <c r="AI1007" s="202"/>
      <c r="AJ1007" s="202"/>
      <c r="AK1007" s="8"/>
      <c r="AL1007" s="8"/>
      <c r="AM1007" s="8"/>
      <c r="AN1007" s="8"/>
      <c r="AO1007" s="8"/>
      <c r="AP1007" s="8"/>
      <c r="AQ1007" s="8"/>
      <c r="AR1007" s="8"/>
      <c r="AS1007" s="8"/>
      <c r="AT1007" s="8"/>
      <c r="AU1007" s="8"/>
      <c r="AV1007" s="8"/>
    </row>
    <row r="1008">
      <c r="A1008" s="209"/>
      <c r="B1008" s="210"/>
      <c r="C1008" s="390"/>
      <c r="D1008" s="209"/>
      <c r="E1008" s="210"/>
      <c r="F1008" s="390"/>
      <c r="G1008" s="209"/>
      <c r="H1008" s="210"/>
      <c r="I1008" s="390"/>
      <c r="J1008" s="209"/>
      <c r="K1008" s="210"/>
      <c r="L1008" s="390"/>
      <c r="M1008" s="209"/>
      <c r="N1008" s="210"/>
      <c r="O1008" s="390"/>
      <c r="P1008" s="209"/>
      <c r="Q1008" s="210"/>
      <c r="R1008" s="390"/>
      <c r="S1008" s="209"/>
      <c r="T1008" s="210"/>
      <c r="U1008" s="390"/>
      <c r="V1008" s="209"/>
      <c r="W1008" s="210"/>
      <c r="X1008" s="390"/>
      <c r="Y1008" s="195"/>
      <c r="Z1008" s="195"/>
      <c r="AA1008" s="195"/>
      <c r="AB1008" s="195"/>
      <c r="AC1008" s="8"/>
      <c r="AD1008" s="8"/>
      <c r="AE1008" s="8"/>
      <c r="AF1008" s="8"/>
      <c r="AG1008" s="202"/>
      <c r="AH1008" s="202"/>
      <c r="AI1008" s="202"/>
      <c r="AJ1008" s="202"/>
      <c r="AK1008" s="8"/>
      <c r="AL1008" s="8"/>
      <c r="AM1008" s="8"/>
      <c r="AN1008" s="8"/>
      <c r="AO1008" s="8"/>
      <c r="AP1008" s="8"/>
      <c r="AQ1008" s="8"/>
      <c r="AR1008" s="8"/>
      <c r="AS1008" s="8"/>
      <c r="AT1008" s="8"/>
      <c r="AU1008" s="8"/>
      <c r="AV1008" s="8"/>
    </row>
    <row r="1009">
      <c r="A1009" s="209"/>
      <c r="B1009" s="210"/>
      <c r="C1009" s="390"/>
      <c r="D1009" s="209"/>
      <c r="E1009" s="210"/>
      <c r="F1009" s="390"/>
      <c r="G1009" s="209"/>
      <c r="H1009" s="210"/>
      <c r="I1009" s="390"/>
      <c r="J1009" s="209"/>
      <c r="K1009" s="210"/>
      <c r="L1009" s="390"/>
      <c r="M1009" s="209"/>
      <c r="N1009" s="210"/>
      <c r="O1009" s="390"/>
      <c r="P1009" s="209"/>
      <c r="Q1009" s="210"/>
      <c r="R1009" s="390"/>
      <c r="S1009" s="209"/>
      <c r="T1009" s="210"/>
      <c r="U1009" s="390"/>
      <c r="V1009" s="209"/>
      <c r="W1009" s="210"/>
      <c r="X1009" s="390"/>
      <c r="Y1009" s="195"/>
      <c r="Z1009" s="195"/>
      <c r="AA1009" s="195"/>
      <c r="AB1009" s="195"/>
      <c r="AC1009" s="8"/>
      <c r="AD1009" s="8"/>
      <c r="AE1009" s="8"/>
      <c r="AF1009" s="8"/>
      <c r="AG1009" s="202"/>
      <c r="AH1009" s="202"/>
      <c r="AI1009" s="202"/>
      <c r="AJ1009" s="202"/>
      <c r="AK1009" s="8"/>
      <c r="AL1009" s="8"/>
      <c r="AM1009" s="8"/>
      <c r="AN1009" s="8"/>
      <c r="AO1009" s="8"/>
      <c r="AP1009" s="8"/>
      <c r="AQ1009" s="8"/>
      <c r="AR1009" s="8"/>
      <c r="AS1009" s="8"/>
      <c r="AT1009" s="8"/>
      <c r="AU1009" s="8"/>
      <c r="AV1009" s="8"/>
    </row>
    <row r="1010">
      <c r="A1010" s="209"/>
      <c r="B1010" s="210"/>
      <c r="C1010" s="390"/>
      <c r="D1010" s="209"/>
      <c r="E1010" s="210"/>
      <c r="F1010" s="390"/>
      <c r="G1010" s="209"/>
      <c r="H1010" s="210"/>
      <c r="I1010" s="390"/>
      <c r="J1010" s="209"/>
      <c r="K1010" s="210"/>
      <c r="L1010" s="390"/>
      <c r="M1010" s="209"/>
      <c r="N1010" s="210"/>
      <c r="O1010" s="390"/>
      <c r="P1010" s="209"/>
      <c r="Q1010" s="210"/>
      <c r="R1010" s="390"/>
      <c r="S1010" s="209"/>
      <c r="T1010" s="210"/>
      <c r="U1010" s="390"/>
      <c r="V1010" s="209"/>
      <c r="W1010" s="210"/>
      <c r="X1010" s="390"/>
      <c r="Y1010" s="280"/>
      <c r="Z1010" s="222"/>
      <c r="AA1010" s="404"/>
      <c r="AB1010" s="195"/>
      <c r="AC1010" s="8"/>
      <c r="AD1010" s="8"/>
      <c r="AE1010" s="8"/>
      <c r="AF1010" s="8"/>
      <c r="AG1010" s="202"/>
      <c r="AH1010" s="202"/>
      <c r="AI1010" s="202"/>
      <c r="AJ1010" s="202"/>
      <c r="AK1010" s="8"/>
      <c r="AL1010" s="8"/>
      <c r="AM1010" s="8"/>
      <c r="AN1010" s="8"/>
      <c r="AO1010" s="8"/>
      <c r="AP1010" s="8"/>
      <c r="AQ1010" s="8"/>
      <c r="AR1010" s="8"/>
      <c r="AS1010" s="8"/>
      <c r="AT1010" s="8"/>
      <c r="AU1010" s="8"/>
      <c r="AV1010" s="8"/>
    </row>
    <row r="1011">
      <c r="A1011" s="209"/>
      <c r="B1011" s="210"/>
      <c r="C1011" s="390"/>
      <c r="D1011" s="209"/>
      <c r="E1011" s="210"/>
      <c r="F1011" s="390"/>
      <c r="G1011" s="209"/>
      <c r="H1011" s="210"/>
      <c r="I1011" s="390"/>
      <c r="J1011" s="209"/>
      <c r="K1011" s="210"/>
      <c r="L1011" s="390"/>
      <c r="M1011" s="209"/>
      <c r="N1011" s="210"/>
      <c r="O1011" s="390"/>
      <c r="P1011" s="209"/>
      <c r="Q1011" s="210"/>
      <c r="R1011" s="390"/>
      <c r="S1011" s="209"/>
      <c r="T1011" s="210"/>
      <c r="U1011" s="390"/>
      <c r="V1011" s="209"/>
      <c r="W1011" s="210"/>
      <c r="X1011" s="390"/>
      <c r="Y1011" s="280"/>
      <c r="Z1011" s="222"/>
      <c r="AA1011" s="404"/>
      <c r="AB1011" s="195"/>
      <c r="AC1011" s="8"/>
      <c r="AD1011" s="8"/>
      <c r="AE1011" s="8"/>
      <c r="AF1011" s="8"/>
      <c r="AG1011" s="202"/>
      <c r="AH1011" s="202"/>
      <c r="AI1011" s="202"/>
      <c r="AJ1011" s="202"/>
      <c r="AK1011" s="8"/>
      <c r="AL1011" s="8"/>
      <c r="AM1011" s="8"/>
      <c r="AN1011" s="8"/>
      <c r="AO1011" s="8"/>
      <c r="AP1011" s="8"/>
      <c r="AQ1011" s="8"/>
      <c r="AR1011" s="8"/>
      <c r="AS1011" s="8"/>
      <c r="AT1011" s="8"/>
      <c r="AU1011" s="8"/>
      <c r="AV1011" s="8"/>
    </row>
    <row r="1012">
      <c r="A1012" s="209"/>
      <c r="B1012" s="210"/>
      <c r="C1012" s="390"/>
      <c r="D1012" s="209"/>
      <c r="E1012" s="210"/>
      <c r="F1012" s="390"/>
      <c r="G1012" s="209"/>
      <c r="H1012" s="210"/>
      <c r="I1012" s="390"/>
      <c r="J1012" s="209"/>
      <c r="K1012" s="210"/>
      <c r="L1012" s="390"/>
      <c r="M1012" s="209"/>
      <c r="N1012" s="210"/>
      <c r="O1012" s="390"/>
      <c r="P1012" s="209"/>
      <c r="Q1012" s="210"/>
      <c r="R1012" s="390"/>
      <c r="S1012" s="209"/>
      <c r="T1012" s="210"/>
      <c r="U1012" s="390"/>
      <c r="V1012" s="209"/>
      <c r="W1012" s="210"/>
      <c r="X1012" s="390"/>
      <c r="Y1012" s="280"/>
      <c r="Z1012" s="222"/>
      <c r="AA1012" s="404"/>
      <c r="AB1012" s="195"/>
      <c r="AC1012" s="8"/>
      <c r="AD1012" s="8"/>
      <c r="AE1012" s="8"/>
      <c r="AF1012" s="8"/>
      <c r="AG1012" s="202"/>
      <c r="AH1012" s="202"/>
      <c r="AI1012" s="202"/>
      <c r="AJ1012" s="202"/>
      <c r="AK1012" s="8"/>
      <c r="AL1012" s="8"/>
      <c r="AM1012" s="8"/>
      <c r="AN1012" s="8"/>
      <c r="AO1012" s="8"/>
      <c r="AP1012" s="8"/>
      <c r="AQ1012" s="8"/>
      <c r="AR1012" s="8"/>
      <c r="AS1012" s="8"/>
      <c r="AT1012" s="8"/>
      <c r="AU1012" s="8"/>
      <c r="AV1012" s="8"/>
    </row>
    <row r="1013">
      <c r="A1013" s="209"/>
      <c r="B1013" s="210"/>
      <c r="C1013" s="390"/>
      <c r="D1013" s="209"/>
      <c r="E1013" s="210"/>
      <c r="F1013" s="390"/>
      <c r="G1013" s="209"/>
      <c r="H1013" s="210"/>
      <c r="I1013" s="390"/>
      <c r="J1013" s="209"/>
      <c r="K1013" s="210"/>
      <c r="L1013" s="390"/>
      <c r="M1013" s="209"/>
      <c r="N1013" s="210"/>
      <c r="O1013" s="390"/>
      <c r="P1013" s="209"/>
      <c r="Q1013" s="210"/>
      <c r="R1013" s="390"/>
      <c r="S1013" s="209"/>
      <c r="T1013" s="210"/>
      <c r="U1013" s="390"/>
      <c r="V1013" s="209"/>
      <c r="W1013" s="210"/>
      <c r="X1013" s="390"/>
      <c r="Y1013" s="280"/>
      <c r="Z1013" s="222"/>
      <c r="AA1013" s="404"/>
      <c r="AB1013" s="195"/>
      <c r="AC1013" s="8"/>
      <c r="AD1013" s="8"/>
      <c r="AE1013" s="8"/>
      <c r="AF1013" s="8"/>
      <c r="AG1013" s="202"/>
      <c r="AH1013" s="202"/>
      <c r="AI1013" s="202"/>
      <c r="AJ1013" s="202"/>
      <c r="AK1013" s="8"/>
      <c r="AL1013" s="8"/>
      <c r="AM1013" s="8"/>
      <c r="AN1013" s="8"/>
      <c r="AO1013" s="8"/>
      <c r="AP1013" s="8"/>
      <c r="AQ1013" s="8"/>
      <c r="AR1013" s="8"/>
      <c r="AS1013" s="8"/>
      <c r="AT1013" s="8"/>
      <c r="AU1013" s="8"/>
      <c r="AV1013" s="8"/>
    </row>
    <row r="1014">
      <c r="A1014" s="209"/>
      <c r="B1014" s="210"/>
      <c r="C1014" s="390"/>
      <c r="D1014" s="209"/>
      <c r="E1014" s="210"/>
      <c r="F1014" s="390"/>
      <c r="G1014" s="209"/>
      <c r="H1014" s="210"/>
      <c r="I1014" s="390"/>
      <c r="J1014" s="209"/>
      <c r="K1014" s="210"/>
      <c r="L1014" s="390"/>
      <c r="M1014" s="209"/>
      <c r="N1014" s="210"/>
      <c r="O1014" s="390"/>
      <c r="P1014" s="209"/>
      <c r="Q1014" s="210"/>
      <c r="R1014" s="390"/>
      <c r="S1014" s="209"/>
      <c r="T1014" s="210"/>
      <c r="U1014" s="390"/>
      <c r="V1014" s="209"/>
      <c r="W1014" s="210"/>
      <c r="X1014" s="390"/>
      <c r="Y1014" s="280"/>
      <c r="Z1014" s="222"/>
      <c r="AA1014" s="404"/>
      <c r="AB1014" s="195"/>
      <c r="AC1014" s="8"/>
      <c r="AD1014" s="8"/>
      <c r="AE1014" s="8"/>
      <c r="AF1014" s="8"/>
      <c r="AG1014" s="202"/>
      <c r="AH1014" s="202"/>
      <c r="AI1014" s="202"/>
      <c r="AJ1014" s="202"/>
      <c r="AK1014" s="8"/>
      <c r="AL1014" s="8"/>
      <c r="AM1014" s="8"/>
      <c r="AN1014" s="8"/>
      <c r="AO1014" s="8"/>
      <c r="AP1014" s="8"/>
      <c r="AQ1014" s="8"/>
      <c r="AR1014" s="8"/>
      <c r="AS1014" s="8"/>
      <c r="AT1014" s="8"/>
      <c r="AU1014" s="8"/>
      <c r="AV1014" s="8"/>
    </row>
    <row r="1015">
      <c r="A1015" s="209"/>
      <c r="B1015" s="210"/>
      <c r="C1015" s="390"/>
      <c r="D1015" s="209"/>
      <c r="E1015" s="210"/>
      <c r="F1015" s="390"/>
      <c r="G1015" s="209"/>
      <c r="H1015" s="210"/>
      <c r="I1015" s="390"/>
      <c r="J1015" s="209"/>
      <c r="K1015" s="210"/>
      <c r="L1015" s="390"/>
      <c r="M1015" s="209"/>
      <c r="N1015" s="210"/>
      <c r="O1015" s="390"/>
      <c r="P1015" s="209"/>
      <c r="Q1015" s="210"/>
      <c r="R1015" s="390"/>
      <c r="S1015" s="209"/>
      <c r="T1015" s="210"/>
      <c r="U1015" s="390"/>
      <c r="V1015" s="209"/>
      <c r="W1015" s="210"/>
      <c r="X1015" s="390"/>
      <c r="Y1015" s="280"/>
      <c r="Z1015" s="222"/>
      <c r="AA1015" s="404"/>
      <c r="AB1015" s="195"/>
      <c r="AC1015" s="8"/>
      <c r="AD1015" s="8"/>
      <c r="AE1015" s="8"/>
      <c r="AF1015" s="8"/>
      <c r="AG1015" s="202"/>
      <c r="AH1015" s="202"/>
      <c r="AI1015" s="202"/>
      <c r="AJ1015" s="202"/>
      <c r="AK1015" s="8"/>
      <c r="AL1015" s="8"/>
      <c r="AM1015" s="8"/>
      <c r="AN1015" s="8"/>
      <c r="AO1015" s="8"/>
      <c r="AP1015" s="8"/>
      <c r="AQ1015" s="8"/>
      <c r="AR1015" s="8"/>
      <c r="AS1015" s="8"/>
      <c r="AT1015" s="8"/>
      <c r="AU1015" s="8"/>
      <c r="AV1015" s="8"/>
    </row>
    <row r="1016">
      <c r="A1016" s="209"/>
      <c r="B1016" s="210"/>
      <c r="C1016" s="390"/>
      <c r="D1016" s="209"/>
      <c r="E1016" s="210"/>
      <c r="F1016" s="390"/>
      <c r="G1016" s="209"/>
      <c r="H1016" s="210"/>
      <c r="I1016" s="390"/>
      <c r="J1016" s="209"/>
      <c r="K1016" s="210"/>
      <c r="L1016" s="390"/>
      <c r="M1016" s="209"/>
      <c r="N1016" s="210"/>
      <c r="O1016" s="390"/>
      <c r="P1016" s="209"/>
      <c r="Q1016" s="210"/>
      <c r="R1016" s="390"/>
      <c r="S1016" s="209"/>
      <c r="T1016" s="210"/>
      <c r="U1016" s="390"/>
      <c r="V1016" s="209"/>
      <c r="W1016" s="210"/>
      <c r="X1016" s="390"/>
      <c r="Y1016" s="280"/>
      <c r="Z1016" s="222"/>
      <c r="AA1016" s="404"/>
      <c r="AB1016" s="195"/>
      <c r="AC1016" s="8"/>
      <c r="AD1016" s="8"/>
      <c r="AE1016" s="8"/>
      <c r="AF1016" s="8"/>
      <c r="AG1016" s="202"/>
      <c r="AH1016" s="202"/>
      <c r="AI1016" s="202"/>
      <c r="AJ1016" s="202"/>
      <c r="AK1016" s="8"/>
      <c r="AL1016" s="8"/>
      <c r="AM1016" s="8"/>
      <c r="AN1016" s="8"/>
      <c r="AO1016" s="8"/>
      <c r="AP1016" s="8"/>
      <c r="AQ1016" s="8"/>
      <c r="AR1016" s="8"/>
      <c r="AS1016" s="8"/>
      <c r="AT1016" s="8"/>
      <c r="AU1016" s="8"/>
      <c r="AV1016" s="8"/>
    </row>
    <row r="1017">
      <c r="A1017" s="209"/>
      <c r="B1017" s="210"/>
      <c r="C1017" s="390"/>
      <c r="D1017" s="209"/>
      <c r="E1017" s="210"/>
      <c r="F1017" s="390"/>
      <c r="G1017" s="209"/>
      <c r="H1017" s="210"/>
      <c r="I1017" s="390"/>
      <c r="J1017" s="209"/>
      <c r="K1017" s="210"/>
      <c r="L1017" s="390"/>
      <c r="M1017" s="209"/>
      <c r="N1017" s="210"/>
      <c r="O1017" s="390"/>
      <c r="P1017" s="209"/>
      <c r="Q1017" s="210"/>
      <c r="R1017" s="390"/>
      <c r="S1017" s="209"/>
      <c r="T1017" s="210"/>
      <c r="U1017" s="390"/>
      <c r="V1017" s="209"/>
      <c r="W1017" s="210"/>
      <c r="X1017" s="390"/>
      <c r="Y1017" s="280"/>
      <c r="Z1017" s="222"/>
      <c r="AA1017" s="404"/>
      <c r="AB1017" s="195"/>
      <c r="AC1017" s="8"/>
      <c r="AD1017" s="8"/>
      <c r="AE1017" s="8"/>
      <c r="AF1017" s="8"/>
      <c r="AG1017" s="202"/>
      <c r="AH1017" s="202"/>
      <c r="AI1017" s="202"/>
      <c r="AJ1017" s="202"/>
      <c r="AK1017" s="8"/>
      <c r="AL1017" s="8"/>
      <c r="AM1017" s="8"/>
      <c r="AN1017" s="8"/>
      <c r="AO1017" s="8"/>
      <c r="AP1017" s="8"/>
      <c r="AQ1017" s="8"/>
      <c r="AR1017" s="8"/>
      <c r="AS1017" s="8"/>
      <c r="AT1017" s="8"/>
      <c r="AU1017" s="8"/>
      <c r="AV1017" s="8"/>
    </row>
    <row r="1018">
      <c r="A1018" s="209"/>
      <c r="B1018" s="210"/>
      <c r="C1018" s="390"/>
      <c r="D1018" s="209"/>
      <c r="E1018" s="210"/>
      <c r="F1018" s="390"/>
      <c r="G1018" s="209"/>
      <c r="H1018" s="210"/>
      <c r="I1018" s="390"/>
      <c r="J1018" s="209"/>
      <c r="K1018" s="210"/>
      <c r="L1018" s="390"/>
      <c r="M1018" s="209"/>
      <c r="N1018" s="210"/>
      <c r="O1018" s="390"/>
      <c r="P1018" s="209"/>
      <c r="Q1018" s="210"/>
      <c r="R1018" s="390"/>
      <c r="S1018" s="209"/>
      <c r="T1018" s="210"/>
      <c r="U1018" s="390"/>
      <c r="V1018" s="209"/>
      <c r="W1018" s="210"/>
      <c r="X1018" s="390"/>
      <c r="Y1018" s="280"/>
      <c r="Z1018" s="222"/>
      <c r="AA1018" s="404"/>
      <c r="AB1018" s="195"/>
      <c r="AC1018" s="8"/>
      <c r="AD1018" s="8"/>
      <c r="AE1018" s="8"/>
      <c r="AF1018" s="8"/>
      <c r="AG1018" s="202"/>
      <c r="AH1018" s="202"/>
      <c r="AI1018" s="202"/>
      <c r="AJ1018" s="202"/>
      <c r="AK1018" s="8"/>
      <c r="AL1018" s="8"/>
      <c r="AM1018" s="8"/>
      <c r="AN1018" s="8"/>
      <c r="AO1018" s="8"/>
      <c r="AP1018" s="8"/>
      <c r="AQ1018" s="8"/>
      <c r="AR1018" s="8"/>
      <c r="AS1018" s="8"/>
      <c r="AT1018" s="8"/>
      <c r="AU1018" s="8"/>
      <c r="AV1018" s="8"/>
    </row>
    <row r="1019">
      <c r="A1019" s="209"/>
      <c r="B1019" s="210"/>
      <c r="C1019" s="390"/>
      <c r="D1019" s="209"/>
      <c r="E1019" s="210"/>
      <c r="F1019" s="390"/>
      <c r="G1019" s="209"/>
      <c r="H1019" s="210"/>
      <c r="I1019" s="390"/>
      <c r="J1019" s="209"/>
      <c r="K1019" s="210"/>
      <c r="L1019" s="390"/>
      <c r="M1019" s="209"/>
      <c r="N1019" s="210"/>
      <c r="O1019" s="390"/>
      <c r="P1019" s="209"/>
      <c r="Q1019" s="210"/>
      <c r="R1019" s="390"/>
      <c r="S1019" s="209"/>
      <c r="T1019" s="210"/>
      <c r="U1019" s="390"/>
      <c r="V1019" s="209"/>
      <c r="W1019" s="210"/>
      <c r="X1019" s="390"/>
      <c r="Y1019" s="280"/>
      <c r="Z1019" s="222"/>
      <c r="AA1019" s="404"/>
      <c r="AB1019" s="195"/>
      <c r="AC1019" s="8"/>
      <c r="AD1019" s="8"/>
      <c r="AE1019" s="8"/>
      <c r="AF1019" s="8"/>
      <c r="AG1019" s="202"/>
      <c r="AH1019" s="202"/>
      <c r="AI1019" s="202"/>
      <c r="AJ1019" s="202"/>
      <c r="AK1019" s="8"/>
      <c r="AL1019" s="8"/>
      <c r="AM1019" s="8"/>
      <c r="AN1019" s="8"/>
      <c r="AO1019" s="8"/>
      <c r="AP1019" s="8"/>
      <c r="AQ1019" s="8"/>
      <c r="AR1019" s="8"/>
      <c r="AS1019" s="8"/>
      <c r="AT1019" s="8"/>
      <c r="AU1019" s="8"/>
      <c r="AV1019" s="8"/>
    </row>
    <row r="1020">
      <c r="A1020" s="209"/>
      <c r="B1020" s="210"/>
      <c r="C1020" s="390"/>
      <c r="D1020" s="209"/>
      <c r="E1020" s="210"/>
      <c r="F1020" s="390"/>
      <c r="G1020" s="209"/>
      <c r="H1020" s="210"/>
      <c r="I1020" s="390"/>
      <c r="J1020" s="209"/>
      <c r="K1020" s="210"/>
      <c r="L1020" s="390"/>
      <c r="M1020" s="209"/>
      <c r="N1020" s="210"/>
      <c r="O1020" s="390"/>
      <c r="P1020" s="209"/>
      <c r="Q1020" s="210"/>
      <c r="R1020" s="390"/>
      <c r="S1020" s="209"/>
      <c r="T1020" s="210"/>
      <c r="U1020" s="390"/>
      <c r="V1020" s="209"/>
      <c r="W1020" s="210"/>
      <c r="X1020" s="390"/>
      <c r="Y1020" s="280"/>
      <c r="Z1020" s="222"/>
      <c r="AA1020" s="404"/>
      <c r="AB1020" s="195"/>
      <c r="AC1020" s="8"/>
      <c r="AD1020" s="8"/>
      <c r="AE1020" s="8"/>
      <c r="AF1020" s="8"/>
      <c r="AG1020" s="202"/>
      <c r="AH1020" s="202"/>
      <c r="AI1020" s="202"/>
      <c r="AJ1020" s="202"/>
      <c r="AK1020" s="8"/>
      <c r="AL1020" s="8"/>
      <c r="AM1020" s="8"/>
      <c r="AN1020" s="8"/>
      <c r="AO1020" s="8"/>
      <c r="AP1020" s="8"/>
      <c r="AQ1020" s="8"/>
      <c r="AR1020" s="8"/>
      <c r="AS1020" s="8"/>
      <c r="AT1020" s="8"/>
      <c r="AU1020" s="8"/>
      <c r="AV1020" s="8"/>
    </row>
    <row r="1021">
      <c r="A1021" s="209"/>
      <c r="B1021" s="210"/>
      <c r="C1021" s="390"/>
      <c r="D1021" s="209"/>
      <c r="E1021" s="210"/>
      <c r="F1021" s="390"/>
      <c r="G1021" s="209"/>
      <c r="H1021" s="210"/>
      <c r="I1021" s="390"/>
      <c r="J1021" s="209"/>
      <c r="K1021" s="210"/>
      <c r="L1021" s="390"/>
      <c r="M1021" s="209"/>
      <c r="N1021" s="210"/>
      <c r="O1021" s="390"/>
      <c r="P1021" s="209"/>
      <c r="Q1021" s="210"/>
      <c r="R1021" s="390"/>
      <c r="S1021" s="209"/>
      <c r="T1021" s="210"/>
      <c r="U1021" s="390"/>
      <c r="V1021" s="209"/>
      <c r="W1021" s="210"/>
      <c r="X1021" s="390"/>
      <c r="Y1021" s="280"/>
      <c r="Z1021" s="222"/>
      <c r="AA1021" s="404"/>
      <c r="AB1021" s="195"/>
      <c r="AC1021" s="8"/>
      <c r="AD1021" s="8"/>
      <c r="AE1021" s="8"/>
      <c r="AF1021" s="8"/>
      <c r="AG1021" s="202"/>
      <c r="AH1021" s="202"/>
      <c r="AI1021" s="202"/>
      <c r="AJ1021" s="202"/>
      <c r="AK1021" s="8"/>
      <c r="AL1021" s="8"/>
      <c r="AM1021" s="8"/>
      <c r="AN1021" s="8"/>
      <c r="AO1021" s="8"/>
      <c r="AP1021" s="8"/>
      <c r="AQ1021" s="8"/>
      <c r="AR1021" s="8"/>
      <c r="AS1021" s="8"/>
      <c r="AT1021" s="8"/>
      <c r="AU1021" s="8"/>
      <c r="AV1021" s="8"/>
    </row>
    <row r="1022">
      <c r="A1022" s="209"/>
      <c r="B1022" s="210"/>
      <c r="C1022" s="390"/>
      <c r="D1022" s="209"/>
      <c r="E1022" s="210"/>
      <c r="F1022" s="390"/>
      <c r="G1022" s="209"/>
      <c r="H1022" s="210"/>
      <c r="I1022" s="390"/>
      <c r="J1022" s="209"/>
      <c r="K1022" s="210"/>
      <c r="L1022" s="390"/>
      <c r="M1022" s="209"/>
      <c r="N1022" s="210"/>
      <c r="O1022" s="390"/>
      <c r="P1022" s="209"/>
      <c r="Q1022" s="210"/>
      <c r="R1022" s="390"/>
      <c r="S1022" s="209"/>
      <c r="T1022" s="210"/>
      <c r="U1022" s="390"/>
      <c r="V1022" s="209"/>
      <c r="W1022" s="210"/>
      <c r="X1022" s="390"/>
      <c r="Y1022" s="280"/>
      <c r="Z1022" s="222"/>
      <c r="AA1022" s="404"/>
      <c r="AB1022" s="195"/>
      <c r="AC1022" s="8"/>
      <c r="AD1022" s="8"/>
      <c r="AE1022" s="8"/>
      <c r="AF1022" s="8"/>
      <c r="AG1022" s="202"/>
      <c r="AH1022" s="202"/>
      <c r="AI1022" s="202"/>
      <c r="AJ1022" s="202"/>
      <c r="AK1022" s="8"/>
      <c r="AL1022" s="8"/>
      <c r="AM1022" s="8"/>
      <c r="AN1022" s="8"/>
      <c r="AO1022" s="8"/>
      <c r="AP1022" s="8"/>
      <c r="AQ1022" s="8"/>
      <c r="AR1022" s="8"/>
      <c r="AS1022" s="8"/>
      <c r="AT1022" s="8"/>
      <c r="AU1022" s="8"/>
      <c r="AV1022" s="8"/>
    </row>
    <row r="1023">
      <c r="A1023" s="209"/>
      <c r="B1023" s="210"/>
      <c r="C1023" s="390"/>
      <c r="D1023" s="209"/>
      <c r="E1023" s="210"/>
      <c r="F1023" s="390"/>
      <c r="G1023" s="209"/>
      <c r="H1023" s="210"/>
      <c r="I1023" s="390"/>
      <c r="J1023" s="209"/>
      <c r="K1023" s="210"/>
      <c r="L1023" s="390"/>
      <c r="M1023" s="209"/>
      <c r="N1023" s="210"/>
      <c r="O1023" s="390"/>
      <c r="P1023" s="209"/>
      <c r="Q1023" s="210"/>
      <c r="R1023" s="390"/>
      <c r="S1023" s="209"/>
      <c r="T1023" s="210"/>
      <c r="U1023" s="390"/>
      <c r="V1023" s="209"/>
      <c r="W1023" s="210"/>
      <c r="X1023" s="390"/>
      <c r="Y1023" s="280"/>
      <c r="Z1023" s="222"/>
      <c r="AA1023" s="404"/>
      <c r="AB1023" s="195"/>
      <c r="AC1023" s="8"/>
      <c r="AD1023" s="8"/>
      <c r="AE1023" s="8"/>
      <c r="AF1023" s="8"/>
      <c r="AG1023" s="202"/>
      <c r="AH1023" s="202"/>
      <c r="AI1023" s="202"/>
      <c r="AJ1023" s="202"/>
      <c r="AK1023" s="8"/>
      <c r="AL1023" s="8"/>
      <c r="AM1023" s="8"/>
      <c r="AN1023" s="8"/>
      <c r="AO1023" s="8"/>
      <c r="AP1023" s="8"/>
      <c r="AQ1023" s="8"/>
      <c r="AR1023" s="8"/>
      <c r="AS1023" s="8"/>
      <c r="AT1023" s="8"/>
      <c r="AU1023" s="8"/>
      <c r="AV1023" s="8"/>
    </row>
  </sheetData>
  <mergeCells count="107">
    <mergeCell ref="AC20:AF20"/>
    <mergeCell ref="AG20:AJ20"/>
    <mergeCell ref="AK20:AN20"/>
    <mergeCell ref="AO20:AR20"/>
    <mergeCell ref="AS20:AV20"/>
    <mergeCell ref="A20:D20"/>
    <mergeCell ref="E20:H20"/>
    <mergeCell ref="I20:L20"/>
    <mergeCell ref="M20:P20"/>
    <mergeCell ref="Q20:T20"/>
    <mergeCell ref="U20:X20"/>
    <mergeCell ref="Y20:AB20"/>
    <mergeCell ref="AC24:AF24"/>
    <mergeCell ref="AG24:AJ24"/>
    <mergeCell ref="AK24:AN24"/>
    <mergeCell ref="AO24:AR24"/>
    <mergeCell ref="AS24:AV24"/>
    <mergeCell ref="A24:D24"/>
    <mergeCell ref="E24:H24"/>
    <mergeCell ref="I24:L24"/>
    <mergeCell ref="M24:P24"/>
    <mergeCell ref="Q24:T24"/>
    <mergeCell ref="U24:X24"/>
    <mergeCell ref="Y24:AB24"/>
    <mergeCell ref="AC35:AF35"/>
    <mergeCell ref="AG35:AJ35"/>
    <mergeCell ref="AK35:AN35"/>
    <mergeCell ref="AO35:AR35"/>
    <mergeCell ref="AS35:AV35"/>
    <mergeCell ref="A35:D35"/>
    <mergeCell ref="E35:H35"/>
    <mergeCell ref="I35:L35"/>
    <mergeCell ref="M35:P35"/>
    <mergeCell ref="Q35:T35"/>
    <mergeCell ref="U35:X35"/>
    <mergeCell ref="Y35:AB35"/>
    <mergeCell ref="AC46:AF46"/>
    <mergeCell ref="AG46:AJ46"/>
    <mergeCell ref="AK46:AN46"/>
    <mergeCell ref="AO46:AR46"/>
    <mergeCell ref="AS46:AV46"/>
    <mergeCell ref="A46:D46"/>
    <mergeCell ref="E46:H46"/>
    <mergeCell ref="I46:L46"/>
    <mergeCell ref="M46:P46"/>
    <mergeCell ref="Q46:T46"/>
    <mergeCell ref="U46:X46"/>
    <mergeCell ref="Y46:AB46"/>
    <mergeCell ref="AC63:AF63"/>
    <mergeCell ref="AG63:AJ63"/>
    <mergeCell ref="AK63:AN63"/>
    <mergeCell ref="AO63:AR63"/>
    <mergeCell ref="AS63:AV63"/>
    <mergeCell ref="A63:D63"/>
    <mergeCell ref="E63:H63"/>
    <mergeCell ref="I63:L63"/>
    <mergeCell ref="M63:P63"/>
    <mergeCell ref="Q63:T63"/>
    <mergeCell ref="U63:X63"/>
    <mergeCell ref="Y63:AB63"/>
    <mergeCell ref="AC1:AF1"/>
    <mergeCell ref="AG1:AJ1"/>
    <mergeCell ref="AK1:AN1"/>
    <mergeCell ref="AO1:AR1"/>
    <mergeCell ref="AS1:AV1"/>
    <mergeCell ref="A1:D1"/>
    <mergeCell ref="E1:H1"/>
    <mergeCell ref="I1:L1"/>
    <mergeCell ref="M1:P1"/>
    <mergeCell ref="Q1:T1"/>
    <mergeCell ref="U1:X1"/>
    <mergeCell ref="Y1:AB1"/>
    <mergeCell ref="AC3:AF3"/>
    <mergeCell ref="AG3:AJ3"/>
    <mergeCell ref="AK3:AN3"/>
    <mergeCell ref="AO3:AR3"/>
    <mergeCell ref="AS3:AV3"/>
    <mergeCell ref="A3:D3"/>
    <mergeCell ref="E3:H3"/>
    <mergeCell ref="I3:L3"/>
    <mergeCell ref="M3:P3"/>
    <mergeCell ref="Q3:T3"/>
    <mergeCell ref="U3:X3"/>
    <mergeCell ref="Y3:AB3"/>
    <mergeCell ref="AC13:AF13"/>
    <mergeCell ref="AG13:AJ13"/>
    <mergeCell ref="AK13:AN13"/>
    <mergeCell ref="AO13:AR13"/>
    <mergeCell ref="AS13:AV13"/>
    <mergeCell ref="A13:D13"/>
    <mergeCell ref="E13:H13"/>
    <mergeCell ref="I13:L13"/>
    <mergeCell ref="M13:P13"/>
    <mergeCell ref="Q13:T13"/>
    <mergeCell ref="U13:X13"/>
    <mergeCell ref="Y13:AB13"/>
    <mergeCell ref="AC67:AF67"/>
    <mergeCell ref="AG67:AJ67"/>
    <mergeCell ref="AK67:AN67"/>
    <mergeCell ref="AO67:AR67"/>
    <mergeCell ref="A67:D67"/>
    <mergeCell ref="E67:H67"/>
    <mergeCell ref="I67:L67"/>
    <mergeCell ref="M67:P67"/>
    <mergeCell ref="Q67:T67"/>
    <mergeCell ref="U67:X67"/>
    <mergeCell ref="Y67:AB67"/>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25.25"/>
    <col customWidth="1" min="3" max="3" width="20.5"/>
    <col customWidth="1" min="4" max="4" width="25.25"/>
    <col customWidth="1" min="5" max="5" width="20.5"/>
    <col customWidth="1" min="6" max="6" width="31.38"/>
    <col customWidth="1" min="7" max="7" width="21.38"/>
    <col customWidth="1" min="8" max="8" width="25.5"/>
    <col customWidth="1" min="9" max="9" width="21.38"/>
    <col customWidth="1" min="10" max="10" width="25.5"/>
    <col customWidth="1" min="11" max="11" width="21.38"/>
    <col customWidth="1" min="12" max="12" width="25.5"/>
    <col customWidth="1" min="13" max="13" width="21.38"/>
    <col customWidth="1" min="14" max="14" width="25.5"/>
    <col customWidth="1" min="15" max="15" width="21.38"/>
    <col customWidth="1" min="16" max="16" width="25.5"/>
    <col customWidth="1" min="17" max="17" width="21.38"/>
    <col customWidth="1" min="18" max="18" width="31.5"/>
    <col customWidth="1" min="19" max="19" width="16.5"/>
    <col customWidth="1" min="20" max="20" width="33.25"/>
    <col customWidth="1" min="21" max="21" width="16.5"/>
    <col customWidth="1" min="22" max="22" width="33.25"/>
    <col customWidth="1" min="23" max="26" width="30.75"/>
  </cols>
  <sheetData>
    <row r="1">
      <c r="A1" s="405" t="s">
        <v>7180</v>
      </c>
      <c r="B1" s="91" t="s">
        <v>7181</v>
      </c>
      <c r="C1" s="405" t="str">
        <f>IFERROR(__xludf.DUMMYFUNCTION("GOOGLETRANSLATE(A1,""zh-tw"",""ja"")"),"兵器プロジェクト")</f>
        <v>兵器プロジェクト</v>
      </c>
      <c r="D1" s="91" t="str">
        <f>IFERROR(__xludf.DUMMYFUNCTION("GOOGLETRANSLATE(B1,""zh-tw"",""ja"")"),"武器の特性")</f>
        <v>武器の特性</v>
      </c>
      <c r="E1" s="405" t="s">
        <v>7182</v>
      </c>
      <c r="F1" s="91" t="s">
        <v>7183</v>
      </c>
      <c r="G1" s="405" t="str">
        <f>IFERROR(__xludf.DUMMYFUNCTION("GOOGLETRANSLATE(A1,""zh-tw"",""zh"")"),"武器项目")</f>
        <v>武器项目</v>
      </c>
      <c r="H1" s="91" t="str">
        <f>IFERROR(__xludf.DUMMYFUNCTION("GOOGLETRANSLATE(B1,""zh-tw"",""zh"")"),"武器属性")</f>
        <v>武器属性</v>
      </c>
      <c r="I1" s="406" t="str">
        <f>IFERROR(__xludf.DUMMYFUNCTION("GOOGLETRANSLATE(A1,""zh-tw"",""es-MX"")"),"Proyecto de Armas")</f>
        <v>Proyecto de Armas</v>
      </c>
      <c r="J1" s="56" t="str">
        <f>IFERROR(__xludf.DUMMYFUNCTION("GOOGLETRANSLATE(B1,""zh-tw"",""es-MX"")"),"atributos del arma")</f>
        <v>atributos del arma</v>
      </c>
      <c r="K1" s="407" t="str">
        <f>IFERROR(__xludf.DUMMYFUNCTION("GOOGLETRANSLATE(A1,""zh-tw"",""KO"")"),"무기 프로젝트")</f>
        <v>무기 프로젝트</v>
      </c>
      <c r="L1" s="95" t="str">
        <f>IFERROR(__xludf.DUMMYFUNCTION("GOOGLETRANSLATE(B1,""zh-tw"",""KO"")"),"무기 속성")</f>
        <v>무기 속성</v>
      </c>
      <c r="M1" s="408" t="s">
        <v>7184</v>
      </c>
      <c r="N1" s="32" t="s">
        <v>7185</v>
      </c>
      <c r="O1" s="405" t="s">
        <v>7186</v>
      </c>
      <c r="P1" s="91" t="s">
        <v>7187</v>
      </c>
      <c r="Q1" s="409" t="s">
        <v>7188</v>
      </c>
      <c r="R1" s="410" t="s">
        <v>7189</v>
      </c>
      <c r="S1" s="93" t="s">
        <v>7190</v>
      </c>
      <c r="T1" s="95" t="s">
        <v>7191</v>
      </c>
      <c r="U1" s="93"/>
      <c r="V1" s="95"/>
      <c r="W1" s="95"/>
      <c r="X1" s="95"/>
      <c r="Y1" s="95"/>
      <c r="Z1" s="95"/>
    </row>
    <row r="2">
      <c r="A2" s="172" t="s">
        <v>7192</v>
      </c>
      <c r="C2" s="172" t="s">
        <v>7193</v>
      </c>
      <c r="E2" s="172" t="s">
        <v>7194</v>
      </c>
      <c r="G2" s="172" t="s">
        <v>7195</v>
      </c>
      <c r="I2" s="172"/>
      <c r="K2" s="172"/>
      <c r="M2" s="172" t="s">
        <v>7196</v>
      </c>
      <c r="O2" s="172"/>
      <c r="Q2" s="175" t="s">
        <v>7197</v>
      </c>
      <c r="S2" s="172" t="s">
        <v>7198</v>
      </c>
      <c r="U2" s="172"/>
      <c r="W2" s="210"/>
      <c r="X2" s="210"/>
      <c r="Y2" s="210"/>
      <c r="Z2" s="210"/>
    </row>
    <row r="3">
      <c r="A3" s="411" t="s">
        <v>7199</v>
      </c>
      <c r="B3" s="177" t="s">
        <v>7200</v>
      </c>
      <c r="C3" s="412" t="s">
        <v>7201</v>
      </c>
      <c r="D3" s="214" t="s">
        <v>7202</v>
      </c>
      <c r="E3" s="412" t="s">
        <v>7203</v>
      </c>
      <c r="F3" s="214" t="s">
        <v>7204</v>
      </c>
      <c r="G3" s="412" t="str">
        <f>IFERROR(__xludf.DUMMYFUNCTION("GOOGLETRANSLATE(A3,""zh-tw"",""zh"")"),"握紧的拳头")</f>
        <v>握紧的拳头</v>
      </c>
      <c r="H3" s="214" t="str">
        <f>IFERROR(__xludf.DUMMYFUNCTION("GOOGLETRANSLATE(B3,""zh-tw"",""zh"")"),"物攻：2
攻击依照最大体力增加")</f>
        <v>物攻：2
攻击依照最大体力增加</v>
      </c>
      <c r="I3" s="411" t="s">
        <v>7205</v>
      </c>
      <c r="J3" s="210" t="str">
        <f>IFERROR(__xludf.DUMMYFUNCTION("GOOGLETRANSLATE(B3,""zh-tw"",""es-MX"")"),"Ataque físico: 2. El poder de ataque aumenta en función de los PS máximos.")</f>
        <v>Ataque físico: 2. El poder de ataque aumenta en función de los PS máximos.</v>
      </c>
      <c r="K3" s="411" t="s">
        <v>7206</v>
      </c>
      <c r="L3" s="177" t="s">
        <v>7207</v>
      </c>
      <c r="M3" s="412" t="s">
        <v>7208</v>
      </c>
      <c r="N3" s="214" t="s">
        <v>7209</v>
      </c>
      <c r="O3" s="412" t="s">
        <v>7210</v>
      </c>
      <c r="P3" s="214" t="s">
        <v>7211</v>
      </c>
      <c r="Q3" s="413" t="s">
        <v>7212</v>
      </c>
      <c r="R3" s="414" t="s">
        <v>7213</v>
      </c>
      <c r="S3" s="209" t="s">
        <v>7214</v>
      </c>
      <c r="T3" s="210" t="s">
        <v>7215</v>
      </c>
      <c r="U3" s="209"/>
      <c r="V3" s="210"/>
      <c r="W3" s="210"/>
      <c r="X3" s="210"/>
      <c r="Y3" s="210"/>
      <c r="Z3" s="210"/>
    </row>
    <row r="4">
      <c r="A4" s="412" t="s">
        <v>7216</v>
      </c>
      <c r="B4" s="214" t="s">
        <v>7217</v>
      </c>
      <c r="C4" s="412" t="s">
        <v>7218</v>
      </c>
      <c r="D4" s="214" t="s">
        <v>7219</v>
      </c>
      <c r="E4" s="412" t="s">
        <v>7220</v>
      </c>
      <c r="F4" s="214" t="s">
        <v>7221</v>
      </c>
      <c r="G4" s="412" t="str">
        <f>IFERROR(__xludf.DUMMYFUNCTION("GOOGLETRANSLATE(A4,""zh-tw"",""zh"")"),"硬木剑")</f>
        <v>硬木剑</v>
      </c>
      <c r="H4" s="214" t="str">
        <f>IFERROR(__xludf.DUMMYFUNCTION("GOOGLETRANSLATE(B4,""zh-tw"",""zh"")"),"物攻：15")</f>
        <v>物攻：15</v>
      </c>
      <c r="I4" s="411" t="s">
        <v>7222</v>
      </c>
      <c r="J4" s="210" t="str">
        <f>IFERROR(__xludf.DUMMYFUNCTION("GOOGLETRANSLATE(B4,""zh-tw"",""es-MX"")"),"Ataque físico: 15")</f>
        <v>Ataque físico: 15</v>
      </c>
      <c r="K4" s="412" t="s">
        <v>7223</v>
      </c>
      <c r="L4" s="177" t="s">
        <v>7224</v>
      </c>
      <c r="M4" s="412" t="s">
        <v>7225</v>
      </c>
      <c r="N4" s="214" t="s">
        <v>7226</v>
      </c>
      <c r="O4" s="412" t="s">
        <v>7227</v>
      </c>
      <c r="P4" s="214" t="s">
        <v>7228</v>
      </c>
      <c r="Q4" s="413" t="s">
        <v>7229</v>
      </c>
      <c r="R4" s="414" t="s">
        <v>7230</v>
      </c>
      <c r="S4" s="209" t="s">
        <v>7231</v>
      </c>
      <c r="T4" s="210" t="s">
        <v>7232</v>
      </c>
      <c r="U4" s="209"/>
      <c r="V4" s="210"/>
      <c r="W4" s="210"/>
      <c r="X4" s="210"/>
      <c r="Y4" s="210"/>
      <c r="Z4" s="210"/>
    </row>
    <row r="5">
      <c r="A5" s="412" t="s">
        <v>7233</v>
      </c>
      <c r="B5" s="214" t="s">
        <v>7234</v>
      </c>
      <c r="C5" s="412" t="s">
        <v>7235</v>
      </c>
      <c r="D5" s="214" t="s">
        <v>7236</v>
      </c>
      <c r="E5" s="412" t="s">
        <v>7237</v>
      </c>
      <c r="F5" s="214" t="s">
        <v>7238</v>
      </c>
      <c r="G5" s="412" t="str">
        <f>IFERROR(__xludf.DUMMYFUNCTION("GOOGLETRANSLATE(A5,""zh-tw"",""zh"")"),"硬木棒")</f>
        <v>硬木棒</v>
      </c>
      <c r="H5" s="214" t="str">
        <f>IFERROR(__xludf.DUMMYFUNCTION("GOOGLETRANSLATE(B5,""zh-tw"",""zh"")"),"物攻：14")</f>
        <v>物攻：14</v>
      </c>
      <c r="I5" s="411" t="s">
        <v>7239</v>
      </c>
      <c r="J5" s="210" t="str">
        <f>IFERROR(__xludf.DUMMYFUNCTION("GOOGLETRANSLATE(B5,""zh-tw"",""es-MX"")"),"Ataque físico: 14")</f>
        <v>Ataque físico: 14</v>
      </c>
      <c r="K5" s="415" t="str">
        <f>IFERROR(__xludf.DUMMYFUNCTION("GOOGLETRANSLATE(A5,""zh-tw"",""KO"")"),"단단한 나무 막대기")</f>
        <v>단단한 나무 막대기</v>
      </c>
      <c r="L5" s="177" t="s">
        <v>7240</v>
      </c>
      <c r="M5" s="412" t="s">
        <v>7241</v>
      </c>
      <c r="N5" s="214" t="s">
        <v>7242</v>
      </c>
      <c r="O5" s="412" t="s">
        <v>7243</v>
      </c>
      <c r="P5" s="214" t="s">
        <v>7244</v>
      </c>
      <c r="Q5" s="413" t="s">
        <v>7245</v>
      </c>
      <c r="R5" s="414" t="s">
        <v>7246</v>
      </c>
      <c r="S5" s="209" t="s">
        <v>7247</v>
      </c>
      <c r="T5" s="210" t="s">
        <v>7248</v>
      </c>
      <c r="U5" s="209"/>
      <c r="V5" s="210"/>
      <c r="W5" s="210"/>
      <c r="X5" s="210"/>
      <c r="Y5" s="210"/>
      <c r="Z5" s="210"/>
    </row>
    <row r="6">
      <c r="A6" s="412" t="s">
        <v>7249</v>
      </c>
      <c r="B6" s="214" t="s">
        <v>7250</v>
      </c>
      <c r="C6" s="412" t="s">
        <v>7251</v>
      </c>
      <c r="D6" s="214" t="s">
        <v>7252</v>
      </c>
      <c r="E6" s="412" t="s">
        <v>7253</v>
      </c>
      <c r="F6" s="214" t="s">
        <v>7254</v>
      </c>
      <c r="G6" s="412" t="str">
        <f>IFERROR(__xludf.DUMMYFUNCTION("GOOGLETRANSLATE(A6,""zh-tw"",""zh"")"),"伐木斧")</f>
        <v>伐木斧</v>
      </c>
      <c r="H6" s="214" t="str">
        <f>IFERROR(__xludf.DUMMYFUNCTION("GOOGLETRANSLATE(B6,""zh-tw"",""zh"")"),"物攻：24")</f>
        <v>物攻：24</v>
      </c>
      <c r="I6" s="411" t="s">
        <v>7255</v>
      </c>
      <c r="J6" s="210" t="str">
        <f>IFERROR(__xludf.DUMMYFUNCTION("GOOGLETRANSLATE(B6,""zh-tw"",""es-MX"")"),"Ataque físico: 24")</f>
        <v>Ataque físico: 24</v>
      </c>
      <c r="K6" s="411" t="s">
        <v>7256</v>
      </c>
      <c r="L6" s="177" t="s">
        <v>7257</v>
      </c>
      <c r="M6" s="412" t="s">
        <v>7258</v>
      </c>
      <c r="N6" s="214" t="s">
        <v>7259</v>
      </c>
      <c r="O6" s="412" t="s">
        <v>7260</v>
      </c>
      <c r="P6" s="214" t="s">
        <v>7261</v>
      </c>
      <c r="Q6" s="413" t="s">
        <v>7262</v>
      </c>
      <c r="R6" s="414" t="s">
        <v>7263</v>
      </c>
      <c r="S6" s="209" t="s">
        <v>7264</v>
      </c>
      <c r="T6" s="210" t="s">
        <v>7265</v>
      </c>
      <c r="U6" s="209"/>
      <c r="V6" s="210"/>
      <c r="W6" s="210"/>
      <c r="X6" s="210"/>
      <c r="Y6" s="210"/>
      <c r="Z6" s="210"/>
    </row>
    <row r="7">
      <c r="A7" s="411" t="s">
        <v>7266</v>
      </c>
      <c r="B7" s="177" t="s">
        <v>7267</v>
      </c>
      <c r="C7" s="412" t="s">
        <v>7266</v>
      </c>
      <c r="D7" s="214" t="s">
        <v>7268</v>
      </c>
      <c r="E7" s="412" t="s">
        <v>7269</v>
      </c>
      <c r="F7" s="214" t="s">
        <v>7270</v>
      </c>
      <c r="G7" s="412" t="str">
        <f>IFERROR(__xludf.DUMMYFUNCTION("GOOGLETRANSLATE(A7,""zh-tw"",""zh"")"),"大木槌")</f>
        <v>大木槌</v>
      </c>
      <c r="H7" s="214" t="str">
        <f>IFERROR(__xludf.DUMMYFUNCTION("GOOGLETRANSLATE(B7,""zh-tw"",""zh"")"),"物攻：36
机率晕眩")</f>
        <v>物攻：36
机率晕眩</v>
      </c>
      <c r="I7" s="411" t="s">
        <v>7271</v>
      </c>
      <c r="J7" s="210" t="str">
        <f>IFERROR(__xludf.DUMMYFUNCTION("GOOGLETRANSLATE(B7,""zh-tw"",""es-MX"")"),"Ataque físico: 36% de probabilidad de aturdir.")</f>
        <v>Ataque físico: 36% de probabilidad de aturdir.</v>
      </c>
      <c r="K7" s="415" t="str">
        <f>IFERROR(__xludf.DUMMYFUNCTION("GOOGLETRANSLATE(A7,""zh-tw"",""KO"")"),"큰 나무망치")</f>
        <v>큰 나무망치</v>
      </c>
      <c r="L7" s="210" t="str">
        <f>IFERROR(__xludf.DUMMYFUNCTION("GOOGLETRANSLATE(B7,""zh-tw"",""KO"")"),"물리 공격: 36% 확률로 기절")</f>
        <v>물리 공격: 36% 확률로 기절</v>
      </c>
      <c r="M7" s="412" t="s">
        <v>7272</v>
      </c>
      <c r="N7" s="214" t="s">
        <v>7273</v>
      </c>
      <c r="O7" s="412" t="s">
        <v>7274</v>
      </c>
      <c r="P7" s="214" t="s">
        <v>7275</v>
      </c>
      <c r="Q7" s="413" t="s">
        <v>7276</v>
      </c>
      <c r="R7" s="414" t="s">
        <v>7277</v>
      </c>
      <c r="S7" s="209" t="s">
        <v>7278</v>
      </c>
      <c r="T7" s="210" t="s">
        <v>7279</v>
      </c>
      <c r="U7" s="209"/>
      <c r="V7" s="210"/>
      <c r="W7" s="210"/>
      <c r="X7" s="210"/>
      <c r="Y7" s="210"/>
      <c r="Z7" s="210"/>
    </row>
    <row r="8">
      <c r="A8" s="412" t="s">
        <v>7280</v>
      </c>
      <c r="B8" s="214" t="s">
        <v>7281</v>
      </c>
      <c r="C8" s="412" t="s">
        <v>7282</v>
      </c>
      <c r="D8" s="214" t="s">
        <v>7283</v>
      </c>
      <c r="E8" s="412" t="s">
        <v>7284</v>
      </c>
      <c r="F8" s="214" t="s">
        <v>7285</v>
      </c>
      <c r="G8" s="412" t="str">
        <f>IFERROR(__xludf.DUMMYFUNCTION("GOOGLETRANSLATE(A8,""zh-tw"",""zh"")"),"兽人的骨釜")</f>
        <v>兽人的骨釜</v>
      </c>
      <c r="H8" s="214" t="str">
        <f>IFERROR(__xludf.DUMMYFUNCTION("GOOGLETRANSLATE(B8,""zh-tw"",""zh"")"),"物攻：42")</f>
        <v>物攻：42</v>
      </c>
      <c r="I8" s="411" t="s">
        <v>7286</v>
      </c>
      <c r="J8" s="210" t="str">
        <f>IFERROR(__xludf.DUMMYFUNCTION("GOOGLETRANSLATE(B8,""zh-tw"",""es-MX"")"),"Ataque físico: 42")</f>
        <v>Ataque físico: 42</v>
      </c>
      <c r="K8" s="412" t="s">
        <v>7287</v>
      </c>
      <c r="L8" s="177" t="s">
        <v>7288</v>
      </c>
      <c r="M8" s="412" t="s">
        <v>7289</v>
      </c>
      <c r="N8" s="214" t="s">
        <v>7290</v>
      </c>
      <c r="O8" s="412" t="s">
        <v>7291</v>
      </c>
      <c r="P8" s="214" t="s">
        <v>7292</v>
      </c>
      <c r="Q8" s="413" t="s">
        <v>7293</v>
      </c>
      <c r="R8" s="414" t="s">
        <v>7294</v>
      </c>
      <c r="S8" s="209" t="s">
        <v>7295</v>
      </c>
      <c r="T8" s="210" t="s">
        <v>7296</v>
      </c>
      <c r="U8" s="209"/>
      <c r="V8" s="210"/>
      <c r="W8" s="210"/>
      <c r="X8" s="210"/>
      <c r="Y8" s="210"/>
      <c r="Z8" s="210"/>
    </row>
    <row r="9">
      <c r="A9" s="415" t="s">
        <v>7297</v>
      </c>
      <c r="B9" s="210" t="s">
        <v>7298</v>
      </c>
      <c r="C9" s="415" t="s">
        <v>7299</v>
      </c>
      <c r="D9" s="166" t="s">
        <v>7300</v>
      </c>
      <c r="E9" s="416" t="s">
        <v>7301</v>
      </c>
      <c r="F9" s="166" t="s">
        <v>7302</v>
      </c>
      <c r="G9" s="412" t="str">
        <f>IFERROR(__xludf.DUMMYFUNCTION("GOOGLETRANSLATE(A9,""zh-tw"",""zh"")"),"怪鸟的羽毛")</f>
        <v>怪鸟的羽毛</v>
      </c>
      <c r="H9" s="214" t="str">
        <f>IFERROR(__xludf.DUMMYFUNCTION("GOOGLETRANSLATE(B9,""zh-tw"",""zh"")"),"物攻：18
旋风斩提升移速
旋风斩进入漂浮状态")</f>
        <v>物攻：18
旋风斩提升移速
旋风斩进入漂浮状态</v>
      </c>
      <c r="I9" s="411" t="s">
        <v>7303</v>
      </c>
      <c r="J9" s="210" t="str">
        <f>IFERROR(__xludf.DUMMYFUNCTION("GOOGLETRANSLATE(B9,""zh-tw"",""es-MX"")"),"Ataque físico: 18. Corte torbellino aumenta la velocidad de movimiento. Corte torbellino entra en un estado flotante.")</f>
        <v>Ataque físico: 18. Corte torbellino aumenta la velocidad de movimiento. Corte torbellino entra en un estado flotante.</v>
      </c>
      <c r="K9" s="411" t="s">
        <v>7304</v>
      </c>
      <c r="L9" s="210" t="str">
        <f>IFERROR(__xludf.DUMMYFUNCTION("GOOGLETRANSLATE(B9,""zh-tw"",""KO"")"),"물리 공격: 18 회오리베기 이동 속도가 증가합니다. 회오리베기 시 공중 부양 상태가 됩니다.")</f>
        <v>물리 공격: 18 회오리베기 이동 속도가 증가합니다. 회오리베기 시 공중 부양 상태가 됩니다.</v>
      </c>
      <c r="M9" s="412" t="s">
        <v>7305</v>
      </c>
      <c r="N9" s="214" t="s">
        <v>7306</v>
      </c>
      <c r="O9" s="416" t="s">
        <v>7307</v>
      </c>
      <c r="P9" s="166" t="s">
        <v>7308</v>
      </c>
      <c r="Q9" s="413" t="s">
        <v>7309</v>
      </c>
      <c r="R9" s="414" t="s">
        <v>7310</v>
      </c>
      <c r="S9" s="209" t="s">
        <v>7311</v>
      </c>
      <c r="T9" s="210" t="s">
        <v>7312</v>
      </c>
      <c r="U9" s="209"/>
      <c r="V9" s="210"/>
      <c r="W9" s="210"/>
      <c r="X9" s="210"/>
      <c r="Y9" s="210"/>
      <c r="Z9" s="210"/>
    </row>
    <row r="10">
      <c r="A10" s="412" t="s">
        <v>7313</v>
      </c>
      <c r="B10" s="214" t="s">
        <v>7314</v>
      </c>
      <c r="C10" s="412" t="s">
        <v>7315</v>
      </c>
      <c r="D10" s="214" t="s">
        <v>7316</v>
      </c>
      <c r="E10" s="412" t="s">
        <v>7317</v>
      </c>
      <c r="F10" s="214" t="s">
        <v>7318</v>
      </c>
      <c r="G10" s="412" t="str">
        <f>IFERROR(__xludf.DUMMYFUNCTION("GOOGLETRANSLATE(A10,""zh-tw"",""zh"")"),"巨大蟹钳")</f>
        <v>巨大蟹钳</v>
      </c>
      <c r="H10" s="214" t="str">
        <f>IFERROR(__xludf.DUMMYFUNCTION("GOOGLETRANSLATE(B10,""zh-tw"",""zh"")"),"物攻：15
夹住目标")</f>
        <v>物攻：15
夹住目标</v>
      </c>
      <c r="I10" s="411" t="s">
        <v>7319</v>
      </c>
      <c r="J10" s="210" t="str">
        <f>IFERROR(__xludf.DUMMYFUNCTION("GOOGLETRANSLATE(B10,""zh-tw"",""es-MX"")"),"Ataque físico: 15 Sujetar al objetivo")</f>
        <v>Ataque físico: 15 Sujetar al objetivo</v>
      </c>
      <c r="K10" s="415" t="str">
        <f>IFERROR(__xludf.DUMMYFUNCTION("GOOGLETRANSLATE(A10,""zh-tw"",""KO"")"),"거대 게 발톱")</f>
        <v>거대 게 발톱</v>
      </c>
      <c r="L10" s="210" t="str">
        <f>IFERROR(__xludf.DUMMYFUNCTION("GOOGLETRANSLATE(B10,""zh-tw"",""KO"")"),"물리적 공격: 15 대상을 꽉 조입니다")</f>
        <v>물리적 공격: 15 대상을 꽉 조입니다</v>
      </c>
      <c r="M10" s="412" t="s">
        <v>7320</v>
      </c>
      <c r="N10" s="214" t="s">
        <v>7321</v>
      </c>
      <c r="O10" s="412" t="s">
        <v>7322</v>
      </c>
      <c r="P10" s="214" t="s">
        <v>7323</v>
      </c>
      <c r="Q10" s="417" t="s">
        <v>7324</v>
      </c>
      <c r="R10" s="414" t="s">
        <v>7325</v>
      </c>
      <c r="S10" s="209" t="s">
        <v>7326</v>
      </c>
      <c r="T10" s="210" t="s">
        <v>7327</v>
      </c>
      <c r="U10" s="209"/>
      <c r="V10" s="210"/>
      <c r="W10" s="210"/>
      <c r="X10" s="210"/>
      <c r="Y10" s="210"/>
      <c r="Z10" s="210"/>
    </row>
    <row r="11">
      <c r="A11" s="412" t="s">
        <v>7328</v>
      </c>
      <c r="B11" s="214" t="s">
        <v>7329</v>
      </c>
      <c r="C11" s="412" t="s">
        <v>7330</v>
      </c>
      <c r="D11" s="214" t="s">
        <v>7331</v>
      </c>
      <c r="E11" s="412" t="s">
        <v>7332</v>
      </c>
      <c r="F11" s="214" t="s">
        <v>7333</v>
      </c>
      <c r="G11" s="412" t="str">
        <f>IFERROR(__xludf.DUMMYFUNCTION("GOOGLETRANSLATE(A11,""zh-tw"",""zh"")"),"香蕉?")</f>
        <v>香蕉?</v>
      </c>
      <c r="H11" s="214" t="str">
        <f>IFERROR(__xludf.DUMMYFUNCTION("GOOGLETRANSLATE(B11,""zh-tw"",""zh"")"),"物攻：10
爆炸")</f>
        <v>物攻：10
爆炸</v>
      </c>
      <c r="I11" s="411" t="s">
        <v>7334</v>
      </c>
      <c r="J11" s="210" t="str">
        <f>IFERROR(__xludf.DUMMYFUNCTION("GOOGLETRANSLATE(B11,""zh-tw"",""es-MX"")"),"Ataque físico: 10 Explosión")</f>
        <v>Ataque físico: 10 Explosión</v>
      </c>
      <c r="K11" s="415" t="str">
        <f>IFERROR(__xludf.DUMMYFUNCTION("GOOGLETRANSLATE(A11,""zh-tw"",""KO"")"),"바나나?")</f>
        <v>바나나?</v>
      </c>
      <c r="L11" s="210" t="str">
        <f>IFERROR(__xludf.DUMMYFUNCTION("GOOGLETRANSLATE(B11,""zh-tw"",""KO"")"),"물리 공격: 폭발 10")</f>
        <v>물리 공격: 폭발 10</v>
      </c>
      <c r="M11" s="412" t="s">
        <v>7335</v>
      </c>
      <c r="N11" s="214" t="s">
        <v>7336</v>
      </c>
      <c r="O11" s="412" t="s">
        <v>7337</v>
      </c>
      <c r="P11" s="214" t="s">
        <v>7338</v>
      </c>
      <c r="Q11" s="417" t="s">
        <v>7339</v>
      </c>
      <c r="R11" s="414" t="s">
        <v>7340</v>
      </c>
      <c r="S11" s="209" t="s">
        <v>7332</v>
      </c>
      <c r="T11" s="210" t="s">
        <v>7341</v>
      </c>
      <c r="U11" s="209"/>
      <c r="V11" s="210"/>
      <c r="W11" s="210"/>
      <c r="X11" s="210"/>
      <c r="Y11" s="210"/>
      <c r="Z11" s="210"/>
    </row>
    <row r="12">
      <c r="A12" s="416" t="s">
        <v>7342</v>
      </c>
      <c r="B12" s="177" t="s">
        <v>7343</v>
      </c>
      <c r="C12" s="411" t="s">
        <v>5824</v>
      </c>
      <c r="D12" s="177" t="s">
        <v>7344</v>
      </c>
      <c r="E12" s="411" t="s">
        <v>5845</v>
      </c>
      <c r="F12" s="177" t="s">
        <v>7345</v>
      </c>
      <c r="G12" s="412" t="str">
        <f>IFERROR(__xludf.DUMMYFUNCTION("GOOGLETRANSLATE(A12,""zh-tw"",""zh"")"),"胡萝卜大剑")</f>
        <v>胡萝卜大剑</v>
      </c>
      <c r="H12" s="214" t="str">
        <f>IFERROR(__xludf.DUMMYFUNCTION("GOOGLETRANSLATE(B12,""zh-tw"",""zh"")"),"物攻：1
累计伤害型武器
投掷穿刺效果
*特殊传送效果(请参考TIPS)")</f>
        <v>物攻：1
累计伤害型武器
投掷穿刺效果
*特殊传送效果(请参考TIPS)</v>
      </c>
      <c r="I12" s="411" t="s">
        <v>7346</v>
      </c>
      <c r="J12" s="210" t="str">
        <f>IFERROR(__xludf.DUMMYFUNCTION("GOOGLETRANSLATE(B12,""zh-tw"",""es-MX"")"),"Ataque físico: 1 Daño acumulativo Efecto de lanzamiento de arma perforante *Efecto especial de teletransportación (Consulte los CONSEJOS)")</f>
        <v>Ataque físico: 1 Daño acumulativo Efecto de lanzamiento de arma perforante *Efecto especial de teletransportación (Consulte los CONSEJOS)</v>
      </c>
      <c r="K12" s="415" t="str">
        <f>IFERROR(__xludf.DUMMYFUNCTION("GOOGLETRANSLATE(A12,""zh-tw"",""KO"")"),"당근검")</f>
        <v>당근검</v>
      </c>
      <c r="L12" s="210" t="str">
        <f>IFERROR(__xludf.DUMMYFUNCTION("GOOGLETRANSLATE(B12,""zh-tw"",""KO"")"),"물리 공격: 누적 피해 1 무기 투척 관통 효과 *특수 순간 이동 효과 (팁을 참조하세요)")</f>
        <v>물리 공격: 누적 피해 1 무기 투척 관통 효과 *특수 순간 이동 효과 (팁을 참조하세요)</v>
      </c>
      <c r="M12" s="412" t="s">
        <v>5850</v>
      </c>
      <c r="N12" s="214" t="s">
        <v>7347</v>
      </c>
      <c r="O12" s="411" t="s">
        <v>5852</v>
      </c>
      <c r="P12" s="177" t="s">
        <v>7348</v>
      </c>
      <c r="Q12" s="417" t="s">
        <v>5853</v>
      </c>
      <c r="R12" s="414" t="s">
        <v>7349</v>
      </c>
      <c r="S12" s="209" t="s">
        <v>5855</v>
      </c>
      <c r="T12" s="210" t="s">
        <v>7350</v>
      </c>
      <c r="U12" s="209"/>
      <c r="V12" s="210"/>
      <c r="W12" s="210"/>
      <c r="X12" s="210"/>
      <c r="Y12" s="210"/>
      <c r="Z12" s="210"/>
    </row>
    <row r="13">
      <c r="A13" s="412" t="s">
        <v>7351</v>
      </c>
      <c r="B13" s="214" t="s">
        <v>7352</v>
      </c>
      <c r="C13" s="412" t="s">
        <v>7353</v>
      </c>
      <c r="D13" s="214" t="s">
        <v>7354</v>
      </c>
      <c r="E13" s="412" t="s">
        <v>7355</v>
      </c>
      <c r="F13" s="214" t="s">
        <v>7356</v>
      </c>
      <c r="G13" s="412" t="str">
        <f>IFERROR(__xludf.DUMMYFUNCTION("GOOGLETRANSLATE(A13,""zh-tw"",""zh"")"),"棒球棍")</f>
        <v>棒球棍</v>
      </c>
      <c r="H13" s="214" t="str">
        <f>IFERROR(__xludf.DUMMYFUNCTION("GOOGLETRANSLATE(B13,""zh-tw"",""zh"")"),"物攻：20
反弹抛射物")</f>
        <v>物攻：20
反弹抛射物</v>
      </c>
      <c r="I13" s="411" t="s">
        <v>7357</v>
      </c>
      <c r="J13" s="210" t="str">
        <f>IFERROR(__xludf.DUMMYFUNCTION("GOOGLETRANSLATE(B13,""zh-tw"",""es-MX"")"),"Ataque físico: 20 Refleja proyectiles")</f>
        <v>Ataque físico: 20 Refleja proyectiles</v>
      </c>
      <c r="K13" s="411" t="s">
        <v>7358</v>
      </c>
      <c r="L13" s="177" t="s">
        <v>7359</v>
      </c>
      <c r="M13" s="412" t="s">
        <v>7360</v>
      </c>
      <c r="N13" s="214" t="s">
        <v>7361</v>
      </c>
      <c r="O13" s="412" t="s">
        <v>7362</v>
      </c>
      <c r="P13" s="214" t="s">
        <v>7363</v>
      </c>
      <c r="Q13" s="417" t="s">
        <v>7364</v>
      </c>
      <c r="R13" s="414" t="s">
        <v>7365</v>
      </c>
      <c r="S13" s="209" t="s">
        <v>7366</v>
      </c>
      <c r="T13" s="210" t="s">
        <v>7367</v>
      </c>
      <c r="U13" s="209"/>
      <c r="V13" s="210"/>
      <c r="W13" s="210"/>
      <c r="X13" s="210"/>
      <c r="Y13" s="210"/>
      <c r="Z13" s="210"/>
    </row>
    <row r="14">
      <c r="A14" s="411" t="s">
        <v>7368</v>
      </c>
      <c r="B14" s="177" t="s">
        <v>7369</v>
      </c>
      <c r="C14" s="411" t="s">
        <v>4576</v>
      </c>
      <c r="D14" s="177" t="s">
        <v>7370</v>
      </c>
      <c r="E14" s="411" t="s">
        <v>7371</v>
      </c>
      <c r="F14" s="177" t="s">
        <v>7372</v>
      </c>
      <c r="G14" s="412" t="str">
        <f>IFERROR(__xludf.DUMMYFUNCTION("GOOGLETRANSLATE(A14,""zh-tw"",""zh"")"),"生锈的铁剑")</f>
        <v>生锈的铁剑</v>
      </c>
      <c r="H14" s="214" t="str">
        <f>IFERROR(__xludf.DUMMYFUNCTION("GOOGLETRANSLATE(B14,""zh-tw"",""zh"")"),"物攻：15
机率附加中毒、出血必定中毒")</f>
        <v>物攻：15
机率附加中毒、出血必定中毒</v>
      </c>
      <c r="I14" s="411" t="s">
        <v>7373</v>
      </c>
      <c r="J14" s="210" t="str">
        <f>IFERROR(__xludf.DUMMYFUNCTION("GOOGLETRANSLATE(B14,""zh-tw"",""es-MX"")"),"Ataque físico: 15% de probabilidad de infligir veneno o sangrado; el envenenamiento está garantizado.")</f>
        <v>Ataque físico: 15% de probabilidad de infligir veneno o sangrado; el envenenamiento está garantizado.</v>
      </c>
      <c r="K14" s="415" t="str">
        <f>IFERROR(__xludf.DUMMYFUNCTION("GOOGLETRANSLATE(A14,""zh-tw"",""KO"")"),"녹슨 철검")</f>
        <v>녹슨 철검</v>
      </c>
      <c r="L14" s="210" t="str">
        <f>IFERROR(__xludf.DUMMYFUNCTION("GOOGLETRANSLATE(B14,""zh-tw"",""KO"")"),"물리 공격: 15% 확률로 독 또는 출혈 효과를 부여합니다. 독 효과는 반드시 부여됩니다.")</f>
        <v>물리 공격: 15% 확률로 독 또는 출혈 효과를 부여합니다. 독 효과는 반드시 부여됩니다.</v>
      </c>
      <c r="M14" s="412" t="s">
        <v>7374</v>
      </c>
      <c r="N14" s="214" t="s">
        <v>7375</v>
      </c>
      <c r="O14" s="411" t="s">
        <v>7376</v>
      </c>
      <c r="P14" s="177" t="s">
        <v>7377</v>
      </c>
      <c r="Q14" s="417" t="s">
        <v>7378</v>
      </c>
      <c r="R14" s="414" t="s">
        <v>7379</v>
      </c>
      <c r="S14" s="209" t="s">
        <v>7380</v>
      </c>
      <c r="T14" s="210" t="s">
        <v>7381</v>
      </c>
      <c r="U14" s="209"/>
      <c r="V14" s="210"/>
      <c r="W14" s="210"/>
      <c r="X14" s="210"/>
      <c r="Y14" s="210"/>
      <c r="Z14" s="210"/>
    </row>
    <row r="15">
      <c r="A15" s="411" t="s">
        <v>7382</v>
      </c>
      <c r="B15" s="177" t="s">
        <v>7383</v>
      </c>
      <c r="C15" s="411" t="s">
        <v>7384</v>
      </c>
      <c r="D15" s="177" t="s">
        <v>7385</v>
      </c>
      <c r="E15" s="411" t="s">
        <v>7386</v>
      </c>
      <c r="F15" s="177" t="s">
        <v>7387</v>
      </c>
      <c r="G15" s="412" t="str">
        <f>IFERROR(__xludf.DUMMYFUNCTION("GOOGLETRANSLATE(A15,""zh-tw"",""zh"")"),"锻造锤")</f>
        <v>锻造锤</v>
      </c>
      <c r="H15" s="214" t="str">
        <f>IFERROR(__xludf.DUMMYFUNCTION("GOOGLETRANSLATE(B15,""zh-tw"",""zh"")"),"物攻：6
锻造用途，详情于TIPS")</f>
        <v>物攻：6
锻造用途，详情于TIPS</v>
      </c>
      <c r="I15" s="411" t="s">
        <v>7388</v>
      </c>
      <c r="J15" s="210" t="str">
        <f>IFERROR(__xludf.DUMMYFUNCTION("GOOGLETRANSLATE(B15,""zh-tw"",""es-MX"")"),"Ataque físico: 6. Usos de forja, consulte CONSEJOS para obtener más detalles.")</f>
        <v>Ataque físico: 6. Usos de forja, consulte CONSEJOS para obtener más detalles.</v>
      </c>
      <c r="K15" s="415" t="str">
        <f>IFERROR(__xludf.DUMMYFUNCTION("GOOGLETRANSLATE(A15,""zh-tw"",""KO"")"),"단조 망치")</f>
        <v>단조 망치</v>
      </c>
      <c r="L15" s="210" t="str">
        <f>IFERROR(__xludf.DUMMYFUNCTION("GOOGLETRANSLATE(B15,""zh-tw"",""KO"")"),"물리 공격력: 6. 단조 사용에 대한 자세한 내용은 팁을 참조하세요.")</f>
        <v>물리 공격력: 6. 단조 사용에 대한 자세한 내용은 팁을 참조하세요.</v>
      </c>
      <c r="M15" s="412" t="s">
        <v>7389</v>
      </c>
      <c r="N15" s="214" t="s">
        <v>7390</v>
      </c>
      <c r="O15" s="411" t="s">
        <v>7391</v>
      </c>
      <c r="P15" s="177" t="s">
        <v>7392</v>
      </c>
      <c r="Q15" s="417" t="s">
        <v>7393</v>
      </c>
      <c r="R15" s="414" t="s">
        <v>7394</v>
      </c>
      <c r="S15" s="209" t="s">
        <v>7395</v>
      </c>
      <c r="T15" s="210" t="s">
        <v>7396</v>
      </c>
      <c r="U15" s="209"/>
      <c r="V15" s="210"/>
      <c r="W15" s="210"/>
      <c r="X15" s="210"/>
      <c r="Y15" s="210"/>
      <c r="Z15" s="210"/>
    </row>
    <row r="16">
      <c r="A16" s="412" t="s">
        <v>7397</v>
      </c>
      <c r="B16" s="214" t="s">
        <v>7398</v>
      </c>
      <c r="C16" s="412" t="s">
        <v>7399</v>
      </c>
      <c r="D16" s="214" t="s">
        <v>7400</v>
      </c>
      <c r="E16" s="412" t="s">
        <v>7401</v>
      </c>
      <c r="F16" s="214" t="s">
        <v>7402</v>
      </c>
      <c r="G16" s="412" t="str">
        <f>IFERROR(__xludf.DUMMYFUNCTION("GOOGLETRANSLATE(A16,""zh-tw"",""zh"")"),"木弓")</f>
        <v>木弓</v>
      </c>
      <c r="H16" s="214" t="str">
        <f>IFERROR(__xludf.DUMMYFUNCTION("GOOGLETRANSLATE(B16,""zh-tw"",""zh"")"),"物攻：20
穿透(伤害递减)")</f>
        <v>物攻：20
穿透(伤害递减)</v>
      </c>
      <c r="I16" s="411" t="s">
        <v>7403</v>
      </c>
      <c r="J16" s="210" t="str">
        <f>IFERROR(__xludf.DUMMYFUNCTION("GOOGLETRANSLATE(B16,""zh-tw"",""es-MX"")"),"Ataque físico: 20 de penetración (daño decreciente)")</f>
        <v>Ataque físico: 20 de penetración (daño decreciente)</v>
      </c>
      <c r="K16" s="415" t="str">
        <f>IFERROR(__xludf.DUMMYFUNCTION("GOOGLETRANSLATE(A16,""zh-tw"",""KO"")"),"나무 활")</f>
        <v>나무 활</v>
      </c>
      <c r="L16" s="210" t="str">
        <f>IFERROR(__xludf.DUMMYFUNCTION("GOOGLETRANSLATE(B16,""zh-tw"",""KO"")"),"물리 공격: 관통력 20 (피해량 감소)")</f>
        <v>물리 공격: 관통력 20 (피해량 감소)</v>
      </c>
      <c r="M16" s="412" t="s">
        <v>7404</v>
      </c>
      <c r="N16" s="214" t="s">
        <v>7405</v>
      </c>
      <c r="O16" s="412" t="s">
        <v>7406</v>
      </c>
      <c r="P16" s="214" t="s">
        <v>7407</v>
      </c>
      <c r="Q16" s="413" t="s">
        <v>7408</v>
      </c>
      <c r="R16" s="414" t="s">
        <v>7409</v>
      </c>
      <c r="S16" s="209" t="s">
        <v>7410</v>
      </c>
      <c r="T16" s="210" t="s">
        <v>7411</v>
      </c>
      <c r="U16" s="209"/>
      <c r="V16" s="210"/>
      <c r="W16" s="210"/>
      <c r="X16" s="210"/>
      <c r="Y16" s="210"/>
      <c r="Z16" s="210"/>
    </row>
    <row r="17">
      <c r="A17" s="172" t="s">
        <v>7412</v>
      </c>
      <c r="C17" s="172" t="s">
        <v>7413</v>
      </c>
      <c r="E17" s="172" t="s">
        <v>7414</v>
      </c>
      <c r="G17" s="172" t="s">
        <v>7415</v>
      </c>
      <c r="I17" s="172"/>
      <c r="K17" s="172"/>
      <c r="M17" s="172" t="s">
        <v>7416</v>
      </c>
      <c r="O17" s="172"/>
      <c r="Q17" s="175" t="s">
        <v>7417</v>
      </c>
      <c r="S17" s="172" t="s">
        <v>7418</v>
      </c>
      <c r="U17" s="172"/>
      <c r="W17" s="210"/>
      <c r="X17" s="210"/>
      <c r="Y17" s="210"/>
      <c r="Z17" s="210"/>
    </row>
    <row r="18">
      <c r="A18" s="412" t="s">
        <v>6834</v>
      </c>
      <c r="B18" s="214" t="s">
        <v>7419</v>
      </c>
      <c r="C18" s="412" t="s">
        <v>7420</v>
      </c>
      <c r="D18" s="214" t="s">
        <v>7421</v>
      </c>
      <c r="E18" s="412" t="s">
        <v>6837</v>
      </c>
      <c r="F18" s="214" t="s">
        <v>7422</v>
      </c>
      <c r="G18" s="412" t="str">
        <f>IFERROR(__xludf.DUMMYFUNCTION("GOOGLETRANSLATE(A18,""zh-tw"",""zh"")"),"骑士之剑")</f>
        <v>骑士之剑</v>
      </c>
      <c r="H18" s="214" t="str">
        <f>IFERROR(__xludf.DUMMYFUNCTION("GOOGLETRANSLATE(B18,""zh-tw"",""zh"")"),"物攻：30
满足条件后翻倍")</f>
        <v>物攻：30
满足条件后翻倍</v>
      </c>
      <c r="I18" s="411" t="s">
        <v>7423</v>
      </c>
      <c r="J18" s="210" t="str">
        <f>IFERROR(__xludf.DUMMYFUNCTION("GOOGLETRANSLATE(B18,""zh-tw"",""es-MX"")"),"Ataque físico: 30 (Se duplica al cumplir ciertas condiciones)")</f>
        <v>Ataque físico: 30 (Se duplica al cumplir ciertas condiciones)</v>
      </c>
      <c r="K18" s="415" t="str">
        <f>IFERROR(__xludf.DUMMYFUNCTION("GOOGLETRANSLATE(A18,""zh-tw"",""KO"")"),"기사의 검")</f>
        <v>기사의 검</v>
      </c>
      <c r="L18" s="177" t="s">
        <v>7424</v>
      </c>
      <c r="M18" s="412" t="s">
        <v>6841</v>
      </c>
      <c r="N18" s="214" t="s">
        <v>7425</v>
      </c>
      <c r="O18" s="412" t="s">
        <v>6843</v>
      </c>
      <c r="P18" s="214" t="s">
        <v>7426</v>
      </c>
      <c r="Q18" s="413" t="s">
        <v>6846</v>
      </c>
      <c r="R18" s="414" t="s">
        <v>7427</v>
      </c>
      <c r="S18" s="209" t="s">
        <v>6848</v>
      </c>
      <c r="T18" s="210" t="s">
        <v>7428</v>
      </c>
      <c r="U18" s="209"/>
      <c r="V18" s="210"/>
      <c r="W18" s="210"/>
      <c r="X18" s="210"/>
      <c r="Y18" s="210"/>
      <c r="Z18" s="210"/>
    </row>
    <row r="19">
      <c r="A19" s="412" t="s">
        <v>7429</v>
      </c>
      <c r="B19" s="214" t="s">
        <v>7430</v>
      </c>
      <c r="C19" s="412" t="s">
        <v>7431</v>
      </c>
      <c r="D19" s="214" t="s">
        <v>7432</v>
      </c>
      <c r="E19" s="412" t="s">
        <v>7433</v>
      </c>
      <c r="F19" s="214" t="s">
        <v>7434</v>
      </c>
      <c r="G19" s="412" t="str">
        <f>IFERROR(__xludf.DUMMYFUNCTION("GOOGLETRANSLATE(A19,""zh-tw"",""zh"")"),"臭鱼骨")</f>
        <v>臭鱼骨</v>
      </c>
      <c r="H19" s="214" t="str">
        <f>IFERROR(__xludf.DUMMYFUNCTION("GOOGLETRANSLATE(B19,""zh-tw"",""zh"")"),"物攻：14
散发恶臭")</f>
        <v>物攻：14
散发恶臭</v>
      </c>
      <c r="I19" s="411" t="s">
        <v>7435</v>
      </c>
      <c r="J19" s="210" t="str">
        <f>IFERROR(__xludf.DUMMYFUNCTION("GOOGLETRANSLATE(B19,""zh-tw"",""es-MX"")"),"Ataque físico: 14 Emite un hedor repugnante")</f>
        <v>Ataque físico: 14 Emite un hedor repugnante</v>
      </c>
      <c r="K19" s="415" t="str">
        <f>IFERROR(__xludf.DUMMYFUNCTION("GOOGLETRANSLATE(A19,""zh-tw"",""KO"")"),"냄새나는 생선 뼈")</f>
        <v>냄새나는 생선 뼈</v>
      </c>
      <c r="L19" s="177" t="s">
        <v>7436</v>
      </c>
      <c r="M19" s="412" t="s">
        <v>7437</v>
      </c>
      <c r="N19" s="214" t="s">
        <v>7438</v>
      </c>
      <c r="O19" s="412" t="s">
        <v>7439</v>
      </c>
      <c r="P19" s="214" t="s">
        <v>7440</v>
      </c>
      <c r="Q19" s="417" t="s">
        <v>7441</v>
      </c>
      <c r="R19" s="414" t="s">
        <v>7442</v>
      </c>
      <c r="S19" s="209" t="s">
        <v>7443</v>
      </c>
      <c r="T19" s="210" t="s">
        <v>7444</v>
      </c>
      <c r="U19" s="209"/>
      <c r="V19" s="210"/>
      <c r="W19" s="210"/>
      <c r="X19" s="210"/>
      <c r="Y19" s="210"/>
      <c r="Z19" s="210"/>
    </row>
    <row r="20">
      <c r="A20" s="412" t="s">
        <v>7445</v>
      </c>
      <c r="B20" s="214" t="s">
        <v>7446</v>
      </c>
      <c r="C20" s="412" t="s">
        <v>7445</v>
      </c>
      <c r="D20" s="214" t="s">
        <v>7447</v>
      </c>
      <c r="E20" s="412" t="s">
        <v>7448</v>
      </c>
      <c r="F20" s="214" t="s">
        <v>7449</v>
      </c>
      <c r="G20" s="412" t="str">
        <f>IFERROR(__xludf.DUMMYFUNCTION("GOOGLETRANSLATE(A20,""zh-tw"",""zh"")"),"阳炎")</f>
        <v>阳炎</v>
      </c>
      <c r="H20" s="214" t="str">
        <f>IFERROR(__xludf.DUMMYFUNCTION("GOOGLETRANSLATE(B20,""zh-tw"",""zh"")"),"物攻：24
魔攻：16
炎属性")</f>
        <v>物攻：24
魔攻：16
炎属性</v>
      </c>
      <c r="I20" s="411" t="s">
        <v>7450</v>
      </c>
      <c r="J20" s="210" t="str">
        <f>IFERROR(__xludf.DUMMYFUNCTION("GOOGLETRANSLATE(B20,""zh-tw"",""es-MX"")"),"Ataque físico: 24
Ataque mágico: 16
Atributo fuego")</f>
        <v>Ataque físico: 24
Ataque mágico: 16
Atributo fuego</v>
      </c>
      <c r="K20" s="412" t="s">
        <v>7451</v>
      </c>
      <c r="L20" s="177" t="s">
        <v>7452</v>
      </c>
      <c r="M20" s="412" t="s">
        <v>7453</v>
      </c>
      <c r="N20" s="214" t="s">
        <v>7454</v>
      </c>
      <c r="O20" s="412" t="s">
        <v>7455</v>
      </c>
      <c r="P20" s="214" t="s">
        <v>7456</v>
      </c>
      <c r="Q20" s="413" t="s">
        <v>7457</v>
      </c>
      <c r="R20" s="418" t="s">
        <v>7458</v>
      </c>
      <c r="S20" s="209" t="s">
        <v>7459</v>
      </c>
      <c r="T20" s="210" t="s">
        <v>7460</v>
      </c>
      <c r="U20" s="209"/>
      <c r="V20" s="210"/>
      <c r="W20" s="210"/>
      <c r="X20" s="210"/>
      <c r="Y20" s="210"/>
      <c r="Z20" s="210"/>
    </row>
    <row r="21">
      <c r="A21" s="412" t="s">
        <v>7461</v>
      </c>
      <c r="B21" s="214" t="s">
        <v>7462</v>
      </c>
      <c r="C21" s="412" t="s">
        <v>7461</v>
      </c>
      <c r="D21" s="214" t="s">
        <v>7463</v>
      </c>
      <c r="E21" s="412" t="s">
        <v>7464</v>
      </c>
      <c r="F21" s="214" t="s">
        <v>7465</v>
      </c>
      <c r="G21" s="412" t="str">
        <f>IFERROR(__xludf.DUMMYFUNCTION("GOOGLETRANSLATE(A21,""zh-tw"",""zh"")"),"霜月")</f>
        <v>霜月</v>
      </c>
      <c r="H21" s="214" t="str">
        <f>IFERROR(__xludf.DUMMYFUNCTION("GOOGLETRANSLATE(B21,""zh-tw"",""zh"")"),"物攻：20
魔攻：14
冰属性")</f>
        <v>物攻：20
魔攻：14
冰属性</v>
      </c>
      <c r="I21" s="411" t="s">
        <v>7466</v>
      </c>
      <c r="J21" s="210" t="str">
        <f>IFERROR(__xludf.DUMMYFUNCTION("GOOGLETRANSLATE(B21,""zh-tw"",""es-MX"")"),"Ataque físico: 20
Ataque mágico: 14
Atributo hielo")</f>
        <v>Ataque físico: 20
Ataque mágico: 14
Atributo hielo</v>
      </c>
      <c r="K21" s="411" t="s">
        <v>7467</v>
      </c>
      <c r="L21" s="177" t="s">
        <v>7468</v>
      </c>
      <c r="M21" s="412" t="s">
        <v>7469</v>
      </c>
      <c r="N21" s="214" t="s">
        <v>7470</v>
      </c>
      <c r="O21" s="412" t="s">
        <v>7471</v>
      </c>
      <c r="P21" s="214" t="s">
        <v>7472</v>
      </c>
      <c r="Q21" s="413" t="s">
        <v>7473</v>
      </c>
      <c r="R21" s="414" t="s">
        <v>7474</v>
      </c>
      <c r="S21" s="209" t="s">
        <v>7475</v>
      </c>
      <c r="T21" s="210" t="s">
        <v>7476</v>
      </c>
      <c r="U21" s="209"/>
      <c r="V21" s="210"/>
      <c r="W21" s="210"/>
      <c r="X21" s="210"/>
      <c r="Y21" s="210"/>
      <c r="Z21" s="210"/>
    </row>
    <row r="22">
      <c r="A22" s="412" t="s">
        <v>7477</v>
      </c>
      <c r="B22" s="214" t="s">
        <v>7478</v>
      </c>
      <c r="C22" s="412" t="s">
        <v>7479</v>
      </c>
      <c r="D22" s="214" t="s">
        <v>7480</v>
      </c>
      <c r="E22" s="412" t="s">
        <v>7481</v>
      </c>
      <c r="F22" s="214" t="s">
        <v>7482</v>
      </c>
      <c r="G22" s="412" t="str">
        <f>IFERROR(__xludf.DUMMYFUNCTION("GOOGLETRANSLATE(A22,""zh-tw"",""zh"")"),"会漏电的不良品")</f>
        <v>会漏电的不良品</v>
      </c>
      <c r="H22" s="214" t="str">
        <f>IFERROR(__xludf.DUMMYFUNCTION("GOOGLETRANSLATE(B22,""zh-tw"",""zh"")"),"物攻：28
魔攻：12
电属性")</f>
        <v>物攻：28
魔攻：12
电属性</v>
      </c>
      <c r="I22" s="411" t="s">
        <v>7483</v>
      </c>
      <c r="J22" s="210" t="str">
        <f>IFERROR(__xludf.DUMMYFUNCTION("GOOGLETRANSLATE(B22,""zh-tw"",""es-MX"")"),"Ataque físico: 28
Ataque mágico: 12
Atributo eléctrico")</f>
        <v>Ataque físico: 28
Ataque mágico: 12
Atributo eléctrico</v>
      </c>
      <c r="K22" s="411" t="s">
        <v>7484</v>
      </c>
      <c r="L22" s="210" t="str">
        <f>IFERROR(__xludf.DUMMYFUNCTION("GOOGLETRANSLATE(B22,""zh-tw"",""KO"")"),"물리 공격력: 28
마법 공격력: 12
속성: 전기")</f>
        <v>물리 공격력: 28
마법 공격력: 12
속성: 전기</v>
      </c>
      <c r="M22" s="412" t="s">
        <v>7485</v>
      </c>
      <c r="N22" s="214" t="s">
        <v>7486</v>
      </c>
      <c r="O22" s="412" t="s">
        <v>7487</v>
      </c>
      <c r="P22" s="214" t="s">
        <v>7488</v>
      </c>
      <c r="Q22" s="417" t="s">
        <v>7489</v>
      </c>
      <c r="R22" s="418" t="s">
        <v>7490</v>
      </c>
      <c r="S22" s="209" t="s">
        <v>7491</v>
      </c>
      <c r="T22" s="210" t="s">
        <v>7492</v>
      </c>
      <c r="U22" s="209"/>
      <c r="V22" s="210"/>
      <c r="W22" s="210"/>
      <c r="X22" s="210"/>
      <c r="Y22" s="210"/>
      <c r="Z22" s="210"/>
    </row>
    <row r="23">
      <c r="A23" s="412" t="s">
        <v>7493</v>
      </c>
      <c r="B23" s="214" t="s">
        <v>7494</v>
      </c>
      <c r="C23" s="412" t="s">
        <v>7495</v>
      </c>
      <c r="D23" s="214" t="s">
        <v>7496</v>
      </c>
      <c r="E23" s="412" t="s">
        <v>7497</v>
      </c>
      <c r="F23" s="214" t="s">
        <v>7498</v>
      </c>
      <c r="G23" s="412" t="str">
        <f>IFERROR(__xludf.DUMMYFUNCTION("GOOGLETRANSLATE(A23,""zh-tw"",""zh"")"),"毒孢针")</f>
        <v>毒孢针</v>
      </c>
      <c r="H23" s="214" t="str">
        <f>IFERROR(__xludf.DUMMYFUNCTION("GOOGLETRANSLATE(B23,""zh-tw"",""zh"")"),"物攻：14
毒属性")</f>
        <v>物攻：14
毒属性</v>
      </c>
      <c r="I23" s="411" t="s">
        <v>7499</v>
      </c>
      <c r="J23" s="210" t="str">
        <f>IFERROR(__xludf.DUMMYFUNCTION("GOOGLETRANSLATE(B23,""zh-tw"",""es-MX"")"),"Ataque físico: 14 Atributo de veneno")</f>
        <v>Ataque físico: 14 Atributo de veneno</v>
      </c>
      <c r="K23" s="411" t="s">
        <v>7500</v>
      </c>
      <c r="L23" s="210" t="str">
        <f>IFERROR(__xludf.DUMMYFUNCTION("GOOGLETRANSLATE(B23,""zh-tw"",""KO"")"),"물리 공격력: 14 독 속성")</f>
        <v>물리 공격력: 14 독 속성</v>
      </c>
      <c r="M23" s="412" t="s">
        <v>7501</v>
      </c>
      <c r="N23" s="214" t="s">
        <v>7502</v>
      </c>
      <c r="O23" s="412" t="s">
        <v>7503</v>
      </c>
      <c r="P23" s="214" t="s">
        <v>7504</v>
      </c>
      <c r="Q23" s="413" t="s">
        <v>7505</v>
      </c>
      <c r="R23" s="414" t="s">
        <v>7506</v>
      </c>
      <c r="S23" s="209" t="s">
        <v>7507</v>
      </c>
      <c r="T23" s="210" t="s">
        <v>7508</v>
      </c>
      <c r="U23" s="209"/>
      <c r="V23" s="210"/>
      <c r="W23" s="210"/>
      <c r="X23" s="210"/>
      <c r="Y23" s="210"/>
      <c r="Z23" s="210"/>
    </row>
    <row r="24">
      <c r="A24" s="412" t="s">
        <v>7509</v>
      </c>
      <c r="B24" s="214" t="s">
        <v>7510</v>
      </c>
      <c r="C24" s="412" t="s">
        <v>7511</v>
      </c>
      <c r="D24" s="214" t="s">
        <v>7512</v>
      </c>
      <c r="E24" s="412" t="s">
        <v>7513</v>
      </c>
      <c r="F24" s="214" t="s">
        <v>7514</v>
      </c>
      <c r="G24" s="412" t="str">
        <f>IFERROR(__xludf.DUMMYFUNCTION("GOOGLETRANSLATE(A24,""zh-tw"",""zh"")"),"银辉大剑")</f>
        <v>银辉大剑</v>
      </c>
      <c r="H24" s="214" t="str">
        <f>IFERROR(__xludf.DUMMYFUNCTION("GOOGLETRANSLATE(B24,""zh-tw"",""zh"")"),"物攻：48
魔抗：20
满足条件类型武器")</f>
        <v>物攻：48
魔抗：20
满足条件类型武器</v>
      </c>
      <c r="I24" s="411" t="s">
        <v>7515</v>
      </c>
      <c r="J24" s="210" t="str">
        <f>IFERROR(__xludf.DUMMYFUNCTION("GOOGLETRANSLATE(B24,""zh-tw"",""es-MX"")"),"Ataque físico: 48
Resistencia mágica: 20
Tipo de arma que cumple los requisitos")</f>
        <v>Ataque físico: 48
Resistencia mágica: 20
Tipo de arma que cumple los requisitos</v>
      </c>
      <c r="K24" s="411" t="s">
        <v>7516</v>
      </c>
      <c r="L24" s="210" t="str">
        <f>IFERROR(__xludf.DUMMYFUNCTION("GOOGLETRANSLATE(B24,""zh-tw"",""KO"")"),"물리 공격력: 48
마법 저항력: 20
요구 조건을 충족하는 무기 유형")</f>
        <v>물리 공격력: 48
마법 저항력: 20
요구 조건을 충족하는 무기 유형</v>
      </c>
      <c r="M24" s="412" t="s">
        <v>7517</v>
      </c>
      <c r="N24" s="214" t="s">
        <v>7518</v>
      </c>
      <c r="O24" s="412" t="s">
        <v>7519</v>
      </c>
      <c r="P24" s="214" t="s">
        <v>7520</v>
      </c>
      <c r="Q24" s="417" t="s">
        <v>7521</v>
      </c>
      <c r="R24" s="414" t="s">
        <v>7522</v>
      </c>
      <c r="S24" s="209" t="s">
        <v>7523</v>
      </c>
      <c r="T24" s="210" t="s">
        <v>7524</v>
      </c>
      <c r="U24" s="209"/>
      <c r="V24" s="210"/>
      <c r="W24" s="210"/>
      <c r="X24" s="210"/>
      <c r="Y24" s="210"/>
      <c r="Z24" s="210"/>
    </row>
    <row r="25">
      <c r="A25" s="412" t="s">
        <v>7525</v>
      </c>
      <c r="B25" s="214" t="s">
        <v>7526</v>
      </c>
      <c r="C25" s="412" t="s">
        <v>7527</v>
      </c>
      <c r="D25" s="214" t="s">
        <v>7528</v>
      </c>
      <c r="E25" s="412" t="s">
        <v>7529</v>
      </c>
      <c r="F25" s="214" t="s">
        <v>7530</v>
      </c>
      <c r="G25" s="412" t="str">
        <f>IFERROR(__xludf.DUMMYFUNCTION("GOOGLETRANSLATE(A25,""zh-tw"",""zh"")"),"甜筒大剑")</f>
        <v>甜筒大剑</v>
      </c>
      <c r="H25" s="214" t="str">
        <f>IFERROR(__xludf.DUMMYFUNCTION("GOOGLETRANSLATE(B25,""zh-tw"",""zh"")"),"物攻：1
累计伤害型武器")</f>
        <v>物攻：1
累计伤害型武器</v>
      </c>
      <c r="I25" s="411" t="s">
        <v>7531</v>
      </c>
      <c r="J25" s="210" t="str">
        <f>IFERROR(__xludf.DUMMYFUNCTION("GOOGLETRANSLATE(B25,""zh-tw"",""es-MX"")"),"Ataque físico: 1 de daño acumulativo Arma")</f>
        <v>Ataque físico: 1 de daño acumulativo Arma</v>
      </c>
      <c r="K25" s="415" t="str">
        <f>IFERROR(__xludf.DUMMYFUNCTION("GOOGLETRANSLATE(A25,""zh-tw"",""KO"")"),"아이스크림 콘 검")</f>
        <v>아이스크림 콘 검</v>
      </c>
      <c r="L25" s="210" t="str">
        <f>IFERROR(__xludf.DUMMYFUNCTION("GOOGLETRANSLATE(B25,""zh-tw"",""KO"")"),"물리 공격: 누적 피해량 1 무기")</f>
        <v>물리 공격: 누적 피해량 1 무기</v>
      </c>
      <c r="M25" s="412" t="s">
        <v>7532</v>
      </c>
      <c r="N25" s="214" t="s">
        <v>7533</v>
      </c>
      <c r="O25" s="412" t="s">
        <v>7534</v>
      </c>
      <c r="P25" s="214" t="s">
        <v>7535</v>
      </c>
      <c r="Q25" s="417" t="s">
        <v>7536</v>
      </c>
      <c r="R25" s="414" t="s">
        <v>7537</v>
      </c>
      <c r="S25" s="209" t="s">
        <v>7538</v>
      </c>
      <c r="T25" s="210" t="s">
        <v>7539</v>
      </c>
      <c r="U25" s="209"/>
      <c r="V25" s="210"/>
      <c r="W25" s="210"/>
      <c r="X25" s="210"/>
      <c r="Y25" s="210"/>
      <c r="Z25" s="210"/>
    </row>
    <row r="26">
      <c r="A26" s="411" t="s">
        <v>7540</v>
      </c>
      <c r="B26" s="177" t="s">
        <v>7526</v>
      </c>
      <c r="C26" s="411" t="s">
        <v>7541</v>
      </c>
      <c r="D26" s="177" t="s">
        <v>7542</v>
      </c>
      <c r="E26" s="411" t="s">
        <v>7543</v>
      </c>
      <c r="F26" s="177" t="s">
        <v>7544</v>
      </c>
      <c r="G26" s="411" t="s">
        <v>7540</v>
      </c>
      <c r="H26" s="177" t="s">
        <v>7545</v>
      </c>
      <c r="I26" s="415"/>
      <c r="J26" s="210"/>
      <c r="K26" s="411" t="s">
        <v>7546</v>
      </c>
      <c r="L26" s="177" t="s">
        <v>7547</v>
      </c>
      <c r="M26" s="412" t="s">
        <v>7548</v>
      </c>
      <c r="N26" s="214" t="s">
        <v>7533</v>
      </c>
      <c r="O26" s="415"/>
      <c r="P26" s="210"/>
      <c r="Q26" s="419" t="s">
        <v>7549</v>
      </c>
      <c r="R26" s="420" t="s">
        <v>7550</v>
      </c>
      <c r="S26" s="176" t="s">
        <v>7551</v>
      </c>
      <c r="T26" s="177" t="s">
        <v>7552</v>
      </c>
      <c r="U26" s="176"/>
      <c r="V26" s="177"/>
      <c r="W26" s="210"/>
      <c r="X26" s="210"/>
      <c r="Y26" s="210"/>
      <c r="Z26" s="210"/>
    </row>
    <row r="27">
      <c r="A27" s="411" t="s">
        <v>7553</v>
      </c>
      <c r="B27" s="177" t="s">
        <v>7554</v>
      </c>
      <c r="C27" s="411" t="s">
        <v>7555</v>
      </c>
      <c r="D27" s="177" t="s">
        <v>7556</v>
      </c>
      <c r="E27" s="411" t="s">
        <v>5826</v>
      </c>
      <c r="F27" s="177" t="s">
        <v>7557</v>
      </c>
      <c r="G27" s="412" t="str">
        <f>IFERROR(__xludf.DUMMYFUNCTION("GOOGLETRANSLATE(A27,""zh-tw"",""zh"")"),"冻萝卜大剑")</f>
        <v>冻萝卜大剑</v>
      </c>
      <c r="H27" s="214" t="str">
        <f>IFERROR(__xludf.DUMMYFUNCTION("GOOGLETRANSLATE(B27,""zh-tw"",""zh"")"),"物攻：26
物防：2
冻结效果
投掷穿刺效果")</f>
        <v>物攻：26
物防：2
冻结效果
投掷穿刺效果</v>
      </c>
      <c r="I27" s="411" t="s">
        <v>7558</v>
      </c>
      <c r="J27" s="210" t="str">
        <f>IFERROR(__xludf.DUMMYFUNCTION("GOOGLETRANSLATE(B27,""zh-tw"",""es-MX"")"),"Ataque físico: 26
Defensa física: 2
Efecto de congelación
Efecto de perforación al lanzar")</f>
        <v>Ataque físico: 26
Defensa física: 2
Efecto de congelación
Efecto de perforación al lanzar</v>
      </c>
      <c r="K27" s="415" t="str">
        <f>IFERROR(__xludf.DUMMYFUNCTION("GOOGLETRANSLATE(A27,""zh-tw"",""KO"")"),"얼린 무 검")</f>
        <v>얼린 무 검</v>
      </c>
      <c r="L27" s="210" t="str">
        <f>IFERROR(__xludf.DUMMYFUNCTION("GOOGLETRANSLATE(B27,""zh-tw"",""KO"")"),"물리 공격력: 26
물리 방어력: 2
빙결 효과
투척 관통 효과")</f>
        <v>물리 공격력: 26
물리 방어력: 2
빙결 효과
투척 관통 효과</v>
      </c>
      <c r="M27" s="412" t="s">
        <v>5831</v>
      </c>
      <c r="N27" s="214" t="s">
        <v>7559</v>
      </c>
      <c r="O27" s="411" t="s">
        <v>5833</v>
      </c>
      <c r="P27" s="177" t="s">
        <v>7560</v>
      </c>
      <c r="Q27" s="147" t="s">
        <v>7561</v>
      </c>
      <c r="R27" s="392" t="s">
        <v>7562</v>
      </c>
      <c r="S27" s="209" t="s">
        <v>7563</v>
      </c>
      <c r="T27" s="210" t="s">
        <v>7564</v>
      </c>
      <c r="U27" s="209"/>
      <c r="V27" s="210"/>
      <c r="W27" s="210"/>
      <c r="X27" s="210"/>
      <c r="Y27" s="210"/>
      <c r="Z27" s="210"/>
    </row>
    <row r="28">
      <c r="A28" s="411" t="s">
        <v>7565</v>
      </c>
      <c r="B28" s="177" t="s">
        <v>7566</v>
      </c>
      <c r="C28" s="411" t="s">
        <v>7567</v>
      </c>
      <c r="D28" s="177" t="s">
        <v>7568</v>
      </c>
      <c r="E28" s="411" t="s">
        <v>7569</v>
      </c>
      <c r="F28" s="177" t="s">
        <v>7570</v>
      </c>
      <c r="G28" s="412" t="str">
        <f>IFERROR(__xludf.DUMMYFUNCTION("GOOGLETRANSLATE(A28,""zh-tw"",""zh"")"),"霉萝卜大剑")</f>
        <v>霉萝卜大剑</v>
      </c>
      <c r="H28" s="214" t="str">
        <f>IFERROR(__xludf.DUMMYFUNCTION("GOOGLETRANSLATE(B28,""zh-tw"",""zh"")"),"物攻：10
魔攻：10
中毒效果
投掷穿刺效果")</f>
        <v>物攻：10
魔攻：10
中毒效果
投掷穿刺效果</v>
      </c>
      <c r="I28" s="411" t="s">
        <v>7571</v>
      </c>
      <c r="J28" s="210" t="str">
        <f>IFERROR(__xludf.DUMMYFUNCTION("GOOGLETRANSLATE(B28,""zh-tw"",""es-MX"")"),"Ataque físico: 10
Ataque mágico: 10
Efecto de veneno
Efecto de perforación al lanzar")</f>
        <v>Ataque físico: 10
Ataque mágico: 10
Efecto de veneno
Efecto de perforación al lanzar</v>
      </c>
      <c r="K28" s="415" t="str">
        <f>IFERROR(__xludf.DUMMYFUNCTION("GOOGLETRANSLATE(A28,""zh-tw"",""KO"")"),"곰팡이 핀 무 검")</f>
        <v>곰팡이 핀 무 검</v>
      </c>
      <c r="L28" s="210" t="str">
        <f>IFERROR(__xludf.DUMMYFUNCTION("GOOGLETRANSLATE(B28,""zh-tw"",""KO"")"),"물리 공격력: 10
마법 공격력: 10
독 효과
투척 관통 효과")</f>
        <v>물리 공격력: 10
마법 공격력: 10
독 효과
투척 관통 효과</v>
      </c>
      <c r="M28" s="412" t="s">
        <v>7572</v>
      </c>
      <c r="N28" s="214" t="s">
        <v>7573</v>
      </c>
      <c r="O28" s="411" t="s">
        <v>7574</v>
      </c>
      <c r="P28" s="177" t="s">
        <v>7575</v>
      </c>
      <c r="Q28" s="147" t="s">
        <v>7576</v>
      </c>
      <c r="R28" s="392" t="s">
        <v>7577</v>
      </c>
      <c r="S28" s="209" t="s">
        <v>7578</v>
      </c>
      <c r="T28" s="210" t="s">
        <v>7579</v>
      </c>
      <c r="U28" s="209"/>
      <c r="V28" s="210"/>
      <c r="W28" s="210"/>
      <c r="X28" s="210"/>
      <c r="Y28" s="210"/>
      <c r="Z28" s="210"/>
    </row>
    <row r="29">
      <c r="A29" s="412" t="s">
        <v>7580</v>
      </c>
      <c r="B29" s="214" t="s">
        <v>7581</v>
      </c>
      <c r="C29" s="412" t="s">
        <v>7582</v>
      </c>
      <c r="D29" s="214" t="s">
        <v>7583</v>
      </c>
      <c r="E29" s="412" t="s">
        <v>7584</v>
      </c>
      <c r="F29" s="214" t="s">
        <v>7585</v>
      </c>
      <c r="G29" s="412" t="str">
        <f>IFERROR(__xludf.DUMMYFUNCTION("GOOGLETRANSLATE(A29,""zh-tw"",""zh"")"),"巨蜗吸尘器")</f>
        <v>巨蜗吸尘器</v>
      </c>
      <c r="H29" s="214" t="str">
        <f>IFERROR(__xludf.DUMMYFUNCTION("GOOGLETRANSLATE(B29,""zh-tw"",""zh"")"),"物攻：1
魔攻：1
吸取物品")</f>
        <v>物攻：1
魔攻：1
吸取物品</v>
      </c>
      <c r="I29" s="411" t="s">
        <v>7586</v>
      </c>
      <c r="J29" s="210" t="str">
        <f>IFERROR(__xludf.DUMMYFUNCTION("GOOGLETRANSLATE(B29,""zh-tw"",""es-MX"")"),"Ataque físico: 1
Ataque mágico: 1
Absorción de objetos")</f>
        <v>Ataque físico: 1
Ataque mágico: 1
Absorción de objetos</v>
      </c>
      <c r="K29" s="415" t="str">
        <f>IFERROR(__xludf.DUMMYFUNCTION("GOOGLETRANSLATE(A29,""zh-tw"",""KO"")"),"거대 달팽이 진공청소기")</f>
        <v>거대 달팽이 진공청소기</v>
      </c>
      <c r="L29" s="210" t="str">
        <f>IFERROR(__xludf.DUMMYFUNCTION("GOOGLETRANSLATE(B29,""zh-tw"",""KO"")"),"물리 공격력: 1
마법 공격력: 1
아이템 흡수")</f>
        <v>물리 공격력: 1
마법 공격력: 1
아이템 흡수</v>
      </c>
      <c r="M29" s="412" t="s">
        <v>7587</v>
      </c>
      <c r="N29" s="214" t="s">
        <v>7588</v>
      </c>
      <c r="O29" s="412" t="s">
        <v>7589</v>
      </c>
      <c r="P29" s="214" t="s">
        <v>7590</v>
      </c>
      <c r="Q29" s="417" t="s">
        <v>7591</v>
      </c>
      <c r="R29" s="414" t="s">
        <v>7592</v>
      </c>
      <c r="S29" s="209" t="s">
        <v>7593</v>
      </c>
      <c r="T29" s="210" t="s">
        <v>7594</v>
      </c>
      <c r="U29" s="209"/>
      <c r="V29" s="210"/>
      <c r="W29" s="210"/>
      <c r="X29" s="210"/>
      <c r="Y29" s="210"/>
      <c r="Z29" s="210"/>
    </row>
    <row r="30">
      <c r="A30" s="412" t="s">
        <v>7595</v>
      </c>
      <c r="B30" s="214" t="s">
        <v>7596</v>
      </c>
      <c r="C30" s="412" t="s">
        <v>7090</v>
      </c>
      <c r="D30" s="214" t="s">
        <v>7597</v>
      </c>
      <c r="E30" s="412" t="s">
        <v>7598</v>
      </c>
      <c r="F30" s="214" t="s">
        <v>7599</v>
      </c>
      <c r="G30" s="412" t="str">
        <f>IFERROR(__xludf.DUMMYFUNCTION("GOOGLETRANSLATE(A30,""zh-tw"",""zh"")"),"熔岩杖")</f>
        <v>熔岩杖</v>
      </c>
      <c r="H30" s="214" t="str">
        <f>IFERROR(__xludf.DUMMYFUNCTION("GOOGLETRANSLATE(B30,""zh-tw"",""zh"")"),"物攻：1
魔攻：66
炎属性")</f>
        <v>物攻：1
魔攻：66
炎属性</v>
      </c>
      <c r="I30" s="411" t="s">
        <v>7600</v>
      </c>
      <c r="J30" s="210" t="str">
        <f>IFERROR(__xludf.DUMMYFUNCTION("GOOGLETRANSLATE(B30,""zh-tw"",""es-MX"")"),"Ataque físico: 1
Ataque mágico: 66
Atributo fuego")</f>
        <v>Ataque físico: 1
Ataque mágico: 66
Atributo fuego</v>
      </c>
      <c r="K30" s="415" t="str">
        <f>IFERROR(__xludf.DUMMYFUNCTION("GOOGLETRANSLATE(A30,""zh-tw"",""KO"")"),"라바 스태프")</f>
        <v>라바 스태프</v>
      </c>
      <c r="L30" s="210" t="str">
        <f>IFERROR(__xludf.DUMMYFUNCTION("GOOGLETRANSLATE(B30,""zh-tw"",""KO"")"),"물리 공격력: 1
마법 공격력: 66
화염 속성")</f>
        <v>물리 공격력: 1
마법 공격력: 66
화염 속성</v>
      </c>
      <c r="M30" s="412" t="s">
        <v>7601</v>
      </c>
      <c r="N30" s="214" t="s">
        <v>7602</v>
      </c>
      <c r="O30" s="412" t="s">
        <v>7097</v>
      </c>
      <c r="P30" s="214" t="s">
        <v>7603</v>
      </c>
      <c r="Q30" s="413" t="s">
        <v>7604</v>
      </c>
      <c r="R30" s="418" t="s">
        <v>7605</v>
      </c>
      <c r="S30" s="209" t="s">
        <v>7606</v>
      </c>
      <c r="T30" s="210" t="s">
        <v>7607</v>
      </c>
      <c r="U30" s="209"/>
      <c r="V30" s="210"/>
      <c r="W30" s="210"/>
      <c r="X30" s="210"/>
      <c r="Y30" s="210"/>
      <c r="Z30" s="210"/>
    </row>
    <row r="31">
      <c r="A31" s="412" t="s">
        <v>7608</v>
      </c>
      <c r="B31" s="214" t="s">
        <v>7609</v>
      </c>
      <c r="C31" s="412" t="s">
        <v>7610</v>
      </c>
      <c r="D31" s="214" t="s">
        <v>7611</v>
      </c>
      <c r="E31" s="412" t="s">
        <v>7612</v>
      </c>
      <c r="F31" s="214" t="s">
        <v>7613</v>
      </c>
      <c r="G31" s="412" t="str">
        <f>IFERROR(__xludf.DUMMYFUNCTION("GOOGLETRANSLATE(A31,""zh-tw"",""zh"")"),"寒冰杖")</f>
        <v>寒冰杖</v>
      </c>
      <c r="H31" s="214" t="str">
        <f>IFERROR(__xludf.DUMMYFUNCTION("GOOGLETRANSLATE(B31,""zh-tw"",""zh"")"),"物攻：1
魔攻：55
冰属性")</f>
        <v>物攻：1
魔攻：55
冰属性</v>
      </c>
      <c r="I31" s="411" t="s">
        <v>7614</v>
      </c>
      <c r="J31" s="210" t="str">
        <f>IFERROR(__xludf.DUMMYFUNCTION("GOOGLETRANSLATE(B31,""zh-tw"",""es-MX"")"),"Ataque físico: 1 Ataque mágico: 55 Atributo hielo")</f>
        <v>Ataque físico: 1 Ataque mágico: 55 Atributo hielo</v>
      </c>
      <c r="K31" s="415" t="str">
        <f>IFERROR(__xludf.DUMMYFUNCTION("GOOGLETRANSLATE(A31,""zh-tw"",""KO"")"),"아이스 스태프")</f>
        <v>아이스 스태프</v>
      </c>
      <c r="L31" s="210" t="str">
        <f>IFERROR(__xludf.DUMMYFUNCTION("GOOGLETRANSLATE(B31,""zh-tw"",""KO"")"),"물리 공격력: 1 마법 공격력: 55 얼음 속성")</f>
        <v>물리 공격력: 1 마법 공격력: 55 얼음 속성</v>
      </c>
      <c r="M31" s="412" t="s">
        <v>7615</v>
      </c>
      <c r="N31" s="214" t="s">
        <v>7616</v>
      </c>
      <c r="O31" s="412" t="s">
        <v>7617</v>
      </c>
      <c r="P31" s="214" t="s">
        <v>7618</v>
      </c>
      <c r="Q31" s="413" t="s">
        <v>7619</v>
      </c>
      <c r="R31" s="414" t="s">
        <v>7620</v>
      </c>
      <c r="S31" s="209" t="s">
        <v>7621</v>
      </c>
      <c r="T31" s="210" t="s">
        <v>7622</v>
      </c>
      <c r="U31" s="209"/>
      <c r="V31" s="210"/>
      <c r="W31" s="210"/>
      <c r="X31" s="210"/>
      <c r="Y31" s="210"/>
      <c r="Z31" s="210"/>
    </row>
    <row r="32">
      <c r="A32" s="415" t="s">
        <v>7623</v>
      </c>
      <c r="B32" s="177" t="s">
        <v>7624</v>
      </c>
      <c r="C32" s="415" t="s">
        <v>7625</v>
      </c>
      <c r="D32" s="177" t="s">
        <v>7626</v>
      </c>
      <c r="E32" s="415" t="s">
        <v>7627</v>
      </c>
      <c r="F32" s="177" t="s">
        <v>7628</v>
      </c>
      <c r="G32" s="415" t="s">
        <v>7629</v>
      </c>
      <c r="H32" s="177" t="s">
        <v>7630</v>
      </c>
      <c r="I32" s="411" t="s">
        <v>7631</v>
      </c>
      <c r="J32" s="210" t="str">
        <f>IFERROR(__xludf.DUMMYFUNCTION("GOOGLETRANSLATE(B32,""zh-tw"",""es-MX"")"),"Ataque mágico: 40 Exterminación de insectos")</f>
        <v>Ataque mágico: 40 Exterminación de insectos</v>
      </c>
      <c r="K32" s="415" t="str">
        <f>IFERROR(__xludf.DUMMYFUNCTION("GOOGLETRANSLATE(A32,""zh-tw"",""KO"")"),"살충제 스틱")</f>
        <v>살충제 스틱</v>
      </c>
      <c r="L32" s="210" t="str">
        <f>IFERROR(__xludf.DUMMYFUNCTION("GOOGLETRANSLATE(B32,""zh-tw"",""KO"")"),"마법 공격: 곤충 박멸 40")</f>
        <v>마법 공격: 곤충 박멸 40</v>
      </c>
      <c r="M32" s="412" t="s">
        <v>7632</v>
      </c>
      <c r="N32" s="214" t="s">
        <v>7633</v>
      </c>
      <c r="O32" s="411" t="s">
        <v>7634</v>
      </c>
      <c r="P32" s="177" t="s">
        <v>7635</v>
      </c>
      <c r="Q32" s="224" t="s">
        <v>7636</v>
      </c>
      <c r="R32" s="421" t="s">
        <v>7637</v>
      </c>
      <c r="S32" s="209" t="s">
        <v>7638</v>
      </c>
      <c r="T32" s="177" t="s">
        <v>7639</v>
      </c>
      <c r="U32" s="209"/>
      <c r="V32" s="177"/>
      <c r="W32" s="210"/>
      <c r="X32" s="210"/>
      <c r="Y32" s="210"/>
      <c r="Z32" s="210"/>
    </row>
    <row r="33">
      <c r="A33" s="412" t="s">
        <v>7640</v>
      </c>
      <c r="B33" s="214" t="s">
        <v>7641</v>
      </c>
      <c r="C33" s="412" t="s">
        <v>7642</v>
      </c>
      <c r="D33" s="214" t="s">
        <v>7643</v>
      </c>
      <c r="E33" s="412" t="s">
        <v>7644</v>
      </c>
      <c r="F33" s="214" t="s">
        <v>7645</v>
      </c>
      <c r="G33" s="412" t="str">
        <f>IFERROR(__xludf.DUMMYFUNCTION("GOOGLETRANSLATE(A33,""zh-tw"",""zh"")"),"猎人之弓")</f>
        <v>猎人之弓</v>
      </c>
      <c r="H33" s="214" t="str">
        <f>IFERROR(__xludf.DUMMYFUNCTION("GOOGLETRANSLATE(B33,""zh-tw"",""zh"")"),"物攻：24
穿透")</f>
        <v>物攻：24
穿透</v>
      </c>
      <c r="I33" s="411" t="s">
        <v>7646</v>
      </c>
      <c r="J33" s="210" t="str">
        <f>IFERROR(__xludf.DUMMYFUNCTION("GOOGLETRANSLATE(B33,""zh-tw"",""es-MX"")"),"Ataque físico: 24 de penetración")</f>
        <v>Ataque físico: 24 de penetración</v>
      </c>
      <c r="K33" s="415" t="str">
        <f>IFERROR(__xludf.DUMMYFUNCTION("GOOGLETRANSLATE(A33,""zh-tw"",""KO"")"),"사냥꾼의 활")</f>
        <v>사냥꾼의 활</v>
      </c>
      <c r="L33" s="210" t="str">
        <f>IFERROR(__xludf.DUMMYFUNCTION("GOOGLETRANSLATE(B33,""zh-tw"",""KO"")"),"물리적 공격: 관통력 24")</f>
        <v>물리적 공격: 관통력 24</v>
      </c>
      <c r="M33" s="412" t="s">
        <v>7647</v>
      </c>
      <c r="N33" s="214" t="s">
        <v>7648</v>
      </c>
      <c r="O33" s="412" t="s">
        <v>7649</v>
      </c>
      <c r="P33" s="214" t="s">
        <v>7650</v>
      </c>
      <c r="Q33" s="417" t="s">
        <v>7651</v>
      </c>
      <c r="R33" s="414" t="s">
        <v>7652</v>
      </c>
      <c r="S33" s="209" t="s">
        <v>7653</v>
      </c>
      <c r="T33" s="210" t="s">
        <v>7654</v>
      </c>
      <c r="U33" s="209"/>
      <c r="V33" s="210"/>
      <c r="W33" s="210"/>
      <c r="X33" s="210"/>
      <c r="Y33" s="210"/>
      <c r="Z33" s="210"/>
    </row>
    <row r="34">
      <c r="A34" s="172" t="s">
        <v>7655</v>
      </c>
      <c r="C34" s="172" t="s">
        <v>7656</v>
      </c>
      <c r="E34" s="172" t="s">
        <v>7657</v>
      </c>
      <c r="G34" s="172" t="s">
        <v>7658</v>
      </c>
      <c r="I34" s="172"/>
      <c r="K34" s="172"/>
      <c r="M34" s="172" t="s">
        <v>7659</v>
      </c>
      <c r="O34" s="172"/>
      <c r="Q34" s="175" t="s">
        <v>7660</v>
      </c>
      <c r="S34" s="172" t="s">
        <v>7661</v>
      </c>
      <c r="U34" s="172"/>
      <c r="W34" s="210"/>
      <c r="X34" s="210"/>
      <c r="Y34" s="210"/>
      <c r="Z34" s="210"/>
    </row>
    <row r="35">
      <c r="A35" s="412" t="s">
        <v>7662</v>
      </c>
      <c r="B35" s="214" t="s">
        <v>7663</v>
      </c>
      <c r="C35" s="412" t="s">
        <v>7664</v>
      </c>
      <c r="D35" s="214" t="s">
        <v>7665</v>
      </c>
      <c r="E35" s="412" t="s">
        <v>7666</v>
      </c>
      <c r="F35" s="214" t="s">
        <v>7667</v>
      </c>
      <c r="G35" s="412" t="str">
        <f>IFERROR(__xludf.DUMMYFUNCTION("GOOGLETRANSLATE(A35,""zh-tw"",""zh"")"),"古树残骸")</f>
        <v>古树残骸</v>
      </c>
      <c r="H35" s="214" t="str">
        <f>IFERROR(__xludf.DUMMYFUNCTION("GOOGLETRANSLATE(B35,""zh-tw"",""zh"")"),"物攻：20
物抗：2
累计素质型武器")</f>
        <v>物攻：20
物抗：2
累计素质型武器</v>
      </c>
      <c r="I35" s="411" t="s">
        <v>7668</v>
      </c>
      <c r="J35" s="210" t="str">
        <f>IFERROR(__xludf.DUMMYFUNCTION("GOOGLETRANSLATE(B35,""zh-tw"",""es-MX"")"),"Ataque físico: 20
Resistencia física: 2
Arma basada en estadísticas acumulativas")</f>
        <v>Ataque físico: 20
Resistencia física: 2
Arma basada en estadísticas acumulativas</v>
      </c>
      <c r="K35" s="415" t="str">
        <f>IFERROR(__xludf.DUMMYFUNCTION("GOOGLETRANSLATE(A35,""zh-tw"",""KO"")"),"고대 나무의 잔해")</f>
        <v>고대 나무의 잔해</v>
      </c>
      <c r="L35" s="210" t="str">
        <f>IFERROR(__xludf.DUMMYFUNCTION("GOOGLETRANSLATE(B35,""zh-tw"",""KO"")"),"물리 공격력: 20
물리 저항력: 2
누적형 능력치 기반 무기")</f>
        <v>물리 공격력: 20
물리 저항력: 2
누적형 능력치 기반 무기</v>
      </c>
      <c r="M35" s="412" t="s">
        <v>7669</v>
      </c>
      <c r="N35" s="214" t="s">
        <v>7670</v>
      </c>
      <c r="O35" s="412" t="s">
        <v>7671</v>
      </c>
      <c r="P35" s="214" t="s">
        <v>7672</v>
      </c>
      <c r="Q35" s="417" t="s">
        <v>7673</v>
      </c>
      <c r="R35" s="414" t="s">
        <v>7674</v>
      </c>
      <c r="S35" s="209" t="s">
        <v>7675</v>
      </c>
      <c r="T35" s="210" t="s">
        <v>7676</v>
      </c>
      <c r="U35" s="209"/>
      <c r="V35" s="210"/>
      <c r="W35" s="210"/>
      <c r="X35" s="210"/>
      <c r="Y35" s="210"/>
      <c r="Z35" s="210"/>
    </row>
    <row r="36">
      <c r="A36" s="412" t="s">
        <v>7677</v>
      </c>
      <c r="B36" s="214" t="s">
        <v>7678</v>
      </c>
      <c r="C36" s="412" t="s">
        <v>7679</v>
      </c>
      <c r="D36" s="214" t="s">
        <v>7680</v>
      </c>
      <c r="E36" s="412" t="s">
        <v>7681</v>
      </c>
      <c r="F36" s="214" t="s">
        <v>7682</v>
      </c>
      <c r="G36" s="412" t="str">
        <f>IFERROR(__xludf.DUMMYFUNCTION("GOOGLETRANSLATE(A36,""zh-tw"",""zh"")"),"来自地狱")</f>
        <v>来自地狱</v>
      </c>
      <c r="H36" s="214" t="str">
        <f>IFERROR(__xludf.DUMMYFUNCTION("GOOGLETRANSLATE(B36,""zh-tw"",""zh"")"),"物攻：30
出血")</f>
        <v>物攻：30
出血</v>
      </c>
      <c r="I36" s="411" t="s">
        <v>7683</v>
      </c>
      <c r="J36" s="210" t="str">
        <f>IFERROR(__xludf.DUMMYFUNCTION("GOOGLETRANSLATE(B36,""zh-tw"",""es-MX"")"),"Ataque físico: 30 sangrado")</f>
        <v>Ataque físico: 30 sangrado</v>
      </c>
      <c r="K36" s="411" t="s">
        <v>7684</v>
      </c>
      <c r="L36" s="210" t="str">
        <f>IFERROR(__xludf.DUMMYFUNCTION("GOOGLETRANSLATE(B36,""zh-tw"",""KO"")"),"물리 공격: 출혈 30")</f>
        <v>물리 공격: 출혈 30</v>
      </c>
      <c r="M36" s="412" t="s">
        <v>7685</v>
      </c>
      <c r="N36" s="214" t="s">
        <v>7686</v>
      </c>
      <c r="O36" s="412" t="s">
        <v>7687</v>
      </c>
      <c r="P36" s="214" t="s">
        <v>7688</v>
      </c>
      <c r="Q36" s="413" t="s">
        <v>7689</v>
      </c>
      <c r="R36" s="414" t="s">
        <v>7690</v>
      </c>
      <c r="S36" s="209" t="s">
        <v>7691</v>
      </c>
      <c r="T36" s="210" t="s">
        <v>7692</v>
      </c>
      <c r="U36" s="209"/>
      <c r="V36" s="210"/>
      <c r="W36" s="210"/>
      <c r="X36" s="210"/>
      <c r="Y36" s="210"/>
      <c r="Z36" s="210"/>
    </row>
    <row r="37">
      <c r="A37" s="412" t="s">
        <v>7693</v>
      </c>
      <c r="B37" s="214" t="s">
        <v>7694</v>
      </c>
      <c r="C37" s="412" t="s">
        <v>7695</v>
      </c>
      <c r="D37" s="214" t="s">
        <v>7696</v>
      </c>
      <c r="E37" s="412" t="s">
        <v>7697</v>
      </c>
      <c r="F37" s="214" t="s">
        <v>7698</v>
      </c>
      <c r="G37" s="412" t="str">
        <f>IFERROR(__xludf.DUMMYFUNCTION("GOOGLETRANSLATE(A37,""zh-tw"",""zh"")"),"寄生刃")</f>
        <v>寄生刃</v>
      </c>
      <c r="H37" s="214" t="str">
        <f>IFERROR(__xludf.DUMMYFUNCTION("GOOGLETRANSLATE(B37,""zh-tw"",""zh"")"),"物攻：32
击倒回复")</f>
        <v>物攻：32
击倒回复</v>
      </c>
      <c r="I37" s="411" t="s">
        <v>7699</v>
      </c>
      <c r="J37" s="210" t="str">
        <f>IFERROR(__xludf.DUMMYFUNCTION("GOOGLETRANSLATE(B37,""zh-tw"",""es-MX"")"),"Ataque físico: 32 Recuperación tras derribo")</f>
        <v>Ataque físico: 32 Recuperación tras derribo</v>
      </c>
      <c r="K37" s="411" t="s">
        <v>7700</v>
      </c>
      <c r="L37" s="177" t="s">
        <v>7701</v>
      </c>
      <c r="M37" s="412" t="s">
        <v>7702</v>
      </c>
      <c r="N37" s="214" t="s">
        <v>7703</v>
      </c>
      <c r="O37" s="412" t="s">
        <v>7704</v>
      </c>
      <c r="P37" s="214" t="s">
        <v>7705</v>
      </c>
      <c r="Q37" s="417" t="s">
        <v>7706</v>
      </c>
      <c r="R37" s="414" t="s">
        <v>7707</v>
      </c>
      <c r="S37" s="209" t="s">
        <v>7708</v>
      </c>
      <c r="T37" s="210" t="s">
        <v>7709</v>
      </c>
      <c r="U37" s="209"/>
      <c r="V37" s="210"/>
      <c r="W37" s="210"/>
      <c r="X37" s="210"/>
      <c r="Y37" s="210"/>
      <c r="Z37" s="210"/>
    </row>
    <row r="38">
      <c r="A38" s="415" t="s">
        <v>7710</v>
      </c>
      <c r="B38" s="210" t="s">
        <v>7711</v>
      </c>
      <c r="C38" s="415" t="s">
        <v>7710</v>
      </c>
      <c r="D38" s="177" t="s">
        <v>7712</v>
      </c>
      <c r="E38" s="415" t="s">
        <v>7713</v>
      </c>
      <c r="F38" s="177" t="s">
        <v>7714</v>
      </c>
      <c r="G38" s="412" t="str">
        <f>IFERROR(__xludf.DUMMYFUNCTION("GOOGLETRANSLATE(A38,""zh-tw"",""zh"")"),"日轮")</f>
        <v>日轮</v>
      </c>
      <c r="H38" s="214" t="str">
        <f>IFERROR(__xludf.DUMMYFUNCTION("GOOGLETRANSLATE(B38,""zh-tw"",""zh"")"),"物攻：12
魔攻：30
魔防：30
召唤陨石")</f>
        <v>物攻：12
魔攻：30
魔防：30
召唤陨石</v>
      </c>
      <c r="I38" s="411" t="s">
        <v>7713</v>
      </c>
      <c r="J38" s="210" t="str">
        <f>IFERROR(__xludf.DUMMYFUNCTION("GOOGLETRANSLATE(B38,""zh-tw"",""es-MX"")"),"Ataque físico: 12
Ataque mágico: 30
Defensa mágica: 30
Invocar meteorito")</f>
        <v>Ataque físico: 12
Ataque mágico: 30
Defensa mágica: 30
Invocar meteorito</v>
      </c>
      <c r="K38" s="415" t="str">
        <f>IFERROR(__xludf.DUMMYFUNCTION("GOOGLETRANSLATE(A38,""zh-tw"",""KO"")"),"태양 바퀴")</f>
        <v>태양 바퀴</v>
      </c>
      <c r="L38" s="210" t="str">
        <f>IFERROR(__xludf.DUMMYFUNCTION("GOOGLETRANSLATE(B38,""zh-tw"",""KO"")"),"물리 공격력: 12
마법 공격력: 30
마법 방어력: 30
소환 운석")</f>
        <v>물리 공격력: 12
마법 공격력: 30
마법 방어력: 30
소환 운석</v>
      </c>
      <c r="M38" s="412" t="s">
        <v>7715</v>
      </c>
      <c r="N38" s="214" t="s">
        <v>7716</v>
      </c>
      <c r="O38" s="416" t="s">
        <v>7717</v>
      </c>
      <c r="P38" s="166" t="s">
        <v>7718</v>
      </c>
      <c r="Q38" s="417" t="s">
        <v>7719</v>
      </c>
      <c r="R38" s="414" t="s">
        <v>7720</v>
      </c>
      <c r="S38" s="209" t="s">
        <v>7713</v>
      </c>
      <c r="T38" s="210" t="s">
        <v>7721</v>
      </c>
      <c r="U38" s="209"/>
      <c r="V38" s="210"/>
      <c r="W38" s="210"/>
      <c r="X38" s="210"/>
      <c r="Y38" s="210"/>
      <c r="Z38" s="210"/>
    </row>
    <row r="39">
      <c r="A39" s="415" t="s">
        <v>7722</v>
      </c>
      <c r="B39" s="177" t="s">
        <v>7723</v>
      </c>
      <c r="C39" s="415" t="s">
        <v>7724</v>
      </c>
      <c r="D39" s="210" t="s">
        <v>7725</v>
      </c>
      <c r="E39" s="415" t="s">
        <v>7726</v>
      </c>
      <c r="F39" s="210" t="s">
        <v>7727</v>
      </c>
      <c r="G39" s="412" t="str">
        <f>IFERROR(__xludf.DUMMYFUNCTION("GOOGLETRANSLATE(A39,""zh-tw"",""zh"")"),"登的阴郁手镰")</f>
        <v>登的阴郁手镰</v>
      </c>
      <c r="H39" s="214" t="str">
        <f>IFERROR(__xludf.DUMMYFUNCTION("GOOGLETRANSLATE(B39,""zh-tw"",""zh"")"),"
物攻：18
魔攻：9
回力镖类型武器")</f>
        <v>
物攻：18
魔攻：9
回力镖类型武器</v>
      </c>
      <c r="I39" s="411" t="s">
        <v>7728</v>
      </c>
      <c r="J39" s="210" t="str">
        <f>IFERROR(__xludf.DUMMYFUNCTION("GOOGLETRANSLATE(B39,""zh-tw"",""es-MX"")"),"Ataque físico: 18 Ataque mágico: 9 Arma tipo bumerán")</f>
        <v>Ataque físico: 18 Ataque mágico: 9 Arma tipo bumerán</v>
      </c>
      <c r="K39" s="415" t="str">
        <f>IFERROR(__xludf.DUMMYFUNCTION("GOOGLETRANSLATE(A39,""zh-tw"",""KO"")"),"덩샤오핑의 음울한 낫")</f>
        <v>덩샤오핑의 음울한 낫</v>
      </c>
      <c r="L39" s="210" t="str">
        <f>IFERROR(__xludf.DUMMYFUNCTION("GOOGLETRANSLATE(B39,""zh-tw"",""KO"")"),"물리 공격력: 18 마법 공격력: 9 부메랑형 무기")</f>
        <v>물리 공격력: 18 마법 공격력: 9 부메랑형 무기</v>
      </c>
      <c r="M39" s="412" t="s">
        <v>7729</v>
      </c>
      <c r="N39" s="214" t="s">
        <v>7730</v>
      </c>
      <c r="O39" s="416" t="s">
        <v>7731</v>
      </c>
      <c r="P39" s="166" t="s">
        <v>7732</v>
      </c>
      <c r="Q39" s="417" t="s">
        <v>7733</v>
      </c>
      <c r="R39" s="414" t="s">
        <v>7734</v>
      </c>
      <c r="S39" s="209" t="s">
        <v>7735</v>
      </c>
      <c r="T39" s="210" t="s">
        <v>7736</v>
      </c>
      <c r="U39" s="209"/>
      <c r="V39" s="210"/>
      <c r="W39" s="210"/>
      <c r="X39" s="210"/>
      <c r="Y39" s="210"/>
      <c r="Z39" s="210"/>
    </row>
    <row r="40">
      <c r="A40" s="412" t="s">
        <v>7737</v>
      </c>
      <c r="B40" s="214" t="s">
        <v>7738</v>
      </c>
      <c r="C40" s="412" t="s">
        <v>7739</v>
      </c>
      <c r="D40" s="214" t="s">
        <v>7740</v>
      </c>
      <c r="E40" s="412" t="s">
        <v>7741</v>
      </c>
      <c r="F40" s="214" t="s">
        <v>7742</v>
      </c>
      <c r="G40" s="412" t="str">
        <f>IFERROR(__xludf.DUMMYFUNCTION("GOOGLETRANSLATE(A40,""zh-tw"",""zh"")"),"星月夜")</f>
        <v>星月夜</v>
      </c>
      <c r="H40" s="214" t="str">
        <f>IFERROR(__xludf.DUMMYFUNCTION("GOOGLETRANSLATE(B40,""zh-tw"",""zh"")"),"物攻：1
魔攻：68
黑洞")</f>
        <v>物攻：1
魔攻：68
黑洞</v>
      </c>
      <c r="I40" s="411" t="s">
        <v>7743</v>
      </c>
      <c r="J40" s="210" t="str">
        <f>IFERROR(__xludf.DUMMYFUNCTION("GOOGLETRANSLATE(B40,""zh-tw"",""es-MX"")"),"Ataque físico: 1 Ataque mágico: 68 Agujero negro")</f>
        <v>Ataque físico: 1 Ataque mágico: 68 Agujero negro</v>
      </c>
      <c r="K40" s="415" t="str">
        <f>IFERROR(__xludf.DUMMYFUNCTION("GOOGLETRANSLATE(A40,""zh-tw"",""KO"")"),"별이 빛나는 달밤")</f>
        <v>별이 빛나는 달밤</v>
      </c>
      <c r="L40" s="210" t="str">
        <f>IFERROR(__xludf.DUMMYFUNCTION("GOOGLETRANSLATE(B40,""zh-tw"",""KO"")"),"물리 공격력: 1 마법 공격력: 68 블랙홀")</f>
        <v>물리 공격력: 1 마법 공격력: 68 블랙홀</v>
      </c>
      <c r="M40" s="412" t="s">
        <v>7744</v>
      </c>
      <c r="N40" s="214" t="s">
        <v>7745</v>
      </c>
      <c r="O40" s="412" t="s">
        <v>7746</v>
      </c>
      <c r="P40" s="214" t="s">
        <v>7747</v>
      </c>
      <c r="Q40" s="417" t="s">
        <v>7748</v>
      </c>
      <c r="R40" s="414" t="s">
        <v>7749</v>
      </c>
      <c r="S40" s="209" t="s">
        <v>7750</v>
      </c>
      <c r="T40" s="210" t="s">
        <v>7751</v>
      </c>
      <c r="U40" s="209"/>
      <c r="V40" s="210"/>
      <c r="W40" s="210"/>
      <c r="X40" s="210"/>
      <c r="Y40" s="210"/>
      <c r="Z40" s="210"/>
    </row>
    <row r="41">
      <c r="A41" s="411" t="s">
        <v>7752</v>
      </c>
      <c r="B41" s="177" t="s">
        <v>7753</v>
      </c>
      <c r="C41" s="411" t="s">
        <v>7754</v>
      </c>
      <c r="D41" s="177" t="s">
        <v>7755</v>
      </c>
      <c r="E41" s="411" t="s">
        <v>7756</v>
      </c>
      <c r="F41" s="177" t="s">
        <v>7757</v>
      </c>
      <c r="G41" s="412" t="str">
        <f>IFERROR(__xludf.DUMMYFUNCTION("GOOGLETRANSLATE(A41,""zh-tw"",""zh"")"),"潮汐之诗")</f>
        <v>潮汐之诗</v>
      </c>
      <c r="H41" s="214" t="str">
        <f>IFERROR(__xludf.DUMMYFUNCTION("GOOGLETRANSLATE(B41,""zh-tw"",""zh"")"),"物攻：1
魔攻：45
魔防：20
于水中作战时可以提升攻击力
(波纹穿刺：可以用于炸水面；无法配合猫爪增加炸鱼次数)")</f>
        <v>物攻：1
魔攻：45
魔防：20
于水中作战时可以提升攻击力
(波纹穿刺：可以用于炸水面；无法配合猫爪增加炸鱼次数)</v>
      </c>
      <c r="I41" s="411" t="s">
        <v>7758</v>
      </c>
      <c r="J41" s="210" t="str">
        <f>IFERROR(__xludf.DUMMYFUNCTION("GOOGLETRANSLATE(B41,""zh-tw"",""es-MX"")"),"Ataque físico: 1
Ataque mágico: 45
Defensa mágica: 20
El poder de ataque aumenta al luchar en el agua.
(Perforación ondulante: Puede usarse para impactar la superficie del agua; no se puede combinar con Garra de gato para aumentar el número de impactos e"&amp;"n peces).")</f>
        <v>Ataque físico: 1
Ataque mágico: 45
Defensa mágica: 20
El poder de ataque aumenta al luchar en el agua.
(Perforación ondulante: Puede usarse para impactar la superficie del agua; no se puede combinar con Garra de gato para aumentar el número de impactos en peces).</v>
      </c>
      <c r="K41" s="415" t="str">
        <f>IFERROR(__xludf.DUMMYFUNCTION("GOOGLETRANSLATE(A41,""zh-tw"",""KO"")"),"조수의 시")</f>
        <v>조수의 시</v>
      </c>
      <c r="L41" s="210" t="str">
        <f>IFERROR(__xludf.DUMMYFUNCTION("GOOGLETRANSLATE(B41,""zh-tw"",""KO"")"),"물리 공격력: 1
마법 공격력: 45
마법 방어력: 20
물속에서 싸울 때 공격력이 증가합니다.
(파도 찌르기: 수면을 공격하는 데 사용할 수 있습니다. 고양이 발톱과 조합하여 물고기 폭발 횟수를 늘릴 수는 없습니다.)")</f>
        <v>물리 공격력: 1
마법 공격력: 45
마법 방어력: 20
물속에서 싸울 때 공격력이 증가합니다.
(파도 찌르기: 수면을 공격하는 데 사용할 수 있습니다. 고양이 발톱과 조합하여 물고기 폭발 횟수를 늘릴 수는 없습니다.)</v>
      </c>
      <c r="M41" s="412" t="s">
        <v>7759</v>
      </c>
      <c r="N41" s="214" t="s">
        <v>7760</v>
      </c>
      <c r="O41" s="411" t="s">
        <v>7761</v>
      </c>
      <c r="P41" s="177" t="s">
        <v>7762</v>
      </c>
      <c r="Q41" s="126" t="s">
        <v>7763</v>
      </c>
      <c r="R41" s="52" t="s">
        <v>7764</v>
      </c>
      <c r="S41" s="422" t="s">
        <v>7765</v>
      </c>
      <c r="T41" s="210" t="s">
        <v>7766</v>
      </c>
      <c r="U41" s="422"/>
      <c r="V41" s="210"/>
      <c r="W41" s="210"/>
      <c r="X41" s="210"/>
      <c r="Y41" s="210"/>
      <c r="Z41" s="210"/>
    </row>
    <row r="42">
      <c r="A42" s="416" t="s">
        <v>7767</v>
      </c>
      <c r="B42" s="177" t="s">
        <v>7768</v>
      </c>
      <c r="C42" s="416" t="s">
        <v>7767</v>
      </c>
      <c r="D42" s="177" t="s">
        <v>7769</v>
      </c>
      <c r="E42" s="416" t="s">
        <v>7770</v>
      </c>
      <c r="F42" s="177" t="s">
        <v>7771</v>
      </c>
      <c r="G42" s="412" t="str">
        <f>IFERROR(__xludf.DUMMYFUNCTION("GOOGLETRANSLATE(A42,""zh-tw"",""zh"")"),"血狩")</f>
        <v>血狩</v>
      </c>
      <c r="H42" s="214" t="str">
        <f>IFERROR(__xludf.DUMMYFUNCTION("GOOGLETRANSLATE(B42,""zh-tw"",""zh"")"),"物攻：20
1.续力可使用穿血箭
2.消耗自身血量提升攻击，击杀目标后回复血量
(血量允许超量回复，突破生命值上限并且获得霸体)")</f>
        <v>物攻：20
1.续力可使用穿血箭
2.消耗自身血量提升攻击，击杀目标后回复血量
(血量允许超量回复，突破生命值上限并且获得霸体)</v>
      </c>
      <c r="I42" s="411" t="s">
        <v>7772</v>
      </c>
      <c r="J42" s="210" t="str">
        <f>IFERROR(__xludf.DUMMYFUNCTION("GOOGLETRANSLATE(B42,""zh-tw"",""es-MX"")"),"Ataque físico: 20
1. Puede usar Flecha perforante tras cargarla.
2. Consume puntos de vida propios para aumentar el ataque; recupera puntos de vida tras derrotar a un objetivo.
(Puede recuperar puntos de vida en exceso, superando el máximo y obteniendo"&amp;" invulnerabilidad).")</f>
        <v>Ataque físico: 20
1. Puede usar Flecha perforante tras cargarla.
2. Consume puntos de vida propios para aumentar el ataque; recupera puntos de vida tras derrotar a un objetivo.
(Puede recuperar puntos de vida en exceso, superando el máximo y obteniendo invulnerabilidad).</v>
      </c>
      <c r="K42" s="415" t="str">
        <f>IFERROR(__xludf.DUMMYFUNCTION("GOOGLETRANSLATE(A42,""zh-tw"",""KO"")"),"블러드 헌트")</f>
        <v>블러드 헌트</v>
      </c>
      <c r="L42" s="210" t="str">
        <f>IFERROR(__xludf.DUMMYFUNCTION("GOOGLETRANSLATE(B42,""zh-tw"",""KO"")"),"물리 공격력: 20
1. 충전 후 관통 화살을 사용할 수 있습니다.
2. 자신의 HP를 소모하여 공격력을 증가시키고, 대상을 처치하면 HP를 회복합니다.
(HP 회복량이 최대치를 초과할 경우 무적 상태가 됩니다.)")</f>
        <v>물리 공격력: 20
1. 충전 후 관통 화살을 사용할 수 있습니다.
2. 자신의 HP를 소모하여 공격력을 증가시키고, 대상을 처치하면 HP를 회복합니다.
(HP 회복량이 최대치를 초과할 경우 무적 상태가 됩니다.)</v>
      </c>
      <c r="M42" s="412" t="s">
        <v>7773</v>
      </c>
      <c r="N42" s="214" t="s">
        <v>7774</v>
      </c>
      <c r="O42" s="416" t="s">
        <v>7775</v>
      </c>
      <c r="P42" s="177" t="s">
        <v>7776</v>
      </c>
      <c r="Q42" s="417" t="s">
        <v>7777</v>
      </c>
      <c r="R42" s="418" t="s">
        <v>7778</v>
      </c>
      <c r="S42" s="209" t="s">
        <v>7779</v>
      </c>
      <c r="T42" s="210" t="s">
        <v>7780</v>
      </c>
      <c r="U42" s="209"/>
      <c r="V42" s="210"/>
      <c r="W42" s="210"/>
      <c r="X42" s="210"/>
      <c r="Y42" s="210"/>
      <c r="Z42" s="210"/>
    </row>
    <row r="43">
      <c r="A43" s="412" t="s">
        <v>7781</v>
      </c>
      <c r="B43" s="214" t="s">
        <v>7782</v>
      </c>
      <c r="C43" s="412" t="s">
        <v>7781</v>
      </c>
      <c r="D43" s="214" t="s">
        <v>7783</v>
      </c>
      <c r="E43" s="412" t="s">
        <v>7784</v>
      </c>
      <c r="F43" s="214" t="s">
        <v>7785</v>
      </c>
      <c r="G43" s="412" t="str">
        <f>IFERROR(__xludf.DUMMYFUNCTION("GOOGLETRANSLATE(A43,""zh-tw"",""zh"")"),"千鸟")</f>
        <v>千鸟</v>
      </c>
      <c r="H43" s="214" t="str">
        <f>IFERROR(__xludf.DUMMYFUNCTION("GOOGLETRANSLATE(B43,""zh-tw"",""zh"")"),"物攻：16
魔攻：16
雷属性")</f>
        <v>物攻：16
魔攻：16
雷属性</v>
      </c>
      <c r="I43" s="415" t="str">
        <f>IFERROR(__xludf.DUMMYFUNCTION("GOOGLETRANSLATE(A43,""zh-tw"",""es-MX"")"),"Chidori")</f>
        <v>Chidori</v>
      </c>
      <c r="J43" s="210" t="str">
        <f>IFERROR(__xludf.DUMMYFUNCTION("GOOGLETRANSLATE(B43,""zh-tw"",""es-MX"")"),"Ataque físico: 16
Ataque mágico: 16
Atributo de rayo")</f>
        <v>Ataque físico: 16
Ataque mágico: 16
Atributo de rayo</v>
      </c>
      <c r="K43" s="415" t="str">
        <f>IFERROR(__xludf.DUMMYFUNCTION("GOOGLETRANSLATE(A43,""zh-tw"",""KO"")"),"치도리")</f>
        <v>치도리</v>
      </c>
      <c r="L43" s="210" t="str">
        <f>IFERROR(__xludf.DUMMYFUNCTION("GOOGLETRANSLATE(B43,""zh-tw"",""KO"")"),"물리 공격력: 16
마법 공격력: 16
번개 속성")</f>
        <v>물리 공격력: 16
마법 공격력: 16
번개 속성</v>
      </c>
      <c r="M43" s="412" t="s">
        <v>7786</v>
      </c>
      <c r="N43" s="214" t="s">
        <v>7787</v>
      </c>
      <c r="O43" s="412" t="s">
        <v>7788</v>
      </c>
      <c r="P43" s="214" t="s">
        <v>7789</v>
      </c>
      <c r="Q43" s="417" t="s">
        <v>7790</v>
      </c>
      <c r="R43" s="414" t="s">
        <v>7791</v>
      </c>
      <c r="S43" s="209" t="s">
        <v>7784</v>
      </c>
      <c r="T43" s="210" t="s">
        <v>7792</v>
      </c>
      <c r="U43" s="209"/>
      <c r="V43" s="210"/>
      <c r="W43" s="210"/>
      <c r="X43" s="210"/>
      <c r="Y43" s="210"/>
      <c r="Z43" s="210"/>
    </row>
    <row r="44">
      <c r="A44" s="412" t="s">
        <v>7793</v>
      </c>
      <c r="B44" s="214" t="s">
        <v>7794</v>
      </c>
      <c r="C44" s="412" t="s">
        <v>7795</v>
      </c>
      <c r="D44" s="214" t="s">
        <v>7796</v>
      </c>
      <c r="E44" s="412" t="s">
        <v>7797</v>
      </c>
      <c r="F44" s="214" t="s">
        <v>7798</v>
      </c>
      <c r="G44" s="412" t="str">
        <f>IFERROR(__xludf.DUMMYFUNCTION("GOOGLETRANSLATE(A44,""zh-tw"",""zh"")"),"火烧云")</f>
        <v>火烧云</v>
      </c>
      <c r="H44" s="214" t="str">
        <f>IFERROR(__xludf.DUMMYFUNCTION("GOOGLETRANSLATE(B44,""zh-tw"",""zh"")"),"物攻：18
魔攻：18
炎属性")</f>
        <v>物攻：18
魔攻：18
炎属性</v>
      </c>
      <c r="I44" s="411" t="s">
        <v>7799</v>
      </c>
      <c r="J44" s="210" t="str">
        <f>IFERROR(__xludf.DUMMYFUNCTION("GOOGLETRANSLATE(B44,""zh-tw"",""es-MX"")"),"Ataque físico: 18
Ataque mágico: 18
Atributo fuego")</f>
        <v>Ataque físico: 18
Ataque mágico: 18
Atributo fuego</v>
      </c>
      <c r="K44" s="415" t="str">
        <f>IFERROR(__xludf.DUMMYFUNCTION("GOOGLETRANSLATE(A44,""zh-tw"",""KO"")"),"불타는 구름")</f>
        <v>불타는 구름</v>
      </c>
      <c r="L44" s="210" t="str">
        <f>IFERROR(__xludf.DUMMYFUNCTION("GOOGLETRANSLATE(B44,""zh-tw"",""KO"")"),"물리 공격력: 18
마법 공격력: 18
불 속성")</f>
        <v>물리 공격력: 18
마법 공격력: 18
불 속성</v>
      </c>
      <c r="M44" s="412" t="s">
        <v>7800</v>
      </c>
      <c r="N44" s="214" t="s">
        <v>7801</v>
      </c>
      <c r="O44" s="412" t="s">
        <v>7802</v>
      </c>
      <c r="P44" s="214" t="s">
        <v>7803</v>
      </c>
      <c r="Q44" s="417" t="s">
        <v>7804</v>
      </c>
      <c r="R44" s="414" t="s">
        <v>7805</v>
      </c>
      <c r="S44" s="176" t="s">
        <v>7806</v>
      </c>
      <c r="T44" s="210" t="s">
        <v>7807</v>
      </c>
      <c r="U44" s="176"/>
      <c r="V44" s="210"/>
      <c r="W44" s="210"/>
      <c r="X44" s="210"/>
      <c r="Y44" s="210"/>
      <c r="Z44" s="210"/>
    </row>
    <row r="45">
      <c r="A45" s="412" t="s">
        <v>7808</v>
      </c>
      <c r="B45" s="214" t="s">
        <v>7809</v>
      </c>
      <c r="C45" s="412" t="s">
        <v>7808</v>
      </c>
      <c r="D45" s="214" t="s">
        <v>7810</v>
      </c>
      <c r="E45" s="412" t="s">
        <v>7811</v>
      </c>
      <c r="F45" s="214" t="s">
        <v>7812</v>
      </c>
      <c r="G45" s="412" t="str">
        <f>IFERROR(__xludf.DUMMYFUNCTION("GOOGLETRANSLATE(A45,""zh-tw"",""zh"")"),"雪见")</f>
        <v>雪见</v>
      </c>
      <c r="H45" s="214" t="str">
        <f>IFERROR(__xludf.DUMMYFUNCTION("GOOGLETRANSLATE(B45,""zh-tw"",""zh"")"),"物攻：16
魔攻：16
冰属性")</f>
        <v>物攻：16
魔攻：16
冰属性</v>
      </c>
      <c r="I45" s="411" t="s">
        <v>7813</v>
      </c>
      <c r="J45" s="210" t="str">
        <f>IFERROR(__xludf.DUMMYFUNCTION("GOOGLETRANSLATE(B45,""zh-tw"",""es-MX"")"),"Ataque físico: 16
Ataque mágico: 16
Atributo hielo")</f>
        <v>Ataque físico: 16
Ataque mágico: 16
Atributo hielo</v>
      </c>
      <c r="K45" s="415" t="str">
        <f>IFERROR(__xludf.DUMMYFUNCTION("GOOGLETRANSLATE(A45,""zh-tw"",""KO"")"),"쉐지안")</f>
        <v>쉐지안</v>
      </c>
      <c r="L45" s="210" t="str">
        <f>IFERROR(__xludf.DUMMYFUNCTION("GOOGLETRANSLATE(B45,""zh-tw"",""KO"")"),"물리 공격력: 16
마법 공격력: 16
얼음 속성")</f>
        <v>물리 공격력: 16
마법 공격력: 16
얼음 속성</v>
      </c>
      <c r="M45" s="412" t="s">
        <v>7814</v>
      </c>
      <c r="N45" s="214" t="s">
        <v>7815</v>
      </c>
      <c r="O45" s="412" t="s">
        <v>7816</v>
      </c>
      <c r="P45" s="214" t="s">
        <v>7817</v>
      </c>
      <c r="Q45" s="417" t="s">
        <v>7818</v>
      </c>
      <c r="R45" s="414" t="s">
        <v>7819</v>
      </c>
      <c r="S45" s="209" t="s">
        <v>7820</v>
      </c>
      <c r="T45" s="210" t="s">
        <v>7821</v>
      </c>
      <c r="U45" s="209"/>
      <c r="V45" s="210"/>
      <c r="W45" s="210"/>
      <c r="X45" s="210"/>
      <c r="Y45" s="210"/>
      <c r="Z45" s="210"/>
    </row>
    <row r="46">
      <c r="A46" s="172" t="s">
        <v>7822</v>
      </c>
      <c r="C46" s="172" t="s">
        <v>7823</v>
      </c>
      <c r="E46" s="172" t="s">
        <v>7824</v>
      </c>
      <c r="G46" s="172" t="s">
        <v>7825</v>
      </c>
      <c r="I46" s="172"/>
      <c r="K46" s="172"/>
      <c r="M46" s="172" t="s">
        <v>7826</v>
      </c>
      <c r="O46" s="172"/>
      <c r="Q46" s="175" t="s">
        <v>7827</v>
      </c>
      <c r="S46" s="172" t="s">
        <v>7828</v>
      </c>
      <c r="U46" s="172"/>
      <c r="W46" s="210"/>
      <c r="X46" s="210"/>
      <c r="Y46" s="210"/>
      <c r="Z46" s="210"/>
    </row>
    <row r="47">
      <c r="A47" s="412" t="s">
        <v>7829</v>
      </c>
      <c r="B47" s="214" t="s">
        <v>7830</v>
      </c>
      <c r="C47" s="412" t="s">
        <v>7831</v>
      </c>
      <c r="D47" s="214" t="s">
        <v>7832</v>
      </c>
      <c r="E47" s="411" t="s">
        <v>7833</v>
      </c>
      <c r="F47" s="177" t="s">
        <v>7834</v>
      </c>
      <c r="G47" s="412" t="str">
        <f>IFERROR(__xludf.DUMMYFUNCTION("GOOGLETRANSLATE(A47,""zh-tw"",""zh"")"),"柳叶长剑")</f>
        <v>柳叶长剑</v>
      </c>
      <c r="H47" s="214" t="str">
        <f>IFERROR(__xludf.DUMMYFUNCTION("GOOGLETRANSLATE(B47,""zh-tw"",""zh"")"),"物攻：32
分裂攻击")</f>
        <v>物攻：32
分裂攻击</v>
      </c>
      <c r="I47" s="415" t="str">
        <f>IFERROR(__xludf.DUMMYFUNCTION("GOOGLETRANSLATE(A47,""zh-tw"",""es-MX"")"),"Espada larga de hoja de sauce")</f>
        <v>Espada larga de hoja de sauce</v>
      </c>
      <c r="J47" s="210" t="str">
        <f>IFERROR(__xludf.DUMMYFUNCTION("GOOGLETRANSLATE(B47,""zh-tw"",""es-MX"")"),"Ataque físico: 32 Ataque dividido")</f>
        <v>Ataque físico: 32 Ataque dividido</v>
      </c>
      <c r="K47" s="415" t="str">
        <f>IFERROR(__xludf.DUMMYFUNCTION("GOOGLETRANSLATE(A47,""zh-tw"",""KO"")"),"버드나무 잎 장검")</f>
        <v>버드나무 잎 장검</v>
      </c>
      <c r="L47" s="210" t="str">
        <f>IFERROR(__xludf.DUMMYFUNCTION("GOOGLETRANSLATE(B47,""zh-tw"",""KO"")"),"물리 공격: 32 분할 공격")</f>
        <v>물리 공격: 32 분할 공격</v>
      </c>
      <c r="M47" s="412" t="s">
        <v>7835</v>
      </c>
      <c r="N47" s="214" t="s">
        <v>7836</v>
      </c>
      <c r="O47" s="412" t="s">
        <v>7837</v>
      </c>
      <c r="P47" s="214" t="s">
        <v>7838</v>
      </c>
      <c r="Q47" s="417" t="s">
        <v>7839</v>
      </c>
      <c r="R47" s="418" t="s">
        <v>7840</v>
      </c>
      <c r="S47" s="209" t="s">
        <v>7841</v>
      </c>
      <c r="T47" s="210" t="s">
        <v>7842</v>
      </c>
      <c r="U47" s="209"/>
      <c r="V47" s="210"/>
      <c r="W47" s="210"/>
      <c r="X47" s="210"/>
      <c r="Y47" s="210"/>
      <c r="Z47" s="210"/>
    </row>
    <row r="48">
      <c r="A48" s="412" t="s">
        <v>7843</v>
      </c>
      <c r="B48" s="214" t="s">
        <v>7844</v>
      </c>
      <c r="C48" s="412" t="s">
        <v>7845</v>
      </c>
      <c r="D48" s="214" t="s">
        <v>7846</v>
      </c>
      <c r="E48" s="412" t="s">
        <v>7847</v>
      </c>
      <c r="F48" s="214" t="s">
        <v>7848</v>
      </c>
      <c r="G48" s="412" t="str">
        <f>IFERROR(__xludf.DUMMYFUNCTION("GOOGLETRANSLATE(A48,""zh-tw"",""zh"")"),"斩裂剑提尔锋")</f>
        <v>斩裂剑提尔锋</v>
      </c>
      <c r="H48" s="214" t="str">
        <f>IFERROR(__xludf.DUMMYFUNCTION("GOOGLETRANSLATE(B48,""zh-tw"",""zh"")"),"物攻：40
发射剑波")</f>
        <v>物攻：40
发射剑波</v>
      </c>
      <c r="I48" s="411" t="s">
        <v>7849</v>
      </c>
      <c r="J48" s="210" t="str">
        <f>IFERROR(__xludf.DUMMYFUNCTION("GOOGLETRANSLATE(B48,""zh-tw"",""es-MX"")"),"Ataque físico: 40 Lanza una onda de espada")</f>
        <v>Ataque físico: 40 Lanza una onda de espada</v>
      </c>
      <c r="K48" s="415" t="str">
        <f>IFERROR(__xludf.DUMMYFUNCTION("GOOGLETRANSLATE(A48,""zh-tw"",""KO"")"),"절단검의 날, 티르의 날")</f>
        <v>절단검의 날, 티르의 날</v>
      </c>
      <c r="L48" s="210" t="str">
        <f>IFERROR(__xludf.DUMMYFUNCTION("GOOGLETRANSLATE(B48,""zh-tw"",""KO"")"),"물리 공격: 40 검파를 발사합니다")</f>
        <v>물리 공격: 40 검파를 발사합니다</v>
      </c>
      <c r="M48" s="412" t="s">
        <v>7850</v>
      </c>
      <c r="N48" s="214" t="s">
        <v>7851</v>
      </c>
      <c r="O48" s="412" t="s">
        <v>7852</v>
      </c>
      <c r="P48" s="214" t="s">
        <v>7853</v>
      </c>
      <c r="Q48" s="417" t="s">
        <v>7854</v>
      </c>
      <c r="R48" s="414" t="s">
        <v>7855</v>
      </c>
      <c r="S48" s="209" t="s">
        <v>7847</v>
      </c>
      <c r="T48" s="210" t="s">
        <v>7856</v>
      </c>
      <c r="U48" s="209"/>
      <c r="V48" s="210"/>
      <c r="W48" s="210"/>
      <c r="X48" s="210"/>
      <c r="Y48" s="210"/>
      <c r="Z48" s="210"/>
    </row>
    <row r="49">
      <c r="A49" s="416" t="s">
        <v>7857</v>
      </c>
      <c r="B49" s="166" t="s">
        <v>7858</v>
      </c>
      <c r="C49" s="416" t="s">
        <v>7859</v>
      </c>
      <c r="D49" s="166" t="s">
        <v>7860</v>
      </c>
      <c r="E49" s="416" t="s">
        <v>7861</v>
      </c>
      <c r="F49" s="166" t="s">
        <v>7862</v>
      </c>
      <c r="G49" s="412" t="str">
        <f>IFERROR(__xludf.DUMMYFUNCTION("GOOGLETRANSLATE(A49,""zh-tw"",""zh"")"),"寄坏剑")</f>
        <v>寄坏剑</v>
      </c>
      <c r="H49" s="214" t="str">
        <f>IFERROR(__xludf.DUMMYFUNCTION("GOOGLETRANSLATE(B49,""zh-tw"",""zh"")"),"物攻：36
1.对出血目标增加额外伤害
2.击杀出血状态的目标后，回复血量
(血量允许超量回复，突破生命值上限并且获得霸体)")</f>
        <v>物攻：36
1.对出血目标增加额外伤害
2.击杀出血状态的目标后，回复血量
(血量允许超量回复，突破生命值上限并且获得霸体)</v>
      </c>
      <c r="I49" s="411" t="s">
        <v>7863</v>
      </c>
      <c r="J49" s="210" t="str">
        <f>IFERROR(__xludf.DUMMYFUNCTION("GOOGLETRANSLATE(B49,""zh-tw"",""es-MX"")"),"Ataque físico: 36
1. Inflige daño adicional a objetivos sangrantes.
2. Recupera salud al derrotar a un objetivo sangrante.
(La salud puede recuperarse en exceso, superando el máximo y otorgando invulnerabilidad).")</f>
        <v>Ataque físico: 36
1. Inflige daño adicional a objetivos sangrantes.
2. Recupera salud al derrotar a un objetivo sangrante.
(La salud puede recuperarse en exceso, superando el máximo y otorgando invulnerabilidad).</v>
      </c>
      <c r="K49" s="411" t="s">
        <v>7864</v>
      </c>
      <c r="L49" s="210" t="str">
        <f>IFERROR(__xludf.DUMMYFUNCTION("GOOGLETRANSLATE(B49,""zh-tw"",""KO"")"),"물리 공격력: 36
1. 출혈 상태의 대상에게 추가 피해를 줍니다.
2. 출혈 상태의 대상을 처치하면 체력을 회복합니다.
(체력 회복량이 최대치를 초과하여 무적 상태가 될 수 있습니다.)")</f>
        <v>물리 공격력: 36
1. 출혈 상태의 대상에게 추가 피해를 줍니다.
2. 출혈 상태의 대상을 처치하면 체력을 회복합니다.
(체력 회복량이 최대치를 초과하여 무적 상태가 될 수 있습니다.)</v>
      </c>
      <c r="M49" s="412" t="s">
        <v>7865</v>
      </c>
      <c r="N49" s="214" t="s">
        <v>7866</v>
      </c>
      <c r="O49" s="416" t="s">
        <v>7867</v>
      </c>
      <c r="P49" s="166" t="s">
        <v>7868</v>
      </c>
      <c r="Q49" s="417" t="s">
        <v>7869</v>
      </c>
      <c r="R49" s="418" t="s">
        <v>7870</v>
      </c>
      <c r="S49" s="209" t="s">
        <v>7871</v>
      </c>
      <c r="T49" s="210" t="s">
        <v>7872</v>
      </c>
      <c r="U49" s="209"/>
      <c r="V49" s="210"/>
      <c r="W49" s="210"/>
      <c r="X49" s="210"/>
      <c r="Y49" s="210"/>
      <c r="Z49" s="210"/>
    </row>
    <row r="50">
      <c r="A50" s="412" t="s">
        <v>7873</v>
      </c>
      <c r="B50" s="214" t="s">
        <v>7874</v>
      </c>
      <c r="C50" s="412" t="s">
        <v>7875</v>
      </c>
      <c r="D50" s="214" t="s">
        <v>7876</v>
      </c>
      <c r="E50" s="412" t="s">
        <v>7877</v>
      </c>
      <c r="F50" s="214" t="s">
        <v>7878</v>
      </c>
      <c r="G50" s="412" t="str">
        <f>IFERROR(__xludf.DUMMYFUNCTION("GOOGLETRANSLATE(A50,""zh-tw"",""zh"")"),"2号机")</f>
        <v>2号机</v>
      </c>
      <c r="H50" s="214" t="str">
        <f>IFERROR(__xludf.DUMMYFUNCTION("GOOGLETRANSLATE(B50,""zh-tw"",""zh"")"),"消耗金币进行攻击
物攻：2
魔防：20
幸运：20
*可消耗此物品使初号核心升级
(可于商店车购买)")</f>
        <v>消耗金币进行攻击
物攻：2
魔防：20
幸运：20
*可消耗此物品使初号核心升级
(可于商店车购买)</v>
      </c>
      <c r="I50" s="411" t="s">
        <v>7879</v>
      </c>
      <c r="J50" s="210" t="str">
        <f>IFERROR(__xludf.DUMMYFUNCTION("GOOGLETRANSLATE(B50,""zh-tw"",""es-MX"")"),"Ataca consumiendo monedas de oro.
Ataque físico: 2
Defensa mágica: 20
Suerte: 20
*Este objeto se puede usar para mejorar el Núcleo inicial.
(Disponible en el carrito de la tienda)")</f>
        <v>Ataca consumiendo monedas de oro.
Ataque físico: 2
Defensa mágica: 20
Suerte: 20
*Este objeto se puede usar para mejorar el Núcleo inicial.
(Disponible en el carrito de la tienda)</v>
      </c>
      <c r="K50" s="415" t="str">
        <f>IFERROR(__xludf.DUMMYFUNCTION("GOOGLETRANSLATE(A50,""zh-tw"",""KO"")"),"2단원")</f>
        <v>2단원</v>
      </c>
      <c r="L50" s="210" t="str">
        <f>IFERROR(__xludf.DUMMYFUNCTION("GOOGLETRANSLATE(B50,""zh-tw"",""KO"")"),"금화를 소모하여 공격합니다.
물리 공격력: 2
마법 방어력: 20
행운: 20
*이 아이템은 초기 코어를 업그레이드하는 데 사용할 수 있습니다.
(상점에서 구매 가능)")</f>
        <v>금화를 소모하여 공격합니다.
물리 공격력: 2
마법 방어력: 20
행운: 20
*이 아이템은 초기 코어를 업그레이드하는 데 사용할 수 있습니다.
(상점에서 구매 가능)</v>
      </c>
      <c r="M50" s="412" t="s">
        <v>7880</v>
      </c>
      <c r="N50" s="214" t="s">
        <v>7881</v>
      </c>
      <c r="O50" s="412" t="s">
        <v>7882</v>
      </c>
      <c r="P50" s="214" t="s">
        <v>7883</v>
      </c>
      <c r="Q50" s="417" t="s">
        <v>7884</v>
      </c>
      <c r="R50" s="414" t="s">
        <v>7885</v>
      </c>
      <c r="S50" s="209" t="s">
        <v>7886</v>
      </c>
      <c r="T50" s="210" t="s">
        <v>7887</v>
      </c>
      <c r="U50" s="209"/>
      <c r="V50" s="210"/>
      <c r="W50" s="210"/>
      <c r="X50" s="210"/>
      <c r="Y50" s="210"/>
      <c r="Z50" s="210"/>
    </row>
    <row r="51">
      <c r="A51" s="412" t="s">
        <v>7888</v>
      </c>
      <c r="B51" s="214" t="s">
        <v>7889</v>
      </c>
      <c r="C51" s="412" t="s">
        <v>7890</v>
      </c>
      <c r="D51" s="214" t="s">
        <v>7891</v>
      </c>
      <c r="E51" s="412" t="s">
        <v>7892</v>
      </c>
      <c r="F51" s="214" t="s">
        <v>7893</v>
      </c>
      <c r="G51" s="412" t="str">
        <f>IFERROR(__xludf.DUMMYFUNCTION("GOOGLETRANSLATE(A51,""zh-tw"",""zh"")"),"三头连弓地狱犬")</f>
        <v>三头连弓地狱犬</v>
      </c>
      <c r="H51" s="214" t="str">
        <f>IFERROR(__xludf.DUMMYFUNCTION("GOOGLETRANSLATE(B51,""zh-tw"",""zh"")"),"物攻：32
连发")</f>
        <v>物攻：32
连发</v>
      </c>
      <c r="I51" s="411" t="s">
        <v>7894</v>
      </c>
      <c r="J51" s="210" t="str">
        <f>IFERROR(__xludf.DUMMYFUNCTION("GOOGLETRANSLATE(B51,""zh-tw"",""es-MX"")"),"Ataque físico: 32 (Disparo rápido)")</f>
        <v>Ataque físico: 32 (Disparo rápido)</v>
      </c>
      <c r="K51" s="415" t="str">
        <f>IFERROR(__xludf.DUMMYFUNCTION("GOOGLETRANSLATE(A51,""zh-tw"",""KO"")"),"세 머리 케르베로스")</f>
        <v>세 머리 케르베로스</v>
      </c>
      <c r="L51" s="210" t="str">
        <f>IFERROR(__xludf.DUMMYFUNCTION("GOOGLETRANSLATE(B51,""zh-tw"",""KO"")"),"물리 공격력: 32 (연사)")</f>
        <v>물리 공격력: 32 (연사)</v>
      </c>
      <c r="M51" s="412" t="s">
        <v>7895</v>
      </c>
      <c r="N51" s="214" t="s">
        <v>7896</v>
      </c>
      <c r="O51" s="412" t="s">
        <v>7897</v>
      </c>
      <c r="P51" s="214" t="s">
        <v>7898</v>
      </c>
      <c r="Q51" s="413" t="s">
        <v>7899</v>
      </c>
      <c r="R51" s="414" t="s">
        <v>7900</v>
      </c>
      <c r="S51" s="209" t="s">
        <v>7901</v>
      </c>
      <c r="T51" s="210" t="s">
        <v>7902</v>
      </c>
      <c r="U51" s="209"/>
      <c r="V51" s="210"/>
      <c r="W51" s="210"/>
      <c r="X51" s="210"/>
      <c r="Y51" s="210"/>
      <c r="Z51" s="210"/>
    </row>
    <row r="52">
      <c r="A52" s="172" t="s">
        <v>7903</v>
      </c>
      <c r="C52" s="172" t="s">
        <v>7904</v>
      </c>
      <c r="E52" s="172" t="s">
        <v>7905</v>
      </c>
      <c r="G52" s="172" t="s">
        <v>7906</v>
      </c>
      <c r="I52" s="172"/>
      <c r="K52" s="172"/>
      <c r="M52" s="172" t="s">
        <v>7907</v>
      </c>
      <c r="O52" s="172"/>
      <c r="Q52" s="175" t="s">
        <v>7908</v>
      </c>
      <c r="S52" s="172" t="s">
        <v>7909</v>
      </c>
      <c r="U52" s="172"/>
      <c r="W52" s="210"/>
      <c r="X52" s="210"/>
      <c r="Y52" s="210"/>
      <c r="Z52" s="210"/>
    </row>
    <row r="53">
      <c r="A53" s="412" t="s">
        <v>7910</v>
      </c>
      <c r="B53" s="214" t="s">
        <v>7911</v>
      </c>
      <c r="C53" s="412" t="s">
        <v>7912</v>
      </c>
      <c r="D53" s="214" t="s">
        <v>7913</v>
      </c>
      <c r="E53" s="412" t="s">
        <v>7914</v>
      </c>
      <c r="F53" s="214" t="s">
        <v>7915</v>
      </c>
      <c r="G53" s="412" t="str">
        <f>IFERROR(__xludf.DUMMYFUNCTION("GOOGLETRANSLATE(A53,""zh-tw"",""zh"")"),"克里乌之光")</f>
        <v>克里乌之光</v>
      </c>
      <c r="H53" s="214" t="s">
        <v>7916</v>
      </c>
      <c r="I53" s="411" t="s">
        <v>7914</v>
      </c>
      <c r="J53" s="210" t="str">
        <f>IFERROR(__xludf.DUMMYFUNCTION("GOOGLETRANSLATE(B53,""zh-tw"",""es-MX"")"),"Ataque físico: 32
Ataque mágico: 36
Ignora la defensa, Hoja invisible
*Objeto raro de gacha")</f>
        <v>Ataque físico: 32
Ataque mágico: 36
Ignora la defensa, Hoja invisible
*Objeto raro de gacha</v>
      </c>
      <c r="K53" s="415" t="str">
        <f>IFERROR(__xludf.DUMMYFUNCTION("GOOGLETRANSLATE(A53,""zh-tw"",""KO"")"),"크리우의 빛")</f>
        <v>크리우의 빛</v>
      </c>
      <c r="L53" s="210" t="str">
        <f>IFERROR(__xludf.DUMMYFUNCTION("GOOGLETRANSLATE(B53,""zh-tw"",""KO"")"),"물리 공격력: 32
마법 공격력: 36
방어력 무시, 투명 칼날
*레어 가챠 아이템")</f>
        <v>물리 공격력: 32
마법 공격력: 36
방어력 무시, 투명 칼날
*레어 가챠 아이템</v>
      </c>
      <c r="M53" s="412" t="s">
        <v>7917</v>
      </c>
      <c r="N53" s="214" t="s">
        <v>7918</v>
      </c>
      <c r="O53" s="412" t="s">
        <v>7919</v>
      </c>
      <c r="P53" s="214" t="s">
        <v>7920</v>
      </c>
      <c r="Q53" s="413" t="s">
        <v>7921</v>
      </c>
      <c r="R53" s="414" t="s">
        <v>7922</v>
      </c>
      <c r="S53" s="209" t="s">
        <v>7914</v>
      </c>
      <c r="T53" s="210" t="s">
        <v>7923</v>
      </c>
      <c r="U53" s="209"/>
      <c r="V53" s="210"/>
      <c r="W53" s="210"/>
      <c r="X53" s="210"/>
      <c r="Y53" s="210"/>
      <c r="Z53" s="210"/>
    </row>
    <row r="54">
      <c r="A54" s="412" t="s">
        <v>7924</v>
      </c>
      <c r="B54" s="214" t="s">
        <v>7925</v>
      </c>
      <c r="C54" s="412" t="s">
        <v>7926</v>
      </c>
      <c r="D54" s="214" t="s">
        <v>7927</v>
      </c>
      <c r="E54" s="412" t="s">
        <v>7928</v>
      </c>
      <c r="F54" s="214" t="s">
        <v>7929</v>
      </c>
      <c r="G54" s="412" t="str">
        <f>IFERROR(__xludf.DUMMYFUNCTION("GOOGLETRANSLATE(A54,""zh-tw"",""zh"")"),"荒古荣光")</f>
        <v>荒古荣光</v>
      </c>
      <c r="H54" s="214" t="str">
        <f>IFERROR(__xludf.DUMMYFUNCTION("GOOGLETRANSLATE(B54,""zh-tw"",""zh"")"),"物攻：36
特殊指令强化
*稀有品扭蛋品")</f>
        <v>物攻：36
特殊指令强化
*稀有品扭蛋品</v>
      </c>
      <c r="I54" s="415" t="str">
        <f>IFERROR(__xludf.DUMMYFUNCTION("GOOGLETRANSLATE(A54,""zh-tw"",""es-MX"")"),"Gloria antigua")</f>
        <v>Gloria antigua</v>
      </c>
      <c r="J54" s="210" t="str">
        <f>IFERROR(__xludf.DUMMYFUNCTION("GOOGLETRANSLATE(B54,""zh-tw"",""es-MX"")"),"Ataque físico: 36
Mejora de comando especial
*Objeto raro de gacha")</f>
        <v>Ataque físico: 36
Mejora de comando especial
*Objeto raro de gacha</v>
      </c>
      <c r="K54" s="415" t="str">
        <f>IFERROR(__xludf.DUMMYFUNCTION("GOOGLETRANSLATE(A54,""zh-tw"",""KO"")"),"고대의 영광")</f>
        <v>고대의 영광</v>
      </c>
      <c r="L54" s="210" t="str">
        <f>IFERROR(__xludf.DUMMYFUNCTION("GOOGLETRANSLATE(B54,""zh-tw"",""KO"")"),"물리 공격력: 36
특수 명령 강화
*레어 가챠 아이템")</f>
        <v>물리 공격력: 36
특수 명령 강화
*레어 가챠 아이템</v>
      </c>
      <c r="M54" s="412" t="s">
        <v>7930</v>
      </c>
      <c r="N54" s="214" t="s">
        <v>7931</v>
      </c>
      <c r="O54" s="412" t="s">
        <v>7932</v>
      </c>
      <c r="P54" s="214" t="s">
        <v>7933</v>
      </c>
      <c r="Q54" s="417" t="s">
        <v>7934</v>
      </c>
      <c r="R54" s="414" t="s">
        <v>7935</v>
      </c>
      <c r="S54" s="209" t="s">
        <v>7936</v>
      </c>
      <c r="T54" s="210" t="s">
        <v>7937</v>
      </c>
      <c r="U54" s="209"/>
      <c r="V54" s="210"/>
      <c r="W54" s="210"/>
      <c r="X54" s="210"/>
      <c r="Y54" s="210"/>
      <c r="Z54" s="210"/>
    </row>
    <row r="55">
      <c r="A55" s="411" t="s">
        <v>7938</v>
      </c>
      <c r="B55" s="177" t="s">
        <v>7939</v>
      </c>
      <c r="C55" s="411" t="s">
        <v>7940</v>
      </c>
      <c r="D55" s="177" t="s">
        <v>7941</v>
      </c>
      <c r="E55" s="411" t="s">
        <v>7942</v>
      </c>
      <c r="F55" s="177" t="s">
        <v>7943</v>
      </c>
      <c r="G55" s="411" t="str">
        <f>IFERROR(__xludf.DUMMYFUNCTION("GOOGLETRANSLATE(A55,""zh-tw"",""zh"")"),"仪式的御柱")</f>
        <v>仪式的御柱</v>
      </c>
      <c r="H55" s="177" t="str">
        <f>IFERROR(__xludf.DUMMYFUNCTION("GOOGLETRANSLATE(B55,""zh-tw"",""zh"")"),"物攻：66
物防：6
魔防：66
高耐久度
游戏时间整点时，可提升大量属性增益")</f>
        <v>物攻：66
物防：6
魔防：66
高耐久度
游戏时间整点时，可提升大量属性增益</v>
      </c>
      <c r="I55" s="415" t="str">
        <f>IFERROR(__xludf.DUMMYFUNCTION("GOOGLETRANSLATE(A55,""zh-tw"",""es-MX"")"),"Pilares rituales")</f>
        <v>Pilares rituales</v>
      </c>
      <c r="J55" s="210" t="str">
        <f>IFERROR(__xludf.DUMMYFUNCTION("GOOGLETRANSLATE(B55,""zh-tw"",""es-MX"")"),"Ataque físico: 66
Defensa física: 6
Defensa mágica: 66
Alta resistencia
Al comienzo de la hora de juego, puede aumentar considerablemente las bonificaciones de atributos.")</f>
        <v>Ataque físico: 66
Defensa física: 6
Defensa mágica: 66
Alta resistencia
Al comienzo de la hora de juego, puede aumentar considerablemente las bonificaciones de atributos.</v>
      </c>
      <c r="K55" s="411" t="str">
        <f>IFERROR(__xludf.DUMMYFUNCTION("GOOGLETRANSLATE(A55,""zh-tw"",""KO"")"),"의례 기둥")</f>
        <v>의례 기둥</v>
      </c>
      <c r="L55" s="177" t="str">
        <f>IFERROR(__xludf.DUMMYFUNCTION("GOOGLETRANSLATE(B55,""zh-tw"",""KO"")"),"물리 공격력: 66
물리 방어력: 6
마법 방어력: 66
높은 내구력
게임 시간 중 최고점에 도달하면 속성 보너스가 크게 증가합니다.")</f>
        <v>물리 공격력: 66
물리 방어력: 6
마법 방어력: 66
높은 내구력
게임 시간 중 최고점에 도달하면 속성 보너스가 크게 증가합니다.</v>
      </c>
      <c r="M55" s="412" t="s">
        <v>7944</v>
      </c>
      <c r="N55" s="214" t="s">
        <v>7945</v>
      </c>
      <c r="O55" s="415" t="s">
        <v>7946</v>
      </c>
      <c r="P55" s="210" t="s">
        <v>7947</v>
      </c>
      <c r="Q55" s="419" t="s">
        <v>7948</v>
      </c>
      <c r="R55" s="421" t="s">
        <v>7949</v>
      </c>
      <c r="S55" s="176" t="s">
        <v>7950</v>
      </c>
      <c r="T55" s="177" t="s">
        <v>7951</v>
      </c>
      <c r="U55" s="176"/>
      <c r="V55" s="177"/>
      <c r="W55" s="210"/>
      <c r="X55" s="210"/>
      <c r="Y55" s="210"/>
      <c r="Z55" s="210"/>
    </row>
    <row r="56">
      <c r="A56" s="415"/>
      <c r="B56" s="177"/>
      <c r="C56" s="415"/>
      <c r="D56" s="156"/>
      <c r="E56" s="411"/>
      <c r="F56" s="177"/>
      <c r="G56" s="415"/>
      <c r="H56" s="210"/>
      <c r="I56" s="423"/>
      <c r="J56" s="156"/>
      <c r="K56" s="423"/>
      <c r="L56" s="156"/>
      <c r="M56" s="423"/>
      <c r="N56" s="156"/>
      <c r="O56" s="415"/>
      <c r="P56" s="210"/>
      <c r="Q56" s="209"/>
      <c r="R56" s="210"/>
      <c r="S56" s="209"/>
      <c r="T56" s="210"/>
      <c r="U56" s="209"/>
      <c r="V56" s="210"/>
      <c r="W56" s="210"/>
      <c r="X56" s="210"/>
      <c r="Y56" s="210"/>
      <c r="Z56" s="210"/>
    </row>
    <row r="57">
      <c r="A57" s="415"/>
      <c r="B57" s="210"/>
      <c r="C57" s="415"/>
      <c r="D57" s="156"/>
      <c r="E57" s="415"/>
      <c r="F57" s="210"/>
      <c r="G57" s="415"/>
      <c r="H57" s="210"/>
      <c r="I57" s="423"/>
      <c r="J57" s="156"/>
      <c r="K57" s="423"/>
      <c r="L57" s="156"/>
      <c r="M57" s="423"/>
      <c r="N57" s="156"/>
      <c r="O57" s="415"/>
      <c r="P57" s="210"/>
      <c r="Q57" s="209"/>
      <c r="R57" s="210"/>
      <c r="S57" s="209"/>
      <c r="T57" s="210"/>
      <c r="U57" s="209"/>
      <c r="V57" s="210"/>
      <c r="W57" s="210"/>
      <c r="X57" s="210"/>
      <c r="Y57" s="210"/>
      <c r="Z57" s="210"/>
    </row>
    <row r="58">
      <c r="A58" s="415"/>
      <c r="B58" s="210"/>
      <c r="C58" s="415"/>
      <c r="D58" s="156"/>
      <c r="E58" s="415"/>
      <c r="F58" s="210"/>
      <c r="G58" s="415"/>
      <c r="H58" s="210"/>
      <c r="I58" s="423"/>
      <c r="J58" s="156"/>
      <c r="K58" s="423"/>
      <c r="L58" s="156"/>
      <c r="M58" s="423"/>
      <c r="N58" s="156"/>
      <c r="O58" s="415"/>
      <c r="P58" s="210"/>
      <c r="Q58" s="209"/>
      <c r="R58" s="210"/>
      <c r="S58" s="209"/>
      <c r="T58" s="210"/>
      <c r="U58" s="209"/>
      <c r="V58" s="210"/>
      <c r="W58" s="210"/>
      <c r="X58" s="210"/>
      <c r="Y58" s="210"/>
      <c r="Z58" s="210"/>
    </row>
    <row r="59">
      <c r="A59" s="415"/>
      <c r="B59" s="210"/>
      <c r="C59" s="415"/>
      <c r="D59" s="156"/>
      <c r="E59" s="415"/>
      <c r="F59" s="210"/>
      <c r="G59" s="415"/>
      <c r="H59" s="210"/>
      <c r="I59" s="423"/>
      <c r="J59" s="156"/>
      <c r="K59" s="423"/>
      <c r="L59" s="156"/>
      <c r="M59" s="423"/>
      <c r="N59" s="156"/>
      <c r="O59" s="415"/>
      <c r="P59" s="210"/>
      <c r="Q59" s="209"/>
      <c r="R59" s="210"/>
      <c r="S59" s="209"/>
      <c r="T59" s="210"/>
      <c r="U59" s="209"/>
      <c r="V59" s="210"/>
      <c r="W59" s="210"/>
      <c r="X59" s="210"/>
      <c r="Y59" s="210"/>
      <c r="Z59" s="210"/>
    </row>
    <row r="60">
      <c r="A60" s="415"/>
      <c r="B60" s="210"/>
      <c r="C60" s="415"/>
      <c r="D60" s="156"/>
      <c r="E60" s="415"/>
      <c r="F60" s="210"/>
      <c r="G60" s="415"/>
      <c r="H60" s="210"/>
      <c r="I60" s="423"/>
      <c r="J60" s="156"/>
      <c r="K60" s="423"/>
      <c r="L60" s="156"/>
      <c r="M60" s="423"/>
      <c r="N60" s="156"/>
      <c r="O60" s="415"/>
      <c r="P60" s="210"/>
      <c r="Q60" s="209"/>
      <c r="R60" s="210"/>
      <c r="S60" s="209"/>
      <c r="T60" s="210"/>
      <c r="U60" s="209"/>
      <c r="V60" s="210"/>
      <c r="W60" s="210"/>
      <c r="X60" s="210"/>
      <c r="Y60" s="210"/>
      <c r="Z60" s="210"/>
    </row>
    <row r="61">
      <c r="A61" s="415"/>
      <c r="B61" s="210"/>
      <c r="C61" s="415"/>
      <c r="D61" s="156"/>
      <c r="E61" s="415"/>
      <c r="F61" s="210"/>
      <c r="G61" s="415"/>
      <c r="H61" s="210"/>
      <c r="I61" s="423"/>
      <c r="J61" s="156"/>
      <c r="K61" s="423"/>
      <c r="L61" s="156"/>
      <c r="M61" s="423"/>
      <c r="N61" s="156"/>
      <c r="O61" s="415"/>
      <c r="P61" s="210"/>
      <c r="Q61" s="209"/>
      <c r="R61" s="210"/>
      <c r="S61" s="209"/>
      <c r="T61" s="210"/>
      <c r="U61" s="209"/>
      <c r="V61" s="210"/>
      <c r="W61" s="210"/>
      <c r="X61" s="210"/>
      <c r="Y61" s="210"/>
      <c r="Z61" s="210"/>
    </row>
    <row r="62">
      <c r="A62" s="415"/>
      <c r="B62" s="210"/>
      <c r="C62" s="415"/>
      <c r="D62" s="156"/>
      <c r="E62" s="415"/>
      <c r="F62" s="210"/>
      <c r="G62" s="415"/>
      <c r="H62" s="210"/>
      <c r="I62" s="423"/>
      <c r="J62" s="156"/>
      <c r="K62" s="423"/>
      <c r="L62" s="156"/>
      <c r="M62" s="423"/>
      <c r="N62" s="156"/>
      <c r="O62" s="415"/>
      <c r="P62" s="210"/>
      <c r="Q62" s="209"/>
      <c r="R62" s="210"/>
      <c r="S62" s="209"/>
      <c r="T62" s="210"/>
      <c r="U62" s="209"/>
      <c r="V62" s="210"/>
      <c r="W62" s="210"/>
      <c r="X62" s="210"/>
      <c r="Y62" s="210"/>
      <c r="Z62" s="210"/>
    </row>
    <row r="63">
      <c r="A63" s="415"/>
      <c r="B63" s="210"/>
      <c r="C63" s="415"/>
      <c r="D63" s="156"/>
      <c r="E63" s="415"/>
      <c r="F63" s="210"/>
      <c r="G63" s="415"/>
      <c r="H63" s="210"/>
      <c r="I63" s="423"/>
      <c r="J63" s="156"/>
      <c r="K63" s="423"/>
      <c r="L63" s="156"/>
      <c r="M63" s="423"/>
      <c r="N63" s="156"/>
      <c r="O63" s="415"/>
      <c r="P63" s="210"/>
      <c r="Q63" s="209"/>
      <c r="R63" s="210"/>
      <c r="S63" s="209"/>
      <c r="T63" s="210"/>
      <c r="U63" s="209"/>
      <c r="V63" s="210"/>
      <c r="W63" s="210"/>
      <c r="X63" s="210"/>
      <c r="Y63" s="210"/>
      <c r="Z63" s="210"/>
    </row>
    <row r="64">
      <c r="A64" s="415"/>
      <c r="B64" s="210"/>
      <c r="C64" s="415"/>
      <c r="D64" s="156"/>
      <c r="E64" s="415"/>
      <c r="F64" s="210"/>
      <c r="G64" s="415"/>
      <c r="H64" s="210"/>
      <c r="I64" s="423"/>
      <c r="J64" s="156"/>
      <c r="K64" s="423"/>
      <c r="L64" s="156"/>
      <c r="M64" s="423"/>
      <c r="N64" s="156"/>
      <c r="O64" s="415"/>
      <c r="P64" s="210"/>
      <c r="Q64" s="209"/>
      <c r="R64" s="210"/>
      <c r="S64" s="209"/>
      <c r="T64" s="210"/>
      <c r="U64" s="209"/>
      <c r="V64" s="210"/>
      <c r="W64" s="210"/>
      <c r="X64" s="210"/>
      <c r="Y64" s="210"/>
      <c r="Z64" s="210"/>
    </row>
    <row r="65">
      <c r="A65" s="415"/>
      <c r="B65" s="210"/>
      <c r="C65" s="415"/>
      <c r="D65" s="156"/>
      <c r="E65" s="415"/>
      <c r="F65" s="210"/>
      <c r="G65" s="415"/>
      <c r="H65" s="210"/>
      <c r="I65" s="423"/>
      <c r="J65" s="156"/>
      <c r="K65" s="423"/>
      <c r="L65" s="156"/>
      <c r="M65" s="423"/>
      <c r="N65" s="156"/>
      <c r="O65" s="415"/>
      <c r="P65" s="210"/>
      <c r="Q65" s="209"/>
      <c r="R65" s="210"/>
      <c r="S65" s="209"/>
      <c r="T65" s="210"/>
      <c r="U65" s="209"/>
      <c r="V65" s="210"/>
      <c r="W65" s="210"/>
      <c r="X65" s="210"/>
      <c r="Y65" s="210"/>
      <c r="Z65" s="210"/>
    </row>
    <row r="66">
      <c r="A66" s="415"/>
      <c r="B66" s="210"/>
      <c r="C66" s="415"/>
      <c r="D66" s="156"/>
      <c r="E66" s="415"/>
      <c r="F66" s="210"/>
      <c r="G66" s="415"/>
      <c r="H66" s="210"/>
      <c r="I66" s="423"/>
      <c r="J66" s="156"/>
      <c r="K66" s="423"/>
      <c r="L66" s="156"/>
      <c r="M66" s="423"/>
      <c r="N66" s="156"/>
      <c r="O66" s="415"/>
      <c r="P66" s="210"/>
      <c r="Q66" s="209"/>
      <c r="R66" s="210"/>
      <c r="S66" s="209"/>
      <c r="T66" s="210"/>
      <c r="U66" s="209"/>
      <c r="V66" s="210"/>
      <c r="W66" s="210"/>
      <c r="X66" s="210"/>
      <c r="Y66" s="210"/>
      <c r="Z66" s="210"/>
    </row>
    <row r="67">
      <c r="A67" s="415"/>
      <c r="B67" s="210"/>
      <c r="C67" s="415"/>
      <c r="D67" s="156"/>
      <c r="E67" s="415"/>
      <c r="F67" s="210"/>
      <c r="G67" s="415"/>
      <c r="H67" s="210"/>
      <c r="I67" s="423"/>
      <c r="J67" s="156"/>
      <c r="K67" s="423"/>
      <c r="L67" s="156"/>
      <c r="M67" s="423"/>
      <c r="N67" s="156"/>
      <c r="O67" s="415"/>
      <c r="P67" s="210"/>
      <c r="Q67" s="209"/>
      <c r="R67" s="210"/>
      <c r="S67" s="209"/>
      <c r="T67" s="210"/>
      <c r="U67" s="209"/>
      <c r="V67" s="210"/>
      <c r="W67" s="210"/>
      <c r="X67" s="210"/>
      <c r="Y67" s="210"/>
      <c r="Z67" s="210"/>
    </row>
    <row r="68">
      <c r="A68" s="415"/>
      <c r="B68" s="210"/>
      <c r="C68" s="415"/>
      <c r="D68" s="156"/>
      <c r="E68" s="415"/>
      <c r="F68" s="210"/>
      <c r="G68" s="415"/>
      <c r="H68" s="210"/>
      <c r="I68" s="423"/>
      <c r="J68" s="156"/>
      <c r="K68" s="423"/>
      <c r="L68" s="156"/>
      <c r="M68" s="423"/>
      <c r="N68" s="156"/>
      <c r="O68" s="415"/>
      <c r="P68" s="210"/>
      <c r="Q68" s="209"/>
      <c r="R68" s="210"/>
      <c r="S68" s="209"/>
      <c r="T68" s="210"/>
      <c r="U68" s="209"/>
      <c r="V68" s="210"/>
      <c r="W68" s="210"/>
      <c r="X68" s="210"/>
      <c r="Y68" s="210"/>
      <c r="Z68" s="210"/>
    </row>
    <row r="69">
      <c r="A69" s="415"/>
      <c r="B69" s="210"/>
      <c r="C69" s="415"/>
      <c r="D69" s="156"/>
      <c r="E69" s="415"/>
      <c r="F69" s="210"/>
      <c r="G69" s="415"/>
      <c r="H69" s="210"/>
      <c r="I69" s="423"/>
      <c r="J69" s="156"/>
      <c r="K69" s="423"/>
      <c r="L69" s="156"/>
      <c r="M69" s="423"/>
      <c r="N69" s="156"/>
      <c r="O69" s="415"/>
      <c r="P69" s="210"/>
      <c r="Q69" s="209"/>
      <c r="R69" s="210"/>
      <c r="S69" s="209"/>
      <c r="T69" s="210"/>
      <c r="U69" s="209"/>
      <c r="V69" s="210"/>
      <c r="W69" s="210"/>
      <c r="X69" s="210"/>
      <c r="Y69" s="210"/>
      <c r="Z69" s="210"/>
    </row>
    <row r="70">
      <c r="A70" s="415"/>
      <c r="B70" s="210"/>
      <c r="C70" s="415"/>
      <c r="D70" s="156"/>
      <c r="E70" s="415"/>
      <c r="F70" s="210"/>
      <c r="G70" s="415"/>
      <c r="H70" s="210"/>
      <c r="I70" s="423"/>
      <c r="J70" s="156"/>
      <c r="K70" s="423"/>
      <c r="L70" s="156"/>
      <c r="M70" s="423"/>
      <c r="N70" s="156"/>
      <c r="O70" s="415"/>
      <c r="P70" s="210"/>
      <c r="Q70" s="209"/>
      <c r="R70" s="210"/>
      <c r="S70" s="209"/>
      <c r="T70" s="210"/>
      <c r="U70" s="209"/>
      <c r="V70" s="210"/>
      <c r="W70" s="210"/>
      <c r="X70" s="210"/>
      <c r="Y70" s="210"/>
      <c r="Z70" s="210"/>
    </row>
    <row r="71">
      <c r="A71" s="415"/>
      <c r="B71" s="210"/>
      <c r="C71" s="415"/>
      <c r="D71" s="156"/>
      <c r="E71" s="415"/>
      <c r="F71" s="210"/>
      <c r="G71" s="415"/>
      <c r="H71" s="210"/>
      <c r="I71" s="423"/>
      <c r="J71" s="156"/>
      <c r="K71" s="423"/>
      <c r="L71" s="156"/>
      <c r="M71" s="423"/>
      <c r="N71" s="156"/>
      <c r="O71" s="415"/>
      <c r="P71" s="210"/>
      <c r="Q71" s="209"/>
      <c r="R71" s="210"/>
      <c r="S71" s="209"/>
      <c r="T71" s="210"/>
      <c r="U71" s="209"/>
      <c r="V71" s="210"/>
      <c r="W71" s="210"/>
      <c r="X71" s="210"/>
      <c r="Y71" s="210"/>
      <c r="Z71" s="210"/>
    </row>
    <row r="72">
      <c r="A72" s="415"/>
      <c r="B72" s="210"/>
      <c r="C72" s="415"/>
      <c r="D72" s="156"/>
      <c r="E72" s="415"/>
      <c r="F72" s="210"/>
      <c r="G72" s="415"/>
      <c r="H72" s="210"/>
      <c r="I72" s="423"/>
      <c r="J72" s="156"/>
      <c r="K72" s="423"/>
      <c r="L72" s="156"/>
      <c r="M72" s="423"/>
      <c r="N72" s="156"/>
      <c r="O72" s="415"/>
      <c r="P72" s="210"/>
      <c r="Q72" s="209"/>
      <c r="R72" s="210"/>
      <c r="S72" s="209"/>
      <c r="T72" s="210"/>
      <c r="U72" s="209"/>
      <c r="V72" s="210"/>
      <c r="W72" s="210"/>
      <c r="X72" s="210"/>
      <c r="Y72" s="210"/>
      <c r="Z72" s="210"/>
    </row>
    <row r="73">
      <c r="A73" s="415"/>
      <c r="B73" s="210"/>
      <c r="C73" s="415"/>
      <c r="D73" s="156"/>
      <c r="E73" s="415"/>
      <c r="F73" s="210"/>
      <c r="G73" s="415"/>
      <c r="H73" s="210"/>
      <c r="I73" s="423"/>
      <c r="J73" s="156"/>
      <c r="K73" s="423"/>
      <c r="L73" s="156"/>
      <c r="M73" s="423"/>
      <c r="N73" s="156"/>
      <c r="O73" s="415"/>
      <c r="P73" s="210"/>
      <c r="Q73" s="209"/>
      <c r="R73" s="210"/>
      <c r="S73" s="209"/>
      <c r="T73" s="210"/>
      <c r="U73" s="209"/>
      <c r="V73" s="210"/>
      <c r="W73" s="210"/>
      <c r="X73" s="210"/>
      <c r="Y73" s="210"/>
      <c r="Z73" s="210"/>
    </row>
    <row r="74">
      <c r="A74" s="415"/>
      <c r="B74" s="210"/>
      <c r="C74" s="415"/>
      <c r="D74" s="156"/>
      <c r="E74" s="415"/>
      <c r="F74" s="210"/>
      <c r="G74" s="415"/>
      <c r="H74" s="210"/>
      <c r="I74" s="423"/>
      <c r="J74" s="156"/>
      <c r="K74" s="423"/>
      <c r="L74" s="156"/>
      <c r="M74" s="423"/>
      <c r="N74" s="156"/>
      <c r="O74" s="415"/>
      <c r="P74" s="210"/>
      <c r="Q74" s="209"/>
      <c r="R74" s="210"/>
      <c r="S74" s="209"/>
      <c r="T74" s="210"/>
      <c r="U74" s="209"/>
      <c r="V74" s="210"/>
      <c r="W74" s="210"/>
      <c r="X74" s="210"/>
      <c r="Y74" s="210"/>
      <c r="Z74" s="210"/>
    </row>
    <row r="75">
      <c r="A75" s="415"/>
      <c r="B75" s="210"/>
      <c r="C75" s="415"/>
      <c r="D75" s="156"/>
      <c r="E75" s="415"/>
      <c r="F75" s="210"/>
      <c r="G75" s="415"/>
      <c r="H75" s="210"/>
      <c r="I75" s="423"/>
      <c r="J75" s="156"/>
      <c r="K75" s="423"/>
      <c r="L75" s="156"/>
      <c r="M75" s="423"/>
      <c r="N75" s="156"/>
      <c r="O75" s="415"/>
      <c r="P75" s="210"/>
      <c r="Q75" s="209"/>
      <c r="R75" s="210"/>
      <c r="S75" s="209"/>
      <c r="T75" s="210"/>
      <c r="U75" s="209"/>
      <c r="V75" s="210"/>
      <c r="W75" s="210"/>
      <c r="X75" s="210"/>
      <c r="Y75" s="210"/>
      <c r="Z75" s="210"/>
    </row>
    <row r="76">
      <c r="A76" s="415"/>
      <c r="B76" s="210"/>
      <c r="C76" s="415"/>
      <c r="D76" s="156"/>
      <c r="E76" s="415"/>
      <c r="F76" s="210"/>
      <c r="G76" s="415"/>
      <c r="H76" s="210"/>
      <c r="I76" s="423"/>
      <c r="J76" s="156"/>
      <c r="K76" s="423"/>
      <c r="L76" s="156"/>
      <c r="M76" s="423"/>
      <c r="N76" s="156"/>
      <c r="O76" s="415"/>
      <c r="P76" s="210"/>
      <c r="Q76" s="209"/>
      <c r="R76" s="210"/>
      <c r="S76" s="209"/>
      <c r="T76" s="210"/>
      <c r="U76" s="209"/>
      <c r="V76" s="210"/>
      <c r="W76" s="210"/>
      <c r="X76" s="210"/>
      <c r="Y76" s="210"/>
      <c r="Z76" s="210"/>
    </row>
    <row r="77">
      <c r="A77" s="415"/>
      <c r="B77" s="210"/>
      <c r="C77" s="415"/>
      <c r="D77" s="156"/>
      <c r="E77" s="415"/>
      <c r="F77" s="210"/>
      <c r="G77" s="415"/>
      <c r="H77" s="210"/>
      <c r="I77" s="423"/>
      <c r="J77" s="156"/>
      <c r="K77" s="423"/>
      <c r="L77" s="156"/>
      <c r="M77" s="423"/>
      <c r="N77" s="156"/>
      <c r="O77" s="415"/>
      <c r="P77" s="210"/>
      <c r="Q77" s="209"/>
      <c r="R77" s="210"/>
      <c r="S77" s="209"/>
      <c r="T77" s="210"/>
      <c r="U77" s="209"/>
      <c r="V77" s="210"/>
      <c r="W77" s="210"/>
      <c r="X77" s="210"/>
      <c r="Y77" s="210"/>
      <c r="Z77" s="210"/>
    </row>
    <row r="78">
      <c r="A78" s="415"/>
      <c r="B78" s="210"/>
      <c r="C78" s="415"/>
      <c r="D78" s="156"/>
      <c r="E78" s="415"/>
      <c r="F78" s="210"/>
      <c r="G78" s="415"/>
      <c r="H78" s="210"/>
      <c r="I78" s="423"/>
      <c r="J78" s="156"/>
      <c r="K78" s="423"/>
      <c r="L78" s="156"/>
      <c r="M78" s="423"/>
      <c r="N78" s="156"/>
      <c r="O78" s="415"/>
      <c r="P78" s="210"/>
      <c r="Q78" s="209"/>
      <c r="R78" s="210"/>
      <c r="S78" s="209"/>
      <c r="T78" s="210"/>
      <c r="U78" s="209"/>
      <c r="V78" s="210"/>
      <c r="W78" s="210"/>
      <c r="X78" s="210"/>
      <c r="Y78" s="210"/>
      <c r="Z78" s="210"/>
    </row>
    <row r="79">
      <c r="A79" s="415"/>
      <c r="B79" s="210"/>
      <c r="C79" s="415"/>
      <c r="D79" s="156"/>
      <c r="E79" s="415"/>
      <c r="F79" s="210"/>
      <c r="G79" s="415"/>
      <c r="H79" s="210"/>
      <c r="I79" s="423"/>
      <c r="J79" s="156"/>
      <c r="K79" s="423"/>
      <c r="L79" s="156"/>
      <c r="M79" s="423"/>
      <c r="N79" s="156"/>
      <c r="O79" s="415"/>
      <c r="P79" s="210"/>
      <c r="Q79" s="209"/>
      <c r="R79" s="210"/>
      <c r="S79" s="209"/>
      <c r="T79" s="210"/>
      <c r="U79" s="209"/>
      <c r="V79" s="210"/>
      <c r="W79" s="210"/>
      <c r="X79" s="210"/>
      <c r="Y79" s="210"/>
      <c r="Z79" s="210"/>
    </row>
    <row r="80">
      <c r="A80" s="415"/>
      <c r="B80" s="210"/>
      <c r="C80" s="415"/>
      <c r="D80" s="156"/>
      <c r="E80" s="415"/>
      <c r="F80" s="210"/>
      <c r="G80" s="415"/>
      <c r="H80" s="210"/>
      <c r="I80" s="423"/>
      <c r="J80" s="156"/>
      <c r="K80" s="423"/>
      <c r="L80" s="156"/>
      <c r="M80" s="423"/>
      <c r="N80" s="156"/>
      <c r="O80" s="415"/>
      <c r="P80" s="210"/>
      <c r="Q80" s="209"/>
      <c r="R80" s="210"/>
      <c r="S80" s="209"/>
      <c r="T80" s="210"/>
      <c r="U80" s="209"/>
      <c r="V80" s="210"/>
      <c r="W80" s="210"/>
      <c r="X80" s="210"/>
      <c r="Y80" s="210"/>
      <c r="Z80" s="210"/>
    </row>
    <row r="81">
      <c r="A81" s="415"/>
      <c r="B81" s="210"/>
      <c r="C81" s="415"/>
      <c r="D81" s="156"/>
      <c r="E81" s="415"/>
      <c r="F81" s="210"/>
      <c r="G81" s="415"/>
      <c r="H81" s="210"/>
      <c r="I81" s="423"/>
      <c r="J81" s="156"/>
      <c r="K81" s="423"/>
      <c r="L81" s="156"/>
      <c r="M81" s="423"/>
      <c r="N81" s="156"/>
      <c r="O81" s="415"/>
      <c r="P81" s="210"/>
      <c r="Q81" s="209"/>
      <c r="R81" s="210"/>
      <c r="S81" s="209"/>
      <c r="T81" s="210"/>
      <c r="U81" s="209"/>
      <c r="V81" s="210"/>
      <c r="W81" s="210"/>
      <c r="X81" s="210"/>
      <c r="Y81" s="210"/>
      <c r="Z81" s="210"/>
    </row>
    <row r="82">
      <c r="A82" s="415"/>
      <c r="B82" s="210"/>
      <c r="C82" s="415"/>
      <c r="D82" s="156"/>
      <c r="E82" s="415"/>
      <c r="F82" s="210"/>
      <c r="G82" s="415"/>
      <c r="H82" s="210"/>
      <c r="I82" s="423"/>
      <c r="J82" s="156"/>
      <c r="K82" s="423"/>
      <c r="L82" s="156"/>
      <c r="M82" s="423"/>
      <c r="N82" s="156"/>
      <c r="O82" s="415"/>
      <c r="P82" s="210"/>
      <c r="Q82" s="209"/>
      <c r="R82" s="210"/>
      <c r="S82" s="209"/>
      <c r="T82" s="210"/>
      <c r="U82" s="209"/>
      <c r="V82" s="210"/>
      <c r="W82" s="210"/>
      <c r="X82" s="210"/>
      <c r="Y82" s="210"/>
      <c r="Z82" s="210"/>
    </row>
    <row r="83">
      <c r="A83" s="415"/>
      <c r="B83" s="210"/>
      <c r="C83" s="415"/>
      <c r="D83" s="156"/>
      <c r="E83" s="415"/>
      <c r="F83" s="210"/>
      <c r="G83" s="415"/>
      <c r="H83" s="210"/>
      <c r="I83" s="423"/>
      <c r="J83" s="156"/>
      <c r="K83" s="423"/>
      <c r="L83" s="156"/>
      <c r="M83" s="423"/>
      <c r="N83" s="156"/>
      <c r="O83" s="415"/>
      <c r="P83" s="210"/>
      <c r="Q83" s="209"/>
      <c r="R83" s="210"/>
      <c r="S83" s="209"/>
      <c r="T83" s="210"/>
      <c r="U83" s="209"/>
      <c r="V83" s="210"/>
      <c r="W83" s="210"/>
      <c r="X83" s="210"/>
      <c r="Y83" s="210"/>
      <c r="Z83" s="210"/>
    </row>
    <row r="84">
      <c r="A84" s="415"/>
      <c r="B84" s="210"/>
      <c r="C84" s="415"/>
      <c r="D84" s="156"/>
      <c r="E84" s="415"/>
      <c r="F84" s="210"/>
      <c r="G84" s="415"/>
      <c r="H84" s="210"/>
      <c r="I84" s="423"/>
      <c r="J84" s="156"/>
      <c r="K84" s="423"/>
      <c r="L84" s="156"/>
      <c r="M84" s="423"/>
      <c r="N84" s="156"/>
      <c r="O84" s="415"/>
      <c r="P84" s="210"/>
      <c r="Q84" s="209"/>
      <c r="R84" s="210"/>
      <c r="S84" s="209"/>
      <c r="T84" s="210"/>
      <c r="U84" s="209"/>
      <c r="V84" s="210"/>
      <c r="W84" s="210"/>
      <c r="X84" s="210"/>
      <c r="Y84" s="210"/>
      <c r="Z84" s="210"/>
    </row>
    <row r="85">
      <c r="A85" s="415"/>
      <c r="B85" s="210"/>
      <c r="C85" s="415"/>
      <c r="D85" s="156"/>
      <c r="E85" s="415"/>
      <c r="F85" s="210"/>
      <c r="G85" s="415"/>
      <c r="H85" s="210"/>
      <c r="I85" s="423"/>
      <c r="J85" s="156"/>
      <c r="K85" s="423"/>
      <c r="L85" s="156"/>
      <c r="M85" s="423"/>
      <c r="N85" s="156"/>
      <c r="O85" s="415"/>
      <c r="P85" s="210"/>
      <c r="Q85" s="209"/>
      <c r="R85" s="210"/>
      <c r="S85" s="209"/>
      <c r="T85" s="210"/>
      <c r="U85" s="209"/>
      <c r="V85" s="210"/>
      <c r="W85" s="210"/>
      <c r="X85" s="210"/>
      <c r="Y85" s="210"/>
      <c r="Z85" s="210"/>
    </row>
    <row r="86">
      <c r="A86" s="415"/>
      <c r="B86" s="210"/>
      <c r="C86" s="415"/>
      <c r="D86" s="156"/>
      <c r="E86" s="415"/>
      <c r="F86" s="210"/>
      <c r="G86" s="415"/>
      <c r="H86" s="210"/>
      <c r="I86" s="423"/>
      <c r="J86" s="156"/>
      <c r="K86" s="423"/>
      <c r="L86" s="156"/>
      <c r="M86" s="423"/>
      <c r="N86" s="156"/>
      <c r="O86" s="415"/>
      <c r="P86" s="210"/>
      <c r="Q86" s="209"/>
      <c r="R86" s="210"/>
      <c r="S86" s="209"/>
      <c r="T86" s="210"/>
      <c r="U86" s="209"/>
      <c r="V86" s="210"/>
      <c r="W86" s="210"/>
      <c r="X86" s="210"/>
      <c r="Y86" s="210"/>
      <c r="Z86" s="210"/>
    </row>
    <row r="87">
      <c r="A87" s="415"/>
      <c r="B87" s="210"/>
      <c r="C87" s="415"/>
      <c r="D87" s="156"/>
      <c r="E87" s="415"/>
      <c r="F87" s="210"/>
      <c r="G87" s="415"/>
      <c r="H87" s="210"/>
      <c r="I87" s="423"/>
      <c r="J87" s="156"/>
      <c r="K87" s="423"/>
      <c r="L87" s="156"/>
      <c r="M87" s="423"/>
      <c r="N87" s="156"/>
      <c r="O87" s="415"/>
      <c r="P87" s="210"/>
      <c r="Q87" s="209"/>
      <c r="R87" s="210"/>
      <c r="S87" s="209"/>
      <c r="T87" s="210"/>
      <c r="U87" s="209"/>
      <c r="V87" s="210"/>
      <c r="W87" s="210"/>
      <c r="X87" s="210"/>
      <c r="Y87" s="210"/>
      <c r="Z87" s="210"/>
    </row>
    <row r="88">
      <c r="A88" s="415"/>
      <c r="B88" s="210"/>
      <c r="C88" s="415"/>
      <c r="D88" s="156"/>
      <c r="E88" s="415"/>
      <c r="F88" s="210"/>
      <c r="G88" s="415"/>
      <c r="H88" s="210"/>
      <c r="I88" s="423"/>
      <c r="J88" s="156"/>
      <c r="K88" s="423"/>
      <c r="L88" s="156"/>
      <c r="M88" s="423"/>
      <c r="N88" s="156"/>
      <c r="O88" s="415"/>
      <c r="P88" s="210"/>
      <c r="Q88" s="209"/>
      <c r="R88" s="210"/>
      <c r="S88" s="209"/>
      <c r="T88" s="210"/>
      <c r="U88" s="209"/>
      <c r="V88" s="210"/>
      <c r="W88" s="210"/>
      <c r="X88" s="210"/>
      <c r="Y88" s="210"/>
      <c r="Z88" s="210"/>
    </row>
    <row r="89">
      <c r="A89" s="415"/>
      <c r="B89" s="210"/>
      <c r="C89" s="415"/>
      <c r="D89" s="156"/>
      <c r="E89" s="415"/>
      <c r="F89" s="210"/>
      <c r="G89" s="415"/>
      <c r="H89" s="210"/>
      <c r="I89" s="423"/>
      <c r="J89" s="156"/>
      <c r="K89" s="423"/>
      <c r="L89" s="156"/>
      <c r="M89" s="423"/>
      <c r="N89" s="156"/>
      <c r="O89" s="415"/>
      <c r="P89" s="210"/>
      <c r="Q89" s="209"/>
      <c r="R89" s="210"/>
      <c r="S89" s="209"/>
      <c r="T89" s="210"/>
      <c r="U89" s="209"/>
      <c r="V89" s="210"/>
      <c r="W89" s="210"/>
      <c r="X89" s="210"/>
      <c r="Y89" s="210"/>
      <c r="Z89" s="210"/>
    </row>
    <row r="90">
      <c r="A90" s="415"/>
      <c r="B90" s="210"/>
      <c r="C90" s="415"/>
      <c r="D90" s="156"/>
      <c r="E90" s="415"/>
      <c r="F90" s="210"/>
      <c r="G90" s="415"/>
      <c r="H90" s="210"/>
      <c r="I90" s="423"/>
      <c r="J90" s="156"/>
      <c r="K90" s="423"/>
      <c r="L90" s="156"/>
      <c r="M90" s="423"/>
      <c r="N90" s="156"/>
      <c r="O90" s="415"/>
      <c r="P90" s="210"/>
      <c r="Q90" s="209"/>
      <c r="R90" s="210"/>
      <c r="S90" s="209"/>
      <c r="T90" s="210"/>
      <c r="U90" s="209"/>
      <c r="V90" s="210"/>
      <c r="W90" s="210"/>
      <c r="X90" s="210"/>
      <c r="Y90" s="210"/>
      <c r="Z90" s="210"/>
    </row>
    <row r="91">
      <c r="A91" s="415"/>
      <c r="B91" s="210"/>
      <c r="C91" s="415"/>
      <c r="D91" s="156"/>
      <c r="E91" s="415"/>
      <c r="F91" s="210"/>
      <c r="G91" s="415"/>
      <c r="H91" s="210"/>
      <c r="I91" s="423"/>
      <c r="J91" s="156"/>
      <c r="K91" s="423"/>
      <c r="L91" s="156"/>
      <c r="M91" s="423"/>
      <c r="N91" s="156"/>
      <c r="O91" s="415"/>
      <c r="P91" s="210"/>
      <c r="Q91" s="209"/>
      <c r="R91" s="210"/>
      <c r="S91" s="209"/>
      <c r="T91" s="210"/>
      <c r="U91" s="209"/>
      <c r="V91" s="210"/>
      <c r="W91" s="210"/>
      <c r="X91" s="210"/>
      <c r="Y91" s="210"/>
      <c r="Z91" s="210"/>
    </row>
    <row r="92">
      <c r="A92" s="415"/>
      <c r="B92" s="210"/>
      <c r="C92" s="415"/>
      <c r="D92" s="156"/>
      <c r="E92" s="415"/>
      <c r="F92" s="210"/>
      <c r="G92" s="415"/>
      <c r="H92" s="210"/>
      <c r="I92" s="423"/>
      <c r="J92" s="156"/>
      <c r="K92" s="423"/>
      <c r="L92" s="156"/>
      <c r="M92" s="423"/>
      <c r="N92" s="156"/>
      <c r="O92" s="415"/>
      <c r="P92" s="210"/>
      <c r="Q92" s="209"/>
      <c r="R92" s="210"/>
      <c r="S92" s="209"/>
      <c r="T92" s="210"/>
      <c r="U92" s="209"/>
      <c r="V92" s="210"/>
      <c r="W92" s="210"/>
      <c r="X92" s="210"/>
      <c r="Y92" s="210"/>
      <c r="Z92" s="210"/>
    </row>
    <row r="93">
      <c r="A93" s="415"/>
      <c r="B93" s="210"/>
      <c r="C93" s="415"/>
      <c r="D93" s="156"/>
      <c r="E93" s="415"/>
      <c r="F93" s="210"/>
      <c r="G93" s="415"/>
      <c r="H93" s="210"/>
      <c r="I93" s="423"/>
      <c r="J93" s="156"/>
      <c r="K93" s="423"/>
      <c r="L93" s="156"/>
      <c r="M93" s="423"/>
      <c r="N93" s="156"/>
      <c r="O93" s="415"/>
      <c r="P93" s="210"/>
      <c r="Q93" s="424"/>
      <c r="R93" s="83"/>
      <c r="S93" s="209"/>
      <c r="T93" s="210"/>
      <c r="U93" s="209"/>
      <c r="V93" s="210"/>
      <c r="W93" s="210"/>
      <c r="X93" s="210"/>
      <c r="Y93" s="210"/>
      <c r="Z93" s="210"/>
    </row>
    <row r="94">
      <c r="A94" s="415"/>
      <c r="B94" s="210"/>
      <c r="C94" s="415"/>
      <c r="D94" s="156"/>
      <c r="E94" s="415"/>
      <c r="F94" s="210"/>
      <c r="G94" s="415"/>
      <c r="H94" s="210"/>
      <c r="I94" s="423"/>
      <c r="J94" s="156"/>
      <c r="K94" s="423"/>
      <c r="L94" s="156"/>
      <c r="M94" s="423"/>
      <c r="N94" s="156"/>
      <c r="O94" s="415"/>
      <c r="P94" s="210"/>
      <c r="Q94" s="424"/>
      <c r="R94" s="83"/>
      <c r="S94" s="209"/>
      <c r="T94" s="210"/>
      <c r="U94" s="209"/>
      <c r="V94" s="210"/>
      <c r="W94" s="210"/>
      <c r="X94" s="210"/>
      <c r="Y94" s="210"/>
      <c r="Z94" s="210"/>
    </row>
    <row r="95">
      <c r="A95" s="415"/>
      <c r="B95" s="210"/>
      <c r="C95" s="415"/>
      <c r="D95" s="156"/>
      <c r="E95" s="415"/>
      <c r="F95" s="210"/>
      <c r="G95" s="415"/>
      <c r="H95" s="210"/>
      <c r="I95" s="423"/>
      <c r="J95" s="156"/>
      <c r="K95" s="423"/>
      <c r="L95" s="156"/>
      <c r="M95" s="423"/>
      <c r="N95" s="156"/>
      <c r="O95" s="415"/>
      <c r="P95" s="210"/>
      <c r="Q95" s="424"/>
      <c r="R95" s="83"/>
      <c r="S95" s="209"/>
      <c r="T95" s="210"/>
      <c r="U95" s="209"/>
      <c r="V95" s="210"/>
      <c r="W95" s="210"/>
      <c r="X95" s="210"/>
      <c r="Y95" s="210"/>
      <c r="Z95" s="210"/>
    </row>
    <row r="96">
      <c r="A96" s="415"/>
      <c r="B96" s="210"/>
      <c r="C96" s="415"/>
      <c r="D96" s="156"/>
      <c r="E96" s="415"/>
      <c r="F96" s="210"/>
      <c r="G96" s="415"/>
      <c r="H96" s="210"/>
      <c r="I96" s="423"/>
      <c r="J96" s="156"/>
      <c r="K96" s="423"/>
      <c r="L96" s="156"/>
      <c r="M96" s="423"/>
      <c r="N96" s="156"/>
      <c r="O96" s="415"/>
      <c r="P96" s="210"/>
      <c r="Q96" s="424"/>
      <c r="R96" s="83"/>
      <c r="S96" s="209"/>
      <c r="T96" s="210"/>
      <c r="U96" s="209"/>
      <c r="V96" s="210"/>
      <c r="W96" s="210"/>
      <c r="X96" s="210"/>
      <c r="Y96" s="210"/>
      <c r="Z96" s="210"/>
    </row>
    <row r="97">
      <c r="A97" s="415"/>
      <c r="B97" s="210"/>
      <c r="C97" s="415"/>
      <c r="D97" s="156"/>
      <c r="E97" s="415"/>
      <c r="F97" s="210"/>
      <c r="G97" s="415"/>
      <c r="H97" s="210"/>
      <c r="I97" s="423"/>
      <c r="J97" s="156"/>
      <c r="K97" s="423"/>
      <c r="L97" s="156"/>
      <c r="M97" s="423"/>
      <c r="N97" s="156"/>
      <c r="O97" s="415"/>
      <c r="P97" s="210"/>
      <c r="Q97" s="424"/>
      <c r="R97" s="83"/>
      <c r="S97" s="209"/>
      <c r="T97" s="210"/>
      <c r="U97" s="209"/>
      <c r="V97" s="210"/>
      <c r="W97" s="210"/>
      <c r="X97" s="210"/>
      <c r="Y97" s="210"/>
      <c r="Z97" s="210"/>
    </row>
    <row r="98">
      <c r="A98" s="415"/>
      <c r="B98" s="210"/>
      <c r="C98" s="415"/>
      <c r="D98" s="156"/>
      <c r="E98" s="415"/>
      <c r="F98" s="210"/>
      <c r="G98" s="415"/>
      <c r="H98" s="210"/>
      <c r="I98" s="423"/>
      <c r="J98" s="156"/>
      <c r="K98" s="423"/>
      <c r="L98" s="156"/>
      <c r="M98" s="423"/>
      <c r="N98" s="156"/>
      <c r="O98" s="415"/>
      <c r="P98" s="210"/>
      <c r="Q98" s="424"/>
      <c r="R98" s="83"/>
      <c r="S98" s="209"/>
      <c r="T98" s="210"/>
      <c r="U98" s="209"/>
      <c r="V98" s="210"/>
      <c r="W98" s="210"/>
      <c r="X98" s="210"/>
      <c r="Y98" s="210"/>
      <c r="Z98" s="210"/>
    </row>
    <row r="99">
      <c r="A99" s="415"/>
      <c r="B99" s="210"/>
      <c r="C99" s="415"/>
      <c r="D99" s="156"/>
      <c r="E99" s="415"/>
      <c r="F99" s="210"/>
      <c r="G99" s="415"/>
      <c r="H99" s="210"/>
      <c r="I99" s="423"/>
      <c r="J99" s="156"/>
      <c r="K99" s="423"/>
      <c r="L99" s="156"/>
      <c r="M99" s="423"/>
      <c r="N99" s="156"/>
      <c r="O99" s="415"/>
      <c r="P99" s="210"/>
      <c r="Q99" s="424"/>
      <c r="R99" s="83"/>
      <c r="S99" s="209"/>
      <c r="T99" s="210"/>
      <c r="U99" s="209"/>
      <c r="V99" s="210"/>
      <c r="W99" s="210"/>
      <c r="X99" s="210"/>
      <c r="Y99" s="210"/>
      <c r="Z99" s="210"/>
    </row>
    <row r="100">
      <c r="A100" s="415"/>
      <c r="B100" s="210"/>
      <c r="C100" s="415"/>
      <c r="D100" s="156"/>
      <c r="E100" s="415"/>
      <c r="F100" s="210"/>
      <c r="G100" s="415"/>
      <c r="H100" s="210"/>
      <c r="I100" s="423"/>
      <c r="J100" s="156"/>
      <c r="K100" s="423"/>
      <c r="L100" s="156"/>
      <c r="M100" s="423"/>
      <c r="N100" s="156"/>
      <c r="O100" s="415"/>
      <c r="P100" s="210"/>
      <c r="Q100" s="424"/>
      <c r="R100" s="83"/>
      <c r="S100" s="209"/>
      <c r="T100" s="210"/>
      <c r="U100" s="209"/>
      <c r="V100" s="210"/>
      <c r="W100" s="210"/>
      <c r="X100" s="210"/>
      <c r="Y100" s="210"/>
      <c r="Z100" s="210"/>
    </row>
    <row r="101">
      <c r="A101" s="415"/>
      <c r="B101" s="210"/>
      <c r="C101" s="415"/>
      <c r="D101" s="156"/>
      <c r="E101" s="415"/>
      <c r="F101" s="210"/>
      <c r="G101" s="415"/>
      <c r="H101" s="210"/>
      <c r="I101" s="423"/>
      <c r="J101" s="156"/>
      <c r="K101" s="423"/>
      <c r="L101" s="156"/>
      <c r="M101" s="423"/>
      <c r="N101" s="156"/>
      <c r="O101" s="415"/>
      <c r="P101" s="210"/>
      <c r="Q101" s="424"/>
      <c r="R101" s="83"/>
      <c r="S101" s="209"/>
      <c r="T101" s="210"/>
      <c r="U101" s="209"/>
      <c r="V101" s="210"/>
      <c r="W101" s="210"/>
      <c r="X101" s="210"/>
      <c r="Y101" s="210"/>
      <c r="Z101" s="210"/>
    </row>
    <row r="102">
      <c r="A102" s="415"/>
      <c r="B102" s="210"/>
      <c r="C102" s="415"/>
      <c r="D102" s="156"/>
      <c r="E102" s="415"/>
      <c r="F102" s="210"/>
      <c r="G102" s="415"/>
      <c r="H102" s="210"/>
      <c r="I102" s="423"/>
      <c r="J102" s="156"/>
      <c r="K102" s="423"/>
      <c r="L102" s="156"/>
      <c r="M102" s="423"/>
      <c r="N102" s="156"/>
      <c r="O102" s="415"/>
      <c r="P102" s="210"/>
      <c r="Q102" s="424"/>
      <c r="R102" s="83"/>
      <c r="S102" s="209"/>
      <c r="T102" s="210"/>
      <c r="U102" s="209"/>
      <c r="V102" s="210"/>
      <c r="W102" s="210"/>
      <c r="X102" s="210"/>
      <c r="Y102" s="210"/>
      <c r="Z102" s="210"/>
    </row>
    <row r="103">
      <c r="A103" s="415"/>
      <c r="B103" s="210"/>
      <c r="C103" s="415"/>
      <c r="D103" s="156"/>
      <c r="E103" s="415"/>
      <c r="F103" s="210"/>
      <c r="G103" s="415"/>
      <c r="H103" s="210"/>
      <c r="I103" s="423"/>
      <c r="J103" s="156"/>
      <c r="K103" s="423"/>
      <c r="L103" s="156"/>
      <c r="M103" s="423"/>
      <c r="N103" s="156"/>
      <c r="O103" s="415"/>
      <c r="P103" s="210"/>
      <c r="Q103" s="424"/>
      <c r="R103" s="83"/>
      <c r="S103" s="209"/>
      <c r="T103" s="210"/>
      <c r="U103" s="209"/>
      <c r="V103" s="210"/>
      <c r="W103" s="210"/>
      <c r="X103" s="210"/>
      <c r="Y103" s="210"/>
      <c r="Z103" s="210"/>
    </row>
    <row r="104">
      <c r="A104" s="415"/>
      <c r="B104" s="210"/>
      <c r="C104" s="415"/>
      <c r="D104" s="156"/>
      <c r="E104" s="415"/>
      <c r="F104" s="210"/>
      <c r="G104" s="415"/>
      <c r="H104" s="210"/>
      <c r="I104" s="423"/>
      <c r="J104" s="156"/>
      <c r="K104" s="423"/>
      <c r="L104" s="156"/>
      <c r="M104" s="423"/>
      <c r="N104" s="156"/>
      <c r="O104" s="415"/>
      <c r="P104" s="210"/>
      <c r="Q104" s="424"/>
      <c r="R104" s="83"/>
      <c r="S104" s="209"/>
      <c r="T104" s="210"/>
      <c r="U104" s="209"/>
      <c r="V104" s="210"/>
      <c r="W104" s="210"/>
      <c r="X104" s="210"/>
      <c r="Y104" s="210"/>
      <c r="Z104" s="210"/>
    </row>
    <row r="105">
      <c r="A105" s="415"/>
      <c r="B105" s="210"/>
      <c r="C105" s="415"/>
      <c r="D105" s="156"/>
      <c r="E105" s="415"/>
      <c r="F105" s="210"/>
      <c r="G105" s="415"/>
      <c r="H105" s="210"/>
      <c r="I105" s="423"/>
      <c r="J105" s="156"/>
      <c r="K105" s="423"/>
      <c r="L105" s="156"/>
      <c r="M105" s="423"/>
      <c r="N105" s="156"/>
      <c r="O105" s="415"/>
      <c r="P105" s="210"/>
      <c r="Q105" s="424"/>
      <c r="R105" s="83"/>
      <c r="S105" s="209"/>
      <c r="T105" s="210"/>
      <c r="U105" s="209"/>
      <c r="V105" s="210"/>
      <c r="W105" s="210"/>
      <c r="X105" s="210"/>
      <c r="Y105" s="210"/>
      <c r="Z105" s="210"/>
    </row>
    <row r="106">
      <c r="A106" s="415"/>
      <c r="B106" s="210"/>
      <c r="C106" s="415"/>
      <c r="D106" s="156"/>
      <c r="E106" s="415"/>
      <c r="F106" s="210"/>
      <c r="G106" s="415"/>
      <c r="H106" s="210"/>
      <c r="I106" s="423"/>
      <c r="J106" s="156"/>
      <c r="K106" s="423"/>
      <c r="L106" s="156"/>
      <c r="M106" s="423"/>
      <c r="N106" s="156"/>
      <c r="O106" s="415"/>
      <c r="P106" s="210"/>
      <c r="Q106" s="424"/>
      <c r="R106" s="83"/>
      <c r="S106" s="209"/>
      <c r="T106" s="210"/>
      <c r="U106" s="209"/>
      <c r="V106" s="210"/>
      <c r="W106" s="210"/>
      <c r="X106" s="210"/>
      <c r="Y106" s="210"/>
      <c r="Z106" s="210"/>
    </row>
    <row r="107">
      <c r="A107" s="415"/>
      <c r="B107" s="210"/>
      <c r="C107" s="415"/>
      <c r="D107" s="156"/>
      <c r="E107" s="415"/>
      <c r="F107" s="210"/>
      <c r="G107" s="415"/>
      <c r="H107" s="210"/>
      <c r="I107" s="423"/>
      <c r="J107" s="156"/>
      <c r="K107" s="423"/>
      <c r="L107" s="156"/>
      <c r="M107" s="423"/>
      <c r="N107" s="156"/>
      <c r="O107" s="415"/>
      <c r="P107" s="210"/>
      <c r="Q107" s="424"/>
      <c r="R107" s="83"/>
      <c r="S107" s="209"/>
      <c r="T107" s="210"/>
      <c r="U107" s="209"/>
      <c r="V107" s="210"/>
      <c r="W107" s="210"/>
      <c r="X107" s="210"/>
      <c r="Y107" s="210"/>
      <c r="Z107" s="210"/>
    </row>
    <row r="108">
      <c r="A108" s="415"/>
      <c r="B108" s="210"/>
      <c r="C108" s="415"/>
      <c r="D108" s="156"/>
      <c r="E108" s="415"/>
      <c r="F108" s="210"/>
      <c r="G108" s="415"/>
      <c r="H108" s="210"/>
      <c r="I108" s="423"/>
      <c r="J108" s="156"/>
      <c r="K108" s="423"/>
      <c r="L108" s="156"/>
      <c r="M108" s="423"/>
      <c r="N108" s="156"/>
      <c r="O108" s="415"/>
      <c r="P108" s="210"/>
      <c r="Q108" s="424"/>
      <c r="R108" s="83"/>
      <c r="S108" s="209"/>
      <c r="T108" s="210"/>
      <c r="U108" s="209"/>
      <c r="V108" s="210"/>
      <c r="W108" s="210"/>
      <c r="X108" s="210"/>
      <c r="Y108" s="210"/>
      <c r="Z108" s="210"/>
    </row>
    <row r="109">
      <c r="A109" s="415"/>
      <c r="B109" s="210"/>
      <c r="C109" s="415"/>
      <c r="D109" s="156"/>
      <c r="E109" s="415"/>
      <c r="F109" s="210"/>
      <c r="G109" s="415"/>
      <c r="H109" s="210"/>
      <c r="I109" s="423"/>
      <c r="J109" s="156"/>
      <c r="K109" s="423"/>
      <c r="L109" s="156"/>
      <c r="M109" s="423"/>
      <c r="N109" s="156"/>
      <c r="O109" s="415"/>
      <c r="P109" s="210"/>
      <c r="Q109" s="424"/>
      <c r="R109" s="83"/>
      <c r="S109" s="209"/>
      <c r="T109" s="210"/>
      <c r="U109" s="209"/>
      <c r="V109" s="210"/>
      <c r="W109" s="210"/>
      <c r="X109" s="210"/>
      <c r="Y109" s="210"/>
      <c r="Z109" s="210"/>
    </row>
    <row r="110">
      <c r="A110" s="415"/>
      <c r="B110" s="210"/>
      <c r="C110" s="415"/>
      <c r="D110" s="156"/>
      <c r="E110" s="415"/>
      <c r="F110" s="210"/>
      <c r="G110" s="415"/>
      <c r="H110" s="210"/>
      <c r="I110" s="423"/>
      <c r="J110" s="156"/>
      <c r="K110" s="423"/>
      <c r="L110" s="156"/>
      <c r="M110" s="423"/>
      <c r="N110" s="156"/>
      <c r="O110" s="415"/>
      <c r="P110" s="210"/>
      <c r="Q110" s="424"/>
      <c r="R110" s="83"/>
      <c r="S110" s="209"/>
      <c r="T110" s="210"/>
      <c r="U110" s="209"/>
      <c r="V110" s="210"/>
      <c r="W110" s="210"/>
      <c r="X110" s="210"/>
      <c r="Y110" s="210"/>
      <c r="Z110" s="210"/>
    </row>
    <row r="111">
      <c r="A111" s="415"/>
      <c r="B111" s="210"/>
      <c r="C111" s="415"/>
      <c r="D111" s="156"/>
      <c r="E111" s="415"/>
      <c r="F111" s="210"/>
      <c r="G111" s="415"/>
      <c r="H111" s="210"/>
      <c r="I111" s="423"/>
      <c r="J111" s="156"/>
      <c r="K111" s="423"/>
      <c r="L111" s="156"/>
      <c r="M111" s="423"/>
      <c r="N111" s="156"/>
      <c r="O111" s="415"/>
      <c r="P111" s="210"/>
      <c r="Q111" s="424"/>
      <c r="R111" s="83"/>
      <c r="S111" s="209"/>
      <c r="T111" s="210"/>
      <c r="U111" s="209"/>
      <c r="V111" s="210"/>
      <c r="W111" s="210"/>
      <c r="X111" s="210"/>
      <c r="Y111" s="210"/>
      <c r="Z111" s="210"/>
    </row>
    <row r="112">
      <c r="A112" s="415"/>
      <c r="B112" s="210"/>
      <c r="C112" s="415"/>
      <c r="D112" s="156"/>
      <c r="E112" s="415"/>
      <c r="F112" s="210"/>
      <c r="G112" s="415"/>
      <c r="H112" s="210"/>
      <c r="I112" s="423"/>
      <c r="J112" s="156"/>
      <c r="K112" s="423"/>
      <c r="L112" s="156"/>
      <c r="M112" s="423"/>
      <c r="N112" s="156"/>
      <c r="O112" s="415"/>
      <c r="P112" s="210"/>
      <c r="Q112" s="424"/>
      <c r="R112" s="83"/>
      <c r="S112" s="209"/>
      <c r="T112" s="210"/>
      <c r="U112" s="209"/>
      <c r="V112" s="210"/>
      <c r="W112" s="210"/>
      <c r="X112" s="210"/>
      <c r="Y112" s="210"/>
      <c r="Z112" s="210"/>
    </row>
    <row r="113">
      <c r="A113" s="415"/>
      <c r="B113" s="210"/>
      <c r="C113" s="415"/>
      <c r="D113" s="156"/>
      <c r="E113" s="415"/>
      <c r="F113" s="210"/>
      <c r="G113" s="415"/>
      <c r="H113" s="210"/>
      <c r="I113" s="423"/>
      <c r="J113" s="156"/>
      <c r="K113" s="423"/>
      <c r="L113" s="156"/>
      <c r="M113" s="423"/>
      <c r="N113" s="156"/>
      <c r="O113" s="415"/>
      <c r="P113" s="210"/>
      <c r="Q113" s="424"/>
      <c r="R113" s="83"/>
      <c r="S113" s="209"/>
      <c r="T113" s="210"/>
      <c r="U113" s="209"/>
      <c r="V113" s="210"/>
      <c r="W113" s="210"/>
      <c r="X113" s="210"/>
      <c r="Y113" s="210"/>
      <c r="Z113" s="210"/>
    </row>
    <row r="114">
      <c r="A114" s="415"/>
      <c r="B114" s="210"/>
      <c r="C114" s="415"/>
      <c r="D114" s="156"/>
      <c r="E114" s="415"/>
      <c r="F114" s="210"/>
      <c r="G114" s="415"/>
      <c r="H114" s="210"/>
      <c r="I114" s="423"/>
      <c r="J114" s="156"/>
      <c r="K114" s="423"/>
      <c r="L114" s="156"/>
      <c r="M114" s="423"/>
      <c r="N114" s="156"/>
      <c r="O114" s="415"/>
      <c r="P114" s="210"/>
      <c r="Q114" s="424"/>
      <c r="R114" s="83"/>
      <c r="S114" s="209"/>
      <c r="T114" s="210"/>
      <c r="U114" s="209"/>
      <c r="V114" s="210"/>
      <c r="W114" s="210"/>
      <c r="X114" s="210"/>
      <c r="Y114" s="210"/>
      <c r="Z114" s="210"/>
    </row>
    <row r="115">
      <c r="A115" s="415"/>
      <c r="B115" s="210"/>
      <c r="C115" s="415"/>
      <c r="D115" s="156"/>
      <c r="E115" s="415"/>
      <c r="F115" s="210"/>
      <c r="G115" s="415"/>
      <c r="H115" s="210"/>
      <c r="I115" s="423"/>
      <c r="J115" s="156"/>
      <c r="K115" s="423"/>
      <c r="L115" s="156"/>
      <c r="M115" s="423"/>
      <c r="N115" s="156"/>
      <c r="O115" s="415"/>
      <c r="P115" s="210"/>
      <c r="Q115" s="424"/>
      <c r="R115" s="83"/>
      <c r="S115" s="209"/>
      <c r="T115" s="210"/>
      <c r="U115" s="209"/>
      <c r="V115" s="210"/>
      <c r="W115" s="210"/>
      <c r="X115" s="210"/>
      <c r="Y115" s="210"/>
      <c r="Z115" s="210"/>
    </row>
    <row r="116">
      <c r="A116" s="415"/>
      <c r="B116" s="210"/>
      <c r="C116" s="415"/>
      <c r="D116" s="156"/>
      <c r="E116" s="415"/>
      <c r="F116" s="210"/>
      <c r="G116" s="415"/>
      <c r="H116" s="210"/>
      <c r="I116" s="423"/>
      <c r="J116" s="156"/>
      <c r="K116" s="423"/>
      <c r="L116" s="156"/>
      <c r="M116" s="423"/>
      <c r="N116" s="156"/>
      <c r="O116" s="415"/>
      <c r="P116" s="210"/>
      <c r="Q116" s="424"/>
      <c r="R116" s="83"/>
      <c r="S116" s="209"/>
      <c r="T116" s="210"/>
      <c r="U116" s="209"/>
      <c r="V116" s="210"/>
      <c r="W116" s="210"/>
      <c r="X116" s="210"/>
      <c r="Y116" s="210"/>
      <c r="Z116" s="210"/>
    </row>
    <row r="117">
      <c r="A117" s="415"/>
      <c r="B117" s="210"/>
      <c r="C117" s="415"/>
      <c r="D117" s="156"/>
      <c r="E117" s="415"/>
      <c r="F117" s="210"/>
      <c r="G117" s="415"/>
      <c r="H117" s="210"/>
      <c r="I117" s="423"/>
      <c r="J117" s="156"/>
      <c r="K117" s="423"/>
      <c r="L117" s="156"/>
      <c r="M117" s="423"/>
      <c r="N117" s="156"/>
      <c r="O117" s="415"/>
      <c r="P117" s="210"/>
      <c r="Q117" s="424"/>
      <c r="R117" s="83"/>
      <c r="S117" s="209"/>
      <c r="T117" s="210"/>
      <c r="U117" s="209"/>
      <c r="V117" s="210"/>
      <c r="W117" s="210"/>
      <c r="X117" s="210"/>
      <c r="Y117" s="210"/>
      <c r="Z117" s="210"/>
    </row>
    <row r="118">
      <c r="A118" s="415"/>
      <c r="B118" s="210"/>
      <c r="C118" s="415"/>
      <c r="D118" s="156"/>
      <c r="E118" s="415"/>
      <c r="F118" s="210"/>
      <c r="G118" s="415"/>
      <c r="H118" s="210"/>
      <c r="I118" s="423"/>
      <c r="J118" s="156"/>
      <c r="K118" s="423"/>
      <c r="L118" s="156"/>
      <c r="M118" s="423"/>
      <c r="N118" s="156"/>
      <c r="O118" s="415"/>
      <c r="P118" s="210"/>
      <c r="Q118" s="424"/>
      <c r="R118" s="83"/>
      <c r="S118" s="209"/>
      <c r="T118" s="210"/>
      <c r="U118" s="209"/>
      <c r="V118" s="210"/>
      <c r="W118" s="210"/>
      <c r="X118" s="210"/>
      <c r="Y118" s="210"/>
      <c r="Z118" s="210"/>
    </row>
    <row r="119">
      <c r="A119" s="415"/>
      <c r="B119" s="210"/>
      <c r="C119" s="415"/>
      <c r="D119" s="156"/>
      <c r="E119" s="415"/>
      <c r="F119" s="210"/>
      <c r="G119" s="415"/>
      <c r="H119" s="210"/>
      <c r="I119" s="423"/>
      <c r="J119" s="156"/>
      <c r="K119" s="423"/>
      <c r="L119" s="156"/>
      <c r="M119" s="423"/>
      <c r="N119" s="156"/>
      <c r="O119" s="415"/>
      <c r="P119" s="210"/>
      <c r="Q119" s="424"/>
      <c r="R119" s="83"/>
      <c r="S119" s="209"/>
      <c r="T119" s="210"/>
      <c r="U119" s="209"/>
      <c r="V119" s="210"/>
      <c r="W119" s="210"/>
      <c r="X119" s="210"/>
      <c r="Y119" s="210"/>
      <c r="Z119" s="210"/>
    </row>
    <row r="120">
      <c r="A120" s="415"/>
      <c r="B120" s="210"/>
      <c r="C120" s="415"/>
      <c r="D120" s="156"/>
      <c r="E120" s="415"/>
      <c r="F120" s="210"/>
      <c r="G120" s="415"/>
      <c r="H120" s="210"/>
      <c r="I120" s="423"/>
      <c r="J120" s="156"/>
      <c r="K120" s="423"/>
      <c r="L120" s="156"/>
      <c r="M120" s="423"/>
      <c r="N120" s="156"/>
      <c r="O120" s="415"/>
      <c r="P120" s="210"/>
      <c r="Q120" s="424"/>
      <c r="R120" s="83"/>
      <c r="S120" s="209"/>
      <c r="T120" s="210"/>
      <c r="U120" s="209"/>
      <c r="V120" s="210"/>
      <c r="W120" s="210"/>
      <c r="X120" s="210"/>
      <c r="Y120" s="210"/>
      <c r="Z120" s="210"/>
    </row>
    <row r="121">
      <c r="A121" s="415"/>
      <c r="B121" s="210"/>
      <c r="C121" s="415"/>
      <c r="D121" s="156"/>
      <c r="E121" s="415"/>
      <c r="F121" s="210"/>
      <c r="G121" s="415"/>
      <c r="H121" s="210"/>
      <c r="I121" s="423"/>
      <c r="J121" s="156"/>
      <c r="K121" s="423"/>
      <c r="L121" s="156"/>
      <c r="M121" s="423"/>
      <c r="N121" s="156"/>
      <c r="O121" s="415"/>
      <c r="P121" s="210"/>
      <c r="Q121" s="424"/>
      <c r="R121" s="83"/>
      <c r="S121" s="209"/>
      <c r="T121" s="210"/>
      <c r="U121" s="209"/>
      <c r="V121" s="210"/>
      <c r="W121" s="210"/>
      <c r="X121" s="210"/>
      <c r="Y121" s="210"/>
      <c r="Z121" s="210"/>
    </row>
    <row r="122">
      <c r="A122" s="415"/>
      <c r="B122" s="210"/>
      <c r="C122" s="415"/>
      <c r="D122" s="156"/>
      <c r="E122" s="415"/>
      <c r="F122" s="210"/>
      <c r="G122" s="415"/>
      <c r="H122" s="210"/>
      <c r="I122" s="423"/>
      <c r="J122" s="156"/>
      <c r="K122" s="423"/>
      <c r="L122" s="156"/>
      <c r="M122" s="423"/>
      <c r="N122" s="156"/>
      <c r="O122" s="415"/>
      <c r="P122" s="210"/>
      <c r="Q122" s="424"/>
      <c r="R122" s="83"/>
      <c r="S122" s="209"/>
      <c r="T122" s="210"/>
      <c r="U122" s="209"/>
      <c r="V122" s="210"/>
      <c r="W122" s="210"/>
      <c r="X122" s="210"/>
      <c r="Y122" s="210"/>
      <c r="Z122" s="210"/>
    </row>
    <row r="123">
      <c r="A123" s="415"/>
      <c r="B123" s="210"/>
      <c r="C123" s="415"/>
      <c r="D123" s="156"/>
      <c r="E123" s="415"/>
      <c r="F123" s="210"/>
      <c r="G123" s="415"/>
      <c r="H123" s="210"/>
      <c r="I123" s="423"/>
      <c r="J123" s="156"/>
      <c r="K123" s="423"/>
      <c r="L123" s="156"/>
      <c r="M123" s="423"/>
      <c r="N123" s="156"/>
      <c r="O123" s="415"/>
      <c r="P123" s="210"/>
      <c r="Q123" s="424"/>
      <c r="R123" s="83"/>
      <c r="S123" s="209"/>
      <c r="T123" s="210"/>
      <c r="U123" s="209"/>
      <c r="V123" s="210"/>
      <c r="W123" s="210"/>
      <c r="X123" s="210"/>
      <c r="Y123" s="210"/>
      <c r="Z123" s="210"/>
    </row>
    <row r="124">
      <c r="A124" s="415"/>
      <c r="B124" s="210"/>
      <c r="C124" s="415"/>
      <c r="D124" s="156"/>
      <c r="E124" s="415"/>
      <c r="F124" s="210"/>
      <c r="G124" s="415"/>
      <c r="H124" s="210"/>
      <c r="I124" s="423"/>
      <c r="J124" s="156"/>
      <c r="K124" s="423"/>
      <c r="L124" s="156"/>
      <c r="M124" s="423"/>
      <c r="N124" s="156"/>
      <c r="O124" s="415"/>
      <c r="P124" s="210"/>
      <c r="Q124" s="424"/>
      <c r="R124" s="83"/>
      <c r="S124" s="209"/>
      <c r="T124" s="210"/>
      <c r="U124" s="209"/>
      <c r="V124" s="210"/>
      <c r="W124" s="210"/>
      <c r="X124" s="210"/>
      <c r="Y124" s="210"/>
      <c r="Z124" s="210"/>
    </row>
    <row r="125">
      <c r="A125" s="415"/>
      <c r="B125" s="210"/>
      <c r="C125" s="415"/>
      <c r="D125" s="156"/>
      <c r="E125" s="415"/>
      <c r="F125" s="210"/>
      <c r="G125" s="415"/>
      <c r="H125" s="210"/>
      <c r="I125" s="423"/>
      <c r="J125" s="156"/>
      <c r="K125" s="423"/>
      <c r="L125" s="156"/>
      <c r="M125" s="423"/>
      <c r="N125" s="156"/>
      <c r="O125" s="415"/>
      <c r="P125" s="210"/>
      <c r="Q125" s="424"/>
      <c r="R125" s="83"/>
      <c r="S125" s="209"/>
      <c r="T125" s="210"/>
      <c r="U125" s="209"/>
      <c r="V125" s="210"/>
      <c r="W125" s="210"/>
      <c r="X125" s="210"/>
      <c r="Y125" s="210"/>
      <c r="Z125" s="210"/>
    </row>
    <row r="126">
      <c r="A126" s="415"/>
      <c r="B126" s="210"/>
      <c r="C126" s="415"/>
      <c r="D126" s="156"/>
      <c r="E126" s="415"/>
      <c r="F126" s="210"/>
      <c r="G126" s="415"/>
      <c r="H126" s="210"/>
      <c r="I126" s="423"/>
      <c r="J126" s="156"/>
      <c r="K126" s="423"/>
      <c r="L126" s="156"/>
      <c r="M126" s="423"/>
      <c r="N126" s="156"/>
      <c r="O126" s="415"/>
      <c r="P126" s="210"/>
      <c r="Q126" s="424"/>
      <c r="R126" s="83"/>
      <c r="S126" s="209"/>
      <c r="T126" s="210"/>
      <c r="U126" s="209"/>
      <c r="V126" s="210"/>
      <c r="W126" s="210"/>
      <c r="X126" s="210"/>
      <c r="Y126" s="210"/>
      <c r="Z126" s="210"/>
    </row>
    <row r="127">
      <c r="A127" s="415"/>
      <c r="B127" s="210"/>
      <c r="C127" s="415"/>
      <c r="D127" s="156"/>
      <c r="E127" s="415"/>
      <c r="F127" s="210"/>
      <c r="G127" s="415"/>
      <c r="H127" s="210"/>
      <c r="I127" s="423"/>
      <c r="J127" s="156"/>
      <c r="K127" s="423"/>
      <c r="L127" s="156"/>
      <c r="M127" s="423"/>
      <c r="N127" s="156"/>
      <c r="O127" s="415"/>
      <c r="P127" s="210"/>
      <c r="Q127" s="424"/>
      <c r="R127" s="83"/>
      <c r="S127" s="209"/>
      <c r="T127" s="210"/>
      <c r="U127" s="209"/>
      <c r="V127" s="210"/>
      <c r="W127" s="210"/>
      <c r="X127" s="210"/>
      <c r="Y127" s="210"/>
      <c r="Z127" s="210"/>
    </row>
    <row r="128">
      <c r="A128" s="415"/>
      <c r="B128" s="210"/>
      <c r="C128" s="415"/>
      <c r="D128" s="156"/>
      <c r="E128" s="415"/>
      <c r="F128" s="210"/>
      <c r="G128" s="415"/>
      <c r="H128" s="210"/>
      <c r="I128" s="423"/>
      <c r="J128" s="156"/>
      <c r="K128" s="423"/>
      <c r="L128" s="156"/>
      <c r="M128" s="423"/>
      <c r="N128" s="156"/>
      <c r="O128" s="415"/>
      <c r="P128" s="210"/>
      <c r="Q128" s="424"/>
      <c r="R128" s="83"/>
      <c r="S128" s="209"/>
      <c r="T128" s="210"/>
      <c r="U128" s="209"/>
      <c r="V128" s="210"/>
      <c r="W128" s="210"/>
      <c r="X128" s="210"/>
      <c r="Y128" s="210"/>
      <c r="Z128" s="210"/>
    </row>
    <row r="129">
      <c r="A129" s="415"/>
      <c r="B129" s="210"/>
      <c r="C129" s="415"/>
      <c r="D129" s="156"/>
      <c r="E129" s="415"/>
      <c r="F129" s="210"/>
      <c r="G129" s="415"/>
      <c r="H129" s="210"/>
      <c r="I129" s="423"/>
      <c r="J129" s="156"/>
      <c r="K129" s="423"/>
      <c r="L129" s="156"/>
      <c r="M129" s="423"/>
      <c r="N129" s="156"/>
      <c r="O129" s="415"/>
      <c r="P129" s="210"/>
      <c r="Q129" s="424"/>
      <c r="R129" s="83"/>
      <c r="S129" s="209"/>
      <c r="T129" s="210"/>
      <c r="U129" s="209"/>
      <c r="V129" s="210"/>
      <c r="W129" s="210"/>
      <c r="X129" s="210"/>
      <c r="Y129" s="210"/>
      <c r="Z129" s="210"/>
    </row>
    <row r="130">
      <c r="A130" s="415"/>
      <c r="B130" s="210"/>
      <c r="C130" s="415"/>
      <c r="D130" s="156"/>
      <c r="E130" s="415"/>
      <c r="F130" s="210"/>
      <c r="G130" s="415"/>
      <c r="H130" s="210"/>
      <c r="I130" s="423"/>
      <c r="J130" s="156"/>
      <c r="K130" s="423"/>
      <c r="L130" s="156"/>
      <c r="M130" s="423"/>
      <c r="N130" s="156"/>
      <c r="O130" s="415"/>
      <c r="P130" s="210"/>
      <c r="Q130" s="424"/>
      <c r="R130" s="83"/>
      <c r="S130" s="209"/>
      <c r="T130" s="210"/>
      <c r="U130" s="209"/>
      <c r="V130" s="210"/>
      <c r="W130" s="210"/>
      <c r="X130" s="210"/>
      <c r="Y130" s="210"/>
      <c r="Z130" s="210"/>
    </row>
    <row r="131">
      <c r="A131" s="415"/>
      <c r="B131" s="210"/>
      <c r="C131" s="415"/>
      <c r="D131" s="156"/>
      <c r="E131" s="415"/>
      <c r="F131" s="210"/>
      <c r="G131" s="415"/>
      <c r="H131" s="210"/>
      <c r="I131" s="423"/>
      <c r="J131" s="156"/>
      <c r="K131" s="423"/>
      <c r="L131" s="156"/>
      <c r="M131" s="423"/>
      <c r="N131" s="156"/>
      <c r="O131" s="415"/>
      <c r="P131" s="210"/>
      <c r="Q131" s="424"/>
      <c r="R131" s="83"/>
      <c r="S131" s="209"/>
      <c r="T131" s="210"/>
      <c r="U131" s="209"/>
      <c r="V131" s="210"/>
      <c r="W131" s="210"/>
      <c r="X131" s="210"/>
      <c r="Y131" s="210"/>
      <c r="Z131" s="210"/>
    </row>
    <row r="132">
      <c r="A132" s="415"/>
      <c r="B132" s="210"/>
      <c r="C132" s="415"/>
      <c r="D132" s="156"/>
      <c r="E132" s="415"/>
      <c r="F132" s="210"/>
      <c r="G132" s="415"/>
      <c r="H132" s="210"/>
      <c r="I132" s="423"/>
      <c r="J132" s="156"/>
      <c r="K132" s="423"/>
      <c r="L132" s="156"/>
      <c r="M132" s="423"/>
      <c r="N132" s="156"/>
      <c r="O132" s="415"/>
      <c r="P132" s="210"/>
      <c r="Q132" s="424"/>
      <c r="R132" s="83"/>
      <c r="S132" s="209"/>
      <c r="T132" s="210"/>
      <c r="U132" s="209"/>
      <c r="V132" s="210"/>
      <c r="W132" s="210"/>
      <c r="X132" s="210"/>
      <c r="Y132" s="210"/>
      <c r="Z132" s="210"/>
    </row>
    <row r="133">
      <c r="A133" s="415"/>
      <c r="B133" s="210"/>
      <c r="C133" s="415"/>
      <c r="D133" s="156"/>
      <c r="E133" s="415"/>
      <c r="F133" s="210"/>
      <c r="G133" s="415"/>
      <c r="H133" s="210"/>
      <c r="I133" s="423"/>
      <c r="J133" s="156"/>
      <c r="K133" s="423"/>
      <c r="L133" s="156"/>
      <c r="M133" s="423"/>
      <c r="N133" s="156"/>
      <c r="O133" s="415"/>
      <c r="P133" s="210"/>
      <c r="Q133" s="424"/>
      <c r="R133" s="83"/>
      <c r="S133" s="209"/>
      <c r="T133" s="210"/>
      <c r="U133" s="209"/>
      <c r="V133" s="210"/>
      <c r="W133" s="210"/>
      <c r="X133" s="210"/>
      <c r="Y133" s="210"/>
      <c r="Z133" s="210"/>
    </row>
    <row r="134">
      <c r="A134" s="415"/>
      <c r="B134" s="210"/>
      <c r="C134" s="415"/>
      <c r="D134" s="156"/>
      <c r="E134" s="415"/>
      <c r="F134" s="210"/>
      <c r="G134" s="415"/>
      <c r="H134" s="210"/>
      <c r="I134" s="423"/>
      <c r="J134" s="156"/>
      <c r="K134" s="423"/>
      <c r="L134" s="156"/>
      <c r="M134" s="423"/>
      <c r="N134" s="156"/>
      <c r="O134" s="415"/>
      <c r="P134" s="210"/>
      <c r="Q134" s="424"/>
      <c r="R134" s="83"/>
      <c r="S134" s="209"/>
      <c r="T134" s="210"/>
      <c r="U134" s="209"/>
      <c r="V134" s="210"/>
      <c r="W134" s="210"/>
      <c r="X134" s="210"/>
      <c r="Y134" s="210"/>
      <c r="Z134" s="210"/>
    </row>
    <row r="135">
      <c r="A135" s="415"/>
      <c r="B135" s="210"/>
      <c r="C135" s="415"/>
      <c r="D135" s="156"/>
      <c r="E135" s="415"/>
      <c r="F135" s="210"/>
      <c r="G135" s="415"/>
      <c r="H135" s="210"/>
      <c r="I135" s="423"/>
      <c r="J135" s="156"/>
      <c r="K135" s="423"/>
      <c r="L135" s="156"/>
      <c r="M135" s="423"/>
      <c r="N135" s="156"/>
      <c r="O135" s="415"/>
      <c r="P135" s="210"/>
      <c r="Q135" s="424"/>
      <c r="R135" s="83"/>
      <c r="S135" s="209"/>
      <c r="T135" s="210"/>
      <c r="U135" s="209"/>
      <c r="V135" s="210"/>
      <c r="W135" s="210"/>
      <c r="X135" s="210"/>
      <c r="Y135" s="210"/>
      <c r="Z135" s="210"/>
    </row>
    <row r="136">
      <c r="A136" s="415"/>
      <c r="B136" s="210"/>
      <c r="C136" s="415"/>
      <c r="D136" s="156"/>
      <c r="E136" s="415"/>
      <c r="F136" s="210"/>
      <c r="G136" s="415"/>
      <c r="H136" s="210"/>
      <c r="I136" s="423"/>
      <c r="J136" s="156"/>
      <c r="K136" s="423"/>
      <c r="L136" s="156"/>
      <c r="M136" s="423"/>
      <c r="N136" s="156"/>
      <c r="O136" s="415"/>
      <c r="P136" s="210"/>
      <c r="Q136" s="424"/>
      <c r="R136" s="83"/>
      <c r="S136" s="209"/>
      <c r="T136" s="210"/>
      <c r="U136" s="209"/>
      <c r="V136" s="210"/>
      <c r="W136" s="210"/>
      <c r="X136" s="210"/>
      <c r="Y136" s="210"/>
      <c r="Z136" s="210"/>
    </row>
    <row r="137">
      <c r="A137" s="415"/>
      <c r="B137" s="210"/>
      <c r="C137" s="415"/>
      <c r="D137" s="156"/>
      <c r="E137" s="415"/>
      <c r="F137" s="210"/>
      <c r="G137" s="415"/>
      <c r="H137" s="210"/>
      <c r="I137" s="423"/>
      <c r="J137" s="156"/>
      <c r="K137" s="423"/>
      <c r="L137" s="156"/>
      <c r="M137" s="423"/>
      <c r="N137" s="156"/>
      <c r="O137" s="415"/>
      <c r="P137" s="210"/>
      <c r="Q137" s="424"/>
      <c r="R137" s="83"/>
      <c r="S137" s="209"/>
      <c r="T137" s="210"/>
      <c r="U137" s="209"/>
      <c r="V137" s="210"/>
      <c r="W137" s="210"/>
      <c r="X137" s="210"/>
      <c r="Y137" s="210"/>
      <c r="Z137" s="210"/>
    </row>
    <row r="138">
      <c r="A138" s="415"/>
      <c r="B138" s="210"/>
      <c r="C138" s="415"/>
      <c r="D138" s="156"/>
      <c r="E138" s="415"/>
      <c r="F138" s="210"/>
      <c r="G138" s="415"/>
      <c r="H138" s="210"/>
      <c r="I138" s="423"/>
      <c r="J138" s="156"/>
      <c r="K138" s="423"/>
      <c r="L138" s="156"/>
      <c r="M138" s="423"/>
      <c r="N138" s="156"/>
      <c r="O138" s="415"/>
      <c r="P138" s="210"/>
      <c r="Q138" s="424"/>
      <c r="R138" s="83"/>
      <c r="S138" s="209"/>
      <c r="T138" s="210"/>
      <c r="U138" s="209"/>
      <c r="V138" s="210"/>
      <c r="W138" s="210"/>
      <c r="X138" s="210"/>
      <c r="Y138" s="210"/>
      <c r="Z138" s="210"/>
    </row>
    <row r="139">
      <c r="A139" s="415"/>
      <c r="B139" s="210"/>
      <c r="C139" s="415"/>
      <c r="D139" s="156"/>
      <c r="E139" s="415"/>
      <c r="F139" s="210"/>
      <c r="G139" s="415"/>
      <c r="H139" s="210"/>
      <c r="I139" s="423"/>
      <c r="J139" s="156"/>
      <c r="K139" s="423"/>
      <c r="L139" s="156"/>
      <c r="M139" s="423"/>
      <c r="N139" s="156"/>
      <c r="O139" s="415"/>
      <c r="P139" s="210"/>
      <c r="Q139" s="424"/>
      <c r="R139" s="83"/>
      <c r="S139" s="209"/>
      <c r="T139" s="210"/>
      <c r="U139" s="209"/>
      <c r="V139" s="210"/>
      <c r="W139" s="210"/>
      <c r="X139" s="210"/>
      <c r="Y139" s="210"/>
      <c r="Z139" s="210"/>
    </row>
    <row r="140">
      <c r="A140" s="415"/>
      <c r="B140" s="210"/>
      <c r="C140" s="415"/>
      <c r="D140" s="156"/>
      <c r="E140" s="415"/>
      <c r="F140" s="210"/>
      <c r="G140" s="415"/>
      <c r="H140" s="210"/>
      <c r="I140" s="423"/>
      <c r="J140" s="156"/>
      <c r="K140" s="423"/>
      <c r="L140" s="156"/>
      <c r="M140" s="423"/>
      <c r="N140" s="156"/>
      <c r="O140" s="415"/>
      <c r="P140" s="210"/>
      <c r="Q140" s="424"/>
      <c r="R140" s="83"/>
      <c r="S140" s="209"/>
      <c r="T140" s="210"/>
      <c r="U140" s="209"/>
      <c r="V140" s="210"/>
      <c r="W140" s="210"/>
      <c r="X140" s="210"/>
      <c r="Y140" s="210"/>
      <c r="Z140" s="210"/>
    </row>
    <row r="141">
      <c r="A141" s="415"/>
      <c r="B141" s="210"/>
      <c r="C141" s="415"/>
      <c r="D141" s="156"/>
      <c r="E141" s="415"/>
      <c r="F141" s="210"/>
      <c r="G141" s="415"/>
      <c r="H141" s="210"/>
      <c r="I141" s="423"/>
      <c r="J141" s="156"/>
      <c r="K141" s="423"/>
      <c r="L141" s="156"/>
      <c r="M141" s="423"/>
      <c r="N141" s="156"/>
      <c r="O141" s="415"/>
      <c r="P141" s="210"/>
      <c r="Q141" s="424"/>
      <c r="R141" s="83"/>
      <c r="S141" s="209"/>
      <c r="T141" s="210"/>
      <c r="U141" s="209"/>
      <c r="V141" s="210"/>
      <c r="W141" s="210"/>
      <c r="X141" s="210"/>
      <c r="Y141" s="210"/>
      <c r="Z141" s="210"/>
    </row>
    <row r="142">
      <c r="A142" s="415"/>
      <c r="B142" s="210"/>
      <c r="C142" s="415"/>
      <c r="D142" s="156"/>
      <c r="E142" s="415"/>
      <c r="F142" s="210"/>
      <c r="G142" s="415"/>
      <c r="H142" s="210"/>
      <c r="I142" s="423"/>
      <c r="J142" s="156"/>
      <c r="K142" s="423"/>
      <c r="L142" s="156"/>
      <c r="M142" s="423"/>
      <c r="N142" s="156"/>
      <c r="O142" s="415"/>
      <c r="P142" s="210"/>
      <c r="Q142" s="424"/>
      <c r="R142" s="83"/>
      <c r="S142" s="209"/>
      <c r="T142" s="210"/>
      <c r="U142" s="209"/>
      <c r="V142" s="210"/>
      <c r="W142" s="210"/>
      <c r="X142" s="210"/>
      <c r="Y142" s="210"/>
      <c r="Z142" s="210"/>
    </row>
    <row r="143">
      <c r="A143" s="415"/>
      <c r="B143" s="210"/>
      <c r="C143" s="415"/>
      <c r="D143" s="156"/>
      <c r="E143" s="415"/>
      <c r="F143" s="210"/>
      <c r="G143" s="415"/>
      <c r="H143" s="210"/>
      <c r="I143" s="423"/>
      <c r="J143" s="156"/>
      <c r="K143" s="423"/>
      <c r="L143" s="156"/>
      <c r="M143" s="423"/>
      <c r="N143" s="156"/>
      <c r="O143" s="415"/>
      <c r="P143" s="210"/>
      <c r="Q143" s="424"/>
      <c r="R143" s="83"/>
      <c r="S143" s="209"/>
      <c r="T143" s="210"/>
      <c r="U143" s="209"/>
      <c r="V143" s="210"/>
      <c r="W143" s="210"/>
      <c r="X143" s="210"/>
      <c r="Y143" s="210"/>
      <c r="Z143" s="210"/>
    </row>
    <row r="144">
      <c r="A144" s="415"/>
      <c r="B144" s="210"/>
      <c r="C144" s="415"/>
      <c r="D144" s="156"/>
      <c r="E144" s="415"/>
      <c r="F144" s="210"/>
      <c r="G144" s="415"/>
      <c r="H144" s="210"/>
      <c r="I144" s="423"/>
      <c r="J144" s="156"/>
      <c r="K144" s="423"/>
      <c r="L144" s="156"/>
      <c r="M144" s="423"/>
      <c r="N144" s="156"/>
      <c r="O144" s="415"/>
      <c r="P144" s="210"/>
      <c r="Q144" s="424"/>
      <c r="R144" s="83"/>
      <c r="S144" s="209"/>
      <c r="T144" s="210"/>
      <c r="U144" s="209"/>
      <c r="V144" s="210"/>
      <c r="W144" s="210"/>
      <c r="X144" s="210"/>
      <c r="Y144" s="210"/>
      <c r="Z144" s="210"/>
    </row>
    <row r="145">
      <c r="A145" s="415"/>
      <c r="B145" s="210"/>
      <c r="C145" s="415"/>
      <c r="D145" s="156"/>
      <c r="E145" s="415"/>
      <c r="F145" s="210"/>
      <c r="G145" s="415"/>
      <c r="H145" s="210"/>
      <c r="I145" s="423"/>
      <c r="J145" s="156"/>
      <c r="K145" s="423"/>
      <c r="L145" s="156"/>
      <c r="M145" s="423"/>
      <c r="N145" s="156"/>
      <c r="O145" s="415"/>
      <c r="P145" s="210"/>
      <c r="Q145" s="424"/>
      <c r="R145" s="83"/>
      <c r="S145" s="209"/>
      <c r="T145" s="210"/>
      <c r="U145" s="209"/>
      <c r="V145" s="210"/>
      <c r="W145" s="210"/>
      <c r="X145" s="210"/>
      <c r="Y145" s="210"/>
      <c r="Z145" s="210"/>
    </row>
    <row r="146">
      <c r="A146" s="415"/>
      <c r="B146" s="210"/>
      <c r="C146" s="415"/>
      <c r="D146" s="156"/>
      <c r="E146" s="415"/>
      <c r="F146" s="210"/>
      <c r="G146" s="415"/>
      <c r="H146" s="210"/>
      <c r="I146" s="423"/>
      <c r="J146" s="156"/>
      <c r="K146" s="423"/>
      <c r="L146" s="156"/>
      <c r="M146" s="423"/>
      <c r="N146" s="156"/>
      <c r="O146" s="415"/>
      <c r="P146" s="210"/>
      <c r="Q146" s="424"/>
      <c r="R146" s="83"/>
      <c r="S146" s="209"/>
      <c r="T146" s="210"/>
      <c r="U146" s="209"/>
      <c r="V146" s="210"/>
      <c r="W146" s="210"/>
      <c r="X146" s="210"/>
      <c r="Y146" s="210"/>
      <c r="Z146" s="210"/>
    </row>
    <row r="147">
      <c r="A147" s="415"/>
      <c r="B147" s="210"/>
      <c r="C147" s="415"/>
      <c r="D147" s="156"/>
      <c r="E147" s="415"/>
      <c r="F147" s="210"/>
      <c r="G147" s="415"/>
      <c r="H147" s="210"/>
      <c r="I147" s="423"/>
      <c r="J147" s="156"/>
      <c r="K147" s="423"/>
      <c r="L147" s="156"/>
      <c r="M147" s="423"/>
      <c r="N147" s="156"/>
      <c r="O147" s="415"/>
      <c r="P147" s="210"/>
      <c r="Q147" s="424"/>
      <c r="R147" s="83"/>
      <c r="S147" s="209"/>
      <c r="T147" s="210"/>
      <c r="U147" s="209"/>
      <c r="V147" s="210"/>
      <c r="W147" s="210"/>
      <c r="X147" s="210"/>
      <c r="Y147" s="210"/>
      <c r="Z147" s="210"/>
    </row>
    <row r="148">
      <c r="A148" s="415"/>
      <c r="B148" s="210"/>
      <c r="C148" s="415"/>
      <c r="D148" s="156"/>
      <c r="E148" s="415"/>
      <c r="F148" s="210"/>
      <c r="G148" s="415"/>
      <c r="H148" s="210"/>
      <c r="I148" s="423"/>
      <c r="J148" s="156"/>
      <c r="K148" s="423"/>
      <c r="L148" s="156"/>
      <c r="M148" s="423"/>
      <c r="N148" s="156"/>
      <c r="O148" s="415"/>
      <c r="P148" s="210"/>
      <c r="Q148" s="424"/>
      <c r="R148" s="83"/>
      <c r="S148" s="209"/>
      <c r="T148" s="210"/>
      <c r="U148" s="209"/>
      <c r="V148" s="210"/>
      <c r="W148" s="210"/>
      <c r="X148" s="210"/>
      <c r="Y148" s="210"/>
      <c r="Z148" s="210"/>
    </row>
    <row r="149">
      <c r="A149" s="415"/>
      <c r="B149" s="210"/>
      <c r="C149" s="415"/>
      <c r="D149" s="156"/>
      <c r="E149" s="415"/>
      <c r="F149" s="210"/>
      <c r="G149" s="415"/>
      <c r="H149" s="210"/>
      <c r="I149" s="423"/>
      <c r="J149" s="156"/>
      <c r="K149" s="423"/>
      <c r="L149" s="156"/>
      <c r="M149" s="423"/>
      <c r="N149" s="156"/>
      <c r="O149" s="415"/>
      <c r="P149" s="210"/>
      <c r="Q149" s="424"/>
      <c r="R149" s="83"/>
      <c r="S149" s="209"/>
      <c r="T149" s="210"/>
      <c r="U149" s="209"/>
      <c r="V149" s="210"/>
      <c r="W149" s="210"/>
      <c r="X149" s="210"/>
      <c r="Y149" s="210"/>
      <c r="Z149" s="210"/>
    </row>
    <row r="150">
      <c r="A150" s="415"/>
      <c r="B150" s="210"/>
      <c r="C150" s="415"/>
      <c r="D150" s="156"/>
      <c r="E150" s="415"/>
      <c r="F150" s="210"/>
      <c r="G150" s="415"/>
      <c r="H150" s="210"/>
      <c r="I150" s="423"/>
      <c r="J150" s="156"/>
      <c r="K150" s="423"/>
      <c r="L150" s="156"/>
      <c r="M150" s="423"/>
      <c r="N150" s="156"/>
      <c r="O150" s="415"/>
      <c r="P150" s="210"/>
      <c r="Q150" s="424"/>
      <c r="R150" s="83"/>
      <c r="S150" s="209"/>
      <c r="T150" s="210"/>
      <c r="U150" s="209"/>
      <c r="V150" s="210"/>
      <c r="W150" s="210"/>
      <c r="X150" s="210"/>
      <c r="Y150" s="210"/>
      <c r="Z150" s="210"/>
    </row>
    <row r="151">
      <c r="A151" s="415"/>
      <c r="B151" s="210"/>
      <c r="C151" s="415"/>
      <c r="D151" s="156"/>
      <c r="E151" s="415"/>
      <c r="F151" s="210"/>
      <c r="G151" s="415"/>
      <c r="H151" s="210"/>
      <c r="I151" s="423"/>
      <c r="J151" s="156"/>
      <c r="K151" s="423"/>
      <c r="L151" s="156"/>
      <c r="M151" s="423"/>
      <c r="N151" s="156"/>
      <c r="O151" s="415"/>
      <c r="P151" s="210"/>
      <c r="Q151" s="424"/>
      <c r="R151" s="83"/>
      <c r="S151" s="209"/>
      <c r="T151" s="210"/>
      <c r="U151" s="209"/>
      <c r="V151" s="210"/>
      <c r="W151" s="210"/>
      <c r="X151" s="210"/>
      <c r="Y151" s="210"/>
      <c r="Z151" s="210"/>
    </row>
    <row r="152">
      <c r="A152" s="415"/>
      <c r="B152" s="210"/>
      <c r="C152" s="415"/>
      <c r="D152" s="156"/>
      <c r="E152" s="415"/>
      <c r="F152" s="210"/>
      <c r="G152" s="415"/>
      <c r="H152" s="210"/>
      <c r="I152" s="423"/>
      <c r="J152" s="156"/>
      <c r="K152" s="423"/>
      <c r="L152" s="156"/>
      <c r="M152" s="423"/>
      <c r="N152" s="156"/>
      <c r="O152" s="415"/>
      <c r="P152" s="210"/>
      <c r="Q152" s="424"/>
      <c r="R152" s="83"/>
      <c r="S152" s="209"/>
      <c r="T152" s="210"/>
      <c r="U152" s="209"/>
      <c r="V152" s="210"/>
      <c r="W152" s="210"/>
      <c r="X152" s="210"/>
      <c r="Y152" s="210"/>
      <c r="Z152" s="210"/>
    </row>
    <row r="153">
      <c r="A153" s="415"/>
      <c r="B153" s="210"/>
      <c r="C153" s="415"/>
      <c r="D153" s="156"/>
      <c r="E153" s="415"/>
      <c r="F153" s="210"/>
      <c r="G153" s="415"/>
      <c r="H153" s="210"/>
      <c r="I153" s="423"/>
      <c r="J153" s="156"/>
      <c r="K153" s="423"/>
      <c r="L153" s="156"/>
      <c r="M153" s="423"/>
      <c r="N153" s="156"/>
      <c r="O153" s="415"/>
      <c r="P153" s="210"/>
      <c r="Q153" s="424"/>
      <c r="R153" s="83"/>
      <c r="S153" s="209"/>
      <c r="T153" s="210"/>
      <c r="U153" s="209"/>
      <c r="V153" s="210"/>
      <c r="W153" s="210"/>
      <c r="X153" s="210"/>
      <c r="Y153" s="210"/>
      <c r="Z153" s="210"/>
    </row>
    <row r="154">
      <c r="A154" s="415"/>
      <c r="B154" s="210"/>
      <c r="C154" s="415"/>
      <c r="D154" s="156"/>
      <c r="E154" s="415"/>
      <c r="F154" s="210"/>
      <c r="G154" s="415"/>
      <c r="H154" s="210"/>
      <c r="I154" s="423"/>
      <c r="J154" s="156"/>
      <c r="K154" s="423"/>
      <c r="L154" s="156"/>
      <c r="M154" s="423"/>
      <c r="N154" s="156"/>
      <c r="O154" s="415"/>
      <c r="P154" s="210"/>
      <c r="Q154" s="424"/>
      <c r="R154" s="83"/>
      <c r="S154" s="209"/>
      <c r="T154" s="210"/>
      <c r="U154" s="209"/>
      <c r="V154" s="210"/>
      <c r="W154" s="210"/>
      <c r="X154" s="210"/>
      <c r="Y154" s="210"/>
      <c r="Z154" s="210"/>
    </row>
    <row r="155">
      <c r="A155" s="415"/>
      <c r="B155" s="210"/>
      <c r="C155" s="415"/>
      <c r="D155" s="156"/>
      <c r="E155" s="415"/>
      <c r="F155" s="210"/>
      <c r="G155" s="415"/>
      <c r="H155" s="210"/>
      <c r="I155" s="423"/>
      <c r="J155" s="156"/>
      <c r="K155" s="423"/>
      <c r="L155" s="156"/>
      <c r="M155" s="423"/>
      <c r="N155" s="156"/>
      <c r="O155" s="415"/>
      <c r="P155" s="210"/>
      <c r="Q155" s="424"/>
      <c r="R155" s="83"/>
      <c r="S155" s="209"/>
      <c r="T155" s="210"/>
      <c r="U155" s="209"/>
      <c r="V155" s="210"/>
      <c r="W155" s="210"/>
      <c r="X155" s="210"/>
      <c r="Y155" s="210"/>
      <c r="Z155" s="210"/>
    </row>
    <row r="156">
      <c r="A156" s="415"/>
      <c r="B156" s="210"/>
      <c r="C156" s="415"/>
      <c r="D156" s="156"/>
      <c r="E156" s="415"/>
      <c r="F156" s="210"/>
      <c r="G156" s="415"/>
      <c r="H156" s="210"/>
      <c r="I156" s="423"/>
      <c r="J156" s="156"/>
      <c r="K156" s="423"/>
      <c r="L156" s="156"/>
      <c r="M156" s="423"/>
      <c r="N156" s="156"/>
      <c r="O156" s="415"/>
      <c r="P156" s="210"/>
      <c r="Q156" s="424"/>
      <c r="R156" s="83"/>
      <c r="S156" s="209"/>
      <c r="T156" s="210"/>
      <c r="U156" s="209"/>
      <c r="V156" s="210"/>
      <c r="W156" s="210"/>
      <c r="X156" s="210"/>
      <c r="Y156" s="210"/>
      <c r="Z156" s="210"/>
    </row>
    <row r="157">
      <c r="A157" s="415"/>
      <c r="B157" s="210"/>
      <c r="C157" s="415"/>
      <c r="D157" s="156"/>
      <c r="E157" s="415"/>
      <c r="F157" s="210"/>
      <c r="G157" s="415"/>
      <c r="H157" s="210"/>
      <c r="I157" s="423"/>
      <c r="J157" s="156"/>
      <c r="K157" s="423"/>
      <c r="L157" s="156"/>
      <c r="M157" s="423"/>
      <c r="N157" s="156"/>
      <c r="O157" s="415"/>
      <c r="P157" s="210"/>
      <c r="Q157" s="424"/>
      <c r="R157" s="83"/>
      <c r="S157" s="209"/>
      <c r="T157" s="210"/>
      <c r="U157" s="209"/>
      <c r="V157" s="210"/>
      <c r="W157" s="210"/>
      <c r="X157" s="210"/>
      <c r="Y157" s="210"/>
      <c r="Z157" s="210"/>
    </row>
    <row r="158">
      <c r="A158" s="415"/>
      <c r="B158" s="210"/>
      <c r="C158" s="415"/>
      <c r="D158" s="156"/>
      <c r="E158" s="415"/>
      <c r="F158" s="210"/>
      <c r="G158" s="415"/>
      <c r="H158" s="210"/>
      <c r="I158" s="423"/>
      <c r="J158" s="156"/>
      <c r="K158" s="423"/>
      <c r="L158" s="156"/>
      <c r="M158" s="423"/>
      <c r="N158" s="156"/>
      <c r="O158" s="415"/>
      <c r="P158" s="210"/>
      <c r="Q158" s="424"/>
      <c r="R158" s="83"/>
      <c r="S158" s="209"/>
      <c r="T158" s="210"/>
      <c r="U158" s="209"/>
      <c r="V158" s="210"/>
      <c r="W158" s="210"/>
      <c r="X158" s="210"/>
      <c r="Y158" s="210"/>
      <c r="Z158" s="210"/>
    </row>
    <row r="159">
      <c r="A159" s="415"/>
      <c r="B159" s="210"/>
      <c r="C159" s="415"/>
      <c r="D159" s="156"/>
      <c r="E159" s="415"/>
      <c r="F159" s="210"/>
      <c r="G159" s="415"/>
      <c r="H159" s="210"/>
      <c r="I159" s="423"/>
      <c r="J159" s="156"/>
      <c r="K159" s="423"/>
      <c r="L159" s="156"/>
      <c r="M159" s="423"/>
      <c r="N159" s="156"/>
      <c r="O159" s="415"/>
      <c r="P159" s="210"/>
      <c r="Q159" s="424"/>
      <c r="R159" s="83"/>
      <c r="S159" s="209"/>
      <c r="T159" s="210"/>
      <c r="U159" s="209"/>
      <c r="V159" s="210"/>
      <c r="W159" s="210"/>
      <c r="X159" s="210"/>
      <c r="Y159" s="210"/>
      <c r="Z159" s="210"/>
    </row>
    <row r="160">
      <c r="A160" s="415"/>
      <c r="B160" s="210"/>
      <c r="C160" s="415"/>
      <c r="D160" s="156"/>
      <c r="E160" s="415"/>
      <c r="F160" s="210"/>
      <c r="G160" s="415"/>
      <c r="H160" s="210"/>
      <c r="I160" s="423"/>
      <c r="J160" s="156"/>
      <c r="K160" s="423"/>
      <c r="L160" s="156"/>
      <c r="M160" s="423"/>
      <c r="N160" s="156"/>
      <c r="O160" s="415"/>
      <c r="P160" s="210"/>
      <c r="Q160" s="424"/>
      <c r="R160" s="83"/>
      <c r="S160" s="209"/>
      <c r="T160" s="210"/>
      <c r="U160" s="209"/>
      <c r="V160" s="210"/>
      <c r="W160" s="210"/>
      <c r="X160" s="210"/>
      <c r="Y160" s="210"/>
      <c r="Z160" s="210"/>
    </row>
    <row r="161">
      <c r="A161" s="415"/>
      <c r="B161" s="210"/>
      <c r="C161" s="415"/>
      <c r="D161" s="156"/>
      <c r="E161" s="415"/>
      <c r="F161" s="210"/>
      <c r="G161" s="415"/>
      <c r="H161" s="210"/>
      <c r="I161" s="423"/>
      <c r="J161" s="156"/>
      <c r="K161" s="423"/>
      <c r="L161" s="156"/>
      <c r="M161" s="423"/>
      <c r="N161" s="156"/>
      <c r="O161" s="415"/>
      <c r="P161" s="210"/>
      <c r="Q161" s="424"/>
      <c r="R161" s="83"/>
      <c r="S161" s="209"/>
      <c r="T161" s="210"/>
      <c r="U161" s="209"/>
      <c r="V161" s="210"/>
      <c r="W161" s="210"/>
      <c r="X161" s="210"/>
      <c r="Y161" s="210"/>
      <c r="Z161" s="210"/>
    </row>
    <row r="162">
      <c r="A162" s="415"/>
      <c r="B162" s="210"/>
      <c r="C162" s="415"/>
      <c r="D162" s="156"/>
      <c r="E162" s="415"/>
      <c r="F162" s="210"/>
      <c r="G162" s="415"/>
      <c r="H162" s="210"/>
      <c r="I162" s="423"/>
      <c r="J162" s="156"/>
      <c r="K162" s="423"/>
      <c r="L162" s="156"/>
      <c r="M162" s="423"/>
      <c r="N162" s="156"/>
      <c r="O162" s="415"/>
      <c r="P162" s="210"/>
      <c r="Q162" s="424"/>
      <c r="R162" s="83"/>
      <c r="S162" s="209"/>
      <c r="T162" s="210"/>
      <c r="U162" s="209"/>
      <c r="V162" s="210"/>
      <c r="W162" s="210"/>
      <c r="X162" s="210"/>
      <c r="Y162" s="210"/>
      <c r="Z162" s="210"/>
    </row>
    <row r="163">
      <c r="A163" s="415"/>
      <c r="B163" s="210"/>
      <c r="C163" s="415"/>
      <c r="D163" s="156"/>
      <c r="E163" s="415"/>
      <c r="F163" s="210"/>
      <c r="G163" s="415"/>
      <c r="H163" s="210"/>
      <c r="I163" s="423"/>
      <c r="J163" s="156"/>
      <c r="K163" s="423"/>
      <c r="L163" s="156"/>
      <c r="M163" s="423"/>
      <c r="N163" s="156"/>
      <c r="O163" s="415"/>
      <c r="P163" s="210"/>
      <c r="Q163" s="424"/>
      <c r="R163" s="83"/>
      <c r="S163" s="209"/>
      <c r="T163" s="210"/>
      <c r="U163" s="209"/>
      <c r="V163" s="210"/>
      <c r="W163" s="210"/>
      <c r="X163" s="210"/>
      <c r="Y163" s="210"/>
      <c r="Z163" s="210"/>
    </row>
    <row r="164">
      <c r="A164" s="415"/>
      <c r="B164" s="210"/>
      <c r="C164" s="415"/>
      <c r="D164" s="156"/>
      <c r="E164" s="415"/>
      <c r="F164" s="210"/>
      <c r="G164" s="415"/>
      <c r="H164" s="210"/>
      <c r="I164" s="423"/>
      <c r="J164" s="156"/>
      <c r="K164" s="423"/>
      <c r="L164" s="156"/>
      <c r="M164" s="423"/>
      <c r="N164" s="156"/>
      <c r="O164" s="415"/>
      <c r="P164" s="210"/>
      <c r="Q164" s="424"/>
      <c r="R164" s="83"/>
      <c r="S164" s="209"/>
      <c r="T164" s="210"/>
      <c r="U164" s="209"/>
      <c r="V164" s="210"/>
      <c r="W164" s="210"/>
      <c r="X164" s="210"/>
      <c r="Y164" s="210"/>
      <c r="Z164" s="210"/>
    </row>
    <row r="165">
      <c r="A165" s="415"/>
      <c r="B165" s="210"/>
      <c r="C165" s="415"/>
      <c r="D165" s="156"/>
      <c r="E165" s="415"/>
      <c r="F165" s="210"/>
      <c r="G165" s="415"/>
      <c r="H165" s="210"/>
      <c r="I165" s="423"/>
      <c r="J165" s="156"/>
      <c r="K165" s="423"/>
      <c r="L165" s="156"/>
      <c r="M165" s="423"/>
      <c r="N165" s="156"/>
      <c r="O165" s="415"/>
      <c r="P165" s="210"/>
      <c r="Q165" s="424"/>
      <c r="R165" s="83"/>
      <c r="S165" s="209"/>
      <c r="T165" s="210"/>
      <c r="U165" s="209"/>
      <c r="V165" s="210"/>
      <c r="W165" s="210"/>
      <c r="X165" s="210"/>
      <c r="Y165" s="210"/>
      <c r="Z165" s="210"/>
    </row>
    <row r="166">
      <c r="A166" s="415"/>
      <c r="B166" s="210"/>
      <c r="C166" s="415"/>
      <c r="D166" s="156"/>
      <c r="E166" s="415"/>
      <c r="F166" s="210"/>
      <c r="G166" s="415"/>
      <c r="H166" s="210"/>
      <c r="I166" s="423"/>
      <c r="J166" s="156"/>
      <c r="K166" s="423"/>
      <c r="L166" s="156"/>
      <c r="M166" s="423"/>
      <c r="N166" s="156"/>
      <c r="O166" s="415"/>
      <c r="P166" s="210"/>
      <c r="Q166" s="424"/>
      <c r="R166" s="83"/>
      <c r="S166" s="209"/>
      <c r="T166" s="210"/>
      <c r="U166" s="209"/>
      <c r="V166" s="210"/>
      <c r="W166" s="210"/>
      <c r="X166" s="210"/>
      <c r="Y166" s="210"/>
      <c r="Z166" s="210"/>
    </row>
    <row r="167">
      <c r="A167" s="415"/>
      <c r="B167" s="210"/>
      <c r="C167" s="415"/>
      <c r="D167" s="156"/>
      <c r="E167" s="415"/>
      <c r="F167" s="210"/>
      <c r="G167" s="415"/>
      <c r="H167" s="210"/>
      <c r="I167" s="423"/>
      <c r="J167" s="156"/>
      <c r="K167" s="423"/>
      <c r="L167" s="156"/>
      <c r="M167" s="423"/>
      <c r="N167" s="156"/>
      <c r="O167" s="415"/>
      <c r="P167" s="210"/>
      <c r="Q167" s="424"/>
      <c r="R167" s="83"/>
      <c r="S167" s="209"/>
      <c r="T167" s="210"/>
      <c r="U167" s="209"/>
      <c r="V167" s="210"/>
      <c r="W167" s="210"/>
      <c r="X167" s="210"/>
      <c r="Y167" s="210"/>
      <c r="Z167" s="210"/>
    </row>
    <row r="168">
      <c r="A168" s="415"/>
      <c r="B168" s="210"/>
      <c r="C168" s="415"/>
      <c r="D168" s="156"/>
      <c r="E168" s="415"/>
      <c r="F168" s="210"/>
      <c r="G168" s="415"/>
      <c r="H168" s="210"/>
      <c r="I168" s="423"/>
      <c r="J168" s="156"/>
      <c r="K168" s="423"/>
      <c r="L168" s="156"/>
      <c r="M168" s="423"/>
      <c r="N168" s="156"/>
      <c r="O168" s="415"/>
      <c r="P168" s="210"/>
      <c r="Q168" s="424"/>
      <c r="R168" s="83"/>
      <c r="S168" s="209"/>
      <c r="T168" s="210"/>
      <c r="U168" s="209"/>
      <c r="V168" s="210"/>
      <c r="W168" s="210"/>
      <c r="X168" s="210"/>
      <c r="Y168" s="210"/>
      <c r="Z168" s="210"/>
    </row>
    <row r="169">
      <c r="A169" s="415"/>
      <c r="B169" s="210"/>
      <c r="C169" s="415"/>
      <c r="D169" s="156"/>
      <c r="E169" s="415"/>
      <c r="F169" s="210"/>
      <c r="G169" s="415"/>
      <c r="H169" s="210"/>
      <c r="I169" s="423"/>
      <c r="J169" s="156"/>
      <c r="K169" s="423"/>
      <c r="L169" s="156"/>
      <c r="M169" s="423"/>
      <c r="N169" s="156"/>
      <c r="O169" s="415"/>
      <c r="P169" s="210"/>
      <c r="Q169" s="424"/>
      <c r="R169" s="83"/>
      <c r="S169" s="209"/>
      <c r="T169" s="210"/>
      <c r="U169" s="209"/>
      <c r="V169" s="210"/>
      <c r="W169" s="210"/>
      <c r="X169" s="210"/>
      <c r="Y169" s="210"/>
      <c r="Z169" s="210"/>
    </row>
    <row r="170">
      <c r="A170" s="415"/>
      <c r="B170" s="210"/>
      <c r="C170" s="415"/>
      <c r="D170" s="156"/>
      <c r="E170" s="415"/>
      <c r="F170" s="210"/>
      <c r="G170" s="415"/>
      <c r="H170" s="210"/>
      <c r="I170" s="423"/>
      <c r="J170" s="156"/>
      <c r="K170" s="423"/>
      <c r="L170" s="156"/>
      <c r="M170" s="423"/>
      <c r="N170" s="156"/>
      <c r="O170" s="415"/>
      <c r="P170" s="210"/>
      <c r="Q170" s="424"/>
      <c r="R170" s="83"/>
      <c r="S170" s="209"/>
      <c r="T170" s="210"/>
      <c r="U170" s="209"/>
      <c r="V170" s="210"/>
      <c r="W170" s="210"/>
      <c r="X170" s="210"/>
      <c r="Y170" s="210"/>
      <c r="Z170" s="210"/>
    </row>
    <row r="171">
      <c r="A171" s="415"/>
      <c r="B171" s="210"/>
      <c r="C171" s="415"/>
      <c r="D171" s="156"/>
      <c r="E171" s="415"/>
      <c r="F171" s="210"/>
      <c r="G171" s="415"/>
      <c r="H171" s="210"/>
      <c r="I171" s="423"/>
      <c r="J171" s="156"/>
      <c r="K171" s="423"/>
      <c r="L171" s="156"/>
      <c r="M171" s="423"/>
      <c r="N171" s="156"/>
      <c r="O171" s="415"/>
      <c r="P171" s="210"/>
      <c r="Q171" s="424"/>
      <c r="R171" s="83"/>
      <c r="S171" s="209"/>
      <c r="T171" s="210"/>
      <c r="U171" s="209"/>
      <c r="V171" s="210"/>
      <c r="W171" s="210"/>
      <c r="X171" s="210"/>
      <c r="Y171" s="210"/>
      <c r="Z171" s="210"/>
    </row>
    <row r="172">
      <c r="A172" s="415"/>
      <c r="B172" s="210"/>
      <c r="C172" s="415"/>
      <c r="D172" s="156"/>
      <c r="E172" s="415"/>
      <c r="F172" s="210"/>
      <c r="G172" s="415"/>
      <c r="H172" s="210"/>
      <c r="I172" s="423"/>
      <c r="J172" s="156"/>
      <c r="K172" s="423"/>
      <c r="L172" s="156"/>
      <c r="M172" s="423"/>
      <c r="N172" s="156"/>
      <c r="O172" s="415"/>
      <c r="P172" s="210"/>
      <c r="Q172" s="424"/>
      <c r="R172" s="83"/>
      <c r="S172" s="209"/>
      <c r="T172" s="210"/>
      <c r="U172" s="209"/>
      <c r="V172" s="210"/>
      <c r="W172" s="210"/>
      <c r="X172" s="210"/>
      <c r="Y172" s="210"/>
      <c r="Z172" s="210"/>
    </row>
    <row r="173">
      <c r="A173" s="415"/>
      <c r="B173" s="210"/>
      <c r="C173" s="415"/>
      <c r="D173" s="156"/>
      <c r="E173" s="415"/>
      <c r="F173" s="210"/>
      <c r="G173" s="415"/>
      <c r="H173" s="210"/>
      <c r="I173" s="423"/>
      <c r="J173" s="156"/>
      <c r="K173" s="423"/>
      <c r="L173" s="156"/>
      <c r="M173" s="423"/>
      <c r="N173" s="156"/>
      <c r="O173" s="415"/>
      <c r="P173" s="210"/>
      <c r="Q173" s="424"/>
      <c r="R173" s="83"/>
      <c r="S173" s="209"/>
      <c r="T173" s="210"/>
      <c r="U173" s="209"/>
      <c r="V173" s="210"/>
      <c r="W173" s="210"/>
      <c r="X173" s="210"/>
      <c r="Y173" s="210"/>
      <c r="Z173" s="210"/>
    </row>
    <row r="174">
      <c r="A174" s="415"/>
      <c r="B174" s="210"/>
      <c r="C174" s="415"/>
      <c r="D174" s="156"/>
      <c r="E174" s="415"/>
      <c r="F174" s="210"/>
      <c r="G174" s="415"/>
      <c r="H174" s="210"/>
      <c r="I174" s="423"/>
      <c r="J174" s="156"/>
      <c r="K174" s="423"/>
      <c r="L174" s="156"/>
      <c r="M174" s="423"/>
      <c r="N174" s="156"/>
      <c r="O174" s="415"/>
      <c r="P174" s="210"/>
      <c r="Q174" s="424"/>
      <c r="R174" s="83"/>
      <c r="S174" s="209"/>
      <c r="T174" s="210"/>
      <c r="U174" s="209"/>
      <c r="V174" s="210"/>
      <c r="W174" s="210"/>
      <c r="X174" s="210"/>
      <c r="Y174" s="210"/>
      <c r="Z174" s="210"/>
    </row>
    <row r="175">
      <c r="A175" s="415"/>
      <c r="B175" s="210"/>
      <c r="C175" s="415"/>
      <c r="D175" s="156"/>
      <c r="E175" s="415"/>
      <c r="F175" s="210"/>
      <c r="G175" s="415"/>
      <c r="H175" s="210"/>
      <c r="I175" s="423"/>
      <c r="J175" s="156"/>
      <c r="K175" s="423"/>
      <c r="L175" s="156"/>
      <c r="M175" s="423"/>
      <c r="N175" s="156"/>
      <c r="O175" s="415"/>
      <c r="P175" s="210"/>
      <c r="Q175" s="424"/>
      <c r="R175" s="83"/>
      <c r="S175" s="209"/>
      <c r="T175" s="210"/>
      <c r="U175" s="209"/>
      <c r="V175" s="210"/>
      <c r="W175" s="210"/>
      <c r="X175" s="210"/>
      <c r="Y175" s="210"/>
      <c r="Z175" s="210"/>
    </row>
    <row r="176">
      <c r="A176" s="415"/>
      <c r="B176" s="210"/>
      <c r="C176" s="415"/>
      <c r="D176" s="156"/>
      <c r="E176" s="415"/>
      <c r="F176" s="210"/>
      <c r="G176" s="415"/>
      <c r="H176" s="210"/>
      <c r="I176" s="423"/>
      <c r="J176" s="156"/>
      <c r="K176" s="423"/>
      <c r="L176" s="156"/>
      <c r="M176" s="423"/>
      <c r="N176" s="156"/>
      <c r="O176" s="415"/>
      <c r="P176" s="210"/>
      <c r="Q176" s="424"/>
      <c r="R176" s="83"/>
      <c r="S176" s="209"/>
      <c r="T176" s="210"/>
      <c r="U176" s="209"/>
      <c r="V176" s="210"/>
      <c r="W176" s="210"/>
      <c r="X176" s="210"/>
      <c r="Y176" s="210"/>
      <c r="Z176" s="210"/>
    </row>
    <row r="177">
      <c r="A177" s="415"/>
      <c r="B177" s="210"/>
      <c r="C177" s="415"/>
      <c r="D177" s="156"/>
      <c r="E177" s="415"/>
      <c r="F177" s="210"/>
      <c r="G177" s="415"/>
      <c r="H177" s="210"/>
      <c r="I177" s="423"/>
      <c r="J177" s="156"/>
      <c r="K177" s="423"/>
      <c r="L177" s="156"/>
      <c r="M177" s="423"/>
      <c r="N177" s="156"/>
      <c r="O177" s="415"/>
      <c r="P177" s="210"/>
      <c r="Q177" s="424"/>
      <c r="R177" s="83"/>
      <c r="S177" s="209"/>
      <c r="T177" s="210"/>
      <c r="U177" s="209"/>
      <c r="V177" s="210"/>
      <c r="W177" s="210"/>
      <c r="X177" s="210"/>
      <c r="Y177" s="210"/>
      <c r="Z177" s="210"/>
    </row>
    <row r="178">
      <c r="A178" s="415"/>
      <c r="B178" s="210"/>
      <c r="C178" s="415"/>
      <c r="D178" s="156"/>
      <c r="E178" s="415"/>
      <c r="F178" s="210"/>
      <c r="G178" s="415"/>
      <c r="H178" s="210"/>
      <c r="I178" s="423"/>
      <c r="J178" s="156"/>
      <c r="K178" s="423"/>
      <c r="L178" s="156"/>
      <c r="M178" s="423"/>
      <c r="N178" s="156"/>
      <c r="O178" s="415"/>
      <c r="P178" s="210"/>
      <c r="Q178" s="424"/>
      <c r="R178" s="83"/>
      <c r="S178" s="209"/>
      <c r="T178" s="210"/>
      <c r="U178" s="209"/>
      <c r="V178" s="210"/>
      <c r="W178" s="210"/>
      <c r="X178" s="210"/>
      <c r="Y178" s="210"/>
      <c r="Z178" s="210"/>
    </row>
    <row r="179">
      <c r="A179" s="415"/>
      <c r="B179" s="210"/>
      <c r="C179" s="415"/>
      <c r="D179" s="156"/>
      <c r="E179" s="415"/>
      <c r="F179" s="210"/>
      <c r="G179" s="415"/>
      <c r="H179" s="210"/>
      <c r="I179" s="423"/>
      <c r="J179" s="156"/>
      <c r="K179" s="423"/>
      <c r="L179" s="156"/>
      <c r="M179" s="423"/>
      <c r="N179" s="156"/>
      <c r="O179" s="415"/>
      <c r="P179" s="210"/>
      <c r="Q179" s="424"/>
      <c r="R179" s="83"/>
      <c r="S179" s="209"/>
      <c r="T179" s="210"/>
      <c r="U179" s="209"/>
      <c r="V179" s="210"/>
      <c r="W179" s="210"/>
      <c r="X179" s="210"/>
      <c r="Y179" s="210"/>
      <c r="Z179" s="210"/>
    </row>
    <row r="180">
      <c r="A180" s="415"/>
      <c r="B180" s="210"/>
      <c r="C180" s="415"/>
      <c r="D180" s="156"/>
      <c r="E180" s="415"/>
      <c r="F180" s="210"/>
      <c r="G180" s="415"/>
      <c r="H180" s="210"/>
      <c r="I180" s="423"/>
      <c r="J180" s="156"/>
      <c r="K180" s="423"/>
      <c r="L180" s="156"/>
      <c r="M180" s="423"/>
      <c r="N180" s="156"/>
      <c r="O180" s="415"/>
      <c r="P180" s="210"/>
      <c r="Q180" s="424"/>
      <c r="R180" s="83"/>
      <c r="S180" s="209"/>
      <c r="T180" s="210"/>
      <c r="U180" s="209"/>
      <c r="V180" s="210"/>
      <c r="W180" s="210"/>
      <c r="X180" s="210"/>
      <c r="Y180" s="210"/>
      <c r="Z180" s="210"/>
    </row>
    <row r="181">
      <c r="A181" s="415"/>
      <c r="B181" s="210"/>
      <c r="C181" s="415"/>
      <c r="D181" s="156"/>
      <c r="E181" s="415"/>
      <c r="F181" s="210"/>
      <c r="G181" s="415"/>
      <c r="H181" s="210"/>
      <c r="I181" s="423"/>
      <c r="J181" s="156"/>
      <c r="K181" s="423"/>
      <c r="L181" s="156"/>
      <c r="M181" s="423"/>
      <c r="N181" s="156"/>
      <c r="O181" s="415"/>
      <c r="P181" s="210"/>
      <c r="Q181" s="424"/>
      <c r="R181" s="83"/>
      <c r="S181" s="209"/>
      <c r="T181" s="210"/>
      <c r="U181" s="209"/>
      <c r="V181" s="210"/>
      <c r="W181" s="210"/>
      <c r="X181" s="210"/>
      <c r="Y181" s="210"/>
      <c r="Z181" s="210"/>
    </row>
    <row r="182">
      <c r="A182" s="415"/>
      <c r="B182" s="210"/>
      <c r="C182" s="415"/>
      <c r="D182" s="156"/>
      <c r="E182" s="415"/>
      <c r="F182" s="210"/>
      <c r="G182" s="415"/>
      <c r="H182" s="210"/>
      <c r="I182" s="423"/>
      <c r="J182" s="156"/>
      <c r="K182" s="423"/>
      <c r="L182" s="156"/>
      <c r="M182" s="423"/>
      <c r="N182" s="156"/>
      <c r="O182" s="415"/>
      <c r="P182" s="210"/>
      <c r="Q182" s="424"/>
      <c r="R182" s="83"/>
      <c r="S182" s="209"/>
      <c r="T182" s="210"/>
      <c r="U182" s="209"/>
      <c r="V182" s="210"/>
      <c r="W182" s="210"/>
      <c r="X182" s="210"/>
      <c r="Y182" s="210"/>
      <c r="Z182" s="210"/>
    </row>
    <row r="183">
      <c r="A183" s="415"/>
      <c r="B183" s="210"/>
      <c r="C183" s="415"/>
      <c r="D183" s="156"/>
      <c r="E183" s="415"/>
      <c r="F183" s="210"/>
      <c r="G183" s="415"/>
      <c r="H183" s="210"/>
      <c r="I183" s="423"/>
      <c r="J183" s="156"/>
      <c r="K183" s="423"/>
      <c r="L183" s="156"/>
      <c r="M183" s="423"/>
      <c r="N183" s="156"/>
      <c r="O183" s="415"/>
      <c r="P183" s="210"/>
      <c r="Q183" s="424"/>
      <c r="R183" s="83"/>
      <c r="S183" s="209"/>
      <c r="T183" s="210"/>
      <c r="U183" s="209"/>
      <c r="V183" s="210"/>
      <c r="W183" s="210"/>
      <c r="X183" s="210"/>
      <c r="Y183" s="210"/>
      <c r="Z183" s="210"/>
    </row>
    <row r="184">
      <c r="A184" s="415"/>
      <c r="B184" s="210"/>
      <c r="C184" s="415"/>
      <c r="D184" s="156"/>
      <c r="E184" s="415"/>
      <c r="F184" s="210"/>
      <c r="G184" s="415"/>
      <c r="H184" s="210"/>
      <c r="I184" s="423"/>
      <c r="J184" s="156"/>
      <c r="K184" s="423"/>
      <c r="L184" s="156"/>
      <c r="M184" s="423"/>
      <c r="N184" s="156"/>
      <c r="O184" s="415"/>
      <c r="P184" s="210"/>
      <c r="Q184" s="424"/>
      <c r="R184" s="83"/>
      <c r="S184" s="209"/>
      <c r="T184" s="210"/>
      <c r="U184" s="209"/>
      <c r="V184" s="210"/>
      <c r="W184" s="210"/>
      <c r="X184" s="210"/>
      <c r="Y184" s="210"/>
      <c r="Z184" s="210"/>
    </row>
    <row r="185">
      <c r="A185" s="415"/>
      <c r="B185" s="210"/>
      <c r="C185" s="415"/>
      <c r="D185" s="156"/>
      <c r="E185" s="415"/>
      <c r="F185" s="210"/>
      <c r="G185" s="415"/>
      <c r="H185" s="210"/>
      <c r="I185" s="423"/>
      <c r="J185" s="156"/>
      <c r="K185" s="423"/>
      <c r="L185" s="156"/>
      <c r="M185" s="423"/>
      <c r="N185" s="156"/>
      <c r="O185" s="415"/>
      <c r="P185" s="210"/>
      <c r="Q185" s="424"/>
      <c r="R185" s="83"/>
      <c r="S185" s="209"/>
      <c r="T185" s="210"/>
      <c r="U185" s="209"/>
      <c r="V185" s="210"/>
      <c r="W185" s="210"/>
      <c r="X185" s="210"/>
      <c r="Y185" s="210"/>
      <c r="Z185" s="210"/>
    </row>
    <row r="186">
      <c r="A186" s="415"/>
      <c r="B186" s="210"/>
      <c r="C186" s="415"/>
      <c r="D186" s="156"/>
      <c r="E186" s="415"/>
      <c r="F186" s="210"/>
      <c r="G186" s="415"/>
      <c r="H186" s="210"/>
      <c r="I186" s="423"/>
      <c r="J186" s="156"/>
      <c r="K186" s="423"/>
      <c r="L186" s="156"/>
      <c r="M186" s="423"/>
      <c r="N186" s="156"/>
      <c r="O186" s="415"/>
      <c r="P186" s="210"/>
      <c r="Q186" s="424"/>
      <c r="R186" s="83"/>
      <c r="S186" s="209"/>
      <c r="T186" s="210"/>
      <c r="U186" s="209"/>
      <c r="V186" s="210"/>
      <c r="W186" s="210"/>
      <c r="X186" s="210"/>
      <c r="Y186" s="210"/>
      <c r="Z186" s="210"/>
    </row>
    <row r="187">
      <c r="A187" s="415"/>
      <c r="B187" s="210"/>
      <c r="C187" s="415"/>
      <c r="D187" s="156"/>
      <c r="E187" s="415"/>
      <c r="F187" s="210"/>
      <c r="G187" s="415"/>
      <c r="H187" s="210"/>
      <c r="I187" s="423"/>
      <c r="J187" s="156"/>
      <c r="K187" s="423"/>
      <c r="L187" s="156"/>
      <c r="M187" s="423"/>
      <c r="N187" s="156"/>
      <c r="O187" s="415"/>
      <c r="P187" s="210"/>
      <c r="Q187" s="424"/>
      <c r="R187" s="83"/>
      <c r="S187" s="209"/>
      <c r="T187" s="210"/>
      <c r="U187" s="209"/>
      <c r="V187" s="210"/>
      <c r="W187" s="210"/>
      <c r="X187" s="210"/>
      <c r="Y187" s="210"/>
      <c r="Z187" s="210"/>
    </row>
    <row r="188">
      <c r="A188" s="415"/>
      <c r="B188" s="210"/>
      <c r="C188" s="415"/>
      <c r="D188" s="156"/>
      <c r="E188" s="415"/>
      <c r="F188" s="210"/>
      <c r="G188" s="415"/>
      <c r="H188" s="210"/>
      <c r="I188" s="423"/>
      <c r="J188" s="156"/>
      <c r="K188" s="423"/>
      <c r="L188" s="156"/>
      <c r="M188" s="423"/>
      <c r="N188" s="156"/>
      <c r="O188" s="415"/>
      <c r="P188" s="210"/>
      <c r="Q188" s="424"/>
      <c r="R188" s="83"/>
      <c r="S188" s="209"/>
      <c r="T188" s="210"/>
      <c r="U188" s="209"/>
      <c r="V188" s="210"/>
      <c r="W188" s="210"/>
      <c r="X188" s="210"/>
      <c r="Y188" s="210"/>
      <c r="Z188" s="210"/>
    </row>
    <row r="189">
      <c r="A189" s="415"/>
      <c r="B189" s="210"/>
      <c r="C189" s="415"/>
      <c r="D189" s="156"/>
      <c r="E189" s="415"/>
      <c r="F189" s="210"/>
      <c r="G189" s="415"/>
      <c r="H189" s="210"/>
      <c r="I189" s="423"/>
      <c r="J189" s="156"/>
      <c r="K189" s="423"/>
      <c r="L189" s="156"/>
      <c r="M189" s="423"/>
      <c r="N189" s="156"/>
      <c r="O189" s="415"/>
      <c r="P189" s="210"/>
      <c r="Q189" s="424"/>
      <c r="R189" s="83"/>
      <c r="S189" s="209"/>
      <c r="T189" s="210"/>
      <c r="U189" s="209"/>
      <c r="V189" s="210"/>
      <c r="W189" s="210"/>
      <c r="X189" s="210"/>
      <c r="Y189" s="210"/>
      <c r="Z189" s="210"/>
    </row>
    <row r="190">
      <c r="A190" s="415"/>
      <c r="B190" s="210"/>
      <c r="C190" s="415"/>
      <c r="D190" s="156"/>
      <c r="E190" s="415"/>
      <c r="F190" s="210"/>
      <c r="G190" s="415"/>
      <c r="H190" s="210"/>
      <c r="I190" s="423"/>
      <c r="J190" s="156"/>
      <c r="K190" s="423"/>
      <c r="L190" s="156"/>
      <c r="M190" s="423"/>
      <c r="N190" s="156"/>
      <c r="O190" s="415"/>
      <c r="P190" s="210"/>
      <c r="Q190" s="424"/>
      <c r="R190" s="83"/>
      <c r="S190" s="209"/>
      <c r="T190" s="210"/>
      <c r="U190" s="209"/>
      <c r="V190" s="210"/>
      <c r="W190" s="210"/>
      <c r="X190" s="210"/>
      <c r="Y190" s="210"/>
      <c r="Z190" s="210"/>
    </row>
    <row r="191">
      <c r="A191" s="415"/>
      <c r="B191" s="210"/>
      <c r="C191" s="415"/>
      <c r="D191" s="156"/>
      <c r="E191" s="415"/>
      <c r="F191" s="210"/>
      <c r="G191" s="415"/>
      <c r="H191" s="210"/>
      <c r="I191" s="423"/>
      <c r="J191" s="156"/>
      <c r="K191" s="423"/>
      <c r="L191" s="156"/>
      <c r="M191" s="423"/>
      <c r="N191" s="156"/>
      <c r="O191" s="415"/>
      <c r="P191" s="210"/>
      <c r="Q191" s="424"/>
      <c r="R191" s="83"/>
      <c r="S191" s="209"/>
      <c r="T191" s="210"/>
      <c r="U191" s="209"/>
      <c r="V191" s="210"/>
      <c r="W191" s="210"/>
      <c r="X191" s="210"/>
      <c r="Y191" s="210"/>
      <c r="Z191" s="210"/>
    </row>
    <row r="192">
      <c r="A192" s="415"/>
      <c r="B192" s="210"/>
      <c r="C192" s="415"/>
      <c r="D192" s="156"/>
      <c r="E192" s="415"/>
      <c r="F192" s="210"/>
      <c r="G192" s="415"/>
      <c r="H192" s="210"/>
      <c r="I192" s="423"/>
      <c r="J192" s="156"/>
      <c r="K192" s="423"/>
      <c r="L192" s="156"/>
      <c r="M192" s="423"/>
      <c r="N192" s="156"/>
      <c r="O192" s="415"/>
      <c r="P192" s="210"/>
      <c r="Q192" s="424"/>
      <c r="R192" s="83"/>
      <c r="S192" s="209"/>
      <c r="T192" s="210"/>
      <c r="U192" s="209"/>
      <c r="V192" s="210"/>
      <c r="W192" s="210"/>
      <c r="X192" s="210"/>
      <c r="Y192" s="210"/>
      <c r="Z192" s="210"/>
    </row>
    <row r="193">
      <c r="A193" s="415"/>
      <c r="B193" s="210"/>
      <c r="C193" s="415"/>
      <c r="D193" s="156"/>
      <c r="E193" s="415"/>
      <c r="F193" s="210"/>
      <c r="G193" s="415"/>
      <c r="H193" s="210"/>
      <c r="I193" s="423"/>
      <c r="J193" s="156"/>
      <c r="K193" s="423"/>
      <c r="L193" s="156"/>
      <c r="M193" s="423"/>
      <c r="N193" s="156"/>
      <c r="O193" s="415"/>
      <c r="P193" s="210"/>
      <c r="Q193" s="424"/>
      <c r="R193" s="83"/>
      <c r="S193" s="209"/>
      <c r="T193" s="210"/>
      <c r="U193" s="209"/>
      <c r="V193" s="210"/>
      <c r="W193" s="210"/>
      <c r="X193" s="210"/>
      <c r="Y193" s="210"/>
      <c r="Z193" s="210"/>
    </row>
    <row r="194">
      <c r="A194" s="415"/>
      <c r="B194" s="210"/>
      <c r="C194" s="415"/>
      <c r="D194" s="156"/>
      <c r="E194" s="415"/>
      <c r="F194" s="210"/>
      <c r="G194" s="415"/>
      <c r="H194" s="210"/>
      <c r="I194" s="423"/>
      <c r="J194" s="156"/>
      <c r="K194" s="423"/>
      <c r="L194" s="156"/>
      <c r="M194" s="423"/>
      <c r="N194" s="156"/>
      <c r="O194" s="415"/>
      <c r="P194" s="210"/>
      <c r="Q194" s="424"/>
      <c r="R194" s="83"/>
      <c r="S194" s="209"/>
      <c r="T194" s="210"/>
      <c r="U194" s="209"/>
      <c r="V194" s="210"/>
      <c r="W194" s="210"/>
      <c r="X194" s="210"/>
      <c r="Y194" s="210"/>
      <c r="Z194" s="210"/>
    </row>
    <row r="195">
      <c r="A195" s="415"/>
      <c r="B195" s="210"/>
      <c r="C195" s="415"/>
      <c r="D195" s="156"/>
      <c r="E195" s="415"/>
      <c r="F195" s="210"/>
      <c r="G195" s="415"/>
      <c r="H195" s="210"/>
      <c r="I195" s="423"/>
      <c r="J195" s="156"/>
      <c r="K195" s="423"/>
      <c r="L195" s="156"/>
      <c r="M195" s="423"/>
      <c r="N195" s="156"/>
      <c r="O195" s="415"/>
      <c r="P195" s="210"/>
      <c r="Q195" s="424"/>
      <c r="R195" s="83"/>
      <c r="S195" s="209"/>
      <c r="T195" s="210"/>
      <c r="U195" s="209"/>
      <c r="V195" s="210"/>
      <c r="W195" s="210"/>
      <c r="X195" s="210"/>
      <c r="Y195" s="210"/>
      <c r="Z195" s="210"/>
    </row>
    <row r="196">
      <c r="A196" s="415"/>
      <c r="B196" s="210"/>
      <c r="C196" s="415"/>
      <c r="D196" s="156"/>
      <c r="E196" s="415"/>
      <c r="F196" s="210"/>
      <c r="G196" s="415"/>
      <c r="H196" s="210"/>
      <c r="I196" s="423"/>
      <c r="J196" s="156"/>
      <c r="K196" s="423"/>
      <c r="L196" s="156"/>
      <c r="M196" s="423"/>
      <c r="N196" s="156"/>
      <c r="O196" s="415"/>
      <c r="P196" s="210"/>
      <c r="Q196" s="424"/>
      <c r="R196" s="83"/>
      <c r="S196" s="209"/>
      <c r="T196" s="210"/>
      <c r="U196" s="209"/>
      <c r="V196" s="210"/>
      <c r="W196" s="210"/>
      <c r="X196" s="210"/>
      <c r="Y196" s="210"/>
      <c r="Z196" s="210"/>
    </row>
    <row r="197">
      <c r="A197" s="415"/>
      <c r="B197" s="210"/>
      <c r="C197" s="415"/>
      <c r="D197" s="156"/>
      <c r="E197" s="415"/>
      <c r="F197" s="210"/>
      <c r="G197" s="415"/>
      <c r="H197" s="210"/>
      <c r="I197" s="423"/>
      <c r="J197" s="156"/>
      <c r="K197" s="423"/>
      <c r="L197" s="156"/>
      <c r="M197" s="423"/>
      <c r="N197" s="156"/>
      <c r="O197" s="415"/>
      <c r="P197" s="210"/>
      <c r="Q197" s="424"/>
      <c r="R197" s="83"/>
      <c r="S197" s="209"/>
      <c r="T197" s="210"/>
      <c r="U197" s="209"/>
      <c r="V197" s="210"/>
      <c r="W197" s="210"/>
      <c r="X197" s="210"/>
      <c r="Y197" s="210"/>
      <c r="Z197" s="210"/>
    </row>
    <row r="198">
      <c r="A198" s="415"/>
      <c r="B198" s="210"/>
      <c r="C198" s="415"/>
      <c r="D198" s="156"/>
      <c r="E198" s="415"/>
      <c r="F198" s="210"/>
      <c r="G198" s="415"/>
      <c r="H198" s="210"/>
      <c r="I198" s="423"/>
      <c r="J198" s="156"/>
      <c r="K198" s="423"/>
      <c r="L198" s="156"/>
      <c r="M198" s="423"/>
      <c r="N198" s="156"/>
      <c r="O198" s="415"/>
      <c r="P198" s="210"/>
      <c r="Q198" s="424"/>
      <c r="R198" s="83"/>
      <c r="S198" s="209"/>
      <c r="T198" s="210"/>
      <c r="U198" s="209"/>
      <c r="V198" s="210"/>
      <c r="W198" s="210"/>
      <c r="X198" s="210"/>
      <c r="Y198" s="210"/>
      <c r="Z198" s="210"/>
    </row>
    <row r="199">
      <c r="A199" s="415"/>
      <c r="B199" s="210"/>
      <c r="C199" s="415"/>
      <c r="D199" s="156"/>
      <c r="E199" s="415"/>
      <c r="F199" s="210"/>
      <c r="G199" s="415"/>
      <c r="H199" s="210"/>
      <c r="I199" s="423"/>
      <c r="J199" s="156"/>
      <c r="K199" s="423"/>
      <c r="L199" s="156"/>
      <c r="M199" s="423"/>
      <c r="N199" s="156"/>
      <c r="O199" s="415"/>
      <c r="P199" s="210"/>
      <c r="Q199" s="424"/>
      <c r="R199" s="83"/>
      <c r="S199" s="209"/>
      <c r="T199" s="210"/>
      <c r="U199" s="209"/>
      <c r="V199" s="210"/>
      <c r="W199" s="210"/>
      <c r="X199" s="210"/>
      <c r="Y199" s="210"/>
      <c r="Z199" s="210"/>
    </row>
    <row r="200">
      <c r="A200" s="415"/>
      <c r="B200" s="210"/>
      <c r="C200" s="415"/>
      <c r="D200" s="156"/>
      <c r="E200" s="415"/>
      <c r="F200" s="210"/>
      <c r="G200" s="415"/>
      <c r="H200" s="210"/>
      <c r="I200" s="423"/>
      <c r="J200" s="156"/>
      <c r="K200" s="423"/>
      <c r="L200" s="156"/>
      <c r="M200" s="423"/>
      <c r="N200" s="156"/>
      <c r="O200" s="415"/>
      <c r="P200" s="210"/>
      <c r="Q200" s="424"/>
      <c r="R200" s="83"/>
      <c r="S200" s="209"/>
      <c r="T200" s="210"/>
      <c r="U200" s="209"/>
      <c r="V200" s="210"/>
      <c r="W200" s="210"/>
      <c r="X200" s="210"/>
      <c r="Y200" s="210"/>
      <c r="Z200" s="210"/>
    </row>
    <row r="201">
      <c r="A201" s="415"/>
      <c r="B201" s="210"/>
      <c r="C201" s="415"/>
      <c r="D201" s="156"/>
      <c r="E201" s="415"/>
      <c r="F201" s="210"/>
      <c r="G201" s="415"/>
      <c r="H201" s="210"/>
      <c r="I201" s="423"/>
      <c r="J201" s="156"/>
      <c r="K201" s="423"/>
      <c r="L201" s="156"/>
      <c r="M201" s="423"/>
      <c r="N201" s="156"/>
      <c r="O201" s="415"/>
      <c r="P201" s="210"/>
      <c r="Q201" s="424"/>
      <c r="R201" s="83"/>
      <c r="S201" s="209"/>
      <c r="T201" s="210"/>
      <c r="U201" s="209"/>
      <c r="V201" s="210"/>
      <c r="W201" s="210"/>
      <c r="X201" s="210"/>
      <c r="Y201" s="210"/>
      <c r="Z201" s="210"/>
    </row>
    <row r="202">
      <c r="A202" s="415"/>
      <c r="B202" s="210"/>
      <c r="C202" s="415"/>
      <c r="D202" s="156"/>
      <c r="E202" s="415"/>
      <c r="F202" s="210"/>
      <c r="G202" s="415"/>
      <c r="H202" s="210"/>
      <c r="I202" s="423"/>
      <c r="J202" s="156"/>
      <c r="K202" s="423"/>
      <c r="L202" s="156"/>
      <c r="M202" s="423"/>
      <c r="N202" s="156"/>
      <c r="O202" s="415"/>
      <c r="P202" s="210"/>
      <c r="Q202" s="424"/>
      <c r="R202" s="83"/>
      <c r="S202" s="209"/>
      <c r="T202" s="210"/>
      <c r="U202" s="209"/>
      <c r="V202" s="210"/>
      <c r="W202" s="210"/>
      <c r="X202" s="210"/>
      <c r="Y202" s="210"/>
      <c r="Z202" s="210"/>
    </row>
    <row r="203">
      <c r="A203" s="415"/>
      <c r="B203" s="210"/>
      <c r="C203" s="415"/>
      <c r="D203" s="156"/>
      <c r="E203" s="415"/>
      <c r="F203" s="210"/>
      <c r="G203" s="415"/>
      <c r="H203" s="210"/>
      <c r="I203" s="423"/>
      <c r="J203" s="156"/>
      <c r="K203" s="423"/>
      <c r="L203" s="156"/>
      <c r="M203" s="423"/>
      <c r="N203" s="156"/>
      <c r="O203" s="415"/>
      <c r="P203" s="210"/>
      <c r="Q203" s="424"/>
      <c r="R203" s="83"/>
      <c r="S203" s="209"/>
      <c r="T203" s="210"/>
      <c r="U203" s="209"/>
      <c r="V203" s="210"/>
      <c r="W203" s="210"/>
      <c r="X203" s="210"/>
      <c r="Y203" s="210"/>
      <c r="Z203" s="210"/>
    </row>
    <row r="204">
      <c r="A204" s="415"/>
      <c r="B204" s="210"/>
      <c r="C204" s="415"/>
      <c r="D204" s="156"/>
      <c r="E204" s="415"/>
      <c r="F204" s="210"/>
      <c r="G204" s="415"/>
      <c r="H204" s="210"/>
      <c r="I204" s="423"/>
      <c r="J204" s="156"/>
      <c r="K204" s="423"/>
      <c r="L204" s="156"/>
      <c r="M204" s="423"/>
      <c r="N204" s="156"/>
      <c r="O204" s="415"/>
      <c r="P204" s="210"/>
      <c r="Q204" s="424"/>
      <c r="R204" s="83"/>
      <c r="S204" s="209"/>
      <c r="T204" s="210"/>
      <c r="U204" s="209"/>
      <c r="V204" s="210"/>
      <c r="W204" s="210"/>
      <c r="X204" s="210"/>
      <c r="Y204" s="210"/>
      <c r="Z204" s="210"/>
    </row>
    <row r="205">
      <c r="A205" s="415"/>
      <c r="B205" s="210"/>
      <c r="C205" s="415"/>
      <c r="D205" s="156"/>
      <c r="E205" s="415"/>
      <c r="F205" s="210"/>
      <c r="G205" s="415"/>
      <c r="H205" s="210"/>
      <c r="I205" s="423"/>
      <c r="J205" s="156"/>
      <c r="K205" s="423"/>
      <c r="L205" s="156"/>
      <c r="M205" s="423"/>
      <c r="N205" s="156"/>
      <c r="O205" s="415"/>
      <c r="P205" s="210"/>
      <c r="Q205" s="424"/>
      <c r="R205" s="83"/>
      <c r="S205" s="209"/>
      <c r="T205" s="210"/>
      <c r="U205" s="209"/>
      <c r="V205" s="210"/>
      <c r="W205" s="210"/>
      <c r="X205" s="210"/>
      <c r="Y205" s="210"/>
      <c r="Z205" s="210"/>
    </row>
    <row r="206">
      <c r="A206" s="415"/>
      <c r="B206" s="210"/>
      <c r="C206" s="415"/>
      <c r="D206" s="156"/>
      <c r="E206" s="415"/>
      <c r="F206" s="210"/>
      <c r="G206" s="415"/>
      <c r="H206" s="210"/>
      <c r="I206" s="423"/>
      <c r="J206" s="156"/>
      <c r="K206" s="423"/>
      <c r="L206" s="156"/>
      <c r="M206" s="423"/>
      <c r="N206" s="156"/>
      <c r="O206" s="415"/>
      <c r="P206" s="210"/>
      <c r="Q206" s="424"/>
      <c r="R206" s="83"/>
      <c r="S206" s="209"/>
      <c r="T206" s="210"/>
      <c r="U206" s="209"/>
      <c r="V206" s="210"/>
      <c r="W206" s="210"/>
      <c r="X206" s="210"/>
      <c r="Y206" s="210"/>
      <c r="Z206" s="210"/>
    </row>
    <row r="207">
      <c r="A207" s="415"/>
      <c r="B207" s="210"/>
      <c r="C207" s="415"/>
      <c r="D207" s="156"/>
      <c r="E207" s="415"/>
      <c r="F207" s="210"/>
      <c r="G207" s="415"/>
      <c r="H207" s="210"/>
      <c r="I207" s="423"/>
      <c r="J207" s="156"/>
      <c r="K207" s="423"/>
      <c r="L207" s="156"/>
      <c r="M207" s="423"/>
      <c r="N207" s="156"/>
      <c r="O207" s="415"/>
      <c r="P207" s="210"/>
      <c r="Q207" s="424"/>
      <c r="R207" s="83"/>
      <c r="S207" s="209"/>
      <c r="T207" s="210"/>
      <c r="U207" s="209"/>
      <c r="V207" s="210"/>
      <c r="W207" s="210"/>
      <c r="X207" s="210"/>
      <c r="Y207" s="210"/>
      <c r="Z207" s="210"/>
    </row>
    <row r="208">
      <c r="A208" s="415"/>
      <c r="B208" s="210"/>
      <c r="C208" s="415"/>
      <c r="D208" s="156"/>
      <c r="E208" s="415"/>
      <c r="F208" s="210"/>
      <c r="G208" s="415"/>
      <c r="H208" s="210"/>
      <c r="I208" s="423"/>
      <c r="J208" s="156"/>
      <c r="K208" s="423"/>
      <c r="L208" s="156"/>
      <c r="M208" s="423"/>
      <c r="N208" s="156"/>
      <c r="O208" s="415"/>
      <c r="P208" s="210"/>
      <c r="Q208" s="424"/>
      <c r="R208" s="83"/>
      <c r="S208" s="209"/>
      <c r="T208" s="210"/>
      <c r="U208" s="209"/>
      <c r="V208" s="210"/>
      <c r="W208" s="210"/>
      <c r="X208" s="210"/>
      <c r="Y208" s="210"/>
      <c r="Z208" s="210"/>
    </row>
    <row r="209">
      <c r="A209" s="415"/>
      <c r="B209" s="210"/>
      <c r="C209" s="415"/>
      <c r="D209" s="156"/>
      <c r="E209" s="415"/>
      <c r="F209" s="210"/>
      <c r="G209" s="415"/>
      <c r="H209" s="210"/>
      <c r="I209" s="423"/>
      <c r="J209" s="156"/>
      <c r="K209" s="423"/>
      <c r="L209" s="156"/>
      <c r="M209" s="423"/>
      <c r="N209" s="156"/>
      <c r="O209" s="415"/>
      <c r="P209" s="210"/>
      <c r="Q209" s="424"/>
      <c r="R209" s="83"/>
      <c r="S209" s="209"/>
      <c r="T209" s="210"/>
      <c r="U209" s="209"/>
      <c r="V209" s="210"/>
      <c r="W209" s="210"/>
      <c r="X209" s="210"/>
      <c r="Y209" s="210"/>
      <c r="Z209" s="210"/>
    </row>
    <row r="210">
      <c r="A210" s="415"/>
      <c r="B210" s="210"/>
      <c r="C210" s="415"/>
      <c r="D210" s="156"/>
      <c r="E210" s="415"/>
      <c r="F210" s="210"/>
      <c r="G210" s="415"/>
      <c r="H210" s="210"/>
      <c r="I210" s="423"/>
      <c r="J210" s="156"/>
      <c r="K210" s="423"/>
      <c r="L210" s="156"/>
      <c r="M210" s="423"/>
      <c r="N210" s="156"/>
      <c r="O210" s="415"/>
      <c r="P210" s="210"/>
      <c r="Q210" s="424"/>
      <c r="R210" s="83"/>
      <c r="S210" s="209"/>
      <c r="T210" s="210"/>
      <c r="U210" s="209"/>
      <c r="V210" s="210"/>
      <c r="W210" s="210"/>
      <c r="X210" s="210"/>
      <c r="Y210" s="210"/>
      <c r="Z210" s="210"/>
    </row>
    <row r="211">
      <c r="A211" s="415"/>
      <c r="B211" s="210"/>
      <c r="C211" s="415"/>
      <c r="D211" s="156"/>
      <c r="E211" s="415"/>
      <c r="F211" s="210"/>
      <c r="G211" s="415"/>
      <c r="H211" s="210"/>
      <c r="I211" s="423"/>
      <c r="J211" s="156"/>
      <c r="K211" s="423"/>
      <c r="L211" s="156"/>
      <c r="M211" s="423"/>
      <c r="N211" s="156"/>
      <c r="O211" s="415"/>
      <c r="P211" s="210"/>
      <c r="Q211" s="424"/>
      <c r="R211" s="83"/>
      <c r="S211" s="209"/>
      <c r="T211" s="210"/>
      <c r="U211" s="209"/>
      <c r="V211" s="210"/>
      <c r="W211" s="210"/>
      <c r="X211" s="210"/>
      <c r="Y211" s="210"/>
      <c r="Z211" s="210"/>
    </row>
    <row r="212">
      <c r="A212" s="415"/>
      <c r="B212" s="210"/>
      <c r="C212" s="415"/>
      <c r="D212" s="156"/>
      <c r="E212" s="415"/>
      <c r="F212" s="210"/>
      <c r="G212" s="415"/>
      <c r="H212" s="210"/>
      <c r="I212" s="423"/>
      <c r="J212" s="156"/>
      <c r="K212" s="423"/>
      <c r="L212" s="156"/>
      <c r="M212" s="423"/>
      <c r="N212" s="156"/>
      <c r="O212" s="415"/>
      <c r="P212" s="210"/>
      <c r="Q212" s="424"/>
      <c r="R212" s="83"/>
      <c r="S212" s="209"/>
      <c r="T212" s="210"/>
      <c r="U212" s="209"/>
      <c r="V212" s="210"/>
      <c r="W212" s="210"/>
      <c r="X212" s="210"/>
      <c r="Y212" s="210"/>
      <c r="Z212" s="210"/>
    </row>
    <row r="213">
      <c r="A213" s="415"/>
      <c r="B213" s="210"/>
      <c r="C213" s="415"/>
      <c r="D213" s="156"/>
      <c r="E213" s="415"/>
      <c r="F213" s="210"/>
      <c r="G213" s="415"/>
      <c r="H213" s="210"/>
      <c r="I213" s="423"/>
      <c r="J213" s="156"/>
      <c r="K213" s="423"/>
      <c r="L213" s="156"/>
      <c r="M213" s="423"/>
      <c r="N213" s="156"/>
      <c r="O213" s="415"/>
      <c r="P213" s="210"/>
      <c r="Q213" s="424"/>
      <c r="R213" s="83"/>
      <c r="S213" s="209"/>
      <c r="T213" s="210"/>
      <c r="U213" s="209"/>
      <c r="V213" s="210"/>
      <c r="W213" s="210"/>
      <c r="X213" s="210"/>
      <c r="Y213" s="210"/>
      <c r="Z213" s="210"/>
    </row>
    <row r="214">
      <c r="A214" s="415"/>
      <c r="B214" s="210"/>
      <c r="C214" s="415"/>
      <c r="D214" s="156"/>
      <c r="E214" s="415"/>
      <c r="F214" s="210"/>
      <c r="G214" s="415"/>
      <c r="H214" s="210"/>
      <c r="I214" s="423"/>
      <c r="J214" s="156"/>
      <c r="K214" s="423"/>
      <c r="L214" s="156"/>
      <c r="M214" s="423"/>
      <c r="N214" s="156"/>
      <c r="O214" s="415"/>
      <c r="P214" s="210"/>
      <c r="Q214" s="424"/>
      <c r="R214" s="83"/>
      <c r="S214" s="209"/>
      <c r="T214" s="210"/>
      <c r="U214" s="209"/>
      <c r="V214" s="210"/>
      <c r="W214" s="210"/>
      <c r="X214" s="210"/>
      <c r="Y214" s="210"/>
      <c r="Z214" s="210"/>
    </row>
    <row r="215">
      <c r="A215" s="415"/>
      <c r="B215" s="210"/>
      <c r="C215" s="415"/>
      <c r="D215" s="156"/>
      <c r="E215" s="415"/>
      <c r="F215" s="210"/>
      <c r="G215" s="415"/>
      <c r="H215" s="210"/>
      <c r="I215" s="423"/>
      <c r="J215" s="156"/>
      <c r="K215" s="423"/>
      <c r="L215" s="156"/>
      <c r="M215" s="423"/>
      <c r="N215" s="156"/>
      <c r="O215" s="415"/>
      <c r="P215" s="210"/>
      <c r="Q215" s="424"/>
      <c r="R215" s="83"/>
      <c r="S215" s="209"/>
      <c r="T215" s="210"/>
      <c r="U215" s="209"/>
      <c r="V215" s="210"/>
      <c r="W215" s="210"/>
      <c r="X215" s="210"/>
      <c r="Y215" s="210"/>
      <c r="Z215" s="210"/>
    </row>
    <row r="216">
      <c r="A216" s="415"/>
      <c r="B216" s="210"/>
      <c r="C216" s="415"/>
      <c r="D216" s="156"/>
      <c r="E216" s="415"/>
      <c r="F216" s="210"/>
      <c r="G216" s="415"/>
      <c r="H216" s="210"/>
      <c r="I216" s="423"/>
      <c r="J216" s="156"/>
      <c r="K216" s="423"/>
      <c r="L216" s="156"/>
      <c r="M216" s="423"/>
      <c r="N216" s="156"/>
      <c r="O216" s="415"/>
      <c r="P216" s="210"/>
      <c r="Q216" s="424"/>
      <c r="R216" s="83"/>
      <c r="S216" s="209"/>
      <c r="T216" s="210"/>
      <c r="U216" s="209"/>
      <c r="V216" s="210"/>
      <c r="W216" s="210"/>
      <c r="X216" s="210"/>
      <c r="Y216" s="210"/>
      <c r="Z216" s="210"/>
    </row>
    <row r="217">
      <c r="A217" s="415"/>
      <c r="B217" s="210"/>
      <c r="C217" s="415"/>
      <c r="D217" s="156"/>
      <c r="E217" s="415"/>
      <c r="F217" s="210"/>
      <c r="G217" s="415"/>
      <c r="H217" s="210"/>
      <c r="I217" s="423"/>
      <c r="J217" s="156"/>
      <c r="K217" s="423"/>
      <c r="L217" s="156"/>
      <c r="M217" s="423"/>
      <c r="N217" s="156"/>
      <c r="O217" s="415"/>
      <c r="P217" s="210"/>
      <c r="Q217" s="424"/>
      <c r="R217" s="83"/>
      <c r="S217" s="209"/>
      <c r="T217" s="210"/>
      <c r="U217" s="209"/>
      <c r="V217" s="210"/>
      <c r="W217" s="210"/>
      <c r="X217" s="210"/>
      <c r="Y217" s="210"/>
      <c r="Z217" s="210"/>
    </row>
    <row r="218">
      <c r="A218" s="415"/>
      <c r="B218" s="210"/>
      <c r="C218" s="415"/>
      <c r="D218" s="156"/>
      <c r="E218" s="415"/>
      <c r="F218" s="210"/>
      <c r="G218" s="415"/>
      <c r="H218" s="210"/>
      <c r="I218" s="423"/>
      <c r="J218" s="156"/>
      <c r="K218" s="423"/>
      <c r="L218" s="156"/>
      <c r="M218" s="423"/>
      <c r="N218" s="156"/>
      <c r="O218" s="415"/>
      <c r="P218" s="210"/>
      <c r="Q218" s="424"/>
      <c r="R218" s="83"/>
      <c r="S218" s="209"/>
      <c r="T218" s="210"/>
      <c r="U218" s="209"/>
      <c r="V218" s="210"/>
      <c r="W218" s="210"/>
      <c r="X218" s="210"/>
      <c r="Y218" s="210"/>
      <c r="Z218" s="210"/>
    </row>
    <row r="219">
      <c r="A219" s="415"/>
      <c r="B219" s="210"/>
      <c r="C219" s="415"/>
      <c r="D219" s="156"/>
      <c r="E219" s="415"/>
      <c r="F219" s="210"/>
      <c r="G219" s="415"/>
      <c r="H219" s="210"/>
      <c r="I219" s="423"/>
      <c r="J219" s="156"/>
      <c r="K219" s="423"/>
      <c r="L219" s="156"/>
      <c r="M219" s="423"/>
      <c r="N219" s="156"/>
      <c r="O219" s="415"/>
      <c r="P219" s="210"/>
      <c r="Q219" s="424"/>
      <c r="R219" s="83"/>
      <c r="S219" s="209"/>
      <c r="T219" s="210"/>
      <c r="U219" s="209"/>
      <c r="V219" s="210"/>
      <c r="W219" s="210"/>
      <c r="X219" s="210"/>
      <c r="Y219" s="210"/>
      <c r="Z219" s="210"/>
    </row>
    <row r="220">
      <c r="A220" s="415"/>
      <c r="B220" s="210"/>
      <c r="C220" s="415"/>
      <c r="D220" s="156"/>
      <c r="E220" s="415"/>
      <c r="F220" s="210"/>
      <c r="G220" s="415"/>
      <c r="H220" s="210"/>
      <c r="I220" s="423"/>
      <c r="J220" s="156"/>
      <c r="K220" s="423"/>
      <c r="L220" s="156"/>
      <c r="M220" s="423"/>
      <c r="N220" s="156"/>
      <c r="O220" s="415"/>
      <c r="P220" s="210"/>
      <c r="Q220" s="424"/>
      <c r="R220" s="83"/>
      <c r="S220" s="209"/>
      <c r="T220" s="210"/>
      <c r="U220" s="209"/>
      <c r="V220" s="210"/>
      <c r="W220" s="210"/>
      <c r="X220" s="210"/>
      <c r="Y220" s="210"/>
      <c r="Z220" s="210"/>
    </row>
    <row r="221">
      <c r="A221" s="415"/>
      <c r="B221" s="210"/>
      <c r="C221" s="415"/>
      <c r="D221" s="156"/>
      <c r="E221" s="415"/>
      <c r="F221" s="210"/>
      <c r="G221" s="415"/>
      <c r="H221" s="210"/>
      <c r="I221" s="423"/>
      <c r="J221" s="156"/>
      <c r="K221" s="423"/>
      <c r="L221" s="156"/>
      <c r="M221" s="423"/>
      <c r="N221" s="156"/>
      <c r="O221" s="415"/>
      <c r="P221" s="210"/>
      <c r="Q221" s="424"/>
      <c r="R221" s="83"/>
      <c r="S221" s="209"/>
      <c r="T221" s="210"/>
      <c r="U221" s="209"/>
      <c r="V221" s="210"/>
      <c r="W221" s="210"/>
      <c r="X221" s="210"/>
      <c r="Y221" s="210"/>
      <c r="Z221" s="210"/>
    </row>
    <row r="222">
      <c r="A222" s="415"/>
      <c r="B222" s="210"/>
      <c r="C222" s="415"/>
      <c r="D222" s="156"/>
      <c r="E222" s="415"/>
      <c r="F222" s="210"/>
      <c r="G222" s="415"/>
      <c r="H222" s="210"/>
      <c r="I222" s="423"/>
      <c r="J222" s="156"/>
      <c r="K222" s="423"/>
      <c r="L222" s="156"/>
      <c r="M222" s="423"/>
      <c r="N222" s="156"/>
      <c r="O222" s="415"/>
      <c r="P222" s="210"/>
      <c r="Q222" s="424"/>
      <c r="R222" s="83"/>
      <c r="S222" s="209"/>
      <c r="T222" s="210"/>
      <c r="U222" s="209"/>
      <c r="V222" s="210"/>
      <c r="W222" s="210"/>
      <c r="X222" s="210"/>
      <c r="Y222" s="210"/>
      <c r="Z222" s="210"/>
    </row>
    <row r="223">
      <c r="A223" s="415"/>
      <c r="B223" s="210"/>
      <c r="C223" s="415"/>
      <c r="D223" s="156"/>
      <c r="E223" s="415"/>
      <c r="F223" s="210"/>
      <c r="G223" s="415"/>
      <c r="H223" s="210"/>
      <c r="I223" s="423"/>
      <c r="J223" s="156"/>
      <c r="K223" s="423"/>
      <c r="L223" s="156"/>
      <c r="M223" s="423"/>
      <c r="N223" s="156"/>
      <c r="O223" s="415"/>
      <c r="P223" s="210"/>
      <c r="Q223" s="424"/>
      <c r="R223" s="83"/>
      <c r="S223" s="209"/>
      <c r="T223" s="210"/>
      <c r="U223" s="209"/>
      <c r="V223" s="210"/>
      <c r="W223" s="210"/>
      <c r="X223" s="210"/>
      <c r="Y223" s="210"/>
      <c r="Z223" s="210"/>
    </row>
    <row r="224">
      <c r="A224" s="415"/>
      <c r="B224" s="210"/>
      <c r="C224" s="415"/>
      <c r="D224" s="156"/>
      <c r="E224" s="415"/>
      <c r="F224" s="210"/>
      <c r="G224" s="415"/>
      <c r="H224" s="210"/>
      <c r="I224" s="423"/>
      <c r="J224" s="156"/>
      <c r="K224" s="423"/>
      <c r="L224" s="156"/>
      <c r="M224" s="423"/>
      <c r="N224" s="156"/>
      <c r="O224" s="415"/>
      <c r="P224" s="210"/>
      <c r="Q224" s="424"/>
      <c r="R224" s="83"/>
      <c r="S224" s="209"/>
      <c r="T224" s="210"/>
      <c r="U224" s="209"/>
      <c r="V224" s="210"/>
      <c r="W224" s="210"/>
      <c r="X224" s="210"/>
      <c r="Y224" s="210"/>
      <c r="Z224" s="210"/>
    </row>
    <row r="225">
      <c r="A225" s="415"/>
      <c r="B225" s="210"/>
      <c r="C225" s="415"/>
      <c r="D225" s="156"/>
      <c r="E225" s="415"/>
      <c r="F225" s="210"/>
      <c r="G225" s="415"/>
      <c r="H225" s="210"/>
      <c r="I225" s="423"/>
      <c r="J225" s="156"/>
      <c r="K225" s="423"/>
      <c r="L225" s="156"/>
      <c r="M225" s="423"/>
      <c r="N225" s="156"/>
      <c r="O225" s="415"/>
      <c r="P225" s="210"/>
      <c r="Q225" s="424"/>
      <c r="R225" s="83"/>
      <c r="S225" s="209"/>
      <c r="T225" s="210"/>
      <c r="U225" s="209"/>
      <c r="V225" s="210"/>
      <c r="W225" s="210"/>
      <c r="X225" s="210"/>
      <c r="Y225" s="210"/>
      <c r="Z225" s="210"/>
    </row>
    <row r="226">
      <c r="A226" s="415"/>
      <c r="B226" s="210"/>
      <c r="C226" s="415"/>
      <c r="D226" s="156"/>
      <c r="E226" s="415"/>
      <c r="F226" s="210"/>
      <c r="G226" s="415"/>
      <c r="H226" s="210"/>
      <c r="I226" s="423"/>
      <c r="J226" s="156"/>
      <c r="K226" s="423"/>
      <c r="L226" s="156"/>
      <c r="M226" s="423"/>
      <c r="N226" s="156"/>
      <c r="O226" s="415"/>
      <c r="P226" s="210"/>
      <c r="Q226" s="424"/>
      <c r="R226" s="83"/>
      <c r="S226" s="209"/>
      <c r="T226" s="210"/>
      <c r="U226" s="209"/>
      <c r="V226" s="210"/>
      <c r="W226" s="210"/>
      <c r="X226" s="210"/>
      <c r="Y226" s="210"/>
      <c r="Z226" s="210"/>
    </row>
    <row r="227">
      <c r="A227" s="415"/>
      <c r="B227" s="210"/>
      <c r="C227" s="415"/>
      <c r="D227" s="156"/>
      <c r="E227" s="415"/>
      <c r="F227" s="210"/>
      <c r="G227" s="415"/>
      <c r="H227" s="210"/>
      <c r="I227" s="423"/>
      <c r="J227" s="156"/>
      <c r="K227" s="423"/>
      <c r="L227" s="156"/>
      <c r="M227" s="423"/>
      <c r="N227" s="156"/>
      <c r="O227" s="415"/>
      <c r="P227" s="210"/>
      <c r="Q227" s="424"/>
      <c r="R227" s="83"/>
      <c r="S227" s="209"/>
      <c r="T227" s="210"/>
      <c r="U227" s="209"/>
      <c r="V227" s="210"/>
      <c r="W227" s="210"/>
      <c r="X227" s="210"/>
      <c r="Y227" s="210"/>
      <c r="Z227" s="210"/>
    </row>
    <row r="228">
      <c r="A228" s="415"/>
      <c r="B228" s="210"/>
      <c r="C228" s="415"/>
      <c r="D228" s="156"/>
      <c r="E228" s="415"/>
      <c r="F228" s="210"/>
      <c r="G228" s="415"/>
      <c r="H228" s="210"/>
      <c r="I228" s="423"/>
      <c r="J228" s="156"/>
      <c r="K228" s="423"/>
      <c r="L228" s="156"/>
      <c r="M228" s="423"/>
      <c r="N228" s="156"/>
      <c r="O228" s="415"/>
      <c r="P228" s="210"/>
      <c r="Q228" s="424"/>
      <c r="R228" s="83"/>
      <c r="S228" s="209"/>
      <c r="T228" s="210"/>
      <c r="U228" s="209"/>
      <c r="V228" s="210"/>
      <c r="W228" s="210"/>
      <c r="X228" s="210"/>
      <c r="Y228" s="210"/>
      <c r="Z228" s="210"/>
    </row>
    <row r="229">
      <c r="A229" s="415"/>
      <c r="B229" s="210"/>
      <c r="C229" s="415"/>
      <c r="D229" s="156"/>
      <c r="E229" s="415"/>
      <c r="F229" s="210"/>
      <c r="G229" s="415"/>
      <c r="H229" s="210"/>
      <c r="I229" s="423"/>
      <c r="J229" s="156"/>
      <c r="K229" s="423"/>
      <c r="L229" s="156"/>
      <c r="M229" s="423"/>
      <c r="N229" s="156"/>
      <c r="O229" s="415"/>
      <c r="P229" s="210"/>
      <c r="Q229" s="424"/>
      <c r="R229" s="83"/>
      <c r="S229" s="209"/>
      <c r="T229" s="210"/>
      <c r="U229" s="209"/>
      <c r="V229" s="210"/>
      <c r="W229" s="210"/>
      <c r="X229" s="210"/>
      <c r="Y229" s="210"/>
      <c r="Z229" s="210"/>
    </row>
    <row r="230">
      <c r="A230" s="415"/>
      <c r="B230" s="210"/>
      <c r="C230" s="415"/>
      <c r="D230" s="156"/>
      <c r="E230" s="415"/>
      <c r="F230" s="210"/>
      <c r="G230" s="415"/>
      <c r="H230" s="210"/>
      <c r="I230" s="423"/>
      <c r="J230" s="156"/>
      <c r="K230" s="423"/>
      <c r="L230" s="156"/>
      <c r="M230" s="423"/>
      <c r="N230" s="156"/>
      <c r="O230" s="415"/>
      <c r="P230" s="210"/>
      <c r="Q230" s="424"/>
      <c r="R230" s="83"/>
      <c r="S230" s="209"/>
      <c r="T230" s="210"/>
      <c r="U230" s="209"/>
      <c r="V230" s="210"/>
      <c r="W230" s="210"/>
      <c r="X230" s="210"/>
      <c r="Y230" s="210"/>
      <c r="Z230" s="210"/>
    </row>
    <row r="231">
      <c r="A231" s="415"/>
      <c r="B231" s="210"/>
      <c r="C231" s="415"/>
      <c r="D231" s="156"/>
      <c r="E231" s="415"/>
      <c r="F231" s="210"/>
      <c r="G231" s="415"/>
      <c r="H231" s="210"/>
      <c r="I231" s="423"/>
      <c r="J231" s="156"/>
      <c r="K231" s="423"/>
      <c r="L231" s="156"/>
      <c r="M231" s="423"/>
      <c r="N231" s="156"/>
      <c r="O231" s="415"/>
      <c r="P231" s="210"/>
      <c r="Q231" s="424"/>
      <c r="R231" s="83"/>
      <c r="S231" s="209"/>
      <c r="T231" s="210"/>
      <c r="U231" s="209"/>
      <c r="V231" s="210"/>
      <c r="W231" s="210"/>
      <c r="X231" s="210"/>
      <c r="Y231" s="210"/>
      <c r="Z231" s="210"/>
    </row>
    <row r="232">
      <c r="A232" s="415"/>
      <c r="B232" s="210"/>
      <c r="C232" s="415"/>
      <c r="D232" s="156"/>
      <c r="E232" s="415"/>
      <c r="F232" s="210"/>
      <c r="G232" s="415"/>
      <c r="H232" s="210"/>
      <c r="I232" s="423"/>
      <c r="J232" s="156"/>
      <c r="K232" s="423"/>
      <c r="L232" s="156"/>
      <c r="M232" s="423"/>
      <c r="N232" s="156"/>
      <c r="O232" s="415"/>
      <c r="P232" s="210"/>
      <c r="Q232" s="424"/>
      <c r="R232" s="83"/>
      <c r="S232" s="209"/>
      <c r="T232" s="210"/>
      <c r="U232" s="209"/>
      <c r="V232" s="210"/>
      <c r="W232" s="210"/>
      <c r="X232" s="210"/>
      <c r="Y232" s="210"/>
      <c r="Z232" s="210"/>
    </row>
    <row r="233">
      <c r="A233" s="415"/>
      <c r="B233" s="210"/>
      <c r="C233" s="415"/>
      <c r="D233" s="156"/>
      <c r="E233" s="415"/>
      <c r="F233" s="210"/>
      <c r="G233" s="415"/>
      <c r="H233" s="210"/>
      <c r="I233" s="423"/>
      <c r="J233" s="156"/>
      <c r="K233" s="423"/>
      <c r="L233" s="156"/>
      <c r="M233" s="423"/>
      <c r="N233" s="156"/>
      <c r="O233" s="415"/>
      <c r="P233" s="210"/>
      <c r="Q233" s="424"/>
      <c r="R233" s="83"/>
      <c r="S233" s="209"/>
      <c r="T233" s="210"/>
      <c r="U233" s="209"/>
      <c r="V233" s="210"/>
      <c r="W233" s="210"/>
      <c r="X233" s="210"/>
      <c r="Y233" s="210"/>
      <c r="Z233" s="210"/>
    </row>
    <row r="234">
      <c r="A234" s="415"/>
      <c r="B234" s="210"/>
      <c r="C234" s="415"/>
      <c r="D234" s="156"/>
      <c r="E234" s="415"/>
      <c r="F234" s="210"/>
      <c r="G234" s="415"/>
      <c r="H234" s="210"/>
      <c r="I234" s="423"/>
      <c r="J234" s="156"/>
      <c r="K234" s="423"/>
      <c r="L234" s="156"/>
      <c r="M234" s="423"/>
      <c r="N234" s="156"/>
      <c r="O234" s="415"/>
      <c r="P234" s="210"/>
      <c r="Q234" s="424"/>
      <c r="R234" s="83"/>
      <c r="S234" s="209"/>
      <c r="T234" s="210"/>
      <c r="U234" s="209"/>
      <c r="V234" s="210"/>
      <c r="W234" s="210"/>
      <c r="X234" s="210"/>
      <c r="Y234" s="210"/>
      <c r="Z234" s="210"/>
    </row>
    <row r="235">
      <c r="A235" s="415"/>
      <c r="B235" s="210"/>
      <c r="C235" s="415"/>
      <c r="D235" s="156"/>
      <c r="E235" s="415"/>
      <c r="F235" s="210"/>
      <c r="G235" s="415"/>
      <c r="H235" s="210"/>
      <c r="I235" s="423"/>
      <c r="J235" s="156"/>
      <c r="K235" s="423"/>
      <c r="L235" s="156"/>
      <c r="M235" s="423"/>
      <c r="N235" s="156"/>
      <c r="O235" s="415"/>
      <c r="P235" s="210"/>
      <c r="Q235" s="424"/>
      <c r="R235" s="83"/>
      <c r="S235" s="209"/>
      <c r="T235" s="210"/>
      <c r="U235" s="209"/>
      <c r="V235" s="210"/>
      <c r="W235" s="210"/>
      <c r="X235" s="210"/>
      <c r="Y235" s="210"/>
      <c r="Z235" s="210"/>
    </row>
    <row r="236">
      <c r="A236" s="415"/>
      <c r="B236" s="210"/>
      <c r="C236" s="415"/>
      <c r="D236" s="156"/>
      <c r="E236" s="415"/>
      <c r="F236" s="210"/>
      <c r="G236" s="415"/>
      <c r="H236" s="210"/>
      <c r="I236" s="423"/>
      <c r="J236" s="156"/>
      <c r="K236" s="423"/>
      <c r="L236" s="156"/>
      <c r="M236" s="423"/>
      <c r="N236" s="156"/>
      <c r="O236" s="415"/>
      <c r="P236" s="210"/>
      <c r="Q236" s="424"/>
      <c r="R236" s="83"/>
      <c r="S236" s="209"/>
      <c r="T236" s="210"/>
      <c r="U236" s="209"/>
      <c r="V236" s="210"/>
      <c r="W236" s="210"/>
      <c r="X236" s="210"/>
      <c r="Y236" s="210"/>
      <c r="Z236" s="210"/>
    </row>
    <row r="237">
      <c r="A237" s="415"/>
      <c r="B237" s="210"/>
      <c r="C237" s="415"/>
      <c r="D237" s="156"/>
      <c r="E237" s="415"/>
      <c r="F237" s="210"/>
      <c r="G237" s="415"/>
      <c r="H237" s="210"/>
      <c r="I237" s="423"/>
      <c r="J237" s="156"/>
      <c r="K237" s="423"/>
      <c r="L237" s="156"/>
      <c r="M237" s="423"/>
      <c r="N237" s="156"/>
      <c r="O237" s="415"/>
      <c r="P237" s="210"/>
      <c r="Q237" s="424"/>
      <c r="R237" s="83"/>
      <c r="S237" s="209"/>
      <c r="T237" s="210"/>
      <c r="U237" s="209"/>
      <c r="V237" s="210"/>
      <c r="W237" s="210"/>
      <c r="X237" s="210"/>
      <c r="Y237" s="210"/>
      <c r="Z237" s="210"/>
    </row>
    <row r="238">
      <c r="A238" s="415"/>
      <c r="B238" s="210"/>
      <c r="C238" s="415"/>
      <c r="D238" s="156"/>
      <c r="E238" s="415"/>
      <c r="F238" s="210"/>
      <c r="G238" s="415"/>
      <c r="H238" s="210"/>
      <c r="I238" s="423"/>
      <c r="J238" s="156"/>
      <c r="K238" s="423"/>
      <c r="L238" s="156"/>
      <c r="M238" s="423"/>
      <c r="N238" s="156"/>
      <c r="O238" s="415"/>
      <c r="P238" s="210"/>
      <c r="Q238" s="424"/>
      <c r="R238" s="83"/>
      <c r="S238" s="209"/>
      <c r="T238" s="210"/>
      <c r="U238" s="209"/>
      <c r="V238" s="210"/>
      <c r="W238" s="210"/>
      <c r="X238" s="210"/>
      <c r="Y238" s="210"/>
      <c r="Z238" s="210"/>
    </row>
    <row r="239">
      <c r="A239" s="415"/>
      <c r="B239" s="210"/>
      <c r="C239" s="415"/>
      <c r="D239" s="156"/>
      <c r="E239" s="415"/>
      <c r="F239" s="210"/>
      <c r="G239" s="415"/>
      <c r="H239" s="210"/>
      <c r="I239" s="423"/>
      <c r="J239" s="156"/>
      <c r="K239" s="423"/>
      <c r="L239" s="156"/>
      <c r="M239" s="423"/>
      <c r="N239" s="156"/>
      <c r="O239" s="415"/>
      <c r="P239" s="210"/>
      <c r="Q239" s="424"/>
      <c r="R239" s="83"/>
      <c r="S239" s="209"/>
      <c r="T239" s="210"/>
      <c r="U239" s="209"/>
      <c r="V239" s="210"/>
      <c r="W239" s="210"/>
      <c r="X239" s="210"/>
      <c r="Y239" s="210"/>
      <c r="Z239" s="210"/>
    </row>
    <row r="240">
      <c r="A240" s="415"/>
      <c r="B240" s="210"/>
      <c r="C240" s="415"/>
      <c r="D240" s="156"/>
      <c r="E240" s="415"/>
      <c r="F240" s="210"/>
      <c r="G240" s="415"/>
      <c r="H240" s="210"/>
      <c r="I240" s="423"/>
      <c r="J240" s="156"/>
      <c r="K240" s="423"/>
      <c r="L240" s="156"/>
      <c r="M240" s="423"/>
      <c r="N240" s="156"/>
      <c r="O240" s="415"/>
      <c r="P240" s="210"/>
      <c r="Q240" s="424"/>
      <c r="R240" s="83"/>
      <c r="S240" s="209"/>
      <c r="T240" s="210"/>
      <c r="U240" s="209"/>
      <c r="V240" s="210"/>
      <c r="W240" s="210"/>
      <c r="X240" s="210"/>
      <c r="Y240" s="210"/>
      <c r="Z240" s="210"/>
    </row>
    <row r="241">
      <c r="A241" s="415"/>
      <c r="B241" s="210"/>
      <c r="C241" s="415"/>
      <c r="D241" s="156"/>
      <c r="E241" s="415"/>
      <c r="F241" s="210"/>
      <c r="G241" s="415"/>
      <c r="H241" s="210"/>
      <c r="I241" s="423"/>
      <c r="J241" s="156"/>
      <c r="K241" s="423"/>
      <c r="L241" s="156"/>
      <c r="M241" s="423"/>
      <c r="N241" s="156"/>
      <c r="O241" s="415"/>
      <c r="P241" s="210"/>
      <c r="Q241" s="424"/>
      <c r="R241" s="83"/>
      <c r="S241" s="209"/>
      <c r="T241" s="210"/>
      <c r="U241" s="209"/>
      <c r="V241" s="210"/>
      <c r="W241" s="210"/>
      <c r="X241" s="210"/>
      <c r="Y241" s="210"/>
      <c r="Z241" s="210"/>
    </row>
    <row r="242">
      <c r="A242" s="415"/>
      <c r="B242" s="210"/>
      <c r="C242" s="415"/>
      <c r="D242" s="156"/>
      <c r="E242" s="415"/>
      <c r="F242" s="210"/>
      <c r="G242" s="415"/>
      <c r="H242" s="210"/>
      <c r="I242" s="423"/>
      <c r="J242" s="156"/>
      <c r="K242" s="423"/>
      <c r="L242" s="156"/>
      <c r="M242" s="423"/>
      <c r="N242" s="156"/>
      <c r="O242" s="415"/>
      <c r="P242" s="210"/>
      <c r="Q242" s="424"/>
      <c r="R242" s="83"/>
      <c r="S242" s="209"/>
      <c r="T242" s="210"/>
      <c r="U242" s="209"/>
      <c r="V242" s="210"/>
      <c r="W242" s="210"/>
      <c r="X242" s="210"/>
      <c r="Y242" s="210"/>
      <c r="Z242" s="210"/>
    </row>
    <row r="243">
      <c r="A243" s="415"/>
      <c r="B243" s="210"/>
      <c r="C243" s="415"/>
      <c r="D243" s="156"/>
      <c r="E243" s="415"/>
      <c r="F243" s="210"/>
      <c r="G243" s="415"/>
      <c r="H243" s="210"/>
      <c r="I243" s="423"/>
      <c r="J243" s="156"/>
      <c r="K243" s="423"/>
      <c r="L243" s="156"/>
      <c r="M243" s="423"/>
      <c r="N243" s="156"/>
      <c r="O243" s="415"/>
      <c r="P243" s="210"/>
      <c r="Q243" s="424"/>
      <c r="R243" s="83"/>
      <c r="S243" s="209"/>
      <c r="T243" s="210"/>
      <c r="U243" s="209"/>
      <c r="V243" s="210"/>
      <c r="W243" s="210"/>
      <c r="X243" s="210"/>
      <c r="Y243" s="210"/>
      <c r="Z243" s="210"/>
    </row>
    <row r="244">
      <c r="A244" s="415"/>
      <c r="B244" s="210"/>
      <c r="C244" s="415"/>
      <c r="D244" s="156"/>
      <c r="E244" s="415"/>
      <c r="F244" s="210"/>
      <c r="G244" s="415"/>
      <c r="H244" s="210"/>
      <c r="I244" s="423"/>
      <c r="J244" s="156"/>
      <c r="K244" s="423"/>
      <c r="L244" s="156"/>
      <c r="M244" s="423"/>
      <c r="N244" s="156"/>
      <c r="O244" s="415"/>
      <c r="P244" s="210"/>
      <c r="Q244" s="424"/>
      <c r="R244" s="83"/>
      <c r="S244" s="209"/>
      <c r="T244" s="210"/>
      <c r="U244" s="209"/>
      <c r="V244" s="210"/>
      <c r="W244" s="210"/>
      <c r="X244" s="210"/>
      <c r="Y244" s="210"/>
      <c r="Z244" s="210"/>
    </row>
    <row r="245">
      <c r="A245" s="415"/>
      <c r="B245" s="210"/>
      <c r="C245" s="415"/>
      <c r="D245" s="156"/>
      <c r="E245" s="415"/>
      <c r="F245" s="210"/>
      <c r="G245" s="415"/>
      <c r="H245" s="210"/>
      <c r="I245" s="423"/>
      <c r="J245" s="156"/>
      <c r="K245" s="423"/>
      <c r="L245" s="156"/>
      <c r="M245" s="423"/>
      <c r="N245" s="156"/>
      <c r="O245" s="415"/>
      <c r="P245" s="210"/>
      <c r="Q245" s="424"/>
      <c r="R245" s="83"/>
      <c r="S245" s="209"/>
      <c r="T245" s="210"/>
      <c r="U245" s="209"/>
      <c r="V245" s="210"/>
      <c r="W245" s="210"/>
      <c r="X245" s="210"/>
      <c r="Y245" s="210"/>
      <c r="Z245" s="210"/>
    </row>
    <row r="246">
      <c r="A246" s="415"/>
      <c r="B246" s="210"/>
      <c r="C246" s="415"/>
      <c r="D246" s="156"/>
      <c r="E246" s="415"/>
      <c r="F246" s="210"/>
      <c r="G246" s="415"/>
      <c r="H246" s="210"/>
      <c r="I246" s="423"/>
      <c r="J246" s="156"/>
      <c r="K246" s="423"/>
      <c r="L246" s="156"/>
      <c r="M246" s="423"/>
      <c r="N246" s="156"/>
      <c r="O246" s="415"/>
      <c r="P246" s="210"/>
      <c r="Q246" s="424"/>
      <c r="R246" s="83"/>
      <c r="S246" s="209"/>
      <c r="T246" s="210"/>
      <c r="U246" s="209"/>
      <c r="V246" s="210"/>
      <c r="W246" s="210"/>
      <c r="X246" s="210"/>
      <c r="Y246" s="210"/>
      <c r="Z246" s="210"/>
    </row>
    <row r="247">
      <c r="A247" s="415"/>
      <c r="B247" s="210"/>
      <c r="C247" s="415"/>
      <c r="D247" s="156"/>
      <c r="E247" s="415"/>
      <c r="F247" s="210"/>
      <c r="G247" s="415"/>
      <c r="H247" s="210"/>
      <c r="I247" s="423"/>
      <c r="J247" s="156"/>
      <c r="K247" s="423"/>
      <c r="L247" s="156"/>
      <c r="M247" s="423"/>
      <c r="N247" s="156"/>
      <c r="O247" s="415"/>
      <c r="P247" s="210"/>
      <c r="Q247" s="424"/>
      <c r="R247" s="83"/>
      <c r="S247" s="209"/>
      <c r="T247" s="210"/>
      <c r="U247" s="209"/>
      <c r="V247" s="210"/>
      <c r="W247" s="210"/>
      <c r="X247" s="210"/>
      <c r="Y247" s="210"/>
      <c r="Z247" s="210"/>
    </row>
    <row r="248">
      <c r="A248" s="415"/>
      <c r="B248" s="210"/>
      <c r="C248" s="415"/>
      <c r="D248" s="156"/>
      <c r="E248" s="415"/>
      <c r="F248" s="210"/>
      <c r="G248" s="415"/>
      <c r="H248" s="210"/>
      <c r="I248" s="423"/>
      <c r="J248" s="156"/>
      <c r="K248" s="423"/>
      <c r="L248" s="156"/>
      <c r="M248" s="423"/>
      <c r="N248" s="156"/>
      <c r="O248" s="415"/>
      <c r="P248" s="210"/>
      <c r="Q248" s="424"/>
      <c r="R248" s="83"/>
      <c r="S248" s="209"/>
      <c r="T248" s="210"/>
      <c r="U248" s="209"/>
      <c r="V248" s="210"/>
      <c r="W248" s="210"/>
      <c r="X248" s="210"/>
      <c r="Y248" s="210"/>
      <c r="Z248" s="210"/>
    </row>
    <row r="249">
      <c r="A249" s="415"/>
      <c r="B249" s="210"/>
      <c r="C249" s="415"/>
      <c r="D249" s="156"/>
      <c r="E249" s="415"/>
      <c r="F249" s="210"/>
      <c r="G249" s="415"/>
      <c r="H249" s="210"/>
      <c r="I249" s="423"/>
      <c r="J249" s="156"/>
      <c r="K249" s="423"/>
      <c r="L249" s="156"/>
      <c r="M249" s="423"/>
      <c r="N249" s="156"/>
      <c r="O249" s="415"/>
      <c r="P249" s="210"/>
      <c r="Q249" s="424"/>
      <c r="R249" s="83"/>
      <c r="S249" s="209"/>
      <c r="T249" s="210"/>
      <c r="U249" s="209"/>
      <c r="V249" s="210"/>
      <c r="W249" s="210"/>
      <c r="X249" s="210"/>
      <c r="Y249" s="210"/>
      <c r="Z249" s="210"/>
    </row>
    <row r="250">
      <c r="A250" s="415"/>
      <c r="B250" s="210"/>
      <c r="C250" s="415"/>
      <c r="D250" s="156"/>
      <c r="E250" s="415"/>
      <c r="F250" s="210"/>
      <c r="G250" s="415"/>
      <c r="H250" s="210"/>
      <c r="I250" s="423"/>
      <c r="J250" s="156"/>
      <c r="K250" s="423"/>
      <c r="L250" s="156"/>
      <c r="M250" s="423"/>
      <c r="N250" s="156"/>
      <c r="O250" s="415"/>
      <c r="P250" s="210"/>
      <c r="Q250" s="424"/>
      <c r="R250" s="83"/>
      <c r="S250" s="209"/>
      <c r="T250" s="210"/>
      <c r="U250" s="209"/>
      <c r="V250" s="210"/>
      <c r="W250" s="210"/>
      <c r="X250" s="210"/>
      <c r="Y250" s="210"/>
      <c r="Z250" s="210"/>
    </row>
    <row r="251">
      <c r="A251" s="415"/>
      <c r="B251" s="210"/>
      <c r="C251" s="415"/>
      <c r="D251" s="156"/>
      <c r="E251" s="415"/>
      <c r="F251" s="210"/>
      <c r="G251" s="415"/>
      <c r="H251" s="210"/>
      <c r="I251" s="423"/>
      <c r="J251" s="156"/>
      <c r="K251" s="423"/>
      <c r="L251" s="156"/>
      <c r="M251" s="423"/>
      <c r="N251" s="156"/>
      <c r="O251" s="415"/>
      <c r="P251" s="210"/>
      <c r="Q251" s="424"/>
      <c r="R251" s="83"/>
      <c r="S251" s="209"/>
      <c r="T251" s="210"/>
      <c r="U251" s="209"/>
      <c r="V251" s="210"/>
      <c r="W251" s="210"/>
      <c r="X251" s="210"/>
      <c r="Y251" s="210"/>
      <c r="Z251" s="210"/>
    </row>
    <row r="252">
      <c r="A252" s="415"/>
      <c r="B252" s="210"/>
      <c r="C252" s="415"/>
      <c r="D252" s="156"/>
      <c r="E252" s="415"/>
      <c r="F252" s="210"/>
      <c r="G252" s="415"/>
      <c r="H252" s="210"/>
      <c r="I252" s="423"/>
      <c r="J252" s="156"/>
      <c r="K252" s="423"/>
      <c r="L252" s="156"/>
      <c r="M252" s="423"/>
      <c r="N252" s="156"/>
      <c r="O252" s="415"/>
      <c r="P252" s="210"/>
      <c r="Q252" s="424"/>
      <c r="R252" s="83"/>
      <c r="S252" s="209"/>
      <c r="T252" s="210"/>
      <c r="U252" s="209"/>
      <c r="V252" s="210"/>
      <c r="W252" s="210"/>
      <c r="X252" s="210"/>
      <c r="Y252" s="210"/>
      <c r="Z252" s="210"/>
    </row>
    <row r="253">
      <c r="A253" s="415"/>
      <c r="B253" s="210"/>
      <c r="C253" s="415"/>
      <c r="D253" s="156"/>
      <c r="E253" s="415"/>
      <c r="F253" s="210"/>
      <c r="G253" s="415"/>
      <c r="H253" s="210"/>
      <c r="I253" s="423"/>
      <c r="J253" s="156"/>
      <c r="K253" s="423"/>
      <c r="L253" s="156"/>
      <c r="M253" s="423"/>
      <c r="N253" s="156"/>
      <c r="O253" s="415"/>
      <c r="P253" s="210"/>
      <c r="Q253" s="424"/>
      <c r="R253" s="83"/>
      <c r="S253" s="209"/>
      <c r="T253" s="210"/>
      <c r="U253" s="209"/>
      <c r="V253" s="210"/>
      <c r="W253" s="210"/>
      <c r="X253" s="210"/>
      <c r="Y253" s="210"/>
      <c r="Z253" s="210"/>
    </row>
    <row r="254">
      <c r="A254" s="415"/>
      <c r="B254" s="210"/>
      <c r="C254" s="415"/>
      <c r="D254" s="156"/>
      <c r="E254" s="415"/>
      <c r="F254" s="210"/>
      <c r="G254" s="415"/>
      <c r="H254" s="210"/>
      <c r="I254" s="423"/>
      <c r="J254" s="156"/>
      <c r="K254" s="423"/>
      <c r="L254" s="156"/>
      <c r="M254" s="423"/>
      <c r="N254" s="156"/>
      <c r="O254" s="415"/>
      <c r="P254" s="210"/>
      <c r="Q254" s="424"/>
      <c r="R254" s="83"/>
      <c r="S254" s="209"/>
      <c r="T254" s="210"/>
      <c r="U254" s="209"/>
      <c r="V254" s="210"/>
      <c r="W254" s="210"/>
      <c r="X254" s="210"/>
      <c r="Y254" s="210"/>
      <c r="Z254" s="210"/>
    </row>
    <row r="255">
      <c r="A255" s="415"/>
      <c r="B255" s="210"/>
      <c r="C255" s="415"/>
      <c r="D255" s="156"/>
      <c r="E255" s="415"/>
      <c r="F255" s="210"/>
      <c r="G255" s="415"/>
      <c r="H255" s="210"/>
      <c r="I255" s="423"/>
      <c r="J255" s="156"/>
      <c r="K255" s="423"/>
      <c r="L255" s="156"/>
      <c r="M255" s="423"/>
      <c r="N255" s="156"/>
      <c r="O255" s="415"/>
      <c r="P255" s="210"/>
      <c r="Q255" s="424"/>
      <c r="R255" s="83"/>
      <c r="S255" s="209"/>
      <c r="T255" s="210"/>
      <c r="U255" s="209"/>
      <c r="V255" s="210"/>
      <c r="W255" s="210"/>
      <c r="X255" s="210"/>
      <c r="Y255" s="210"/>
      <c r="Z255" s="210"/>
    </row>
    <row r="256">
      <c r="A256" s="415"/>
      <c r="B256" s="210"/>
      <c r="C256" s="415"/>
      <c r="D256" s="156"/>
      <c r="E256" s="415"/>
      <c r="F256" s="210"/>
      <c r="G256" s="415"/>
      <c r="H256" s="210"/>
      <c r="I256" s="423"/>
      <c r="J256" s="156"/>
      <c r="K256" s="423"/>
      <c r="L256" s="156"/>
      <c r="M256" s="423"/>
      <c r="N256" s="156"/>
      <c r="O256" s="415"/>
      <c r="P256" s="210"/>
      <c r="Q256" s="424"/>
      <c r="R256" s="83"/>
      <c r="S256" s="209"/>
      <c r="T256" s="210"/>
      <c r="U256" s="209"/>
      <c r="V256" s="210"/>
      <c r="W256" s="210"/>
      <c r="X256" s="210"/>
      <c r="Y256" s="210"/>
      <c r="Z256" s="210"/>
    </row>
    <row r="257">
      <c r="A257" s="415"/>
      <c r="B257" s="210"/>
      <c r="C257" s="415"/>
      <c r="D257" s="156"/>
      <c r="E257" s="415"/>
      <c r="F257" s="210"/>
      <c r="G257" s="415"/>
      <c r="H257" s="210"/>
      <c r="I257" s="423"/>
      <c r="J257" s="156"/>
      <c r="K257" s="423"/>
      <c r="L257" s="156"/>
      <c r="M257" s="423"/>
      <c r="N257" s="156"/>
      <c r="O257" s="415"/>
      <c r="P257" s="210"/>
      <c r="Q257" s="424"/>
      <c r="R257" s="83"/>
      <c r="S257" s="209"/>
      <c r="T257" s="210"/>
      <c r="U257" s="209"/>
      <c r="V257" s="210"/>
      <c r="W257" s="210"/>
      <c r="X257" s="210"/>
      <c r="Y257" s="210"/>
      <c r="Z257" s="210"/>
    </row>
    <row r="258">
      <c r="A258" s="415"/>
      <c r="B258" s="210"/>
      <c r="C258" s="415"/>
      <c r="D258" s="156"/>
      <c r="E258" s="415"/>
      <c r="F258" s="210"/>
      <c r="G258" s="415"/>
      <c r="H258" s="210"/>
      <c r="I258" s="423"/>
      <c r="J258" s="156"/>
      <c r="K258" s="423"/>
      <c r="L258" s="156"/>
      <c r="M258" s="423"/>
      <c r="N258" s="156"/>
      <c r="O258" s="415"/>
      <c r="P258" s="210"/>
      <c r="Q258" s="424"/>
      <c r="R258" s="83"/>
      <c r="S258" s="209"/>
      <c r="T258" s="210"/>
      <c r="U258" s="209"/>
      <c r="V258" s="210"/>
      <c r="W258" s="210"/>
      <c r="X258" s="210"/>
      <c r="Y258" s="210"/>
      <c r="Z258" s="210"/>
    </row>
    <row r="259">
      <c r="A259" s="415"/>
      <c r="B259" s="210"/>
      <c r="C259" s="415"/>
      <c r="D259" s="156"/>
      <c r="E259" s="415"/>
      <c r="F259" s="210"/>
      <c r="G259" s="415"/>
      <c r="H259" s="210"/>
      <c r="I259" s="423"/>
      <c r="J259" s="156"/>
      <c r="K259" s="423"/>
      <c r="L259" s="156"/>
      <c r="M259" s="423"/>
      <c r="N259" s="156"/>
      <c r="O259" s="415"/>
      <c r="P259" s="210"/>
      <c r="Q259" s="424"/>
      <c r="R259" s="83"/>
      <c r="S259" s="209"/>
      <c r="T259" s="210"/>
      <c r="U259" s="209"/>
      <c r="V259" s="210"/>
      <c r="W259" s="210"/>
      <c r="X259" s="210"/>
      <c r="Y259" s="210"/>
      <c r="Z259" s="210"/>
    </row>
    <row r="260">
      <c r="A260" s="415"/>
      <c r="B260" s="210"/>
      <c r="C260" s="415"/>
      <c r="D260" s="156"/>
      <c r="E260" s="415"/>
      <c r="F260" s="210"/>
      <c r="G260" s="415"/>
      <c r="H260" s="210"/>
      <c r="I260" s="423"/>
      <c r="J260" s="156"/>
      <c r="K260" s="423"/>
      <c r="L260" s="156"/>
      <c r="M260" s="423"/>
      <c r="N260" s="156"/>
      <c r="O260" s="415"/>
      <c r="P260" s="210"/>
      <c r="Q260" s="424"/>
      <c r="R260" s="83"/>
      <c r="S260" s="209"/>
      <c r="T260" s="210"/>
      <c r="U260" s="209"/>
      <c r="V260" s="210"/>
      <c r="W260" s="210"/>
      <c r="X260" s="210"/>
      <c r="Y260" s="210"/>
      <c r="Z260" s="210"/>
    </row>
    <row r="261">
      <c r="A261" s="415"/>
      <c r="B261" s="210"/>
      <c r="C261" s="415"/>
      <c r="D261" s="156"/>
      <c r="E261" s="415"/>
      <c r="F261" s="210"/>
      <c r="G261" s="415"/>
      <c r="H261" s="210"/>
      <c r="I261" s="423"/>
      <c r="J261" s="156"/>
      <c r="K261" s="423"/>
      <c r="L261" s="156"/>
      <c r="M261" s="423"/>
      <c r="N261" s="156"/>
      <c r="O261" s="415"/>
      <c r="P261" s="210"/>
      <c r="Q261" s="424"/>
      <c r="R261" s="83"/>
      <c r="S261" s="209"/>
      <c r="T261" s="210"/>
      <c r="U261" s="209"/>
      <c r="V261" s="210"/>
      <c r="W261" s="210"/>
      <c r="X261" s="210"/>
      <c r="Y261" s="210"/>
      <c r="Z261" s="210"/>
    </row>
    <row r="262">
      <c r="A262" s="415"/>
      <c r="B262" s="210"/>
      <c r="C262" s="415"/>
      <c r="D262" s="156"/>
      <c r="E262" s="415"/>
      <c r="F262" s="210"/>
      <c r="G262" s="415"/>
      <c r="H262" s="210"/>
      <c r="I262" s="423"/>
      <c r="J262" s="156"/>
      <c r="K262" s="423"/>
      <c r="L262" s="156"/>
      <c r="M262" s="423"/>
      <c r="N262" s="156"/>
      <c r="O262" s="415"/>
      <c r="P262" s="210"/>
      <c r="Q262" s="424"/>
      <c r="R262" s="83"/>
      <c r="S262" s="209"/>
      <c r="T262" s="210"/>
      <c r="U262" s="209"/>
      <c r="V262" s="210"/>
      <c r="W262" s="210"/>
      <c r="X262" s="210"/>
      <c r="Y262" s="210"/>
      <c r="Z262" s="210"/>
    </row>
    <row r="263">
      <c r="A263" s="415"/>
      <c r="B263" s="210"/>
      <c r="C263" s="415"/>
      <c r="D263" s="156"/>
      <c r="E263" s="415"/>
      <c r="F263" s="210"/>
      <c r="G263" s="415"/>
      <c r="H263" s="210"/>
      <c r="I263" s="423"/>
      <c r="J263" s="156"/>
      <c r="K263" s="423"/>
      <c r="L263" s="156"/>
      <c r="M263" s="423"/>
      <c r="N263" s="156"/>
      <c r="O263" s="415"/>
      <c r="P263" s="210"/>
      <c r="Q263" s="424"/>
      <c r="R263" s="83"/>
      <c r="S263" s="209"/>
      <c r="T263" s="210"/>
      <c r="U263" s="209"/>
      <c r="V263" s="210"/>
      <c r="W263" s="210"/>
      <c r="X263" s="210"/>
      <c r="Y263" s="210"/>
      <c r="Z263" s="210"/>
    </row>
    <row r="264">
      <c r="A264" s="415"/>
      <c r="B264" s="210"/>
      <c r="C264" s="415"/>
      <c r="D264" s="156"/>
      <c r="E264" s="415"/>
      <c r="F264" s="210"/>
      <c r="G264" s="415"/>
      <c r="H264" s="210"/>
      <c r="I264" s="423"/>
      <c r="J264" s="156"/>
      <c r="K264" s="423"/>
      <c r="L264" s="156"/>
      <c r="M264" s="423"/>
      <c r="N264" s="156"/>
      <c r="O264" s="415"/>
      <c r="P264" s="210"/>
      <c r="Q264" s="424"/>
      <c r="R264" s="83"/>
      <c r="S264" s="209"/>
      <c r="T264" s="210"/>
      <c r="U264" s="209"/>
      <c r="V264" s="210"/>
      <c r="W264" s="210"/>
      <c r="X264" s="210"/>
      <c r="Y264" s="210"/>
      <c r="Z264" s="210"/>
    </row>
    <row r="265">
      <c r="A265" s="415"/>
      <c r="B265" s="210"/>
      <c r="C265" s="415"/>
      <c r="D265" s="156"/>
      <c r="E265" s="415"/>
      <c r="F265" s="210"/>
      <c r="G265" s="415"/>
      <c r="H265" s="210"/>
      <c r="I265" s="423"/>
      <c r="J265" s="156"/>
      <c r="K265" s="423"/>
      <c r="L265" s="156"/>
      <c r="M265" s="423"/>
      <c r="N265" s="156"/>
      <c r="O265" s="415"/>
      <c r="P265" s="210"/>
      <c r="Q265" s="424"/>
      <c r="R265" s="83"/>
      <c r="S265" s="209"/>
      <c r="T265" s="210"/>
      <c r="U265" s="209"/>
      <c r="V265" s="210"/>
      <c r="W265" s="210"/>
      <c r="X265" s="210"/>
      <c r="Y265" s="210"/>
      <c r="Z265" s="210"/>
    </row>
    <row r="266">
      <c r="A266" s="415"/>
      <c r="B266" s="210"/>
      <c r="C266" s="415"/>
      <c r="D266" s="156"/>
      <c r="E266" s="415"/>
      <c r="F266" s="210"/>
      <c r="G266" s="415"/>
      <c r="H266" s="210"/>
      <c r="I266" s="423"/>
      <c r="J266" s="156"/>
      <c r="K266" s="423"/>
      <c r="L266" s="156"/>
      <c r="M266" s="423"/>
      <c r="N266" s="156"/>
      <c r="O266" s="415"/>
      <c r="P266" s="210"/>
      <c r="Q266" s="424"/>
      <c r="R266" s="83"/>
      <c r="S266" s="209"/>
      <c r="T266" s="210"/>
      <c r="U266" s="209"/>
      <c r="V266" s="210"/>
      <c r="W266" s="210"/>
      <c r="X266" s="210"/>
      <c r="Y266" s="210"/>
      <c r="Z266" s="210"/>
    </row>
    <row r="267">
      <c r="A267" s="415"/>
      <c r="B267" s="210"/>
      <c r="C267" s="415"/>
      <c r="D267" s="156"/>
      <c r="E267" s="415"/>
      <c r="F267" s="210"/>
      <c r="G267" s="415"/>
      <c r="H267" s="210"/>
      <c r="I267" s="423"/>
      <c r="J267" s="156"/>
      <c r="K267" s="423"/>
      <c r="L267" s="156"/>
      <c r="M267" s="423"/>
      <c r="N267" s="156"/>
      <c r="O267" s="415"/>
      <c r="P267" s="210"/>
      <c r="Q267" s="424"/>
      <c r="R267" s="83"/>
      <c r="S267" s="209"/>
      <c r="T267" s="210"/>
      <c r="U267" s="209"/>
      <c r="V267" s="210"/>
      <c r="W267" s="210"/>
      <c r="X267" s="210"/>
      <c r="Y267" s="210"/>
      <c r="Z267" s="210"/>
    </row>
    <row r="268">
      <c r="A268" s="415"/>
      <c r="B268" s="210"/>
      <c r="C268" s="415"/>
      <c r="D268" s="156"/>
      <c r="E268" s="415"/>
      <c r="F268" s="210"/>
      <c r="G268" s="415"/>
      <c r="H268" s="210"/>
      <c r="I268" s="423"/>
      <c r="J268" s="156"/>
      <c r="K268" s="423"/>
      <c r="L268" s="156"/>
      <c r="M268" s="423"/>
      <c r="N268" s="156"/>
      <c r="O268" s="415"/>
      <c r="P268" s="210"/>
      <c r="Q268" s="424"/>
      <c r="R268" s="83"/>
      <c r="S268" s="209"/>
      <c r="T268" s="210"/>
      <c r="U268" s="209"/>
      <c r="V268" s="210"/>
      <c r="W268" s="210"/>
      <c r="X268" s="210"/>
      <c r="Y268" s="210"/>
      <c r="Z268" s="210"/>
    </row>
    <row r="269">
      <c r="A269" s="415"/>
      <c r="B269" s="210"/>
      <c r="C269" s="415"/>
      <c r="D269" s="156"/>
      <c r="E269" s="415"/>
      <c r="F269" s="210"/>
      <c r="G269" s="415"/>
      <c r="H269" s="210"/>
      <c r="I269" s="423"/>
      <c r="J269" s="156"/>
      <c r="K269" s="423"/>
      <c r="L269" s="156"/>
      <c r="M269" s="423"/>
      <c r="N269" s="156"/>
      <c r="O269" s="415"/>
      <c r="P269" s="210"/>
      <c r="Q269" s="424"/>
      <c r="R269" s="83"/>
      <c r="S269" s="209"/>
      <c r="T269" s="210"/>
      <c r="U269" s="209"/>
      <c r="V269" s="210"/>
      <c r="W269" s="210"/>
      <c r="X269" s="210"/>
      <c r="Y269" s="210"/>
      <c r="Z269" s="210"/>
    </row>
    <row r="270">
      <c r="A270" s="415"/>
      <c r="B270" s="210"/>
      <c r="C270" s="415"/>
      <c r="D270" s="156"/>
      <c r="E270" s="415"/>
      <c r="F270" s="210"/>
      <c r="G270" s="415"/>
      <c r="H270" s="210"/>
      <c r="I270" s="423"/>
      <c r="J270" s="156"/>
      <c r="K270" s="423"/>
      <c r="L270" s="156"/>
      <c r="M270" s="423"/>
      <c r="N270" s="156"/>
      <c r="O270" s="415"/>
      <c r="P270" s="210"/>
      <c r="Q270" s="424"/>
      <c r="R270" s="83"/>
      <c r="S270" s="209"/>
      <c r="T270" s="210"/>
      <c r="U270" s="209"/>
      <c r="V270" s="210"/>
      <c r="W270" s="210"/>
      <c r="X270" s="210"/>
      <c r="Y270" s="210"/>
      <c r="Z270" s="210"/>
    </row>
    <row r="271">
      <c r="A271" s="415"/>
      <c r="B271" s="210"/>
      <c r="C271" s="415"/>
      <c r="D271" s="156"/>
      <c r="E271" s="415"/>
      <c r="F271" s="210"/>
      <c r="G271" s="415"/>
      <c r="H271" s="210"/>
      <c r="I271" s="423"/>
      <c r="J271" s="156"/>
      <c r="K271" s="423"/>
      <c r="L271" s="156"/>
      <c r="M271" s="423"/>
      <c r="N271" s="156"/>
      <c r="O271" s="415"/>
      <c r="P271" s="210"/>
      <c r="Q271" s="424"/>
      <c r="R271" s="83"/>
      <c r="S271" s="209"/>
      <c r="T271" s="210"/>
      <c r="U271" s="209"/>
      <c r="V271" s="210"/>
      <c r="W271" s="210"/>
      <c r="X271" s="210"/>
      <c r="Y271" s="210"/>
      <c r="Z271" s="210"/>
    </row>
    <row r="272">
      <c r="A272" s="415"/>
      <c r="B272" s="210"/>
      <c r="C272" s="415"/>
      <c r="D272" s="156"/>
      <c r="E272" s="415"/>
      <c r="F272" s="210"/>
      <c r="G272" s="415"/>
      <c r="H272" s="210"/>
      <c r="I272" s="423"/>
      <c r="J272" s="156"/>
      <c r="K272" s="423"/>
      <c r="L272" s="156"/>
      <c r="M272" s="423"/>
      <c r="N272" s="156"/>
      <c r="O272" s="415"/>
      <c r="P272" s="210"/>
      <c r="Q272" s="424"/>
      <c r="R272" s="83"/>
      <c r="S272" s="209"/>
      <c r="T272" s="210"/>
      <c r="U272" s="209"/>
      <c r="V272" s="210"/>
      <c r="W272" s="210"/>
      <c r="X272" s="210"/>
      <c r="Y272" s="210"/>
      <c r="Z272" s="210"/>
    </row>
    <row r="273">
      <c r="A273" s="415"/>
      <c r="B273" s="210"/>
      <c r="C273" s="415"/>
      <c r="D273" s="156"/>
      <c r="E273" s="415"/>
      <c r="F273" s="210"/>
      <c r="G273" s="415"/>
      <c r="H273" s="210"/>
      <c r="I273" s="423"/>
      <c r="J273" s="156"/>
      <c r="K273" s="423"/>
      <c r="L273" s="156"/>
      <c r="M273" s="423"/>
      <c r="N273" s="156"/>
      <c r="O273" s="415"/>
      <c r="P273" s="210"/>
      <c r="Q273" s="424"/>
      <c r="R273" s="83"/>
      <c r="S273" s="209"/>
      <c r="T273" s="210"/>
      <c r="U273" s="209"/>
      <c r="V273" s="210"/>
      <c r="W273" s="210"/>
      <c r="X273" s="210"/>
      <c r="Y273" s="210"/>
      <c r="Z273" s="210"/>
    </row>
    <row r="274">
      <c r="A274" s="415"/>
      <c r="B274" s="210"/>
      <c r="C274" s="415"/>
      <c r="D274" s="156"/>
      <c r="E274" s="415"/>
      <c r="F274" s="210"/>
      <c r="G274" s="415"/>
      <c r="H274" s="210"/>
      <c r="I274" s="423"/>
      <c r="J274" s="156"/>
      <c r="K274" s="423"/>
      <c r="L274" s="156"/>
      <c r="M274" s="423"/>
      <c r="N274" s="156"/>
      <c r="O274" s="415"/>
      <c r="P274" s="210"/>
      <c r="Q274" s="424"/>
      <c r="R274" s="83"/>
      <c r="S274" s="209"/>
      <c r="T274" s="210"/>
      <c r="U274" s="209"/>
      <c r="V274" s="210"/>
      <c r="W274" s="210"/>
      <c r="X274" s="210"/>
      <c r="Y274" s="210"/>
      <c r="Z274" s="210"/>
    </row>
    <row r="275">
      <c r="A275" s="415"/>
      <c r="B275" s="210"/>
      <c r="C275" s="415"/>
      <c r="D275" s="156"/>
      <c r="E275" s="415"/>
      <c r="F275" s="210"/>
      <c r="G275" s="415"/>
      <c r="H275" s="210"/>
      <c r="I275" s="423"/>
      <c r="J275" s="156"/>
      <c r="K275" s="423"/>
      <c r="L275" s="156"/>
      <c r="M275" s="423"/>
      <c r="N275" s="156"/>
      <c r="O275" s="415"/>
      <c r="P275" s="210"/>
      <c r="Q275" s="424"/>
      <c r="R275" s="83"/>
      <c r="S275" s="209"/>
      <c r="T275" s="210"/>
      <c r="U275" s="209"/>
      <c r="V275" s="210"/>
      <c r="W275" s="210"/>
      <c r="X275" s="210"/>
      <c r="Y275" s="210"/>
      <c r="Z275" s="210"/>
    </row>
    <row r="276">
      <c r="A276" s="415"/>
      <c r="B276" s="210"/>
      <c r="C276" s="415"/>
      <c r="D276" s="156"/>
      <c r="E276" s="415"/>
      <c r="F276" s="210"/>
      <c r="G276" s="415"/>
      <c r="H276" s="210"/>
      <c r="I276" s="423"/>
      <c r="J276" s="156"/>
      <c r="K276" s="423"/>
      <c r="L276" s="156"/>
      <c r="M276" s="423"/>
      <c r="N276" s="156"/>
      <c r="O276" s="415"/>
      <c r="P276" s="210"/>
      <c r="Q276" s="424"/>
      <c r="R276" s="83"/>
      <c r="S276" s="209"/>
      <c r="T276" s="210"/>
      <c r="U276" s="209"/>
      <c r="V276" s="210"/>
      <c r="W276" s="210"/>
      <c r="X276" s="210"/>
      <c r="Y276" s="210"/>
      <c r="Z276" s="210"/>
    </row>
    <row r="277">
      <c r="A277" s="415"/>
      <c r="B277" s="210"/>
      <c r="C277" s="415"/>
      <c r="D277" s="156"/>
      <c r="E277" s="415"/>
      <c r="F277" s="210"/>
      <c r="G277" s="415"/>
      <c r="H277" s="210"/>
      <c r="I277" s="423"/>
      <c r="J277" s="156"/>
      <c r="K277" s="423"/>
      <c r="L277" s="156"/>
      <c r="M277" s="423"/>
      <c r="N277" s="156"/>
      <c r="O277" s="415"/>
      <c r="P277" s="210"/>
      <c r="Q277" s="424"/>
      <c r="R277" s="83"/>
      <c r="S277" s="209"/>
      <c r="T277" s="210"/>
      <c r="U277" s="209"/>
      <c r="V277" s="210"/>
      <c r="W277" s="210"/>
      <c r="X277" s="210"/>
      <c r="Y277" s="210"/>
      <c r="Z277" s="210"/>
    </row>
    <row r="278">
      <c r="A278" s="415"/>
      <c r="B278" s="210"/>
      <c r="C278" s="415"/>
      <c r="D278" s="156"/>
      <c r="E278" s="415"/>
      <c r="F278" s="210"/>
      <c r="G278" s="415"/>
      <c r="H278" s="210"/>
      <c r="I278" s="423"/>
      <c r="J278" s="156"/>
      <c r="K278" s="423"/>
      <c r="L278" s="156"/>
      <c r="M278" s="423"/>
      <c r="N278" s="156"/>
      <c r="O278" s="415"/>
      <c r="P278" s="210"/>
      <c r="Q278" s="424"/>
      <c r="R278" s="83"/>
      <c r="S278" s="209"/>
      <c r="T278" s="210"/>
      <c r="U278" s="209"/>
      <c r="V278" s="210"/>
      <c r="W278" s="210"/>
      <c r="X278" s="210"/>
      <c r="Y278" s="210"/>
      <c r="Z278" s="210"/>
    </row>
    <row r="279">
      <c r="A279" s="415"/>
      <c r="B279" s="210"/>
      <c r="C279" s="415"/>
      <c r="D279" s="156"/>
      <c r="E279" s="415"/>
      <c r="F279" s="210"/>
      <c r="G279" s="415"/>
      <c r="H279" s="210"/>
      <c r="I279" s="423"/>
      <c r="J279" s="156"/>
      <c r="K279" s="423"/>
      <c r="L279" s="156"/>
      <c r="M279" s="423"/>
      <c r="N279" s="156"/>
      <c r="O279" s="415"/>
      <c r="P279" s="210"/>
      <c r="Q279" s="424"/>
      <c r="R279" s="83"/>
      <c r="S279" s="209"/>
      <c r="T279" s="210"/>
      <c r="U279" s="209"/>
      <c r="V279" s="210"/>
      <c r="W279" s="210"/>
      <c r="X279" s="210"/>
      <c r="Y279" s="210"/>
      <c r="Z279" s="210"/>
    </row>
    <row r="280">
      <c r="A280" s="415"/>
      <c r="B280" s="210"/>
      <c r="C280" s="415"/>
      <c r="D280" s="156"/>
      <c r="E280" s="415"/>
      <c r="F280" s="210"/>
      <c r="G280" s="415"/>
      <c r="H280" s="210"/>
      <c r="I280" s="423"/>
      <c r="J280" s="156"/>
      <c r="K280" s="423"/>
      <c r="L280" s="156"/>
      <c r="M280" s="423"/>
      <c r="N280" s="156"/>
      <c r="O280" s="415"/>
      <c r="P280" s="210"/>
      <c r="Q280" s="424"/>
      <c r="R280" s="83"/>
      <c r="S280" s="209"/>
      <c r="T280" s="210"/>
      <c r="U280" s="209"/>
      <c r="V280" s="210"/>
      <c r="W280" s="210"/>
      <c r="X280" s="210"/>
      <c r="Y280" s="210"/>
      <c r="Z280" s="210"/>
    </row>
    <row r="281">
      <c r="A281" s="415"/>
      <c r="B281" s="210"/>
      <c r="C281" s="415"/>
      <c r="D281" s="156"/>
      <c r="E281" s="415"/>
      <c r="F281" s="210"/>
      <c r="G281" s="415"/>
      <c r="H281" s="210"/>
      <c r="I281" s="423"/>
      <c r="J281" s="156"/>
      <c r="K281" s="423"/>
      <c r="L281" s="156"/>
      <c r="M281" s="423"/>
      <c r="N281" s="156"/>
      <c r="O281" s="415"/>
      <c r="P281" s="210"/>
      <c r="Q281" s="424"/>
      <c r="R281" s="83"/>
      <c r="S281" s="209"/>
      <c r="T281" s="210"/>
      <c r="U281" s="209"/>
      <c r="V281" s="210"/>
      <c r="W281" s="210"/>
      <c r="X281" s="210"/>
      <c r="Y281" s="210"/>
      <c r="Z281" s="210"/>
    </row>
    <row r="282">
      <c r="A282" s="415"/>
      <c r="B282" s="210"/>
      <c r="C282" s="415"/>
      <c r="D282" s="156"/>
      <c r="E282" s="415"/>
      <c r="F282" s="210"/>
      <c r="G282" s="415"/>
      <c r="H282" s="210"/>
      <c r="I282" s="423"/>
      <c r="J282" s="156"/>
      <c r="K282" s="423"/>
      <c r="L282" s="156"/>
      <c r="M282" s="423"/>
      <c r="N282" s="156"/>
      <c r="O282" s="415"/>
      <c r="P282" s="210"/>
      <c r="Q282" s="424"/>
      <c r="R282" s="83"/>
      <c r="S282" s="209"/>
      <c r="T282" s="210"/>
      <c r="U282" s="209"/>
      <c r="V282" s="210"/>
      <c r="W282" s="210"/>
      <c r="X282" s="210"/>
      <c r="Y282" s="210"/>
      <c r="Z282" s="210"/>
    </row>
    <row r="283">
      <c r="A283" s="415"/>
      <c r="B283" s="210"/>
      <c r="C283" s="415"/>
      <c r="D283" s="156"/>
      <c r="E283" s="415"/>
      <c r="F283" s="210"/>
      <c r="G283" s="415"/>
      <c r="H283" s="210"/>
      <c r="I283" s="423"/>
      <c r="J283" s="156"/>
      <c r="K283" s="423"/>
      <c r="L283" s="156"/>
      <c r="M283" s="423"/>
      <c r="N283" s="156"/>
      <c r="O283" s="415"/>
      <c r="P283" s="210"/>
      <c r="Q283" s="424"/>
      <c r="R283" s="83"/>
      <c r="S283" s="209"/>
      <c r="T283" s="210"/>
      <c r="U283" s="209"/>
      <c r="V283" s="210"/>
      <c r="W283" s="210"/>
      <c r="X283" s="210"/>
      <c r="Y283" s="210"/>
      <c r="Z283" s="210"/>
    </row>
    <row r="284">
      <c r="A284" s="415"/>
      <c r="B284" s="210"/>
      <c r="C284" s="415"/>
      <c r="D284" s="156"/>
      <c r="E284" s="415"/>
      <c r="F284" s="210"/>
      <c r="G284" s="415"/>
      <c r="H284" s="210"/>
      <c r="I284" s="423"/>
      <c r="J284" s="156"/>
      <c r="K284" s="423"/>
      <c r="L284" s="156"/>
      <c r="M284" s="423"/>
      <c r="N284" s="156"/>
      <c r="O284" s="415"/>
      <c r="P284" s="210"/>
      <c r="Q284" s="424"/>
      <c r="R284" s="83"/>
      <c r="S284" s="209"/>
      <c r="T284" s="210"/>
      <c r="U284" s="209"/>
      <c r="V284" s="210"/>
      <c r="W284" s="210"/>
      <c r="X284" s="210"/>
      <c r="Y284" s="210"/>
      <c r="Z284" s="210"/>
    </row>
    <row r="285">
      <c r="A285" s="415"/>
      <c r="B285" s="210"/>
      <c r="C285" s="415"/>
      <c r="D285" s="156"/>
      <c r="E285" s="415"/>
      <c r="F285" s="210"/>
      <c r="G285" s="415"/>
      <c r="H285" s="210"/>
      <c r="I285" s="423"/>
      <c r="J285" s="156"/>
      <c r="K285" s="423"/>
      <c r="L285" s="156"/>
      <c r="M285" s="423"/>
      <c r="N285" s="156"/>
      <c r="O285" s="415"/>
      <c r="P285" s="210"/>
      <c r="Q285" s="424"/>
      <c r="R285" s="83"/>
      <c r="S285" s="209"/>
      <c r="T285" s="210"/>
      <c r="U285" s="209"/>
      <c r="V285" s="210"/>
      <c r="W285" s="210"/>
      <c r="X285" s="210"/>
      <c r="Y285" s="210"/>
      <c r="Z285" s="210"/>
    </row>
    <row r="286">
      <c r="A286" s="415"/>
      <c r="B286" s="210"/>
      <c r="C286" s="415"/>
      <c r="D286" s="156"/>
      <c r="E286" s="415"/>
      <c r="F286" s="210"/>
      <c r="G286" s="415"/>
      <c r="H286" s="210"/>
      <c r="I286" s="423"/>
      <c r="J286" s="156"/>
      <c r="K286" s="423"/>
      <c r="L286" s="156"/>
      <c r="M286" s="423"/>
      <c r="N286" s="156"/>
      <c r="O286" s="415"/>
      <c r="P286" s="210"/>
      <c r="Q286" s="424"/>
      <c r="R286" s="83"/>
      <c r="S286" s="209"/>
      <c r="T286" s="210"/>
      <c r="U286" s="209"/>
      <c r="V286" s="210"/>
      <c r="W286" s="210"/>
      <c r="X286" s="210"/>
      <c r="Y286" s="210"/>
      <c r="Z286" s="210"/>
    </row>
    <row r="287">
      <c r="A287" s="415"/>
      <c r="B287" s="210"/>
      <c r="C287" s="415"/>
      <c r="D287" s="156"/>
      <c r="E287" s="415"/>
      <c r="F287" s="210"/>
      <c r="G287" s="415"/>
      <c r="H287" s="210"/>
      <c r="I287" s="423"/>
      <c r="J287" s="156"/>
      <c r="K287" s="423"/>
      <c r="L287" s="156"/>
      <c r="M287" s="423"/>
      <c r="N287" s="156"/>
      <c r="O287" s="415"/>
      <c r="P287" s="210"/>
      <c r="Q287" s="424"/>
      <c r="R287" s="83"/>
      <c r="S287" s="209"/>
      <c r="T287" s="210"/>
      <c r="U287" s="209"/>
      <c r="V287" s="210"/>
      <c r="W287" s="210"/>
      <c r="X287" s="210"/>
      <c r="Y287" s="210"/>
      <c r="Z287" s="210"/>
    </row>
    <row r="288">
      <c r="A288" s="415"/>
      <c r="B288" s="210"/>
      <c r="C288" s="415"/>
      <c r="D288" s="156"/>
      <c r="E288" s="415"/>
      <c r="F288" s="210"/>
      <c r="G288" s="415"/>
      <c r="H288" s="210"/>
      <c r="I288" s="423"/>
      <c r="J288" s="156"/>
      <c r="K288" s="423"/>
      <c r="L288" s="156"/>
      <c r="M288" s="423"/>
      <c r="N288" s="156"/>
      <c r="O288" s="415"/>
      <c r="P288" s="210"/>
      <c r="Q288" s="424"/>
      <c r="R288" s="83"/>
      <c r="S288" s="209"/>
      <c r="T288" s="210"/>
      <c r="U288" s="209"/>
      <c r="V288" s="210"/>
      <c r="W288" s="210"/>
      <c r="X288" s="210"/>
      <c r="Y288" s="210"/>
      <c r="Z288" s="210"/>
    </row>
    <row r="289">
      <c r="A289" s="415"/>
      <c r="B289" s="210"/>
      <c r="C289" s="415"/>
      <c r="D289" s="156"/>
      <c r="E289" s="415"/>
      <c r="F289" s="210"/>
      <c r="G289" s="415"/>
      <c r="H289" s="210"/>
      <c r="I289" s="423"/>
      <c r="J289" s="156"/>
      <c r="K289" s="423"/>
      <c r="L289" s="156"/>
      <c r="M289" s="423"/>
      <c r="N289" s="156"/>
      <c r="O289" s="415"/>
      <c r="P289" s="210"/>
      <c r="Q289" s="424"/>
      <c r="R289" s="83"/>
      <c r="S289" s="209"/>
      <c r="T289" s="210"/>
      <c r="U289" s="209"/>
      <c r="V289" s="210"/>
      <c r="W289" s="210"/>
      <c r="X289" s="210"/>
      <c r="Y289" s="210"/>
      <c r="Z289" s="210"/>
    </row>
    <row r="290">
      <c r="A290" s="415"/>
      <c r="B290" s="210"/>
      <c r="C290" s="415"/>
      <c r="D290" s="156"/>
      <c r="E290" s="415"/>
      <c r="F290" s="210"/>
      <c r="G290" s="415"/>
      <c r="H290" s="210"/>
      <c r="I290" s="423"/>
      <c r="J290" s="156"/>
      <c r="K290" s="423"/>
      <c r="L290" s="156"/>
      <c r="M290" s="423"/>
      <c r="N290" s="156"/>
      <c r="O290" s="415"/>
      <c r="P290" s="210"/>
      <c r="Q290" s="424"/>
      <c r="R290" s="83"/>
      <c r="S290" s="209"/>
      <c r="T290" s="210"/>
      <c r="U290" s="209"/>
      <c r="V290" s="210"/>
      <c r="W290" s="210"/>
      <c r="X290" s="210"/>
      <c r="Y290" s="210"/>
      <c r="Z290" s="210"/>
    </row>
    <row r="291">
      <c r="A291" s="415"/>
      <c r="B291" s="210"/>
      <c r="C291" s="415"/>
      <c r="D291" s="156"/>
      <c r="E291" s="415"/>
      <c r="F291" s="210"/>
      <c r="G291" s="415"/>
      <c r="H291" s="210"/>
      <c r="I291" s="423"/>
      <c r="J291" s="156"/>
      <c r="K291" s="423"/>
      <c r="L291" s="156"/>
      <c r="M291" s="423"/>
      <c r="N291" s="156"/>
      <c r="O291" s="415"/>
      <c r="P291" s="210"/>
      <c r="Q291" s="424"/>
      <c r="R291" s="83"/>
      <c r="S291" s="209"/>
      <c r="T291" s="210"/>
      <c r="U291" s="209"/>
      <c r="V291" s="210"/>
      <c r="W291" s="210"/>
      <c r="X291" s="210"/>
      <c r="Y291" s="210"/>
      <c r="Z291" s="210"/>
    </row>
    <row r="292">
      <c r="A292" s="415"/>
      <c r="B292" s="210"/>
      <c r="C292" s="415"/>
      <c r="D292" s="156"/>
      <c r="E292" s="415"/>
      <c r="F292" s="210"/>
      <c r="G292" s="415"/>
      <c r="H292" s="210"/>
      <c r="I292" s="423"/>
      <c r="J292" s="156"/>
      <c r="K292" s="423"/>
      <c r="L292" s="156"/>
      <c r="M292" s="423"/>
      <c r="N292" s="156"/>
      <c r="O292" s="415"/>
      <c r="P292" s="210"/>
      <c r="Q292" s="424"/>
      <c r="R292" s="83"/>
      <c r="S292" s="209"/>
      <c r="T292" s="210"/>
      <c r="U292" s="209"/>
      <c r="V292" s="210"/>
      <c r="W292" s="210"/>
      <c r="X292" s="210"/>
      <c r="Y292" s="210"/>
      <c r="Z292" s="210"/>
    </row>
    <row r="293">
      <c r="A293" s="415"/>
      <c r="B293" s="210"/>
      <c r="C293" s="415"/>
      <c r="D293" s="156"/>
      <c r="E293" s="415"/>
      <c r="F293" s="210"/>
      <c r="G293" s="415"/>
      <c r="H293" s="210"/>
      <c r="I293" s="423"/>
      <c r="J293" s="156"/>
      <c r="K293" s="423"/>
      <c r="L293" s="156"/>
      <c r="M293" s="423"/>
      <c r="N293" s="156"/>
      <c r="O293" s="415"/>
      <c r="P293" s="210"/>
      <c r="Q293" s="424"/>
      <c r="R293" s="83"/>
      <c r="S293" s="209"/>
      <c r="T293" s="210"/>
      <c r="U293" s="209"/>
      <c r="V293" s="210"/>
      <c r="W293" s="210"/>
      <c r="X293" s="210"/>
      <c r="Y293" s="210"/>
      <c r="Z293" s="210"/>
    </row>
    <row r="294">
      <c r="A294" s="415"/>
      <c r="B294" s="210"/>
      <c r="C294" s="415"/>
      <c r="D294" s="156"/>
      <c r="E294" s="415"/>
      <c r="F294" s="210"/>
      <c r="G294" s="415"/>
      <c r="H294" s="210"/>
      <c r="I294" s="423"/>
      <c r="J294" s="156"/>
      <c r="K294" s="423"/>
      <c r="L294" s="156"/>
      <c r="M294" s="423"/>
      <c r="N294" s="156"/>
      <c r="O294" s="415"/>
      <c r="P294" s="210"/>
      <c r="Q294" s="424"/>
      <c r="R294" s="83"/>
      <c r="S294" s="209"/>
      <c r="T294" s="210"/>
      <c r="U294" s="209"/>
      <c r="V294" s="210"/>
      <c r="W294" s="210"/>
      <c r="X294" s="210"/>
      <c r="Y294" s="210"/>
      <c r="Z294" s="210"/>
    </row>
    <row r="295">
      <c r="A295" s="415"/>
      <c r="B295" s="210"/>
      <c r="C295" s="415"/>
      <c r="D295" s="156"/>
      <c r="E295" s="415"/>
      <c r="F295" s="210"/>
      <c r="G295" s="415"/>
      <c r="H295" s="210"/>
      <c r="I295" s="423"/>
      <c r="J295" s="156"/>
      <c r="K295" s="423"/>
      <c r="L295" s="156"/>
      <c r="M295" s="423"/>
      <c r="N295" s="156"/>
      <c r="O295" s="415"/>
      <c r="P295" s="210"/>
      <c r="Q295" s="424"/>
      <c r="R295" s="83"/>
      <c r="S295" s="209"/>
      <c r="T295" s="210"/>
      <c r="U295" s="209"/>
      <c r="V295" s="210"/>
      <c r="W295" s="210"/>
      <c r="X295" s="210"/>
      <c r="Y295" s="210"/>
      <c r="Z295" s="210"/>
    </row>
    <row r="296">
      <c r="A296" s="415"/>
      <c r="B296" s="210"/>
      <c r="C296" s="415"/>
      <c r="D296" s="156"/>
      <c r="E296" s="415"/>
      <c r="F296" s="210"/>
      <c r="G296" s="415"/>
      <c r="H296" s="210"/>
      <c r="I296" s="423"/>
      <c r="J296" s="156"/>
      <c r="K296" s="423"/>
      <c r="L296" s="156"/>
      <c r="M296" s="423"/>
      <c r="N296" s="156"/>
      <c r="O296" s="415"/>
      <c r="P296" s="210"/>
      <c r="Q296" s="424"/>
      <c r="R296" s="83"/>
      <c r="S296" s="209"/>
      <c r="T296" s="210"/>
      <c r="U296" s="209"/>
      <c r="V296" s="210"/>
      <c r="W296" s="210"/>
      <c r="X296" s="210"/>
      <c r="Y296" s="210"/>
      <c r="Z296" s="210"/>
    </row>
    <row r="297">
      <c r="A297" s="415"/>
      <c r="B297" s="210"/>
      <c r="C297" s="415"/>
      <c r="D297" s="156"/>
      <c r="E297" s="415"/>
      <c r="F297" s="210"/>
      <c r="G297" s="415"/>
      <c r="H297" s="210"/>
      <c r="I297" s="423"/>
      <c r="J297" s="156"/>
      <c r="K297" s="423"/>
      <c r="L297" s="156"/>
      <c r="M297" s="423"/>
      <c r="N297" s="156"/>
      <c r="O297" s="415"/>
      <c r="P297" s="210"/>
      <c r="Q297" s="424"/>
      <c r="R297" s="83"/>
      <c r="S297" s="209"/>
      <c r="T297" s="210"/>
      <c r="U297" s="209"/>
      <c r="V297" s="210"/>
      <c r="W297" s="210"/>
      <c r="X297" s="210"/>
      <c r="Y297" s="210"/>
      <c r="Z297" s="210"/>
    </row>
    <row r="298">
      <c r="A298" s="415"/>
      <c r="B298" s="210"/>
      <c r="C298" s="415"/>
      <c r="D298" s="156"/>
      <c r="E298" s="415"/>
      <c r="F298" s="210"/>
      <c r="G298" s="415"/>
      <c r="H298" s="210"/>
      <c r="I298" s="423"/>
      <c r="J298" s="156"/>
      <c r="K298" s="423"/>
      <c r="L298" s="156"/>
      <c r="M298" s="423"/>
      <c r="N298" s="156"/>
      <c r="O298" s="415"/>
      <c r="P298" s="210"/>
      <c r="Q298" s="424"/>
      <c r="R298" s="83"/>
      <c r="S298" s="209"/>
      <c r="T298" s="210"/>
      <c r="U298" s="209"/>
      <c r="V298" s="210"/>
      <c r="W298" s="210"/>
      <c r="X298" s="210"/>
      <c r="Y298" s="210"/>
      <c r="Z298" s="210"/>
    </row>
    <row r="299">
      <c r="A299" s="415"/>
      <c r="B299" s="210"/>
      <c r="C299" s="415"/>
      <c r="D299" s="156"/>
      <c r="E299" s="415"/>
      <c r="F299" s="210"/>
      <c r="G299" s="415"/>
      <c r="H299" s="210"/>
      <c r="I299" s="423"/>
      <c r="J299" s="156"/>
      <c r="K299" s="423"/>
      <c r="L299" s="156"/>
      <c r="M299" s="423"/>
      <c r="N299" s="156"/>
      <c r="O299" s="415"/>
      <c r="P299" s="210"/>
      <c r="Q299" s="424"/>
      <c r="R299" s="83"/>
      <c r="S299" s="209"/>
      <c r="T299" s="210"/>
      <c r="U299" s="209"/>
      <c r="V299" s="210"/>
      <c r="W299" s="210"/>
      <c r="X299" s="210"/>
      <c r="Y299" s="210"/>
      <c r="Z299" s="210"/>
    </row>
    <row r="300">
      <c r="A300" s="415"/>
      <c r="B300" s="210"/>
      <c r="C300" s="415"/>
      <c r="D300" s="156"/>
      <c r="E300" s="415"/>
      <c r="F300" s="210"/>
      <c r="G300" s="415"/>
      <c r="H300" s="210"/>
      <c r="I300" s="423"/>
      <c r="J300" s="156"/>
      <c r="K300" s="423"/>
      <c r="L300" s="156"/>
      <c r="M300" s="423"/>
      <c r="N300" s="156"/>
      <c r="O300" s="415"/>
      <c r="P300" s="210"/>
      <c r="Q300" s="424"/>
      <c r="R300" s="83"/>
      <c r="S300" s="209"/>
      <c r="T300" s="210"/>
      <c r="U300" s="209"/>
      <c r="V300" s="210"/>
      <c r="W300" s="210"/>
      <c r="X300" s="210"/>
      <c r="Y300" s="210"/>
      <c r="Z300" s="210"/>
    </row>
    <row r="301">
      <c r="A301" s="415"/>
      <c r="B301" s="210"/>
      <c r="C301" s="415"/>
      <c r="D301" s="156"/>
      <c r="E301" s="415"/>
      <c r="F301" s="210"/>
      <c r="G301" s="415"/>
      <c r="H301" s="210"/>
      <c r="I301" s="423"/>
      <c r="J301" s="156"/>
      <c r="K301" s="423"/>
      <c r="L301" s="156"/>
      <c r="M301" s="423"/>
      <c r="N301" s="156"/>
      <c r="O301" s="415"/>
      <c r="P301" s="210"/>
      <c r="Q301" s="424"/>
      <c r="R301" s="83"/>
      <c r="S301" s="209"/>
      <c r="T301" s="210"/>
      <c r="U301" s="209"/>
      <c r="V301" s="210"/>
      <c r="W301" s="210"/>
      <c r="X301" s="210"/>
      <c r="Y301" s="210"/>
      <c r="Z301" s="210"/>
    </row>
    <row r="302">
      <c r="A302" s="415"/>
      <c r="B302" s="210"/>
      <c r="C302" s="415"/>
      <c r="D302" s="156"/>
      <c r="E302" s="415"/>
      <c r="F302" s="210"/>
      <c r="G302" s="415"/>
      <c r="H302" s="210"/>
      <c r="I302" s="423"/>
      <c r="J302" s="156"/>
      <c r="K302" s="423"/>
      <c r="L302" s="156"/>
      <c r="M302" s="423"/>
      <c r="N302" s="156"/>
      <c r="O302" s="415"/>
      <c r="P302" s="210"/>
      <c r="Q302" s="424"/>
      <c r="R302" s="83"/>
      <c r="S302" s="209"/>
      <c r="T302" s="210"/>
      <c r="U302" s="209"/>
      <c r="V302" s="210"/>
      <c r="W302" s="210"/>
      <c r="X302" s="210"/>
      <c r="Y302" s="210"/>
      <c r="Z302" s="210"/>
    </row>
    <row r="303">
      <c r="A303" s="415"/>
      <c r="B303" s="210"/>
      <c r="C303" s="415"/>
      <c r="D303" s="156"/>
      <c r="E303" s="415"/>
      <c r="F303" s="210"/>
      <c r="G303" s="415"/>
      <c r="H303" s="210"/>
      <c r="I303" s="423"/>
      <c r="J303" s="156"/>
      <c r="K303" s="423"/>
      <c r="L303" s="156"/>
      <c r="M303" s="423"/>
      <c r="N303" s="156"/>
      <c r="O303" s="415"/>
      <c r="P303" s="210"/>
      <c r="Q303" s="424"/>
      <c r="R303" s="83"/>
      <c r="S303" s="209"/>
      <c r="T303" s="210"/>
      <c r="U303" s="209"/>
      <c r="V303" s="210"/>
      <c r="W303" s="210"/>
      <c r="X303" s="210"/>
      <c r="Y303" s="210"/>
      <c r="Z303" s="210"/>
    </row>
    <row r="304">
      <c r="A304" s="415"/>
      <c r="B304" s="210"/>
      <c r="C304" s="415"/>
      <c r="D304" s="156"/>
      <c r="E304" s="415"/>
      <c r="F304" s="210"/>
      <c r="G304" s="415"/>
      <c r="H304" s="210"/>
      <c r="I304" s="423"/>
      <c r="J304" s="156"/>
      <c r="K304" s="423"/>
      <c r="L304" s="156"/>
      <c r="M304" s="423"/>
      <c r="N304" s="156"/>
      <c r="O304" s="415"/>
      <c r="P304" s="210"/>
      <c r="Q304" s="424"/>
      <c r="R304" s="83"/>
      <c r="S304" s="209"/>
      <c r="T304" s="210"/>
      <c r="U304" s="209"/>
      <c r="V304" s="210"/>
      <c r="W304" s="210"/>
      <c r="X304" s="210"/>
      <c r="Y304" s="210"/>
      <c r="Z304" s="210"/>
    </row>
    <row r="305">
      <c r="A305" s="415"/>
      <c r="B305" s="210"/>
      <c r="C305" s="415"/>
      <c r="D305" s="156"/>
      <c r="E305" s="415"/>
      <c r="F305" s="210"/>
      <c r="G305" s="415"/>
      <c r="H305" s="210"/>
      <c r="I305" s="423"/>
      <c r="J305" s="156"/>
      <c r="K305" s="423"/>
      <c r="L305" s="156"/>
      <c r="M305" s="423"/>
      <c r="N305" s="156"/>
      <c r="O305" s="415"/>
      <c r="P305" s="210"/>
      <c r="Q305" s="424"/>
      <c r="R305" s="83"/>
      <c r="S305" s="209"/>
      <c r="T305" s="210"/>
      <c r="U305" s="209"/>
      <c r="V305" s="210"/>
      <c r="W305" s="210"/>
      <c r="X305" s="210"/>
      <c r="Y305" s="210"/>
      <c r="Z305" s="210"/>
    </row>
    <row r="306">
      <c r="A306" s="415"/>
      <c r="B306" s="210"/>
      <c r="C306" s="415"/>
      <c r="D306" s="156"/>
      <c r="E306" s="415"/>
      <c r="F306" s="210"/>
      <c r="G306" s="415"/>
      <c r="H306" s="210"/>
      <c r="I306" s="423"/>
      <c r="J306" s="156"/>
      <c r="K306" s="423"/>
      <c r="L306" s="156"/>
      <c r="M306" s="423"/>
      <c r="N306" s="156"/>
      <c r="O306" s="415"/>
      <c r="P306" s="210"/>
      <c r="Q306" s="424"/>
      <c r="R306" s="83"/>
      <c r="S306" s="209"/>
      <c r="T306" s="210"/>
      <c r="U306" s="209"/>
      <c r="V306" s="210"/>
      <c r="W306" s="210"/>
      <c r="X306" s="210"/>
      <c r="Y306" s="210"/>
      <c r="Z306" s="210"/>
    </row>
    <row r="307">
      <c r="A307" s="415"/>
      <c r="B307" s="210"/>
      <c r="C307" s="415"/>
      <c r="D307" s="156"/>
      <c r="E307" s="415"/>
      <c r="F307" s="210"/>
      <c r="G307" s="415"/>
      <c r="H307" s="210"/>
      <c r="I307" s="423"/>
      <c r="J307" s="156"/>
      <c r="K307" s="423"/>
      <c r="L307" s="156"/>
      <c r="M307" s="423"/>
      <c r="N307" s="156"/>
      <c r="O307" s="415"/>
      <c r="P307" s="210"/>
      <c r="Q307" s="424"/>
      <c r="R307" s="83"/>
      <c r="S307" s="209"/>
      <c r="T307" s="210"/>
      <c r="U307" s="209"/>
      <c r="V307" s="210"/>
      <c r="W307" s="210"/>
      <c r="X307" s="210"/>
      <c r="Y307" s="210"/>
      <c r="Z307" s="210"/>
    </row>
    <row r="308">
      <c r="A308" s="415"/>
      <c r="B308" s="210"/>
      <c r="C308" s="415"/>
      <c r="D308" s="156"/>
      <c r="E308" s="415"/>
      <c r="F308" s="210"/>
      <c r="G308" s="415"/>
      <c r="H308" s="210"/>
      <c r="I308" s="423"/>
      <c r="J308" s="156"/>
      <c r="K308" s="423"/>
      <c r="L308" s="156"/>
      <c r="M308" s="423"/>
      <c r="N308" s="156"/>
      <c r="O308" s="415"/>
      <c r="P308" s="210"/>
      <c r="Q308" s="424"/>
      <c r="R308" s="83"/>
      <c r="S308" s="209"/>
      <c r="T308" s="210"/>
      <c r="U308" s="209"/>
      <c r="V308" s="210"/>
      <c r="W308" s="210"/>
      <c r="X308" s="210"/>
      <c r="Y308" s="210"/>
      <c r="Z308" s="210"/>
    </row>
    <row r="309">
      <c r="A309" s="415"/>
      <c r="B309" s="210"/>
      <c r="C309" s="415"/>
      <c r="D309" s="156"/>
      <c r="E309" s="415"/>
      <c r="F309" s="210"/>
      <c r="G309" s="415"/>
      <c r="H309" s="210"/>
      <c r="I309" s="423"/>
      <c r="J309" s="156"/>
      <c r="K309" s="423"/>
      <c r="L309" s="156"/>
      <c r="M309" s="423"/>
      <c r="N309" s="156"/>
      <c r="O309" s="415"/>
      <c r="P309" s="210"/>
      <c r="Q309" s="424"/>
      <c r="R309" s="83"/>
      <c r="S309" s="209"/>
      <c r="T309" s="210"/>
      <c r="U309" s="209"/>
      <c r="V309" s="210"/>
      <c r="W309" s="210"/>
      <c r="X309" s="210"/>
      <c r="Y309" s="210"/>
      <c r="Z309" s="210"/>
    </row>
    <row r="310">
      <c r="A310" s="415"/>
      <c r="B310" s="210"/>
      <c r="C310" s="415"/>
      <c r="D310" s="156"/>
      <c r="E310" s="415"/>
      <c r="F310" s="210"/>
      <c r="G310" s="415"/>
      <c r="H310" s="210"/>
      <c r="I310" s="423"/>
      <c r="J310" s="156"/>
      <c r="K310" s="423"/>
      <c r="L310" s="156"/>
      <c r="M310" s="423"/>
      <c r="N310" s="156"/>
      <c r="O310" s="415"/>
      <c r="P310" s="210"/>
      <c r="Q310" s="424"/>
      <c r="R310" s="83"/>
      <c r="S310" s="209"/>
      <c r="T310" s="210"/>
      <c r="U310" s="209"/>
      <c r="V310" s="210"/>
      <c r="W310" s="210"/>
      <c r="X310" s="210"/>
      <c r="Y310" s="210"/>
      <c r="Z310" s="210"/>
    </row>
    <row r="311">
      <c r="A311" s="415"/>
      <c r="B311" s="210"/>
      <c r="C311" s="415"/>
      <c r="D311" s="156"/>
      <c r="E311" s="415"/>
      <c r="F311" s="210"/>
      <c r="G311" s="415"/>
      <c r="H311" s="210"/>
      <c r="I311" s="423"/>
      <c r="J311" s="156"/>
      <c r="K311" s="423"/>
      <c r="L311" s="156"/>
      <c r="M311" s="423"/>
      <c r="N311" s="156"/>
      <c r="O311" s="415"/>
      <c r="P311" s="210"/>
      <c r="Q311" s="424"/>
      <c r="R311" s="83"/>
      <c r="S311" s="209"/>
      <c r="T311" s="210"/>
      <c r="U311" s="209"/>
      <c r="V311" s="210"/>
      <c r="W311" s="210"/>
      <c r="X311" s="210"/>
      <c r="Y311" s="210"/>
      <c r="Z311" s="210"/>
    </row>
    <row r="312">
      <c r="A312" s="415"/>
      <c r="B312" s="210"/>
      <c r="C312" s="415"/>
      <c r="D312" s="156"/>
      <c r="E312" s="415"/>
      <c r="F312" s="210"/>
      <c r="G312" s="415"/>
      <c r="H312" s="210"/>
      <c r="I312" s="423"/>
      <c r="J312" s="156"/>
      <c r="K312" s="423"/>
      <c r="L312" s="156"/>
      <c r="M312" s="423"/>
      <c r="N312" s="156"/>
      <c r="O312" s="415"/>
      <c r="P312" s="210"/>
      <c r="Q312" s="424"/>
      <c r="R312" s="83"/>
      <c r="S312" s="209"/>
      <c r="T312" s="210"/>
      <c r="U312" s="209"/>
      <c r="V312" s="210"/>
      <c r="W312" s="210"/>
      <c r="X312" s="210"/>
      <c r="Y312" s="210"/>
      <c r="Z312" s="210"/>
    </row>
    <row r="313">
      <c r="A313" s="415"/>
      <c r="B313" s="210"/>
      <c r="C313" s="415"/>
      <c r="D313" s="156"/>
      <c r="E313" s="415"/>
      <c r="F313" s="210"/>
      <c r="G313" s="415"/>
      <c r="H313" s="210"/>
      <c r="I313" s="423"/>
      <c r="J313" s="156"/>
      <c r="K313" s="423"/>
      <c r="L313" s="156"/>
      <c r="M313" s="423"/>
      <c r="N313" s="156"/>
      <c r="O313" s="415"/>
      <c r="P313" s="210"/>
      <c r="Q313" s="424"/>
      <c r="R313" s="83"/>
      <c r="S313" s="209"/>
      <c r="T313" s="210"/>
      <c r="U313" s="209"/>
      <c r="V313" s="210"/>
      <c r="W313" s="210"/>
      <c r="X313" s="210"/>
      <c r="Y313" s="210"/>
      <c r="Z313" s="210"/>
    </row>
    <row r="314">
      <c r="A314" s="415"/>
      <c r="B314" s="210"/>
      <c r="C314" s="415"/>
      <c r="D314" s="156"/>
      <c r="E314" s="415"/>
      <c r="F314" s="210"/>
      <c r="G314" s="415"/>
      <c r="H314" s="210"/>
      <c r="I314" s="423"/>
      <c r="J314" s="156"/>
      <c r="K314" s="423"/>
      <c r="L314" s="156"/>
      <c r="M314" s="423"/>
      <c r="N314" s="156"/>
      <c r="O314" s="415"/>
      <c r="P314" s="210"/>
      <c r="Q314" s="424"/>
      <c r="R314" s="83"/>
      <c r="S314" s="209"/>
      <c r="T314" s="210"/>
      <c r="U314" s="209"/>
      <c r="V314" s="210"/>
      <c r="W314" s="210"/>
      <c r="X314" s="210"/>
      <c r="Y314" s="210"/>
      <c r="Z314" s="210"/>
    </row>
    <row r="315">
      <c r="A315" s="415"/>
      <c r="B315" s="210"/>
      <c r="C315" s="415"/>
      <c r="D315" s="156"/>
      <c r="E315" s="415"/>
      <c r="F315" s="210"/>
      <c r="G315" s="415"/>
      <c r="H315" s="210"/>
      <c r="I315" s="423"/>
      <c r="J315" s="156"/>
      <c r="K315" s="423"/>
      <c r="L315" s="156"/>
      <c r="M315" s="423"/>
      <c r="N315" s="156"/>
      <c r="O315" s="415"/>
      <c r="P315" s="210"/>
      <c r="Q315" s="424"/>
      <c r="R315" s="83"/>
      <c r="S315" s="209"/>
      <c r="T315" s="210"/>
      <c r="U315" s="209"/>
      <c r="V315" s="210"/>
      <c r="W315" s="210"/>
      <c r="X315" s="210"/>
      <c r="Y315" s="210"/>
      <c r="Z315" s="210"/>
    </row>
    <row r="316">
      <c r="A316" s="415"/>
      <c r="B316" s="210"/>
      <c r="C316" s="415"/>
      <c r="D316" s="156"/>
      <c r="E316" s="415"/>
      <c r="F316" s="210"/>
      <c r="G316" s="415"/>
      <c r="H316" s="210"/>
      <c r="I316" s="423"/>
      <c r="J316" s="156"/>
      <c r="K316" s="423"/>
      <c r="L316" s="156"/>
      <c r="M316" s="423"/>
      <c r="N316" s="156"/>
      <c r="O316" s="415"/>
      <c r="P316" s="210"/>
      <c r="Q316" s="424"/>
      <c r="R316" s="83"/>
      <c r="S316" s="209"/>
      <c r="T316" s="210"/>
      <c r="U316" s="209"/>
      <c r="V316" s="210"/>
      <c r="W316" s="210"/>
      <c r="X316" s="210"/>
      <c r="Y316" s="210"/>
      <c r="Z316" s="210"/>
    </row>
    <row r="317">
      <c r="A317" s="415"/>
      <c r="B317" s="210"/>
      <c r="C317" s="415"/>
      <c r="D317" s="156"/>
      <c r="E317" s="415"/>
      <c r="F317" s="210"/>
      <c r="G317" s="415"/>
      <c r="H317" s="210"/>
      <c r="I317" s="423"/>
      <c r="J317" s="156"/>
      <c r="K317" s="423"/>
      <c r="L317" s="156"/>
      <c r="M317" s="423"/>
      <c r="N317" s="156"/>
      <c r="O317" s="415"/>
      <c r="P317" s="210"/>
      <c r="Q317" s="424"/>
      <c r="R317" s="83"/>
      <c r="S317" s="209"/>
      <c r="T317" s="210"/>
      <c r="U317" s="209"/>
      <c r="V317" s="210"/>
      <c r="W317" s="210"/>
      <c r="X317" s="210"/>
      <c r="Y317" s="210"/>
      <c r="Z317" s="210"/>
    </row>
    <row r="318">
      <c r="A318" s="415"/>
      <c r="B318" s="210"/>
      <c r="C318" s="415"/>
      <c r="D318" s="156"/>
      <c r="E318" s="415"/>
      <c r="F318" s="210"/>
      <c r="G318" s="415"/>
      <c r="H318" s="210"/>
      <c r="I318" s="423"/>
      <c r="J318" s="156"/>
      <c r="K318" s="423"/>
      <c r="L318" s="156"/>
      <c r="M318" s="423"/>
      <c r="N318" s="156"/>
      <c r="O318" s="415"/>
      <c r="P318" s="210"/>
      <c r="Q318" s="424"/>
      <c r="R318" s="83"/>
      <c r="S318" s="209"/>
      <c r="T318" s="210"/>
      <c r="U318" s="209"/>
      <c r="V318" s="210"/>
      <c r="W318" s="210"/>
      <c r="X318" s="210"/>
      <c r="Y318" s="210"/>
      <c r="Z318" s="210"/>
    </row>
    <row r="319">
      <c r="A319" s="415"/>
      <c r="B319" s="210"/>
      <c r="C319" s="415"/>
      <c r="D319" s="156"/>
      <c r="E319" s="415"/>
      <c r="F319" s="210"/>
      <c r="G319" s="415"/>
      <c r="H319" s="210"/>
      <c r="I319" s="423"/>
      <c r="J319" s="156"/>
      <c r="K319" s="423"/>
      <c r="L319" s="156"/>
      <c r="M319" s="423"/>
      <c r="N319" s="156"/>
      <c r="O319" s="415"/>
      <c r="P319" s="210"/>
      <c r="Q319" s="424"/>
      <c r="R319" s="83"/>
      <c r="S319" s="209"/>
      <c r="T319" s="210"/>
      <c r="U319" s="209"/>
      <c r="V319" s="210"/>
      <c r="W319" s="210"/>
      <c r="X319" s="210"/>
      <c r="Y319" s="210"/>
      <c r="Z319" s="210"/>
    </row>
    <row r="320">
      <c r="A320" s="415"/>
      <c r="B320" s="210"/>
      <c r="C320" s="415"/>
      <c r="D320" s="156"/>
      <c r="E320" s="415"/>
      <c r="F320" s="210"/>
      <c r="G320" s="415"/>
      <c r="H320" s="210"/>
      <c r="I320" s="423"/>
      <c r="J320" s="156"/>
      <c r="K320" s="423"/>
      <c r="L320" s="156"/>
      <c r="M320" s="423"/>
      <c r="N320" s="156"/>
      <c r="O320" s="415"/>
      <c r="P320" s="210"/>
      <c r="Q320" s="424"/>
      <c r="R320" s="83"/>
      <c r="S320" s="209"/>
      <c r="T320" s="210"/>
      <c r="U320" s="209"/>
      <c r="V320" s="210"/>
      <c r="W320" s="210"/>
      <c r="X320" s="210"/>
      <c r="Y320" s="210"/>
      <c r="Z320" s="210"/>
    </row>
    <row r="321">
      <c r="A321" s="415"/>
      <c r="B321" s="210"/>
      <c r="C321" s="415"/>
      <c r="D321" s="156"/>
      <c r="E321" s="415"/>
      <c r="F321" s="210"/>
      <c r="G321" s="415"/>
      <c r="H321" s="210"/>
      <c r="I321" s="423"/>
      <c r="J321" s="156"/>
      <c r="K321" s="423"/>
      <c r="L321" s="156"/>
      <c r="M321" s="423"/>
      <c r="N321" s="156"/>
      <c r="O321" s="415"/>
      <c r="P321" s="210"/>
      <c r="Q321" s="424"/>
      <c r="R321" s="83"/>
      <c r="S321" s="209"/>
      <c r="T321" s="210"/>
      <c r="U321" s="209"/>
      <c r="V321" s="210"/>
      <c r="W321" s="210"/>
      <c r="X321" s="210"/>
      <c r="Y321" s="210"/>
      <c r="Z321" s="210"/>
    </row>
    <row r="322">
      <c r="A322" s="415"/>
      <c r="B322" s="210"/>
      <c r="C322" s="415"/>
      <c r="D322" s="156"/>
      <c r="E322" s="415"/>
      <c r="F322" s="210"/>
      <c r="G322" s="415"/>
      <c r="H322" s="210"/>
      <c r="I322" s="423"/>
      <c r="J322" s="156"/>
      <c r="K322" s="423"/>
      <c r="L322" s="156"/>
      <c r="M322" s="423"/>
      <c r="N322" s="156"/>
      <c r="O322" s="415"/>
      <c r="P322" s="210"/>
      <c r="Q322" s="424"/>
      <c r="R322" s="83"/>
      <c r="S322" s="209"/>
      <c r="T322" s="210"/>
      <c r="U322" s="209"/>
      <c r="V322" s="210"/>
      <c r="W322" s="210"/>
      <c r="X322" s="210"/>
      <c r="Y322" s="210"/>
      <c r="Z322" s="210"/>
    </row>
    <row r="323">
      <c r="A323" s="415"/>
      <c r="B323" s="210"/>
      <c r="C323" s="415"/>
      <c r="D323" s="156"/>
      <c r="E323" s="415"/>
      <c r="F323" s="210"/>
      <c r="G323" s="415"/>
      <c r="H323" s="210"/>
      <c r="I323" s="423"/>
      <c r="J323" s="156"/>
      <c r="K323" s="423"/>
      <c r="L323" s="156"/>
      <c r="M323" s="423"/>
      <c r="N323" s="156"/>
      <c r="O323" s="415"/>
      <c r="P323" s="210"/>
      <c r="Q323" s="424"/>
      <c r="R323" s="83"/>
      <c r="S323" s="209"/>
      <c r="T323" s="210"/>
      <c r="U323" s="209"/>
      <c r="V323" s="210"/>
      <c r="W323" s="210"/>
      <c r="X323" s="210"/>
      <c r="Y323" s="210"/>
      <c r="Z323" s="210"/>
    </row>
    <row r="324">
      <c r="A324" s="415"/>
      <c r="B324" s="210"/>
      <c r="C324" s="415"/>
      <c r="D324" s="156"/>
      <c r="E324" s="415"/>
      <c r="F324" s="210"/>
      <c r="G324" s="415"/>
      <c r="H324" s="210"/>
      <c r="I324" s="423"/>
      <c r="J324" s="156"/>
      <c r="K324" s="423"/>
      <c r="L324" s="156"/>
      <c r="M324" s="423"/>
      <c r="N324" s="156"/>
      <c r="O324" s="415"/>
      <c r="P324" s="210"/>
      <c r="Q324" s="424"/>
      <c r="R324" s="83"/>
      <c r="S324" s="209"/>
      <c r="T324" s="210"/>
      <c r="U324" s="209"/>
      <c r="V324" s="210"/>
      <c r="W324" s="210"/>
      <c r="X324" s="210"/>
      <c r="Y324" s="210"/>
      <c r="Z324" s="210"/>
    </row>
    <row r="325">
      <c r="A325" s="415"/>
      <c r="B325" s="210"/>
      <c r="C325" s="415"/>
      <c r="D325" s="156"/>
      <c r="E325" s="415"/>
      <c r="F325" s="210"/>
      <c r="G325" s="415"/>
      <c r="H325" s="210"/>
      <c r="I325" s="423"/>
      <c r="J325" s="156"/>
      <c r="K325" s="423"/>
      <c r="L325" s="156"/>
      <c r="M325" s="423"/>
      <c r="N325" s="156"/>
      <c r="O325" s="415"/>
      <c r="P325" s="210"/>
      <c r="Q325" s="424"/>
      <c r="R325" s="83"/>
      <c r="S325" s="209"/>
      <c r="T325" s="210"/>
      <c r="U325" s="209"/>
      <c r="V325" s="210"/>
      <c r="W325" s="210"/>
      <c r="X325" s="210"/>
      <c r="Y325" s="210"/>
      <c r="Z325" s="210"/>
    </row>
    <row r="326">
      <c r="A326" s="415"/>
      <c r="B326" s="210"/>
      <c r="C326" s="415"/>
      <c r="D326" s="156"/>
      <c r="E326" s="415"/>
      <c r="F326" s="210"/>
      <c r="G326" s="415"/>
      <c r="H326" s="210"/>
      <c r="I326" s="423"/>
      <c r="J326" s="156"/>
      <c r="K326" s="423"/>
      <c r="L326" s="156"/>
      <c r="M326" s="423"/>
      <c r="N326" s="156"/>
      <c r="O326" s="415"/>
      <c r="P326" s="210"/>
      <c r="Q326" s="424"/>
      <c r="R326" s="83"/>
      <c r="S326" s="209"/>
      <c r="T326" s="210"/>
      <c r="U326" s="209"/>
      <c r="V326" s="210"/>
      <c r="W326" s="210"/>
      <c r="X326" s="210"/>
      <c r="Y326" s="210"/>
      <c r="Z326" s="210"/>
    </row>
    <row r="327">
      <c r="A327" s="415"/>
      <c r="B327" s="210"/>
      <c r="C327" s="415"/>
      <c r="D327" s="156"/>
      <c r="E327" s="415"/>
      <c r="F327" s="210"/>
      <c r="G327" s="415"/>
      <c r="H327" s="210"/>
      <c r="I327" s="423"/>
      <c r="J327" s="156"/>
      <c r="K327" s="423"/>
      <c r="L327" s="156"/>
      <c r="M327" s="423"/>
      <c r="N327" s="156"/>
      <c r="O327" s="415"/>
      <c r="P327" s="210"/>
      <c r="Q327" s="424"/>
      <c r="R327" s="83"/>
      <c r="S327" s="209"/>
      <c r="T327" s="210"/>
      <c r="U327" s="209"/>
      <c r="V327" s="210"/>
      <c r="W327" s="210"/>
      <c r="X327" s="210"/>
      <c r="Y327" s="210"/>
      <c r="Z327" s="210"/>
    </row>
    <row r="328">
      <c r="A328" s="415"/>
      <c r="B328" s="210"/>
      <c r="C328" s="415"/>
      <c r="D328" s="156"/>
      <c r="E328" s="415"/>
      <c r="F328" s="210"/>
      <c r="G328" s="415"/>
      <c r="H328" s="210"/>
      <c r="I328" s="423"/>
      <c r="J328" s="156"/>
      <c r="K328" s="423"/>
      <c r="L328" s="156"/>
      <c r="M328" s="423"/>
      <c r="N328" s="156"/>
      <c r="O328" s="415"/>
      <c r="P328" s="210"/>
      <c r="Q328" s="424"/>
      <c r="R328" s="83"/>
      <c r="S328" s="209"/>
      <c r="T328" s="210"/>
      <c r="U328" s="209"/>
      <c r="V328" s="210"/>
      <c r="W328" s="210"/>
      <c r="X328" s="210"/>
      <c r="Y328" s="210"/>
      <c r="Z328" s="210"/>
    </row>
    <row r="329">
      <c r="A329" s="415"/>
      <c r="B329" s="210"/>
      <c r="C329" s="415"/>
      <c r="D329" s="156"/>
      <c r="E329" s="415"/>
      <c r="F329" s="210"/>
      <c r="G329" s="415"/>
      <c r="H329" s="210"/>
      <c r="I329" s="423"/>
      <c r="J329" s="156"/>
      <c r="K329" s="423"/>
      <c r="L329" s="156"/>
      <c r="M329" s="423"/>
      <c r="N329" s="156"/>
      <c r="O329" s="415"/>
      <c r="P329" s="210"/>
      <c r="Q329" s="424"/>
      <c r="R329" s="83"/>
      <c r="S329" s="209"/>
      <c r="T329" s="210"/>
      <c r="U329" s="209"/>
      <c r="V329" s="210"/>
      <c r="W329" s="210"/>
      <c r="X329" s="210"/>
      <c r="Y329" s="210"/>
      <c r="Z329" s="210"/>
    </row>
    <row r="330">
      <c r="A330" s="415"/>
      <c r="B330" s="210"/>
      <c r="C330" s="415"/>
      <c r="D330" s="156"/>
      <c r="E330" s="415"/>
      <c r="F330" s="210"/>
      <c r="G330" s="415"/>
      <c r="H330" s="210"/>
      <c r="I330" s="423"/>
      <c r="J330" s="156"/>
      <c r="K330" s="423"/>
      <c r="L330" s="156"/>
      <c r="M330" s="423"/>
      <c r="N330" s="156"/>
      <c r="O330" s="415"/>
      <c r="P330" s="210"/>
      <c r="Q330" s="424"/>
      <c r="R330" s="83"/>
      <c r="S330" s="209"/>
      <c r="T330" s="210"/>
      <c r="U330" s="209"/>
      <c r="V330" s="210"/>
      <c r="W330" s="210"/>
      <c r="X330" s="210"/>
      <c r="Y330" s="210"/>
      <c r="Z330" s="210"/>
    </row>
    <row r="331">
      <c r="A331" s="415"/>
      <c r="B331" s="210"/>
      <c r="C331" s="415"/>
      <c r="D331" s="156"/>
      <c r="E331" s="415"/>
      <c r="F331" s="210"/>
      <c r="G331" s="415"/>
      <c r="H331" s="210"/>
      <c r="I331" s="423"/>
      <c r="J331" s="156"/>
      <c r="K331" s="423"/>
      <c r="L331" s="156"/>
      <c r="M331" s="423"/>
      <c r="N331" s="156"/>
      <c r="O331" s="415"/>
      <c r="P331" s="210"/>
      <c r="Q331" s="424"/>
      <c r="R331" s="83"/>
      <c r="S331" s="209"/>
      <c r="T331" s="210"/>
      <c r="U331" s="209"/>
      <c r="V331" s="210"/>
      <c r="W331" s="210"/>
      <c r="X331" s="210"/>
      <c r="Y331" s="210"/>
      <c r="Z331" s="210"/>
    </row>
    <row r="332">
      <c r="A332" s="415"/>
      <c r="B332" s="210"/>
      <c r="C332" s="415"/>
      <c r="D332" s="156"/>
      <c r="E332" s="415"/>
      <c r="F332" s="210"/>
      <c r="G332" s="415"/>
      <c r="H332" s="210"/>
      <c r="I332" s="423"/>
      <c r="J332" s="156"/>
      <c r="K332" s="423"/>
      <c r="L332" s="156"/>
      <c r="M332" s="423"/>
      <c r="N332" s="156"/>
      <c r="O332" s="415"/>
      <c r="P332" s="210"/>
      <c r="Q332" s="424"/>
      <c r="R332" s="83"/>
      <c r="S332" s="209"/>
      <c r="T332" s="210"/>
      <c r="U332" s="209"/>
      <c r="V332" s="210"/>
      <c r="W332" s="210"/>
      <c r="X332" s="210"/>
      <c r="Y332" s="210"/>
      <c r="Z332" s="210"/>
    </row>
    <row r="333">
      <c r="A333" s="415"/>
      <c r="B333" s="210"/>
      <c r="C333" s="415"/>
      <c r="D333" s="156"/>
      <c r="E333" s="415"/>
      <c r="F333" s="210"/>
      <c r="G333" s="415"/>
      <c r="H333" s="210"/>
      <c r="I333" s="423"/>
      <c r="J333" s="156"/>
      <c r="K333" s="423"/>
      <c r="L333" s="156"/>
      <c r="M333" s="423"/>
      <c r="N333" s="156"/>
      <c r="O333" s="415"/>
      <c r="P333" s="210"/>
      <c r="Q333" s="424"/>
      <c r="R333" s="83"/>
      <c r="S333" s="209"/>
      <c r="T333" s="210"/>
      <c r="U333" s="209"/>
      <c r="V333" s="210"/>
      <c r="W333" s="210"/>
      <c r="X333" s="210"/>
      <c r="Y333" s="210"/>
      <c r="Z333" s="210"/>
    </row>
    <row r="334">
      <c r="A334" s="415"/>
      <c r="B334" s="210"/>
      <c r="C334" s="415"/>
      <c r="D334" s="156"/>
      <c r="E334" s="415"/>
      <c r="F334" s="210"/>
      <c r="G334" s="415"/>
      <c r="H334" s="210"/>
      <c r="I334" s="423"/>
      <c r="J334" s="156"/>
      <c r="K334" s="423"/>
      <c r="L334" s="156"/>
      <c r="M334" s="423"/>
      <c r="N334" s="156"/>
      <c r="O334" s="415"/>
      <c r="P334" s="210"/>
      <c r="Q334" s="424"/>
      <c r="R334" s="83"/>
      <c r="S334" s="209"/>
      <c r="T334" s="210"/>
      <c r="U334" s="209"/>
      <c r="V334" s="210"/>
      <c r="W334" s="210"/>
      <c r="X334" s="210"/>
      <c r="Y334" s="210"/>
      <c r="Z334" s="210"/>
    </row>
    <row r="335">
      <c r="A335" s="415"/>
      <c r="B335" s="210"/>
      <c r="C335" s="415"/>
      <c r="D335" s="156"/>
      <c r="E335" s="415"/>
      <c r="F335" s="210"/>
      <c r="G335" s="415"/>
      <c r="H335" s="210"/>
      <c r="I335" s="423"/>
      <c r="J335" s="156"/>
      <c r="K335" s="423"/>
      <c r="L335" s="156"/>
      <c r="M335" s="423"/>
      <c r="N335" s="156"/>
      <c r="O335" s="415"/>
      <c r="P335" s="210"/>
      <c r="Q335" s="424"/>
      <c r="R335" s="83"/>
      <c r="S335" s="209"/>
      <c r="T335" s="210"/>
      <c r="U335" s="209"/>
      <c r="V335" s="210"/>
      <c r="W335" s="210"/>
      <c r="X335" s="210"/>
      <c r="Y335" s="210"/>
      <c r="Z335" s="210"/>
    </row>
    <row r="336">
      <c r="A336" s="415"/>
      <c r="B336" s="210"/>
      <c r="C336" s="415"/>
      <c r="D336" s="156"/>
      <c r="E336" s="415"/>
      <c r="F336" s="210"/>
      <c r="G336" s="415"/>
      <c r="H336" s="210"/>
      <c r="I336" s="423"/>
      <c r="J336" s="156"/>
      <c r="K336" s="423"/>
      <c r="L336" s="156"/>
      <c r="M336" s="423"/>
      <c r="N336" s="156"/>
      <c r="O336" s="415"/>
      <c r="P336" s="210"/>
      <c r="Q336" s="424"/>
      <c r="R336" s="83"/>
      <c r="S336" s="209"/>
      <c r="T336" s="210"/>
      <c r="U336" s="209"/>
      <c r="V336" s="210"/>
      <c r="W336" s="210"/>
      <c r="X336" s="210"/>
      <c r="Y336" s="210"/>
      <c r="Z336" s="210"/>
    </row>
    <row r="337">
      <c r="A337" s="415"/>
      <c r="B337" s="210"/>
      <c r="C337" s="415"/>
      <c r="D337" s="156"/>
      <c r="E337" s="415"/>
      <c r="F337" s="210"/>
      <c r="G337" s="415"/>
      <c r="H337" s="210"/>
      <c r="I337" s="423"/>
      <c r="J337" s="156"/>
      <c r="K337" s="423"/>
      <c r="L337" s="156"/>
      <c r="M337" s="423"/>
      <c r="N337" s="156"/>
      <c r="O337" s="415"/>
      <c r="P337" s="210"/>
      <c r="Q337" s="424"/>
      <c r="R337" s="83"/>
      <c r="S337" s="209"/>
      <c r="T337" s="210"/>
      <c r="U337" s="209"/>
      <c r="V337" s="210"/>
      <c r="W337" s="210"/>
      <c r="X337" s="210"/>
      <c r="Y337" s="210"/>
      <c r="Z337" s="210"/>
    </row>
    <row r="338">
      <c r="A338" s="415"/>
      <c r="B338" s="210"/>
      <c r="C338" s="415"/>
      <c r="D338" s="156"/>
      <c r="E338" s="415"/>
      <c r="F338" s="210"/>
      <c r="G338" s="415"/>
      <c r="H338" s="210"/>
      <c r="I338" s="423"/>
      <c r="J338" s="156"/>
      <c r="K338" s="423"/>
      <c r="L338" s="156"/>
      <c r="M338" s="423"/>
      <c r="N338" s="156"/>
      <c r="O338" s="415"/>
      <c r="P338" s="210"/>
      <c r="Q338" s="424"/>
      <c r="R338" s="83"/>
      <c r="S338" s="209"/>
      <c r="T338" s="210"/>
      <c r="U338" s="209"/>
      <c r="V338" s="210"/>
      <c r="W338" s="210"/>
      <c r="X338" s="210"/>
      <c r="Y338" s="210"/>
      <c r="Z338" s="210"/>
    </row>
    <row r="339">
      <c r="A339" s="415"/>
      <c r="B339" s="210"/>
      <c r="C339" s="415"/>
      <c r="D339" s="156"/>
      <c r="E339" s="415"/>
      <c r="F339" s="210"/>
      <c r="G339" s="415"/>
      <c r="H339" s="210"/>
      <c r="I339" s="423"/>
      <c r="J339" s="156"/>
      <c r="K339" s="423"/>
      <c r="L339" s="156"/>
      <c r="M339" s="423"/>
      <c r="N339" s="156"/>
      <c r="O339" s="415"/>
      <c r="P339" s="210"/>
      <c r="Q339" s="424"/>
      <c r="R339" s="83"/>
      <c r="S339" s="209"/>
      <c r="T339" s="210"/>
      <c r="U339" s="209"/>
      <c r="V339" s="210"/>
      <c r="W339" s="210"/>
      <c r="X339" s="210"/>
      <c r="Y339" s="210"/>
      <c r="Z339" s="210"/>
    </row>
    <row r="340">
      <c r="A340" s="415"/>
      <c r="B340" s="210"/>
      <c r="C340" s="415"/>
      <c r="D340" s="156"/>
      <c r="E340" s="415"/>
      <c r="F340" s="210"/>
      <c r="G340" s="415"/>
      <c r="H340" s="210"/>
      <c r="I340" s="423"/>
      <c r="J340" s="156"/>
      <c r="K340" s="423"/>
      <c r="L340" s="156"/>
      <c r="M340" s="423"/>
      <c r="N340" s="156"/>
      <c r="O340" s="415"/>
      <c r="P340" s="210"/>
      <c r="Q340" s="424"/>
      <c r="R340" s="83"/>
      <c r="S340" s="209"/>
      <c r="T340" s="210"/>
      <c r="U340" s="209"/>
      <c r="V340" s="210"/>
      <c r="W340" s="210"/>
      <c r="X340" s="210"/>
      <c r="Y340" s="210"/>
      <c r="Z340" s="210"/>
    </row>
    <row r="341">
      <c r="A341" s="415"/>
      <c r="B341" s="210"/>
      <c r="C341" s="415"/>
      <c r="D341" s="156"/>
      <c r="E341" s="415"/>
      <c r="F341" s="210"/>
      <c r="G341" s="415"/>
      <c r="H341" s="210"/>
      <c r="I341" s="423"/>
      <c r="J341" s="156"/>
      <c r="K341" s="423"/>
      <c r="L341" s="156"/>
      <c r="M341" s="423"/>
      <c r="N341" s="156"/>
      <c r="O341" s="415"/>
      <c r="P341" s="210"/>
      <c r="Q341" s="424"/>
      <c r="R341" s="83"/>
      <c r="S341" s="209"/>
      <c r="T341" s="210"/>
      <c r="U341" s="209"/>
      <c r="V341" s="210"/>
      <c r="W341" s="210"/>
      <c r="X341" s="210"/>
      <c r="Y341" s="210"/>
      <c r="Z341" s="210"/>
    </row>
    <row r="342">
      <c r="A342" s="415"/>
      <c r="B342" s="210"/>
      <c r="C342" s="415"/>
      <c r="D342" s="156"/>
      <c r="E342" s="415"/>
      <c r="F342" s="210"/>
      <c r="G342" s="415"/>
      <c r="H342" s="210"/>
      <c r="I342" s="423"/>
      <c r="J342" s="156"/>
      <c r="K342" s="423"/>
      <c r="L342" s="156"/>
      <c r="M342" s="423"/>
      <c r="N342" s="156"/>
      <c r="O342" s="415"/>
      <c r="P342" s="210"/>
      <c r="Q342" s="424"/>
      <c r="R342" s="83"/>
      <c r="S342" s="209"/>
      <c r="T342" s="210"/>
      <c r="U342" s="209"/>
      <c r="V342" s="210"/>
      <c r="W342" s="210"/>
      <c r="X342" s="210"/>
      <c r="Y342" s="210"/>
      <c r="Z342" s="210"/>
    </row>
    <row r="343">
      <c r="A343" s="415"/>
      <c r="B343" s="210"/>
      <c r="C343" s="415"/>
      <c r="D343" s="156"/>
      <c r="E343" s="415"/>
      <c r="F343" s="210"/>
      <c r="G343" s="415"/>
      <c r="H343" s="210"/>
      <c r="I343" s="423"/>
      <c r="J343" s="156"/>
      <c r="K343" s="423"/>
      <c r="L343" s="156"/>
      <c r="M343" s="423"/>
      <c r="N343" s="156"/>
      <c r="O343" s="415"/>
      <c r="P343" s="210"/>
      <c r="Q343" s="424"/>
      <c r="R343" s="83"/>
      <c r="S343" s="209"/>
      <c r="T343" s="210"/>
      <c r="U343" s="209"/>
      <c r="V343" s="210"/>
      <c r="W343" s="210"/>
      <c r="X343" s="210"/>
      <c r="Y343" s="210"/>
      <c r="Z343" s="210"/>
    </row>
    <row r="344">
      <c r="A344" s="415"/>
      <c r="B344" s="210"/>
      <c r="C344" s="415"/>
      <c r="D344" s="156"/>
      <c r="E344" s="415"/>
      <c r="F344" s="210"/>
      <c r="G344" s="415"/>
      <c r="H344" s="210"/>
      <c r="I344" s="423"/>
      <c r="J344" s="156"/>
      <c r="K344" s="423"/>
      <c r="L344" s="156"/>
      <c r="M344" s="423"/>
      <c r="N344" s="156"/>
      <c r="O344" s="415"/>
      <c r="P344" s="210"/>
      <c r="Q344" s="424"/>
      <c r="R344" s="83"/>
      <c r="S344" s="209"/>
      <c r="T344" s="210"/>
      <c r="U344" s="209"/>
      <c r="V344" s="210"/>
      <c r="W344" s="210"/>
      <c r="X344" s="210"/>
      <c r="Y344" s="210"/>
      <c r="Z344" s="210"/>
    </row>
    <row r="345">
      <c r="A345" s="415"/>
      <c r="B345" s="210"/>
      <c r="C345" s="415"/>
      <c r="D345" s="156"/>
      <c r="E345" s="415"/>
      <c r="F345" s="210"/>
      <c r="G345" s="415"/>
      <c r="H345" s="210"/>
      <c r="I345" s="423"/>
      <c r="J345" s="156"/>
      <c r="K345" s="423"/>
      <c r="L345" s="156"/>
      <c r="M345" s="423"/>
      <c r="N345" s="156"/>
      <c r="O345" s="415"/>
      <c r="P345" s="210"/>
      <c r="Q345" s="424"/>
      <c r="R345" s="83"/>
      <c r="S345" s="209"/>
      <c r="T345" s="210"/>
      <c r="U345" s="209"/>
      <c r="V345" s="210"/>
      <c r="W345" s="210"/>
      <c r="X345" s="210"/>
      <c r="Y345" s="210"/>
      <c r="Z345" s="210"/>
    </row>
    <row r="346">
      <c r="A346" s="415"/>
      <c r="B346" s="210"/>
      <c r="C346" s="415"/>
      <c r="D346" s="156"/>
      <c r="E346" s="415"/>
      <c r="F346" s="210"/>
      <c r="G346" s="415"/>
      <c r="H346" s="210"/>
      <c r="I346" s="423"/>
      <c r="J346" s="156"/>
      <c r="K346" s="423"/>
      <c r="L346" s="156"/>
      <c r="M346" s="423"/>
      <c r="N346" s="156"/>
      <c r="O346" s="415"/>
      <c r="P346" s="210"/>
      <c r="Q346" s="424"/>
      <c r="R346" s="83"/>
      <c r="S346" s="209"/>
      <c r="T346" s="210"/>
      <c r="U346" s="209"/>
      <c r="V346" s="210"/>
      <c r="W346" s="210"/>
      <c r="X346" s="210"/>
      <c r="Y346" s="210"/>
      <c r="Z346" s="210"/>
    </row>
    <row r="347">
      <c r="A347" s="415"/>
      <c r="B347" s="210"/>
      <c r="C347" s="415"/>
      <c r="D347" s="156"/>
      <c r="E347" s="415"/>
      <c r="F347" s="210"/>
      <c r="G347" s="415"/>
      <c r="H347" s="210"/>
      <c r="I347" s="423"/>
      <c r="J347" s="156"/>
      <c r="K347" s="423"/>
      <c r="L347" s="156"/>
      <c r="M347" s="423"/>
      <c r="N347" s="156"/>
      <c r="O347" s="415"/>
      <c r="P347" s="210"/>
      <c r="Q347" s="424"/>
      <c r="R347" s="83"/>
      <c r="S347" s="209"/>
      <c r="T347" s="210"/>
      <c r="U347" s="209"/>
      <c r="V347" s="210"/>
      <c r="W347" s="210"/>
      <c r="X347" s="210"/>
      <c r="Y347" s="210"/>
      <c r="Z347" s="210"/>
    </row>
    <row r="348">
      <c r="A348" s="415"/>
      <c r="B348" s="210"/>
      <c r="C348" s="415"/>
      <c r="D348" s="156"/>
      <c r="E348" s="415"/>
      <c r="F348" s="210"/>
      <c r="G348" s="415"/>
      <c r="H348" s="210"/>
      <c r="I348" s="423"/>
      <c r="J348" s="156"/>
      <c r="K348" s="423"/>
      <c r="L348" s="156"/>
      <c r="M348" s="423"/>
      <c r="N348" s="156"/>
      <c r="O348" s="415"/>
      <c r="P348" s="210"/>
      <c r="Q348" s="424"/>
      <c r="R348" s="83"/>
      <c r="S348" s="209"/>
      <c r="T348" s="210"/>
      <c r="U348" s="209"/>
      <c r="V348" s="210"/>
      <c r="W348" s="210"/>
      <c r="X348" s="210"/>
      <c r="Y348" s="210"/>
      <c r="Z348" s="210"/>
    </row>
    <row r="349">
      <c r="A349" s="415"/>
      <c r="B349" s="210"/>
      <c r="C349" s="415"/>
      <c r="D349" s="156"/>
      <c r="E349" s="415"/>
      <c r="F349" s="210"/>
      <c r="G349" s="415"/>
      <c r="H349" s="210"/>
      <c r="I349" s="423"/>
      <c r="J349" s="156"/>
      <c r="K349" s="423"/>
      <c r="L349" s="156"/>
      <c r="M349" s="423"/>
      <c r="N349" s="156"/>
      <c r="O349" s="415"/>
      <c r="P349" s="210"/>
      <c r="Q349" s="424"/>
      <c r="R349" s="83"/>
      <c r="S349" s="209"/>
      <c r="T349" s="210"/>
      <c r="U349" s="209"/>
      <c r="V349" s="210"/>
      <c r="W349" s="210"/>
      <c r="X349" s="210"/>
      <c r="Y349" s="210"/>
      <c r="Z349" s="210"/>
    </row>
    <row r="350">
      <c r="A350" s="415"/>
      <c r="B350" s="210"/>
      <c r="C350" s="415"/>
      <c r="D350" s="156"/>
      <c r="E350" s="415"/>
      <c r="F350" s="210"/>
      <c r="G350" s="415"/>
      <c r="H350" s="210"/>
      <c r="I350" s="423"/>
      <c r="J350" s="156"/>
      <c r="K350" s="423"/>
      <c r="L350" s="156"/>
      <c r="M350" s="423"/>
      <c r="N350" s="156"/>
      <c r="O350" s="415"/>
      <c r="P350" s="210"/>
      <c r="Q350" s="424"/>
      <c r="R350" s="83"/>
      <c r="S350" s="209"/>
      <c r="T350" s="210"/>
      <c r="U350" s="209"/>
      <c r="V350" s="210"/>
      <c r="W350" s="210"/>
      <c r="X350" s="210"/>
      <c r="Y350" s="210"/>
      <c r="Z350" s="210"/>
    </row>
    <row r="351">
      <c r="A351" s="415"/>
      <c r="B351" s="210"/>
      <c r="C351" s="415"/>
      <c r="D351" s="156"/>
      <c r="E351" s="415"/>
      <c r="F351" s="210"/>
      <c r="G351" s="415"/>
      <c r="H351" s="210"/>
      <c r="I351" s="423"/>
      <c r="J351" s="156"/>
      <c r="K351" s="423"/>
      <c r="L351" s="156"/>
      <c r="M351" s="423"/>
      <c r="N351" s="156"/>
      <c r="O351" s="415"/>
      <c r="P351" s="210"/>
      <c r="Q351" s="424"/>
      <c r="R351" s="83"/>
      <c r="S351" s="209"/>
      <c r="T351" s="210"/>
      <c r="U351" s="209"/>
      <c r="V351" s="210"/>
      <c r="W351" s="210"/>
      <c r="X351" s="210"/>
      <c r="Y351" s="210"/>
      <c r="Z351" s="210"/>
    </row>
    <row r="352">
      <c r="A352" s="415"/>
      <c r="B352" s="210"/>
      <c r="C352" s="415"/>
      <c r="D352" s="156"/>
      <c r="E352" s="415"/>
      <c r="F352" s="210"/>
      <c r="G352" s="415"/>
      <c r="H352" s="210"/>
      <c r="I352" s="423"/>
      <c r="J352" s="156"/>
      <c r="K352" s="423"/>
      <c r="L352" s="156"/>
      <c r="M352" s="423"/>
      <c r="N352" s="156"/>
      <c r="O352" s="415"/>
      <c r="P352" s="210"/>
      <c r="Q352" s="424"/>
      <c r="R352" s="83"/>
      <c r="S352" s="209"/>
      <c r="T352" s="210"/>
      <c r="U352" s="209"/>
      <c r="V352" s="210"/>
      <c r="W352" s="210"/>
      <c r="X352" s="210"/>
      <c r="Y352" s="210"/>
      <c r="Z352" s="210"/>
    </row>
    <row r="353">
      <c r="A353" s="415"/>
      <c r="B353" s="210"/>
      <c r="C353" s="415"/>
      <c r="D353" s="156"/>
      <c r="E353" s="415"/>
      <c r="F353" s="210"/>
      <c r="G353" s="415"/>
      <c r="H353" s="210"/>
      <c r="I353" s="423"/>
      <c r="J353" s="156"/>
      <c r="K353" s="423"/>
      <c r="L353" s="156"/>
      <c r="M353" s="423"/>
      <c r="N353" s="156"/>
      <c r="O353" s="415"/>
      <c r="P353" s="210"/>
      <c r="Q353" s="424"/>
      <c r="R353" s="83"/>
      <c r="S353" s="209"/>
      <c r="T353" s="210"/>
      <c r="U353" s="209"/>
      <c r="V353" s="210"/>
      <c r="W353" s="210"/>
      <c r="X353" s="210"/>
      <c r="Y353" s="210"/>
      <c r="Z353" s="210"/>
    </row>
    <row r="354">
      <c r="A354" s="415"/>
      <c r="B354" s="210"/>
      <c r="C354" s="415"/>
      <c r="D354" s="156"/>
      <c r="E354" s="415"/>
      <c r="F354" s="210"/>
      <c r="G354" s="415"/>
      <c r="H354" s="210"/>
      <c r="I354" s="423"/>
      <c r="J354" s="156"/>
      <c r="K354" s="423"/>
      <c r="L354" s="156"/>
      <c r="M354" s="423"/>
      <c r="N354" s="156"/>
      <c r="O354" s="415"/>
      <c r="P354" s="210"/>
      <c r="Q354" s="424"/>
      <c r="R354" s="83"/>
      <c r="S354" s="209"/>
      <c r="T354" s="210"/>
      <c r="U354" s="209"/>
      <c r="V354" s="210"/>
      <c r="W354" s="210"/>
      <c r="X354" s="210"/>
      <c r="Y354" s="210"/>
      <c r="Z354" s="210"/>
    </row>
    <row r="355">
      <c r="A355" s="415"/>
      <c r="B355" s="210"/>
      <c r="C355" s="415"/>
      <c r="D355" s="156"/>
      <c r="E355" s="415"/>
      <c r="F355" s="210"/>
      <c r="G355" s="415"/>
      <c r="H355" s="210"/>
      <c r="I355" s="423"/>
      <c r="J355" s="156"/>
      <c r="K355" s="423"/>
      <c r="L355" s="156"/>
      <c r="M355" s="423"/>
      <c r="N355" s="156"/>
      <c r="O355" s="415"/>
      <c r="P355" s="210"/>
      <c r="Q355" s="424"/>
      <c r="R355" s="83"/>
      <c r="S355" s="209"/>
      <c r="T355" s="210"/>
      <c r="U355" s="209"/>
      <c r="V355" s="210"/>
      <c r="W355" s="210"/>
      <c r="X355" s="210"/>
      <c r="Y355" s="210"/>
      <c r="Z355" s="210"/>
    </row>
    <row r="356">
      <c r="A356" s="415"/>
      <c r="B356" s="210"/>
      <c r="C356" s="415"/>
      <c r="D356" s="156"/>
      <c r="E356" s="415"/>
      <c r="F356" s="210"/>
      <c r="G356" s="415"/>
      <c r="H356" s="210"/>
      <c r="I356" s="423"/>
      <c r="J356" s="156"/>
      <c r="K356" s="423"/>
      <c r="L356" s="156"/>
      <c r="M356" s="423"/>
      <c r="N356" s="156"/>
      <c r="O356" s="415"/>
      <c r="P356" s="210"/>
      <c r="Q356" s="424"/>
      <c r="R356" s="83"/>
      <c r="S356" s="209"/>
      <c r="T356" s="210"/>
      <c r="U356" s="209"/>
      <c r="V356" s="210"/>
      <c r="W356" s="210"/>
      <c r="X356" s="210"/>
      <c r="Y356" s="210"/>
      <c r="Z356" s="210"/>
    </row>
    <row r="357">
      <c r="A357" s="415"/>
      <c r="B357" s="210"/>
      <c r="C357" s="415"/>
      <c r="D357" s="156"/>
      <c r="E357" s="415"/>
      <c r="F357" s="210"/>
      <c r="G357" s="415"/>
      <c r="H357" s="210"/>
      <c r="I357" s="423"/>
      <c r="J357" s="156"/>
      <c r="K357" s="423"/>
      <c r="L357" s="156"/>
      <c r="M357" s="423"/>
      <c r="N357" s="156"/>
      <c r="O357" s="415"/>
      <c r="P357" s="210"/>
      <c r="Q357" s="424"/>
      <c r="R357" s="83"/>
      <c r="S357" s="209"/>
      <c r="T357" s="210"/>
      <c r="U357" s="209"/>
      <c r="V357" s="210"/>
      <c r="W357" s="210"/>
      <c r="X357" s="210"/>
      <c r="Y357" s="210"/>
      <c r="Z357" s="210"/>
    </row>
    <row r="358">
      <c r="A358" s="415"/>
      <c r="B358" s="210"/>
      <c r="C358" s="415"/>
      <c r="D358" s="156"/>
      <c r="E358" s="415"/>
      <c r="F358" s="210"/>
      <c r="G358" s="415"/>
      <c r="H358" s="210"/>
      <c r="I358" s="423"/>
      <c r="J358" s="156"/>
      <c r="K358" s="423"/>
      <c r="L358" s="156"/>
      <c r="M358" s="423"/>
      <c r="N358" s="156"/>
      <c r="O358" s="415"/>
      <c r="P358" s="210"/>
      <c r="Q358" s="424"/>
      <c r="R358" s="83"/>
      <c r="S358" s="209"/>
      <c r="T358" s="210"/>
      <c r="U358" s="209"/>
      <c r="V358" s="210"/>
      <c r="W358" s="210"/>
      <c r="X358" s="210"/>
      <c r="Y358" s="210"/>
      <c r="Z358" s="210"/>
    </row>
    <row r="359">
      <c r="A359" s="415"/>
      <c r="B359" s="210"/>
      <c r="C359" s="415"/>
      <c r="D359" s="156"/>
      <c r="E359" s="415"/>
      <c r="F359" s="210"/>
      <c r="G359" s="415"/>
      <c r="H359" s="210"/>
      <c r="I359" s="423"/>
      <c r="J359" s="156"/>
      <c r="K359" s="423"/>
      <c r="L359" s="156"/>
      <c r="M359" s="423"/>
      <c r="N359" s="156"/>
      <c r="O359" s="415"/>
      <c r="P359" s="210"/>
      <c r="Q359" s="424"/>
      <c r="R359" s="83"/>
      <c r="S359" s="209"/>
      <c r="T359" s="210"/>
      <c r="U359" s="209"/>
      <c r="V359" s="210"/>
      <c r="W359" s="210"/>
      <c r="X359" s="210"/>
      <c r="Y359" s="210"/>
      <c r="Z359" s="210"/>
    </row>
    <row r="360">
      <c r="A360" s="415"/>
      <c r="B360" s="210"/>
      <c r="C360" s="415"/>
      <c r="D360" s="156"/>
      <c r="E360" s="415"/>
      <c r="F360" s="210"/>
      <c r="G360" s="415"/>
      <c r="H360" s="210"/>
      <c r="I360" s="423"/>
      <c r="J360" s="156"/>
      <c r="K360" s="423"/>
      <c r="L360" s="156"/>
      <c r="M360" s="423"/>
      <c r="N360" s="156"/>
      <c r="O360" s="415"/>
      <c r="P360" s="210"/>
      <c r="Q360" s="424"/>
      <c r="R360" s="83"/>
      <c r="S360" s="209"/>
      <c r="T360" s="210"/>
      <c r="U360" s="209"/>
      <c r="V360" s="210"/>
      <c r="W360" s="210"/>
      <c r="X360" s="210"/>
      <c r="Y360" s="210"/>
      <c r="Z360" s="210"/>
    </row>
    <row r="361">
      <c r="A361" s="415"/>
      <c r="B361" s="210"/>
      <c r="C361" s="415"/>
      <c r="D361" s="156"/>
      <c r="E361" s="415"/>
      <c r="F361" s="210"/>
      <c r="G361" s="415"/>
      <c r="H361" s="210"/>
      <c r="I361" s="423"/>
      <c r="J361" s="156"/>
      <c r="K361" s="423"/>
      <c r="L361" s="156"/>
      <c r="M361" s="423"/>
      <c r="N361" s="156"/>
      <c r="O361" s="415"/>
      <c r="P361" s="210"/>
      <c r="Q361" s="424"/>
      <c r="R361" s="83"/>
      <c r="S361" s="209"/>
      <c r="T361" s="210"/>
      <c r="U361" s="209"/>
      <c r="V361" s="210"/>
      <c r="W361" s="210"/>
      <c r="X361" s="210"/>
      <c r="Y361" s="210"/>
      <c r="Z361" s="210"/>
    </row>
    <row r="362">
      <c r="A362" s="415"/>
      <c r="B362" s="210"/>
      <c r="C362" s="415"/>
      <c r="D362" s="156"/>
      <c r="E362" s="415"/>
      <c r="F362" s="210"/>
      <c r="G362" s="415"/>
      <c r="H362" s="210"/>
      <c r="I362" s="423"/>
      <c r="J362" s="156"/>
      <c r="K362" s="423"/>
      <c r="L362" s="156"/>
      <c r="M362" s="423"/>
      <c r="N362" s="156"/>
      <c r="O362" s="415"/>
      <c r="P362" s="210"/>
      <c r="Q362" s="424"/>
      <c r="R362" s="83"/>
      <c r="S362" s="209"/>
      <c r="T362" s="210"/>
      <c r="U362" s="209"/>
      <c r="V362" s="210"/>
      <c r="W362" s="210"/>
      <c r="X362" s="210"/>
      <c r="Y362" s="210"/>
      <c r="Z362" s="210"/>
    </row>
    <row r="363">
      <c r="A363" s="415"/>
      <c r="B363" s="210"/>
      <c r="C363" s="415"/>
      <c r="D363" s="156"/>
      <c r="E363" s="415"/>
      <c r="F363" s="210"/>
      <c r="G363" s="415"/>
      <c r="H363" s="210"/>
      <c r="I363" s="423"/>
      <c r="J363" s="156"/>
      <c r="K363" s="423"/>
      <c r="L363" s="156"/>
      <c r="M363" s="423"/>
      <c r="N363" s="156"/>
      <c r="O363" s="415"/>
      <c r="P363" s="210"/>
      <c r="Q363" s="424"/>
      <c r="R363" s="83"/>
      <c r="S363" s="209"/>
      <c r="T363" s="210"/>
      <c r="U363" s="209"/>
      <c r="V363" s="210"/>
      <c r="W363" s="210"/>
      <c r="X363" s="210"/>
      <c r="Y363" s="210"/>
      <c r="Z363" s="210"/>
    </row>
    <row r="364">
      <c r="A364" s="415"/>
      <c r="B364" s="210"/>
      <c r="C364" s="415"/>
      <c r="D364" s="156"/>
      <c r="E364" s="415"/>
      <c r="F364" s="210"/>
      <c r="G364" s="415"/>
      <c r="H364" s="210"/>
      <c r="I364" s="423"/>
      <c r="J364" s="156"/>
      <c r="K364" s="423"/>
      <c r="L364" s="156"/>
      <c r="M364" s="423"/>
      <c r="N364" s="156"/>
      <c r="O364" s="415"/>
      <c r="P364" s="210"/>
      <c r="Q364" s="424"/>
      <c r="R364" s="83"/>
      <c r="S364" s="209"/>
      <c r="T364" s="210"/>
      <c r="U364" s="209"/>
      <c r="V364" s="210"/>
      <c r="W364" s="210"/>
      <c r="X364" s="210"/>
      <c r="Y364" s="210"/>
      <c r="Z364" s="210"/>
    </row>
    <row r="365">
      <c r="A365" s="415"/>
      <c r="B365" s="210"/>
      <c r="C365" s="415"/>
      <c r="D365" s="156"/>
      <c r="E365" s="415"/>
      <c r="F365" s="210"/>
      <c r="G365" s="415"/>
      <c r="H365" s="210"/>
      <c r="I365" s="423"/>
      <c r="J365" s="156"/>
      <c r="K365" s="423"/>
      <c r="L365" s="156"/>
      <c r="M365" s="423"/>
      <c r="N365" s="156"/>
      <c r="O365" s="415"/>
      <c r="P365" s="210"/>
      <c r="Q365" s="424"/>
      <c r="R365" s="83"/>
      <c r="S365" s="209"/>
      <c r="T365" s="210"/>
      <c r="U365" s="209"/>
      <c r="V365" s="210"/>
      <c r="W365" s="210"/>
      <c r="X365" s="210"/>
      <c r="Y365" s="210"/>
      <c r="Z365" s="210"/>
    </row>
    <row r="366">
      <c r="A366" s="415"/>
      <c r="B366" s="210"/>
      <c r="C366" s="415"/>
      <c r="D366" s="156"/>
      <c r="E366" s="415"/>
      <c r="F366" s="210"/>
      <c r="G366" s="415"/>
      <c r="H366" s="210"/>
      <c r="I366" s="423"/>
      <c r="J366" s="156"/>
      <c r="K366" s="423"/>
      <c r="L366" s="156"/>
      <c r="M366" s="423"/>
      <c r="N366" s="156"/>
      <c r="O366" s="415"/>
      <c r="P366" s="210"/>
      <c r="Q366" s="424"/>
      <c r="R366" s="83"/>
      <c r="S366" s="209"/>
      <c r="T366" s="210"/>
      <c r="U366" s="209"/>
      <c r="V366" s="210"/>
      <c r="W366" s="210"/>
      <c r="X366" s="210"/>
      <c r="Y366" s="210"/>
      <c r="Z366" s="210"/>
    </row>
    <row r="367">
      <c r="A367" s="415"/>
      <c r="B367" s="210"/>
      <c r="C367" s="415"/>
      <c r="D367" s="156"/>
      <c r="E367" s="415"/>
      <c r="F367" s="210"/>
      <c r="G367" s="415"/>
      <c r="H367" s="210"/>
      <c r="I367" s="423"/>
      <c r="J367" s="156"/>
      <c r="K367" s="423"/>
      <c r="L367" s="156"/>
      <c r="M367" s="423"/>
      <c r="N367" s="156"/>
      <c r="O367" s="415"/>
      <c r="P367" s="210"/>
      <c r="Q367" s="424"/>
      <c r="R367" s="83"/>
      <c r="S367" s="209"/>
      <c r="T367" s="210"/>
      <c r="U367" s="209"/>
      <c r="V367" s="210"/>
      <c r="W367" s="210"/>
      <c r="X367" s="210"/>
      <c r="Y367" s="210"/>
      <c r="Z367" s="210"/>
    </row>
    <row r="368">
      <c r="A368" s="415"/>
      <c r="B368" s="210"/>
      <c r="C368" s="415"/>
      <c r="D368" s="156"/>
      <c r="E368" s="415"/>
      <c r="F368" s="210"/>
      <c r="G368" s="415"/>
      <c r="H368" s="210"/>
      <c r="I368" s="423"/>
      <c r="J368" s="156"/>
      <c r="K368" s="423"/>
      <c r="L368" s="156"/>
      <c r="M368" s="423"/>
      <c r="N368" s="156"/>
      <c r="O368" s="415"/>
      <c r="P368" s="210"/>
      <c r="Q368" s="424"/>
      <c r="R368" s="83"/>
      <c r="S368" s="209"/>
      <c r="T368" s="210"/>
      <c r="U368" s="209"/>
      <c r="V368" s="210"/>
      <c r="W368" s="210"/>
      <c r="X368" s="210"/>
      <c r="Y368" s="210"/>
      <c r="Z368" s="210"/>
    </row>
    <row r="369">
      <c r="A369" s="415"/>
      <c r="B369" s="210"/>
      <c r="C369" s="415"/>
      <c r="D369" s="156"/>
      <c r="E369" s="415"/>
      <c r="F369" s="210"/>
      <c r="G369" s="415"/>
      <c r="H369" s="210"/>
      <c r="I369" s="423"/>
      <c r="J369" s="156"/>
      <c r="K369" s="423"/>
      <c r="L369" s="156"/>
      <c r="M369" s="423"/>
      <c r="N369" s="156"/>
      <c r="O369" s="415"/>
      <c r="P369" s="210"/>
      <c r="Q369" s="424"/>
      <c r="R369" s="83"/>
      <c r="S369" s="209"/>
      <c r="T369" s="210"/>
      <c r="U369" s="209"/>
      <c r="V369" s="210"/>
      <c r="W369" s="210"/>
      <c r="X369" s="210"/>
      <c r="Y369" s="210"/>
      <c r="Z369" s="210"/>
    </row>
    <row r="370">
      <c r="A370" s="415"/>
      <c r="B370" s="210"/>
      <c r="C370" s="415"/>
      <c r="D370" s="156"/>
      <c r="E370" s="415"/>
      <c r="F370" s="210"/>
      <c r="G370" s="415"/>
      <c r="H370" s="210"/>
      <c r="I370" s="423"/>
      <c r="J370" s="156"/>
      <c r="K370" s="423"/>
      <c r="L370" s="156"/>
      <c r="M370" s="423"/>
      <c r="N370" s="156"/>
      <c r="O370" s="415"/>
      <c r="P370" s="210"/>
      <c r="Q370" s="424"/>
      <c r="R370" s="83"/>
      <c r="S370" s="209"/>
      <c r="T370" s="210"/>
      <c r="U370" s="209"/>
      <c r="V370" s="210"/>
      <c r="W370" s="210"/>
      <c r="X370" s="210"/>
      <c r="Y370" s="210"/>
      <c r="Z370" s="210"/>
    </row>
    <row r="371">
      <c r="A371" s="415"/>
      <c r="B371" s="210"/>
      <c r="C371" s="415"/>
      <c r="D371" s="156"/>
      <c r="E371" s="415"/>
      <c r="F371" s="210"/>
      <c r="G371" s="415"/>
      <c r="H371" s="210"/>
      <c r="I371" s="423"/>
      <c r="J371" s="156"/>
      <c r="K371" s="423"/>
      <c r="L371" s="156"/>
      <c r="M371" s="423"/>
      <c r="N371" s="156"/>
      <c r="O371" s="415"/>
      <c r="P371" s="210"/>
      <c r="Q371" s="424"/>
      <c r="R371" s="83"/>
      <c r="S371" s="209"/>
      <c r="T371" s="210"/>
      <c r="U371" s="209"/>
      <c r="V371" s="210"/>
      <c r="W371" s="210"/>
      <c r="X371" s="210"/>
      <c r="Y371" s="210"/>
      <c r="Z371" s="210"/>
    </row>
    <row r="372">
      <c r="A372" s="415"/>
      <c r="B372" s="210"/>
      <c r="C372" s="415"/>
      <c r="D372" s="156"/>
      <c r="E372" s="415"/>
      <c r="F372" s="210"/>
      <c r="G372" s="415"/>
      <c r="H372" s="210"/>
      <c r="I372" s="423"/>
      <c r="J372" s="156"/>
      <c r="K372" s="423"/>
      <c r="L372" s="156"/>
      <c r="M372" s="423"/>
      <c r="N372" s="156"/>
      <c r="O372" s="415"/>
      <c r="P372" s="210"/>
      <c r="Q372" s="424"/>
      <c r="R372" s="83"/>
      <c r="S372" s="209"/>
      <c r="T372" s="210"/>
      <c r="U372" s="209"/>
      <c r="V372" s="210"/>
      <c r="W372" s="210"/>
      <c r="X372" s="210"/>
      <c r="Y372" s="210"/>
      <c r="Z372" s="210"/>
    </row>
    <row r="373">
      <c r="A373" s="415"/>
      <c r="B373" s="210"/>
      <c r="C373" s="415"/>
      <c r="D373" s="156"/>
      <c r="E373" s="415"/>
      <c r="F373" s="210"/>
      <c r="G373" s="415"/>
      <c r="H373" s="210"/>
      <c r="I373" s="423"/>
      <c r="J373" s="156"/>
      <c r="K373" s="423"/>
      <c r="L373" s="156"/>
      <c r="M373" s="423"/>
      <c r="N373" s="156"/>
      <c r="O373" s="415"/>
      <c r="P373" s="210"/>
      <c r="Q373" s="424"/>
      <c r="R373" s="83"/>
      <c r="S373" s="209"/>
      <c r="T373" s="210"/>
      <c r="U373" s="209"/>
      <c r="V373" s="210"/>
      <c r="W373" s="210"/>
      <c r="X373" s="210"/>
      <c r="Y373" s="210"/>
      <c r="Z373" s="210"/>
    </row>
    <row r="374">
      <c r="A374" s="415"/>
      <c r="B374" s="210"/>
      <c r="C374" s="415"/>
      <c r="D374" s="156"/>
      <c r="E374" s="415"/>
      <c r="F374" s="210"/>
      <c r="G374" s="415"/>
      <c r="H374" s="210"/>
      <c r="I374" s="423"/>
      <c r="J374" s="156"/>
      <c r="K374" s="423"/>
      <c r="L374" s="156"/>
      <c r="M374" s="423"/>
      <c r="N374" s="156"/>
      <c r="O374" s="415"/>
      <c r="P374" s="210"/>
      <c r="Q374" s="424"/>
      <c r="R374" s="83"/>
      <c r="S374" s="209"/>
      <c r="T374" s="210"/>
      <c r="U374" s="209"/>
      <c r="V374" s="210"/>
      <c r="W374" s="210"/>
      <c r="X374" s="210"/>
      <c r="Y374" s="210"/>
      <c r="Z374" s="210"/>
    </row>
    <row r="375">
      <c r="A375" s="415"/>
      <c r="B375" s="210"/>
      <c r="C375" s="415"/>
      <c r="D375" s="156"/>
      <c r="E375" s="415"/>
      <c r="F375" s="210"/>
      <c r="G375" s="415"/>
      <c r="H375" s="210"/>
      <c r="I375" s="423"/>
      <c r="J375" s="156"/>
      <c r="K375" s="423"/>
      <c r="L375" s="156"/>
      <c r="M375" s="423"/>
      <c r="N375" s="156"/>
      <c r="O375" s="415"/>
      <c r="P375" s="210"/>
      <c r="Q375" s="424"/>
      <c r="R375" s="83"/>
      <c r="S375" s="209"/>
      <c r="T375" s="210"/>
      <c r="U375" s="209"/>
      <c r="V375" s="210"/>
      <c r="W375" s="210"/>
      <c r="X375" s="210"/>
      <c r="Y375" s="210"/>
      <c r="Z375" s="210"/>
    </row>
    <row r="376">
      <c r="A376" s="415"/>
      <c r="B376" s="210"/>
      <c r="C376" s="415"/>
      <c r="D376" s="156"/>
      <c r="E376" s="415"/>
      <c r="F376" s="210"/>
      <c r="G376" s="415"/>
      <c r="H376" s="210"/>
      <c r="I376" s="423"/>
      <c r="J376" s="156"/>
      <c r="K376" s="423"/>
      <c r="L376" s="156"/>
      <c r="M376" s="423"/>
      <c r="N376" s="156"/>
      <c r="O376" s="415"/>
      <c r="P376" s="210"/>
      <c r="Q376" s="424"/>
      <c r="R376" s="83"/>
      <c r="S376" s="209"/>
      <c r="T376" s="210"/>
      <c r="U376" s="209"/>
      <c r="V376" s="210"/>
      <c r="W376" s="210"/>
      <c r="X376" s="210"/>
      <c r="Y376" s="210"/>
      <c r="Z376" s="210"/>
    </row>
    <row r="377">
      <c r="A377" s="415"/>
      <c r="B377" s="210"/>
      <c r="C377" s="415"/>
      <c r="D377" s="156"/>
      <c r="E377" s="415"/>
      <c r="F377" s="210"/>
      <c r="G377" s="415"/>
      <c r="H377" s="210"/>
      <c r="I377" s="423"/>
      <c r="J377" s="156"/>
      <c r="K377" s="423"/>
      <c r="L377" s="156"/>
      <c r="M377" s="423"/>
      <c r="N377" s="156"/>
      <c r="O377" s="415"/>
      <c r="P377" s="210"/>
      <c r="Q377" s="424"/>
      <c r="R377" s="83"/>
      <c r="S377" s="209"/>
      <c r="T377" s="210"/>
      <c r="U377" s="209"/>
      <c r="V377" s="210"/>
      <c r="W377" s="210"/>
      <c r="X377" s="210"/>
      <c r="Y377" s="210"/>
      <c r="Z377" s="210"/>
    </row>
    <row r="378">
      <c r="A378" s="415"/>
      <c r="B378" s="210"/>
      <c r="C378" s="415"/>
      <c r="D378" s="156"/>
      <c r="E378" s="415"/>
      <c r="F378" s="210"/>
      <c r="G378" s="415"/>
      <c r="H378" s="210"/>
      <c r="I378" s="423"/>
      <c r="J378" s="156"/>
      <c r="K378" s="423"/>
      <c r="L378" s="156"/>
      <c r="M378" s="423"/>
      <c r="N378" s="156"/>
      <c r="O378" s="415"/>
      <c r="P378" s="210"/>
      <c r="Q378" s="424"/>
      <c r="R378" s="83"/>
      <c r="S378" s="209"/>
      <c r="T378" s="210"/>
      <c r="U378" s="209"/>
      <c r="V378" s="210"/>
      <c r="W378" s="210"/>
      <c r="X378" s="210"/>
      <c r="Y378" s="210"/>
      <c r="Z378" s="210"/>
    </row>
    <row r="379">
      <c r="A379" s="415"/>
      <c r="B379" s="210"/>
      <c r="C379" s="415"/>
      <c r="D379" s="156"/>
      <c r="E379" s="415"/>
      <c r="F379" s="210"/>
      <c r="G379" s="415"/>
      <c r="H379" s="210"/>
      <c r="I379" s="423"/>
      <c r="J379" s="156"/>
      <c r="K379" s="423"/>
      <c r="L379" s="156"/>
      <c r="M379" s="423"/>
      <c r="N379" s="156"/>
      <c r="O379" s="415"/>
      <c r="P379" s="210"/>
      <c r="Q379" s="424"/>
      <c r="R379" s="83"/>
      <c r="S379" s="209"/>
      <c r="T379" s="210"/>
      <c r="U379" s="209"/>
      <c r="V379" s="210"/>
      <c r="W379" s="210"/>
      <c r="X379" s="210"/>
      <c r="Y379" s="210"/>
      <c r="Z379" s="210"/>
    </row>
    <row r="380">
      <c r="A380" s="415"/>
      <c r="B380" s="210"/>
      <c r="C380" s="415"/>
      <c r="D380" s="156"/>
      <c r="E380" s="415"/>
      <c r="F380" s="210"/>
      <c r="G380" s="415"/>
      <c r="H380" s="210"/>
      <c r="I380" s="423"/>
      <c r="J380" s="156"/>
      <c r="K380" s="423"/>
      <c r="L380" s="156"/>
      <c r="M380" s="423"/>
      <c r="N380" s="156"/>
      <c r="O380" s="415"/>
      <c r="P380" s="210"/>
      <c r="Q380" s="424"/>
      <c r="R380" s="83"/>
      <c r="S380" s="209"/>
      <c r="T380" s="210"/>
      <c r="U380" s="209"/>
      <c r="V380" s="210"/>
      <c r="W380" s="210"/>
      <c r="X380" s="210"/>
      <c r="Y380" s="210"/>
      <c r="Z380" s="210"/>
    </row>
    <row r="381">
      <c r="A381" s="415"/>
      <c r="B381" s="210"/>
      <c r="C381" s="415"/>
      <c r="D381" s="156"/>
      <c r="E381" s="415"/>
      <c r="F381" s="210"/>
      <c r="G381" s="415"/>
      <c r="H381" s="210"/>
      <c r="I381" s="423"/>
      <c r="J381" s="156"/>
      <c r="K381" s="423"/>
      <c r="L381" s="156"/>
      <c r="M381" s="423"/>
      <c r="N381" s="156"/>
      <c r="O381" s="415"/>
      <c r="P381" s="210"/>
      <c r="Q381" s="424"/>
      <c r="R381" s="83"/>
      <c r="S381" s="209"/>
      <c r="T381" s="210"/>
      <c r="U381" s="209"/>
      <c r="V381" s="210"/>
      <c r="W381" s="210"/>
      <c r="X381" s="210"/>
      <c r="Y381" s="210"/>
      <c r="Z381" s="210"/>
    </row>
    <row r="382">
      <c r="A382" s="415"/>
      <c r="B382" s="210"/>
      <c r="C382" s="415"/>
      <c r="D382" s="156"/>
      <c r="E382" s="415"/>
      <c r="F382" s="210"/>
      <c r="G382" s="415"/>
      <c r="H382" s="210"/>
      <c r="I382" s="423"/>
      <c r="J382" s="156"/>
      <c r="K382" s="423"/>
      <c r="L382" s="156"/>
      <c r="M382" s="423"/>
      <c r="N382" s="156"/>
      <c r="O382" s="415"/>
      <c r="P382" s="210"/>
      <c r="Q382" s="424"/>
      <c r="R382" s="83"/>
      <c r="S382" s="209"/>
      <c r="T382" s="210"/>
      <c r="U382" s="209"/>
      <c r="V382" s="210"/>
      <c r="W382" s="210"/>
      <c r="X382" s="210"/>
      <c r="Y382" s="210"/>
      <c r="Z382" s="210"/>
    </row>
    <row r="383">
      <c r="A383" s="415"/>
      <c r="B383" s="210"/>
      <c r="C383" s="415"/>
      <c r="D383" s="156"/>
      <c r="E383" s="415"/>
      <c r="F383" s="210"/>
      <c r="G383" s="415"/>
      <c r="H383" s="210"/>
      <c r="I383" s="423"/>
      <c r="J383" s="156"/>
      <c r="K383" s="423"/>
      <c r="L383" s="156"/>
      <c r="M383" s="423"/>
      <c r="N383" s="156"/>
      <c r="O383" s="415"/>
      <c r="P383" s="210"/>
      <c r="Q383" s="424"/>
      <c r="R383" s="83"/>
      <c r="S383" s="209"/>
      <c r="T383" s="210"/>
      <c r="U383" s="209"/>
      <c r="V383" s="210"/>
      <c r="W383" s="210"/>
      <c r="X383" s="210"/>
      <c r="Y383" s="210"/>
      <c r="Z383" s="210"/>
    </row>
    <row r="384">
      <c r="A384" s="415"/>
      <c r="B384" s="210"/>
      <c r="C384" s="415"/>
      <c r="D384" s="156"/>
      <c r="E384" s="415"/>
      <c r="F384" s="210"/>
      <c r="G384" s="415"/>
      <c r="H384" s="210"/>
      <c r="I384" s="423"/>
      <c r="J384" s="156"/>
      <c r="K384" s="423"/>
      <c r="L384" s="156"/>
      <c r="M384" s="423"/>
      <c r="N384" s="156"/>
      <c r="O384" s="415"/>
      <c r="P384" s="210"/>
      <c r="Q384" s="424"/>
      <c r="R384" s="83"/>
      <c r="S384" s="209"/>
      <c r="T384" s="210"/>
      <c r="U384" s="209"/>
      <c r="V384" s="210"/>
      <c r="W384" s="210"/>
      <c r="X384" s="210"/>
      <c r="Y384" s="210"/>
      <c r="Z384" s="210"/>
    </row>
    <row r="385">
      <c r="A385" s="415"/>
      <c r="B385" s="210"/>
      <c r="C385" s="415"/>
      <c r="D385" s="156"/>
      <c r="E385" s="415"/>
      <c r="F385" s="210"/>
      <c r="G385" s="415"/>
      <c r="H385" s="210"/>
      <c r="I385" s="423"/>
      <c r="J385" s="156"/>
      <c r="K385" s="423"/>
      <c r="L385" s="156"/>
      <c r="M385" s="423"/>
      <c r="N385" s="156"/>
      <c r="O385" s="415"/>
      <c r="P385" s="210"/>
      <c r="Q385" s="424"/>
      <c r="R385" s="83"/>
      <c r="S385" s="209"/>
      <c r="T385" s="210"/>
      <c r="U385" s="209"/>
      <c r="V385" s="210"/>
      <c r="W385" s="210"/>
      <c r="X385" s="210"/>
      <c r="Y385" s="210"/>
      <c r="Z385" s="210"/>
    </row>
    <row r="386">
      <c r="A386" s="415"/>
      <c r="B386" s="210"/>
      <c r="C386" s="415"/>
      <c r="D386" s="156"/>
      <c r="E386" s="415"/>
      <c r="F386" s="210"/>
      <c r="G386" s="415"/>
      <c r="H386" s="210"/>
      <c r="I386" s="423"/>
      <c r="J386" s="156"/>
      <c r="K386" s="423"/>
      <c r="L386" s="156"/>
      <c r="M386" s="423"/>
      <c r="N386" s="156"/>
      <c r="O386" s="415"/>
      <c r="P386" s="210"/>
      <c r="Q386" s="424"/>
      <c r="R386" s="83"/>
      <c r="S386" s="209"/>
      <c r="T386" s="210"/>
      <c r="U386" s="209"/>
      <c r="V386" s="210"/>
      <c r="W386" s="210"/>
      <c r="X386" s="210"/>
      <c r="Y386" s="210"/>
      <c r="Z386" s="210"/>
    </row>
    <row r="387">
      <c r="A387" s="415"/>
      <c r="B387" s="210"/>
      <c r="C387" s="415"/>
      <c r="D387" s="156"/>
      <c r="E387" s="415"/>
      <c r="F387" s="210"/>
      <c r="G387" s="415"/>
      <c r="H387" s="210"/>
      <c r="I387" s="423"/>
      <c r="J387" s="156"/>
      <c r="K387" s="423"/>
      <c r="L387" s="156"/>
      <c r="M387" s="423"/>
      <c r="N387" s="156"/>
      <c r="O387" s="415"/>
      <c r="P387" s="210"/>
      <c r="Q387" s="424"/>
      <c r="R387" s="83"/>
      <c r="S387" s="209"/>
      <c r="T387" s="210"/>
      <c r="U387" s="209"/>
      <c r="V387" s="210"/>
      <c r="W387" s="210"/>
      <c r="X387" s="210"/>
      <c r="Y387" s="210"/>
      <c r="Z387" s="210"/>
    </row>
    <row r="388">
      <c r="A388" s="415"/>
      <c r="B388" s="210"/>
      <c r="C388" s="415"/>
      <c r="D388" s="156"/>
      <c r="E388" s="415"/>
      <c r="F388" s="210"/>
      <c r="G388" s="415"/>
      <c r="H388" s="210"/>
      <c r="I388" s="423"/>
      <c r="J388" s="156"/>
      <c r="K388" s="423"/>
      <c r="L388" s="156"/>
      <c r="M388" s="423"/>
      <c r="N388" s="156"/>
      <c r="O388" s="415"/>
      <c r="P388" s="210"/>
      <c r="Q388" s="424"/>
      <c r="R388" s="83"/>
      <c r="S388" s="209"/>
      <c r="T388" s="210"/>
      <c r="U388" s="209"/>
      <c r="V388" s="210"/>
      <c r="W388" s="210"/>
      <c r="X388" s="210"/>
      <c r="Y388" s="210"/>
      <c r="Z388" s="210"/>
    </row>
    <row r="389">
      <c r="A389" s="415"/>
      <c r="B389" s="210"/>
      <c r="C389" s="415"/>
      <c r="D389" s="156"/>
      <c r="E389" s="415"/>
      <c r="F389" s="210"/>
      <c r="G389" s="415"/>
      <c r="H389" s="210"/>
      <c r="I389" s="423"/>
      <c r="J389" s="156"/>
      <c r="K389" s="423"/>
      <c r="L389" s="156"/>
      <c r="M389" s="423"/>
      <c r="N389" s="156"/>
      <c r="O389" s="415"/>
      <c r="P389" s="210"/>
      <c r="Q389" s="424"/>
      <c r="R389" s="83"/>
      <c r="S389" s="209"/>
      <c r="T389" s="210"/>
      <c r="U389" s="209"/>
      <c r="V389" s="210"/>
      <c r="W389" s="210"/>
      <c r="X389" s="210"/>
      <c r="Y389" s="210"/>
      <c r="Z389" s="210"/>
    </row>
    <row r="390">
      <c r="A390" s="415"/>
      <c r="B390" s="210"/>
      <c r="C390" s="415"/>
      <c r="D390" s="156"/>
      <c r="E390" s="415"/>
      <c r="F390" s="210"/>
      <c r="G390" s="415"/>
      <c r="H390" s="210"/>
      <c r="I390" s="423"/>
      <c r="J390" s="156"/>
      <c r="K390" s="423"/>
      <c r="L390" s="156"/>
      <c r="M390" s="423"/>
      <c r="N390" s="156"/>
      <c r="O390" s="415"/>
      <c r="P390" s="210"/>
      <c r="Q390" s="424"/>
      <c r="R390" s="83"/>
      <c r="S390" s="209"/>
      <c r="T390" s="210"/>
      <c r="U390" s="209"/>
      <c r="V390" s="210"/>
      <c r="W390" s="210"/>
      <c r="X390" s="210"/>
      <c r="Y390" s="210"/>
      <c r="Z390" s="210"/>
    </row>
    <row r="391">
      <c r="A391" s="415"/>
      <c r="B391" s="210"/>
      <c r="C391" s="415"/>
      <c r="D391" s="156"/>
      <c r="E391" s="415"/>
      <c r="F391" s="210"/>
      <c r="G391" s="415"/>
      <c r="H391" s="210"/>
      <c r="I391" s="423"/>
      <c r="J391" s="156"/>
      <c r="K391" s="423"/>
      <c r="L391" s="156"/>
      <c r="M391" s="423"/>
      <c r="N391" s="156"/>
      <c r="O391" s="415"/>
      <c r="P391" s="210"/>
      <c r="Q391" s="424"/>
      <c r="R391" s="83"/>
      <c r="S391" s="209"/>
      <c r="T391" s="210"/>
      <c r="U391" s="209"/>
      <c r="V391" s="210"/>
      <c r="W391" s="210"/>
      <c r="X391" s="210"/>
      <c r="Y391" s="210"/>
      <c r="Z391" s="210"/>
    </row>
    <row r="392">
      <c r="A392" s="415"/>
      <c r="B392" s="210"/>
      <c r="C392" s="415"/>
      <c r="D392" s="156"/>
      <c r="E392" s="415"/>
      <c r="F392" s="210"/>
      <c r="G392" s="415"/>
      <c r="H392" s="210"/>
      <c r="I392" s="423"/>
      <c r="J392" s="156"/>
      <c r="K392" s="423"/>
      <c r="L392" s="156"/>
      <c r="M392" s="423"/>
      <c r="N392" s="156"/>
      <c r="O392" s="415"/>
      <c r="P392" s="210"/>
      <c r="Q392" s="424"/>
      <c r="R392" s="83"/>
      <c r="S392" s="209"/>
      <c r="T392" s="210"/>
      <c r="U392" s="209"/>
      <c r="V392" s="210"/>
      <c r="W392" s="210"/>
      <c r="X392" s="210"/>
      <c r="Y392" s="210"/>
      <c r="Z392" s="210"/>
    </row>
    <row r="393">
      <c r="A393" s="415"/>
      <c r="B393" s="210"/>
      <c r="C393" s="415"/>
      <c r="D393" s="156"/>
      <c r="E393" s="415"/>
      <c r="F393" s="210"/>
      <c r="G393" s="415"/>
      <c r="H393" s="210"/>
      <c r="I393" s="423"/>
      <c r="J393" s="156"/>
      <c r="K393" s="423"/>
      <c r="L393" s="156"/>
      <c r="M393" s="423"/>
      <c r="N393" s="156"/>
      <c r="O393" s="415"/>
      <c r="P393" s="210"/>
      <c r="Q393" s="424"/>
      <c r="R393" s="83"/>
      <c r="S393" s="209"/>
      <c r="T393" s="210"/>
      <c r="U393" s="209"/>
      <c r="V393" s="210"/>
      <c r="W393" s="210"/>
      <c r="X393" s="210"/>
      <c r="Y393" s="210"/>
      <c r="Z393" s="210"/>
    </row>
    <row r="394">
      <c r="A394" s="415"/>
      <c r="B394" s="210"/>
      <c r="C394" s="415"/>
      <c r="D394" s="156"/>
      <c r="E394" s="415"/>
      <c r="F394" s="210"/>
      <c r="G394" s="415"/>
      <c r="H394" s="210"/>
      <c r="I394" s="423"/>
      <c r="J394" s="156"/>
      <c r="K394" s="423"/>
      <c r="L394" s="156"/>
      <c r="M394" s="423"/>
      <c r="N394" s="156"/>
      <c r="O394" s="415"/>
      <c r="P394" s="210"/>
      <c r="Q394" s="424"/>
      <c r="R394" s="83"/>
      <c r="S394" s="209"/>
      <c r="T394" s="210"/>
      <c r="U394" s="209"/>
      <c r="V394" s="210"/>
      <c r="W394" s="210"/>
      <c r="X394" s="210"/>
      <c r="Y394" s="210"/>
      <c r="Z394" s="210"/>
    </row>
    <row r="395">
      <c r="A395" s="415"/>
      <c r="B395" s="210"/>
      <c r="C395" s="415"/>
      <c r="D395" s="156"/>
      <c r="E395" s="415"/>
      <c r="F395" s="210"/>
      <c r="G395" s="415"/>
      <c r="H395" s="210"/>
      <c r="I395" s="423"/>
      <c r="J395" s="156"/>
      <c r="K395" s="423"/>
      <c r="L395" s="156"/>
      <c r="M395" s="423"/>
      <c r="N395" s="156"/>
      <c r="O395" s="415"/>
      <c r="P395" s="210"/>
      <c r="Q395" s="424"/>
      <c r="R395" s="83"/>
      <c r="S395" s="209"/>
      <c r="T395" s="210"/>
      <c r="U395" s="209"/>
      <c r="V395" s="210"/>
      <c r="W395" s="210"/>
      <c r="X395" s="210"/>
      <c r="Y395" s="210"/>
      <c r="Z395" s="210"/>
    </row>
    <row r="396">
      <c r="A396" s="415"/>
      <c r="B396" s="210"/>
      <c r="C396" s="415"/>
      <c r="D396" s="156"/>
      <c r="E396" s="415"/>
      <c r="F396" s="210"/>
      <c r="G396" s="415"/>
      <c r="H396" s="210"/>
      <c r="I396" s="423"/>
      <c r="J396" s="156"/>
      <c r="K396" s="423"/>
      <c r="L396" s="156"/>
      <c r="M396" s="423"/>
      <c r="N396" s="156"/>
      <c r="O396" s="415"/>
      <c r="P396" s="210"/>
      <c r="Q396" s="424"/>
      <c r="R396" s="83"/>
      <c r="S396" s="209"/>
      <c r="T396" s="210"/>
      <c r="U396" s="209"/>
      <c r="V396" s="210"/>
      <c r="W396" s="210"/>
      <c r="X396" s="210"/>
      <c r="Y396" s="210"/>
      <c r="Z396" s="210"/>
    </row>
    <row r="397">
      <c r="A397" s="415"/>
      <c r="B397" s="210"/>
      <c r="C397" s="415"/>
      <c r="D397" s="156"/>
      <c r="E397" s="415"/>
      <c r="F397" s="210"/>
      <c r="G397" s="415"/>
      <c r="H397" s="210"/>
      <c r="I397" s="423"/>
      <c r="J397" s="156"/>
      <c r="K397" s="423"/>
      <c r="L397" s="156"/>
      <c r="M397" s="423"/>
      <c r="N397" s="156"/>
      <c r="O397" s="415"/>
      <c r="P397" s="210"/>
      <c r="Q397" s="424"/>
      <c r="R397" s="83"/>
      <c r="S397" s="209"/>
      <c r="T397" s="210"/>
      <c r="U397" s="209"/>
      <c r="V397" s="210"/>
      <c r="W397" s="210"/>
      <c r="X397" s="210"/>
      <c r="Y397" s="210"/>
      <c r="Z397" s="210"/>
    </row>
    <row r="398">
      <c r="A398" s="415"/>
      <c r="B398" s="210"/>
      <c r="C398" s="415"/>
      <c r="D398" s="156"/>
      <c r="E398" s="415"/>
      <c r="F398" s="210"/>
      <c r="G398" s="415"/>
      <c r="H398" s="210"/>
      <c r="I398" s="423"/>
      <c r="J398" s="156"/>
      <c r="K398" s="423"/>
      <c r="L398" s="156"/>
      <c r="M398" s="423"/>
      <c r="N398" s="156"/>
      <c r="O398" s="415"/>
      <c r="P398" s="210"/>
      <c r="Q398" s="424"/>
      <c r="R398" s="83"/>
      <c r="S398" s="209"/>
      <c r="T398" s="210"/>
      <c r="U398" s="209"/>
      <c r="V398" s="210"/>
      <c r="W398" s="210"/>
      <c r="X398" s="210"/>
      <c r="Y398" s="210"/>
      <c r="Z398" s="210"/>
    </row>
    <row r="399">
      <c r="A399" s="415"/>
      <c r="B399" s="210"/>
      <c r="C399" s="415"/>
      <c r="D399" s="156"/>
      <c r="E399" s="415"/>
      <c r="F399" s="210"/>
      <c r="G399" s="415"/>
      <c r="H399" s="210"/>
      <c r="I399" s="423"/>
      <c r="J399" s="156"/>
      <c r="K399" s="423"/>
      <c r="L399" s="156"/>
      <c r="M399" s="423"/>
      <c r="N399" s="156"/>
      <c r="O399" s="415"/>
      <c r="P399" s="210"/>
      <c r="Q399" s="424"/>
      <c r="R399" s="83"/>
      <c r="S399" s="209"/>
      <c r="T399" s="210"/>
      <c r="U399" s="209"/>
      <c r="V399" s="210"/>
      <c r="W399" s="210"/>
      <c r="X399" s="210"/>
      <c r="Y399" s="210"/>
      <c r="Z399" s="210"/>
    </row>
    <row r="400">
      <c r="A400" s="415"/>
      <c r="B400" s="210"/>
      <c r="C400" s="415"/>
      <c r="D400" s="156"/>
      <c r="E400" s="415"/>
      <c r="F400" s="210"/>
      <c r="G400" s="415"/>
      <c r="H400" s="210"/>
      <c r="I400" s="423"/>
      <c r="J400" s="156"/>
      <c r="K400" s="423"/>
      <c r="L400" s="156"/>
      <c r="M400" s="423"/>
      <c r="N400" s="156"/>
      <c r="O400" s="415"/>
      <c r="P400" s="210"/>
      <c r="Q400" s="424"/>
      <c r="R400" s="83"/>
      <c r="S400" s="209"/>
      <c r="T400" s="210"/>
      <c r="U400" s="209"/>
      <c r="V400" s="210"/>
      <c r="W400" s="210"/>
      <c r="X400" s="210"/>
      <c r="Y400" s="210"/>
      <c r="Z400" s="210"/>
    </row>
    <row r="401">
      <c r="A401" s="415"/>
      <c r="B401" s="210"/>
      <c r="C401" s="415"/>
      <c r="D401" s="156"/>
      <c r="E401" s="415"/>
      <c r="F401" s="210"/>
      <c r="G401" s="415"/>
      <c r="H401" s="210"/>
      <c r="I401" s="423"/>
      <c r="J401" s="156"/>
      <c r="K401" s="423"/>
      <c r="L401" s="156"/>
      <c r="M401" s="423"/>
      <c r="N401" s="156"/>
      <c r="O401" s="415"/>
      <c r="P401" s="210"/>
      <c r="Q401" s="424"/>
      <c r="R401" s="83"/>
      <c r="S401" s="209"/>
      <c r="T401" s="210"/>
      <c r="U401" s="209"/>
      <c r="V401" s="210"/>
      <c r="W401" s="210"/>
      <c r="X401" s="210"/>
      <c r="Y401" s="210"/>
      <c r="Z401" s="210"/>
    </row>
    <row r="402">
      <c r="A402" s="415"/>
      <c r="B402" s="210"/>
      <c r="C402" s="415"/>
      <c r="D402" s="156"/>
      <c r="E402" s="415"/>
      <c r="F402" s="210"/>
      <c r="G402" s="415"/>
      <c r="H402" s="210"/>
      <c r="I402" s="423"/>
      <c r="J402" s="156"/>
      <c r="K402" s="423"/>
      <c r="L402" s="156"/>
      <c r="M402" s="423"/>
      <c r="N402" s="156"/>
      <c r="O402" s="415"/>
      <c r="P402" s="210"/>
      <c r="Q402" s="424"/>
      <c r="R402" s="83"/>
      <c r="S402" s="209"/>
      <c r="T402" s="210"/>
      <c r="U402" s="209"/>
      <c r="V402" s="210"/>
      <c r="W402" s="210"/>
      <c r="X402" s="210"/>
      <c r="Y402" s="210"/>
      <c r="Z402" s="210"/>
    </row>
    <row r="403">
      <c r="A403" s="415"/>
      <c r="B403" s="210"/>
      <c r="C403" s="415"/>
      <c r="D403" s="156"/>
      <c r="E403" s="415"/>
      <c r="F403" s="210"/>
      <c r="G403" s="415"/>
      <c r="H403" s="210"/>
      <c r="I403" s="423"/>
      <c r="J403" s="156"/>
      <c r="K403" s="423"/>
      <c r="L403" s="156"/>
      <c r="M403" s="423"/>
      <c r="N403" s="156"/>
      <c r="O403" s="415"/>
      <c r="P403" s="210"/>
      <c r="Q403" s="424"/>
      <c r="R403" s="83"/>
      <c r="S403" s="209"/>
      <c r="T403" s="210"/>
      <c r="U403" s="209"/>
      <c r="V403" s="210"/>
      <c r="W403" s="210"/>
      <c r="X403" s="210"/>
      <c r="Y403" s="210"/>
      <c r="Z403" s="210"/>
    </row>
    <row r="404">
      <c r="A404" s="415"/>
      <c r="B404" s="210"/>
      <c r="C404" s="415"/>
      <c r="D404" s="156"/>
      <c r="E404" s="415"/>
      <c r="F404" s="210"/>
      <c r="G404" s="415"/>
      <c r="H404" s="210"/>
      <c r="I404" s="423"/>
      <c r="J404" s="156"/>
      <c r="K404" s="423"/>
      <c r="L404" s="156"/>
      <c r="M404" s="423"/>
      <c r="N404" s="156"/>
      <c r="O404" s="415"/>
      <c r="P404" s="210"/>
      <c r="Q404" s="424"/>
      <c r="R404" s="83"/>
      <c r="S404" s="209"/>
      <c r="T404" s="210"/>
      <c r="U404" s="209"/>
      <c r="V404" s="210"/>
      <c r="W404" s="210"/>
      <c r="X404" s="210"/>
      <c r="Y404" s="210"/>
      <c r="Z404" s="210"/>
    </row>
    <row r="405">
      <c r="A405" s="415"/>
      <c r="B405" s="210"/>
      <c r="C405" s="415"/>
      <c r="D405" s="156"/>
      <c r="E405" s="415"/>
      <c r="F405" s="210"/>
      <c r="G405" s="415"/>
      <c r="H405" s="210"/>
      <c r="I405" s="423"/>
      <c r="J405" s="156"/>
      <c r="K405" s="423"/>
      <c r="L405" s="156"/>
      <c r="M405" s="423"/>
      <c r="N405" s="156"/>
      <c r="O405" s="415"/>
      <c r="P405" s="210"/>
      <c r="Q405" s="424"/>
      <c r="R405" s="83"/>
      <c r="S405" s="209"/>
      <c r="T405" s="210"/>
      <c r="U405" s="209"/>
      <c r="V405" s="210"/>
      <c r="W405" s="210"/>
      <c r="X405" s="210"/>
      <c r="Y405" s="210"/>
      <c r="Z405" s="210"/>
    </row>
    <row r="406">
      <c r="A406" s="415"/>
      <c r="B406" s="210"/>
      <c r="C406" s="415"/>
      <c r="D406" s="156"/>
      <c r="E406" s="415"/>
      <c r="F406" s="210"/>
      <c r="G406" s="415"/>
      <c r="H406" s="210"/>
      <c r="I406" s="423"/>
      <c r="J406" s="156"/>
      <c r="K406" s="423"/>
      <c r="L406" s="156"/>
      <c r="M406" s="423"/>
      <c r="N406" s="156"/>
      <c r="O406" s="415"/>
      <c r="P406" s="210"/>
      <c r="Q406" s="424"/>
      <c r="R406" s="83"/>
      <c r="S406" s="209"/>
      <c r="T406" s="210"/>
      <c r="U406" s="209"/>
      <c r="V406" s="210"/>
      <c r="W406" s="210"/>
      <c r="X406" s="210"/>
      <c r="Y406" s="210"/>
      <c r="Z406" s="210"/>
    </row>
    <row r="407">
      <c r="A407" s="415"/>
      <c r="B407" s="210"/>
      <c r="C407" s="415"/>
      <c r="D407" s="156"/>
      <c r="E407" s="415"/>
      <c r="F407" s="210"/>
      <c r="G407" s="415"/>
      <c r="H407" s="210"/>
      <c r="I407" s="423"/>
      <c r="J407" s="156"/>
      <c r="K407" s="423"/>
      <c r="L407" s="156"/>
      <c r="M407" s="423"/>
      <c r="N407" s="156"/>
      <c r="O407" s="415"/>
      <c r="P407" s="210"/>
      <c r="Q407" s="424"/>
      <c r="R407" s="83"/>
      <c r="S407" s="209"/>
      <c r="T407" s="210"/>
      <c r="U407" s="209"/>
      <c r="V407" s="210"/>
      <c r="W407" s="210"/>
      <c r="X407" s="210"/>
      <c r="Y407" s="210"/>
      <c r="Z407" s="210"/>
    </row>
    <row r="408">
      <c r="A408" s="415"/>
      <c r="B408" s="210"/>
      <c r="C408" s="415"/>
      <c r="D408" s="156"/>
      <c r="E408" s="415"/>
      <c r="F408" s="210"/>
      <c r="G408" s="415"/>
      <c r="H408" s="210"/>
      <c r="I408" s="423"/>
      <c r="J408" s="156"/>
      <c r="K408" s="423"/>
      <c r="L408" s="156"/>
      <c r="M408" s="423"/>
      <c r="N408" s="156"/>
      <c r="O408" s="415"/>
      <c r="P408" s="210"/>
      <c r="Q408" s="424"/>
      <c r="R408" s="83"/>
      <c r="S408" s="209"/>
      <c r="T408" s="210"/>
      <c r="U408" s="209"/>
      <c r="V408" s="210"/>
      <c r="W408" s="210"/>
      <c r="X408" s="210"/>
      <c r="Y408" s="210"/>
      <c r="Z408" s="210"/>
    </row>
    <row r="409">
      <c r="A409" s="415"/>
      <c r="B409" s="210"/>
      <c r="C409" s="415"/>
      <c r="D409" s="156"/>
      <c r="E409" s="415"/>
      <c r="F409" s="210"/>
      <c r="G409" s="415"/>
      <c r="H409" s="210"/>
      <c r="I409" s="423"/>
      <c r="J409" s="156"/>
      <c r="K409" s="423"/>
      <c r="L409" s="156"/>
      <c r="M409" s="423"/>
      <c r="N409" s="156"/>
      <c r="O409" s="415"/>
      <c r="P409" s="210"/>
      <c r="Q409" s="424"/>
      <c r="R409" s="83"/>
      <c r="S409" s="209"/>
      <c r="T409" s="210"/>
      <c r="U409" s="209"/>
      <c r="V409" s="210"/>
      <c r="W409" s="210"/>
      <c r="X409" s="210"/>
      <c r="Y409" s="210"/>
      <c r="Z409" s="210"/>
    </row>
    <row r="410">
      <c r="A410" s="415"/>
      <c r="B410" s="210"/>
      <c r="C410" s="415"/>
      <c r="D410" s="156"/>
      <c r="E410" s="415"/>
      <c r="F410" s="210"/>
      <c r="G410" s="415"/>
      <c r="H410" s="210"/>
      <c r="I410" s="423"/>
      <c r="J410" s="156"/>
      <c r="K410" s="423"/>
      <c r="L410" s="156"/>
      <c r="M410" s="423"/>
      <c r="N410" s="156"/>
      <c r="O410" s="415"/>
      <c r="P410" s="210"/>
      <c r="Q410" s="424"/>
      <c r="R410" s="83"/>
      <c r="S410" s="209"/>
      <c r="T410" s="210"/>
      <c r="U410" s="209"/>
      <c r="V410" s="210"/>
      <c r="W410" s="210"/>
      <c r="X410" s="210"/>
      <c r="Y410" s="210"/>
      <c r="Z410" s="210"/>
    </row>
    <row r="411">
      <c r="A411" s="415"/>
      <c r="B411" s="210"/>
      <c r="C411" s="415"/>
      <c r="D411" s="156"/>
      <c r="E411" s="415"/>
      <c r="F411" s="210"/>
      <c r="G411" s="415"/>
      <c r="H411" s="210"/>
      <c r="I411" s="423"/>
      <c r="J411" s="156"/>
      <c r="K411" s="423"/>
      <c r="L411" s="156"/>
      <c r="M411" s="423"/>
      <c r="N411" s="156"/>
      <c r="O411" s="415"/>
      <c r="P411" s="210"/>
      <c r="Q411" s="424"/>
      <c r="R411" s="83"/>
      <c r="S411" s="209"/>
      <c r="T411" s="210"/>
      <c r="U411" s="209"/>
      <c r="V411" s="210"/>
      <c r="W411" s="210"/>
      <c r="X411" s="210"/>
      <c r="Y411" s="210"/>
      <c r="Z411" s="210"/>
    </row>
    <row r="412">
      <c r="A412" s="415"/>
      <c r="B412" s="210"/>
      <c r="C412" s="415"/>
      <c r="D412" s="156"/>
      <c r="E412" s="415"/>
      <c r="F412" s="210"/>
      <c r="G412" s="415"/>
      <c r="H412" s="210"/>
      <c r="I412" s="423"/>
      <c r="J412" s="156"/>
      <c r="K412" s="423"/>
      <c r="L412" s="156"/>
      <c r="M412" s="423"/>
      <c r="N412" s="156"/>
      <c r="O412" s="415"/>
      <c r="P412" s="210"/>
      <c r="Q412" s="424"/>
      <c r="R412" s="83"/>
      <c r="S412" s="209"/>
      <c r="T412" s="210"/>
      <c r="U412" s="209"/>
      <c r="V412" s="210"/>
      <c r="W412" s="210"/>
      <c r="X412" s="210"/>
      <c r="Y412" s="210"/>
      <c r="Z412" s="210"/>
    </row>
    <row r="413">
      <c r="A413" s="415"/>
      <c r="B413" s="210"/>
      <c r="C413" s="415"/>
      <c r="D413" s="156"/>
      <c r="E413" s="415"/>
      <c r="F413" s="210"/>
      <c r="G413" s="415"/>
      <c r="H413" s="210"/>
      <c r="I413" s="423"/>
      <c r="J413" s="156"/>
      <c r="K413" s="423"/>
      <c r="L413" s="156"/>
      <c r="M413" s="423"/>
      <c r="N413" s="156"/>
      <c r="O413" s="415"/>
      <c r="P413" s="210"/>
      <c r="Q413" s="424"/>
      <c r="R413" s="83"/>
      <c r="S413" s="209"/>
      <c r="T413" s="210"/>
      <c r="U413" s="209"/>
      <c r="V413" s="210"/>
      <c r="W413" s="210"/>
      <c r="X413" s="210"/>
      <c r="Y413" s="210"/>
      <c r="Z413" s="210"/>
    </row>
    <row r="414">
      <c r="A414" s="415"/>
      <c r="B414" s="210"/>
      <c r="C414" s="415"/>
      <c r="D414" s="156"/>
      <c r="E414" s="415"/>
      <c r="F414" s="210"/>
      <c r="G414" s="415"/>
      <c r="H414" s="210"/>
      <c r="I414" s="423"/>
      <c r="J414" s="156"/>
      <c r="K414" s="423"/>
      <c r="L414" s="156"/>
      <c r="M414" s="423"/>
      <c r="N414" s="156"/>
      <c r="O414" s="415"/>
      <c r="P414" s="210"/>
      <c r="Q414" s="424"/>
      <c r="R414" s="83"/>
      <c r="S414" s="209"/>
      <c r="T414" s="210"/>
      <c r="U414" s="209"/>
      <c r="V414" s="210"/>
      <c r="W414" s="210"/>
      <c r="X414" s="210"/>
      <c r="Y414" s="210"/>
      <c r="Z414" s="210"/>
    </row>
    <row r="415">
      <c r="A415" s="415"/>
      <c r="B415" s="210"/>
      <c r="C415" s="415"/>
      <c r="D415" s="156"/>
      <c r="E415" s="415"/>
      <c r="F415" s="210"/>
      <c r="G415" s="415"/>
      <c r="H415" s="210"/>
      <c r="I415" s="423"/>
      <c r="J415" s="156"/>
      <c r="K415" s="423"/>
      <c r="L415" s="156"/>
      <c r="M415" s="423"/>
      <c r="N415" s="156"/>
      <c r="O415" s="415"/>
      <c r="P415" s="210"/>
      <c r="Q415" s="424"/>
      <c r="R415" s="83"/>
      <c r="S415" s="209"/>
      <c r="T415" s="210"/>
      <c r="U415" s="209"/>
      <c r="V415" s="210"/>
      <c r="W415" s="210"/>
      <c r="X415" s="210"/>
      <c r="Y415" s="210"/>
      <c r="Z415" s="210"/>
    </row>
    <row r="416">
      <c r="A416" s="415"/>
      <c r="B416" s="210"/>
      <c r="C416" s="415"/>
      <c r="D416" s="156"/>
      <c r="E416" s="415"/>
      <c r="F416" s="210"/>
      <c r="G416" s="415"/>
      <c r="H416" s="210"/>
      <c r="I416" s="423"/>
      <c r="J416" s="156"/>
      <c r="K416" s="423"/>
      <c r="L416" s="156"/>
      <c r="M416" s="423"/>
      <c r="N416" s="156"/>
      <c r="O416" s="415"/>
      <c r="P416" s="210"/>
      <c r="Q416" s="424"/>
      <c r="R416" s="83"/>
      <c r="S416" s="209"/>
      <c r="T416" s="210"/>
      <c r="U416" s="209"/>
      <c r="V416" s="210"/>
      <c r="W416" s="210"/>
      <c r="X416" s="210"/>
      <c r="Y416" s="210"/>
      <c r="Z416" s="210"/>
    </row>
    <row r="417">
      <c r="A417" s="415"/>
      <c r="B417" s="210"/>
      <c r="C417" s="415"/>
      <c r="D417" s="156"/>
      <c r="E417" s="415"/>
      <c r="F417" s="210"/>
      <c r="G417" s="415"/>
      <c r="H417" s="210"/>
      <c r="I417" s="423"/>
      <c r="J417" s="156"/>
      <c r="K417" s="423"/>
      <c r="L417" s="156"/>
      <c r="M417" s="423"/>
      <c r="N417" s="156"/>
      <c r="O417" s="415"/>
      <c r="P417" s="210"/>
      <c r="Q417" s="424"/>
      <c r="R417" s="83"/>
      <c r="S417" s="209"/>
      <c r="T417" s="210"/>
      <c r="U417" s="209"/>
      <c r="V417" s="210"/>
      <c r="W417" s="210"/>
      <c r="X417" s="210"/>
      <c r="Y417" s="210"/>
      <c r="Z417" s="210"/>
    </row>
    <row r="418">
      <c r="A418" s="415"/>
      <c r="B418" s="210"/>
      <c r="C418" s="415"/>
      <c r="D418" s="156"/>
      <c r="E418" s="415"/>
      <c r="F418" s="210"/>
      <c r="G418" s="415"/>
      <c r="H418" s="210"/>
      <c r="I418" s="423"/>
      <c r="J418" s="156"/>
      <c r="K418" s="423"/>
      <c r="L418" s="156"/>
      <c r="M418" s="423"/>
      <c r="N418" s="156"/>
      <c r="O418" s="415"/>
      <c r="P418" s="210"/>
      <c r="Q418" s="424"/>
      <c r="R418" s="83"/>
      <c r="S418" s="209"/>
      <c r="T418" s="210"/>
      <c r="U418" s="209"/>
      <c r="V418" s="210"/>
      <c r="W418" s="210"/>
      <c r="X418" s="210"/>
      <c r="Y418" s="210"/>
      <c r="Z418" s="210"/>
    </row>
    <row r="419">
      <c r="A419" s="415"/>
      <c r="B419" s="210"/>
      <c r="C419" s="415"/>
      <c r="D419" s="156"/>
      <c r="E419" s="415"/>
      <c r="F419" s="210"/>
      <c r="G419" s="415"/>
      <c r="H419" s="210"/>
      <c r="I419" s="423"/>
      <c r="J419" s="156"/>
      <c r="K419" s="423"/>
      <c r="L419" s="156"/>
      <c r="M419" s="423"/>
      <c r="N419" s="156"/>
      <c r="O419" s="415"/>
      <c r="P419" s="210"/>
      <c r="Q419" s="424"/>
      <c r="R419" s="83"/>
      <c r="S419" s="209"/>
      <c r="T419" s="210"/>
      <c r="U419" s="209"/>
      <c r="V419" s="210"/>
      <c r="W419" s="210"/>
      <c r="X419" s="210"/>
      <c r="Y419" s="210"/>
      <c r="Z419" s="210"/>
    </row>
    <row r="420">
      <c r="A420" s="415"/>
      <c r="B420" s="210"/>
      <c r="C420" s="415"/>
      <c r="D420" s="156"/>
      <c r="E420" s="415"/>
      <c r="F420" s="210"/>
      <c r="G420" s="415"/>
      <c r="H420" s="210"/>
      <c r="I420" s="423"/>
      <c r="J420" s="156"/>
      <c r="K420" s="423"/>
      <c r="L420" s="156"/>
      <c r="M420" s="423"/>
      <c r="N420" s="156"/>
      <c r="O420" s="415"/>
      <c r="P420" s="210"/>
      <c r="Q420" s="424"/>
      <c r="R420" s="83"/>
      <c r="S420" s="209"/>
      <c r="T420" s="210"/>
      <c r="U420" s="209"/>
      <c r="V420" s="210"/>
      <c r="W420" s="210"/>
      <c r="X420" s="210"/>
      <c r="Y420" s="210"/>
      <c r="Z420" s="210"/>
    </row>
    <row r="421">
      <c r="A421" s="415"/>
      <c r="B421" s="210"/>
      <c r="C421" s="415"/>
      <c r="D421" s="156"/>
      <c r="E421" s="415"/>
      <c r="F421" s="210"/>
      <c r="G421" s="415"/>
      <c r="H421" s="210"/>
      <c r="I421" s="423"/>
      <c r="J421" s="156"/>
      <c r="K421" s="423"/>
      <c r="L421" s="156"/>
      <c r="M421" s="423"/>
      <c r="N421" s="156"/>
      <c r="O421" s="415"/>
      <c r="P421" s="210"/>
      <c r="Q421" s="424"/>
      <c r="R421" s="83"/>
      <c r="S421" s="209"/>
      <c r="T421" s="210"/>
      <c r="U421" s="209"/>
      <c r="V421" s="210"/>
      <c r="W421" s="210"/>
      <c r="X421" s="210"/>
      <c r="Y421" s="210"/>
      <c r="Z421" s="210"/>
    </row>
    <row r="422">
      <c r="A422" s="415"/>
      <c r="B422" s="210"/>
      <c r="C422" s="415"/>
      <c r="D422" s="156"/>
      <c r="E422" s="415"/>
      <c r="F422" s="210"/>
      <c r="G422" s="415"/>
      <c r="H422" s="210"/>
      <c r="I422" s="423"/>
      <c r="J422" s="156"/>
      <c r="K422" s="423"/>
      <c r="L422" s="156"/>
      <c r="M422" s="423"/>
      <c r="N422" s="156"/>
      <c r="O422" s="415"/>
      <c r="P422" s="210"/>
      <c r="Q422" s="424"/>
      <c r="R422" s="83"/>
      <c r="S422" s="209"/>
      <c r="T422" s="210"/>
      <c r="U422" s="209"/>
      <c r="V422" s="210"/>
      <c r="W422" s="210"/>
      <c r="X422" s="210"/>
      <c r="Y422" s="210"/>
      <c r="Z422" s="210"/>
    </row>
    <row r="423">
      <c r="A423" s="415"/>
      <c r="B423" s="210"/>
      <c r="C423" s="415"/>
      <c r="D423" s="156"/>
      <c r="E423" s="415"/>
      <c r="F423" s="210"/>
      <c r="G423" s="415"/>
      <c r="H423" s="210"/>
      <c r="I423" s="423"/>
      <c r="J423" s="156"/>
      <c r="K423" s="423"/>
      <c r="L423" s="156"/>
      <c r="M423" s="423"/>
      <c r="N423" s="156"/>
      <c r="O423" s="415"/>
      <c r="P423" s="210"/>
      <c r="Q423" s="424"/>
      <c r="R423" s="83"/>
      <c r="S423" s="209"/>
      <c r="T423" s="210"/>
      <c r="U423" s="209"/>
      <c r="V423" s="210"/>
      <c r="W423" s="210"/>
      <c r="X423" s="210"/>
      <c r="Y423" s="210"/>
      <c r="Z423" s="210"/>
    </row>
    <row r="424">
      <c r="A424" s="415"/>
      <c r="B424" s="210"/>
      <c r="C424" s="415"/>
      <c r="D424" s="156"/>
      <c r="E424" s="415"/>
      <c r="F424" s="210"/>
      <c r="G424" s="415"/>
      <c r="H424" s="210"/>
      <c r="I424" s="423"/>
      <c r="J424" s="156"/>
      <c r="K424" s="423"/>
      <c r="L424" s="156"/>
      <c r="M424" s="423"/>
      <c r="N424" s="156"/>
      <c r="O424" s="415"/>
      <c r="P424" s="210"/>
      <c r="Q424" s="424"/>
      <c r="R424" s="83"/>
      <c r="S424" s="209"/>
      <c r="T424" s="210"/>
      <c r="U424" s="209"/>
      <c r="V424" s="210"/>
      <c r="W424" s="210"/>
      <c r="X424" s="210"/>
      <c r="Y424" s="210"/>
      <c r="Z424" s="210"/>
    </row>
    <row r="425">
      <c r="A425" s="415"/>
      <c r="B425" s="210"/>
      <c r="C425" s="415"/>
      <c r="D425" s="156"/>
      <c r="E425" s="415"/>
      <c r="F425" s="210"/>
      <c r="G425" s="415"/>
      <c r="H425" s="210"/>
      <c r="I425" s="423"/>
      <c r="J425" s="156"/>
      <c r="K425" s="423"/>
      <c r="L425" s="156"/>
      <c r="M425" s="423"/>
      <c r="N425" s="156"/>
      <c r="O425" s="415"/>
      <c r="P425" s="210"/>
      <c r="Q425" s="424"/>
      <c r="R425" s="83"/>
      <c r="S425" s="209"/>
      <c r="T425" s="210"/>
      <c r="U425" s="209"/>
      <c r="V425" s="210"/>
      <c r="W425" s="210"/>
      <c r="X425" s="210"/>
      <c r="Y425" s="210"/>
      <c r="Z425" s="210"/>
    </row>
    <row r="426">
      <c r="A426" s="415"/>
      <c r="B426" s="210"/>
      <c r="C426" s="415"/>
      <c r="D426" s="156"/>
      <c r="E426" s="415"/>
      <c r="F426" s="210"/>
      <c r="G426" s="415"/>
      <c r="H426" s="210"/>
      <c r="I426" s="423"/>
      <c r="J426" s="156"/>
      <c r="K426" s="423"/>
      <c r="L426" s="156"/>
      <c r="M426" s="423"/>
      <c r="N426" s="156"/>
      <c r="O426" s="415"/>
      <c r="P426" s="210"/>
      <c r="Q426" s="424"/>
      <c r="R426" s="83"/>
      <c r="S426" s="209"/>
      <c r="T426" s="210"/>
      <c r="U426" s="209"/>
      <c r="V426" s="210"/>
      <c r="W426" s="210"/>
      <c r="X426" s="210"/>
      <c r="Y426" s="210"/>
      <c r="Z426" s="210"/>
    </row>
    <row r="427">
      <c r="A427" s="415"/>
      <c r="B427" s="210"/>
      <c r="C427" s="415"/>
      <c r="D427" s="156"/>
      <c r="E427" s="415"/>
      <c r="F427" s="210"/>
      <c r="G427" s="415"/>
      <c r="H427" s="210"/>
      <c r="I427" s="423"/>
      <c r="J427" s="156"/>
      <c r="K427" s="423"/>
      <c r="L427" s="156"/>
      <c r="M427" s="423"/>
      <c r="N427" s="156"/>
      <c r="O427" s="415"/>
      <c r="P427" s="210"/>
      <c r="Q427" s="424"/>
      <c r="R427" s="83"/>
      <c r="S427" s="209"/>
      <c r="T427" s="210"/>
      <c r="U427" s="209"/>
      <c r="V427" s="210"/>
      <c r="W427" s="210"/>
      <c r="X427" s="210"/>
      <c r="Y427" s="210"/>
      <c r="Z427" s="210"/>
    </row>
    <row r="428">
      <c r="A428" s="415"/>
      <c r="B428" s="210"/>
      <c r="C428" s="415"/>
      <c r="D428" s="156"/>
      <c r="E428" s="415"/>
      <c r="F428" s="210"/>
      <c r="G428" s="415"/>
      <c r="H428" s="210"/>
      <c r="I428" s="423"/>
      <c r="J428" s="156"/>
      <c r="K428" s="423"/>
      <c r="L428" s="156"/>
      <c r="M428" s="423"/>
      <c r="N428" s="156"/>
      <c r="O428" s="415"/>
      <c r="P428" s="210"/>
      <c r="Q428" s="424"/>
      <c r="R428" s="83"/>
      <c r="S428" s="209"/>
      <c r="T428" s="210"/>
      <c r="U428" s="209"/>
      <c r="V428" s="210"/>
      <c r="W428" s="210"/>
      <c r="X428" s="210"/>
      <c r="Y428" s="210"/>
      <c r="Z428" s="210"/>
    </row>
    <row r="429">
      <c r="A429" s="415"/>
      <c r="B429" s="210"/>
      <c r="C429" s="415"/>
      <c r="D429" s="156"/>
      <c r="E429" s="415"/>
      <c r="F429" s="210"/>
      <c r="G429" s="415"/>
      <c r="H429" s="210"/>
      <c r="I429" s="423"/>
      <c r="J429" s="156"/>
      <c r="K429" s="423"/>
      <c r="L429" s="156"/>
      <c r="M429" s="423"/>
      <c r="N429" s="156"/>
      <c r="O429" s="415"/>
      <c r="P429" s="210"/>
      <c r="Q429" s="424"/>
      <c r="R429" s="83"/>
      <c r="S429" s="209"/>
      <c r="T429" s="210"/>
      <c r="U429" s="209"/>
      <c r="V429" s="210"/>
      <c r="W429" s="210"/>
      <c r="X429" s="210"/>
      <c r="Y429" s="210"/>
      <c r="Z429" s="210"/>
    </row>
    <row r="430">
      <c r="A430" s="415"/>
      <c r="B430" s="210"/>
      <c r="C430" s="415"/>
      <c r="D430" s="156"/>
      <c r="E430" s="415"/>
      <c r="F430" s="210"/>
      <c r="G430" s="415"/>
      <c r="H430" s="210"/>
      <c r="I430" s="423"/>
      <c r="J430" s="156"/>
      <c r="K430" s="423"/>
      <c r="L430" s="156"/>
      <c r="M430" s="423"/>
      <c r="N430" s="156"/>
      <c r="O430" s="415"/>
      <c r="P430" s="210"/>
      <c r="Q430" s="424"/>
      <c r="R430" s="83"/>
      <c r="S430" s="209"/>
      <c r="T430" s="210"/>
      <c r="U430" s="209"/>
      <c r="V430" s="210"/>
      <c r="W430" s="210"/>
      <c r="X430" s="210"/>
      <c r="Y430" s="210"/>
      <c r="Z430" s="210"/>
    </row>
    <row r="431">
      <c r="A431" s="415"/>
      <c r="B431" s="210"/>
      <c r="C431" s="415"/>
      <c r="D431" s="156"/>
      <c r="E431" s="415"/>
      <c r="F431" s="210"/>
      <c r="G431" s="415"/>
      <c r="H431" s="210"/>
      <c r="I431" s="423"/>
      <c r="J431" s="156"/>
      <c r="K431" s="423"/>
      <c r="L431" s="156"/>
      <c r="M431" s="423"/>
      <c r="N431" s="156"/>
      <c r="O431" s="415"/>
      <c r="P431" s="210"/>
      <c r="Q431" s="424"/>
      <c r="R431" s="83"/>
      <c r="S431" s="209"/>
      <c r="T431" s="210"/>
      <c r="U431" s="209"/>
      <c r="V431" s="210"/>
      <c r="W431" s="210"/>
      <c r="X431" s="210"/>
      <c r="Y431" s="210"/>
      <c r="Z431" s="210"/>
    </row>
    <row r="432">
      <c r="A432" s="415"/>
      <c r="B432" s="210"/>
      <c r="C432" s="415"/>
      <c r="D432" s="156"/>
      <c r="E432" s="415"/>
      <c r="F432" s="210"/>
      <c r="G432" s="415"/>
      <c r="H432" s="210"/>
      <c r="I432" s="423"/>
      <c r="J432" s="156"/>
      <c r="K432" s="423"/>
      <c r="L432" s="156"/>
      <c r="M432" s="423"/>
      <c r="N432" s="156"/>
      <c r="O432" s="415"/>
      <c r="P432" s="210"/>
      <c r="Q432" s="424"/>
      <c r="R432" s="83"/>
      <c r="S432" s="209"/>
      <c r="T432" s="210"/>
      <c r="U432" s="209"/>
      <c r="V432" s="210"/>
      <c r="W432" s="210"/>
      <c r="X432" s="210"/>
      <c r="Y432" s="210"/>
      <c r="Z432" s="210"/>
    </row>
    <row r="433">
      <c r="A433" s="415"/>
      <c r="B433" s="210"/>
      <c r="C433" s="415"/>
      <c r="D433" s="156"/>
      <c r="E433" s="415"/>
      <c r="F433" s="210"/>
      <c r="G433" s="415"/>
      <c r="H433" s="210"/>
      <c r="I433" s="423"/>
      <c r="J433" s="156"/>
      <c r="K433" s="423"/>
      <c r="L433" s="156"/>
      <c r="M433" s="423"/>
      <c r="N433" s="156"/>
      <c r="O433" s="415"/>
      <c r="P433" s="210"/>
      <c r="Q433" s="424"/>
      <c r="R433" s="83"/>
      <c r="S433" s="209"/>
      <c r="T433" s="210"/>
      <c r="U433" s="209"/>
      <c r="V433" s="210"/>
      <c r="W433" s="210"/>
      <c r="X433" s="210"/>
      <c r="Y433" s="210"/>
      <c r="Z433" s="210"/>
    </row>
    <row r="434">
      <c r="A434" s="415"/>
      <c r="B434" s="210"/>
      <c r="C434" s="415"/>
      <c r="D434" s="156"/>
      <c r="E434" s="415"/>
      <c r="F434" s="210"/>
      <c r="G434" s="415"/>
      <c r="H434" s="210"/>
      <c r="I434" s="423"/>
      <c r="J434" s="156"/>
      <c r="K434" s="423"/>
      <c r="L434" s="156"/>
      <c r="M434" s="423"/>
      <c r="N434" s="156"/>
      <c r="O434" s="415"/>
      <c r="P434" s="210"/>
      <c r="Q434" s="424"/>
      <c r="R434" s="83"/>
      <c r="S434" s="209"/>
      <c r="T434" s="210"/>
      <c r="U434" s="209"/>
      <c r="V434" s="210"/>
      <c r="W434" s="210"/>
      <c r="X434" s="210"/>
      <c r="Y434" s="210"/>
      <c r="Z434" s="210"/>
    </row>
    <row r="435">
      <c r="A435" s="415"/>
      <c r="B435" s="210"/>
      <c r="C435" s="415"/>
      <c r="D435" s="156"/>
      <c r="E435" s="415"/>
      <c r="F435" s="210"/>
      <c r="G435" s="415"/>
      <c r="H435" s="210"/>
      <c r="I435" s="423"/>
      <c r="J435" s="156"/>
      <c r="K435" s="423"/>
      <c r="L435" s="156"/>
      <c r="M435" s="423"/>
      <c r="N435" s="156"/>
      <c r="O435" s="415"/>
      <c r="P435" s="210"/>
      <c r="Q435" s="424"/>
      <c r="R435" s="83"/>
      <c r="S435" s="209"/>
      <c r="T435" s="210"/>
      <c r="U435" s="209"/>
      <c r="V435" s="210"/>
      <c r="W435" s="210"/>
      <c r="X435" s="210"/>
      <c r="Y435" s="210"/>
      <c r="Z435" s="210"/>
    </row>
    <row r="436">
      <c r="A436" s="415"/>
      <c r="B436" s="210"/>
      <c r="C436" s="415"/>
      <c r="D436" s="156"/>
      <c r="E436" s="415"/>
      <c r="F436" s="210"/>
      <c r="G436" s="415"/>
      <c r="H436" s="210"/>
      <c r="I436" s="423"/>
      <c r="J436" s="156"/>
      <c r="K436" s="423"/>
      <c r="L436" s="156"/>
      <c r="M436" s="423"/>
      <c r="N436" s="156"/>
      <c r="O436" s="415"/>
      <c r="P436" s="210"/>
      <c r="Q436" s="424"/>
      <c r="R436" s="83"/>
      <c r="S436" s="209"/>
      <c r="T436" s="210"/>
      <c r="U436" s="209"/>
      <c r="V436" s="210"/>
      <c r="W436" s="210"/>
      <c r="X436" s="210"/>
      <c r="Y436" s="210"/>
      <c r="Z436" s="210"/>
    </row>
    <row r="437">
      <c r="A437" s="415"/>
      <c r="B437" s="210"/>
      <c r="C437" s="415"/>
      <c r="D437" s="156"/>
      <c r="E437" s="415"/>
      <c r="F437" s="210"/>
      <c r="G437" s="415"/>
      <c r="H437" s="210"/>
      <c r="I437" s="423"/>
      <c r="J437" s="156"/>
      <c r="K437" s="423"/>
      <c r="L437" s="156"/>
      <c r="M437" s="423"/>
      <c r="N437" s="156"/>
      <c r="O437" s="415"/>
      <c r="P437" s="210"/>
      <c r="Q437" s="424"/>
      <c r="R437" s="83"/>
      <c r="S437" s="209"/>
      <c r="T437" s="210"/>
      <c r="U437" s="209"/>
      <c r="V437" s="210"/>
      <c r="W437" s="210"/>
      <c r="X437" s="210"/>
      <c r="Y437" s="210"/>
      <c r="Z437" s="210"/>
    </row>
    <row r="438">
      <c r="A438" s="415"/>
      <c r="B438" s="210"/>
      <c r="C438" s="415"/>
      <c r="D438" s="156"/>
      <c r="E438" s="415"/>
      <c r="F438" s="210"/>
      <c r="G438" s="415"/>
      <c r="H438" s="210"/>
      <c r="I438" s="423"/>
      <c r="J438" s="156"/>
      <c r="K438" s="423"/>
      <c r="L438" s="156"/>
      <c r="M438" s="423"/>
      <c r="N438" s="156"/>
      <c r="O438" s="415"/>
      <c r="P438" s="210"/>
      <c r="Q438" s="424"/>
      <c r="R438" s="83"/>
      <c r="S438" s="209"/>
      <c r="T438" s="210"/>
      <c r="U438" s="209"/>
      <c r="V438" s="210"/>
      <c r="W438" s="210"/>
      <c r="X438" s="210"/>
      <c r="Y438" s="210"/>
      <c r="Z438" s="210"/>
    </row>
    <row r="439">
      <c r="A439" s="415"/>
      <c r="B439" s="210"/>
      <c r="C439" s="415"/>
      <c r="D439" s="156"/>
      <c r="E439" s="415"/>
      <c r="F439" s="210"/>
      <c r="G439" s="415"/>
      <c r="H439" s="210"/>
      <c r="I439" s="423"/>
      <c r="J439" s="156"/>
      <c r="K439" s="423"/>
      <c r="L439" s="156"/>
      <c r="M439" s="423"/>
      <c r="N439" s="156"/>
      <c r="O439" s="415"/>
      <c r="P439" s="210"/>
      <c r="Q439" s="424"/>
      <c r="R439" s="83"/>
      <c r="S439" s="209"/>
      <c r="T439" s="210"/>
      <c r="U439" s="209"/>
      <c r="V439" s="210"/>
      <c r="W439" s="210"/>
      <c r="X439" s="210"/>
      <c r="Y439" s="210"/>
      <c r="Z439" s="210"/>
    </row>
    <row r="440">
      <c r="A440" s="415"/>
      <c r="B440" s="210"/>
      <c r="C440" s="415"/>
      <c r="D440" s="156"/>
      <c r="E440" s="415"/>
      <c r="F440" s="210"/>
      <c r="G440" s="415"/>
      <c r="H440" s="210"/>
      <c r="I440" s="423"/>
      <c r="J440" s="156"/>
      <c r="K440" s="423"/>
      <c r="L440" s="156"/>
      <c r="M440" s="423"/>
      <c r="N440" s="156"/>
      <c r="O440" s="415"/>
      <c r="P440" s="210"/>
      <c r="Q440" s="424"/>
      <c r="R440" s="83"/>
      <c r="S440" s="209"/>
      <c r="T440" s="210"/>
      <c r="U440" s="209"/>
      <c r="V440" s="210"/>
      <c r="W440" s="210"/>
      <c r="X440" s="210"/>
      <c r="Y440" s="210"/>
      <c r="Z440" s="210"/>
    </row>
    <row r="441">
      <c r="A441" s="415"/>
      <c r="B441" s="210"/>
      <c r="C441" s="415"/>
      <c r="D441" s="156"/>
      <c r="E441" s="415"/>
      <c r="F441" s="210"/>
      <c r="G441" s="415"/>
      <c r="H441" s="210"/>
      <c r="I441" s="423"/>
      <c r="J441" s="156"/>
      <c r="K441" s="423"/>
      <c r="L441" s="156"/>
      <c r="M441" s="423"/>
      <c r="N441" s="156"/>
      <c r="O441" s="415"/>
      <c r="P441" s="210"/>
      <c r="Q441" s="424"/>
      <c r="R441" s="83"/>
      <c r="S441" s="209"/>
      <c r="T441" s="210"/>
      <c r="U441" s="209"/>
      <c r="V441" s="210"/>
      <c r="W441" s="210"/>
      <c r="X441" s="210"/>
      <c r="Y441" s="210"/>
      <c r="Z441" s="210"/>
    </row>
    <row r="442">
      <c r="A442" s="415"/>
      <c r="B442" s="210"/>
      <c r="C442" s="415"/>
      <c r="D442" s="156"/>
      <c r="E442" s="415"/>
      <c r="F442" s="210"/>
      <c r="G442" s="415"/>
      <c r="H442" s="210"/>
      <c r="I442" s="423"/>
      <c r="J442" s="156"/>
      <c r="K442" s="423"/>
      <c r="L442" s="156"/>
      <c r="M442" s="423"/>
      <c r="N442" s="156"/>
      <c r="O442" s="415"/>
      <c r="P442" s="210"/>
      <c r="Q442" s="424"/>
      <c r="R442" s="83"/>
      <c r="S442" s="209"/>
      <c r="T442" s="210"/>
      <c r="U442" s="209"/>
      <c r="V442" s="210"/>
      <c r="W442" s="210"/>
      <c r="X442" s="210"/>
      <c r="Y442" s="210"/>
      <c r="Z442" s="210"/>
    </row>
    <row r="443">
      <c r="A443" s="415"/>
      <c r="B443" s="210"/>
      <c r="C443" s="415"/>
      <c r="D443" s="156"/>
      <c r="E443" s="415"/>
      <c r="F443" s="210"/>
      <c r="G443" s="415"/>
      <c r="H443" s="210"/>
      <c r="I443" s="423"/>
      <c r="J443" s="156"/>
      <c r="K443" s="423"/>
      <c r="L443" s="156"/>
      <c r="M443" s="423"/>
      <c r="N443" s="156"/>
      <c r="O443" s="415"/>
      <c r="P443" s="210"/>
      <c r="Q443" s="424"/>
      <c r="R443" s="83"/>
      <c r="S443" s="209"/>
      <c r="T443" s="210"/>
      <c r="U443" s="209"/>
      <c r="V443" s="210"/>
      <c r="W443" s="210"/>
      <c r="X443" s="210"/>
      <c r="Y443" s="210"/>
      <c r="Z443" s="210"/>
    </row>
    <row r="444">
      <c r="A444" s="415"/>
      <c r="B444" s="210"/>
      <c r="C444" s="415"/>
      <c r="D444" s="156"/>
      <c r="E444" s="415"/>
      <c r="F444" s="210"/>
      <c r="G444" s="415"/>
      <c r="H444" s="210"/>
      <c r="I444" s="423"/>
      <c r="J444" s="156"/>
      <c r="K444" s="423"/>
      <c r="L444" s="156"/>
      <c r="M444" s="423"/>
      <c r="N444" s="156"/>
      <c r="O444" s="415"/>
      <c r="P444" s="210"/>
      <c r="Q444" s="424"/>
      <c r="R444" s="83"/>
      <c r="S444" s="209"/>
      <c r="T444" s="210"/>
      <c r="U444" s="209"/>
      <c r="V444" s="210"/>
      <c r="W444" s="210"/>
      <c r="X444" s="210"/>
      <c r="Y444" s="210"/>
      <c r="Z444" s="210"/>
    </row>
    <row r="445">
      <c r="A445" s="415"/>
      <c r="B445" s="210"/>
      <c r="C445" s="415"/>
      <c r="D445" s="156"/>
      <c r="E445" s="415"/>
      <c r="F445" s="210"/>
      <c r="G445" s="415"/>
      <c r="H445" s="210"/>
      <c r="I445" s="423"/>
      <c r="J445" s="156"/>
      <c r="K445" s="423"/>
      <c r="L445" s="156"/>
      <c r="M445" s="423"/>
      <c r="N445" s="156"/>
      <c r="O445" s="415"/>
      <c r="P445" s="210"/>
      <c r="Q445" s="424"/>
      <c r="R445" s="83"/>
      <c r="S445" s="209"/>
      <c r="T445" s="210"/>
      <c r="U445" s="209"/>
      <c r="V445" s="210"/>
      <c r="W445" s="210"/>
      <c r="X445" s="210"/>
      <c r="Y445" s="210"/>
      <c r="Z445" s="210"/>
    </row>
    <row r="446">
      <c r="A446" s="415"/>
      <c r="B446" s="210"/>
      <c r="C446" s="415"/>
      <c r="D446" s="156"/>
      <c r="E446" s="415"/>
      <c r="F446" s="210"/>
      <c r="G446" s="415"/>
      <c r="H446" s="210"/>
      <c r="I446" s="423"/>
      <c r="J446" s="156"/>
      <c r="K446" s="423"/>
      <c r="L446" s="156"/>
      <c r="M446" s="423"/>
      <c r="N446" s="156"/>
      <c r="O446" s="415"/>
      <c r="P446" s="210"/>
      <c r="Q446" s="424"/>
      <c r="R446" s="83"/>
      <c r="S446" s="209"/>
      <c r="T446" s="210"/>
      <c r="U446" s="209"/>
      <c r="V446" s="210"/>
      <c r="W446" s="210"/>
      <c r="X446" s="210"/>
      <c r="Y446" s="210"/>
      <c r="Z446" s="210"/>
    </row>
    <row r="447">
      <c r="A447" s="415"/>
      <c r="B447" s="210"/>
      <c r="C447" s="415"/>
      <c r="D447" s="156"/>
      <c r="E447" s="415"/>
      <c r="F447" s="210"/>
      <c r="G447" s="415"/>
      <c r="H447" s="210"/>
      <c r="I447" s="423"/>
      <c r="J447" s="156"/>
      <c r="K447" s="423"/>
      <c r="L447" s="156"/>
      <c r="M447" s="423"/>
      <c r="N447" s="156"/>
      <c r="O447" s="415"/>
      <c r="P447" s="210"/>
      <c r="Q447" s="424"/>
      <c r="R447" s="83"/>
      <c r="S447" s="209"/>
      <c r="T447" s="210"/>
      <c r="U447" s="209"/>
      <c r="V447" s="210"/>
      <c r="W447" s="210"/>
      <c r="X447" s="210"/>
      <c r="Y447" s="210"/>
      <c r="Z447" s="210"/>
    </row>
    <row r="448">
      <c r="A448" s="415"/>
      <c r="B448" s="210"/>
      <c r="C448" s="415"/>
      <c r="D448" s="156"/>
      <c r="E448" s="415"/>
      <c r="F448" s="210"/>
      <c r="G448" s="415"/>
      <c r="H448" s="210"/>
      <c r="I448" s="423"/>
      <c r="J448" s="156"/>
      <c r="K448" s="423"/>
      <c r="L448" s="156"/>
      <c r="M448" s="423"/>
      <c r="N448" s="156"/>
      <c r="O448" s="415"/>
      <c r="P448" s="210"/>
      <c r="Q448" s="424"/>
      <c r="R448" s="83"/>
      <c r="S448" s="209"/>
      <c r="T448" s="210"/>
      <c r="U448" s="209"/>
      <c r="V448" s="210"/>
      <c r="W448" s="210"/>
      <c r="X448" s="210"/>
      <c r="Y448" s="210"/>
      <c r="Z448" s="210"/>
    </row>
    <row r="449">
      <c r="A449" s="415"/>
      <c r="B449" s="210"/>
      <c r="C449" s="415"/>
      <c r="D449" s="156"/>
      <c r="E449" s="415"/>
      <c r="F449" s="210"/>
      <c r="G449" s="415"/>
      <c r="H449" s="210"/>
      <c r="I449" s="423"/>
      <c r="J449" s="156"/>
      <c r="K449" s="423"/>
      <c r="L449" s="156"/>
      <c r="M449" s="423"/>
      <c r="N449" s="156"/>
      <c r="O449" s="415"/>
      <c r="P449" s="210"/>
      <c r="Q449" s="424"/>
      <c r="R449" s="83"/>
      <c r="S449" s="209"/>
      <c r="T449" s="210"/>
      <c r="U449" s="209"/>
      <c r="V449" s="210"/>
      <c r="W449" s="210"/>
      <c r="X449" s="210"/>
      <c r="Y449" s="210"/>
      <c r="Z449" s="210"/>
    </row>
    <row r="450">
      <c r="A450" s="415"/>
      <c r="B450" s="210"/>
      <c r="C450" s="415"/>
      <c r="D450" s="156"/>
      <c r="E450" s="415"/>
      <c r="F450" s="210"/>
      <c r="G450" s="415"/>
      <c r="H450" s="210"/>
      <c r="I450" s="423"/>
      <c r="J450" s="156"/>
      <c r="K450" s="423"/>
      <c r="L450" s="156"/>
      <c r="M450" s="423"/>
      <c r="N450" s="156"/>
      <c r="O450" s="415"/>
      <c r="P450" s="210"/>
      <c r="Q450" s="424"/>
      <c r="R450" s="83"/>
      <c r="S450" s="209"/>
      <c r="T450" s="210"/>
      <c r="U450" s="209"/>
      <c r="V450" s="210"/>
      <c r="W450" s="210"/>
      <c r="X450" s="210"/>
      <c r="Y450" s="210"/>
      <c r="Z450" s="210"/>
    </row>
    <row r="451">
      <c r="A451" s="415"/>
      <c r="B451" s="210"/>
      <c r="C451" s="415"/>
      <c r="D451" s="156"/>
      <c r="E451" s="415"/>
      <c r="F451" s="210"/>
      <c r="G451" s="415"/>
      <c r="H451" s="210"/>
      <c r="I451" s="423"/>
      <c r="J451" s="156"/>
      <c r="K451" s="423"/>
      <c r="L451" s="156"/>
      <c r="M451" s="423"/>
      <c r="N451" s="156"/>
      <c r="O451" s="415"/>
      <c r="P451" s="210"/>
      <c r="Q451" s="424"/>
      <c r="R451" s="83"/>
      <c r="S451" s="209"/>
      <c r="T451" s="210"/>
      <c r="U451" s="209"/>
      <c r="V451" s="210"/>
      <c r="W451" s="210"/>
      <c r="X451" s="210"/>
      <c r="Y451" s="210"/>
      <c r="Z451" s="210"/>
    </row>
    <row r="452">
      <c r="A452" s="415"/>
      <c r="B452" s="210"/>
      <c r="C452" s="415"/>
      <c r="D452" s="156"/>
      <c r="E452" s="415"/>
      <c r="F452" s="210"/>
      <c r="G452" s="415"/>
      <c r="H452" s="210"/>
      <c r="I452" s="423"/>
      <c r="J452" s="156"/>
      <c r="K452" s="423"/>
      <c r="L452" s="156"/>
      <c r="M452" s="423"/>
      <c r="N452" s="156"/>
      <c r="O452" s="415"/>
      <c r="P452" s="210"/>
      <c r="Q452" s="424"/>
      <c r="R452" s="83"/>
      <c r="S452" s="209"/>
      <c r="T452" s="210"/>
      <c r="U452" s="209"/>
      <c r="V452" s="210"/>
      <c r="W452" s="210"/>
      <c r="X452" s="210"/>
      <c r="Y452" s="210"/>
      <c r="Z452" s="210"/>
    </row>
    <row r="453">
      <c r="A453" s="415"/>
      <c r="B453" s="210"/>
      <c r="C453" s="415"/>
      <c r="D453" s="156"/>
      <c r="E453" s="415"/>
      <c r="F453" s="210"/>
      <c r="G453" s="415"/>
      <c r="H453" s="210"/>
      <c r="I453" s="423"/>
      <c r="J453" s="156"/>
      <c r="K453" s="423"/>
      <c r="L453" s="156"/>
      <c r="M453" s="423"/>
      <c r="N453" s="156"/>
      <c r="O453" s="415"/>
      <c r="P453" s="210"/>
      <c r="Q453" s="424"/>
      <c r="R453" s="83"/>
      <c r="S453" s="209"/>
      <c r="T453" s="210"/>
      <c r="U453" s="209"/>
      <c r="V453" s="210"/>
      <c r="W453" s="210"/>
      <c r="X453" s="210"/>
      <c r="Y453" s="210"/>
      <c r="Z453" s="210"/>
    </row>
    <row r="454">
      <c r="A454" s="415"/>
      <c r="B454" s="210"/>
      <c r="C454" s="415"/>
      <c r="D454" s="156"/>
      <c r="E454" s="415"/>
      <c r="F454" s="210"/>
      <c r="G454" s="415"/>
      <c r="H454" s="210"/>
      <c r="I454" s="423"/>
      <c r="J454" s="156"/>
      <c r="K454" s="423"/>
      <c r="L454" s="156"/>
      <c r="M454" s="423"/>
      <c r="N454" s="156"/>
      <c r="O454" s="415"/>
      <c r="P454" s="210"/>
      <c r="Q454" s="424"/>
      <c r="R454" s="83"/>
      <c r="S454" s="209"/>
      <c r="T454" s="210"/>
      <c r="U454" s="209"/>
      <c r="V454" s="210"/>
      <c r="W454" s="210"/>
      <c r="X454" s="210"/>
      <c r="Y454" s="210"/>
      <c r="Z454" s="210"/>
    </row>
    <row r="455">
      <c r="A455" s="415"/>
      <c r="B455" s="210"/>
      <c r="C455" s="415"/>
      <c r="D455" s="156"/>
      <c r="E455" s="415"/>
      <c r="F455" s="210"/>
      <c r="G455" s="415"/>
      <c r="H455" s="210"/>
      <c r="I455" s="423"/>
      <c r="J455" s="156"/>
      <c r="K455" s="423"/>
      <c r="L455" s="156"/>
      <c r="M455" s="423"/>
      <c r="N455" s="156"/>
      <c r="O455" s="415"/>
      <c r="P455" s="210"/>
      <c r="Q455" s="424"/>
      <c r="R455" s="83"/>
      <c r="S455" s="209"/>
      <c r="T455" s="210"/>
      <c r="U455" s="209"/>
      <c r="V455" s="210"/>
      <c r="W455" s="210"/>
      <c r="X455" s="210"/>
      <c r="Y455" s="210"/>
      <c r="Z455" s="210"/>
    </row>
    <row r="456">
      <c r="A456" s="415"/>
      <c r="B456" s="210"/>
      <c r="C456" s="415"/>
      <c r="D456" s="156"/>
      <c r="E456" s="415"/>
      <c r="F456" s="210"/>
      <c r="G456" s="415"/>
      <c r="H456" s="210"/>
      <c r="I456" s="423"/>
      <c r="J456" s="156"/>
      <c r="K456" s="423"/>
      <c r="L456" s="156"/>
      <c r="M456" s="423"/>
      <c r="N456" s="156"/>
      <c r="O456" s="415"/>
      <c r="P456" s="210"/>
      <c r="Q456" s="424"/>
      <c r="R456" s="83"/>
      <c r="S456" s="209"/>
      <c r="T456" s="210"/>
      <c r="U456" s="209"/>
      <c r="V456" s="210"/>
      <c r="W456" s="210"/>
      <c r="X456" s="210"/>
      <c r="Y456" s="210"/>
      <c r="Z456" s="210"/>
    </row>
    <row r="457">
      <c r="A457" s="415"/>
      <c r="B457" s="210"/>
      <c r="C457" s="415"/>
      <c r="D457" s="156"/>
      <c r="E457" s="415"/>
      <c r="F457" s="210"/>
      <c r="G457" s="415"/>
      <c r="H457" s="210"/>
      <c r="I457" s="423"/>
      <c r="J457" s="156"/>
      <c r="K457" s="423"/>
      <c r="L457" s="156"/>
      <c r="M457" s="423"/>
      <c r="N457" s="156"/>
      <c r="O457" s="415"/>
      <c r="P457" s="210"/>
      <c r="Q457" s="424"/>
      <c r="R457" s="83"/>
      <c r="S457" s="209"/>
      <c r="T457" s="210"/>
      <c r="U457" s="209"/>
      <c r="V457" s="210"/>
      <c r="W457" s="210"/>
      <c r="X457" s="210"/>
      <c r="Y457" s="210"/>
      <c r="Z457" s="210"/>
    </row>
    <row r="458">
      <c r="A458" s="415"/>
      <c r="B458" s="210"/>
      <c r="C458" s="415"/>
      <c r="D458" s="156"/>
      <c r="E458" s="415"/>
      <c r="F458" s="210"/>
      <c r="G458" s="415"/>
      <c r="H458" s="210"/>
      <c r="I458" s="423"/>
      <c r="J458" s="156"/>
      <c r="K458" s="423"/>
      <c r="L458" s="156"/>
      <c r="M458" s="423"/>
      <c r="N458" s="156"/>
      <c r="O458" s="415"/>
      <c r="P458" s="210"/>
      <c r="Q458" s="424"/>
      <c r="R458" s="83"/>
      <c r="S458" s="209"/>
      <c r="T458" s="210"/>
      <c r="U458" s="209"/>
      <c r="V458" s="210"/>
      <c r="W458" s="210"/>
      <c r="X458" s="210"/>
      <c r="Y458" s="210"/>
      <c r="Z458" s="210"/>
    </row>
    <row r="459">
      <c r="A459" s="415"/>
      <c r="B459" s="210"/>
      <c r="C459" s="415"/>
      <c r="D459" s="156"/>
      <c r="E459" s="415"/>
      <c r="F459" s="210"/>
      <c r="G459" s="415"/>
      <c r="H459" s="210"/>
      <c r="I459" s="423"/>
      <c r="J459" s="156"/>
      <c r="K459" s="423"/>
      <c r="L459" s="156"/>
      <c r="M459" s="423"/>
      <c r="N459" s="156"/>
      <c r="O459" s="415"/>
      <c r="P459" s="210"/>
      <c r="Q459" s="424"/>
      <c r="R459" s="83"/>
      <c r="S459" s="209"/>
      <c r="T459" s="210"/>
      <c r="U459" s="209"/>
      <c r="V459" s="210"/>
      <c r="W459" s="210"/>
      <c r="X459" s="210"/>
      <c r="Y459" s="210"/>
      <c r="Z459" s="210"/>
    </row>
    <row r="460">
      <c r="A460" s="415"/>
      <c r="B460" s="210"/>
      <c r="C460" s="415"/>
      <c r="D460" s="156"/>
      <c r="E460" s="415"/>
      <c r="F460" s="210"/>
      <c r="G460" s="415"/>
      <c r="H460" s="210"/>
      <c r="I460" s="423"/>
      <c r="J460" s="156"/>
      <c r="K460" s="423"/>
      <c r="L460" s="156"/>
      <c r="M460" s="423"/>
      <c r="N460" s="156"/>
      <c r="O460" s="415"/>
      <c r="P460" s="210"/>
      <c r="Q460" s="424"/>
      <c r="R460" s="83"/>
      <c r="S460" s="209"/>
      <c r="T460" s="210"/>
      <c r="U460" s="209"/>
      <c r="V460" s="210"/>
      <c r="W460" s="210"/>
      <c r="X460" s="210"/>
      <c r="Y460" s="210"/>
      <c r="Z460" s="210"/>
    </row>
    <row r="461">
      <c r="A461" s="415"/>
      <c r="B461" s="210"/>
      <c r="C461" s="415"/>
      <c r="D461" s="156"/>
      <c r="E461" s="415"/>
      <c r="F461" s="210"/>
      <c r="G461" s="415"/>
      <c r="H461" s="210"/>
      <c r="I461" s="423"/>
      <c r="J461" s="156"/>
      <c r="K461" s="423"/>
      <c r="L461" s="156"/>
      <c r="M461" s="423"/>
      <c r="N461" s="156"/>
      <c r="O461" s="415"/>
      <c r="P461" s="210"/>
      <c r="Q461" s="424"/>
      <c r="R461" s="83"/>
      <c r="S461" s="209"/>
      <c r="T461" s="210"/>
      <c r="U461" s="209"/>
      <c r="V461" s="210"/>
      <c r="W461" s="210"/>
      <c r="X461" s="210"/>
      <c r="Y461" s="210"/>
      <c r="Z461" s="210"/>
    </row>
    <row r="462">
      <c r="A462" s="415"/>
      <c r="B462" s="210"/>
      <c r="C462" s="415"/>
      <c r="D462" s="156"/>
      <c r="E462" s="415"/>
      <c r="F462" s="210"/>
      <c r="G462" s="415"/>
      <c r="H462" s="210"/>
      <c r="I462" s="423"/>
      <c r="J462" s="156"/>
      <c r="K462" s="423"/>
      <c r="L462" s="156"/>
      <c r="M462" s="423"/>
      <c r="N462" s="156"/>
      <c r="O462" s="415"/>
      <c r="P462" s="210"/>
      <c r="Q462" s="424"/>
      <c r="R462" s="83"/>
      <c r="S462" s="209"/>
      <c r="T462" s="210"/>
      <c r="U462" s="209"/>
      <c r="V462" s="210"/>
      <c r="W462" s="210"/>
      <c r="X462" s="210"/>
      <c r="Y462" s="210"/>
      <c r="Z462" s="210"/>
    </row>
    <row r="463">
      <c r="A463" s="415"/>
      <c r="B463" s="210"/>
      <c r="C463" s="415"/>
      <c r="D463" s="156"/>
      <c r="E463" s="415"/>
      <c r="F463" s="210"/>
      <c r="G463" s="415"/>
      <c r="H463" s="210"/>
      <c r="I463" s="423"/>
      <c r="J463" s="156"/>
      <c r="K463" s="423"/>
      <c r="L463" s="156"/>
      <c r="M463" s="423"/>
      <c r="N463" s="156"/>
      <c r="O463" s="415"/>
      <c r="P463" s="210"/>
      <c r="Q463" s="424"/>
      <c r="R463" s="83"/>
      <c r="S463" s="209"/>
      <c r="T463" s="210"/>
      <c r="U463" s="209"/>
      <c r="V463" s="210"/>
      <c r="W463" s="210"/>
      <c r="X463" s="210"/>
      <c r="Y463" s="210"/>
      <c r="Z463" s="210"/>
    </row>
    <row r="464">
      <c r="A464" s="415"/>
      <c r="B464" s="210"/>
      <c r="C464" s="415"/>
      <c r="D464" s="156"/>
      <c r="E464" s="415"/>
      <c r="F464" s="210"/>
      <c r="G464" s="415"/>
      <c r="H464" s="210"/>
      <c r="I464" s="423"/>
      <c r="J464" s="156"/>
      <c r="K464" s="423"/>
      <c r="L464" s="156"/>
      <c r="M464" s="423"/>
      <c r="N464" s="156"/>
      <c r="O464" s="415"/>
      <c r="P464" s="210"/>
      <c r="Q464" s="424"/>
      <c r="R464" s="83"/>
      <c r="S464" s="209"/>
      <c r="T464" s="210"/>
      <c r="U464" s="209"/>
      <c r="V464" s="210"/>
      <c r="W464" s="210"/>
      <c r="X464" s="210"/>
      <c r="Y464" s="210"/>
      <c r="Z464" s="210"/>
    </row>
    <row r="465">
      <c r="A465" s="415"/>
      <c r="B465" s="210"/>
      <c r="C465" s="415"/>
      <c r="D465" s="156"/>
      <c r="E465" s="415"/>
      <c r="F465" s="210"/>
      <c r="G465" s="415"/>
      <c r="H465" s="210"/>
      <c r="I465" s="423"/>
      <c r="J465" s="156"/>
      <c r="K465" s="423"/>
      <c r="L465" s="156"/>
      <c r="M465" s="423"/>
      <c r="N465" s="156"/>
      <c r="O465" s="415"/>
      <c r="P465" s="210"/>
      <c r="Q465" s="424"/>
      <c r="R465" s="83"/>
      <c r="S465" s="209"/>
      <c r="T465" s="210"/>
      <c r="U465" s="209"/>
      <c r="V465" s="210"/>
      <c r="W465" s="210"/>
      <c r="X465" s="210"/>
      <c r="Y465" s="210"/>
      <c r="Z465" s="210"/>
    </row>
    <row r="466">
      <c r="A466" s="415"/>
      <c r="B466" s="210"/>
      <c r="C466" s="415"/>
      <c r="D466" s="156"/>
      <c r="E466" s="415"/>
      <c r="F466" s="210"/>
      <c r="G466" s="415"/>
      <c r="H466" s="210"/>
      <c r="I466" s="423"/>
      <c r="J466" s="156"/>
      <c r="K466" s="423"/>
      <c r="L466" s="156"/>
      <c r="M466" s="423"/>
      <c r="N466" s="156"/>
      <c r="O466" s="415"/>
      <c r="P466" s="210"/>
      <c r="Q466" s="424"/>
      <c r="R466" s="83"/>
      <c r="S466" s="209"/>
      <c r="T466" s="210"/>
      <c r="U466" s="209"/>
      <c r="V466" s="210"/>
      <c r="W466" s="210"/>
      <c r="X466" s="210"/>
      <c r="Y466" s="210"/>
      <c r="Z466" s="210"/>
    </row>
    <row r="467">
      <c r="A467" s="415"/>
      <c r="B467" s="210"/>
      <c r="C467" s="415"/>
      <c r="D467" s="156"/>
      <c r="E467" s="415"/>
      <c r="F467" s="210"/>
      <c r="G467" s="415"/>
      <c r="H467" s="210"/>
      <c r="I467" s="423"/>
      <c r="J467" s="156"/>
      <c r="K467" s="423"/>
      <c r="L467" s="156"/>
      <c r="M467" s="423"/>
      <c r="N467" s="156"/>
      <c r="O467" s="415"/>
      <c r="P467" s="210"/>
      <c r="Q467" s="424"/>
      <c r="R467" s="83"/>
      <c r="S467" s="209"/>
      <c r="T467" s="210"/>
      <c r="U467" s="209"/>
      <c r="V467" s="210"/>
      <c r="W467" s="210"/>
      <c r="X467" s="210"/>
      <c r="Y467" s="210"/>
      <c r="Z467" s="210"/>
    </row>
    <row r="468">
      <c r="A468" s="415"/>
      <c r="B468" s="210"/>
      <c r="C468" s="415"/>
      <c r="D468" s="156"/>
      <c r="E468" s="415"/>
      <c r="F468" s="210"/>
      <c r="G468" s="415"/>
      <c r="H468" s="210"/>
      <c r="I468" s="423"/>
      <c r="J468" s="156"/>
      <c r="K468" s="423"/>
      <c r="L468" s="156"/>
      <c r="M468" s="423"/>
      <c r="N468" s="156"/>
      <c r="O468" s="415"/>
      <c r="P468" s="210"/>
      <c r="Q468" s="424"/>
      <c r="R468" s="83"/>
      <c r="S468" s="209"/>
      <c r="T468" s="210"/>
      <c r="U468" s="209"/>
      <c r="V468" s="210"/>
      <c r="W468" s="210"/>
      <c r="X468" s="210"/>
      <c r="Y468" s="210"/>
      <c r="Z468" s="210"/>
    </row>
    <row r="469">
      <c r="A469" s="415"/>
      <c r="B469" s="210"/>
      <c r="C469" s="415"/>
      <c r="D469" s="156"/>
      <c r="E469" s="415"/>
      <c r="F469" s="210"/>
      <c r="G469" s="415"/>
      <c r="H469" s="210"/>
      <c r="I469" s="423"/>
      <c r="J469" s="156"/>
      <c r="K469" s="423"/>
      <c r="L469" s="156"/>
      <c r="M469" s="423"/>
      <c r="N469" s="156"/>
      <c r="O469" s="415"/>
      <c r="P469" s="210"/>
      <c r="Q469" s="424"/>
      <c r="R469" s="83"/>
      <c r="S469" s="209"/>
      <c r="T469" s="210"/>
      <c r="U469" s="209"/>
      <c r="V469" s="210"/>
      <c r="W469" s="210"/>
      <c r="X469" s="210"/>
      <c r="Y469" s="210"/>
      <c r="Z469" s="210"/>
    </row>
    <row r="470">
      <c r="A470" s="415"/>
      <c r="B470" s="210"/>
      <c r="C470" s="415"/>
      <c r="D470" s="156"/>
      <c r="E470" s="415"/>
      <c r="F470" s="210"/>
      <c r="G470" s="415"/>
      <c r="H470" s="210"/>
      <c r="I470" s="423"/>
      <c r="J470" s="156"/>
      <c r="K470" s="423"/>
      <c r="L470" s="156"/>
      <c r="M470" s="423"/>
      <c r="N470" s="156"/>
      <c r="O470" s="415"/>
      <c r="P470" s="210"/>
      <c r="Q470" s="424"/>
      <c r="R470" s="83"/>
      <c r="S470" s="209"/>
      <c r="T470" s="210"/>
      <c r="U470" s="209"/>
      <c r="V470" s="210"/>
      <c r="W470" s="210"/>
      <c r="X470" s="210"/>
      <c r="Y470" s="210"/>
      <c r="Z470" s="210"/>
    </row>
    <row r="471">
      <c r="A471" s="415"/>
      <c r="B471" s="210"/>
      <c r="C471" s="415"/>
      <c r="D471" s="156"/>
      <c r="E471" s="415"/>
      <c r="F471" s="210"/>
      <c r="G471" s="415"/>
      <c r="H471" s="210"/>
      <c r="I471" s="423"/>
      <c r="J471" s="156"/>
      <c r="K471" s="423"/>
      <c r="L471" s="156"/>
      <c r="M471" s="423"/>
      <c r="N471" s="156"/>
      <c r="O471" s="415"/>
      <c r="P471" s="210"/>
      <c r="Q471" s="424"/>
      <c r="R471" s="83"/>
      <c r="S471" s="209"/>
      <c r="T471" s="210"/>
      <c r="U471" s="209"/>
      <c r="V471" s="210"/>
      <c r="W471" s="210"/>
      <c r="X471" s="210"/>
      <c r="Y471" s="210"/>
      <c r="Z471" s="210"/>
    </row>
    <row r="472">
      <c r="A472" s="415"/>
      <c r="B472" s="210"/>
      <c r="C472" s="415"/>
      <c r="D472" s="156"/>
      <c r="E472" s="415"/>
      <c r="F472" s="210"/>
      <c r="G472" s="415"/>
      <c r="H472" s="210"/>
      <c r="I472" s="423"/>
      <c r="J472" s="156"/>
      <c r="K472" s="423"/>
      <c r="L472" s="156"/>
      <c r="M472" s="423"/>
      <c r="N472" s="156"/>
      <c r="O472" s="415"/>
      <c r="P472" s="210"/>
      <c r="Q472" s="424"/>
      <c r="R472" s="83"/>
      <c r="S472" s="209"/>
      <c r="T472" s="210"/>
      <c r="U472" s="209"/>
      <c r="V472" s="210"/>
      <c r="W472" s="210"/>
      <c r="X472" s="210"/>
      <c r="Y472" s="210"/>
      <c r="Z472" s="210"/>
    </row>
    <row r="473">
      <c r="A473" s="415"/>
      <c r="B473" s="210"/>
      <c r="C473" s="415"/>
      <c r="D473" s="156"/>
      <c r="E473" s="415"/>
      <c r="F473" s="210"/>
      <c r="G473" s="415"/>
      <c r="H473" s="210"/>
      <c r="I473" s="423"/>
      <c r="J473" s="156"/>
      <c r="K473" s="423"/>
      <c r="L473" s="156"/>
      <c r="M473" s="423"/>
      <c r="N473" s="156"/>
      <c r="O473" s="415"/>
      <c r="P473" s="210"/>
      <c r="Q473" s="424"/>
      <c r="R473" s="83"/>
      <c r="S473" s="209"/>
      <c r="T473" s="210"/>
      <c r="U473" s="209"/>
      <c r="V473" s="210"/>
      <c r="W473" s="210"/>
      <c r="X473" s="210"/>
      <c r="Y473" s="210"/>
      <c r="Z473" s="210"/>
    </row>
    <row r="474">
      <c r="A474" s="415"/>
      <c r="B474" s="210"/>
      <c r="C474" s="415"/>
      <c r="D474" s="156"/>
      <c r="E474" s="415"/>
      <c r="F474" s="210"/>
      <c r="G474" s="415"/>
      <c r="H474" s="210"/>
      <c r="I474" s="423"/>
      <c r="J474" s="156"/>
      <c r="K474" s="423"/>
      <c r="L474" s="156"/>
      <c r="M474" s="423"/>
      <c r="N474" s="156"/>
      <c r="O474" s="415"/>
      <c r="P474" s="210"/>
      <c r="Q474" s="424"/>
      <c r="R474" s="83"/>
      <c r="S474" s="209"/>
      <c r="T474" s="210"/>
      <c r="U474" s="209"/>
      <c r="V474" s="210"/>
      <c r="W474" s="210"/>
      <c r="X474" s="210"/>
      <c r="Y474" s="210"/>
      <c r="Z474" s="210"/>
    </row>
    <row r="475">
      <c r="A475" s="415"/>
      <c r="B475" s="210"/>
      <c r="C475" s="415"/>
      <c r="D475" s="156"/>
      <c r="E475" s="415"/>
      <c r="F475" s="210"/>
      <c r="G475" s="415"/>
      <c r="H475" s="210"/>
      <c r="I475" s="423"/>
      <c r="J475" s="156"/>
      <c r="K475" s="423"/>
      <c r="L475" s="156"/>
      <c r="M475" s="423"/>
      <c r="N475" s="156"/>
      <c r="O475" s="415"/>
      <c r="P475" s="210"/>
      <c r="Q475" s="424"/>
      <c r="R475" s="83"/>
      <c r="S475" s="209"/>
      <c r="T475" s="210"/>
      <c r="U475" s="209"/>
      <c r="V475" s="210"/>
      <c r="W475" s="210"/>
      <c r="X475" s="210"/>
      <c r="Y475" s="210"/>
      <c r="Z475" s="210"/>
    </row>
    <row r="476">
      <c r="A476" s="415"/>
      <c r="B476" s="210"/>
      <c r="C476" s="415"/>
      <c r="D476" s="156"/>
      <c r="E476" s="415"/>
      <c r="F476" s="210"/>
      <c r="G476" s="415"/>
      <c r="H476" s="210"/>
      <c r="I476" s="423"/>
      <c r="J476" s="156"/>
      <c r="K476" s="423"/>
      <c r="L476" s="156"/>
      <c r="M476" s="423"/>
      <c r="N476" s="156"/>
      <c r="O476" s="415"/>
      <c r="P476" s="210"/>
      <c r="Q476" s="424"/>
      <c r="R476" s="83"/>
      <c r="S476" s="209"/>
      <c r="T476" s="210"/>
      <c r="U476" s="209"/>
      <c r="V476" s="210"/>
      <c r="W476" s="210"/>
      <c r="X476" s="210"/>
      <c r="Y476" s="210"/>
      <c r="Z476" s="210"/>
    </row>
    <row r="477">
      <c r="A477" s="415"/>
      <c r="B477" s="210"/>
      <c r="C477" s="415"/>
      <c r="D477" s="156"/>
      <c r="E477" s="415"/>
      <c r="F477" s="210"/>
      <c r="G477" s="415"/>
      <c r="H477" s="210"/>
      <c r="I477" s="423"/>
      <c r="J477" s="156"/>
      <c r="K477" s="423"/>
      <c r="L477" s="156"/>
      <c r="M477" s="423"/>
      <c r="N477" s="156"/>
      <c r="O477" s="415"/>
      <c r="P477" s="210"/>
      <c r="Q477" s="424"/>
      <c r="R477" s="83"/>
      <c r="S477" s="209"/>
      <c r="T477" s="210"/>
      <c r="U477" s="209"/>
      <c r="V477" s="210"/>
      <c r="W477" s="210"/>
      <c r="X477" s="210"/>
      <c r="Y477" s="210"/>
      <c r="Z477" s="210"/>
    </row>
    <row r="478">
      <c r="A478" s="415"/>
      <c r="B478" s="210"/>
      <c r="C478" s="415"/>
      <c r="D478" s="156"/>
      <c r="E478" s="415"/>
      <c r="F478" s="210"/>
      <c r="G478" s="415"/>
      <c r="H478" s="210"/>
      <c r="I478" s="423"/>
      <c r="J478" s="156"/>
      <c r="K478" s="423"/>
      <c r="L478" s="156"/>
      <c r="M478" s="423"/>
      <c r="N478" s="156"/>
      <c r="O478" s="415"/>
      <c r="P478" s="210"/>
      <c r="Q478" s="424"/>
      <c r="R478" s="83"/>
      <c r="S478" s="209"/>
      <c r="T478" s="210"/>
      <c r="U478" s="209"/>
      <c r="V478" s="210"/>
      <c r="W478" s="210"/>
      <c r="X478" s="210"/>
      <c r="Y478" s="210"/>
      <c r="Z478" s="210"/>
    </row>
    <row r="479">
      <c r="A479" s="415"/>
      <c r="B479" s="210"/>
      <c r="C479" s="415"/>
      <c r="D479" s="156"/>
      <c r="E479" s="415"/>
      <c r="F479" s="210"/>
      <c r="G479" s="415"/>
      <c r="H479" s="210"/>
      <c r="I479" s="423"/>
      <c r="J479" s="156"/>
      <c r="K479" s="423"/>
      <c r="L479" s="156"/>
      <c r="M479" s="423"/>
      <c r="N479" s="156"/>
      <c r="O479" s="415"/>
      <c r="P479" s="210"/>
      <c r="Q479" s="424"/>
      <c r="R479" s="83"/>
      <c r="S479" s="209"/>
      <c r="T479" s="210"/>
      <c r="U479" s="209"/>
      <c r="V479" s="210"/>
      <c r="W479" s="210"/>
      <c r="X479" s="210"/>
      <c r="Y479" s="210"/>
      <c r="Z479" s="210"/>
    </row>
    <row r="480">
      <c r="A480" s="415"/>
      <c r="B480" s="210"/>
      <c r="C480" s="415"/>
      <c r="D480" s="156"/>
      <c r="E480" s="415"/>
      <c r="F480" s="210"/>
      <c r="G480" s="415"/>
      <c r="H480" s="210"/>
      <c r="I480" s="423"/>
      <c r="J480" s="156"/>
      <c r="K480" s="423"/>
      <c r="L480" s="156"/>
      <c r="M480" s="423"/>
      <c r="N480" s="156"/>
      <c r="O480" s="415"/>
      <c r="P480" s="210"/>
      <c r="Q480" s="424"/>
      <c r="R480" s="83"/>
      <c r="S480" s="209"/>
      <c r="T480" s="210"/>
      <c r="U480" s="209"/>
      <c r="V480" s="210"/>
      <c r="W480" s="210"/>
      <c r="X480" s="210"/>
      <c r="Y480" s="210"/>
      <c r="Z480" s="210"/>
    </row>
    <row r="481">
      <c r="A481" s="415"/>
      <c r="B481" s="210"/>
      <c r="C481" s="415"/>
      <c r="D481" s="156"/>
      <c r="E481" s="415"/>
      <c r="F481" s="210"/>
      <c r="G481" s="415"/>
      <c r="H481" s="210"/>
      <c r="I481" s="423"/>
      <c r="J481" s="156"/>
      <c r="K481" s="423"/>
      <c r="L481" s="156"/>
      <c r="M481" s="423"/>
      <c r="N481" s="156"/>
      <c r="O481" s="415"/>
      <c r="P481" s="210"/>
      <c r="Q481" s="424"/>
      <c r="R481" s="83"/>
      <c r="S481" s="209"/>
      <c r="T481" s="210"/>
      <c r="U481" s="209"/>
      <c r="V481" s="210"/>
      <c r="W481" s="210"/>
      <c r="X481" s="210"/>
      <c r="Y481" s="210"/>
      <c r="Z481" s="210"/>
    </row>
    <row r="482">
      <c r="A482" s="415"/>
      <c r="B482" s="210"/>
      <c r="C482" s="415"/>
      <c r="D482" s="156"/>
      <c r="E482" s="415"/>
      <c r="F482" s="210"/>
      <c r="G482" s="415"/>
      <c r="H482" s="210"/>
      <c r="I482" s="423"/>
      <c r="J482" s="156"/>
      <c r="K482" s="423"/>
      <c r="L482" s="156"/>
      <c r="M482" s="423"/>
      <c r="N482" s="156"/>
      <c r="O482" s="415"/>
      <c r="P482" s="210"/>
      <c r="Q482" s="424"/>
      <c r="R482" s="83"/>
      <c r="S482" s="209"/>
      <c r="T482" s="210"/>
      <c r="U482" s="209"/>
      <c r="V482" s="210"/>
      <c r="W482" s="210"/>
      <c r="X482" s="210"/>
      <c r="Y482" s="210"/>
      <c r="Z482" s="210"/>
    </row>
    <row r="483">
      <c r="A483" s="415"/>
      <c r="B483" s="210"/>
      <c r="C483" s="415"/>
      <c r="D483" s="156"/>
      <c r="E483" s="415"/>
      <c r="F483" s="210"/>
      <c r="G483" s="415"/>
      <c r="H483" s="210"/>
      <c r="I483" s="423"/>
      <c r="J483" s="156"/>
      <c r="K483" s="423"/>
      <c r="L483" s="156"/>
      <c r="M483" s="423"/>
      <c r="N483" s="156"/>
      <c r="O483" s="415"/>
      <c r="P483" s="210"/>
      <c r="Q483" s="424"/>
      <c r="R483" s="83"/>
      <c r="S483" s="209"/>
      <c r="T483" s="210"/>
      <c r="U483" s="209"/>
      <c r="V483" s="210"/>
      <c r="W483" s="210"/>
      <c r="X483" s="210"/>
      <c r="Y483" s="210"/>
      <c r="Z483" s="210"/>
    </row>
    <row r="484">
      <c r="A484" s="415"/>
      <c r="B484" s="210"/>
      <c r="C484" s="415"/>
      <c r="D484" s="156"/>
      <c r="E484" s="415"/>
      <c r="F484" s="210"/>
      <c r="G484" s="415"/>
      <c r="H484" s="210"/>
      <c r="I484" s="423"/>
      <c r="J484" s="156"/>
      <c r="K484" s="423"/>
      <c r="L484" s="156"/>
      <c r="M484" s="423"/>
      <c r="N484" s="156"/>
      <c r="O484" s="415"/>
      <c r="P484" s="210"/>
      <c r="Q484" s="424"/>
      <c r="R484" s="83"/>
      <c r="S484" s="209"/>
      <c r="T484" s="210"/>
      <c r="U484" s="209"/>
      <c r="V484" s="210"/>
      <c r="W484" s="210"/>
      <c r="X484" s="210"/>
      <c r="Y484" s="210"/>
      <c r="Z484" s="210"/>
    </row>
    <row r="485">
      <c r="A485" s="415"/>
      <c r="B485" s="210"/>
      <c r="C485" s="415"/>
      <c r="D485" s="156"/>
      <c r="E485" s="415"/>
      <c r="F485" s="210"/>
      <c r="G485" s="415"/>
      <c r="H485" s="210"/>
      <c r="I485" s="423"/>
      <c r="J485" s="156"/>
      <c r="K485" s="423"/>
      <c r="L485" s="156"/>
      <c r="M485" s="423"/>
      <c r="N485" s="156"/>
      <c r="O485" s="415"/>
      <c r="P485" s="210"/>
      <c r="Q485" s="424"/>
      <c r="R485" s="83"/>
      <c r="S485" s="209"/>
      <c r="T485" s="210"/>
      <c r="U485" s="209"/>
      <c r="V485" s="210"/>
      <c r="W485" s="210"/>
      <c r="X485" s="210"/>
      <c r="Y485" s="210"/>
      <c r="Z485" s="210"/>
    </row>
    <row r="486">
      <c r="A486" s="415"/>
      <c r="B486" s="210"/>
      <c r="C486" s="415"/>
      <c r="D486" s="156"/>
      <c r="E486" s="415"/>
      <c r="F486" s="210"/>
      <c r="G486" s="415"/>
      <c r="H486" s="210"/>
      <c r="I486" s="423"/>
      <c r="J486" s="156"/>
      <c r="K486" s="423"/>
      <c r="L486" s="156"/>
      <c r="M486" s="423"/>
      <c r="N486" s="156"/>
      <c r="O486" s="415"/>
      <c r="P486" s="210"/>
      <c r="Q486" s="424"/>
      <c r="R486" s="83"/>
      <c r="S486" s="209"/>
      <c r="T486" s="210"/>
      <c r="U486" s="209"/>
      <c r="V486" s="210"/>
      <c r="W486" s="210"/>
      <c r="X486" s="210"/>
      <c r="Y486" s="210"/>
      <c r="Z486" s="210"/>
    </row>
    <row r="487">
      <c r="A487" s="415"/>
      <c r="B487" s="210"/>
      <c r="C487" s="415"/>
      <c r="D487" s="156"/>
      <c r="E487" s="415"/>
      <c r="F487" s="210"/>
      <c r="G487" s="415"/>
      <c r="H487" s="210"/>
      <c r="I487" s="423"/>
      <c r="J487" s="156"/>
      <c r="K487" s="423"/>
      <c r="L487" s="156"/>
      <c r="M487" s="423"/>
      <c r="N487" s="156"/>
      <c r="O487" s="415"/>
      <c r="P487" s="210"/>
      <c r="Q487" s="424"/>
      <c r="R487" s="83"/>
      <c r="S487" s="209"/>
      <c r="T487" s="210"/>
      <c r="U487" s="209"/>
      <c r="V487" s="210"/>
      <c r="W487" s="210"/>
      <c r="X487" s="210"/>
      <c r="Y487" s="210"/>
      <c r="Z487" s="210"/>
    </row>
    <row r="488">
      <c r="A488" s="415"/>
      <c r="B488" s="210"/>
      <c r="C488" s="415"/>
      <c r="D488" s="156"/>
      <c r="E488" s="415"/>
      <c r="F488" s="210"/>
      <c r="G488" s="415"/>
      <c r="H488" s="210"/>
      <c r="I488" s="423"/>
      <c r="J488" s="156"/>
      <c r="K488" s="423"/>
      <c r="L488" s="156"/>
      <c r="M488" s="423"/>
      <c r="N488" s="156"/>
      <c r="O488" s="415"/>
      <c r="P488" s="210"/>
      <c r="Q488" s="424"/>
      <c r="R488" s="83"/>
      <c r="S488" s="209"/>
      <c r="T488" s="210"/>
      <c r="U488" s="209"/>
      <c r="V488" s="210"/>
      <c r="W488" s="210"/>
      <c r="X488" s="210"/>
      <c r="Y488" s="210"/>
      <c r="Z488" s="210"/>
    </row>
    <row r="489">
      <c r="A489" s="415"/>
      <c r="B489" s="210"/>
      <c r="C489" s="415"/>
      <c r="D489" s="156"/>
      <c r="E489" s="415"/>
      <c r="F489" s="210"/>
      <c r="G489" s="415"/>
      <c r="H489" s="210"/>
      <c r="I489" s="423"/>
      <c r="J489" s="156"/>
      <c r="K489" s="423"/>
      <c r="L489" s="156"/>
      <c r="M489" s="423"/>
      <c r="N489" s="156"/>
      <c r="O489" s="415"/>
      <c r="P489" s="210"/>
      <c r="Q489" s="424"/>
      <c r="R489" s="83"/>
      <c r="S489" s="209"/>
      <c r="T489" s="210"/>
      <c r="U489" s="209"/>
      <c r="V489" s="210"/>
      <c r="W489" s="210"/>
      <c r="X489" s="210"/>
      <c r="Y489" s="210"/>
      <c r="Z489" s="210"/>
    </row>
    <row r="490">
      <c r="A490" s="415"/>
      <c r="B490" s="210"/>
      <c r="C490" s="415"/>
      <c r="D490" s="156"/>
      <c r="E490" s="415"/>
      <c r="F490" s="210"/>
      <c r="G490" s="415"/>
      <c r="H490" s="210"/>
      <c r="I490" s="423"/>
      <c r="J490" s="156"/>
      <c r="K490" s="423"/>
      <c r="L490" s="156"/>
      <c r="M490" s="423"/>
      <c r="N490" s="156"/>
      <c r="O490" s="415"/>
      <c r="P490" s="210"/>
      <c r="Q490" s="424"/>
      <c r="R490" s="83"/>
      <c r="S490" s="209"/>
      <c r="T490" s="210"/>
      <c r="U490" s="209"/>
      <c r="V490" s="210"/>
      <c r="W490" s="210"/>
      <c r="X490" s="210"/>
      <c r="Y490" s="210"/>
      <c r="Z490" s="210"/>
    </row>
    <row r="491">
      <c r="A491" s="415"/>
      <c r="B491" s="210"/>
      <c r="C491" s="415"/>
      <c r="D491" s="156"/>
      <c r="E491" s="415"/>
      <c r="F491" s="210"/>
      <c r="G491" s="415"/>
      <c r="H491" s="210"/>
      <c r="I491" s="423"/>
      <c r="J491" s="156"/>
      <c r="K491" s="423"/>
      <c r="L491" s="156"/>
      <c r="M491" s="423"/>
      <c r="N491" s="156"/>
      <c r="O491" s="415"/>
      <c r="P491" s="210"/>
      <c r="Q491" s="424"/>
      <c r="R491" s="83"/>
      <c r="S491" s="209"/>
      <c r="T491" s="210"/>
      <c r="U491" s="209"/>
      <c r="V491" s="210"/>
      <c r="W491" s="210"/>
      <c r="X491" s="210"/>
      <c r="Y491" s="210"/>
      <c r="Z491" s="210"/>
    </row>
    <row r="492">
      <c r="A492" s="415"/>
      <c r="B492" s="210"/>
      <c r="C492" s="415"/>
      <c r="D492" s="156"/>
      <c r="E492" s="415"/>
      <c r="F492" s="210"/>
      <c r="G492" s="415"/>
      <c r="H492" s="210"/>
      <c r="I492" s="423"/>
      <c r="J492" s="156"/>
      <c r="K492" s="423"/>
      <c r="L492" s="156"/>
      <c r="M492" s="423"/>
      <c r="N492" s="156"/>
      <c r="O492" s="415"/>
      <c r="P492" s="210"/>
      <c r="Q492" s="424"/>
      <c r="R492" s="83"/>
      <c r="S492" s="209"/>
      <c r="T492" s="210"/>
      <c r="U492" s="209"/>
      <c r="V492" s="210"/>
      <c r="W492" s="210"/>
      <c r="X492" s="210"/>
      <c r="Y492" s="210"/>
      <c r="Z492" s="210"/>
    </row>
    <row r="493">
      <c r="A493" s="415"/>
      <c r="B493" s="210"/>
      <c r="C493" s="415"/>
      <c r="D493" s="156"/>
      <c r="E493" s="415"/>
      <c r="F493" s="210"/>
      <c r="G493" s="415"/>
      <c r="H493" s="210"/>
      <c r="I493" s="423"/>
      <c r="J493" s="156"/>
      <c r="K493" s="423"/>
      <c r="L493" s="156"/>
      <c r="M493" s="423"/>
      <c r="N493" s="156"/>
      <c r="O493" s="415"/>
      <c r="P493" s="210"/>
      <c r="Q493" s="424"/>
      <c r="R493" s="83"/>
      <c r="S493" s="209"/>
      <c r="T493" s="210"/>
      <c r="U493" s="209"/>
      <c r="V493" s="210"/>
      <c r="W493" s="210"/>
      <c r="X493" s="210"/>
      <c r="Y493" s="210"/>
      <c r="Z493" s="210"/>
    </row>
    <row r="494">
      <c r="A494" s="415"/>
      <c r="B494" s="210"/>
      <c r="C494" s="415"/>
      <c r="D494" s="156"/>
      <c r="E494" s="415"/>
      <c r="F494" s="210"/>
      <c r="G494" s="415"/>
      <c r="H494" s="210"/>
      <c r="I494" s="423"/>
      <c r="J494" s="156"/>
      <c r="K494" s="423"/>
      <c r="L494" s="156"/>
      <c r="M494" s="423"/>
      <c r="N494" s="156"/>
      <c r="O494" s="415"/>
      <c r="P494" s="210"/>
      <c r="Q494" s="424"/>
      <c r="R494" s="83"/>
      <c r="S494" s="209"/>
      <c r="T494" s="210"/>
      <c r="U494" s="209"/>
      <c r="V494" s="210"/>
      <c r="W494" s="210"/>
      <c r="X494" s="210"/>
      <c r="Y494" s="210"/>
      <c r="Z494" s="210"/>
    </row>
    <row r="495">
      <c r="A495" s="415"/>
      <c r="B495" s="210"/>
      <c r="C495" s="415"/>
      <c r="D495" s="156"/>
      <c r="E495" s="415"/>
      <c r="F495" s="210"/>
      <c r="G495" s="415"/>
      <c r="H495" s="210"/>
      <c r="I495" s="423"/>
      <c r="J495" s="156"/>
      <c r="K495" s="423"/>
      <c r="L495" s="156"/>
      <c r="M495" s="423"/>
      <c r="N495" s="156"/>
      <c r="O495" s="415"/>
      <c r="P495" s="210"/>
      <c r="Q495" s="424"/>
      <c r="R495" s="83"/>
      <c r="S495" s="209"/>
      <c r="T495" s="210"/>
      <c r="U495" s="209"/>
      <c r="V495" s="210"/>
      <c r="W495" s="210"/>
      <c r="X495" s="210"/>
      <c r="Y495" s="210"/>
      <c r="Z495" s="210"/>
    </row>
    <row r="496">
      <c r="A496" s="415"/>
      <c r="B496" s="210"/>
      <c r="C496" s="415"/>
      <c r="D496" s="156"/>
      <c r="E496" s="415"/>
      <c r="F496" s="210"/>
      <c r="G496" s="415"/>
      <c r="H496" s="210"/>
      <c r="I496" s="423"/>
      <c r="J496" s="156"/>
      <c r="K496" s="423"/>
      <c r="L496" s="156"/>
      <c r="M496" s="423"/>
      <c r="N496" s="156"/>
      <c r="O496" s="415"/>
      <c r="P496" s="210"/>
      <c r="Q496" s="424"/>
      <c r="R496" s="83"/>
      <c r="S496" s="209"/>
      <c r="T496" s="210"/>
      <c r="U496" s="209"/>
      <c r="V496" s="210"/>
      <c r="W496" s="210"/>
      <c r="X496" s="210"/>
      <c r="Y496" s="210"/>
      <c r="Z496" s="210"/>
    </row>
    <row r="497">
      <c r="A497" s="415"/>
      <c r="B497" s="210"/>
      <c r="C497" s="415"/>
      <c r="D497" s="156"/>
      <c r="E497" s="415"/>
      <c r="F497" s="210"/>
      <c r="G497" s="415"/>
      <c r="H497" s="210"/>
      <c r="I497" s="423"/>
      <c r="J497" s="156"/>
      <c r="K497" s="423"/>
      <c r="L497" s="156"/>
      <c r="M497" s="423"/>
      <c r="N497" s="156"/>
      <c r="O497" s="415"/>
      <c r="P497" s="210"/>
      <c r="Q497" s="424"/>
      <c r="R497" s="83"/>
      <c r="S497" s="209"/>
      <c r="T497" s="210"/>
      <c r="U497" s="209"/>
      <c r="V497" s="210"/>
      <c r="W497" s="210"/>
      <c r="X497" s="210"/>
      <c r="Y497" s="210"/>
      <c r="Z497" s="210"/>
    </row>
    <row r="498">
      <c r="A498" s="415"/>
      <c r="B498" s="210"/>
      <c r="C498" s="415"/>
      <c r="D498" s="156"/>
      <c r="E498" s="415"/>
      <c r="F498" s="210"/>
      <c r="G498" s="415"/>
      <c r="H498" s="210"/>
      <c r="I498" s="423"/>
      <c r="J498" s="156"/>
      <c r="K498" s="423"/>
      <c r="L498" s="156"/>
      <c r="M498" s="423"/>
      <c r="N498" s="156"/>
      <c r="O498" s="415"/>
      <c r="P498" s="210"/>
      <c r="Q498" s="424"/>
      <c r="R498" s="83"/>
      <c r="S498" s="209"/>
      <c r="T498" s="210"/>
      <c r="U498" s="209"/>
      <c r="V498" s="210"/>
      <c r="W498" s="210"/>
      <c r="X498" s="210"/>
      <c r="Y498" s="210"/>
      <c r="Z498" s="210"/>
    </row>
    <row r="499">
      <c r="A499" s="415"/>
      <c r="B499" s="210"/>
      <c r="C499" s="415"/>
      <c r="D499" s="156"/>
      <c r="E499" s="415"/>
      <c r="F499" s="210"/>
      <c r="G499" s="415"/>
      <c r="H499" s="210"/>
      <c r="I499" s="423"/>
      <c r="J499" s="156"/>
      <c r="K499" s="423"/>
      <c r="L499" s="156"/>
      <c r="M499" s="423"/>
      <c r="N499" s="156"/>
      <c r="O499" s="415"/>
      <c r="P499" s="210"/>
      <c r="Q499" s="424"/>
      <c r="R499" s="83"/>
      <c r="S499" s="209"/>
      <c r="T499" s="210"/>
      <c r="U499" s="209"/>
      <c r="V499" s="210"/>
      <c r="W499" s="210"/>
      <c r="X499" s="210"/>
      <c r="Y499" s="210"/>
      <c r="Z499" s="210"/>
    </row>
    <row r="500">
      <c r="A500" s="415"/>
      <c r="B500" s="210"/>
      <c r="C500" s="415"/>
      <c r="D500" s="156"/>
      <c r="E500" s="415"/>
      <c r="F500" s="210"/>
      <c r="G500" s="415"/>
      <c r="H500" s="210"/>
      <c r="I500" s="423"/>
      <c r="J500" s="156"/>
      <c r="K500" s="423"/>
      <c r="L500" s="156"/>
      <c r="M500" s="423"/>
      <c r="N500" s="156"/>
      <c r="O500" s="415"/>
      <c r="P500" s="210"/>
      <c r="Q500" s="424"/>
      <c r="R500" s="83"/>
      <c r="S500" s="209"/>
      <c r="T500" s="210"/>
      <c r="U500" s="209"/>
      <c r="V500" s="210"/>
      <c r="W500" s="210"/>
      <c r="X500" s="210"/>
      <c r="Y500" s="210"/>
      <c r="Z500" s="210"/>
    </row>
    <row r="501">
      <c r="A501" s="415"/>
      <c r="B501" s="210"/>
      <c r="C501" s="415"/>
      <c r="D501" s="156"/>
      <c r="E501" s="415"/>
      <c r="F501" s="210"/>
      <c r="G501" s="415"/>
      <c r="H501" s="210"/>
      <c r="I501" s="423"/>
      <c r="J501" s="156"/>
      <c r="K501" s="423"/>
      <c r="L501" s="156"/>
      <c r="M501" s="423"/>
      <c r="N501" s="156"/>
      <c r="O501" s="415"/>
      <c r="P501" s="210"/>
      <c r="Q501" s="424"/>
      <c r="R501" s="83"/>
      <c r="S501" s="209"/>
      <c r="T501" s="210"/>
      <c r="U501" s="209"/>
      <c r="V501" s="210"/>
      <c r="W501" s="210"/>
      <c r="X501" s="210"/>
      <c r="Y501" s="210"/>
      <c r="Z501" s="210"/>
    </row>
    <row r="502">
      <c r="A502" s="415"/>
      <c r="B502" s="210"/>
      <c r="C502" s="415"/>
      <c r="D502" s="156"/>
      <c r="E502" s="415"/>
      <c r="F502" s="210"/>
      <c r="G502" s="415"/>
      <c r="H502" s="210"/>
      <c r="I502" s="423"/>
      <c r="J502" s="156"/>
      <c r="K502" s="423"/>
      <c r="L502" s="156"/>
      <c r="M502" s="423"/>
      <c r="N502" s="156"/>
      <c r="O502" s="415"/>
      <c r="P502" s="210"/>
      <c r="Q502" s="424"/>
      <c r="R502" s="83"/>
      <c r="S502" s="209"/>
      <c r="T502" s="210"/>
      <c r="U502" s="209"/>
      <c r="V502" s="210"/>
      <c r="W502" s="210"/>
      <c r="X502" s="210"/>
      <c r="Y502" s="210"/>
      <c r="Z502" s="210"/>
    </row>
    <row r="503">
      <c r="A503" s="415"/>
      <c r="B503" s="210"/>
      <c r="C503" s="415"/>
      <c r="D503" s="156"/>
      <c r="E503" s="415"/>
      <c r="F503" s="210"/>
      <c r="G503" s="415"/>
      <c r="H503" s="210"/>
      <c r="I503" s="423"/>
      <c r="J503" s="156"/>
      <c r="K503" s="423"/>
      <c r="L503" s="156"/>
      <c r="M503" s="423"/>
      <c r="N503" s="156"/>
      <c r="O503" s="415"/>
      <c r="P503" s="210"/>
      <c r="Q503" s="424"/>
      <c r="R503" s="83"/>
      <c r="S503" s="209"/>
      <c r="T503" s="210"/>
      <c r="U503" s="209"/>
      <c r="V503" s="210"/>
      <c r="W503" s="210"/>
      <c r="X503" s="210"/>
      <c r="Y503" s="210"/>
      <c r="Z503" s="210"/>
    </row>
    <row r="504">
      <c r="A504" s="415"/>
      <c r="B504" s="210"/>
      <c r="C504" s="415"/>
      <c r="D504" s="156"/>
      <c r="E504" s="415"/>
      <c r="F504" s="210"/>
      <c r="G504" s="415"/>
      <c r="H504" s="210"/>
      <c r="I504" s="423"/>
      <c r="J504" s="156"/>
      <c r="K504" s="423"/>
      <c r="L504" s="156"/>
      <c r="M504" s="423"/>
      <c r="N504" s="156"/>
      <c r="O504" s="415"/>
      <c r="P504" s="210"/>
      <c r="Q504" s="424"/>
      <c r="R504" s="83"/>
      <c r="S504" s="209"/>
      <c r="T504" s="210"/>
      <c r="U504" s="209"/>
      <c r="V504" s="210"/>
      <c r="W504" s="210"/>
      <c r="X504" s="210"/>
      <c r="Y504" s="210"/>
      <c r="Z504" s="210"/>
    </row>
    <row r="505">
      <c r="A505" s="415"/>
      <c r="B505" s="210"/>
      <c r="C505" s="415"/>
      <c r="D505" s="156"/>
      <c r="E505" s="415"/>
      <c r="F505" s="210"/>
      <c r="G505" s="415"/>
      <c r="H505" s="210"/>
      <c r="I505" s="423"/>
      <c r="J505" s="156"/>
      <c r="K505" s="423"/>
      <c r="L505" s="156"/>
      <c r="M505" s="423"/>
      <c r="N505" s="156"/>
      <c r="O505" s="415"/>
      <c r="P505" s="210"/>
      <c r="Q505" s="424"/>
      <c r="R505" s="83"/>
      <c r="S505" s="209"/>
      <c r="T505" s="210"/>
      <c r="U505" s="209"/>
      <c r="V505" s="210"/>
      <c r="W505" s="210"/>
      <c r="X505" s="210"/>
      <c r="Y505" s="210"/>
      <c r="Z505" s="210"/>
    </row>
    <row r="506">
      <c r="A506" s="415"/>
      <c r="B506" s="210"/>
      <c r="C506" s="415"/>
      <c r="D506" s="156"/>
      <c r="E506" s="415"/>
      <c r="F506" s="210"/>
      <c r="G506" s="415"/>
      <c r="H506" s="210"/>
      <c r="I506" s="423"/>
      <c r="J506" s="156"/>
      <c r="K506" s="423"/>
      <c r="L506" s="156"/>
      <c r="M506" s="423"/>
      <c r="N506" s="156"/>
      <c r="O506" s="415"/>
      <c r="P506" s="210"/>
      <c r="Q506" s="424"/>
      <c r="R506" s="83"/>
      <c r="S506" s="209"/>
      <c r="T506" s="210"/>
      <c r="U506" s="209"/>
      <c r="V506" s="210"/>
      <c r="W506" s="210"/>
      <c r="X506" s="210"/>
      <c r="Y506" s="210"/>
      <c r="Z506" s="210"/>
    </row>
    <row r="507">
      <c r="A507" s="415"/>
      <c r="B507" s="210"/>
      <c r="C507" s="415"/>
      <c r="D507" s="156"/>
      <c r="E507" s="415"/>
      <c r="F507" s="210"/>
      <c r="G507" s="415"/>
      <c r="H507" s="210"/>
      <c r="I507" s="423"/>
      <c r="J507" s="156"/>
      <c r="K507" s="423"/>
      <c r="L507" s="156"/>
      <c r="M507" s="423"/>
      <c r="N507" s="156"/>
      <c r="O507" s="415"/>
      <c r="P507" s="210"/>
      <c r="Q507" s="424"/>
      <c r="R507" s="83"/>
      <c r="S507" s="209"/>
      <c r="T507" s="210"/>
      <c r="U507" s="209"/>
      <c r="V507" s="210"/>
      <c r="W507" s="210"/>
      <c r="X507" s="210"/>
      <c r="Y507" s="210"/>
      <c r="Z507" s="210"/>
    </row>
    <row r="508">
      <c r="A508" s="415"/>
      <c r="B508" s="210"/>
      <c r="C508" s="415"/>
      <c r="D508" s="156"/>
      <c r="E508" s="415"/>
      <c r="F508" s="210"/>
      <c r="G508" s="415"/>
      <c r="H508" s="210"/>
      <c r="I508" s="423"/>
      <c r="J508" s="156"/>
      <c r="K508" s="423"/>
      <c r="L508" s="156"/>
      <c r="M508" s="423"/>
      <c r="N508" s="156"/>
      <c r="O508" s="415"/>
      <c r="P508" s="210"/>
      <c r="Q508" s="424"/>
      <c r="R508" s="83"/>
      <c r="S508" s="209"/>
      <c r="T508" s="210"/>
      <c r="U508" s="209"/>
      <c r="V508" s="210"/>
      <c r="W508" s="210"/>
      <c r="X508" s="210"/>
      <c r="Y508" s="210"/>
      <c r="Z508" s="210"/>
    </row>
    <row r="509">
      <c r="A509" s="415"/>
      <c r="B509" s="210"/>
      <c r="C509" s="415"/>
      <c r="D509" s="156"/>
      <c r="E509" s="415"/>
      <c r="F509" s="210"/>
      <c r="G509" s="415"/>
      <c r="H509" s="210"/>
      <c r="I509" s="423"/>
      <c r="J509" s="156"/>
      <c r="K509" s="423"/>
      <c r="L509" s="156"/>
      <c r="M509" s="423"/>
      <c r="N509" s="156"/>
      <c r="O509" s="415"/>
      <c r="P509" s="210"/>
      <c r="Q509" s="424"/>
      <c r="R509" s="83"/>
      <c r="S509" s="209"/>
      <c r="T509" s="210"/>
      <c r="U509" s="209"/>
      <c r="V509" s="210"/>
      <c r="W509" s="210"/>
      <c r="X509" s="210"/>
      <c r="Y509" s="210"/>
      <c r="Z509" s="210"/>
    </row>
    <row r="510">
      <c r="A510" s="415"/>
      <c r="B510" s="210"/>
      <c r="C510" s="415"/>
      <c r="D510" s="156"/>
      <c r="E510" s="415"/>
      <c r="F510" s="210"/>
      <c r="G510" s="415"/>
      <c r="H510" s="210"/>
      <c r="I510" s="423"/>
      <c r="J510" s="156"/>
      <c r="K510" s="423"/>
      <c r="L510" s="156"/>
      <c r="M510" s="423"/>
      <c r="N510" s="156"/>
      <c r="O510" s="415"/>
      <c r="P510" s="210"/>
      <c r="Q510" s="424"/>
      <c r="R510" s="83"/>
      <c r="S510" s="209"/>
      <c r="T510" s="210"/>
      <c r="U510" s="209"/>
      <c r="V510" s="210"/>
      <c r="W510" s="210"/>
      <c r="X510" s="210"/>
      <c r="Y510" s="210"/>
      <c r="Z510" s="210"/>
    </row>
    <row r="511">
      <c r="A511" s="415"/>
      <c r="B511" s="210"/>
      <c r="C511" s="415"/>
      <c r="D511" s="156"/>
      <c r="E511" s="415"/>
      <c r="F511" s="210"/>
      <c r="G511" s="415"/>
      <c r="H511" s="210"/>
      <c r="I511" s="423"/>
      <c r="J511" s="156"/>
      <c r="K511" s="423"/>
      <c r="L511" s="156"/>
      <c r="M511" s="423"/>
      <c r="N511" s="156"/>
      <c r="O511" s="415"/>
      <c r="P511" s="210"/>
      <c r="Q511" s="424"/>
      <c r="R511" s="83"/>
      <c r="S511" s="209"/>
      <c r="T511" s="210"/>
      <c r="U511" s="209"/>
      <c r="V511" s="210"/>
      <c r="W511" s="210"/>
      <c r="X511" s="210"/>
      <c r="Y511" s="210"/>
      <c r="Z511" s="210"/>
    </row>
    <row r="512">
      <c r="A512" s="415"/>
      <c r="B512" s="210"/>
      <c r="C512" s="415"/>
      <c r="D512" s="156"/>
      <c r="E512" s="415"/>
      <c r="F512" s="210"/>
      <c r="G512" s="415"/>
      <c r="H512" s="210"/>
      <c r="I512" s="423"/>
      <c r="J512" s="156"/>
      <c r="K512" s="423"/>
      <c r="L512" s="156"/>
      <c r="M512" s="423"/>
      <c r="N512" s="156"/>
      <c r="O512" s="415"/>
      <c r="P512" s="210"/>
      <c r="Q512" s="424"/>
      <c r="R512" s="83"/>
      <c r="S512" s="209"/>
      <c r="T512" s="210"/>
      <c r="U512" s="209"/>
      <c r="V512" s="210"/>
      <c r="W512" s="210"/>
      <c r="X512" s="210"/>
      <c r="Y512" s="210"/>
      <c r="Z512" s="210"/>
    </row>
    <row r="513">
      <c r="A513" s="415"/>
      <c r="B513" s="210"/>
      <c r="C513" s="415"/>
      <c r="D513" s="156"/>
      <c r="E513" s="415"/>
      <c r="F513" s="210"/>
      <c r="G513" s="415"/>
      <c r="H513" s="210"/>
      <c r="I513" s="423"/>
      <c r="J513" s="156"/>
      <c r="K513" s="423"/>
      <c r="L513" s="156"/>
      <c r="M513" s="423"/>
      <c r="N513" s="156"/>
      <c r="O513" s="415"/>
      <c r="P513" s="210"/>
      <c r="Q513" s="424"/>
      <c r="R513" s="83"/>
      <c r="S513" s="209"/>
      <c r="T513" s="210"/>
      <c r="U513" s="209"/>
      <c r="V513" s="210"/>
      <c r="W513" s="210"/>
      <c r="X513" s="210"/>
      <c r="Y513" s="210"/>
      <c r="Z513" s="210"/>
    </row>
    <row r="514">
      <c r="A514" s="415"/>
      <c r="B514" s="210"/>
      <c r="C514" s="415"/>
      <c r="D514" s="156"/>
      <c r="E514" s="415"/>
      <c r="F514" s="210"/>
      <c r="G514" s="415"/>
      <c r="H514" s="210"/>
      <c r="I514" s="423"/>
      <c r="J514" s="156"/>
      <c r="K514" s="423"/>
      <c r="L514" s="156"/>
      <c r="M514" s="423"/>
      <c r="N514" s="156"/>
      <c r="O514" s="415"/>
      <c r="P514" s="210"/>
      <c r="Q514" s="424"/>
      <c r="R514" s="83"/>
      <c r="S514" s="209"/>
      <c r="T514" s="210"/>
      <c r="U514" s="209"/>
      <c r="V514" s="210"/>
      <c r="W514" s="210"/>
      <c r="X514" s="210"/>
      <c r="Y514" s="210"/>
      <c r="Z514" s="210"/>
    </row>
    <row r="515">
      <c r="A515" s="415"/>
      <c r="B515" s="210"/>
      <c r="C515" s="415"/>
      <c r="D515" s="156"/>
      <c r="E515" s="415"/>
      <c r="F515" s="210"/>
      <c r="G515" s="415"/>
      <c r="H515" s="210"/>
      <c r="I515" s="423"/>
      <c r="J515" s="156"/>
      <c r="K515" s="423"/>
      <c r="L515" s="156"/>
      <c r="M515" s="423"/>
      <c r="N515" s="156"/>
      <c r="O515" s="415"/>
      <c r="P515" s="210"/>
      <c r="Q515" s="424"/>
      <c r="R515" s="83"/>
      <c r="S515" s="209"/>
      <c r="T515" s="210"/>
      <c r="U515" s="209"/>
      <c r="V515" s="210"/>
      <c r="W515" s="210"/>
      <c r="X515" s="210"/>
      <c r="Y515" s="210"/>
      <c r="Z515" s="210"/>
    </row>
    <row r="516">
      <c r="A516" s="415"/>
      <c r="B516" s="210"/>
      <c r="C516" s="415"/>
      <c r="D516" s="156"/>
      <c r="E516" s="415"/>
      <c r="F516" s="210"/>
      <c r="G516" s="415"/>
      <c r="H516" s="210"/>
      <c r="I516" s="423"/>
      <c r="J516" s="156"/>
      <c r="K516" s="423"/>
      <c r="L516" s="156"/>
      <c r="M516" s="423"/>
      <c r="N516" s="156"/>
      <c r="O516" s="415"/>
      <c r="P516" s="210"/>
      <c r="Q516" s="424"/>
      <c r="R516" s="83"/>
      <c r="S516" s="209"/>
      <c r="T516" s="210"/>
      <c r="U516" s="209"/>
      <c r="V516" s="210"/>
      <c r="W516" s="210"/>
      <c r="X516" s="210"/>
      <c r="Y516" s="210"/>
      <c r="Z516" s="210"/>
    </row>
    <row r="517">
      <c r="A517" s="415"/>
      <c r="B517" s="210"/>
      <c r="C517" s="415"/>
      <c r="D517" s="156"/>
      <c r="E517" s="415"/>
      <c r="F517" s="210"/>
      <c r="G517" s="415"/>
      <c r="H517" s="210"/>
      <c r="I517" s="423"/>
      <c r="J517" s="156"/>
      <c r="K517" s="423"/>
      <c r="L517" s="156"/>
      <c r="M517" s="423"/>
      <c r="N517" s="156"/>
      <c r="O517" s="415"/>
      <c r="P517" s="210"/>
      <c r="Q517" s="424"/>
      <c r="R517" s="83"/>
      <c r="S517" s="209"/>
      <c r="T517" s="210"/>
      <c r="U517" s="209"/>
      <c r="V517" s="210"/>
      <c r="W517" s="210"/>
      <c r="X517" s="210"/>
      <c r="Y517" s="210"/>
      <c r="Z517" s="210"/>
    </row>
    <row r="518">
      <c r="A518" s="415"/>
      <c r="B518" s="210"/>
      <c r="C518" s="415"/>
      <c r="D518" s="156"/>
      <c r="E518" s="415"/>
      <c r="F518" s="210"/>
      <c r="G518" s="415"/>
      <c r="H518" s="210"/>
      <c r="I518" s="423"/>
      <c r="J518" s="156"/>
      <c r="K518" s="423"/>
      <c r="L518" s="156"/>
      <c r="M518" s="423"/>
      <c r="N518" s="156"/>
      <c r="O518" s="415"/>
      <c r="P518" s="210"/>
      <c r="Q518" s="424"/>
      <c r="R518" s="83"/>
      <c r="S518" s="209"/>
      <c r="T518" s="210"/>
      <c r="U518" s="209"/>
      <c r="V518" s="210"/>
      <c r="W518" s="210"/>
      <c r="X518" s="210"/>
      <c r="Y518" s="210"/>
      <c r="Z518" s="210"/>
    </row>
    <row r="519">
      <c r="A519" s="415"/>
      <c r="B519" s="210"/>
      <c r="C519" s="415"/>
      <c r="D519" s="156"/>
      <c r="E519" s="415"/>
      <c r="F519" s="210"/>
      <c r="G519" s="415"/>
      <c r="H519" s="210"/>
      <c r="I519" s="423"/>
      <c r="J519" s="156"/>
      <c r="K519" s="423"/>
      <c r="L519" s="156"/>
      <c r="M519" s="423"/>
      <c r="N519" s="156"/>
      <c r="O519" s="415"/>
      <c r="P519" s="210"/>
      <c r="Q519" s="424"/>
      <c r="R519" s="83"/>
      <c r="S519" s="209"/>
      <c r="T519" s="210"/>
      <c r="U519" s="209"/>
      <c r="V519" s="210"/>
      <c r="W519" s="210"/>
      <c r="X519" s="210"/>
      <c r="Y519" s="210"/>
      <c r="Z519" s="210"/>
    </row>
    <row r="520">
      <c r="A520" s="415"/>
      <c r="B520" s="210"/>
      <c r="C520" s="415"/>
      <c r="D520" s="156"/>
      <c r="E520" s="415"/>
      <c r="F520" s="210"/>
      <c r="G520" s="415"/>
      <c r="H520" s="210"/>
      <c r="I520" s="423"/>
      <c r="J520" s="156"/>
      <c r="K520" s="423"/>
      <c r="L520" s="156"/>
      <c r="M520" s="423"/>
      <c r="N520" s="156"/>
      <c r="O520" s="415"/>
      <c r="P520" s="210"/>
      <c r="Q520" s="424"/>
      <c r="R520" s="83"/>
      <c r="S520" s="209"/>
      <c r="T520" s="210"/>
      <c r="U520" s="209"/>
      <c r="V520" s="210"/>
      <c r="W520" s="210"/>
      <c r="X520" s="210"/>
      <c r="Y520" s="210"/>
      <c r="Z520" s="210"/>
    </row>
    <row r="521">
      <c r="A521" s="415"/>
      <c r="B521" s="210"/>
      <c r="C521" s="415"/>
      <c r="D521" s="156"/>
      <c r="E521" s="415"/>
      <c r="F521" s="210"/>
      <c r="G521" s="415"/>
      <c r="H521" s="210"/>
      <c r="I521" s="423"/>
      <c r="J521" s="156"/>
      <c r="K521" s="423"/>
      <c r="L521" s="156"/>
      <c r="M521" s="423"/>
      <c r="N521" s="156"/>
      <c r="O521" s="415"/>
      <c r="P521" s="210"/>
      <c r="Q521" s="424"/>
      <c r="R521" s="83"/>
      <c r="S521" s="209"/>
      <c r="T521" s="210"/>
      <c r="U521" s="209"/>
      <c r="V521" s="210"/>
      <c r="W521" s="210"/>
      <c r="X521" s="210"/>
      <c r="Y521" s="210"/>
      <c r="Z521" s="210"/>
    </row>
    <row r="522">
      <c r="A522" s="415"/>
      <c r="B522" s="210"/>
      <c r="C522" s="415"/>
      <c r="D522" s="156"/>
      <c r="E522" s="415"/>
      <c r="F522" s="210"/>
      <c r="G522" s="415"/>
      <c r="H522" s="210"/>
      <c r="I522" s="423"/>
      <c r="J522" s="156"/>
      <c r="K522" s="423"/>
      <c r="L522" s="156"/>
      <c r="M522" s="423"/>
      <c r="N522" s="156"/>
      <c r="O522" s="415"/>
      <c r="P522" s="210"/>
      <c r="Q522" s="424"/>
      <c r="R522" s="83"/>
      <c r="S522" s="209"/>
      <c r="T522" s="210"/>
      <c r="U522" s="209"/>
      <c r="V522" s="210"/>
      <c r="W522" s="210"/>
      <c r="X522" s="210"/>
      <c r="Y522" s="210"/>
      <c r="Z522" s="210"/>
    </row>
    <row r="523">
      <c r="A523" s="415"/>
      <c r="B523" s="210"/>
      <c r="C523" s="415"/>
      <c r="D523" s="156"/>
      <c r="E523" s="415"/>
      <c r="F523" s="210"/>
      <c r="G523" s="415"/>
      <c r="H523" s="210"/>
      <c r="I523" s="423"/>
      <c r="J523" s="156"/>
      <c r="K523" s="423"/>
      <c r="L523" s="156"/>
      <c r="M523" s="423"/>
      <c r="N523" s="156"/>
      <c r="O523" s="415"/>
      <c r="P523" s="210"/>
      <c r="Q523" s="424"/>
      <c r="R523" s="83"/>
      <c r="S523" s="209"/>
      <c r="T523" s="210"/>
      <c r="U523" s="209"/>
      <c r="V523" s="210"/>
      <c r="W523" s="210"/>
      <c r="X523" s="210"/>
      <c r="Y523" s="210"/>
      <c r="Z523" s="210"/>
    </row>
    <row r="524">
      <c r="A524" s="415"/>
      <c r="B524" s="210"/>
      <c r="C524" s="415"/>
      <c r="D524" s="156"/>
      <c r="E524" s="415"/>
      <c r="F524" s="210"/>
      <c r="G524" s="415"/>
      <c r="H524" s="210"/>
      <c r="I524" s="423"/>
      <c r="J524" s="156"/>
      <c r="K524" s="423"/>
      <c r="L524" s="156"/>
      <c r="M524" s="423"/>
      <c r="N524" s="156"/>
      <c r="O524" s="415"/>
      <c r="P524" s="210"/>
      <c r="Q524" s="424"/>
      <c r="R524" s="83"/>
      <c r="S524" s="209"/>
      <c r="T524" s="210"/>
      <c r="U524" s="209"/>
      <c r="V524" s="210"/>
      <c r="W524" s="210"/>
      <c r="X524" s="210"/>
      <c r="Y524" s="210"/>
      <c r="Z524" s="210"/>
    </row>
    <row r="525">
      <c r="A525" s="415"/>
      <c r="B525" s="210"/>
      <c r="C525" s="415"/>
      <c r="D525" s="156"/>
      <c r="E525" s="415"/>
      <c r="F525" s="210"/>
      <c r="G525" s="415"/>
      <c r="H525" s="210"/>
      <c r="I525" s="423"/>
      <c r="J525" s="156"/>
      <c r="K525" s="423"/>
      <c r="L525" s="156"/>
      <c r="M525" s="423"/>
      <c r="N525" s="156"/>
      <c r="O525" s="415"/>
      <c r="P525" s="210"/>
      <c r="Q525" s="424"/>
      <c r="R525" s="83"/>
      <c r="S525" s="209"/>
      <c r="T525" s="210"/>
      <c r="U525" s="209"/>
      <c r="V525" s="210"/>
      <c r="W525" s="210"/>
      <c r="X525" s="210"/>
      <c r="Y525" s="210"/>
      <c r="Z525" s="210"/>
    </row>
    <row r="526">
      <c r="A526" s="415"/>
      <c r="B526" s="210"/>
      <c r="C526" s="415"/>
      <c r="D526" s="156"/>
      <c r="E526" s="415"/>
      <c r="F526" s="210"/>
      <c r="G526" s="415"/>
      <c r="H526" s="210"/>
      <c r="I526" s="423"/>
      <c r="J526" s="156"/>
      <c r="K526" s="423"/>
      <c r="L526" s="156"/>
      <c r="M526" s="423"/>
      <c r="N526" s="156"/>
      <c r="O526" s="415"/>
      <c r="P526" s="210"/>
      <c r="Q526" s="424"/>
      <c r="R526" s="83"/>
      <c r="S526" s="209"/>
      <c r="T526" s="210"/>
      <c r="U526" s="209"/>
      <c r="V526" s="210"/>
      <c r="W526" s="210"/>
      <c r="X526" s="210"/>
      <c r="Y526" s="210"/>
      <c r="Z526" s="210"/>
    </row>
    <row r="527">
      <c r="A527" s="415"/>
      <c r="B527" s="210"/>
      <c r="C527" s="415"/>
      <c r="D527" s="156"/>
      <c r="E527" s="415"/>
      <c r="F527" s="210"/>
      <c r="G527" s="415"/>
      <c r="H527" s="210"/>
      <c r="I527" s="423"/>
      <c r="J527" s="156"/>
      <c r="K527" s="423"/>
      <c r="L527" s="156"/>
      <c r="M527" s="423"/>
      <c r="N527" s="156"/>
      <c r="O527" s="415"/>
      <c r="P527" s="210"/>
      <c r="Q527" s="424"/>
      <c r="R527" s="83"/>
      <c r="S527" s="209"/>
      <c r="T527" s="210"/>
      <c r="U527" s="209"/>
      <c r="V527" s="210"/>
      <c r="W527" s="210"/>
      <c r="X527" s="210"/>
      <c r="Y527" s="210"/>
      <c r="Z527" s="210"/>
    </row>
    <row r="528">
      <c r="A528" s="415"/>
      <c r="B528" s="210"/>
      <c r="C528" s="415"/>
      <c r="D528" s="156"/>
      <c r="E528" s="415"/>
      <c r="F528" s="210"/>
      <c r="G528" s="415"/>
      <c r="H528" s="210"/>
      <c r="I528" s="423"/>
      <c r="J528" s="156"/>
      <c r="K528" s="423"/>
      <c r="L528" s="156"/>
      <c r="M528" s="423"/>
      <c r="N528" s="156"/>
      <c r="O528" s="415"/>
      <c r="P528" s="210"/>
      <c r="Q528" s="424"/>
      <c r="R528" s="83"/>
      <c r="S528" s="209"/>
      <c r="T528" s="210"/>
      <c r="U528" s="209"/>
      <c r="V528" s="210"/>
      <c r="W528" s="210"/>
      <c r="X528" s="210"/>
      <c r="Y528" s="210"/>
      <c r="Z528" s="210"/>
    </row>
    <row r="529">
      <c r="A529" s="415"/>
      <c r="B529" s="210"/>
      <c r="C529" s="415"/>
      <c r="D529" s="156"/>
      <c r="E529" s="415"/>
      <c r="F529" s="210"/>
      <c r="G529" s="415"/>
      <c r="H529" s="210"/>
      <c r="I529" s="423"/>
      <c r="J529" s="156"/>
      <c r="K529" s="423"/>
      <c r="L529" s="156"/>
      <c r="M529" s="423"/>
      <c r="N529" s="156"/>
      <c r="O529" s="415"/>
      <c r="P529" s="210"/>
      <c r="Q529" s="424"/>
      <c r="R529" s="83"/>
      <c r="S529" s="209"/>
      <c r="T529" s="210"/>
      <c r="U529" s="209"/>
      <c r="V529" s="210"/>
      <c r="W529" s="210"/>
      <c r="X529" s="210"/>
      <c r="Y529" s="210"/>
      <c r="Z529" s="210"/>
    </row>
    <row r="530">
      <c r="A530" s="415"/>
      <c r="B530" s="210"/>
      <c r="C530" s="415"/>
      <c r="D530" s="156"/>
      <c r="E530" s="415"/>
      <c r="F530" s="210"/>
      <c r="G530" s="415"/>
      <c r="H530" s="210"/>
      <c r="I530" s="423"/>
      <c r="J530" s="156"/>
      <c r="K530" s="423"/>
      <c r="L530" s="156"/>
      <c r="M530" s="423"/>
      <c r="N530" s="156"/>
      <c r="O530" s="415"/>
      <c r="P530" s="210"/>
      <c r="Q530" s="424"/>
      <c r="R530" s="83"/>
      <c r="S530" s="209"/>
      <c r="T530" s="210"/>
      <c r="U530" s="209"/>
      <c r="V530" s="210"/>
      <c r="W530" s="210"/>
      <c r="X530" s="210"/>
      <c r="Y530" s="210"/>
      <c r="Z530" s="210"/>
    </row>
    <row r="531">
      <c r="A531" s="415"/>
      <c r="B531" s="210"/>
      <c r="C531" s="415"/>
      <c r="D531" s="156"/>
      <c r="E531" s="415"/>
      <c r="F531" s="210"/>
      <c r="G531" s="415"/>
      <c r="H531" s="210"/>
      <c r="I531" s="423"/>
      <c r="J531" s="156"/>
      <c r="K531" s="423"/>
      <c r="L531" s="156"/>
      <c r="M531" s="423"/>
      <c r="N531" s="156"/>
      <c r="O531" s="415"/>
      <c r="P531" s="210"/>
      <c r="Q531" s="424"/>
      <c r="R531" s="83"/>
      <c r="S531" s="209"/>
      <c r="T531" s="210"/>
      <c r="U531" s="209"/>
      <c r="V531" s="210"/>
      <c r="W531" s="210"/>
      <c r="X531" s="210"/>
      <c r="Y531" s="210"/>
      <c r="Z531" s="210"/>
    </row>
    <row r="532">
      <c r="A532" s="415"/>
      <c r="B532" s="210"/>
      <c r="C532" s="415"/>
      <c r="D532" s="156"/>
      <c r="E532" s="415"/>
      <c r="F532" s="210"/>
      <c r="G532" s="415"/>
      <c r="H532" s="210"/>
      <c r="I532" s="423"/>
      <c r="J532" s="156"/>
      <c r="K532" s="423"/>
      <c r="L532" s="156"/>
      <c r="M532" s="423"/>
      <c r="N532" s="156"/>
      <c r="O532" s="415"/>
      <c r="P532" s="210"/>
      <c r="Q532" s="424"/>
      <c r="R532" s="83"/>
      <c r="S532" s="209"/>
      <c r="T532" s="210"/>
      <c r="U532" s="209"/>
      <c r="V532" s="210"/>
      <c r="W532" s="210"/>
      <c r="X532" s="210"/>
      <c r="Y532" s="210"/>
      <c r="Z532" s="210"/>
    </row>
    <row r="533">
      <c r="A533" s="415"/>
      <c r="B533" s="210"/>
      <c r="C533" s="415"/>
      <c r="D533" s="156"/>
      <c r="E533" s="415"/>
      <c r="F533" s="210"/>
      <c r="G533" s="415"/>
      <c r="H533" s="210"/>
      <c r="I533" s="423"/>
      <c r="J533" s="156"/>
      <c r="K533" s="423"/>
      <c r="L533" s="156"/>
      <c r="M533" s="423"/>
      <c r="N533" s="156"/>
      <c r="O533" s="415"/>
      <c r="P533" s="210"/>
      <c r="Q533" s="424"/>
      <c r="R533" s="83"/>
      <c r="S533" s="209"/>
      <c r="T533" s="210"/>
      <c r="U533" s="209"/>
      <c r="V533" s="210"/>
      <c r="W533" s="210"/>
      <c r="X533" s="210"/>
      <c r="Y533" s="210"/>
      <c r="Z533" s="210"/>
    </row>
    <row r="534">
      <c r="A534" s="415"/>
      <c r="B534" s="210"/>
      <c r="C534" s="415"/>
      <c r="D534" s="156"/>
      <c r="E534" s="415"/>
      <c r="F534" s="210"/>
      <c r="G534" s="415"/>
      <c r="H534" s="210"/>
      <c r="I534" s="423"/>
      <c r="J534" s="156"/>
      <c r="K534" s="423"/>
      <c r="L534" s="156"/>
      <c r="M534" s="423"/>
      <c r="N534" s="156"/>
      <c r="O534" s="415"/>
      <c r="P534" s="210"/>
      <c r="Q534" s="424"/>
      <c r="R534" s="83"/>
      <c r="S534" s="209"/>
      <c r="T534" s="210"/>
      <c r="U534" s="209"/>
      <c r="V534" s="210"/>
      <c r="W534" s="210"/>
      <c r="X534" s="210"/>
      <c r="Y534" s="210"/>
      <c r="Z534" s="210"/>
    </row>
    <row r="535">
      <c r="A535" s="415"/>
      <c r="B535" s="210"/>
      <c r="C535" s="415"/>
      <c r="D535" s="156"/>
      <c r="E535" s="415"/>
      <c r="F535" s="210"/>
      <c r="G535" s="415"/>
      <c r="H535" s="210"/>
      <c r="I535" s="423"/>
      <c r="J535" s="156"/>
      <c r="K535" s="423"/>
      <c r="L535" s="156"/>
      <c r="M535" s="423"/>
      <c r="N535" s="156"/>
      <c r="O535" s="415"/>
      <c r="P535" s="210"/>
      <c r="Q535" s="424"/>
      <c r="R535" s="83"/>
      <c r="S535" s="209"/>
      <c r="T535" s="210"/>
      <c r="U535" s="209"/>
      <c r="V535" s="210"/>
      <c r="W535" s="210"/>
      <c r="X535" s="210"/>
      <c r="Y535" s="210"/>
      <c r="Z535" s="210"/>
    </row>
    <row r="536">
      <c r="A536" s="415"/>
      <c r="B536" s="210"/>
      <c r="C536" s="415"/>
      <c r="D536" s="156"/>
      <c r="E536" s="415"/>
      <c r="F536" s="210"/>
      <c r="G536" s="415"/>
      <c r="H536" s="210"/>
      <c r="I536" s="423"/>
      <c r="J536" s="156"/>
      <c r="K536" s="423"/>
      <c r="L536" s="156"/>
      <c r="M536" s="423"/>
      <c r="N536" s="156"/>
      <c r="O536" s="415"/>
      <c r="P536" s="210"/>
      <c r="Q536" s="424"/>
      <c r="R536" s="83"/>
      <c r="S536" s="209"/>
      <c r="T536" s="210"/>
      <c r="U536" s="209"/>
      <c r="V536" s="210"/>
      <c r="W536" s="210"/>
      <c r="X536" s="210"/>
      <c r="Y536" s="210"/>
      <c r="Z536" s="210"/>
    </row>
    <row r="537">
      <c r="A537" s="415"/>
      <c r="B537" s="210"/>
      <c r="C537" s="415"/>
      <c r="D537" s="156"/>
      <c r="E537" s="415"/>
      <c r="F537" s="210"/>
      <c r="G537" s="415"/>
      <c r="H537" s="210"/>
      <c r="I537" s="423"/>
      <c r="J537" s="156"/>
      <c r="K537" s="423"/>
      <c r="L537" s="156"/>
      <c r="M537" s="423"/>
      <c r="N537" s="156"/>
      <c r="O537" s="415"/>
      <c r="P537" s="210"/>
      <c r="Q537" s="424"/>
      <c r="R537" s="83"/>
      <c r="S537" s="209"/>
      <c r="T537" s="210"/>
      <c r="U537" s="209"/>
      <c r="V537" s="210"/>
      <c r="W537" s="210"/>
      <c r="X537" s="210"/>
      <c r="Y537" s="210"/>
      <c r="Z537" s="210"/>
    </row>
    <row r="538">
      <c r="A538" s="415"/>
      <c r="B538" s="210"/>
      <c r="C538" s="415"/>
      <c r="D538" s="156"/>
      <c r="E538" s="415"/>
      <c r="F538" s="210"/>
      <c r="G538" s="415"/>
      <c r="H538" s="210"/>
      <c r="I538" s="423"/>
      <c r="J538" s="156"/>
      <c r="K538" s="423"/>
      <c r="L538" s="156"/>
      <c r="M538" s="423"/>
      <c r="N538" s="156"/>
      <c r="O538" s="415"/>
      <c r="P538" s="210"/>
      <c r="Q538" s="424"/>
      <c r="R538" s="83"/>
      <c r="S538" s="209"/>
      <c r="T538" s="210"/>
      <c r="U538" s="209"/>
      <c r="V538" s="210"/>
      <c r="W538" s="210"/>
      <c r="X538" s="210"/>
      <c r="Y538" s="210"/>
      <c r="Z538" s="210"/>
    </row>
    <row r="539">
      <c r="A539" s="415"/>
      <c r="B539" s="210"/>
      <c r="C539" s="415"/>
      <c r="D539" s="156"/>
      <c r="E539" s="415"/>
      <c r="F539" s="210"/>
      <c r="G539" s="415"/>
      <c r="H539" s="210"/>
      <c r="I539" s="423"/>
      <c r="J539" s="156"/>
      <c r="K539" s="423"/>
      <c r="L539" s="156"/>
      <c r="M539" s="423"/>
      <c r="N539" s="156"/>
      <c r="O539" s="415"/>
      <c r="P539" s="210"/>
      <c r="Q539" s="424"/>
      <c r="R539" s="83"/>
      <c r="S539" s="209"/>
      <c r="T539" s="210"/>
      <c r="U539" s="209"/>
      <c r="V539" s="210"/>
      <c r="W539" s="210"/>
      <c r="X539" s="210"/>
      <c r="Y539" s="210"/>
      <c r="Z539" s="210"/>
    </row>
    <row r="540">
      <c r="A540" s="415"/>
      <c r="B540" s="210"/>
      <c r="C540" s="415"/>
      <c r="D540" s="156"/>
      <c r="E540" s="415"/>
      <c r="F540" s="210"/>
      <c r="G540" s="415"/>
      <c r="H540" s="210"/>
      <c r="I540" s="423"/>
      <c r="J540" s="156"/>
      <c r="K540" s="423"/>
      <c r="L540" s="156"/>
      <c r="M540" s="423"/>
      <c r="N540" s="156"/>
      <c r="O540" s="415"/>
      <c r="P540" s="210"/>
      <c r="Q540" s="424"/>
      <c r="R540" s="83"/>
      <c r="S540" s="209"/>
      <c r="T540" s="210"/>
      <c r="U540" s="209"/>
      <c r="V540" s="210"/>
      <c r="W540" s="210"/>
      <c r="X540" s="210"/>
      <c r="Y540" s="210"/>
      <c r="Z540" s="210"/>
    </row>
    <row r="541">
      <c r="A541" s="415"/>
      <c r="B541" s="210"/>
      <c r="C541" s="415"/>
      <c r="D541" s="156"/>
      <c r="E541" s="415"/>
      <c r="F541" s="210"/>
      <c r="G541" s="415"/>
      <c r="H541" s="210"/>
      <c r="I541" s="423"/>
      <c r="J541" s="156"/>
      <c r="K541" s="423"/>
      <c r="L541" s="156"/>
      <c r="M541" s="423"/>
      <c r="N541" s="156"/>
      <c r="O541" s="415"/>
      <c r="P541" s="210"/>
      <c r="Q541" s="424"/>
      <c r="R541" s="83"/>
      <c r="S541" s="209"/>
      <c r="T541" s="210"/>
      <c r="U541" s="209"/>
      <c r="V541" s="210"/>
      <c r="W541" s="210"/>
      <c r="X541" s="210"/>
      <c r="Y541" s="210"/>
      <c r="Z541" s="210"/>
    </row>
    <row r="542">
      <c r="A542" s="415"/>
      <c r="B542" s="210"/>
      <c r="C542" s="415"/>
      <c r="D542" s="156"/>
      <c r="E542" s="415"/>
      <c r="F542" s="210"/>
      <c r="G542" s="415"/>
      <c r="H542" s="210"/>
      <c r="I542" s="423"/>
      <c r="J542" s="156"/>
      <c r="K542" s="423"/>
      <c r="L542" s="156"/>
      <c r="M542" s="423"/>
      <c r="N542" s="156"/>
      <c r="O542" s="415"/>
      <c r="P542" s="210"/>
      <c r="Q542" s="424"/>
      <c r="R542" s="83"/>
      <c r="S542" s="209"/>
      <c r="T542" s="210"/>
      <c r="U542" s="209"/>
      <c r="V542" s="210"/>
      <c r="W542" s="210"/>
      <c r="X542" s="210"/>
      <c r="Y542" s="210"/>
      <c r="Z542" s="210"/>
    </row>
    <row r="543">
      <c r="A543" s="415"/>
      <c r="B543" s="210"/>
      <c r="C543" s="415"/>
      <c r="D543" s="156"/>
      <c r="E543" s="415"/>
      <c r="F543" s="210"/>
      <c r="G543" s="415"/>
      <c r="H543" s="210"/>
      <c r="I543" s="423"/>
      <c r="J543" s="156"/>
      <c r="K543" s="423"/>
      <c r="L543" s="156"/>
      <c r="M543" s="423"/>
      <c r="N543" s="156"/>
      <c r="O543" s="415"/>
      <c r="P543" s="210"/>
      <c r="Q543" s="424"/>
      <c r="R543" s="83"/>
      <c r="S543" s="209"/>
      <c r="T543" s="210"/>
      <c r="U543" s="209"/>
      <c r="V543" s="210"/>
      <c r="W543" s="210"/>
      <c r="X543" s="210"/>
      <c r="Y543" s="210"/>
      <c r="Z543" s="210"/>
    </row>
    <row r="544">
      <c r="A544" s="415"/>
      <c r="B544" s="210"/>
      <c r="C544" s="415"/>
      <c r="D544" s="156"/>
      <c r="E544" s="415"/>
      <c r="F544" s="210"/>
      <c r="G544" s="415"/>
      <c r="H544" s="210"/>
      <c r="I544" s="423"/>
      <c r="J544" s="156"/>
      <c r="K544" s="423"/>
      <c r="L544" s="156"/>
      <c r="M544" s="423"/>
      <c r="N544" s="156"/>
      <c r="O544" s="415"/>
      <c r="P544" s="210"/>
      <c r="Q544" s="424"/>
      <c r="R544" s="83"/>
      <c r="S544" s="209"/>
      <c r="T544" s="210"/>
      <c r="U544" s="209"/>
      <c r="V544" s="210"/>
      <c r="W544" s="210"/>
      <c r="X544" s="210"/>
      <c r="Y544" s="210"/>
      <c r="Z544" s="210"/>
    </row>
    <row r="545">
      <c r="A545" s="415"/>
      <c r="B545" s="210"/>
      <c r="C545" s="415"/>
      <c r="D545" s="156"/>
      <c r="E545" s="415"/>
      <c r="F545" s="210"/>
      <c r="G545" s="415"/>
      <c r="H545" s="210"/>
      <c r="I545" s="423"/>
      <c r="J545" s="156"/>
      <c r="K545" s="423"/>
      <c r="L545" s="156"/>
      <c r="M545" s="423"/>
      <c r="N545" s="156"/>
      <c r="O545" s="415"/>
      <c r="P545" s="210"/>
      <c r="Q545" s="424"/>
      <c r="R545" s="83"/>
      <c r="S545" s="209"/>
      <c r="T545" s="210"/>
      <c r="U545" s="209"/>
      <c r="V545" s="210"/>
      <c r="W545" s="210"/>
      <c r="X545" s="210"/>
      <c r="Y545" s="210"/>
      <c r="Z545" s="210"/>
    </row>
    <row r="546">
      <c r="A546" s="415"/>
      <c r="B546" s="210"/>
      <c r="C546" s="415"/>
      <c r="D546" s="156"/>
      <c r="E546" s="415"/>
      <c r="F546" s="210"/>
      <c r="G546" s="415"/>
      <c r="H546" s="210"/>
      <c r="I546" s="423"/>
      <c r="J546" s="156"/>
      <c r="K546" s="423"/>
      <c r="L546" s="156"/>
      <c r="M546" s="423"/>
      <c r="N546" s="156"/>
      <c r="O546" s="415"/>
      <c r="P546" s="210"/>
      <c r="Q546" s="424"/>
      <c r="R546" s="83"/>
      <c r="S546" s="209"/>
      <c r="T546" s="210"/>
      <c r="U546" s="209"/>
      <c r="V546" s="210"/>
      <c r="W546" s="210"/>
      <c r="X546" s="210"/>
      <c r="Y546" s="210"/>
      <c r="Z546" s="210"/>
    </row>
    <row r="547">
      <c r="A547" s="415"/>
      <c r="B547" s="210"/>
      <c r="C547" s="415"/>
      <c r="D547" s="156"/>
      <c r="E547" s="415"/>
      <c r="F547" s="210"/>
      <c r="G547" s="415"/>
      <c r="H547" s="210"/>
      <c r="I547" s="423"/>
      <c r="J547" s="156"/>
      <c r="K547" s="423"/>
      <c r="L547" s="156"/>
      <c r="M547" s="423"/>
      <c r="N547" s="156"/>
      <c r="O547" s="415"/>
      <c r="P547" s="210"/>
      <c r="Q547" s="424"/>
      <c r="R547" s="83"/>
      <c r="S547" s="209"/>
      <c r="T547" s="210"/>
      <c r="U547" s="209"/>
      <c r="V547" s="210"/>
      <c r="W547" s="210"/>
      <c r="X547" s="210"/>
      <c r="Y547" s="210"/>
      <c r="Z547" s="210"/>
    </row>
    <row r="548">
      <c r="A548" s="415"/>
      <c r="B548" s="210"/>
      <c r="C548" s="415"/>
      <c r="D548" s="156"/>
      <c r="E548" s="415"/>
      <c r="F548" s="210"/>
      <c r="G548" s="415"/>
      <c r="H548" s="210"/>
      <c r="I548" s="423"/>
      <c r="J548" s="156"/>
      <c r="K548" s="423"/>
      <c r="L548" s="156"/>
      <c r="M548" s="423"/>
      <c r="N548" s="156"/>
      <c r="O548" s="415"/>
      <c r="P548" s="210"/>
      <c r="Q548" s="424"/>
      <c r="R548" s="83"/>
      <c r="S548" s="209"/>
      <c r="T548" s="210"/>
      <c r="U548" s="209"/>
      <c r="V548" s="210"/>
      <c r="W548" s="210"/>
      <c r="X548" s="210"/>
      <c r="Y548" s="210"/>
      <c r="Z548" s="210"/>
    </row>
    <row r="549">
      <c r="A549" s="415"/>
      <c r="B549" s="210"/>
      <c r="C549" s="415"/>
      <c r="D549" s="156"/>
      <c r="E549" s="415"/>
      <c r="F549" s="210"/>
      <c r="G549" s="415"/>
      <c r="H549" s="210"/>
      <c r="I549" s="423"/>
      <c r="J549" s="156"/>
      <c r="K549" s="423"/>
      <c r="L549" s="156"/>
      <c r="M549" s="423"/>
      <c r="N549" s="156"/>
      <c r="O549" s="415"/>
      <c r="P549" s="210"/>
      <c r="Q549" s="424"/>
      <c r="R549" s="83"/>
      <c r="S549" s="209"/>
      <c r="T549" s="210"/>
      <c r="U549" s="209"/>
      <c r="V549" s="210"/>
      <c r="W549" s="210"/>
      <c r="X549" s="210"/>
      <c r="Y549" s="210"/>
      <c r="Z549" s="210"/>
    </row>
    <row r="550">
      <c r="A550" s="415"/>
      <c r="B550" s="210"/>
      <c r="C550" s="415"/>
      <c r="D550" s="156"/>
      <c r="E550" s="415"/>
      <c r="F550" s="210"/>
      <c r="G550" s="415"/>
      <c r="H550" s="210"/>
      <c r="I550" s="423"/>
      <c r="J550" s="156"/>
      <c r="K550" s="423"/>
      <c r="L550" s="156"/>
      <c r="M550" s="423"/>
      <c r="N550" s="156"/>
      <c r="O550" s="415"/>
      <c r="P550" s="210"/>
      <c r="Q550" s="424"/>
      <c r="R550" s="83"/>
      <c r="S550" s="209"/>
      <c r="T550" s="210"/>
      <c r="U550" s="209"/>
      <c r="V550" s="210"/>
      <c r="W550" s="210"/>
      <c r="X550" s="210"/>
      <c r="Y550" s="210"/>
      <c r="Z550" s="210"/>
    </row>
    <row r="551">
      <c r="A551" s="415"/>
      <c r="B551" s="210"/>
      <c r="C551" s="415"/>
      <c r="D551" s="156"/>
      <c r="E551" s="415"/>
      <c r="F551" s="210"/>
      <c r="G551" s="415"/>
      <c r="H551" s="210"/>
      <c r="I551" s="423"/>
      <c r="J551" s="156"/>
      <c r="K551" s="423"/>
      <c r="L551" s="156"/>
      <c r="M551" s="423"/>
      <c r="N551" s="156"/>
      <c r="O551" s="415"/>
      <c r="P551" s="210"/>
      <c r="Q551" s="424"/>
      <c r="R551" s="83"/>
      <c r="S551" s="209"/>
      <c r="T551" s="210"/>
      <c r="U551" s="209"/>
      <c r="V551" s="210"/>
      <c r="W551" s="210"/>
      <c r="X551" s="210"/>
      <c r="Y551" s="210"/>
      <c r="Z551" s="210"/>
    </row>
    <row r="552">
      <c r="A552" s="415"/>
      <c r="B552" s="210"/>
      <c r="C552" s="415"/>
      <c r="D552" s="156"/>
      <c r="E552" s="415"/>
      <c r="F552" s="210"/>
      <c r="G552" s="415"/>
      <c r="H552" s="210"/>
      <c r="I552" s="423"/>
      <c r="J552" s="156"/>
      <c r="K552" s="423"/>
      <c r="L552" s="156"/>
      <c r="M552" s="423"/>
      <c r="N552" s="156"/>
      <c r="O552" s="415"/>
      <c r="P552" s="210"/>
      <c r="Q552" s="424"/>
      <c r="R552" s="83"/>
      <c r="S552" s="209"/>
      <c r="T552" s="210"/>
      <c r="U552" s="209"/>
      <c r="V552" s="210"/>
      <c r="W552" s="210"/>
      <c r="X552" s="210"/>
      <c r="Y552" s="210"/>
      <c r="Z552" s="210"/>
    </row>
    <row r="553">
      <c r="A553" s="415"/>
      <c r="B553" s="210"/>
      <c r="C553" s="415"/>
      <c r="D553" s="156"/>
      <c r="E553" s="415"/>
      <c r="F553" s="210"/>
      <c r="G553" s="415"/>
      <c r="H553" s="210"/>
      <c r="I553" s="423"/>
      <c r="J553" s="156"/>
      <c r="K553" s="423"/>
      <c r="L553" s="156"/>
      <c r="M553" s="423"/>
      <c r="N553" s="156"/>
      <c r="O553" s="415"/>
      <c r="P553" s="210"/>
      <c r="Q553" s="424"/>
      <c r="R553" s="83"/>
      <c r="S553" s="209"/>
      <c r="T553" s="210"/>
      <c r="U553" s="209"/>
      <c r="V553" s="210"/>
      <c r="W553" s="210"/>
      <c r="X553" s="210"/>
      <c r="Y553" s="210"/>
      <c r="Z553" s="210"/>
    </row>
    <row r="554">
      <c r="A554" s="415"/>
      <c r="B554" s="210"/>
      <c r="C554" s="415"/>
      <c r="D554" s="156"/>
      <c r="E554" s="415"/>
      <c r="F554" s="210"/>
      <c r="G554" s="415"/>
      <c r="H554" s="210"/>
      <c r="I554" s="423"/>
      <c r="J554" s="156"/>
      <c r="K554" s="423"/>
      <c r="L554" s="156"/>
      <c r="M554" s="423"/>
      <c r="N554" s="156"/>
      <c r="O554" s="415"/>
      <c r="P554" s="210"/>
      <c r="Q554" s="424"/>
      <c r="R554" s="83"/>
      <c r="S554" s="209"/>
      <c r="T554" s="210"/>
      <c r="U554" s="209"/>
      <c r="V554" s="210"/>
      <c r="W554" s="210"/>
      <c r="X554" s="210"/>
      <c r="Y554" s="210"/>
      <c r="Z554" s="210"/>
    </row>
    <row r="555">
      <c r="A555" s="415"/>
      <c r="B555" s="210"/>
      <c r="C555" s="415"/>
      <c r="D555" s="156"/>
      <c r="E555" s="415"/>
      <c r="F555" s="210"/>
      <c r="G555" s="415"/>
      <c r="H555" s="210"/>
      <c r="I555" s="423"/>
      <c r="J555" s="156"/>
      <c r="K555" s="423"/>
      <c r="L555" s="156"/>
      <c r="M555" s="423"/>
      <c r="N555" s="156"/>
      <c r="O555" s="415"/>
      <c r="P555" s="210"/>
      <c r="Q555" s="424"/>
      <c r="R555" s="83"/>
      <c r="S555" s="209"/>
      <c r="T555" s="210"/>
      <c r="U555" s="209"/>
      <c r="V555" s="210"/>
      <c r="W555" s="210"/>
      <c r="X555" s="210"/>
      <c r="Y555" s="210"/>
      <c r="Z555" s="210"/>
    </row>
    <row r="556">
      <c r="A556" s="415"/>
      <c r="B556" s="210"/>
      <c r="C556" s="415"/>
      <c r="D556" s="156"/>
      <c r="E556" s="415"/>
      <c r="F556" s="210"/>
      <c r="G556" s="415"/>
      <c r="H556" s="210"/>
      <c r="I556" s="423"/>
      <c r="J556" s="156"/>
      <c r="K556" s="423"/>
      <c r="L556" s="156"/>
      <c r="M556" s="423"/>
      <c r="N556" s="156"/>
      <c r="O556" s="415"/>
      <c r="P556" s="210"/>
      <c r="Q556" s="424"/>
      <c r="R556" s="83"/>
      <c r="S556" s="209"/>
      <c r="T556" s="210"/>
      <c r="U556" s="209"/>
      <c r="V556" s="210"/>
      <c r="W556" s="210"/>
      <c r="X556" s="210"/>
      <c r="Y556" s="210"/>
      <c r="Z556" s="210"/>
    </row>
    <row r="557">
      <c r="A557" s="415"/>
      <c r="B557" s="210"/>
      <c r="C557" s="415"/>
      <c r="D557" s="156"/>
      <c r="E557" s="415"/>
      <c r="F557" s="210"/>
      <c r="G557" s="415"/>
      <c r="H557" s="210"/>
      <c r="I557" s="423"/>
      <c r="J557" s="156"/>
      <c r="K557" s="423"/>
      <c r="L557" s="156"/>
      <c r="M557" s="423"/>
      <c r="N557" s="156"/>
      <c r="O557" s="415"/>
      <c r="P557" s="210"/>
      <c r="Q557" s="424"/>
      <c r="R557" s="83"/>
      <c r="S557" s="209"/>
      <c r="T557" s="210"/>
      <c r="U557" s="209"/>
      <c r="V557" s="210"/>
      <c r="W557" s="210"/>
      <c r="X557" s="210"/>
      <c r="Y557" s="210"/>
      <c r="Z557" s="210"/>
    </row>
    <row r="558">
      <c r="A558" s="415"/>
      <c r="B558" s="210"/>
      <c r="C558" s="415"/>
      <c r="D558" s="156"/>
      <c r="E558" s="415"/>
      <c r="F558" s="210"/>
      <c r="G558" s="415"/>
      <c r="H558" s="210"/>
      <c r="I558" s="423"/>
      <c r="J558" s="156"/>
      <c r="K558" s="423"/>
      <c r="L558" s="156"/>
      <c r="M558" s="423"/>
      <c r="N558" s="156"/>
      <c r="O558" s="415"/>
      <c r="P558" s="210"/>
      <c r="Q558" s="424"/>
      <c r="R558" s="83"/>
      <c r="S558" s="209"/>
      <c r="T558" s="210"/>
      <c r="U558" s="209"/>
      <c r="V558" s="210"/>
      <c r="W558" s="210"/>
      <c r="X558" s="210"/>
      <c r="Y558" s="210"/>
      <c r="Z558" s="210"/>
    </row>
    <row r="559">
      <c r="A559" s="415"/>
      <c r="B559" s="210"/>
      <c r="C559" s="415"/>
      <c r="D559" s="156"/>
      <c r="E559" s="415"/>
      <c r="F559" s="210"/>
      <c r="G559" s="415"/>
      <c r="H559" s="210"/>
      <c r="I559" s="423"/>
      <c r="J559" s="156"/>
      <c r="K559" s="423"/>
      <c r="L559" s="156"/>
      <c r="M559" s="423"/>
      <c r="N559" s="156"/>
      <c r="O559" s="415"/>
      <c r="P559" s="210"/>
      <c r="Q559" s="424"/>
      <c r="R559" s="83"/>
      <c r="S559" s="209"/>
      <c r="T559" s="210"/>
      <c r="U559" s="209"/>
      <c r="V559" s="210"/>
      <c r="W559" s="210"/>
      <c r="X559" s="210"/>
      <c r="Y559" s="210"/>
      <c r="Z559" s="210"/>
    </row>
    <row r="560">
      <c r="A560" s="415"/>
      <c r="B560" s="210"/>
      <c r="C560" s="415"/>
      <c r="D560" s="156"/>
      <c r="E560" s="415"/>
      <c r="F560" s="210"/>
      <c r="G560" s="415"/>
      <c r="H560" s="210"/>
      <c r="I560" s="423"/>
      <c r="J560" s="156"/>
      <c r="K560" s="423"/>
      <c r="L560" s="156"/>
      <c r="M560" s="423"/>
      <c r="N560" s="156"/>
      <c r="O560" s="415"/>
      <c r="P560" s="210"/>
      <c r="Q560" s="424"/>
      <c r="R560" s="83"/>
      <c r="S560" s="209"/>
      <c r="T560" s="210"/>
      <c r="U560" s="209"/>
      <c r="V560" s="210"/>
      <c r="W560" s="210"/>
      <c r="X560" s="210"/>
      <c r="Y560" s="210"/>
      <c r="Z560" s="210"/>
    </row>
    <row r="561">
      <c r="A561" s="415"/>
      <c r="B561" s="210"/>
      <c r="C561" s="415"/>
      <c r="D561" s="156"/>
      <c r="E561" s="415"/>
      <c r="F561" s="210"/>
      <c r="G561" s="415"/>
      <c r="H561" s="210"/>
      <c r="I561" s="423"/>
      <c r="J561" s="156"/>
      <c r="K561" s="423"/>
      <c r="L561" s="156"/>
      <c r="M561" s="423"/>
      <c r="N561" s="156"/>
      <c r="O561" s="415"/>
      <c r="P561" s="210"/>
      <c r="Q561" s="424"/>
      <c r="R561" s="83"/>
      <c r="S561" s="209"/>
      <c r="T561" s="210"/>
      <c r="U561" s="209"/>
      <c r="V561" s="210"/>
      <c r="W561" s="210"/>
      <c r="X561" s="210"/>
      <c r="Y561" s="210"/>
      <c r="Z561" s="210"/>
    </row>
    <row r="562">
      <c r="A562" s="415"/>
      <c r="B562" s="210"/>
      <c r="C562" s="415"/>
      <c r="D562" s="156"/>
      <c r="E562" s="415"/>
      <c r="F562" s="210"/>
      <c r="G562" s="415"/>
      <c r="H562" s="210"/>
      <c r="I562" s="423"/>
      <c r="J562" s="156"/>
      <c r="K562" s="423"/>
      <c r="L562" s="156"/>
      <c r="M562" s="423"/>
      <c r="N562" s="156"/>
      <c r="O562" s="415"/>
      <c r="P562" s="210"/>
      <c r="Q562" s="424"/>
      <c r="R562" s="83"/>
      <c r="S562" s="209"/>
      <c r="T562" s="210"/>
      <c r="U562" s="209"/>
      <c r="V562" s="210"/>
      <c r="W562" s="210"/>
      <c r="X562" s="210"/>
      <c r="Y562" s="210"/>
      <c r="Z562" s="210"/>
    </row>
    <row r="563">
      <c r="A563" s="415"/>
      <c r="B563" s="210"/>
      <c r="C563" s="415"/>
      <c r="D563" s="156"/>
      <c r="E563" s="415"/>
      <c r="F563" s="210"/>
      <c r="G563" s="415"/>
      <c r="H563" s="210"/>
      <c r="I563" s="423"/>
      <c r="J563" s="156"/>
      <c r="K563" s="423"/>
      <c r="L563" s="156"/>
      <c r="M563" s="423"/>
      <c r="N563" s="156"/>
      <c r="O563" s="415"/>
      <c r="P563" s="210"/>
      <c r="Q563" s="424"/>
      <c r="R563" s="83"/>
      <c r="S563" s="209"/>
      <c r="T563" s="210"/>
      <c r="U563" s="209"/>
      <c r="V563" s="210"/>
      <c r="W563" s="210"/>
      <c r="X563" s="210"/>
      <c r="Y563" s="210"/>
      <c r="Z563" s="210"/>
    </row>
    <row r="564">
      <c r="A564" s="415"/>
      <c r="B564" s="210"/>
      <c r="C564" s="415"/>
      <c r="D564" s="156"/>
      <c r="E564" s="415"/>
      <c r="F564" s="210"/>
      <c r="G564" s="415"/>
      <c r="H564" s="210"/>
      <c r="I564" s="423"/>
      <c r="J564" s="156"/>
      <c r="K564" s="423"/>
      <c r="L564" s="156"/>
      <c r="M564" s="423"/>
      <c r="N564" s="156"/>
      <c r="O564" s="415"/>
      <c r="P564" s="210"/>
      <c r="Q564" s="424"/>
      <c r="R564" s="83"/>
      <c r="S564" s="209"/>
      <c r="T564" s="210"/>
      <c r="U564" s="209"/>
      <c r="V564" s="210"/>
      <c r="W564" s="210"/>
      <c r="X564" s="210"/>
      <c r="Y564" s="210"/>
      <c r="Z564" s="210"/>
    </row>
    <row r="565">
      <c r="A565" s="415"/>
      <c r="B565" s="210"/>
      <c r="C565" s="415"/>
      <c r="D565" s="156"/>
      <c r="E565" s="415"/>
      <c r="F565" s="210"/>
      <c r="G565" s="415"/>
      <c r="H565" s="210"/>
      <c r="I565" s="423"/>
      <c r="J565" s="156"/>
      <c r="K565" s="423"/>
      <c r="L565" s="156"/>
      <c r="M565" s="423"/>
      <c r="N565" s="156"/>
      <c r="O565" s="415"/>
      <c r="P565" s="210"/>
      <c r="Q565" s="424"/>
      <c r="R565" s="83"/>
      <c r="S565" s="209"/>
      <c r="T565" s="210"/>
      <c r="U565" s="209"/>
      <c r="V565" s="210"/>
      <c r="W565" s="210"/>
      <c r="X565" s="210"/>
      <c r="Y565" s="210"/>
      <c r="Z565" s="210"/>
    </row>
    <row r="566">
      <c r="A566" s="415"/>
      <c r="B566" s="210"/>
      <c r="C566" s="415"/>
      <c r="D566" s="156"/>
      <c r="E566" s="415"/>
      <c r="F566" s="210"/>
      <c r="G566" s="415"/>
      <c r="H566" s="210"/>
      <c r="I566" s="423"/>
      <c r="J566" s="156"/>
      <c r="K566" s="423"/>
      <c r="L566" s="156"/>
      <c r="M566" s="423"/>
      <c r="N566" s="156"/>
      <c r="O566" s="415"/>
      <c r="P566" s="210"/>
      <c r="Q566" s="424"/>
      <c r="R566" s="83"/>
      <c r="S566" s="209"/>
      <c r="T566" s="210"/>
      <c r="U566" s="209"/>
      <c r="V566" s="210"/>
      <c r="W566" s="210"/>
      <c r="X566" s="210"/>
      <c r="Y566" s="210"/>
      <c r="Z566" s="210"/>
    </row>
    <row r="567">
      <c r="A567" s="415"/>
      <c r="B567" s="210"/>
      <c r="C567" s="415"/>
      <c r="D567" s="156"/>
      <c r="E567" s="415"/>
      <c r="F567" s="210"/>
      <c r="G567" s="415"/>
      <c r="H567" s="210"/>
      <c r="I567" s="423"/>
      <c r="J567" s="156"/>
      <c r="K567" s="423"/>
      <c r="L567" s="156"/>
      <c r="M567" s="423"/>
      <c r="N567" s="156"/>
      <c r="O567" s="415"/>
      <c r="P567" s="210"/>
      <c r="Q567" s="424"/>
      <c r="R567" s="83"/>
      <c r="S567" s="209"/>
      <c r="T567" s="210"/>
      <c r="U567" s="209"/>
      <c r="V567" s="210"/>
      <c r="W567" s="210"/>
      <c r="X567" s="210"/>
      <c r="Y567" s="210"/>
      <c r="Z567" s="210"/>
    </row>
    <row r="568">
      <c r="A568" s="415"/>
      <c r="B568" s="210"/>
      <c r="C568" s="415"/>
      <c r="D568" s="156"/>
      <c r="E568" s="415"/>
      <c r="F568" s="210"/>
      <c r="G568" s="415"/>
      <c r="H568" s="210"/>
      <c r="I568" s="423"/>
      <c r="J568" s="156"/>
      <c r="K568" s="423"/>
      <c r="L568" s="156"/>
      <c r="M568" s="423"/>
      <c r="N568" s="156"/>
      <c r="O568" s="415"/>
      <c r="P568" s="210"/>
      <c r="Q568" s="424"/>
      <c r="R568" s="83"/>
      <c r="S568" s="209"/>
      <c r="T568" s="210"/>
      <c r="U568" s="209"/>
      <c r="V568" s="210"/>
      <c r="W568" s="210"/>
      <c r="X568" s="210"/>
      <c r="Y568" s="210"/>
      <c r="Z568" s="210"/>
    </row>
    <row r="569">
      <c r="A569" s="415"/>
      <c r="B569" s="210"/>
      <c r="C569" s="415"/>
      <c r="D569" s="156"/>
      <c r="E569" s="415"/>
      <c r="F569" s="210"/>
      <c r="G569" s="415"/>
      <c r="H569" s="210"/>
      <c r="I569" s="423"/>
      <c r="J569" s="156"/>
      <c r="K569" s="423"/>
      <c r="L569" s="156"/>
      <c r="M569" s="423"/>
      <c r="N569" s="156"/>
      <c r="O569" s="415"/>
      <c r="P569" s="210"/>
      <c r="Q569" s="424"/>
      <c r="R569" s="83"/>
      <c r="S569" s="209"/>
      <c r="T569" s="210"/>
      <c r="U569" s="209"/>
      <c r="V569" s="210"/>
      <c r="W569" s="210"/>
      <c r="X569" s="210"/>
      <c r="Y569" s="210"/>
      <c r="Z569" s="210"/>
    </row>
    <row r="570">
      <c r="A570" s="415"/>
      <c r="B570" s="210"/>
      <c r="C570" s="415"/>
      <c r="D570" s="156"/>
      <c r="E570" s="415"/>
      <c r="F570" s="210"/>
      <c r="G570" s="415"/>
      <c r="H570" s="210"/>
      <c r="I570" s="423"/>
      <c r="J570" s="156"/>
      <c r="K570" s="423"/>
      <c r="L570" s="156"/>
      <c r="M570" s="423"/>
      <c r="N570" s="156"/>
      <c r="O570" s="415"/>
      <c r="P570" s="210"/>
      <c r="Q570" s="424"/>
      <c r="R570" s="83"/>
      <c r="S570" s="209"/>
      <c r="T570" s="210"/>
      <c r="U570" s="209"/>
      <c r="V570" s="210"/>
      <c r="W570" s="210"/>
      <c r="X570" s="210"/>
      <c r="Y570" s="210"/>
      <c r="Z570" s="210"/>
    </row>
    <row r="571">
      <c r="A571" s="415"/>
      <c r="B571" s="210"/>
      <c r="C571" s="415"/>
      <c r="D571" s="156"/>
      <c r="E571" s="415"/>
      <c r="F571" s="210"/>
      <c r="G571" s="415"/>
      <c r="H571" s="210"/>
      <c r="I571" s="423"/>
      <c r="J571" s="156"/>
      <c r="K571" s="423"/>
      <c r="L571" s="156"/>
      <c r="M571" s="423"/>
      <c r="N571" s="156"/>
      <c r="O571" s="415"/>
      <c r="P571" s="210"/>
      <c r="Q571" s="424"/>
      <c r="R571" s="83"/>
      <c r="S571" s="209"/>
      <c r="T571" s="210"/>
      <c r="U571" s="209"/>
      <c r="V571" s="210"/>
      <c r="W571" s="210"/>
      <c r="X571" s="210"/>
      <c r="Y571" s="210"/>
      <c r="Z571" s="210"/>
    </row>
    <row r="572">
      <c r="A572" s="415"/>
      <c r="B572" s="210"/>
      <c r="C572" s="415"/>
      <c r="D572" s="156"/>
      <c r="E572" s="415"/>
      <c r="F572" s="210"/>
      <c r="G572" s="415"/>
      <c r="H572" s="210"/>
      <c r="I572" s="423"/>
      <c r="J572" s="156"/>
      <c r="K572" s="423"/>
      <c r="L572" s="156"/>
      <c r="M572" s="423"/>
      <c r="N572" s="156"/>
      <c r="O572" s="415"/>
      <c r="P572" s="210"/>
      <c r="Q572" s="424"/>
      <c r="R572" s="83"/>
      <c r="S572" s="209"/>
      <c r="T572" s="210"/>
      <c r="U572" s="209"/>
      <c r="V572" s="210"/>
      <c r="W572" s="210"/>
      <c r="X572" s="210"/>
      <c r="Y572" s="210"/>
      <c r="Z572" s="210"/>
    </row>
    <row r="573">
      <c r="A573" s="415"/>
      <c r="B573" s="210"/>
      <c r="C573" s="415"/>
      <c r="D573" s="156"/>
      <c r="E573" s="415"/>
      <c r="F573" s="210"/>
      <c r="G573" s="415"/>
      <c r="H573" s="210"/>
      <c r="I573" s="423"/>
      <c r="J573" s="156"/>
      <c r="K573" s="423"/>
      <c r="L573" s="156"/>
      <c r="M573" s="423"/>
      <c r="N573" s="156"/>
      <c r="O573" s="415"/>
      <c r="P573" s="210"/>
      <c r="Q573" s="424"/>
      <c r="R573" s="83"/>
      <c r="S573" s="209"/>
      <c r="T573" s="210"/>
      <c r="U573" s="209"/>
      <c r="V573" s="210"/>
      <c r="W573" s="210"/>
      <c r="X573" s="210"/>
      <c r="Y573" s="210"/>
      <c r="Z573" s="210"/>
    </row>
    <row r="574">
      <c r="A574" s="415"/>
      <c r="B574" s="210"/>
      <c r="C574" s="415"/>
      <c r="D574" s="156"/>
      <c r="E574" s="415"/>
      <c r="F574" s="210"/>
      <c r="G574" s="415"/>
      <c r="H574" s="210"/>
      <c r="I574" s="423"/>
      <c r="J574" s="156"/>
      <c r="K574" s="423"/>
      <c r="L574" s="156"/>
      <c r="M574" s="423"/>
      <c r="N574" s="156"/>
      <c r="O574" s="415"/>
      <c r="P574" s="210"/>
      <c r="Q574" s="424"/>
      <c r="R574" s="83"/>
      <c r="S574" s="209"/>
      <c r="T574" s="210"/>
      <c r="U574" s="209"/>
      <c r="V574" s="210"/>
      <c r="W574" s="210"/>
      <c r="X574" s="210"/>
      <c r="Y574" s="210"/>
      <c r="Z574" s="210"/>
    </row>
    <row r="575">
      <c r="A575" s="415"/>
      <c r="B575" s="210"/>
      <c r="C575" s="415"/>
      <c r="D575" s="156"/>
      <c r="E575" s="415"/>
      <c r="F575" s="210"/>
      <c r="G575" s="415"/>
      <c r="H575" s="210"/>
      <c r="I575" s="423"/>
      <c r="J575" s="156"/>
      <c r="K575" s="423"/>
      <c r="L575" s="156"/>
      <c r="M575" s="423"/>
      <c r="N575" s="156"/>
      <c r="O575" s="415"/>
      <c r="P575" s="210"/>
      <c r="Q575" s="424"/>
      <c r="R575" s="83"/>
      <c r="S575" s="209"/>
      <c r="T575" s="210"/>
      <c r="U575" s="209"/>
      <c r="V575" s="210"/>
      <c r="W575" s="210"/>
      <c r="X575" s="210"/>
      <c r="Y575" s="210"/>
      <c r="Z575" s="210"/>
    </row>
    <row r="576">
      <c r="A576" s="415"/>
      <c r="B576" s="210"/>
      <c r="C576" s="415"/>
      <c r="D576" s="156"/>
      <c r="E576" s="415"/>
      <c r="F576" s="210"/>
      <c r="G576" s="415"/>
      <c r="H576" s="210"/>
      <c r="I576" s="423"/>
      <c r="J576" s="156"/>
      <c r="K576" s="423"/>
      <c r="L576" s="156"/>
      <c r="M576" s="423"/>
      <c r="N576" s="156"/>
      <c r="O576" s="415"/>
      <c r="P576" s="210"/>
      <c r="Q576" s="424"/>
      <c r="R576" s="83"/>
      <c r="S576" s="209"/>
      <c r="T576" s="210"/>
      <c r="U576" s="209"/>
      <c r="V576" s="210"/>
      <c r="W576" s="210"/>
      <c r="X576" s="210"/>
      <c r="Y576" s="210"/>
      <c r="Z576" s="210"/>
    </row>
    <row r="577">
      <c r="A577" s="415"/>
      <c r="B577" s="210"/>
      <c r="C577" s="415"/>
      <c r="D577" s="156"/>
      <c r="E577" s="415"/>
      <c r="F577" s="210"/>
      <c r="G577" s="415"/>
      <c r="H577" s="210"/>
      <c r="I577" s="423"/>
      <c r="J577" s="156"/>
      <c r="K577" s="423"/>
      <c r="L577" s="156"/>
      <c r="M577" s="423"/>
      <c r="N577" s="156"/>
      <c r="O577" s="415"/>
      <c r="P577" s="210"/>
      <c r="Q577" s="424"/>
      <c r="R577" s="83"/>
      <c r="S577" s="209"/>
      <c r="T577" s="210"/>
      <c r="U577" s="209"/>
      <c r="V577" s="210"/>
      <c r="W577" s="210"/>
      <c r="X577" s="210"/>
      <c r="Y577" s="210"/>
      <c r="Z577" s="210"/>
    </row>
    <row r="578">
      <c r="A578" s="415"/>
      <c r="B578" s="210"/>
      <c r="C578" s="415"/>
      <c r="D578" s="156"/>
      <c r="E578" s="415"/>
      <c r="F578" s="210"/>
      <c r="G578" s="415"/>
      <c r="H578" s="210"/>
      <c r="I578" s="423"/>
      <c r="J578" s="156"/>
      <c r="K578" s="423"/>
      <c r="L578" s="156"/>
      <c r="M578" s="423"/>
      <c r="N578" s="156"/>
      <c r="O578" s="415"/>
      <c r="P578" s="210"/>
      <c r="Q578" s="424"/>
      <c r="R578" s="83"/>
      <c r="S578" s="209"/>
      <c r="T578" s="210"/>
      <c r="U578" s="209"/>
      <c r="V578" s="210"/>
      <c r="W578" s="210"/>
      <c r="X578" s="210"/>
      <c r="Y578" s="210"/>
      <c r="Z578" s="210"/>
    </row>
    <row r="579">
      <c r="A579" s="415"/>
      <c r="B579" s="210"/>
      <c r="C579" s="415"/>
      <c r="D579" s="156"/>
      <c r="E579" s="415"/>
      <c r="F579" s="210"/>
      <c r="G579" s="415"/>
      <c r="H579" s="210"/>
      <c r="I579" s="423"/>
      <c r="J579" s="156"/>
      <c r="K579" s="423"/>
      <c r="L579" s="156"/>
      <c r="M579" s="423"/>
      <c r="N579" s="156"/>
      <c r="O579" s="415"/>
      <c r="P579" s="210"/>
      <c r="Q579" s="424"/>
      <c r="R579" s="83"/>
      <c r="S579" s="209"/>
      <c r="T579" s="210"/>
      <c r="U579" s="209"/>
      <c r="V579" s="210"/>
      <c r="W579" s="210"/>
      <c r="X579" s="210"/>
      <c r="Y579" s="210"/>
      <c r="Z579" s="210"/>
    </row>
    <row r="580">
      <c r="A580" s="415"/>
      <c r="B580" s="210"/>
      <c r="C580" s="415"/>
      <c r="D580" s="156"/>
      <c r="E580" s="415"/>
      <c r="F580" s="210"/>
      <c r="G580" s="415"/>
      <c r="H580" s="210"/>
      <c r="I580" s="423"/>
      <c r="J580" s="156"/>
      <c r="K580" s="423"/>
      <c r="L580" s="156"/>
      <c r="M580" s="423"/>
      <c r="N580" s="156"/>
      <c r="O580" s="415"/>
      <c r="P580" s="210"/>
      <c r="Q580" s="424"/>
      <c r="R580" s="83"/>
      <c r="S580" s="209"/>
      <c r="T580" s="210"/>
      <c r="U580" s="209"/>
      <c r="V580" s="210"/>
      <c r="W580" s="210"/>
      <c r="X580" s="210"/>
      <c r="Y580" s="210"/>
      <c r="Z580" s="210"/>
    </row>
    <row r="581">
      <c r="A581" s="415"/>
      <c r="B581" s="210"/>
      <c r="C581" s="415"/>
      <c r="D581" s="156"/>
      <c r="E581" s="415"/>
      <c r="F581" s="210"/>
      <c r="G581" s="415"/>
      <c r="H581" s="210"/>
      <c r="I581" s="423"/>
      <c r="J581" s="156"/>
      <c r="K581" s="423"/>
      <c r="L581" s="156"/>
      <c r="M581" s="423"/>
      <c r="N581" s="156"/>
      <c r="O581" s="415"/>
      <c r="P581" s="210"/>
      <c r="Q581" s="424"/>
      <c r="R581" s="83"/>
      <c r="S581" s="209"/>
      <c r="T581" s="210"/>
      <c r="U581" s="209"/>
      <c r="V581" s="210"/>
      <c r="W581" s="210"/>
      <c r="X581" s="210"/>
      <c r="Y581" s="210"/>
      <c r="Z581" s="210"/>
    </row>
    <row r="582">
      <c r="A582" s="415"/>
      <c r="B582" s="210"/>
      <c r="C582" s="415"/>
      <c r="D582" s="156"/>
      <c r="E582" s="415"/>
      <c r="F582" s="210"/>
      <c r="G582" s="415"/>
      <c r="H582" s="210"/>
      <c r="I582" s="423"/>
      <c r="J582" s="156"/>
      <c r="K582" s="423"/>
      <c r="L582" s="156"/>
      <c r="M582" s="423"/>
      <c r="N582" s="156"/>
      <c r="O582" s="415"/>
      <c r="P582" s="210"/>
      <c r="Q582" s="424"/>
      <c r="R582" s="83"/>
      <c r="S582" s="209"/>
      <c r="T582" s="210"/>
      <c r="U582" s="209"/>
      <c r="V582" s="210"/>
      <c r="W582" s="210"/>
      <c r="X582" s="210"/>
      <c r="Y582" s="210"/>
      <c r="Z582" s="210"/>
    </row>
    <row r="583">
      <c r="A583" s="415"/>
      <c r="B583" s="210"/>
      <c r="C583" s="415"/>
      <c r="D583" s="156"/>
      <c r="E583" s="415"/>
      <c r="F583" s="210"/>
      <c r="G583" s="415"/>
      <c r="H583" s="210"/>
      <c r="I583" s="423"/>
      <c r="J583" s="156"/>
      <c r="K583" s="423"/>
      <c r="L583" s="156"/>
      <c r="M583" s="423"/>
      <c r="N583" s="156"/>
      <c r="O583" s="415"/>
      <c r="P583" s="210"/>
      <c r="Q583" s="424"/>
      <c r="R583" s="83"/>
      <c r="S583" s="209"/>
      <c r="T583" s="210"/>
      <c r="U583" s="209"/>
      <c r="V583" s="210"/>
      <c r="W583" s="210"/>
      <c r="X583" s="210"/>
      <c r="Y583" s="210"/>
      <c r="Z583" s="210"/>
    </row>
    <row r="584">
      <c r="A584" s="415"/>
      <c r="B584" s="210"/>
      <c r="C584" s="415"/>
      <c r="D584" s="156"/>
      <c r="E584" s="415"/>
      <c r="F584" s="210"/>
      <c r="G584" s="415"/>
      <c r="H584" s="210"/>
      <c r="I584" s="423"/>
      <c r="J584" s="156"/>
      <c r="K584" s="423"/>
      <c r="L584" s="156"/>
      <c r="M584" s="423"/>
      <c r="N584" s="156"/>
      <c r="O584" s="415"/>
      <c r="P584" s="210"/>
      <c r="Q584" s="424"/>
      <c r="R584" s="83"/>
      <c r="S584" s="209"/>
      <c r="T584" s="210"/>
      <c r="U584" s="209"/>
      <c r="V584" s="210"/>
      <c r="W584" s="210"/>
      <c r="X584" s="210"/>
      <c r="Y584" s="210"/>
      <c r="Z584" s="210"/>
    </row>
    <row r="585">
      <c r="A585" s="415"/>
      <c r="B585" s="210"/>
      <c r="C585" s="415"/>
      <c r="D585" s="156"/>
      <c r="E585" s="415"/>
      <c r="F585" s="210"/>
      <c r="G585" s="415"/>
      <c r="H585" s="210"/>
      <c r="I585" s="423"/>
      <c r="J585" s="156"/>
      <c r="K585" s="423"/>
      <c r="L585" s="156"/>
      <c r="M585" s="423"/>
      <c r="N585" s="156"/>
      <c r="O585" s="415"/>
      <c r="P585" s="210"/>
      <c r="Q585" s="424"/>
      <c r="R585" s="83"/>
      <c r="S585" s="209"/>
      <c r="T585" s="210"/>
      <c r="U585" s="209"/>
      <c r="V585" s="210"/>
      <c r="W585" s="210"/>
      <c r="X585" s="210"/>
      <c r="Y585" s="210"/>
      <c r="Z585" s="210"/>
    </row>
    <row r="586">
      <c r="A586" s="415"/>
      <c r="B586" s="210"/>
      <c r="C586" s="415"/>
      <c r="D586" s="156"/>
      <c r="E586" s="415"/>
      <c r="F586" s="210"/>
      <c r="G586" s="415"/>
      <c r="H586" s="210"/>
      <c r="I586" s="423"/>
      <c r="J586" s="156"/>
      <c r="K586" s="423"/>
      <c r="L586" s="156"/>
      <c r="M586" s="423"/>
      <c r="N586" s="156"/>
      <c r="O586" s="415"/>
      <c r="P586" s="210"/>
      <c r="Q586" s="424"/>
      <c r="R586" s="83"/>
      <c r="S586" s="209"/>
      <c r="T586" s="210"/>
      <c r="U586" s="209"/>
      <c r="V586" s="210"/>
      <c r="W586" s="210"/>
      <c r="X586" s="210"/>
      <c r="Y586" s="210"/>
      <c r="Z586" s="210"/>
    </row>
    <row r="587">
      <c r="A587" s="415"/>
      <c r="B587" s="210"/>
      <c r="C587" s="415"/>
      <c r="D587" s="156"/>
      <c r="E587" s="415"/>
      <c r="F587" s="210"/>
      <c r="G587" s="415"/>
      <c r="H587" s="210"/>
      <c r="I587" s="423"/>
      <c r="J587" s="156"/>
      <c r="K587" s="423"/>
      <c r="L587" s="156"/>
      <c r="M587" s="423"/>
      <c r="N587" s="156"/>
      <c r="O587" s="415"/>
      <c r="P587" s="210"/>
      <c r="Q587" s="424"/>
      <c r="R587" s="83"/>
      <c r="S587" s="209"/>
      <c r="T587" s="210"/>
      <c r="U587" s="209"/>
      <c r="V587" s="210"/>
      <c r="W587" s="210"/>
      <c r="X587" s="210"/>
      <c r="Y587" s="210"/>
      <c r="Z587" s="210"/>
    </row>
    <row r="588">
      <c r="A588" s="415"/>
      <c r="B588" s="210"/>
      <c r="C588" s="415"/>
      <c r="D588" s="156"/>
      <c r="E588" s="415"/>
      <c r="F588" s="210"/>
      <c r="G588" s="415"/>
      <c r="H588" s="210"/>
      <c r="I588" s="423"/>
      <c r="J588" s="156"/>
      <c r="K588" s="423"/>
      <c r="L588" s="156"/>
      <c r="M588" s="423"/>
      <c r="N588" s="156"/>
      <c r="O588" s="415"/>
      <c r="P588" s="210"/>
      <c r="Q588" s="424"/>
      <c r="R588" s="83"/>
      <c r="S588" s="209"/>
      <c r="T588" s="210"/>
      <c r="U588" s="209"/>
      <c r="V588" s="210"/>
      <c r="W588" s="210"/>
      <c r="X588" s="210"/>
      <c r="Y588" s="210"/>
      <c r="Z588" s="210"/>
    </row>
    <row r="589">
      <c r="A589" s="415"/>
      <c r="B589" s="210"/>
      <c r="C589" s="415"/>
      <c r="D589" s="156"/>
      <c r="E589" s="415"/>
      <c r="F589" s="210"/>
      <c r="G589" s="415"/>
      <c r="H589" s="210"/>
      <c r="I589" s="423"/>
      <c r="J589" s="156"/>
      <c r="K589" s="423"/>
      <c r="L589" s="156"/>
      <c r="M589" s="423"/>
      <c r="N589" s="156"/>
      <c r="O589" s="415"/>
      <c r="P589" s="210"/>
      <c r="Q589" s="424"/>
      <c r="R589" s="83"/>
      <c r="S589" s="209"/>
      <c r="T589" s="210"/>
      <c r="U589" s="209"/>
      <c r="V589" s="210"/>
      <c r="W589" s="210"/>
      <c r="X589" s="210"/>
      <c r="Y589" s="210"/>
      <c r="Z589" s="210"/>
    </row>
    <row r="590">
      <c r="A590" s="415"/>
      <c r="B590" s="210"/>
      <c r="C590" s="415"/>
      <c r="D590" s="156"/>
      <c r="E590" s="415"/>
      <c r="F590" s="210"/>
      <c r="G590" s="415"/>
      <c r="H590" s="210"/>
      <c r="I590" s="423"/>
      <c r="J590" s="156"/>
      <c r="K590" s="423"/>
      <c r="L590" s="156"/>
      <c r="M590" s="423"/>
      <c r="N590" s="156"/>
      <c r="O590" s="415"/>
      <c r="P590" s="210"/>
      <c r="Q590" s="424"/>
      <c r="R590" s="83"/>
      <c r="S590" s="209"/>
      <c r="T590" s="210"/>
      <c r="U590" s="209"/>
      <c r="V590" s="210"/>
      <c r="W590" s="210"/>
      <c r="X590" s="210"/>
      <c r="Y590" s="210"/>
      <c r="Z590" s="210"/>
    </row>
    <row r="591">
      <c r="A591" s="415"/>
      <c r="B591" s="210"/>
      <c r="C591" s="415"/>
      <c r="D591" s="156"/>
      <c r="E591" s="415"/>
      <c r="F591" s="210"/>
      <c r="G591" s="415"/>
      <c r="H591" s="210"/>
      <c r="I591" s="423"/>
      <c r="J591" s="156"/>
      <c r="K591" s="423"/>
      <c r="L591" s="156"/>
      <c r="M591" s="423"/>
      <c r="N591" s="156"/>
      <c r="O591" s="415"/>
      <c r="P591" s="210"/>
      <c r="Q591" s="424"/>
      <c r="R591" s="83"/>
      <c r="S591" s="209"/>
      <c r="T591" s="210"/>
      <c r="U591" s="209"/>
      <c r="V591" s="210"/>
      <c r="W591" s="210"/>
      <c r="X591" s="210"/>
      <c r="Y591" s="210"/>
      <c r="Z591" s="210"/>
    </row>
    <row r="592">
      <c r="A592" s="415"/>
      <c r="B592" s="210"/>
      <c r="C592" s="415"/>
      <c r="D592" s="156"/>
      <c r="E592" s="415"/>
      <c r="F592" s="210"/>
      <c r="G592" s="415"/>
      <c r="H592" s="210"/>
      <c r="I592" s="423"/>
      <c r="J592" s="156"/>
      <c r="K592" s="423"/>
      <c r="L592" s="156"/>
      <c r="M592" s="423"/>
      <c r="N592" s="156"/>
      <c r="O592" s="415"/>
      <c r="P592" s="210"/>
      <c r="Q592" s="424"/>
      <c r="R592" s="83"/>
      <c r="S592" s="209"/>
      <c r="T592" s="210"/>
      <c r="U592" s="209"/>
      <c r="V592" s="210"/>
      <c r="W592" s="210"/>
      <c r="X592" s="210"/>
      <c r="Y592" s="210"/>
      <c r="Z592" s="210"/>
    </row>
    <row r="593">
      <c r="A593" s="415"/>
      <c r="B593" s="210"/>
      <c r="C593" s="415"/>
      <c r="D593" s="156"/>
      <c r="E593" s="415"/>
      <c r="F593" s="210"/>
      <c r="G593" s="415"/>
      <c r="H593" s="210"/>
      <c r="I593" s="423"/>
      <c r="J593" s="156"/>
      <c r="K593" s="423"/>
      <c r="L593" s="156"/>
      <c r="M593" s="423"/>
      <c r="N593" s="156"/>
      <c r="O593" s="415"/>
      <c r="P593" s="210"/>
      <c r="Q593" s="424"/>
      <c r="R593" s="83"/>
      <c r="S593" s="209"/>
      <c r="T593" s="210"/>
      <c r="U593" s="209"/>
      <c r="V593" s="210"/>
      <c r="W593" s="210"/>
      <c r="X593" s="210"/>
      <c r="Y593" s="210"/>
      <c r="Z593" s="210"/>
    </row>
    <row r="594">
      <c r="A594" s="415"/>
      <c r="B594" s="210"/>
      <c r="C594" s="415"/>
      <c r="D594" s="156"/>
      <c r="E594" s="415"/>
      <c r="F594" s="210"/>
      <c r="G594" s="415"/>
      <c r="H594" s="210"/>
      <c r="I594" s="423"/>
      <c r="J594" s="156"/>
      <c r="K594" s="423"/>
      <c r="L594" s="156"/>
      <c r="M594" s="423"/>
      <c r="N594" s="156"/>
      <c r="O594" s="415"/>
      <c r="P594" s="210"/>
      <c r="Q594" s="424"/>
      <c r="R594" s="83"/>
      <c r="S594" s="209"/>
      <c r="T594" s="210"/>
      <c r="U594" s="209"/>
      <c r="V594" s="210"/>
      <c r="W594" s="210"/>
      <c r="X594" s="210"/>
      <c r="Y594" s="210"/>
      <c r="Z594" s="210"/>
    </row>
    <row r="595">
      <c r="A595" s="415"/>
      <c r="B595" s="210"/>
      <c r="C595" s="415"/>
      <c r="D595" s="156"/>
      <c r="E595" s="415"/>
      <c r="F595" s="210"/>
      <c r="G595" s="415"/>
      <c r="H595" s="210"/>
      <c r="I595" s="423"/>
      <c r="J595" s="156"/>
      <c r="K595" s="423"/>
      <c r="L595" s="156"/>
      <c r="M595" s="423"/>
      <c r="N595" s="156"/>
      <c r="O595" s="415"/>
      <c r="P595" s="210"/>
      <c r="Q595" s="424"/>
      <c r="R595" s="83"/>
      <c r="S595" s="209"/>
      <c r="T595" s="210"/>
      <c r="U595" s="209"/>
      <c r="V595" s="210"/>
      <c r="W595" s="210"/>
      <c r="X595" s="210"/>
      <c r="Y595" s="210"/>
      <c r="Z595" s="210"/>
    </row>
    <row r="596">
      <c r="A596" s="415"/>
      <c r="B596" s="210"/>
      <c r="C596" s="415"/>
      <c r="D596" s="156"/>
      <c r="E596" s="415"/>
      <c r="F596" s="210"/>
      <c r="G596" s="415"/>
      <c r="H596" s="210"/>
      <c r="I596" s="423"/>
      <c r="J596" s="156"/>
      <c r="K596" s="423"/>
      <c r="L596" s="156"/>
      <c r="M596" s="423"/>
      <c r="N596" s="156"/>
      <c r="O596" s="415"/>
      <c r="P596" s="210"/>
      <c r="Q596" s="424"/>
      <c r="R596" s="83"/>
      <c r="S596" s="209"/>
      <c r="T596" s="210"/>
      <c r="U596" s="209"/>
      <c r="V596" s="210"/>
      <c r="W596" s="210"/>
      <c r="X596" s="210"/>
      <c r="Y596" s="210"/>
      <c r="Z596" s="210"/>
    </row>
    <row r="597">
      <c r="A597" s="415"/>
      <c r="B597" s="210"/>
      <c r="C597" s="415"/>
      <c r="D597" s="156"/>
      <c r="E597" s="415"/>
      <c r="F597" s="210"/>
      <c r="G597" s="415"/>
      <c r="H597" s="210"/>
      <c r="I597" s="423"/>
      <c r="J597" s="156"/>
      <c r="K597" s="423"/>
      <c r="L597" s="156"/>
      <c r="M597" s="423"/>
      <c r="N597" s="156"/>
      <c r="O597" s="415"/>
      <c r="P597" s="210"/>
      <c r="Q597" s="424"/>
      <c r="R597" s="83"/>
      <c r="S597" s="209"/>
      <c r="T597" s="210"/>
      <c r="U597" s="209"/>
      <c r="V597" s="210"/>
      <c r="W597" s="210"/>
      <c r="X597" s="210"/>
      <c r="Y597" s="210"/>
      <c r="Z597" s="210"/>
    </row>
    <row r="598">
      <c r="A598" s="415"/>
      <c r="B598" s="210"/>
      <c r="C598" s="415"/>
      <c r="D598" s="156"/>
      <c r="E598" s="415"/>
      <c r="F598" s="210"/>
      <c r="G598" s="415"/>
      <c r="H598" s="210"/>
      <c r="I598" s="423"/>
      <c r="J598" s="156"/>
      <c r="K598" s="423"/>
      <c r="L598" s="156"/>
      <c r="M598" s="423"/>
      <c r="N598" s="156"/>
      <c r="O598" s="415"/>
      <c r="P598" s="210"/>
      <c r="Q598" s="424"/>
      <c r="R598" s="83"/>
      <c r="S598" s="209"/>
      <c r="T598" s="210"/>
      <c r="U598" s="209"/>
      <c r="V598" s="210"/>
      <c r="W598" s="210"/>
      <c r="X598" s="210"/>
      <c r="Y598" s="210"/>
      <c r="Z598" s="210"/>
    </row>
    <row r="599">
      <c r="A599" s="415"/>
      <c r="B599" s="210"/>
      <c r="C599" s="415"/>
      <c r="D599" s="156"/>
      <c r="E599" s="415"/>
      <c r="F599" s="210"/>
      <c r="G599" s="415"/>
      <c r="H599" s="210"/>
      <c r="I599" s="423"/>
      <c r="J599" s="156"/>
      <c r="K599" s="423"/>
      <c r="L599" s="156"/>
      <c r="M599" s="423"/>
      <c r="N599" s="156"/>
      <c r="O599" s="415"/>
      <c r="P599" s="210"/>
      <c r="Q599" s="424"/>
      <c r="R599" s="83"/>
      <c r="S599" s="209"/>
      <c r="T599" s="210"/>
      <c r="U599" s="209"/>
      <c r="V599" s="210"/>
      <c r="W599" s="210"/>
      <c r="X599" s="210"/>
      <c r="Y599" s="210"/>
      <c r="Z599" s="210"/>
    </row>
    <row r="600">
      <c r="A600" s="415"/>
      <c r="B600" s="210"/>
      <c r="C600" s="415"/>
      <c r="D600" s="156"/>
      <c r="E600" s="415"/>
      <c r="F600" s="210"/>
      <c r="G600" s="415"/>
      <c r="H600" s="210"/>
      <c r="I600" s="423"/>
      <c r="J600" s="156"/>
      <c r="K600" s="423"/>
      <c r="L600" s="156"/>
      <c r="M600" s="423"/>
      <c r="N600" s="156"/>
      <c r="O600" s="415"/>
      <c r="P600" s="210"/>
      <c r="Q600" s="424"/>
      <c r="R600" s="83"/>
      <c r="S600" s="209"/>
      <c r="T600" s="210"/>
      <c r="U600" s="209"/>
      <c r="V600" s="210"/>
      <c r="W600" s="210"/>
      <c r="X600" s="210"/>
      <c r="Y600" s="210"/>
      <c r="Z600" s="210"/>
    </row>
    <row r="601">
      <c r="A601" s="415"/>
      <c r="B601" s="210"/>
      <c r="C601" s="415"/>
      <c r="D601" s="156"/>
      <c r="E601" s="415"/>
      <c r="F601" s="210"/>
      <c r="G601" s="415"/>
      <c r="H601" s="210"/>
      <c r="I601" s="423"/>
      <c r="J601" s="156"/>
      <c r="K601" s="423"/>
      <c r="L601" s="156"/>
      <c r="M601" s="423"/>
      <c r="N601" s="156"/>
      <c r="O601" s="415"/>
      <c r="P601" s="210"/>
      <c r="Q601" s="424"/>
      <c r="R601" s="83"/>
      <c r="S601" s="209"/>
      <c r="T601" s="210"/>
      <c r="U601" s="209"/>
      <c r="V601" s="210"/>
      <c r="W601" s="210"/>
      <c r="X601" s="210"/>
      <c r="Y601" s="210"/>
      <c r="Z601" s="210"/>
    </row>
    <row r="602">
      <c r="A602" s="415"/>
      <c r="B602" s="210"/>
      <c r="C602" s="415"/>
      <c r="D602" s="156"/>
      <c r="E602" s="415"/>
      <c r="F602" s="210"/>
      <c r="G602" s="415"/>
      <c r="H602" s="210"/>
      <c r="I602" s="423"/>
      <c r="J602" s="156"/>
      <c r="K602" s="423"/>
      <c r="L602" s="156"/>
      <c r="M602" s="423"/>
      <c r="N602" s="156"/>
      <c r="O602" s="415"/>
      <c r="P602" s="210"/>
      <c r="Q602" s="424"/>
      <c r="R602" s="83"/>
      <c r="S602" s="209"/>
      <c r="T602" s="210"/>
      <c r="U602" s="209"/>
      <c r="V602" s="210"/>
      <c r="W602" s="210"/>
      <c r="X602" s="210"/>
      <c r="Y602" s="210"/>
      <c r="Z602" s="210"/>
    </row>
    <row r="603">
      <c r="A603" s="415"/>
      <c r="B603" s="210"/>
      <c r="C603" s="415"/>
      <c r="D603" s="156"/>
      <c r="E603" s="415"/>
      <c r="F603" s="210"/>
      <c r="G603" s="415"/>
      <c r="H603" s="210"/>
      <c r="I603" s="423"/>
      <c r="J603" s="156"/>
      <c r="K603" s="423"/>
      <c r="L603" s="156"/>
      <c r="M603" s="423"/>
      <c r="N603" s="156"/>
      <c r="O603" s="415"/>
      <c r="P603" s="210"/>
      <c r="Q603" s="424"/>
      <c r="R603" s="83"/>
      <c r="S603" s="209"/>
      <c r="T603" s="210"/>
      <c r="U603" s="209"/>
      <c r="V603" s="210"/>
      <c r="W603" s="210"/>
      <c r="X603" s="210"/>
      <c r="Y603" s="210"/>
      <c r="Z603" s="210"/>
    </row>
    <row r="604">
      <c r="A604" s="415"/>
      <c r="B604" s="210"/>
      <c r="C604" s="415"/>
      <c r="D604" s="156"/>
      <c r="E604" s="415"/>
      <c r="F604" s="210"/>
      <c r="G604" s="415"/>
      <c r="H604" s="210"/>
      <c r="I604" s="423"/>
      <c r="J604" s="156"/>
      <c r="K604" s="423"/>
      <c r="L604" s="156"/>
      <c r="M604" s="423"/>
      <c r="N604" s="156"/>
      <c r="O604" s="415"/>
      <c r="P604" s="210"/>
      <c r="Q604" s="424"/>
      <c r="R604" s="83"/>
      <c r="S604" s="209"/>
      <c r="T604" s="210"/>
      <c r="U604" s="209"/>
      <c r="V604" s="210"/>
      <c r="W604" s="210"/>
      <c r="X604" s="210"/>
      <c r="Y604" s="210"/>
      <c r="Z604" s="210"/>
    </row>
    <row r="605">
      <c r="A605" s="415"/>
      <c r="B605" s="210"/>
      <c r="C605" s="415"/>
      <c r="D605" s="156"/>
      <c r="E605" s="415"/>
      <c r="F605" s="210"/>
      <c r="G605" s="415"/>
      <c r="H605" s="210"/>
      <c r="I605" s="423"/>
      <c r="J605" s="156"/>
      <c r="K605" s="423"/>
      <c r="L605" s="156"/>
      <c r="M605" s="423"/>
      <c r="N605" s="156"/>
      <c r="O605" s="415"/>
      <c r="P605" s="210"/>
      <c r="Q605" s="424"/>
      <c r="R605" s="83"/>
      <c r="S605" s="209"/>
      <c r="T605" s="210"/>
      <c r="U605" s="209"/>
      <c r="V605" s="210"/>
      <c r="W605" s="210"/>
      <c r="X605" s="210"/>
      <c r="Y605" s="210"/>
      <c r="Z605" s="210"/>
    </row>
    <row r="606">
      <c r="A606" s="415"/>
      <c r="B606" s="210"/>
      <c r="C606" s="415"/>
      <c r="D606" s="156"/>
      <c r="E606" s="415"/>
      <c r="F606" s="210"/>
      <c r="G606" s="415"/>
      <c r="H606" s="210"/>
      <c r="I606" s="423"/>
      <c r="J606" s="156"/>
      <c r="K606" s="423"/>
      <c r="L606" s="156"/>
      <c r="M606" s="423"/>
      <c r="N606" s="156"/>
      <c r="O606" s="415"/>
      <c r="P606" s="210"/>
      <c r="Q606" s="424"/>
      <c r="R606" s="83"/>
      <c r="S606" s="209"/>
      <c r="T606" s="210"/>
      <c r="U606" s="209"/>
      <c r="V606" s="210"/>
      <c r="W606" s="210"/>
      <c r="X606" s="210"/>
      <c r="Y606" s="210"/>
      <c r="Z606" s="210"/>
    </row>
    <row r="607">
      <c r="A607" s="415"/>
      <c r="B607" s="210"/>
      <c r="C607" s="415"/>
      <c r="D607" s="156"/>
      <c r="E607" s="415"/>
      <c r="F607" s="210"/>
      <c r="G607" s="415"/>
      <c r="H607" s="210"/>
      <c r="I607" s="423"/>
      <c r="J607" s="156"/>
      <c r="K607" s="423"/>
      <c r="L607" s="156"/>
      <c r="M607" s="423"/>
      <c r="N607" s="156"/>
      <c r="O607" s="415"/>
      <c r="P607" s="210"/>
      <c r="Q607" s="424"/>
      <c r="R607" s="83"/>
      <c r="S607" s="209"/>
      <c r="T607" s="210"/>
      <c r="U607" s="209"/>
      <c r="V607" s="210"/>
      <c r="W607" s="210"/>
      <c r="X607" s="210"/>
      <c r="Y607" s="210"/>
      <c r="Z607" s="210"/>
    </row>
    <row r="608">
      <c r="A608" s="415"/>
      <c r="B608" s="210"/>
      <c r="C608" s="415"/>
      <c r="D608" s="156"/>
      <c r="E608" s="415"/>
      <c r="F608" s="210"/>
      <c r="G608" s="415"/>
      <c r="H608" s="210"/>
      <c r="I608" s="423"/>
      <c r="J608" s="156"/>
      <c r="K608" s="423"/>
      <c r="L608" s="156"/>
      <c r="M608" s="423"/>
      <c r="N608" s="156"/>
      <c r="O608" s="415"/>
      <c r="P608" s="210"/>
      <c r="Q608" s="424"/>
      <c r="R608" s="83"/>
      <c r="S608" s="209"/>
      <c r="T608" s="210"/>
      <c r="U608" s="209"/>
      <c r="V608" s="210"/>
      <c r="W608" s="210"/>
      <c r="X608" s="210"/>
      <c r="Y608" s="210"/>
      <c r="Z608" s="210"/>
    </row>
    <row r="609">
      <c r="A609" s="415"/>
      <c r="B609" s="210"/>
      <c r="C609" s="415"/>
      <c r="D609" s="156"/>
      <c r="E609" s="415"/>
      <c r="F609" s="210"/>
      <c r="G609" s="415"/>
      <c r="H609" s="210"/>
      <c r="I609" s="423"/>
      <c r="J609" s="156"/>
      <c r="K609" s="423"/>
      <c r="L609" s="156"/>
      <c r="M609" s="423"/>
      <c r="N609" s="156"/>
      <c r="O609" s="415"/>
      <c r="P609" s="210"/>
      <c r="Q609" s="424"/>
      <c r="R609" s="83"/>
      <c r="S609" s="209"/>
      <c r="T609" s="210"/>
      <c r="U609" s="209"/>
      <c r="V609" s="210"/>
      <c r="W609" s="210"/>
      <c r="X609" s="210"/>
      <c r="Y609" s="210"/>
      <c r="Z609" s="210"/>
    </row>
    <row r="610">
      <c r="A610" s="415"/>
      <c r="B610" s="210"/>
      <c r="C610" s="415"/>
      <c r="D610" s="156"/>
      <c r="E610" s="415"/>
      <c r="F610" s="210"/>
      <c r="G610" s="415"/>
      <c r="H610" s="210"/>
      <c r="I610" s="423"/>
      <c r="J610" s="156"/>
      <c r="K610" s="423"/>
      <c r="L610" s="156"/>
      <c r="M610" s="423"/>
      <c r="N610" s="156"/>
      <c r="O610" s="415"/>
      <c r="P610" s="210"/>
      <c r="Q610" s="424"/>
      <c r="R610" s="83"/>
      <c r="S610" s="209"/>
      <c r="T610" s="210"/>
      <c r="U610" s="209"/>
      <c r="V610" s="210"/>
      <c r="W610" s="210"/>
      <c r="X610" s="210"/>
      <c r="Y610" s="210"/>
      <c r="Z610" s="210"/>
    </row>
    <row r="611">
      <c r="A611" s="415"/>
      <c r="B611" s="210"/>
      <c r="C611" s="415"/>
      <c r="D611" s="156"/>
      <c r="E611" s="415"/>
      <c r="F611" s="210"/>
      <c r="G611" s="415"/>
      <c r="H611" s="210"/>
      <c r="I611" s="423"/>
      <c r="J611" s="156"/>
      <c r="K611" s="423"/>
      <c r="L611" s="156"/>
      <c r="M611" s="423"/>
      <c r="N611" s="156"/>
      <c r="O611" s="415"/>
      <c r="P611" s="210"/>
      <c r="Q611" s="424"/>
      <c r="R611" s="83"/>
      <c r="S611" s="209"/>
      <c r="T611" s="210"/>
      <c r="U611" s="209"/>
      <c r="V611" s="210"/>
      <c r="W611" s="210"/>
      <c r="X611" s="210"/>
      <c r="Y611" s="210"/>
      <c r="Z611" s="210"/>
    </row>
    <row r="612">
      <c r="A612" s="415"/>
      <c r="B612" s="210"/>
      <c r="C612" s="415"/>
      <c r="D612" s="156"/>
      <c r="E612" s="415"/>
      <c r="F612" s="210"/>
      <c r="G612" s="415"/>
      <c r="H612" s="210"/>
      <c r="I612" s="423"/>
      <c r="J612" s="156"/>
      <c r="K612" s="423"/>
      <c r="L612" s="156"/>
      <c r="M612" s="423"/>
      <c r="N612" s="156"/>
      <c r="O612" s="415"/>
      <c r="P612" s="210"/>
      <c r="Q612" s="424"/>
      <c r="R612" s="83"/>
      <c r="S612" s="209"/>
      <c r="T612" s="210"/>
      <c r="U612" s="209"/>
      <c r="V612" s="210"/>
      <c r="W612" s="210"/>
      <c r="X612" s="210"/>
      <c r="Y612" s="210"/>
      <c r="Z612" s="210"/>
    </row>
    <row r="613">
      <c r="A613" s="415"/>
      <c r="B613" s="210"/>
      <c r="C613" s="415"/>
      <c r="D613" s="156"/>
      <c r="E613" s="415"/>
      <c r="F613" s="210"/>
      <c r="G613" s="415"/>
      <c r="H613" s="210"/>
      <c r="I613" s="423"/>
      <c r="J613" s="156"/>
      <c r="K613" s="423"/>
      <c r="L613" s="156"/>
      <c r="M613" s="423"/>
      <c r="N613" s="156"/>
      <c r="O613" s="415"/>
      <c r="P613" s="210"/>
      <c r="Q613" s="424"/>
      <c r="R613" s="83"/>
      <c r="S613" s="209"/>
      <c r="T613" s="210"/>
      <c r="U613" s="209"/>
      <c r="V613" s="210"/>
      <c r="W613" s="210"/>
      <c r="X613" s="210"/>
      <c r="Y613" s="210"/>
      <c r="Z613" s="210"/>
    </row>
    <row r="614">
      <c r="A614" s="415"/>
      <c r="B614" s="210"/>
      <c r="C614" s="415"/>
      <c r="D614" s="156"/>
      <c r="E614" s="415"/>
      <c r="F614" s="210"/>
      <c r="G614" s="415"/>
      <c r="H614" s="210"/>
      <c r="I614" s="423"/>
      <c r="J614" s="156"/>
      <c r="K614" s="423"/>
      <c r="L614" s="156"/>
      <c r="M614" s="423"/>
      <c r="N614" s="156"/>
      <c r="O614" s="415"/>
      <c r="P614" s="210"/>
      <c r="Q614" s="424"/>
      <c r="R614" s="83"/>
      <c r="S614" s="209"/>
      <c r="T614" s="210"/>
      <c r="U614" s="209"/>
      <c r="V614" s="210"/>
      <c r="W614" s="210"/>
      <c r="X614" s="210"/>
      <c r="Y614" s="210"/>
      <c r="Z614" s="210"/>
    </row>
    <row r="615">
      <c r="A615" s="415"/>
      <c r="B615" s="210"/>
      <c r="C615" s="415"/>
      <c r="D615" s="156"/>
      <c r="E615" s="415"/>
      <c r="F615" s="210"/>
      <c r="G615" s="415"/>
      <c r="H615" s="210"/>
      <c r="I615" s="423"/>
      <c r="J615" s="156"/>
      <c r="K615" s="423"/>
      <c r="L615" s="156"/>
      <c r="M615" s="423"/>
      <c r="N615" s="156"/>
      <c r="O615" s="415"/>
      <c r="P615" s="210"/>
      <c r="Q615" s="424"/>
      <c r="R615" s="83"/>
      <c r="S615" s="209"/>
      <c r="T615" s="210"/>
      <c r="U615" s="209"/>
      <c r="V615" s="210"/>
      <c r="W615" s="210"/>
      <c r="X615" s="210"/>
      <c r="Y615" s="210"/>
      <c r="Z615" s="210"/>
    </row>
    <row r="616">
      <c r="A616" s="415"/>
      <c r="B616" s="210"/>
      <c r="C616" s="415"/>
      <c r="D616" s="156"/>
      <c r="E616" s="415"/>
      <c r="F616" s="210"/>
      <c r="G616" s="415"/>
      <c r="H616" s="210"/>
      <c r="I616" s="423"/>
      <c r="J616" s="156"/>
      <c r="K616" s="423"/>
      <c r="L616" s="156"/>
      <c r="M616" s="423"/>
      <c r="N616" s="156"/>
      <c r="O616" s="415"/>
      <c r="P616" s="210"/>
      <c r="Q616" s="424"/>
      <c r="R616" s="83"/>
      <c r="S616" s="209"/>
      <c r="T616" s="210"/>
      <c r="U616" s="209"/>
      <c r="V616" s="210"/>
      <c r="W616" s="210"/>
      <c r="X616" s="210"/>
      <c r="Y616" s="210"/>
      <c r="Z616" s="210"/>
    </row>
    <row r="617">
      <c r="A617" s="415"/>
      <c r="B617" s="210"/>
      <c r="C617" s="415"/>
      <c r="D617" s="156"/>
      <c r="E617" s="415"/>
      <c r="F617" s="210"/>
      <c r="G617" s="415"/>
      <c r="H617" s="210"/>
      <c r="I617" s="423"/>
      <c r="J617" s="156"/>
      <c r="K617" s="423"/>
      <c r="L617" s="156"/>
      <c r="M617" s="423"/>
      <c r="N617" s="156"/>
      <c r="O617" s="415"/>
      <c r="P617" s="210"/>
      <c r="Q617" s="424"/>
      <c r="R617" s="83"/>
      <c r="S617" s="209"/>
      <c r="T617" s="210"/>
      <c r="U617" s="209"/>
      <c r="V617" s="210"/>
      <c r="W617" s="210"/>
      <c r="X617" s="210"/>
      <c r="Y617" s="210"/>
      <c r="Z617" s="210"/>
    </row>
    <row r="618">
      <c r="A618" s="415"/>
      <c r="B618" s="210"/>
      <c r="C618" s="415"/>
      <c r="D618" s="156"/>
      <c r="E618" s="415"/>
      <c r="F618" s="210"/>
      <c r="G618" s="415"/>
      <c r="H618" s="210"/>
      <c r="I618" s="423"/>
      <c r="J618" s="156"/>
      <c r="K618" s="423"/>
      <c r="L618" s="156"/>
      <c r="M618" s="423"/>
      <c r="N618" s="156"/>
      <c r="O618" s="415"/>
      <c r="P618" s="210"/>
      <c r="Q618" s="424"/>
      <c r="R618" s="83"/>
      <c r="S618" s="209"/>
      <c r="T618" s="210"/>
      <c r="U618" s="209"/>
      <c r="V618" s="210"/>
      <c r="W618" s="210"/>
      <c r="X618" s="210"/>
      <c r="Y618" s="210"/>
      <c r="Z618" s="210"/>
    </row>
    <row r="619">
      <c r="A619" s="415"/>
      <c r="B619" s="210"/>
      <c r="C619" s="415"/>
      <c r="D619" s="156"/>
      <c r="E619" s="415"/>
      <c r="F619" s="210"/>
      <c r="G619" s="415"/>
      <c r="H619" s="210"/>
      <c r="I619" s="423"/>
      <c r="J619" s="156"/>
      <c r="K619" s="423"/>
      <c r="L619" s="156"/>
      <c r="M619" s="423"/>
      <c r="N619" s="156"/>
      <c r="O619" s="415"/>
      <c r="P619" s="210"/>
      <c r="Q619" s="424"/>
      <c r="R619" s="83"/>
      <c r="S619" s="209"/>
      <c r="T619" s="210"/>
      <c r="U619" s="209"/>
      <c r="V619" s="210"/>
      <c r="W619" s="210"/>
      <c r="X619" s="210"/>
      <c r="Y619" s="210"/>
      <c r="Z619" s="210"/>
    </row>
    <row r="620">
      <c r="A620" s="415"/>
      <c r="B620" s="210"/>
      <c r="C620" s="415"/>
      <c r="D620" s="156"/>
      <c r="E620" s="415"/>
      <c r="F620" s="210"/>
      <c r="G620" s="415"/>
      <c r="H620" s="210"/>
      <c r="I620" s="423"/>
      <c r="J620" s="156"/>
      <c r="K620" s="423"/>
      <c r="L620" s="156"/>
      <c r="M620" s="423"/>
      <c r="N620" s="156"/>
      <c r="O620" s="415"/>
      <c r="P620" s="210"/>
      <c r="Q620" s="424"/>
      <c r="R620" s="83"/>
      <c r="S620" s="209"/>
      <c r="T620" s="210"/>
      <c r="U620" s="209"/>
      <c r="V620" s="210"/>
      <c r="W620" s="210"/>
      <c r="X620" s="210"/>
      <c r="Y620" s="210"/>
      <c r="Z620" s="210"/>
    </row>
    <row r="621">
      <c r="A621" s="415"/>
      <c r="B621" s="210"/>
      <c r="C621" s="415"/>
      <c r="D621" s="156"/>
      <c r="E621" s="415"/>
      <c r="F621" s="210"/>
      <c r="G621" s="415"/>
      <c r="H621" s="210"/>
      <c r="I621" s="423"/>
      <c r="J621" s="156"/>
      <c r="K621" s="423"/>
      <c r="L621" s="156"/>
      <c r="M621" s="423"/>
      <c r="N621" s="156"/>
      <c r="O621" s="415"/>
      <c r="P621" s="210"/>
      <c r="Q621" s="424"/>
      <c r="R621" s="83"/>
      <c r="S621" s="209"/>
      <c r="T621" s="210"/>
      <c r="U621" s="209"/>
      <c r="V621" s="210"/>
      <c r="W621" s="210"/>
      <c r="X621" s="210"/>
      <c r="Y621" s="210"/>
      <c r="Z621" s="210"/>
    </row>
    <row r="622">
      <c r="A622" s="415"/>
      <c r="B622" s="210"/>
      <c r="C622" s="415"/>
      <c r="D622" s="156"/>
      <c r="E622" s="415"/>
      <c r="F622" s="210"/>
      <c r="G622" s="415"/>
      <c r="H622" s="210"/>
      <c r="I622" s="423"/>
      <c r="J622" s="156"/>
      <c r="K622" s="423"/>
      <c r="L622" s="156"/>
      <c r="M622" s="423"/>
      <c r="N622" s="156"/>
      <c r="O622" s="415"/>
      <c r="P622" s="210"/>
      <c r="Q622" s="424"/>
      <c r="R622" s="83"/>
      <c r="S622" s="209"/>
      <c r="T622" s="210"/>
      <c r="U622" s="209"/>
      <c r="V622" s="210"/>
      <c r="W622" s="210"/>
      <c r="X622" s="210"/>
      <c r="Y622" s="210"/>
      <c r="Z622" s="210"/>
    </row>
    <row r="623">
      <c r="A623" s="415"/>
      <c r="B623" s="210"/>
      <c r="C623" s="415"/>
      <c r="D623" s="156"/>
      <c r="E623" s="415"/>
      <c r="F623" s="210"/>
      <c r="G623" s="415"/>
      <c r="H623" s="210"/>
      <c r="I623" s="423"/>
      <c r="J623" s="156"/>
      <c r="K623" s="423"/>
      <c r="L623" s="156"/>
      <c r="M623" s="423"/>
      <c r="N623" s="156"/>
      <c r="O623" s="415"/>
      <c r="P623" s="210"/>
      <c r="Q623" s="424"/>
      <c r="R623" s="83"/>
      <c r="S623" s="209"/>
      <c r="T623" s="210"/>
      <c r="U623" s="209"/>
      <c r="V623" s="210"/>
      <c r="W623" s="210"/>
      <c r="X623" s="210"/>
      <c r="Y623" s="210"/>
      <c r="Z623" s="210"/>
    </row>
    <row r="624">
      <c r="A624" s="415"/>
      <c r="B624" s="210"/>
      <c r="C624" s="415"/>
      <c r="D624" s="156"/>
      <c r="E624" s="415"/>
      <c r="F624" s="210"/>
      <c r="G624" s="415"/>
      <c r="H624" s="210"/>
      <c r="I624" s="423"/>
      <c r="J624" s="156"/>
      <c r="K624" s="423"/>
      <c r="L624" s="156"/>
      <c r="M624" s="423"/>
      <c r="N624" s="156"/>
      <c r="O624" s="415"/>
      <c r="P624" s="210"/>
      <c r="Q624" s="424"/>
      <c r="R624" s="83"/>
      <c r="S624" s="209"/>
      <c r="T624" s="210"/>
      <c r="U624" s="209"/>
      <c r="V624" s="210"/>
      <c r="W624" s="210"/>
      <c r="X624" s="210"/>
      <c r="Y624" s="210"/>
      <c r="Z624" s="210"/>
    </row>
    <row r="625">
      <c r="A625" s="415"/>
      <c r="B625" s="210"/>
      <c r="C625" s="415"/>
      <c r="D625" s="156"/>
      <c r="E625" s="415"/>
      <c r="F625" s="210"/>
      <c r="G625" s="415"/>
      <c r="H625" s="210"/>
      <c r="I625" s="423"/>
      <c r="J625" s="156"/>
      <c r="K625" s="423"/>
      <c r="L625" s="156"/>
      <c r="M625" s="423"/>
      <c r="N625" s="156"/>
      <c r="O625" s="415"/>
      <c r="P625" s="210"/>
      <c r="Q625" s="424"/>
      <c r="R625" s="83"/>
      <c r="S625" s="209"/>
      <c r="T625" s="210"/>
      <c r="U625" s="209"/>
      <c r="V625" s="210"/>
      <c r="W625" s="210"/>
      <c r="X625" s="210"/>
      <c r="Y625" s="210"/>
      <c r="Z625" s="210"/>
    </row>
    <row r="626">
      <c r="A626" s="415"/>
      <c r="B626" s="210"/>
      <c r="C626" s="415"/>
      <c r="D626" s="156"/>
      <c r="E626" s="415"/>
      <c r="F626" s="210"/>
      <c r="G626" s="415"/>
      <c r="H626" s="210"/>
      <c r="I626" s="423"/>
      <c r="J626" s="156"/>
      <c r="K626" s="423"/>
      <c r="L626" s="156"/>
      <c r="M626" s="423"/>
      <c r="N626" s="156"/>
      <c r="O626" s="415"/>
      <c r="P626" s="210"/>
      <c r="Q626" s="424"/>
      <c r="R626" s="83"/>
      <c r="S626" s="209"/>
      <c r="T626" s="210"/>
      <c r="U626" s="209"/>
      <c r="V626" s="210"/>
      <c r="W626" s="210"/>
      <c r="X626" s="210"/>
      <c r="Y626" s="210"/>
      <c r="Z626" s="210"/>
    </row>
    <row r="627">
      <c r="A627" s="415"/>
      <c r="B627" s="210"/>
      <c r="C627" s="415"/>
      <c r="D627" s="156"/>
      <c r="E627" s="415"/>
      <c r="F627" s="210"/>
      <c r="G627" s="415"/>
      <c r="H627" s="210"/>
      <c r="I627" s="423"/>
      <c r="J627" s="156"/>
      <c r="K627" s="423"/>
      <c r="L627" s="156"/>
      <c r="M627" s="423"/>
      <c r="N627" s="156"/>
      <c r="O627" s="415"/>
      <c r="P627" s="210"/>
      <c r="Q627" s="424"/>
      <c r="R627" s="83"/>
      <c r="S627" s="209"/>
      <c r="T627" s="210"/>
      <c r="U627" s="209"/>
      <c r="V627" s="210"/>
      <c r="W627" s="210"/>
      <c r="X627" s="210"/>
      <c r="Y627" s="210"/>
      <c r="Z627" s="210"/>
    </row>
    <row r="628">
      <c r="A628" s="415"/>
      <c r="B628" s="210"/>
      <c r="C628" s="415"/>
      <c r="D628" s="156"/>
      <c r="E628" s="415"/>
      <c r="F628" s="210"/>
      <c r="G628" s="415"/>
      <c r="H628" s="210"/>
      <c r="I628" s="423"/>
      <c r="J628" s="156"/>
      <c r="K628" s="423"/>
      <c r="L628" s="156"/>
      <c r="M628" s="423"/>
      <c r="N628" s="156"/>
      <c r="O628" s="415"/>
      <c r="P628" s="210"/>
      <c r="Q628" s="424"/>
      <c r="R628" s="83"/>
      <c r="S628" s="209"/>
      <c r="T628" s="210"/>
      <c r="U628" s="209"/>
      <c r="V628" s="210"/>
      <c r="W628" s="210"/>
      <c r="X628" s="210"/>
      <c r="Y628" s="210"/>
      <c r="Z628" s="210"/>
    </row>
    <row r="629">
      <c r="A629" s="415"/>
      <c r="B629" s="210"/>
      <c r="C629" s="415"/>
      <c r="D629" s="156"/>
      <c r="E629" s="415"/>
      <c r="F629" s="210"/>
      <c r="G629" s="415"/>
      <c r="H629" s="210"/>
      <c r="I629" s="423"/>
      <c r="J629" s="156"/>
      <c r="K629" s="423"/>
      <c r="L629" s="156"/>
      <c r="M629" s="423"/>
      <c r="N629" s="156"/>
      <c r="O629" s="415"/>
      <c r="P629" s="210"/>
      <c r="Q629" s="424"/>
      <c r="R629" s="83"/>
      <c r="S629" s="209"/>
      <c r="T629" s="210"/>
      <c r="U629" s="209"/>
      <c r="V629" s="210"/>
      <c r="W629" s="210"/>
      <c r="X629" s="210"/>
      <c r="Y629" s="210"/>
      <c r="Z629" s="210"/>
    </row>
    <row r="630">
      <c r="A630" s="415"/>
      <c r="B630" s="210"/>
      <c r="C630" s="415"/>
      <c r="D630" s="156"/>
      <c r="E630" s="415"/>
      <c r="F630" s="210"/>
      <c r="G630" s="415"/>
      <c r="H630" s="210"/>
      <c r="I630" s="423"/>
      <c r="J630" s="156"/>
      <c r="K630" s="423"/>
      <c r="L630" s="156"/>
      <c r="M630" s="423"/>
      <c r="N630" s="156"/>
      <c r="O630" s="415"/>
      <c r="P630" s="210"/>
      <c r="Q630" s="424"/>
      <c r="R630" s="83"/>
      <c r="S630" s="209"/>
      <c r="T630" s="210"/>
      <c r="U630" s="209"/>
      <c r="V630" s="210"/>
      <c r="W630" s="210"/>
      <c r="X630" s="210"/>
      <c r="Y630" s="210"/>
      <c r="Z630" s="210"/>
    </row>
    <row r="631">
      <c r="A631" s="415"/>
      <c r="B631" s="210"/>
      <c r="C631" s="415"/>
      <c r="D631" s="156"/>
      <c r="E631" s="415"/>
      <c r="F631" s="210"/>
      <c r="G631" s="415"/>
      <c r="H631" s="210"/>
      <c r="I631" s="423"/>
      <c r="J631" s="156"/>
      <c r="K631" s="423"/>
      <c r="L631" s="156"/>
      <c r="M631" s="423"/>
      <c r="N631" s="156"/>
      <c r="O631" s="415"/>
      <c r="P631" s="210"/>
      <c r="Q631" s="424"/>
      <c r="R631" s="83"/>
      <c r="S631" s="209"/>
      <c r="T631" s="210"/>
      <c r="U631" s="209"/>
      <c r="V631" s="210"/>
      <c r="W631" s="210"/>
      <c r="X631" s="210"/>
      <c r="Y631" s="210"/>
      <c r="Z631" s="210"/>
    </row>
    <row r="632">
      <c r="A632" s="415"/>
      <c r="B632" s="210"/>
      <c r="C632" s="415"/>
      <c r="D632" s="156"/>
      <c r="E632" s="415"/>
      <c r="F632" s="210"/>
      <c r="G632" s="415"/>
      <c r="H632" s="210"/>
      <c r="I632" s="423"/>
      <c r="J632" s="156"/>
      <c r="K632" s="423"/>
      <c r="L632" s="156"/>
      <c r="M632" s="423"/>
      <c r="N632" s="156"/>
      <c r="O632" s="415"/>
      <c r="P632" s="210"/>
      <c r="Q632" s="424"/>
      <c r="R632" s="83"/>
      <c r="S632" s="209"/>
      <c r="T632" s="210"/>
      <c r="U632" s="209"/>
      <c r="V632" s="210"/>
      <c r="W632" s="210"/>
      <c r="X632" s="210"/>
      <c r="Y632" s="210"/>
      <c r="Z632" s="210"/>
    </row>
    <row r="633">
      <c r="A633" s="415"/>
      <c r="B633" s="210"/>
      <c r="C633" s="415"/>
      <c r="D633" s="156"/>
      <c r="E633" s="415"/>
      <c r="F633" s="210"/>
      <c r="G633" s="415"/>
      <c r="H633" s="210"/>
      <c r="I633" s="423"/>
      <c r="J633" s="156"/>
      <c r="K633" s="423"/>
      <c r="L633" s="156"/>
      <c r="M633" s="423"/>
      <c r="N633" s="156"/>
      <c r="O633" s="415"/>
      <c r="P633" s="210"/>
      <c r="Q633" s="424"/>
      <c r="R633" s="83"/>
      <c r="S633" s="209"/>
      <c r="T633" s="210"/>
      <c r="U633" s="209"/>
      <c r="V633" s="210"/>
      <c r="W633" s="210"/>
      <c r="X633" s="210"/>
      <c r="Y633" s="210"/>
      <c r="Z633" s="210"/>
    </row>
    <row r="634">
      <c r="A634" s="415"/>
      <c r="B634" s="210"/>
      <c r="C634" s="415"/>
      <c r="D634" s="156"/>
      <c r="E634" s="415"/>
      <c r="F634" s="210"/>
      <c r="G634" s="415"/>
      <c r="H634" s="210"/>
      <c r="I634" s="423"/>
      <c r="J634" s="156"/>
      <c r="K634" s="423"/>
      <c r="L634" s="156"/>
      <c r="M634" s="423"/>
      <c r="N634" s="156"/>
      <c r="O634" s="415"/>
      <c r="P634" s="210"/>
      <c r="Q634" s="424"/>
      <c r="R634" s="83"/>
      <c r="S634" s="209"/>
      <c r="T634" s="210"/>
      <c r="U634" s="209"/>
      <c r="V634" s="210"/>
      <c r="W634" s="210"/>
      <c r="X634" s="210"/>
      <c r="Y634" s="210"/>
      <c r="Z634" s="210"/>
    </row>
    <row r="635">
      <c r="A635" s="415"/>
      <c r="B635" s="210"/>
      <c r="C635" s="415"/>
      <c r="D635" s="156"/>
      <c r="E635" s="415"/>
      <c r="F635" s="210"/>
      <c r="G635" s="415"/>
      <c r="H635" s="210"/>
      <c r="I635" s="423"/>
      <c r="J635" s="156"/>
      <c r="K635" s="423"/>
      <c r="L635" s="156"/>
      <c r="M635" s="423"/>
      <c r="N635" s="156"/>
      <c r="O635" s="415"/>
      <c r="P635" s="210"/>
      <c r="Q635" s="424"/>
      <c r="R635" s="83"/>
      <c r="S635" s="209"/>
      <c r="T635" s="210"/>
      <c r="U635" s="209"/>
      <c r="V635" s="210"/>
      <c r="W635" s="210"/>
      <c r="X635" s="210"/>
      <c r="Y635" s="210"/>
      <c r="Z635" s="210"/>
    </row>
    <row r="636">
      <c r="A636" s="415"/>
      <c r="B636" s="210"/>
      <c r="C636" s="415"/>
      <c r="D636" s="156"/>
      <c r="E636" s="415"/>
      <c r="F636" s="210"/>
      <c r="G636" s="415"/>
      <c r="H636" s="210"/>
      <c r="I636" s="423"/>
      <c r="J636" s="156"/>
      <c r="K636" s="423"/>
      <c r="L636" s="156"/>
      <c r="M636" s="423"/>
      <c r="N636" s="156"/>
      <c r="O636" s="415"/>
      <c r="P636" s="210"/>
      <c r="Q636" s="424"/>
      <c r="R636" s="83"/>
      <c r="S636" s="209"/>
      <c r="T636" s="210"/>
      <c r="U636" s="209"/>
      <c r="V636" s="210"/>
      <c r="W636" s="210"/>
      <c r="X636" s="210"/>
      <c r="Y636" s="210"/>
      <c r="Z636" s="210"/>
    </row>
    <row r="637">
      <c r="A637" s="415"/>
      <c r="B637" s="210"/>
      <c r="C637" s="415"/>
      <c r="D637" s="156"/>
      <c r="E637" s="415"/>
      <c r="F637" s="210"/>
      <c r="G637" s="415"/>
      <c r="H637" s="210"/>
      <c r="I637" s="423"/>
      <c r="J637" s="156"/>
      <c r="K637" s="423"/>
      <c r="L637" s="156"/>
      <c r="M637" s="423"/>
      <c r="N637" s="156"/>
      <c r="O637" s="415"/>
      <c r="P637" s="210"/>
      <c r="Q637" s="424"/>
      <c r="R637" s="83"/>
      <c r="S637" s="209"/>
      <c r="T637" s="210"/>
      <c r="U637" s="209"/>
      <c r="V637" s="210"/>
      <c r="W637" s="210"/>
      <c r="X637" s="210"/>
      <c r="Y637" s="210"/>
      <c r="Z637" s="210"/>
    </row>
    <row r="638">
      <c r="A638" s="415"/>
      <c r="B638" s="210"/>
      <c r="C638" s="415"/>
      <c r="D638" s="156"/>
      <c r="E638" s="415"/>
      <c r="F638" s="210"/>
      <c r="G638" s="415"/>
      <c r="H638" s="210"/>
      <c r="I638" s="423"/>
      <c r="J638" s="156"/>
      <c r="K638" s="423"/>
      <c r="L638" s="156"/>
      <c r="M638" s="423"/>
      <c r="N638" s="156"/>
      <c r="O638" s="415"/>
      <c r="P638" s="210"/>
      <c r="Q638" s="424"/>
      <c r="R638" s="83"/>
      <c r="S638" s="209"/>
      <c r="T638" s="210"/>
      <c r="U638" s="209"/>
      <c r="V638" s="210"/>
      <c r="W638" s="210"/>
      <c r="X638" s="210"/>
      <c r="Y638" s="210"/>
      <c r="Z638" s="210"/>
    </row>
    <row r="639">
      <c r="A639" s="415"/>
      <c r="B639" s="210"/>
      <c r="C639" s="415"/>
      <c r="D639" s="156"/>
      <c r="E639" s="415"/>
      <c r="F639" s="210"/>
      <c r="G639" s="415"/>
      <c r="H639" s="210"/>
      <c r="I639" s="423"/>
      <c r="J639" s="156"/>
      <c r="K639" s="423"/>
      <c r="L639" s="156"/>
      <c r="M639" s="423"/>
      <c r="N639" s="156"/>
      <c r="O639" s="415"/>
      <c r="P639" s="210"/>
      <c r="Q639" s="424"/>
      <c r="R639" s="83"/>
      <c r="S639" s="209"/>
      <c r="T639" s="210"/>
      <c r="U639" s="209"/>
      <c r="V639" s="210"/>
      <c r="W639" s="210"/>
      <c r="X639" s="210"/>
      <c r="Y639" s="210"/>
      <c r="Z639" s="210"/>
    </row>
    <row r="640">
      <c r="A640" s="415"/>
      <c r="B640" s="210"/>
      <c r="C640" s="415"/>
      <c r="D640" s="156"/>
      <c r="E640" s="415"/>
      <c r="F640" s="210"/>
      <c r="G640" s="415"/>
      <c r="H640" s="210"/>
      <c r="I640" s="423"/>
      <c r="J640" s="156"/>
      <c r="K640" s="423"/>
      <c r="L640" s="156"/>
      <c r="M640" s="423"/>
      <c r="N640" s="156"/>
      <c r="O640" s="415"/>
      <c r="P640" s="210"/>
      <c r="Q640" s="424"/>
      <c r="R640" s="83"/>
      <c r="S640" s="209"/>
      <c r="T640" s="210"/>
      <c r="U640" s="209"/>
      <c r="V640" s="210"/>
      <c r="W640" s="210"/>
      <c r="X640" s="210"/>
      <c r="Y640" s="210"/>
      <c r="Z640" s="210"/>
    </row>
    <row r="641">
      <c r="A641" s="415"/>
      <c r="B641" s="210"/>
      <c r="C641" s="415"/>
      <c r="D641" s="156"/>
      <c r="E641" s="415"/>
      <c r="F641" s="210"/>
      <c r="G641" s="415"/>
      <c r="H641" s="210"/>
      <c r="I641" s="423"/>
      <c r="J641" s="156"/>
      <c r="K641" s="423"/>
      <c r="L641" s="156"/>
      <c r="M641" s="423"/>
      <c r="N641" s="156"/>
      <c r="O641" s="415"/>
      <c r="P641" s="210"/>
      <c r="Q641" s="424"/>
      <c r="R641" s="83"/>
      <c r="S641" s="209"/>
      <c r="T641" s="210"/>
      <c r="U641" s="209"/>
      <c r="V641" s="210"/>
      <c r="W641" s="210"/>
      <c r="X641" s="210"/>
      <c r="Y641" s="210"/>
      <c r="Z641" s="210"/>
    </row>
    <row r="642">
      <c r="A642" s="415"/>
      <c r="B642" s="210"/>
      <c r="C642" s="415"/>
      <c r="D642" s="156"/>
      <c r="E642" s="415"/>
      <c r="F642" s="210"/>
      <c r="G642" s="415"/>
      <c r="H642" s="210"/>
      <c r="I642" s="423"/>
      <c r="J642" s="156"/>
      <c r="K642" s="423"/>
      <c r="L642" s="156"/>
      <c r="M642" s="423"/>
      <c r="N642" s="156"/>
      <c r="O642" s="415"/>
      <c r="P642" s="210"/>
      <c r="Q642" s="424"/>
      <c r="R642" s="83"/>
      <c r="S642" s="209"/>
      <c r="T642" s="210"/>
      <c r="U642" s="209"/>
      <c r="V642" s="210"/>
      <c r="W642" s="210"/>
      <c r="X642" s="210"/>
      <c r="Y642" s="210"/>
      <c r="Z642" s="210"/>
    </row>
    <row r="643">
      <c r="A643" s="415"/>
      <c r="B643" s="210"/>
      <c r="C643" s="415"/>
      <c r="D643" s="156"/>
      <c r="E643" s="415"/>
      <c r="F643" s="210"/>
      <c r="G643" s="415"/>
      <c r="H643" s="210"/>
      <c r="I643" s="423"/>
      <c r="J643" s="156"/>
      <c r="K643" s="423"/>
      <c r="L643" s="156"/>
      <c r="M643" s="423"/>
      <c r="N643" s="156"/>
      <c r="O643" s="415"/>
      <c r="P643" s="210"/>
      <c r="Q643" s="424"/>
      <c r="R643" s="83"/>
      <c r="S643" s="209"/>
      <c r="T643" s="210"/>
      <c r="U643" s="209"/>
      <c r="V643" s="210"/>
      <c r="W643" s="210"/>
      <c r="X643" s="210"/>
      <c r="Y643" s="210"/>
      <c r="Z643" s="210"/>
    </row>
    <row r="644">
      <c r="A644" s="415"/>
      <c r="B644" s="210"/>
      <c r="C644" s="415"/>
      <c r="D644" s="156"/>
      <c r="E644" s="415"/>
      <c r="F644" s="210"/>
      <c r="G644" s="415"/>
      <c r="H644" s="210"/>
      <c r="I644" s="423"/>
      <c r="J644" s="156"/>
      <c r="K644" s="423"/>
      <c r="L644" s="156"/>
      <c r="M644" s="423"/>
      <c r="N644" s="156"/>
      <c r="O644" s="415"/>
      <c r="P644" s="210"/>
      <c r="Q644" s="424"/>
      <c r="R644" s="83"/>
      <c r="S644" s="209"/>
      <c r="T644" s="210"/>
      <c r="U644" s="209"/>
      <c r="V644" s="210"/>
      <c r="W644" s="210"/>
      <c r="X644" s="210"/>
      <c r="Y644" s="210"/>
      <c r="Z644" s="210"/>
    </row>
    <row r="645">
      <c r="A645" s="415"/>
      <c r="B645" s="210"/>
      <c r="C645" s="415"/>
      <c r="D645" s="156"/>
      <c r="E645" s="415"/>
      <c r="F645" s="210"/>
      <c r="G645" s="415"/>
      <c r="H645" s="210"/>
      <c r="I645" s="423"/>
      <c r="J645" s="156"/>
      <c r="K645" s="423"/>
      <c r="L645" s="156"/>
      <c r="M645" s="423"/>
      <c r="N645" s="156"/>
      <c r="O645" s="415"/>
      <c r="P645" s="210"/>
      <c r="Q645" s="424"/>
      <c r="R645" s="83"/>
      <c r="S645" s="209"/>
      <c r="T645" s="210"/>
      <c r="U645" s="209"/>
      <c r="V645" s="210"/>
      <c r="W645" s="210"/>
      <c r="X645" s="210"/>
      <c r="Y645" s="210"/>
      <c r="Z645" s="210"/>
    </row>
    <row r="646">
      <c r="A646" s="415"/>
      <c r="B646" s="210"/>
      <c r="C646" s="415"/>
      <c r="D646" s="156"/>
      <c r="E646" s="415"/>
      <c r="F646" s="210"/>
      <c r="G646" s="415"/>
      <c r="H646" s="210"/>
      <c r="I646" s="423"/>
      <c r="J646" s="156"/>
      <c r="K646" s="423"/>
      <c r="L646" s="156"/>
      <c r="M646" s="423"/>
      <c r="N646" s="156"/>
      <c r="O646" s="415"/>
      <c r="P646" s="210"/>
      <c r="Q646" s="424"/>
      <c r="R646" s="83"/>
      <c r="S646" s="209"/>
      <c r="T646" s="210"/>
      <c r="U646" s="209"/>
      <c r="V646" s="210"/>
      <c r="W646" s="210"/>
      <c r="X646" s="210"/>
      <c r="Y646" s="210"/>
      <c r="Z646" s="210"/>
    </row>
    <row r="647">
      <c r="A647" s="415"/>
      <c r="B647" s="210"/>
      <c r="C647" s="415"/>
      <c r="D647" s="156"/>
      <c r="E647" s="415"/>
      <c r="F647" s="210"/>
      <c r="G647" s="415"/>
      <c r="H647" s="210"/>
      <c r="I647" s="423"/>
      <c r="J647" s="156"/>
      <c r="K647" s="423"/>
      <c r="L647" s="156"/>
      <c r="M647" s="423"/>
      <c r="N647" s="156"/>
      <c r="O647" s="415"/>
      <c r="P647" s="210"/>
      <c r="Q647" s="424"/>
      <c r="R647" s="83"/>
      <c r="S647" s="209"/>
      <c r="T647" s="210"/>
      <c r="U647" s="209"/>
      <c r="V647" s="210"/>
      <c r="W647" s="210"/>
      <c r="X647" s="210"/>
      <c r="Y647" s="210"/>
      <c r="Z647" s="210"/>
    </row>
    <row r="648">
      <c r="A648" s="415"/>
      <c r="B648" s="210"/>
      <c r="C648" s="415"/>
      <c r="D648" s="156"/>
      <c r="E648" s="415"/>
      <c r="F648" s="210"/>
      <c r="G648" s="415"/>
      <c r="H648" s="210"/>
      <c r="I648" s="423"/>
      <c r="J648" s="156"/>
      <c r="K648" s="423"/>
      <c r="L648" s="156"/>
      <c r="M648" s="423"/>
      <c r="N648" s="156"/>
      <c r="O648" s="415"/>
      <c r="P648" s="210"/>
      <c r="Q648" s="424"/>
      <c r="R648" s="83"/>
      <c r="S648" s="209"/>
      <c r="T648" s="210"/>
      <c r="U648" s="209"/>
      <c r="V648" s="210"/>
      <c r="W648" s="210"/>
      <c r="X648" s="210"/>
      <c r="Y648" s="210"/>
      <c r="Z648" s="210"/>
    </row>
    <row r="649">
      <c r="A649" s="415"/>
      <c r="B649" s="210"/>
      <c r="C649" s="415"/>
      <c r="D649" s="156"/>
      <c r="E649" s="415"/>
      <c r="F649" s="210"/>
      <c r="G649" s="415"/>
      <c r="H649" s="210"/>
      <c r="I649" s="423"/>
      <c r="J649" s="156"/>
      <c r="K649" s="423"/>
      <c r="L649" s="156"/>
      <c r="M649" s="423"/>
      <c r="N649" s="156"/>
      <c r="O649" s="415"/>
      <c r="P649" s="210"/>
      <c r="Q649" s="424"/>
      <c r="R649" s="83"/>
      <c r="S649" s="209"/>
      <c r="T649" s="210"/>
      <c r="U649" s="209"/>
      <c r="V649" s="210"/>
      <c r="W649" s="210"/>
      <c r="X649" s="210"/>
      <c r="Y649" s="210"/>
      <c r="Z649" s="210"/>
    </row>
    <row r="650">
      <c r="A650" s="415"/>
      <c r="B650" s="210"/>
      <c r="C650" s="415"/>
      <c r="D650" s="156"/>
      <c r="E650" s="415"/>
      <c r="F650" s="210"/>
      <c r="G650" s="415"/>
      <c r="H650" s="210"/>
      <c r="I650" s="423"/>
      <c r="J650" s="156"/>
      <c r="K650" s="423"/>
      <c r="L650" s="156"/>
      <c r="M650" s="423"/>
      <c r="N650" s="156"/>
      <c r="O650" s="415"/>
      <c r="P650" s="210"/>
      <c r="Q650" s="424"/>
      <c r="R650" s="83"/>
      <c r="S650" s="209"/>
      <c r="T650" s="210"/>
      <c r="U650" s="209"/>
      <c r="V650" s="210"/>
      <c r="W650" s="210"/>
      <c r="X650" s="210"/>
      <c r="Y650" s="210"/>
      <c r="Z650" s="210"/>
    </row>
    <row r="651">
      <c r="A651" s="415"/>
      <c r="B651" s="210"/>
      <c r="C651" s="415"/>
      <c r="D651" s="156"/>
      <c r="E651" s="415"/>
      <c r="F651" s="210"/>
      <c r="G651" s="415"/>
      <c r="H651" s="210"/>
      <c r="I651" s="423"/>
      <c r="J651" s="156"/>
      <c r="K651" s="423"/>
      <c r="L651" s="156"/>
      <c r="M651" s="423"/>
      <c r="N651" s="156"/>
      <c r="O651" s="415"/>
      <c r="P651" s="210"/>
      <c r="Q651" s="424"/>
      <c r="R651" s="83"/>
      <c r="S651" s="209"/>
      <c r="T651" s="210"/>
      <c r="U651" s="209"/>
      <c r="V651" s="210"/>
      <c r="W651" s="210"/>
      <c r="X651" s="210"/>
      <c r="Y651" s="210"/>
      <c r="Z651" s="210"/>
    </row>
    <row r="652">
      <c r="A652" s="415"/>
      <c r="B652" s="210"/>
      <c r="C652" s="415"/>
      <c r="D652" s="156"/>
      <c r="E652" s="415"/>
      <c r="F652" s="210"/>
      <c r="G652" s="415"/>
      <c r="H652" s="210"/>
      <c r="I652" s="423"/>
      <c r="J652" s="156"/>
      <c r="K652" s="423"/>
      <c r="L652" s="156"/>
      <c r="M652" s="423"/>
      <c r="N652" s="156"/>
      <c r="O652" s="415"/>
      <c r="P652" s="210"/>
      <c r="Q652" s="424"/>
      <c r="R652" s="83"/>
      <c r="S652" s="209"/>
      <c r="T652" s="210"/>
      <c r="U652" s="209"/>
      <c r="V652" s="210"/>
      <c r="W652" s="210"/>
      <c r="X652" s="210"/>
      <c r="Y652" s="210"/>
      <c r="Z652" s="210"/>
    </row>
    <row r="653">
      <c r="A653" s="415"/>
      <c r="B653" s="210"/>
      <c r="C653" s="415"/>
      <c r="D653" s="156"/>
      <c r="E653" s="415"/>
      <c r="F653" s="210"/>
      <c r="G653" s="415"/>
      <c r="H653" s="210"/>
      <c r="I653" s="423"/>
      <c r="J653" s="156"/>
      <c r="K653" s="423"/>
      <c r="L653" s="156"/>
      <c r="M653" s="423"/>
      <c r="N653" s="156"/>
      <c r="O653" s="415"/>
      <c r="P653" s="210"/>
      <c r="Q653" s="424"/>
      <c r="R653" s="83"/>
      <c r="S653" s="209"/>
      <c r="T653" s="210"/>
      <c r="U653" s="209"/>
      <c r="V653" s="210"/>
      <c r="W653" s="210"/>
      <c r="X653" s="210"/>
      <c r="Y653" s="210"/>
      <c r="Z653" s="210"/>
    </row>
    <row r="654">
      <c r="A654" s="415"/>
      <c r="B654" s="210"/>
      <c r="C654" s="415"/>
      <c r="D654" s="156"/>
      <c r="E654" s="415"/>
      <c r="F654" s="210"/>
      <c r="G654" s="415"/>
      <c r="H654" s="210"/>
      <c r="I654" s="423"/>
      <c r="J654" s="156"/>
      <c r="K654" s="423"/>
      <c r="L654" s="156"/>
      <c r="M654" s="423"/>
      <c r="N654" s="156"/>
      <c r="O654" s="415"/>
      <c r="P654" s="210"/>
      <c r="Q654" s="424"/>
      <c r="R654" s="83"/>
      <c r="S654" s="209"/>
      <c r="T654" s="210"/>
      <c r="U654" s="209"/>
      <c r="V654" s="210"/>
      <c r="W654" s="210"/>
      <c r="X654" s="210"/>
      <c r="Y654" s="210"/>
      <c r="Z654" s="210"/>
    </row>
    <row r="655">
      <c r="A655" s="415"/>
      <c r="B655" s="210"/>
      <c r="C655" s="415"/>
      <c r="D655" s="156"/>
      <c r="E655" s="415"/>
      <c r="F655" s="210"/>
      <c r="G655" s="415"/>
      <c r="H655" s="210"/>
      <c r="I655" s="423"/>
      <c r="J655" s="156"/>
      <c r="K655" s="423"/>
      <c r="L655" s="156"/>
      <c r="M655" s="423"/>
      <c r="N655" s="156"/>
      <c r="O655" s="415"/>
      <c r="P655" s="210"/>
      <c r="Q655" s="424"/>
      <c r="R655" s="83"/>
      <c r="S655" s="209"/>
      <c r="T655" s="210"/>
      <c r="U655" s="209"/>
      <c r="V655" s="210"/>
      <c r="W655" s="210"/>
      <c r="X655" s="210"/>
      <c r="Y655" s="210"/>
      <c r="Z655" s="210"/>
    </row>
    <row r="656">
      <c r="A656" s="415"/>
      <c r="B656" s="210"/>
      <c r="C656" s="415"/>
      <c r="D656" s="156"/>
      <c r="E656" s="415"/>
      <c r="F656" s="210"/>
      <c r="G656" s="415"/>
      <c r="H656" s="210"/>
      <c r="I656" s="423"/>
      <c r="J656" s="156"/>
      <c r="K656" s="423"/>
      <c r="L656" s="156"/>
      <c r="M656" s="423"/>
      <c r="N656" s="156"/>
      <c r="O656" s="415"/>
      <c r="P656" s="210"/>
      <c r="Q656" s="424"/>
      <c r="R656" s="83"/>
      <c r="S656" s="209"/>
      <c r="T656" s="210"/>
      <c r="U656" s="209"/>
      <c r="V656" s="210"/>
      <c r="W656" s="210"/>
      <c r="X656" s="210"/>
      <c r="Y656" s="210"/>
      <c r="Z656" s="210"/>
    </row>
    <row r="657">
      <c r="A657" s="415"/>
      <c r="B657" s="210"/>
      <c r="C657" s="415"/>
      <c r="D657" s="156"/>
      <c r="E657" s="415"/>
      <c r="F657" s="210"/>
      <c r="G657" s="415"/>
      <c r="H657" s="210"/>
      <c r="I657" s="423"/>
      <c r="J657" s="156"/>
      <c r="K657" s="423"/>
      <c r="L657" s="156"/>
      <c r="M657" s="423"/>
      <c r="N657" s="156"/>
      <c r="O657" s="415"/>
      <c r="P657" s="210"/>
      <c r="Q657" s="424"/>
      <c r="R657" s="83"/>
      <c r="S657" s="209"/>
      <c r="T657" s="210"/>
      <c r="U657" s="209"/>
      <c r="V657" s="210"/>
      <c r="W657" s="210"/>
      <c r="X657" s="210"/>
      <c r="Y657" s="210"/>
      <c r="Z657" s="210"/>
    </row>
    <row r="658">
      <c r="A658" s="415"/>
      <c r="B658" s="210"/>
      <c r="C658" s="415"/>
      <c r="D658" s="156"/>
      <c r="E658" s="415"/>
      <c r="F658" s="210"/>
      <c r="G658" s="415"/>
      <c r="H658" s="210"/>
      <c r="I658" s="423"/>
      <c r="J658" s="156"/>
      <c r="K658" s="423"/>
      <c r="L658" s="156"/>
      <c r="M658" s="423"/>
      <c r="N658" s="156"/>
      <c r="O658" s="415"/>
      <c r="P658" s="210"/>
      <c r="Q658" s="424"/>
      <c r="R658" s="83"/>
      <c r="S658" s="209"/>
      <c r="T658" s="210"/>
      <c r="U658" s="209"/>
      <c r="V658" s="210"/>
      <c r="W658" s="210"/>
      <c r="X658" s="210"/>
      <c r="Y658" s="210"/>
      <c r="Z658" s="210"/>
    </row>
    <row r="659">
      <c r="A659" s="415"/>
      <c r="B659" s="210"/>
      <c r="C659" s="415"/>
      <c r="D659" s="156"/>
      <c r="E659" s="415"/>
      <c r="F659" s="210"/>
      <c r="G659" s="415"/>
      <c r="H659" s="210"/>
      <c r="I659" s="423"/>
      <c r="J659" s="156"/>
      <c r="K659" s="423"/>
      <c r="L659" s="156"/>
      <c r="M659" s="423"/>
      <c r="N659" s="156"/>
      <c r="O659" s="415"/>
      <c r="P659" s="210"/>
      <c r="Q659" s="424"/>
      <c r="R659" s="83"/>
      <c r="S659" s="209"/>
      <c r="T659" s="210"/>
      <c r="U659" s="209"/>
      <c r="V659" s="210"/>
      <c r="W659" s="210"/>
      <c r="X659" s="210"/>
      <c r="Y659" s="210"/>
      <c r="Z659" s="210"/>
    </row>
    <row r="660">
      <c r="A660" s="415"/>
      <c r="B660" s="210"/>
      <c r="C660" s="415"/>
      <c r="D660" s="156"/>
      <c r="E660" s="415"/>
      <c r="F660" s="210"/>
      <c r="G660" s="415"/>
      <c r="H660" s="210"/>
      <c r="I660" s="423"/>
      <c r="J660" s="156"/>
      <c r="K660" s="423"/>
      <c r="L660" s="156"/>
      <c r="M660" s="423"/>
      <c r="N660" s="156"/>
      <c r="O660" s="415"/>
      <c r="P660" s="210"/>
      <c r="Q660" s="424"/>
      <c r="R660" s="83"/>
      <c r="S660" s="209"/>
      <c r="T660" s="210"/>
      <c r="U660" s="209"/>
      <c r="V660" s="210"/>
      <c r="W660" s="210"/>
      <c r="X660" s="210"/>
      <c r="Y660" s="210"/>
      <c r="Z660" s="210"/>
    </row>
    <row r="661">
      <c r="A661" s="415"/>
      <c r="B661" s="210"/>
      <c r="C661" s="415"/>
      <c r="D661" s="156"/>
      <c r="E661" s="415"/>
      <c r="F661" s="210"/>
      <c r="G661" s="415"/>
      <c r="H661" s="210"/>
      <c r="I661" s="423"/>
      <c r="J661" s="156"/>
      <c r="K661" s="423"/>
      <c r="L661" s="156"/>
      <c r="M661" s="423"/>
      <c r="N661" s="156"/>
      <c r="O661" s="415"/>
      <c r="P661" s="210"/>
      <c r="Q661" s="424"/>
      <c r="R661" s="83"/>
      <c r="S661" s="209"/>
      <c r="T661" s="210"/>
      <c r="U661" s="209"/>
      <c r="V661" s="210"/>
      <c r="W661" s="210"/>
      <c r="X661" s="210"/>
      <c r="Y661" s="210"/>
      <c r="Z661" s="210"/>
    </row>
    <row r="662">
      <c r="A662" s="415"/>
      <c r="B662" s="210"/>
      <c r="C662" s="415"/>
      <c r="D662" s="156"/>
      <c r="E662" s="415"/>
      <c r="F662" s="210"/>
      <c r="G662" s="415"/>
      <c r="H662" s="210"/>
      <c r="I662" s="423"/>
      <c r="J662" s="156"/>
      <c r="K662" s="423"/>
      <c r="L662" s="156"/>
      <c r="M662" s="423"/>
      <c r="N662" s="156"/>
      <c r="O662" s="415"/>
      <c r="P662" s="210"/>
      <c r="Q662" s="424"/>
      <c r="R662" s="83"/>
      <c r="S662" s="209"/>
      <c r="T662" s="210"/>
      <c r="U662" s="209"/>
      <c r="V662" s="210"/>
      <c r="W662" s="210"/>
      <c r="X662" s="210"/>
      <c r="Y662" s="210"/>
      <c r="Z662" s="210"/>
    </row>
    <row r="663">
      <c r="A663" s="415"/>
      <c r="B663" s="210"/>
      <c r="C663" s="415"/>
      <c r="D663" s="156"/>
      <c r="E663" s="415"/>
      <c r="F663" s="210"/>
      <c r="G663" s="415"/>
      <c r="H663" s="210"/>
      <c r="I663" s="423"/>
      <c r="J663" s="156"/>
      <c r="K663" s="423"/>
      <c r="L663" s="156"/>
      <c r="M663" s="423"/>
      <c r="N663" s="156"/>
      <c r="O663" s="415"/>
      <c r="P663" s="210"/>
      <c r="Q663" s="424"/>
      <c r="R663" s="83"/>
      <c r="S663" s="209"/>
      <c r="T663" s="210"/>
      <c r="U663" s="209"/>
      <c r="V663" s="210"/>
      <c r="W663" s="210"/>
      <c r="X663" s="210"/>
      <c r="Y663" s="210"/>
      <c r="Z663" s="210"/>
    </row>
    <row r="664">
      <c r="A664" s="415"/>
      <c r="B664" s="210"/>
      <c r="C664" s="415"/>
      <c r="D664" s="156"/>
      <c r="E664" s="415"/>
      <c r="F664" s="210"/>
      <c r="G664" s="415"/>
      <c r="H664" s="210"/>
      <c r="I664" s="423"/>
      <c r="J664" s="156"/>
      <c r="K664" s="423"/>
      <c r="L664" s="156"/>
      <c r="M664" s="423"/>
      <c r="N664" s="156"/>
      <c r="O664" s="415"/>
      <c r="P664" s="210"/>
      <c r="Q664" s="424"/>
      <c r="R664" s="83"/>
      <c r="S664" s="209"/>
      <c r="T664" s="210"/>
      <c r="U664" s="209"/>
      <c r="V664" s="210"/>
      <c r="W664" s="210"/>
      <c r="X664" s="210"/>
      <c r="Y664" s="210"/>
      <c r="Z664" s="210"/>
    </row>
    <row r="665">
      <c r="A665" s="415"/>
      <c r="B665" s="210"/>
      <c r="C665" s="415"/>
      <c r="D665" s="156"/>
      <c r="E665" s="415"/>
      <c r="F665" s="210"/>
      <c r="G665" s="415"/>
      <c r="H665" s="210"/>
      <c r="I665" s="423"/>
      <c r="J665" s="156"/>
      <c r="K665" s="423"/>
      <c r="L665" s="156"/>
      <c r="M665" s="423"/>
      <c r="N665" s="156"/>
      <c r="O665" s="415"/>
      <c r="P665" s="210"/>
      <c r="Q665" s="424"/>
      <c r="R665" s="83"/>
      <c r="S665" s="209"/>
      <c r="T665" s="210"/>
      <c r="U665" s="209"/>
      <c r="V665" s="210"/>
      <c r="W665" s="210"/>
      <c r="X665" s="210"/>
      <c r="Y665" s="210"/>
      <c r="Z665" s="210"/>
    </row>
    <row r="666">
      <c r="A666" s="415"/>
      <c r="B666" s="210"/>
      <c r="C666" s="415"/>
      <c r="D666" s="156"/>
      <c r="E666" s="415"/>
      <c r="F666" s="210"/>
      <c r="G666" s="415"/>
      <c r="H666" s="210"/>
      <c r="I666" s="423"/>
      <c r="J666" s="156"/>
      <c r="K666" s="423"/>
      <c r="L666" s="156"/>
      <c r="M666" s="423"/>
      <c r="N666" s="156"/>
      <c r="O666" s="415"/>
      <c r="P666" s="210"/>
      <c r="Q666" s="424"/>
      <c r="R666" s="83"/>
      <c r="S666" s="209"/>
      <c r="T666" s="210"/>
      <c r="U666" s="209"/>
      <c r="V666" s="210"/>
      <c r="W666" s="210"/>
      <c r="X666" s="210"/>
      <c r="Y666" s="210"/>
      <c r="Z666" s="210"/>
    </row>
    <row r="667">
      <c r="A667" s="415"/>
      <c r="B667" s="210"/>
      <c r="C667" s="415"/>
      <c r="D667" s="156"/>
      <c r="E667" s="415"/>
      <c r="F667" s="210"/>
      <c r="G667" s="415"/>
      <c r="H667" s="210"/>
      <c r="I667" s="423"/>
      <c r="J667" s="156"/>
      <c r="K667" s="423"/>
      <c r="L667" s="156"/>
      <c r="M667" s="423"/>
      <c r="N667" s="156"/>
      <c r="O667" s="415"/>
      <c r="P667" s="210"/>
      <c r="Q667" s="424"/>
      <c r="R667" s="83"/>
      <c r="S667" s="209"/>
      <c r="T667" s="210"/>
      <c r="U667" s="209"/>
      <c r="V667" s="210"/>
      <c r="W667" s="210"/>
      <c r="X667" s="210"/>
      <c r="Y667" s="210"/>
      <c r="Z667" s="210"/>
    </row>
    <row r="668">
      <c r="A668" s="415"/>
      <c r="B668" s="210"/>
      <c r="C668" s="415"/>
      <c r="D668" s="156"/>
      <c r="E668" s="415"/>
      <c r="F668" s="210"/>
      <c r="G668" s="415"/>
      <c r="H668" s="210"/>
      <c r="I668" s="423"/>
      <c r="J668" s="156"/>
      <c r="K668" s="423"/>
      <c r="L668" s="156"/>
      <c r="M668" s="423"/>
      <c r="N668" s="156"/>
      <c r="O668" s="415"/>
      <c r="P668" s="210"/>
      <c r="Q668" s="424"/>
      <c r="R668" s="83"/>
      <c r="S668" s="209"/>
      <c r="T668" s="210"/>
      <c r="U668" s="209"/>
      <c r="V668" s="210"/>
      <c r="W668" s="210"/>
      <c r="X668" s="210"/>
      <c r="Y668" s="210"/>
      <c r="Z668" s="210"/>
    </row>
    <row r="669">
      <c r="A669" s="415"/>
      <c r="B669" s="210"/>
      <c r="C669" s="415"/>
      <c r="D669" s="156"/>
      <c r="E669" s="415"/>
      <c r="F669" s="210"/>
      <c r="G669" s="415"/>
      <c r="H669" s="210"/>
      <c r="I669" s="423"/>
      <c r="J669" s="156"/>
      <c r="K669" s="423"/>
      <c r="L669" s="156"/>
      <c r="M669" s="423"/>
      <c r="N669" s="156"/>
      <c r="O669" s="415"/>
      <c r="P669" s="210"/>
      <c r="Q669" s="424"/>
      <c r="R669" s="83"/>
      <c r="S669" s="209"/>
      <c r="T669" s="210"/>
      <c r="U669" s="209"/>
      <c r="V669" s="210"/>
      <c r="W669" s="210"/>
      <c r="X669" s="210"/>
      <c r="Y669" s="210"/>
      <c r="Z669" s="210"/>
    </row>
    <row r="670">
      <c r="A670" s="415"/>
      <c r="B670" s="210"/>
      <c r="C670" s="415"/>
      <c r="D670" s="156"/>
      <c r="E670" s="415"/>
      <c r="F670" s="210"/>
      <c r="G670" s="415"/>
      <c r="H670" s="210"/>
      <c r="I670" s="423"/>
      <c r="J670" s="156"/>
      <c r="K670" s="423"/>
      <c r="L670" s="156"/>
      <c r="M670" s="423"/>
      <c r="N670" s="156"/>
      <c r="O670" s="415"/>
      <c r="P670" s="210"/>
      <c r="Q670" s="424"/>
      <c r="R670" s="83"/>
      <c r="S670" s="209"/>
      <c r="T670" s="210"/>
      <c r="U670" s="209"/>
      <c r="V670" s="210"/>
      <c r="W670" s="210"/>
      <c r="X670" s="210"/>
      <c r="Y670" s="210"/>
      <c r="Z670" s="210"/>
    </row>
    <row r="671">
      <c r="A671" s="415"/>
      <c r="B671" s="210"/>
      <c r="C671" s="415"/>
      <c r="D671" s="156"/>
      <c r="E671" s="415"/>
      <c r="F671" s="210"/>
      <c r="G671" s="415"/>
      <c r="H671" s="210"/>
      <c r="I671" s="423"/>
      <c r="J671" s="156"/>
      <c r="K671" s="423"/>
      <c r="L671" s="156"/>
      <c r="M671" s="423"/>
      <c r="N671" s="156"/>
      <c r="O671" s="415"/>
      <c r="P671" s="210"/>
      <c r="Q671" s="424"/>
      <c r="R671" s="83"/>
      <c r="S671" s="209"/>
      <c r="T671" s="210"/>
      <c r="U671" s="209"/>
      <c r="V671" s="210"/>
      <c r="W671" s="210"/>
      <c r="X671" s="210"/>
      <c r="Y671" s="210"/>
      <c r="Z671" s="210"/>
    </row>
    <row r="672">
      <c r="A672" s="415"/>
      <c r="B672" s="210"/>
      <c r="C672" s="415"/>
      <c r="D672" s="156"/>
      <c r="E672" s="415"/>
      <c r="F672" s="210"/>
      <c r="G672" s="415"/>
      <c r="H672" s="210"/>
      <c r="I672" s="423"/>
      <c r="J672" s="156"/>
      <c r="K672" s="423"/>
      <c r="L672" s="156"/>
      <c r="M672" s="423"/>
      <c r="N672" s="156"/>
      <c r="O672" s="415"/>
      <c r="P672" s="210"/>
      <c r="Q672" s="424"/>
      <c r="R672" s="83"/>
      <c r="S672" s="209"/>
      <c r="T672" s="210"/>
      <c r="U672" s="209"/>
      <c r="V672" s="210"/>
      <c r="W672" s="210"/>
      <c r="X672" s="210"/>
      <c r="Y672" s="210"/>
      <c r="Z672" s="210"/>
    </row>
    <row r="673">
      <c r="A673" s="415"/>
      <c r="B673" s="210"/>
      <c r="C673" s="415"/>
      <c r="D673" s="156"/>
      <c r="E673" s="415"/>
      <c r="F673" s="210"/>
      <c r="G673" s="415"/>
      <c r="H673" s="210"/>
      <c r="I673" s="423"/>
      <c r="J673" s="156"/>
      <c r="K673" s="423"/>
      <c r="L673" s="156"/>
      <c r="M673" s="423"/>
      <c r="N673" s="156"/>
      <c r="O673" s="415"/>
      <c r="P673" s="210"/>
      <c r="Q673" s="424"/>
      <c r="R673" s="83"/>
      <c r="S673" s="209"/>
      <c r="T673" s="210"/>
      <c r="U673" s="209"/>
      <c r="V673" s="210"/>
      <c r="W673" s="210"/>
      <c r="X673" s="210"/>
      <c r="Y673" s="210"/>
      <c r="Z673" s="210"/>
    </row>
    <row r="674">
      <c r="A674" s="415"/>
      <c r="B674" s="210"/>
      <c r="C674" s="415"/>
      <c r="D674" s="156"/>
      <c r="E674" s="415"/>
      <c r="F674" s="210"/>
      <c r="G674" s="415"/>
      <c r="H674" s="210"/>
      <c r="I674" s="423"/>
      <c r="J674" s="156"/>
      <c r="K674" s="423"/>
      <c r="L674" s="156"/>
      <c r="M674" s="423"/>
      <c r="N674" s="156"/>
      <c r="O674" s="415"/>
      <c r="P674" s="210"/>
      <c r="Q674" s="424"/>
      <c r="R674" s="83"/>
      <c r="S674" s="209"/>
      <c r="T674" s="210"/>
      <c r="U674" s="209"/>
      <c r="V674" s="210"/>
      <c r="W674" s="210"/>
      <c r="X674" s="210"/>
      <c r="Y674" s="210"/>
      <c r="Z674" s="210"/>
    </row>
    <row r="675">
      <c r="A675" s="415"/>
      <c r="B675" s="210"/>
      <c r="C675" s="415"/>
      <c r="D675" s="156"/>
      <c r="E675" s="415"/>
      <c r="F675" s="210"/>
      <c r="G675" s="415"/>
      <c r="H675" s="210"/>
      <c r="I675" s="423"/>
      <c r="J675" s="156"/>
      <c r="K675" s="423"/>
      <c r="L675" s="156"/>
      <c r="M675" s="423"/>
      <c r="N675" s="156"/>
      <c r="O675" s="415"/>
      <c r="P675" s="210"/>
      <c r="Q675" s="424"/>
      <c r="R675" s="83"/>
      <c r="S675" s="209"/>
      <c r="T675" s="210"/>
      <c r="U675" s="209"/>
      <c r="V675" s="210"/>
      <c r="W675" s="210"/>
      <c r="X675" s="210"/>
      <c r="Y675" s="210"/>
      <c r="Z675" s="210"/>
    </row>
    <row r="676">
      <c r="A676" s="415"/>
      <c r="B676" s="210"/>
      <c r="C676" s="415"/>
      <c r="D676" s="156"/>
      <c r="E676" s="415"/>
      <c r="F676" s="210"/>
      <c r="G676" s="415"/>
      <c r="H676" s="210"/>
      <c r="I676" s="423"/>
      <c r="J676" s="156"/>
      <c r="K676" s="423"/>
      <c r="L676" s="156"/>
      <c r="M676" s="423"/>
      <c r="N676" s="156"/>
      <c r="O676" s="415"/>
      <c r="P676" s="210"/>
      <c r="Q676" s="424"/>
      <c r="R676" s="83"/>
      <c r="S676" s="209"/>
      <c r="T676" s="210"/>
      <c r="U676" s="209"/>
      <c r="V676" s="210"/>
      <c r="W676" s="210"/>
      <c r="X676" s="210"/>
      <c r="Y676" s="210"/>
      <c r="Z676" s="210"/>
    </row>
    <row r="677">
      <c r="A677" s="415"/>
      <c r="B677" s="210"/>
      <c r="C677" s="415"/>
      <c r="D677" s="156"/>
      <c r="E677" s="415"/>
      <c r="F677" s="210"/>
      <c r="G677" s="415"/>
      <c r="H677" s="210"/>
      <c r="I677" s="423"/>
      <c r="J677" s="156"/>
      <c r="K677" s="423"/>
      <c r="L677" s="156"/>
      <c r="M677" s="423"/>
      <c r="N677" s="156"/>
      <c r="O677" s="415"/>
      <c r="P677" s="210"/>
      <c r="Q677" s="424"/>
      <c r="R677" s="83"/>
      <c r="S677" s="209"/>
      <c r="T677" s="210"/>
      <c r="U677" s="209"/>
      <c r="V677" s="210"/>
      <c r="W677" s="210"/>
      <c r="X677" s="210"/>
      <c r="Y677" s="210"/>
      <c r="Z677" s="210"/>
    </row>
    <row r="678">
      <c r="A678" s="415"/>
      <c r="B678" s="210"/>
      <c r="C678" s="415"/>
      <c r="D678" s="156"/>
      <c r="E678" s="415"/>
      <c r="F678" s="210"/>
      <c r="G678" s="415"/>
      <c r="H678" s="210"/>
      <c r="I678" s="423"/>
      <c r="J678" s="156"/>
      <c r="K678" s="423"/>
      <c r="L678" s="156"/>
      <c r="M678" s="423"/>
      <c r="N678" s="156"/>
      <c r="O678" s="415"/>
      <c r="P678" s="210"/>
      <c r="Q678" s="424"/>
      <c r="R678" s="83"/>
      <c r="S678" s="209"/>
      <c r="T678" s="210"/>
      <c r="U678" s="209"/>
      <c r="V678" s="210"/>
      <c r="W678" s="210"/>
      <c r="X678" s="210"/>
      <c r="Y678" s="210"/>
      <c r="Z678" s="210"/>
    </row>
    <row r="679">
      <c r="A679" s="415"/>
      <c r="B679" s="210"/>
      <c r="C679" s="415"/>
      <c r="D679" s="156"/>
      <c r="E679" s="415"/>
      <c r="F679" s="210"/>
      <c r="G679" s="415"/>
      <c r="H679" s="210"/>
      <c r="I679" s="423"/>
      <c r="J679" s="156"/>
      <c r="K679" s="423"/>
      <c r="L679" s="156"/>
      <c r="M679" s="423"/>
      <c r="N679" s="156"/>
      <c r="O679" s="415"/>
      <c r="P679" s="210"/>
      <c r="Q679" s="424"/>
      <c r="R679" s="83"/>
      <c r="S679" s="209"/>
      <c r="T679" s="210"/>
      <c r="U679" s="209"/>
      <c r="V679" s="210"/>
      <c r="W679" s="210"/>
      <c r="X679" s="210"/>
      <c r="Y679" s="210"/>
      <c r="Z679" s="210"/>
    </row>
    <row r="680">
      <c r="A680" s="415"/>
      <c r="B680" s="210"/>
      <c r="C680" s="415"/>
      <c r="D680" s="156"/>
      <c r="E680" s="415"/>
      <c r="F680" s="210"/>
      <c r="G680" s="415"/>
      <c r="H680" s="210"/>
      <c r="I680" s="423"/>
      <c r="J680" s="156"/>
      <c r="K680" s="423"/>
      <c r="L680" s="156"/>
      <c r="M680" s="423"/>
      <c r="N680" s="156"/>
      <c r="O680" s="415"/>
      <c r="P680" s="210"/>
      <c r="Q680" s="424"/>
      <c r="R680" s="83"/>
      <c r="S680" s="209"/>
      <c r="T680" s="210"/>
      <c r="U680" s="209"/>
      <c r="V680" s="210"/>
      <c r="W680" s="210"/>
      <c r="X680" s="210"/>
      <c r="Y680" s="210"/>
      <c r="Z680" s="210"/>
    </row>
    <row r="681">
      <c r="A681" s="415"/>
      <c r="B681" s="210"/>
      <c r="C681" s="415"/>
      <c r="D681" s="156"/>
      <c r="E681" s="415"/>
      <c r="F681" s="210"/>
      <c r="G681" s="415"/>
      <c r="H681" s="210"/>
      <c r="I681" s="423"/>
      <c r="J681" s="156"/>
      <c r="K681" s="423"/>
      <c r="L681" s="156"/>
      <c r="M681" s="423"/>
      <c r="N681" s="156"/>
      <c r="O681" s="415"/>
      <c r="P681" s="210"/>
      <c r="Q681" s="424"/>
      <c r="R681" s="83"/>
      <c r="S681" s="209"/>
      <c r="T681" s="210"/>
      <c r="U681" s="209"/>
      <c r="V681" s="210"/>
      <c r="W681" s="210"/>
      <c r="X681" s="210"/>
      <c r="Y681" s="210"/>
      <c r="Z681" s="210"/>
    </row>
    <row r="682">
      <c r="A682" s="415"/>
      <c r="B682" s="210"/>
      <c r="C682" s="415"/>
      <c r="D682" s="156"/>
      <c r="E682" s="415"/>
      <c r="F682" s="210"/>
      <c r="G682" s="415"/>
      <c r="H682" s="210"/>
      <c r="I682" s="423"/>
      <c r="J682" s="156"/>
      <c r="K682" s="423"/>
      <c r="L682" s="156"/>
      <c r="M682" s="423"/>
      <c r="N682" s="156"/>
      <c r="O682" s="415"/>
      <c r="P682" s="210"/>
      <c r="Q682" s="424"/>
      <c r="R682" s="83"/>
      <c r="S682" s="209"/>
      <c r="T682" s="210"/>
      <c r="U682" s="209"/>
      <c r="V682" s="210"/>
      <c r="W682" s="210"/>
      <c r="X682" s="210"/>
      <c r="Y682" s="210"/>
      <c r="Z682" s="210"/>
    </row>
    <row r="683">
      <c r="A683" s="415"/>
      <c r="B683" s="210"/>
      <c r="C683" s="415"/>
      <c r="D683" s="156"/>
      <c r="E683" s="415"/>
      <c r="F683" s="210"/>
      <c r="G683" s="415"/>
      <c r="H683" s="210"/>
      <c r="I683" s="423"/>
      <c r="J683" s="156"/>
      <c r="K683" s="423"/>
      <c r="L683" s="156"/>
      <c r="M683" s="423"/>
      <c r="N683" s="156"/>
      <c r="O683" s="415"/>
      <c r="P683" s="210"/>
      <c r="Q683" s="424"/>
      <c r="R683" s="83"/>
      <c r="S683" s="209"/>
      <c r="T683" s="210"/>
      <c r="U683" s="209"/>
      <c r="V683" s="210"/>
      <c r="W683" s="210"/>
      <c r="X683" s="210"/>
      <c r="Y683" s="210"/>
      <c r="Z683" s="210"/>
    </row>
    <row r="684">
      <c r="A684" s="415"/>
      <c r="B684" s="210"/>
      <c r="C684" s="415"/>
      <c r="D684" s="156"/>
      <c r="E684" s="415"/>
      <c r="F684" s="210"/>
      <c r="G684" s="415"/>
      <c r="H684" s="210"/>
      <c r="I684" s="423"/>
      <c r="J684" s="156"/>
      <c r="K684" s="423"/>
      <c r="L684" s="156"/>
      <c r="M684" s="423"/>
      <c r="N684" s="156"/>
      <c r="O684" s="415"/>
      <c r="P684" s="210"/>
      <c r="Q684" s="424"/>
      <c r="R684" s="83"/>
      <c r="S684" s="209"/>
      <c r="T684" s="210"/>
      <c r="U684" s="209"/>
      <c r="V684" s="210"/>
      <c r="W684" s="210"/>
      <c r="X684" s="210"/>
      <c r="Y684" s="210"/>
      <c r="Z684" s="210"/>
    </row>
    <row r="685">
      <c r="A685" s="415"/>
      <c r="B685" s="210"/>
      <c r="C685" s="415"/>
      <c r="D685" s="156"/>
      <c r="E685" s="415"/>
      <c r="F685" s="210"/>
      <c r="G685" s="415"/>
      <c r="H685" s="210"/>
      <c r="I685" s="423"/>
      <c r="J685" s="156"/>
      <c r="K685" s="423"/>
      <c r="L685" s="156"/>
      <c r="M685" s="423"/>
      <c r="N685" s="156"/>
      <c r="O685" s="415"/>
      <c r="P685" s="210"/>
      <c r="Q685" s="424"/>
      <c r="R685" s="83"/>
      <c r="S685" s="209"/>
      <c r="T685" s="210"/>
      <c r="U685" s="209"/>
      <c r="V685" s="210"/>
      <c r="W685" s="210"/>
      <c r="X685" s="210"/>
      <c r="Y685" s="210"/>
      <c r="Z685" s="210"/>
    </row>
    <row r="686">
      <c r="A686" s="415"/>
      <c r="B686" s="210"/>
      <c r="C686" s="415"/>
      <c r="D686" s="156"/>
      <c r="E686" s="415"/>
      <c r="F686" s="210"/>
      <c r="G686" s="415"/>
      <c r="H686" s="210"/>
      <c r="I686" s="423"/>
      <c r="J686" s="156"/>
      <c r="K686" s="423"/>
      <c r="L686" s="156"/>
      <c r="M686" s="423"/>
      <c r="N686" s="156"/>
      <c r="O686" s="415"/>
      <c r="P686" s="210"/>
      <c r="Q686" s="424"/>
      <c r="R686" s="83"/>
      <c r="S686" s="209"/>
      <c r="T686" s="210"/>
      <c r="U686" s="209"/>
      <c r="V686" s="210"/>
      <c r="W686" s="210"/>
      <c r="X686" s="210"/>
      <c r="Y686" s="210"/>
      <c r="Z686" s="210"/>
    </row>
    <row r="687">
      <c r="A687" s="415"/>
      <c r="B687" s="210"/>
      <c r="C687" s="415"/>
      <c r="D687" s="156"/>
      <c r="E687" s="415"/>
      <c r="F687" s="210"/>
      <c r="G687" s="415"/>
      <c r="H687" s="210"/>
      <c r="I687" s="423"/>
      <c r="J687" s="156"/>
      <c r="K687" s="423"/>
      <c r="L687" s="156"/>
      <c r="M687" s="423"/>
      <c r="N687" s="156"/>
      <c r="O687" s="415"/>
      <c r="P687" s="210"/>
      <c r="Q687" s="424"/>
      <c r="R687" s="83"/>
      <c r="S687" s="209"/>
      <c r="T687" s="210"/>
      <c r="U687" s="209"/>
      <c r="V687" s="210"/>
      <c r="W687" s="210"/>
      <c r="X687" s="210"/>
      <c r="Y687" s="210"/>
      <c r="Z687" s="210"/>
    </row>
    <row r="688">
      <c r="A688" s="415"/>
      <c r="B688" s="210"/>
      <c r="C688" s="415"/>
      <c r="D688" s="156"/>
      <c r="E688" s="415"/>
      <c r="F688" s="210"/>
      <c r="G688" s="415"/>
      <c r="H688" s="210"/>
      <c r="I688" s="423"/>
      <c r="J688" s="156"/>
      <c r="K688" s="423"/>
      <c r="L688" s="156"/>
      <c r="M688" s="423"/>
      <c r="N688" s="156"/>
      <c r="O688" s="415"/>
      <c r="P688" s="210"/>
      <c r="Q688" s="424"/>
      <c r="R688" s="83"/>
      <c r="S688" s="209"/>
      <c r="T688" s="210"/>
      <c r="U688" s="209"/>
      <c r="V688" s="210"/>
      <c r="W688" s="210"/>
      <c r="X688" s="210"/>
      <c r="Y688" s="210"/>
      <c r="Z688" s="210"/>
    </row>
    <row r="689">
      <c r="A689" s="415"/>
      <c r="B689" s="210"/>
      <c r="C689" s="415"/>
      <c r="D689" s="156"/>
      <c r="E689" s="415"/>
      <c r="F689" s="210"/>
      <c r="G689" s="415"/>
      <c r="H689" s="210"/>
      <c r="I689" s="423"/>
      <c r="J689" s="156"/>
      <c r="K689" s="423"/>
      <c r="L689" s="156"/>
      <c r="M689" s="423"/>
      <c r="N689" s="156"/>
      <c r="O689" s="415"/>
      <c r="P689" s="210"/>
      <c r="Q689" s="424"/>
      <c r="R689" s="83"/>
      <c r="S689" s="209"/>
      <c r="T689" s="210"/>
      <c r="U689" s="209"/>
      <c r="V689" s="210"/>
      <c r="W689" s="210"/>
      <c r="X689" s="210"/>
      <c r="Y689" s="210"/>
      <c r="Z689" s="210"/>
    </row>
    <row r="690">
      <c r="A690" s="415"/>
      <c r="B690" s="210"/>
      <c r="C690" s="415"/>
      <c r="D690" s="156"/>
      <c r="E690" s="415"/>
      <c r="F690" s="210"/>
      <c r="G690" s="415"/>
      <c r="H690" s="210"/>
      <c r="I690" s="423"/>
      <c r="J690" s="156"/>
      <c r="K690" s="423"/>
      <c r="L690" s="156"/>
      <c r="M690" s="423"/>
      <c r="N690" s="156"/>
      <c r="O690" s="415"/>
      <c r="P690" s="210"/>
      <c r="Q690" s="424"/>
      <c r="R690" s="83"/>
      <c r="S690" s="209"/>
      <c r="T690" s="210"/>
      <c r="U690" s="209"/>
      <c r="V690" s="210"/>
      <c r="W690" s="210"/>
      <c r="X690" s="210"/>
      <c r="Y690" s="210"/>
      <c r="Z690" s="210"/>
    </row>
    <row r="691">
      <c r="A691" s="415"/>
      <c r="B691" s="210"/>
      <c r="C691" s="415"/>
      <c r="D691" s="156"/>
      <c r="E691" s="415"/>
      <c r="F691" s="210"/>
      <c r="G691" s="415"/>
      <c r="H691" s="210"/>
      <c r="I691" s="423"/>
      <c r="J691" s="156"/>
      <c r="K691" s="423"/>
      <c r="L691" s="156"/>
      <c r="M691" s="423"/>
      <c r="N691" s="156"/>
      <c r="O691" s="415"/>
      <c r="P691" s="210"/>
      <c r="Q691" s="424"/>
      <c r="R691" s="83"/>
      <c r="S691" s="209"/>
      <c r="T691" s="210"/>
      <c r="U691" s="209"/>
      <c r="V691" s="210"/>
      <c r="W691" s="210"/>
      <c r="X691" s="210"/>
      <c r="Y691" s="210"/>
      <c r="Z691" s="210"/>
    </row>
    <row r="692">
      <c r="A692" s="415"/>
      <c r="B692" s="210"/>
      <c r="C692" s="415"/>
      <c r="D692" s="156"/>
      <c r="E692" s="415"/>
      <c r="F692" s="210"/>
      <c r="G692" s="415"/>
      <c r="H692" s="210"/>
      <c r="I692" s="423"/>
      <c r="J692" s="156"/>
      <c r="K692" s="423"/>
      <c r="L692" s="156"/>
      <c r="M692" s="423"/>
      <c r="N692" s="156"/>
      <c r="O692" s="415"/>
      <c r="P692" s="210"/>
      <c r="Q692" s="424"/>
      <c r="R692" s="83"/>
      <c r="S692" s="209"/>
      <c r="T692" s="210"/>
      <c r="U692" s="209"/>
      <c r="V692" s="210"/>
      <c r="W692" s="210"/>
      <c r="X692" s="210"/>
      <c r="Y692" s="210"/>
      <c r="Z692" s="210"/>
    </row>
    <row r="693">
      <c r="A693" s="415"/>
      <c r="B693" s="210"/>
      <c r="C693" s="415"/>
      <c r="D693" s="156"/>
      <c r="E693" s="415"/>
      <c r="F693" s="210"/>
      <c r="G693" s="415"/>
      <c r="H693" s="210"/>
      <c r="I693" s="423"/>
      <c r="J693" s="156"/>
      <c r="K693" s="423"/>
      <c r="L693" s="156"/>
      <c r="M693" s="423"/>
      <c r="N693" s="156"/>
      <c r="O693" s="415"/>
      <c r="P693" s="210"/>
      <c r="Q693" s="424"/>
      <c r="R693" s="83"/>
      <c r="S693" s="209"/>
      <c r="T693" s="210"/>
      <c r="U693" s="209"/>
      <c r="V693" s="210"/>
      <c r="W693" s="210"/>
      <c r="X693" s="210"/>
      <c r="Y693" s="210"/>
      <c r="Z693" s="210"/>
    </row>
    <row r="694">
      <c r="A694" s="415"/>
      <c r="B694" s="210"/>
      <c r="C694" s="415"/>
      <c r="D694" s="156"/>
      <c r="E694" s="415"/>
      <c r="F694" s="210"/>
      <c r="G694" s="415"/>
      <c r="H694" s="210"/>
      <c r="I694" s="423"/>
      <c r="J694" s="156"/>
      <c r="K694" s="423"/>
      <c r="L694" s="156"/>
      <c r="M694" s="423"/>
      <c r="N694" s="156"/>
      <c r="O694" s="415"/>
      <c r="P694" s="210"/>
      <c r="Q694" s="424"/>
      <c r="R694" s="83"/>
      <c r="S694" s="209"/>
      <c r="T694" s="210"/>
      <c r="U694" s="209"/>
      <c r="V694" s="210"/>
      <c r="W694" s="210"/>
      <c r="X694" s="210"/>
      <c r="Y694" s="210"/>
      <c r="Z694" s="210"/>
    </row>
    <row r="695">
      <c r="A695" s="415"/>
      <c r="B695" s="210"/>
      <c r="C695" s="415"/>
      <c r="D695" s="156"/>
      <c r="E695" s="415"/>
      <c r="F695" s="210"/>
      <c r="G695" s="415"/>
      <c r="H695" s="210"/>
      <c r="I695" s="423"/>
      <c r="J695" s="156"/>
      <c r="K695" s="423"/>
      <c r="L695" s="156"/>
      <c r="M695" s="423"/>
      <c r="N695" s="156"/>
      <c r="O695" s="415"/>
      <c r="P695" s="210"/>
      <c r="Q695" s="424"/>
      <c r="R695" s="83"/>
      <c r="S695" s="209"/>
      <c r="T695" s="210"/>
      <c r="U695" s="209"/>
      <c r="V695" s="210"/>
      <c r="W695" s="210"/>
      <c r="X695" s="210"/>
      <c r="Y695" s="210"/>
      <c r="Z695" s="210"/>
    </row>
    <row r="696">
      <c r="A696" s="415"/>
      <c r="B696" s="210"/>
      <c r="C696" s="415"/>
      <c r="D696" s="156"/>
      <c r="E696" s="415"/>
      <c r="F696" s="210"/>
      <c r="G696" s="415"/>
      <c r="H696" s="210"/>
      <c r="I696" s="423"/>
      <c r="J696" s="156"/>
      <c r="K696" s="423"/>
      <c r="L696" s="156"/>
      <c r="M696" s="423"/>
      <c r="N696" s="156"/>
      <c r="O696" s="415"/>
      <c r="P696" s="210"/>
      <c r="Q696" s="424"/>
      <c r="R696" s="83"/>
      <c r="S696" s="209"/>
      <c r="T696" s="210"/>
      <c r="U696" s="209"/>
      <c r="V696" s="210"/>
      <c r="W696" s="210"/>
      <c r="X696" s="210"/>
      <c r="Y696" s="210"/>
      <c r="Z696" s="210"/>
    </row>
    <row r="697">
      <c r="A697" s="415"/>
      <c r="B697" s="210"/>
      <c r="C697" s="415"/>
      <c r="D697" s="156"/>
      <c r="E697" s="415"/>
      <c r="F697" s="210"/>
      <c r="G697" s="415"/>
      <c r="H697" s="210"/>
      <c r="I697" s="423"/>
      <c r="J697" s="156"/>
      <c r="K697" s="423"/>
      <c r="L697" s="156"/>
      <c r="M697" s="423"/>
      <c r="N697" s="156"/>
      <c r="O697" s="415"/>
      <c r="P697" s="210"/>
      <c r="Q697" s="424"/>
      <c r="R697" s="83"/>
      <c r="S697" s="209"/>
      <c r="T697" s="210"/>
      <c r="U697" s="209"/>
      <c r="V697" s="210"/>
      <c r="W697" s="210"/>
      <c r="X697" s="210"/>
      <c r="Y697" s="210"/>
      <c r="Z697" s="210"/>
    </row>
    <row r="698">
      <c r="A698" s="415"/>
      <c r="B698" s="210"/>
      <c r="C698" s="415"/>
      <c r="D698" s="156"/>
      <c r="E698" s="415"/>
      <c r="F698" s="210"/>
      <c r="G698" s="415"/>
      <c r="H698" s="210"/>
      <c r="I698" s="423"/>
      <c r="J698" s="156"/>
      <c r="K698" s="423"/>
      <c r="L698" s="156"/>
      <c r="M698" s="423"/>
      <c r="N698" s="156"/>
      <c r="O698" s="415"/>
      <c r="P698" s="210"/>
      <c r="Q698" s="424"/>
      <c r="R698" s="83"/>
      <c r="S698" s="209"/>
      <c r="T698" s="210"/>
      <c r="U698" s="209"/>
      <c r="V698" s="210"/>
      <c r="W698" s="210"/>
      <c r="X698" s="210"/>
      <c r="Y698" s="210"/>
      <c r="Z698" s="210"/>
    </row>
    <row r="699">
      <c r="A699" s="415"/>
      <c r="B699" s="210"/>
      <c r="C699" s="415"/>
      <c r="D699" s="156"/>
      <c r="E699" s="415"/>
      <c r="F699" s="210"/>
      <c r="G699" s="415"/>
      <c r="H699" s="210"/>
      <c r="I699" s="423"/>
      <c r="J699" s="156"/>
      <c r="K699" s="423"/>
      <c r="L699" s="156"/>
      <c r="M699" s="423"/>
      <c r="N699" s="156"/>
      <c r="O699" s="415"/>
      <c r="P699" s="210"/>
      <c r="Q699" s="424"/>
      <c r="R699" s="83"/>
      <c r="S699" s="209"/>
      <c r="T699" s="210"/>
      <c r="U699" s="209"/>
      <c r="V699" s="210"/>
      <c r="W699" s="210"/>
      <c r="X699" s="210"/>
      <c r="Y699" s="210"/>
      <c r="Z699" s="210"/>
    </row>
    <row r="700">
      <c r="A700" s="415"/>
      <c r="B700" s="210"/>
      <c r="C700" s="415"/>
      <c r="D700" s="156"/>
      <c r="E700" s="415"/>
      <c r="F700" s="210"/>
      <c r="G700" s="415"/>
      <c r="H700" s="210"/>
      <c r="I700" s="423"/>
      <c r="J700" s="156"/>
      <c r="K700" s="423"/>
      <c r="L700" s="156"/>
      <c r="M700" s="423"/>
      <c r="N700" s="156"/>
      <c r="O700" s="415"/>
      <c r="P700" s="210"/>
      <c r="Q700" s="424"/>
      <c r="R700" s="83"/>
      <c r="S700" s="209"/>
      <c r="T700" s="210"/>
      <c r="U700" s="209"/>
      <c r="V700" s="210"/>
      <c r="W700" s="210"/>
      <c r="X700" s="210"/>
      <c r="Y700" s="210"/>
      <c r="Z700" s="210"/>
    </row>
    <row r="701">
      <c r="A701" s="415"/>
      <c r="B701" s="210"/>
      <c r="C701" s="415"/>
      <c r="D701" s="156"/>
      <c r="E701" s="415"/>
      <c r="F701" s="210"/>
      <c r="G701" s="415"/>
      <c r="H701" s="210"/>
      <c r="I701" s="423"/>
      <c r="J701" s="156"/>
      <c r="K701" s="423"/>
      <c r="L701" s="156"/>
      <c r="M701" s="423"/>
      <c r="N701" s="156"/>
      <c r="O701" s="415"/>
      <c r="P701" s="210"/>
      <c r="Q701" s="424"/>
      <c r="R701" s="83"/>
      <c r="S701" s="209"/>
      <c r="T701" s="210"/>
      <c r="U701" s="209"/>
      <c r="V701" s="210"/>
      <c r="W701" s="210"/>
      <c r="X701" s="210"/>
      <c r="Y701" s="210"/>
      <c r="Z701" s="210"/>
    </row>
    <row r="702">
      <c r="A702" s="415"/>
      <c r="B702" s="210"/>
      <c r="C702" s="415"/>
      <c r="D702" s="156"/>
      <c r="E702" s="415"/>
      <c r="F702" s="210"/>
      <c r="G702" s="415"/>
      <c r="H702" s="210"/>
      <c r="I702" s="423"/>
      <c r="J702" s="156"/>
      <c r="K702" s="423"/>
      <c r="L702" s="156"/>
      <c r="M702" s="423"/>
      <c r="N702" s="156"/>
      <c r="O702" s="415"/>
      <c r="P702" s="210"/>
      <c r="Q702" s="424"/>
      <c r="R702" s="83"/>
      <c r="S702" s="209"/>
      <c r="T702" s="210"/>
      <c r="U702" s="209"/>
      <c r="V702" s="210"/>
      <c r="W702" s="210"/>
      <c r="X702" s="210"/>
      <c r="Y702" s="210"/>
      <c r="Z702" s="210"/>
    </row>
    <row r="703">
      <c r="A703" s="415"/>
      <c r="B703" s="210"/>
      <c r="C703" s="415"/>
      <c r="D703" s="156"/>
      <c r="E703" s="415"/>
      <c r="F703" s="210"/>
      <c r="G703" s="415"/>
      <c r="H703" s="210"/>
      <c r="I703" s="423"/>
      <c r="J703" s="156"/>
      <c r="K703" s="423"/>
      <c r="L703" s="156"/>
      <c r="M703" s="423"/>
      <c r="N703" s="156"/>
      <c r="O703" s="415"/>
      <c r="P703" s="210"/>
      <c r="Q703" s="424"/>
      <c r="R703" s="83"/>
      <c r="S703" s="209"/>
      <c r="T703" s="210"/>
      <c r="U703" s="209"/>
      <c r="V703" s="210"/>
      <c r="W703" s="210"/>
      <c r="X703" s="210"/>
      <c r="Y703" s="210"/>
      <c r="Z703" s="210"/>
    </row>
    <row r="704">
      <c r="A704" s="415"/>
      <c r="B704" s="210"/>
      <c r="C704" s="415"/>
      <c r="D704" s="156"/>
      <c r="E704" s="415"/>
      <c r="F704" s="210"/>
      <c r="G704" s="415"/>
      <c r="H704" s="210"/>
      <c r="I704" s="423"/>
      <c r="J704" s="156"/>
      <c r="K704" s="423"/>
      <c r="L704" s="156"/>
      <c r="M704" s="423"/>
      <c r="N704" s="156"/>
      <c r="O704" s="415"/>
      <c r="P704" s="210"/>
      <c r="Q704" s="424"/>
      <c r="R704" s="83"/>
      <c r="S704" s="209"/>
      <c r="T704" s="210"/>
      <c r="U704" s="209"/>
      <c r="V704" s="210"/>
      <c r="W704" s="210"/>
      <c r="X704" s="210"/>
      <c r="Y704" s="210"/>
      <c r="Z704" s="210"/>
    </row>
    <row r="705">
      <c r="A705" s="415"/>
      <c r="B705" s="210"/>
      <c r="C705" s="415"/>
      <c r="D705" s="156"/>
      <c r="E705" s="415"/>
      <c r="F705" s="210"/>
      <c r="G705" s="415"/>
      <c r="H705" s="210"/>
      <c r="I705" s="423"/>
      <c r="J705" s="156"/>
      <c r="K705" s="423"/>
      <c r="L705" s="156"/>
      <c r="M705" s="423"/>
      <c r="N705" s="156"/>
      <c r="O705" s="415"/>
      <c r="P705" s="210"/>
      <c r="Q705" s="424"/>
      <c r="R705" s="83"/>
      <c r="S705" s="209"/>
      <c r="T705" s="210"/>
      <c r="U705" s="209"/>
      <c r="V705" s="210"/>
      <c r="W705" s="210"/>
      <c r="X705" s="210"/>
      <c r="Y705" s="210"/>
      <c r="Z705" s="210"/>
    </row>
    <row r="706">
      <c r="A706" s="415"/>
      <c r="B706" s="210"/>
      <c r="C706" s="415"/>
      <c r="D706" s="156"/>
      <c r="E706" s="415"/>
      <c r="F706" s="210"/>
      <c r="G706" s="415"/>
      <c r="H706" s="210"/>
      <c r="I706" s="423"/>
      <c r="J706" s="156"/>
      <c r="K706" s="423"/>
      <c r="L706" s="156"/>
      <c r="M706" s="423"/>
      <c r="N706" s="156"/>
      <c r="O706" s="415"/>
      <c r="P706" s="210"/>
      <c r="Q706" s="424"/>
      <c r="R706" s="83"/>
      <c r="S706" s="209"/>
      <c r="T706" s="210"/>
      <c r="U706" s="209"/>
      <c r="V706" s="210"/>
      <c r="W706" s="210"/>
      <c r="X706" s="210"/>
      <c r="Y706" s="210"/>
      <c r="Z706" s="210"/>
    </row>
    <row r="707">
      <c r="A707" s="415"/>
      <c r="B707" s="210"/>
      <c r="C707" s="415"/>
      <c r="D707" s="156"/>
      <c r="E707" s="415"/>
      <c r="F707" s="210"/>
      <c r="G707" s="415"/>
      <c r="H707" s="210"/>
      <c r="I707" s="423"/>
      <c r="J707" s="156"/>
      <c r="K707" s="423"/>
      <c r="L707" s="156"/>
      <c r="M707" s="423"/>
      <c r="N707" s="156"/>
      <c r="O707" s="415"/>
      <c r="P707" s="210"/>
      <c r="Q707" s="424"/>
      <c r="R707" s="83"/>
      <c r="S707" s="209"/>
      <c r="T707" s="210"/>
      <c r="U707" s="209"/>
      <c r="V707" s="210"/>
      <c r="W707" s="210"/>
      <c r="X707" s="210"/>
      <c r="Y707" s="210"/>
      <c r="Z707" s="210"/>
    </row>
    <row r="708">
      <c r="A708" s="415"/>
      <c r="B708" s="210"/>
      <c r="C708" s="415"/>
      <c r="D708" s="156"/>
      <c r="E708" s="415"/>
      <c r="F708" s="210"/>
      <c r="G708" s="415"/>
      <c r="H708" s="210"/>
      <c r="I708" s="423"/>
      <c r="J708" s="156"/>
      <c r="K708" s="423"/>
      <c r="L708" s="156"/>
      <c r="M708" s="423"/>
      <c r="N708" s="156"/>
      <c r="O708" s="415"/>
      <c r="P708" s="210"/>
      <c r="Q708" s="424"/>
      <c r="R708" s="83"/>
      <c r="S708" s="209"/>
      <c r="T708" s="210"/>
      <c r="U708" s="209"/>
      <c r="V708" s="210"/>
      <c r="W708" s="210"/>
      <c r="X708" s="210"/>
      <c r="Y708" s="210"/>
      <c r="Z708" s="210"/>
    </row>
    <row r="709">
      <c r="A709" s="415"/>
      <c r="B709" s="210"/>
      <c r="C709" s="415"/>
      <c r="D709" s="156"/>
      <c r="E709" s="415"/>
      <c r="F709" s="210"/>
      <c r="G709" s="415"/>
      <c r="H709" s="210"/>
      <c r="I709" s="423"/>
      <c r="J709" s="156"/>
      <c r="K709" s="423"/>
      <c r="L709" s="156"/>
      <c r="M709" s="423"/>
      <c r="N709" s="156"/>
      <c r="O709" s="415"/>
      <c r="P709" s="210"/>
      <c r="Q709" s="424"/>
      <c r="R709" s="83"/>
      <c r="S709" s="209"/>
      <c r="T709" s="210"/>
      <c r="U709" s="209"/>
      <c r="V709" s="210"/>
      <c r="W709" s="210"/>
      <c r="X709" s="210"/>
      <c r="Y709" s="210"/>
      <c r="Z709" s="210"/>
    </row>
    <row r="710">
      <c r="A710" s="415"/>
      <c r="B710" s="210"/>
      <c r="C710" s="415"/>
      <c r="D710" s="156"/>
      <c r="E710" s="415"/>
      <c r="F710" s="210"/>
      <c r="G710" s="415"/>
      <c r="H710" s="210"/>
      <c r="I710" s="423"/>
      <c r="J710" s="156"/>
      <c r="K710" s="423"/>
      <c r="L710" s="156"/>
      <c r="M710" s="423"/>
      <c r="N710" s="156"/>
      <c r="O710" s="415"/>
      <c r="P710" s="210"/>
      <c r="Q710" s="424"/>
      <c r="R710" s="83"/>
      <c r="S710" s="209"/>
      <c r="T710" s="210"/>
      <c r="U710" s="209"/>
      <c r="V710" s="210"/>
      <c r="W710" s="210"/>
      <c r="X710" s="210"/>
      <c r="Y710" s="210"/>
      <c r="Z710" s="210"/>
    </row>
    <row r="711">
      <c r="A711" s="415"/>
      <c r="B711" s="210"/>
      <c r="C711" s="415"/>
      <c r="D711" s="156"/>
      <c r="E711" s="415"/>
      <c r="F711" s="210"/>
      <c r="G711" s="415"/>
      <c r="H711" s="210"/>
      <c r="I711" s="423"/>
      <c r="J711" s="156"/>
      <c r="K711" s="423"/>
      <c r="L711" s="156"/>
      <c r="M711" s="423"/>
      <c r="N711" s="156"/>
      <c r="O711" s="415"/>
      <c r="P711" s="210"/>
      <c r="Q711" s="424"/>
      <c r="R711" s="83"/>
      <c r="S711" s="209"/>
      <c r="T711" s="210"/>
      <c r="U711" s="209"/>
      <c r="V711" s="210"/>
      <c r="W711" s="210"/>
      <c r="X711" s="210"/>
      <c r="Y711" s="210"/>
      <c r="Z711" s="210"/>
    </row>
    <row r="712">
      <c r="A712" s="415"/>
      <c r="B712" s="210"/>
      <c r="C712" s="415"/>
      <c r="D712" s="156"/>
      <c r="E712" s="415"/>
      <c r="F712" s="210"/>
      <c r="G712" s="415"/>
      <c r="H712" s="210"/>
      <c r="I712" s="423"/>
      <c r="J712" s="156"/>
      <c r="K712" s="423"/>
      <c r="L712" s="156"/>
      <c r="M712" s="423"/>
      <c r="N712" s="156"/>
      <c r="O712" s="415"/>
      <c r="P712" s="210"/>
      <c r="Q712" s="424"/>
      <c r="R712" s="83"/>
      <c r="S712" s="209"/>
      <c r="T712" s="210"/>
      <c r="U712" s="209"/>
      <c r="V712" s="210"/>
      <c r="W712" s="210"/>
      <c r="X712" s="210"/>
      <c r="Y712" s="210"/>
      <c r="Z712" s="210"/>
    </row>
    <row r="713">
      <c r="A713" s="415"/>
      <c r="B713" s="210"/>
      <c r="C713" s="415"/>
      <c r="D713" s="156"/>
      <c r="E713" s="415"/>
      <c r="F713" s="210"/>
      <c r="G713" s="415"/>
      <c r="H713" s="210"/>
      <c r="I713" s="423"/>
      <c r="J713" s="156"/>
      <c r="K713" s="423"/>
      <c r="L713" s="156"/>
      <c r="M713" s="423"/>
      <c r="N713" s="156"/>
      <c r="O713" s="415"/>
      <c r="P713" s="210"/>
      <c r="Q713" s="424"/>
      <c r="R713" s="83"/>
      <c r="S713" s="209"/>
      <c r="T713" s="210"/>
      <c r="U713" s="209"/>
      <c r="V713" s="210"/>
      <c r="W713" s="210"/>
      <c r="X713" s="210"/>
      <c r="Y713" s="210"/>
      <c r="Z713" s="210"/>
    </row>
    <row r="714">
      <c r="A714" s="415"/>
      <c r="B714" s="210"/>
      <c r="C714" s="415"/>
      <c r="D714" s="156"/>
      <c r="E714" s="415"/>
      <c r="F714" s="210"/>
      <c r="G714" s="415"/>
      <c r="H714" s="210"/>
      <c r="I714" s="423"/>
      <c r="J714" s="156"/>
      <c r="K714" s="423"/>
      <c r="L714" s="156"/>
      <c r="M714" s="423"/>
      <c r="N714" s="156"/>
      <c r="O714" s="415"/>
      <c r="P714" s="210"/>
      <c r="Q714" s="424"/>
      <c r="R714" s="83"/>
      <c r="S714" s="209"/>
      <c r="T714" s="210"/>
      <c r="U714" s="209"/>
      <c r="V714" s="210"/>
      <c r="W714" s="210"/>
      <c r="X714" s="210"/>
      <c r="Y714" s="210"/>
      <c r="Z714" s="210"/>
    </row>
    <row r="715">
      <c r="A715" s="415"/>
      <c r="B715" s="210"/>
      <c r="C715" s="415"/>
      <c r="D715" s="156"/>
      <c r="E715" s="415"/>
      <c r="F715" s="210"/>
      <c r="G715" s="415"/>
      <c r="H715" s="210"/>
      <c r="I715" s="423"/>
      <c r="J715" s="156"/>
      <c r="K715" s="423"/>
      <c r="L715" s="156"/>
      <c r="M715" s="423"/>
      <c r="N715" s="156"/>
      <c r="O715" s="415"/>
      <c r="P715" s="210"/>
      <c r="Q715" s="424"/>
      <c r="R715" s="83"/>
      <c r="S715" s="209"/>
      <c r="T715" s="210"/>
      <c r="U715" s="209"/>
      <c r="V715" s="210"/>
      <c r="W715" s="210"/>
      <c r="X715" s="210"/>
      <c r="Y715" s="210"/>
      <c r="Z715" s="210"/>
    </row>
    <row r="716">
      <c r="A716" s="415"/>
      <c r="B716" s="210"/>
      <c r="C716" s="415"/>
      <c r="D716" s="156"/>
      <c r="E716" s="415"/>
      <c r="F716" s="210"/>
      <c r="G716" s="415"/>
      <c r="H716" s="210"/>
      <c r="I716" s="423"/>
      <c r="J716" s="156"/>
      <c r="K716" s="423"/>
      <c r="L716" s="156"/>
      <c r="M716" s="423"/>
      <c r="N716" s="156"/>
      <c r="O716" s="415"/>
      <c r="P716" s="210"/>
      <c r="Q716" s="424"/>
      <c r="R716" s="83"/>
      <c r="S716" s="209"/>
      <c r="T716" s="210"/>
      <c r="U716" s="209"/>
      <c r="V716" s="210"/>
      <c r="W716" s="210"/>
      <c r="X716" s="210"/>
      <c r="Y716" s="210"/>
      <c r="Z716" s="210"/>
    </row>
    <row r="717">
      <c r="A717" s="415"/>
      <c r="B717" s="210"/>
      <c r="C717" s="415"/>
      <c r="D717" s="156"/>
      <c r="E717" s="415"/>
      <c r="F717" s="210"/>
      <c r="G717" s="415"/>
      <c r="H717" s="210"/>
      <c r="I717" s="423"/>
      <c r="J717" s="156"/>
      <c r="K717" s="423"/>
      <c r="L717" s="156"/>
      <c r="M717" s="423"/>
      <c r="N717" s="156"/>
      <c r="O717" s="415"/>
      <c r="P717" s="210"/>
      <c r="Q717" s="424"/>
      <c r="R717" s="83"/>
      <c r="S717" s="209"/>
      <c r="T717" s="210"/>
      <c r="U717" s="209"/>
      <c r="V717" s="210"/>
      <c r="W717" s="210"/>
      <c r="X717" s="210"/>
      <c r="Y717" s="210"/>
      <c r="Z717" s="210"/>
    </row>
    <row r="718">
      <c r="A718" s="415"/>
      <c r="B718" s="210"/>
      <c r="C718" s="415"/>
      <c r="D718" s="156"/>
      <c r="E718" s="415"/>
      <c r="F718" s="210"/>
      <c r="G718" s="415"/>
      <c r="H718" s="210"/>
      <c r="I718" s="423"/>
      <c r="J718" s="156"/>
      <c r="K718" s="423"/>
      <c r="L718" s="156"/>
      <c r="M718" s="423"/>
      <c r="N718" s="156"/>
      <c r="O718" s="415"/>
      <c r="P718" s="210"/>
      <c r="Q718" s="424"/>
      <c r="R718" s="83"/>
      <c r="S718" s="209"/>
      <c r="T718" s="210"/>
      <c r="U718" s="209"/>
      <c r="V718" s="210"/>
      <c r="W718" s="210"/>
      <c r="X718" s="210"/>
      <c r="Y718" s="210"/>
      <c r="Z718" s="210"/>
    </row>
    <row r="719">
      <c r="A719" s="415"/>
      <c r="B719" s="210"/>
      <c r="C719" s="415"/>
      <c r="D719" s="156"/>
      <c r="E719" s="415"/>
      <c r="F719" s="210"/>
      <c r="G719" s="415"/>
      <c r="H719" s="210"/>
      <c r="I719" s="423"/>
      <c r="J719" s="156"/>
      <c r="K719" s="423"/>
      <c r="L719" s="156"/>
      <c r="M719" s="423"/>
      <c r="N719" s="156"/>
      <c r="O719" s="415"/>
      <c r="P719" s="210"/>
      <c r="Q719" s="424"/>
      <c r="R719" s="83"/>
      <c r="S719" s="209"/>
      <c r="T719" s="210"/>
      <c r="U719" s="209"/>
      <c r="V719" s="210"/>
      <c r="W719" s="210"/>
      <c r="X719" s="210"/>
      <c r="Y719" s="210"/>
      <c r="Z719" s="210"/>
    </row>
    <row r="720">
      <c r="A720" s="415"/>
      <c r="B720" s="210"/>
      <c r="C720" s="415"/>
      <c r="D720" s="156"/>
      <c r="E720" s="415"/>
      <c r="F720" s="210"/>
      <c r="G720" s="415"/>
      <c r="H720" s="210"/>
      <c r="I720" s="423"/>
      <c r="J720" s="156"/>
      <c r="K720" s="423"/>
      <c r="L720" s="156"/>
      <c r="M720" s="423"/>
      <c r="N720" s="156"/>
      <c r="O720" s="415"/>
      <c r="P720" s="210"/>
      <c r="Q720" s="424"/>
      <c r="R720" s="83"/>
      <c r="S720" s="209"/>
      <c r="T720" s="210"/>
      <c r="U720" s="209"/>
      <c r="V720" s="210"/>
      <c r="W720" s="210"/>
      <c r="X720" s="210"/>
      <c r="Y720" s="210"/>
      <c r="Z720" s="210"/>
    </row>
    <row r="721">
      <c r="A721" s="415"/>
      <c r="B721" s="210"/>
      <c r="C721" s="415"/>
      <c r="D721" s="156"/>
      <c r="E721" s="415"/>
      <c r="F721" s="210"/>
      <c r="G721" s="415"/>
      <c r="H721" s="210"/>
      <c r="I721" s="423"/>
      <c r="J721" s="156"/>
      <c r="K721" s="423"/>
      <c r="L721" s="156"/>
      <c r="M721" s="423"/>
      <c r="N721" s="156"/>
      <c r="O721" s="415"/>
      <c r="P721" s="210"/>
      <c r="Q721" s="424"/>
      <c r="R721" s="83"/>
      <c r="S721" s="209"/>
      <c r="T721" s="210"/>
      <c r="U721" s="209"/>
      <c r="V721" s="210"/>
      <c r="W721" s="210"/>
      <c r="X721" s="210"/>
      <c r="Y721" s="210"/>
      <c r="Z721" s="210"/>
    </row>
    <row r="722">
      <c r="A722" s="415"/>
      <c r="B722" s="210"/>
      <c r="C722" s="415"/>
      <c r="D722" s="156"/>
      <c r="E722" s="415"/>
      <c r="F722" s="210"/>
      <c r="G722" s="415"/>
      <c r="H722" s="210"/>
      <c r="I722" s="423"/>
      <c r="J722" s="156"/>
      <c r="K722" s="423"/>
      <c r="L722" s="156"/>
      <c r="M722" s="423"/>
      <c r="N722" s="156"/>
      <c r="O722" s="415"/>
      <c r="P722" s="210"/>
      <c r="Q722" s="424"/>
      <c r="R722" s="83"/>
      <c r="S722" s="209"/>
      <c r="T722" s="210"/>
      <c r="U722" s="209"/>
      <c r="V722" s="210"/>
      <c r="W722" s="210"/>
      <c r="X722" s="210"/>
      <c r="Y722" s="210"/>
      <c r="Z722" s="210"/>
    </row>
    <row r="723">
      <c r="A723" s="415"/>
      <c r="B723" s="210"/>
      <c r="C723" s="415"/>
      <c r="D723" s="156"/>
      <c r="E723" s="415"/>
      <c r="F723" s="210"/>
      <c r="G723" s="415"/>
      <c r="H723" s="210"/>
      <c r="I723" s="423"/>
      <c r="J723" s="156"/>
      <c r="K723" s="423"/>
      <c r="L723" s="156"/>
      <c r="M723" s="423"/>
      <c r="N723" s="156"/>
      <c r="O723" s="415"/>
      <c r="P723" s="210"/>
      <c r="Q723" s="424"/>
      <c r="R723" s="83"/>
      <c r="S723" s="209"/>
      <c r="T723" s="210"/>
      <c r="U723" s="209"/>
      <c r="V723" s="210"/>
      <c r="W723" s="210"/>
      <c r="X723" s="210"/>
      <c r="Y723" s="210"/>
      <c r="Z723" s="210"/>
    </row>
    <row r="724">
      <c r="A724" s="415"/>
      <c r="B724" s="210"/>
      <c r="C724" s="415"/>
      <c r="D724" s="156"/>
      <c r="E724" s="415"/>
      <c r="F724" s="210"/>
      <c r="G724" s="415"/>
      <c r="H724" s="210"/>
      <c r="I724" s="423"/>
      <c r="J724" s="156"/>
      <c r="K724" s="423"/>
      <c r="L724" s="156"/>
      <c r="M724" s="423"/>
      <c r="N724" s="156"/>
      <c r="O724" s="415"/>
      <c r="P724" s="210"/>
      <c r="Q724" s="424"/>
      <c r="R724" s="83"/>
      <c r="S724" s="209"/>
      <c r="T724" s="210"/>
      <c r="U724" s="209"/>
      <c r="V724" s="210"/>
      <c r="W724" s="210"/>
      <c r="X724" s="210"/>
      <c r="Y724" s="210"/>
      <c r="Z724" s="210"/>
    </row>
    <row r="725">
      <c r="A725" s="415"/>
      <c r="B725" s="210"/>
      <c r="C725" s="415"/>
      <c r="D725" s="156"/>
      <c r="E725" s="415"/>
      <c r="F725" s="210"/>
      <c r="G725" s="415"/>
      <c r="H725" s="210"/>
      <c r="I725" s="423"/>
      <c r="J725" s="156"/>
      <c r="K725" s="423"/>
      <c r="L725" s="156"/>
      <c r="M725" s="423"/>
      <c r="N725" s="156"/>
      <c r="O725" s="415"/>
      <c r="P725" s="210"/>
      <c r="Q725" s="424"/>
      <c r="R725" s="83"/>
      <c r="S725" s="209"/>
      <c r="T725" s="210"/>
      <c r="U725" s="209"/>
      <c r="V725" s="210"/>
      <c r="W725" s="210"/>
      <c r="X725" s="210"/>
      <c r="Y725" s="210"/>
      <c r="Z725" s="210"/>
    </row>
    <row r="726">
      <c r="A726" s="415"/>
      <c r="B726" s="210"/>
      <c r="C726" s="415"/>
      <c r="D726" s="156"/>
      <c r="E726" s="415"/>
      <c r="F726" s="210"/>
      <c r="G726" s="415"/>
      <c r="H726" s="210"/>
      <c r="I726" s="423"/>
      <c r="J726" s="156"/>
      <c r="K726" s="423"/>
      <c r="L726" s="156"/>
      <c r="M726" s="423"/>
      <c r="N726" s="156"/>
      <c r="O726" s="415"/>
      <c r="P726" s="210"/>
      <c r="Q726" s="424"/>
      <c r="R726" s="83"/>
      <c r="S726" s="209"/>
      <c r="T726" s="210"/>
      <c r="U726" s="209"/>
      <c r="V726" s="210"/>
      <c r="W726" s="210"/>
      <c r="X726" s="210"/>
      <c r="Y726" s="210"/>
      <c r="Z726" s="210"/>
    </row>
    <row r="727">
      <c r="A727" s="415"/>
      <c r="B727" s="210"/>
      <c r="C727" s="415"/>
      <c r="D727" s="156"/>
      <c r="E727" s="415"/>
      <c r="F727" s="210"/>
      <c r="G727" s="415"/>
      <c r="H727" s="210"/>
      <c r="I727" s="423"/>
      <c r="J727" s="156"/>
      <c r="K727" s="423"/>
      <c r="L727" s="156"/>
      <c r="M727" s="423"/>
      <c r="N727" s="156"/>
      <c r="O727" s="415"/>
      <c r="P727" s="210"/>
      <c r="Q727" s="424"/>
      <c r="R727" s="83"/>
      <c r="S727" s="209"/>
      <c r="T727" s="210"/>
      <c r="U727" s="209"/>
      <c r="V727" s="210"/>
      <c r="W727" s="210"/>
      <c r="X727" s="210"/>
      <c r="Y727" s="210"/>
      <c r="Z727" s="210"/>
    </row>
    <row r="728">
      <c r="A728" s="415"/>
      <c r="B728" s="210"/>
      <c r="C728" s="415"/>
      <c r="D728" s="156"/>
      <c r="E728" s="415"/>
      <c r="F728" s="210"/>
      <c r="G728" s="415"/>
      <c r="H728" s="210"/>
      <c r="I728" s="423"/>
      <c r="J728" s="156"/>
      <c r="K728" s="423"/>
      <c r="L728" s="156"/>
      <c r="M728" s="423"/>
      <c r="N728" s="156"/>
      <c r="O728" s="415"/>
      <c r="P728" s="210"/>
      <c r="Q728" s="424"/>
      <c r="R728" s="83"/>
      <c r="S728" s="209"/>
      <c r="T728" s="210"/>
      <c r="U728" s="209"/>
      <c r="V728" s="210"/>
      <c r="W728" s="210"/>
      <c r="X728" s="210"/>
      <c r="Y728" s="210"/>
      <c r="Z728" s="210"/>
    </row>
    <row r="729">
      <c r="A729" s="415"/>
      <c r="B729" s="210"/>
      <c r="C729" s="415"/>
      <c r="D729" s="156"/>
      <c r="E729" s="415"/>
      <c r="F729" s="210"/>
      <c r="G729" s="415"/>
      <c r="H729" s="210"/>
      <c r="I729" s="423"/>
      <c r="J729" s="156"/>
      <c r="K729" s="423"/>
      <c r="L729" s="156"/>
      <c r="M729" s="423"/>
      <c r="N729" s="156"/>
      <c r="O729" s="415"/>
      <c r="P729" s="210"/>
      <c r="Q729" s="424"/>
      <c r="R729" s="83"/>
      <c r="S729" s="209"/>
      <c r="T729" s="210"/>
      <c r="U729" s="209"/>
      <c r="V729" s="210"/>
      <c r="W729" s="210"/>
      <c r="X729" s="210"/>
      <c r="Y729" s="210"/>
      <c r="Z729" s="210"/>
    </row>
    <row r="730">
      <c r="A730" s="415"/>
      <c r="B730" s="210"/>
      <c r="C730" s="415"/>
      <c r="D730" s="156"/>
      <c r="E730" s="415"/>
      <c r="F730" s="210"/>
      <c r="G730" s="415"/>
      <c r="H730" s="210"/>
      <c r="I730" s="423"/>
      <c r="J730" s="156"/>
      <c r="K730" s="423"/>
      <c r="L730" s="156"/>
      <c r="M730" s="423"/>
      <c r="N730" s="156"/>
      <c r="O730" s="415"/>
      <c r="P730" s="210"/>
      <c r="Q730" s="424"/>
      <c r="R730" s="83"/>
      <c r="S730" s="209"/>
      <c r="T730" s="210"/>
      <c r="U730" s="209"/>
      <c r="V730" s="210"/>
      <c r="W730" s="210"/>
      <c r="X730" s="210"/>
      <c r="Y730" s="210"/>
      <c r="Z730" s="210"/>
    </row>
    <row r="731">
      <c r="A731" s="415"/>
      <c r="B731" s="210"/>
      <c r="C731" s="415"/>
      <c r="D731" s="156"/>
      <c r="E731" s="415"/>
      <c r="F731" s="210"/>
      <c r="G731" s="415"/>
      <c r="H731" s="210"/>
      <c r="I731" s="423"/>
      <c r="J731" s="156"/>
      <c r="K731" s="423"/>
      <c r="L731" s="156"/>
      <c r="M731" s="423"/>
      <c r="N731" s="156"/>
      <c r="O731" s="415"/>
      <c r="P731" s="210"/>
      <c r="Q731" s="424"/>
      <c r="R731" s="83"/>
      <c r="S731" s="209"/>
      <c r="T731" s="210"/>
      <c r="U731" s="209"/>
      <c r="V731" s="210"/>
      <c r="W731" s="210"/>
      <c r="X731" s="210"/>
      <c r="Y731" s="210"/>
      <c r="Z731" s="210"/>
    </row>
    <row r="732">
      <c r="A732" s="415"/>
      <c r="B732" s="210"/>
      <c r="C732" s="415"/>
      <c r="D732" s="156"/>
      <c r="E732" s="415"/>
      <c r="F732" s="210"/>
      <c r="G732" s="415"/>
      <c r="H732" s="210"/>
      <c r="I732" s="423"/>
      <c r="J732" s="156"/>
      <c r="K732" s="423"/>
      <c r="L732" s="156"/>
      <c r="M732" s="423"/>
      <c r="N732" s="156"/>
      <c r="O732" s="415"/>
      <c r="P732" s="210"/>
      <c r="Q732" s="424"/>
      <c r="R732" s="83"/>
      <c r="S732" s="209"/>
      <c r="T732" s="210"/>
      <c r="U732" s="209"/>
      <c r="V732" s="210"/>
      <c r="W732" s="210"/>
      <c r="X732" s="210"/>
      <c r="Y732" s="210"/>
      <c r="Z732" s="210"/>
    </row>
    <row r="733">
      <c r="A733" s="415"/>
      <c r="B733" s="210"/>
      <c r="C733" s="415"/>
      <c r="D733" s="156"/>
      <c r="E733" s="415"/>
      <c r="F733" s="210"/>
      <c r="G733" s="415"/>
      <c r="H733" s="210"/>
      <c r="I733" s="423"/>
      <c r="J733" s="156"/>
      <c r="K733" s="423"/>
      <c r="L733" s="156"/>
      <c r="M733" s="423"/>
      <c r="N733" s="156"/>
      <c r="O733" s="415"/>
      <c r="P733" s="210"/>
      <c r="Q733" s="424"/>
      <c r="R733" s="83"/>
      <c r="S733" s="209"/>
      <c r="T733" s="210"/>
      <c r="U733" s="209"/>
      <c r="V733" s="210"/>
      <c r="W733" s="210"/>
      <c r="X733" s="210"/>
      <c r="Y733" s="210"/>
      <c r="Z733" s="210"/>
    </row>
    <row r="734">
      <c r="A734" s="415"/>
      <c r="B734" s="210"/>
      <c r="C734" s="415"/>
      <c r="D734" s="156"/>
      <c r="E734" s="415"/>
      <c r="F734" s="210"/>
      <c r="G734" s="415"/>
      <c r="H734" s="210"/>
      <c r="I734" s="423"/>
      <c r="J734" s="156"/>
      <c r="K734" s="423"/>
      <c r="L734" s="156"/>
      <c r="M734" s="423"/>
      <c r="N734" s="156"/>
      <c r="O734" s="415"/>
      <c r="P734" s="210"/>
      <c r="Q734" s="424"/>
      <c r="R734" s="83"/>
      <c r="S734" s="209"/>
      <c r="T734" s="210"/>
      <c r="U734" s="209"/>
      <c r="V734" s="210"/>
      <c r="W734" s="210"/>
      <c r="X734" s="210"/>
      <c r="Y734" s="210"/>
      <c r="Z734" s="210"/>
    </row>
    <row r="735">
      <c r="A735" s="415"/>
      <c r="B735" s="210"/>
      <c r="C735" s="415"/>
      <c r="D735" s="156"/>
      <c r="E735" s="415"/>
      <c r="F735" s="210"/>
      <c r="G735" s="415"/>
      <c r="H735" s="210"/>
      <c r="I735" s="423"/>
      <c r="J735" s="156"/>
      <c r="K735" s="423"/>
      <c r="L735" s="156"/>
      <c r="M735" s="423"/>
      <c r="N735" s="156"/>
      <c r="O735" s="415"/>
      <c r="P735" s="210"/>
      <c r="Q735" s="424"/>
      <c r="R735" s="83"/>
      <c r="S735" s="209"/>
      <c r="T735" s="210"/>
      <c r="U735" s="209"/>
      <c r="V735" s="210"/>
      <c r="W735" s="210"/>
      <c r="X735" s="210"/>
      <c r="Y735" s="210"/>
      <c r="Z735" s="210"/>
    </row>
    <row r="736">
      <c r="A736" s="415"/>
      <c r="B736" s="210"/>
      <c r="C736" s="415"/>
      <c r="D736" s="156"/>
      <c r="E736" s="415"/>
      <c r="F736" s="210"/>
      <c r="G736" s="415"/>
      <c r="H736" s="210"/>
      <c r="I736" s="423"/>
      <c r="J736" s="156"/>
      <c r="K736" s="423"/>
      <c r="L736" s="156"/>
      <c r="M736" s="423"/>
      <c r="N736" s="156"/>
      <c r="O736" s="415"/>
      <c r="P736" s="210"/>
      <c r="Q736" s="424"/>
      <c r="R736" s="83"/>
      <c r="S736" s="209"/>
      <c r="T736" s="210"/>
      <c r="U736" s="209"/>
      <c r="V736" s="210"/>
      <c r="W736" s="210"/>
      <c r="X736" s="210"/>
      <c r="Y736" s="210"/>
      <c r="Z736" s="210"/>
    </row>
    <row r="737">
      <c r="A737" s="415"/>
      <c r="B737" s="210"/>
      <c r="C737" s="415"/>
      <c r="D737" s="156"/>
      <c r="E737" s="415"/>
      <c r="F737" s="210"/>
      <c r="G737" s="415"/>
      <c r="H737" s="210"/>
      <c r="I737" s="423"/>
      <c r="J737" s="156"/>
      <c r="K737" s="423"/>
      <c r="L737" s="156"/>
      <c r="M737" s="423"/>
      <c r="N737" s="156"/>
      <c r="O737" s="415"/>
      <c r="P737" s="210"/>
      <c r="Q737" s="424"/>
      <c r="R737" s="83"/>
      <c r="S737" s="209"/>
      <c r="T737" s="210"/>
      <c r="U737" s="209"/>
      <c r="V737" s="210"/>
      <c r="W737" s="210"/>
      <c r="X737" s="210"/>
      <c r="Y737" s="210"/>
      <c r="Z737" s="210"/>
    </row>
    <row r="738">
      <c r="A738" s="415"/>
      <c r="B738" s="210"/>
      <c r="C738" s="415"/>
      <c r="D738" s="156"/>
      <c r="E738" s="415"/>
      <c r="F738" s="210"/>
      <c r="G738" s="415"/>
      <c r="H738" s="210"/>
      <c r="I738" s="423"/>
      <c r="J738" s="156"/>
      <c r="K738" s="423"/>
      <c r="L738" s="156"/>
      <c r="M738" s="423"/>
      <c r="N738" s="156"/>
      <c r="O738" s="415"/>
      <c r="P738" s="210"/>
      <c r="Q738" s="424"/>
      <c r="R738" s="83"/>
      <c r="S738" s="209"/>
      <c r="T738" s="210"/>
      <c r="U738" s="209"/>
      <c r="V738" s="210"/>
      <c r="W738" s="210"/>
      <c r="X738" s="210"/>
      <c r="Y738" s="210"/>
      <c r="Z738" s="210"/>
    </row>
    <row r="739">
      <c r="A739" s="415"/>
      <c r="B739" s="210"/>
      <c r="C739" s="415"/>
      <c r="D739" s="156"/>
      <c r="E739" s="415"/>
      <c r="F739" s="210"/>
      <c r="G739" s="415"/>
      <c r="H739" s="210"/>
      <c r="I739" s="423"/>
      <c r="J739" s="156"/>
      <c r="K739" s="423"/>
      <c r="L739" s="156"/>
      <c r="M739" s="423"/>
      <c r="N739" s="156"/>
      <c r="O739" s="415"/>
      <c r="P739" s="210"/>
      <c r="Q739" s="424"/>
      <c r="R739" s="83"/>
      <c r="S739" s="209"/>
      <c r="T739" s="210"/>
      <c r="U739" s="209"/>
      <c r="V739" s="210"/>
      <c r="W739" s="210"/>
      <c r="X739" s="210"/>
      <c r="Y739" s="210"/>
      <c r="Z739" s="210"/>
    </row>
    <row r="740">
      <c r="A740" s="415"/>
      <c r="B740" s="210"/>
      <c r="C740" s="415"/>
      <c r="D740" s="156"/>
      <c r="E740" s="415"/>
      <c r="F740" s="210"/>
      <c r="G740" s="415"/>
      <c r="H740" s="210"/>
      <c r="I740" s="423"/>
      <c r="J740" s="156"/>
      <c r="K740" s="423"/>
      <c r="L740" s="156"/>
      <c r="M740" s="423"/>
      <c r="N740" s="156"/>
      <c r="O740" s="415"/>
      <c r="P740" s="210"/>
      <c r="Q740" s="424"/>
      <c r="R740" s="83"/>
      <c r="S740" s="209"/>
      <c r="T740" s="210"/>
      <c r="U740" s="209"/>
      <c r="V740" s="210"/>
      <c r="W740" s="210"/>
      <c r="X740" s="210"/>
      <c r="Y740" s="210"/>
      <c r="Z740" s="210"/>
    </row>
    <row r="741">
      <c r="A741" s="415"/>
      <c r="B741" s="210"/>
      <c r="C741" s="415"/>
      <c r="D741" s="156"/>
      <c r="E741" s="415"/>
      <c r="F741" s="210"/>
      <c r="G741" s="415"/>
      <c r="H741" s="210"/>
      <c r="I741" s="423"/>
      <c r="J741" s="156"/>
      <c r="K741" s="423"/>
      <c r="L741" s="156"/>
      <c r="M741" s="423"/>
      <c r="N741" s="156"/>
      <c r="O741" s="415"/>
      <c r="P741" s="210"/>
      <c r="Q741" s="424"/>
      <c r="R741" s="83"/>
      <c r="S741" s="209"/>
      <c r="T741" s="210"/>
      <c r="U741" s="209"/>
      <c r="V741" s="210"/>
      <c r="W741" s="210"/>
      <c r="X741" s="210"/>
      <c r="Y741" s="210"/>
      <c r="Z741" s="210"/>
    </row>
    <row r="742">
      <c r="A742" s="415"/>
      <c r="B742" s="210"/>
      <c r="C742" s="415"/>
      <c r="D742" s="156"/>
      <c r="E742" s="415"/>
      <c r="F742" s="210"/>
      <c r="G742" s="415"/>
      <c r="H742" s="210"/>
      <c r="I742" s="423"/>
      <c r="J742" s="156"/>
      <c r="K742" s="423"/>
      <c r="L742" s="156"/>
      <c r="M742" s="423"/>
      <c r="N742" s="156"/>
      <c r="O742" s="415"/>
      <c r="P742" s="210"/>
      <c r="Q742" s="424"/>
      <c r="R742" s="83"/>
      <c r="S742" s="209"/>
      <c r="T742" s="210"/>
      <c r="U742" s="209"/>
      <c r="V742" s="210"/>
      <c r="W742" s="210"/>
      <c r="X742" s="210"/>
      <c r="Y742" s="210"/>
      <c r="Z742" s="210"/>
    </row>
    <row r="743">
      <c r="A743" s="415"/>
      <c r="B743" s="210"/>
      <c r="C743" s="415"/>
      <c r="D743" s="156"/>
      <c r="E743" s="415"/>
      <c r="F743" s="210"/>
      <c r="G743" s="415"/>
      <c r="H743" s="210"/>
      <c r="I743" s="423"/>
      <c r="J743" s="156"/>
      <c r="K743" s="423"/>
      <c r="L743" s="156"/>
      <c r="M743" s="423"/>
      <c r="N743" s="156"/>
      <c r="O743" s="415"/>
      <c r="P743" s="210"/>
      <c r="Q743" s="424"/>
      <c r="R743" s="83"/>
      <c r="S743" s="209"/>
      <c r="T743" s="210"/>
      <c r="U743" s="209"/>
      <c r="V743" s="210"/>
      <c r="W743" s="210"/>
      <c r="X743" s="210"/>
      <c r="Y743" s="210"/>
      <c r="Z743" s="210"/>
    </row>
    <row r="744">
      <c r="A744" s="415"/>
      <c r="B744" s="210"/>
      <c r="C744" s="415"/>
      <c r="D744" s="156"/>
      <c r="E744" s="415"/>
      <c r="F744" s="210"/>
      <c r="G744" s="415"/>
      <c r="H744" s="210"/>
      <c r="I744" s="423"/>
      <c r="J744" s="156"/>
      <c r="K744" s="423"/>
      <c r="L744" s="156"/>
      <c r="M744" s="423"/>
      <c r="N744" s="156"/>
      <c r="O744" s="415"/>
      <c r="P744" s="210"/>
      <c r="Q744" s="424"/>
      <c r="R744" s="83"/>
      <c r="S744" s="209"/>
      <c r="T744" s="210"/>
      <c r="U744" s="209"/>
      <c r="V744" s="210"/>
      <c r="W744" s="210"/>
      <c r="X744" s="210"/>
      <c r="Y744" s="210"/>
      <c r="Z744" s="210"/>
    </row>
    <row r="745">
      <c r="A745" s="415"/>
      <c r="B745" s="210"/>
      <c r="C745" s="415"/>
      <c r="D745" s="156"/>
      <c r="E745" s="415"/>
      <c r="F745" s="210"/>
      <c r="G745" s="415"/>
      <c r="H745" s="210"/>
      <c r="I745" s="423"/>
      <c r="J745" s="156"/>
      <c r="K745" s="423"/>
      <c r="L745" s="156"/>
      <c r="M745" s="423"/>
      <c r="N745" s="156"/>
      <c r="O745" s="415"/>
      <c r="P745" s="210"/>
      <c r="Q745" s="424"/>
      <c r="R745" s="83"/>
      <c r="S745" s="209"/>
      <c r="T745" s="210"/>
      <c r="U745" s="209"/>
      <c r="V745" s="210"/>
      <c r="W745" s="210"/>
      <c r="X745" s="210"/>
      <c r="Y745" s="210"/>
      <c r="Z745" s="210"/>
    </row>
    <row r="746">
      <c r="A746" s="415"/>
      <c r="B746" s="210"/>
      <c r="C746" s="415"/>
      <c r="D746" s="156"/>
      <c r="E746" s="415"/>
      <c r="F746" s="210"/>
      <c r="G746" s="415"/>
      <c r="H746" s="210"/>
      <c r="I746" s="423"/>
      <c r="J746" s="156"/>
      <c r="K746" s="423"/>
      <c r="L746" s="156"/>
      <c r="M746" s="423"/>
      <c r="N746" s="156"/>
      <c r="O746" s="415"/>
      <c r="P746" s="210"/>
      <c r="Q746" s="424"/>
      <c r="R746" s="83"/>
      <c r="S746" s="209"/>
      <c r="T746" s="210"/>
      <c r="U746" s="209"/>
      <c r="V746" s="210"/>
      <c r="W746" s="210"/>
      <c r="X746" s="210"/>
      <c r="Y746" s="210"/>
      <c r="Z746" s="210"/>
    </row>
    <row r="747">
      <c r="A747" s="415"/>
      <c r="B747" s="210"/>
      <c r="C747" s="415"/>
      <c r="D747" s="156"/>
      <c r="E747" s="415"/>
      <c r="F747" s="210"/>
      <c r="G747" s="415"/>
      <c r="H747" s="210"/>
      <c r="I747" s="423"/>
      <c r="J747" s="156"/>
      <c r="K747" s="423"/>
      <c r="L747" s="156"/>
      <c r="M747" s="423"/>
      <c r="N747" s="156"/>
      <c r="O747" s="415"/>
      <c r="P747" s="210"/>
      <c r="Q747" s="424"/>
      <c r="R747" s="83"/>
      <c r="S747" s="209"/>
      <c r="T747" s="210"/>
      <c r="U747" s="209"/>
      <c r="V747" s="210"/>
      <c r="W747" s="210"/>
      <c r="X747" s="210"/>
      <c r="Y747" s="210"/>
      <c r="Z747" s="210"/>
    </row>
    <row r="748">
      <c r="A748" s="415"/>
      <c r="B748" s="210"/>
      <c r="C748" s="415"/>
      <c r="D748" s="156"/>
      <c r="E748" s="415"/>
      <c r="F748" s="210"/>
      <c r="G748" s="415"/>
      <c r="H748" s="210"/>
      <c r="I748" s="423"/>
      <c r="J748" s="156"/>
      <c r="K748" s="423"/>
      <c r="L748" s="156"/>
      <c r="M748" s="423"/>
      <c r="N748" s="156"/>
      <c r="O748" s="415"/>
      <c r="P748" s="210"/>
      <c r="Q748" s="424"/>
      <c r="R748" s="83"/>
      <c r="S748" s="209"/>
      <c r="T748" s="210"/>
      <c r="U748" s="209"/>
      <c r="V748" s="210"/>
      <c r="W748" s="210"/>
      <c r="X748" s="210"/>
      <c r="Y748" s="210"/>
      <c r="Z748" s="210"/>
    </row>
    <row r="749">
      <c r="A749" s="415"/>
      <c r="B749" s="210"/>
      <c r="C749" s="415"/>
      <c r="D749" s="156"/>
      <c r="E749" s="415"/>
      <c r="F749" s="210"/>
      <c r="G749" s="415"/>
      <c r="H749" s="210"/>
      <c r="I749" s="423"/>
      <c r="J749" s="156"/>
      <c r="K749" s="423"/>
      <c r="L749" s="156"/>
      <c r="M749" s="423"/>
      <c r="N749" s="156"/>
      <c r="O749" s="415"/>
      <c r="P749" s="210"/>
      <c r="Q749" s="424"/>
      <c r="R749" s="83"/>
      <c r="S749" s="209"/>
      <c r="T749" s="210"/>
      <c r="U749" s="209"/>
      <c r="V749" s="210"/>
      <c r="W749" s="210"/>
      <c r="X749" s="210"/>
      <c r="Y749" s="210"/>
      <c r="Z749" s="210"/>
    </row>
    <row r="750">
      <c r="A750" s="415"/>
      <c r="B750" s="210"/>
      <c r="C750" s="415"/>
      <c r="D750" s="156"/>
      <c r="E750" s="415"/>
      <c r="F750" s="210"/>
      <c r="G750" s="415"/>
      <c r="H750" s="210"/>
      <c r="I750" s="423"/>
      <c r="J750" s="156"/>
      <c r="K750" s="423"/>
      <c r="L750" s="156"/>
      <c r="M750" s="423"/>
      <c r="N750" s="156"/>
      <c r="O750" s="415"/>
      <c r="P750" s="210"/>
      <c r="Q750" s="424"/>
      <c r="R750" s="83"/>
      <c r="S750" s="209"/>
      <c r="T750" s="210"/>
      <c r="U750" s="209"/>
      <c r="V750" s="210"/>
      <c r="W750" s="210"/>
      <c r="X750" s="210"/>
      <c r="Y750" s="210"/>
      <c r="Z750" s="210"/>
    </row>
    <row r="751">
      <c r="A751" s="415"/>
      <c r="B751" s="210"/>
      <c r="C751" s="415"/>
      <c r="D751" s="156"/>
      <c r="E751" s="415"/>
      <c r="F751" s="210"/>
      <c r="G751" s="415"/>
      <c r="H751" s="210"/>
      <c r="I751" s="423"/>
      <c r="J751" s="156"/>
      <c r="K751" s="423"/>
      <c r="L751" s="156"/>
      <c r="M751" s="423"/>
      <c r="N751" s="156"/>
      <c r="O751" s="415"/>
      <c r="P751" s="210"/>
      <c r="Q751" s="424"/>
      <c r="R751" s="83"/>
      <c r="S751" s="209"/>
      <c r="T751" s="210"/>
      <c r="U751" s="209"/>
      <c r="V751" s="210"/>
      <c r="W751" s="210"/>
      <c r="X751" s="210"/>
      <c r="Y751" s="210"/>
      <c r="Z751" s="210"/>
    </row>
    <row r="752">
      <c r="A752" s="415"/>
      <c r="B752" s="210"/>
      <c r="C752" s="415"/>
      <c r="D752" s="156"/>
      <c r="E752" s="415"/>
      <c r="F752" s="210"/>
      <c r="G752" s="415"/>
      <c r="H752" s="210"/>
      <c r="I752" s="423"/>
      <c r="J752" s="156"/>
      <c r="K752" s="423"/>
      <c r="L752" s="156"/>
      <c r="M752" s="423"/>
      <c r="N752" s="156"/>
      <c r="O752" s="415"/>
      <c r="P752" s="210"/>
      <c r="Q752" s="424"/>
      <c r="R752" s="83"/>
      <c r="S752" s="209"/>
      <c r="T752" s="210"/>
      <c r="U752" s="209"/>
      <c r="V752" s="210"/>
      <c r="W752" s="210"/>
      <c r="X752" s="210"/>
      <c r="Y752" s="210"/>
      <c r="Z752" s="210"/>
    </row>
    <row r="753">
      <c r="A753" s="415"/>
      <c r="B753" s="210"/>
      <c r="C753" s="415"/>
      <c r="D753" s="156"/>
      <c r="E753" s="415"/>
      <c r="F753" s="210"/>
      <c r="G753" s="415"/>
      <c r="H753" s="210"/>
      <c r="I753" s="423"/>
      <c r="J753" s="156"/>
      <c r="K753" s="423"/>
      <c r="L753" s="156"/>
      <c r="M753" s="423"/>
      <c r="N753" s="156"/>
      <c r="O753" s="415"/>
      <c r="P753" s="210"/>
      <c r="Q753" s="424"/>
      <c r="R753" s="83"/>
      <c r="S753" s="209"/>
      <c r="T753" s="210"/>
      <c r="U753" s="209"/>
      <c r="V753" s="210"/>
      <c r="W753" s="210"/>
      <c r="X753" s="210"/>
      <c r="Y753" s="210"/>
      <c r="Z753" s="210"/>
    </row>
    <row r="754">
      <c r="A754" s="415"/>
      <c r="B754" s="210"/>
      <c r="C754" s="415"/>
      <c r="D754" s="156"/>
      <c r="E754" s="415"/>
      <c r="F754" s="210"/>
      <c r="G754" s="415"/>
      <c r="H754" s="210"/>
      <c r="I754" s="423"/>
      <c r="J754" s="156"/>
      <c r="K754" s="423"/>
      <c r="L754" s="156"/>
      <c r="M754" s="423"/>
      <c r="N754" s="156"/>
      <c r="O754" s="415"/>
      <c r="P754" s="210"/>
      <c r="Q754" s="424"/>
      <c r="R754" s="83"/>
      <c r="S754" s="209"/>
      <c r="T754" s="210"/>
      <c r="U754" s="209"/>
      <c r="V754" s="210"/>
      <c r="W754" s="210"/>
      <c r="X754" s="210"/>
      <c r="Y754" s="210"/>
      <c r="Z754" s="210"/>
    </row>
    <row r="755">
      <c r="A755" s="415"/>
      <c r="B755" s="210"/>
      <c r="C755" s="415"/>
      <c r="D755" s="156"/>
      <c r="E755" s="415"/>
      <c r="F755" s="210"/>
      <c r="G755" s="415"/>
      <c r="H755" s="210"/>
      <c r="I755" s="423"/>
      <c r="J755" s="156"/>
      <c r="K755" s="423"/>
      <c r="L755" s="156"/>
      <c r="M755" s="423"/>
      <c r="N755" s="156"/>
      <c r="O755" s="415"/>
      <c r="P755" s="210"/>
      <c r="Q755" s="424"/>
      <c r="R755" s="83"/>
      <c r="S755" s="209"/>
      <c r="T755" s="210"/>
      <c r="U755" s="209"/>
      <c r="V755" s="210"/>
      <c r="W755" s="210"/>
      <c r="X755" s="210"/>
      <c r="Y755" s="210"/>
      <c r="Z755" s="210"/>
    </row>
    <row r="756">
      <c r="A756" s="415"/>
      <c r="B756" s="210"/>
      <c r="C756" s="415"/>
      <c r="D756" s="156"/>
      <c r="E756" s="415"/>
      <c r="F756" s="210"/>
      <c r="G756" s="415"/>
      <c r="H756" s="210"/>
      <c r="I756" s="423"/>
      <c r="J756" s="156"/>
      <c r="K756" s="423"/>
      <c r="L756" s="156"/>
      <c r="M756" s="423"/>
      <c r="N756" s="156"/>
      <c r="O756" s="415"/>
      <c r="P756" s="210"/>
      <c r="Q756" s="424"/>
      <c r="R756" s="83"/>
      <c r="S756" s="209"/>
      <c r="T756" s="210"/>
      <c r="U756" s="209"/>
      <c r="V756" s="210"/>
      <c r="W756" s="210"/>
      <c r="X756" s="210"/>
      <c r="Y756" s="210"/>
      <c r="Z756" s="210"/>
    </row>
    <row r="757">
      <c r="A757" s="415"/>
      <c r="B757" s="210"/>
      <c r="C757" s="415"/>
      <c r="D757" s="156"/>
      <c r="E757" s="415"/>
      <c r="F757" s="210"/>
      <c r="G757" s="415"/>
      <c r="H757" s="210"/>
      <c r="I757" s="423"/>
      <c r="J757" s="156"/>
      <c r="K757" s="423"/>
      <c r="L757" s="156"/>
      <c r="M757" s="423"/>
      <c r="N757" s="156"/>
      <c r="O757" s="415"/>
      <c r="P757" s="210"/>
      <c r="Q757" s="424"/>
      <c r="R757" s="83"/>
      <c r="S757" s="209"/>
      <c r="T757" s="210"/>
      <c r="U757" s="209"/>
      <c r="V757" s="210"/>
      <c r="W757" s="210"/>
      <c r="X757" s="210"/>
      <c r="Y757" s="210"/>
      <c r="Z757" s="210"/>
    </row>
    <row r="758">
      <c r="A758" s="415"/>
      <c r="B758" s="210"/>
      <c r="C758" s="415"/>
      <c r="D758" s="156"/>
      <c r="E758" s="415"/>
      <c r="F758" s="210"/>
      <c r="G758" s="415"/>
      <c r="H758" s="210"/>
      <c r="I758" s="423"/>
      <c r="J758" s="156"/>
      <c r="K758" s="423"/>
      <c r="L758" s="156"/>
      <c r="M758" s="423"/>
      <c r="N758" s="156"/>
      <c r="O758" s="415"/>
      <c r="P758" s="210"/>
      <c r="Q758" s="424"/>
      <c r="R758" s="83"/>
      <c r="S758" s="209"/>
      <c r="T758" s="210"/>
      <c r="U758" s="209"/>
      <c r="V758" s="210"/>
      <c r="W758" s="210"/>
      <c r="X758" s="210"/>
      <c r="Y758" s="210"/>
      <c r="Z758" s="210"/>
    </row>
    <row r="759">
      <c r="A759" s="415"/>
      <c r="B759" s="210"/>
      <c r="C759" s="415"/>
      <c r="D759" s="156"/>
      <c r="E759" s="415"/>
      <c r="F759" s="210"/>
      <c r="G759" s="415"/>
      <c r="H759" s="210"/>
      <c r="I759" s="423"/>
      <c r="J759" s="156"/>
      <c r="K759" s="423"/>
      <c r="L759" s="156"/>
      <c r="M759" s="423"/>
      <c r="N759" s="156"/>
      <c r="O759" s="415"/>
      <c r="P759" s="210"/>
      <c r="Q759" s="424"/>
      <c r="R759" s="83"/>
      <c r="S759" s="209"/>
      <c r="T759" s="210"/>
      <c r="U759" s="209"/>
      <c r="V759" s="210"/>
      <c r="W759" s="210"/>
      <c r="X759" s="210"/>
      <c r="Y759" s="210"/>
      <c r="Z759" s="210"/>
    </row>
    <row r="760">
      <c r="A760" s="415"/>
      <c r="B760" s="210"/>
      <c r="C760" s="415"/>
      <c r="D760" s="156"/>
      <c r="E760" s="415"/>
      <c r="F760" s="210"/>
      <c r="G760" s="415"/>
      <c r="H760" s="210"/>
      <c r="I760" s="423"/>
      <c r="J760" s="156"/>
      <c r="K760" s="423"/>
      <c r="L760" s="156"/>
      <c r="M760" s="423"/>
      <c r="N760" s="156"/>
      <c r="O760" s="415"/>
      <c r="P760" s="210"/>
      <c r="Q760" s="424"/>
      <c r="R760" s="83"/>
      <c r="S760" s="209"/>
      <c r="T760" s="210"/>
      <c r="U760" s="209"/>
      <c r="V760" s="210"/>
      <c r="W760" s="210"/>
      <c r="X760" s="210"/>
      <c r="Y760" s="210"/>
      <c r="Z760" s="210"/>
    </row>
    <row r="761">
      <c r="A761" s="415"/>
      <c r="B761" s="210"/>
      <c r="C761" s="415"/>
      <c r="D761" s="156"/>
      <c r="E761" s="415"/>
      <c r="F761" s="210"/>
      <c r="G761" s="415"/>
      <c r="H761" s="210"/>
      <c r="I761" s="423"/>
      <c r="J761" s="156"/>
      <c r="K761" s="423"/>
      <c r="L761" s="156"/>
      <c r="M761" s="423"/>
      <c r="N761" s="156"/>
      <c r="O761" s="415"/>
      <c r="P761" s="210"/>
      <c r="Q761" s="424"/>
      <c r="R761" s="83"/>
      <c r="S761" s="209"/>
      <c r="T761" s="210"/>
      <c r="U761" s="209"/>
      <c r="V761" s="210"/>
      <c r="W761" s="210"/>
      <c r="X761" s="210"/>
      <c r="Y761" s="210"/>
      <c r="Z761" s="210"/>
    </row>
    <row r="762">
      <c r="A762" s="415"/>
      <c r="B762" s="210"/>
      <c r="C762" s="415"/>
      <c r="D762" s="156"/>
      <c r="E762" s="415"/>
      <c r="F762" s="210"/>
      <c r="G762" s="415"/>
      <c r="H762" s="210"/>
      <c r="I762" s="423"/>
      <c r="J762" s="156"/>
      <c r="K762" s="423"/>
      <c r="L762" s="156"/>
      <c r="M762" s="423"/>
      <c r="N762" s="156"/>
      <c r="O762" s="415"/>
      <c r="P762" s="210"/>
      <c r="Q762" s="424"/>
      <c r="R762" s="83"/>
      <c r="S762" s="209"/>
      <c r="T762" s="210"/>
      <c r="U762" s="209"/>
      <c r="V762" s="210"/>
      <c r="W762" s="210"/>
      <c r="X762" s="210"/>
      <c r="Y762" s="210"/>
      <c r="Z762" s="210"/>
    </row>
    <row r="763">
      <c r="A763" s="415"/>
      <c r="B763" s="210"/>
      <c r="C763" s="415"/>
      <c r="D763" s="156"/>
      <c r="E763" s="415"/>
      <c r="F763" s="210"/>
      <c r="G763" s="415"/>
      <c r="H763" s="210"/>
      <c r="I763" s="423"/>
      <c r="J763" s="156"/>
      <c r="K763" s="423"/>
      <c r="L763" s="156"/>
      <c r="M763" s="423"/>
      <c r="N763" s="156"/>
      <c r="O763" s="415"/>
      <c r="P763" s="210"/>
      <c r="Q763" s="424"/>
      <c r="R763" s="83"/>
      <c r="S763" s="209"/>
      <c r="T763" s="210"/>
      <c r="U763" s="209"/>
      <c r="V763" s="210"/>
      <c r="W763" s="210"/>
      <c r="X763" s="210"/>
      <c r="Y763" s="210"/>
      <c r="Z763" s="210"/>
    </row>
    <row r="764">
      <c r="A764" s="415"/>
      <c r="B764" s="210"/>
      <c r="C764" s="415"/>
      <c r="D764" s="156"/>
      <c r="E764" s="415"/>
      <c r="F764" s="210"/>
      <c r="G764" s="415"/>
      <c r="H764" s="210"/>
      <c r="I764" s="423"/>
      <c r="J764" s="156"/>
      <c r="K764" s="423"/>
      <c r="L764" s="156"/>
      <c r="M764" s="423"/>
      <c r="N764" s="156"/>
      <c r="O764" s="415"/>
      <c r="P764" s="210"/>
      <c r="Q764" s="424"/>
      <c r="R764" s="83"/>
      <c r="S764" s="209"/>
      <c r="T764" s="210"/>
      <c r="U764" s="209"/>
      <c r="V764" s="210"/>
      <c r="W764" s="210"/>
      <c r="X764" s="210"/>
      <c r="Y764" s="210"/>
      <c r="Z764" s="210"/>
    </row>
    <row r="765">
      <c r="A765" s="415"/>
      <c r="B765" s="210"/>
      <c r="C765" s="415"/>
      <c r="D765" s="156"/>
      <c r="E765" s="415"/>
      <c r="F765" s="210"/>
      <c r="G765" s="415"/>
      <c r="H765" s="210"/>
      <c r="I765" s="423"/>
      <c r="J765" s="156"/>
      <c r="K765" s="423"/>
      <c r="L765" s="156"/>
      <c r="M765" s="423"/>
      <c r="N765" s="156"/>
      <c r="O765" s="415"/>
      <c r="P765" s="210"/>
      <c r="Q765" s="424"/>
      <c r="R765" s="83"/>
      <c r="S765" s="209"/>
      <c r="T765" s="210"/>
      <c r="U765" s="209"/>
      <c r="V765" s="210"/>
      <c r="W765" s="210"/>
      <c r="X765" s="210"/>
      <c r="Y765" s="210"/>
      <c r="Z765" s="210"/>
    </row>
    <row r="766">
      <c r="A766" s="415"/>
      <c r="B766" s="210"/>
      <c r="C766" s="415"/>
      <c r="D766" s="156"/>
      <c r="E766" s="415"/>
      <c r="F766" s="210"/>
      <c r="G766" s="415"/>
      <c r="H766" s="210"/>
      <c r="I766" s="423"/>
      <c r="J766" s="156"/>
      <c r="K766" s="423"/>
      <c r="L766" s="156"/>
      <c r="M766" s="423"/>
      <c r="N766" s="156"/>
      <c r="O766" s="415"/>
      <c r="P766" s="210"/>
      <c r="Q766" s="424"/>
      <c r="R766" s="83"/>
      <c r="S766" s="209"/>
      <c r="T766" s="210"/>
      <c r="U766" s="209"/>
      <c r="V766" s="210"/>
      <c r="W766" s="210"/>
      <c r="X766" s="210"/>
      <c r="Y766" s="210"/>
      <c r="Z766" s="210"/>
    </row>
    <row r="767">
      <c r="A767" s="415"/>
      <c r="B767" s="210"/>
      <c r="C767" s="415"/>
      <c r="D767" s="156"/>
      <c r="E767" s="415"/>
      <c r="F767" s="210"/>
      <c r="G767" s="415"/>
      <c r="H767" s="210"/>
      <c r="I767" s="423"/>
      <c r="J767" s="156"/>
      <c r="K767" s="423"/>
      <c r="L767" s="156"/>
      <c r="M767" s="423"/>
      <c r="N767" s="156"/>
      <c r="O767" s="415"/>
      <c r="P767" s="210"/>
      <c r="Q767" s="424"/>
      <c r="R767" s="83"/>
      <c r="S767" s="209"/>
      <c r="T767" s="210"/>
      <c r="U767" s="209"/>
      <c r="V767" s="210"/>
      <c r="W767" s="210"/>
      <c r="X767" s="210"/>
      <c r="Y767" s="210"/>
      <c r="Z767" s="210"/>
    </row>
    <row r="768">
      <c r="A768" s="415"/>
      <c r="B768" s="210"/>
      <c r="C768" s="415"/>
      <c r="D768" s="156"/>
      <c r="E768" s="415"/>
      <c r="F768" s="210"/>
      <c r="G768" s="415"/>
      <c r="H768" s="210"/>
      <c r="I768" s="423"/>
      <c r="J768" s="156"/>
      <c r="K768" s="423"/>
      <c r="L768" s="156"/>
      <c r="M768" s="423"/>
      <c r="N768" s="156"/>
      <c r="O768" s="415"/>
      <c r="P768" s="210"/>
      <c r="Q768" s="424"/>
      <c r="R768" s="83"/>
      <c r="S768" s="209"/>
      <c r="T768" s="210"/>
      <c r="U768" s="209"/>
      <c r="V768" s="210"/>
      <c r="W768" s="210"/>
      <c r="X768" s="210"/>
      <c r="Y768" s="210"/>
      <c r="Z768" s="210"/>
    </row>
    <row r="769">
      <c r="A769" s="415"/>
      <c r="B769" s="210"/>
      <c r="C769" s="415"/>
      <c r="D769" s="156"/>
      <c r="E769" s="415"/>
      <c r="F769" s="210"/>
      <c r="G769" s="415"/>
      <c r="H769" s="210"/>
      <c r="I769" s="423"/>
      <c r="J769" s="156"/>
      <c r="K769" s="423"/>
      <c r="L769" s="156"/>
      <c r="M769" s="423"/>
      <c r="N769" s="156"/>
      <c r="O769" s="415"/>
      <c r="P769" s="210"/>
      <c r="Q769" s="424"/>
      <c r="R769" s="83"/>
      <c r="S769" s="209"/>
      <c r="T769" s="210"/>
      <c r="U769" s="209"/>
      <c r="V769" s="210"/>
      <c r="W769" s="210"/>
      <c r="X769" s="210"/>
      <c r="Y769" s="210"/>
      <c r="Z769" s="210"/>
    </row>
    <row r="770">
      <c r="A770" s="415"/>
      <c r="B770" s="210"/>
      <c r="C770" s="415"/>
      <c r="D770" s="156"/>
      <c r="E770" s="415"/>
      <c r="F770" s="210"/>
      <c r="G770" s="415"/>
      <c r="H770" s="210"/>
      <c r="I770" s="423"/>
      <c r="J770" s="156"/>
      <c r="K770" s="423"/>
      <c r="L770" s="156"/>
      <c r="M770" s="423"/>
      <c r="N770" s="156"/>
      <c r="O770" s="415"/>
      <c r="P770" s="210"/>
      <c r="Q770" s="424"/>
      <c r="R770" s="83"/>
      <c r="S770" s="209"/>
      <c r="T770" s="210"/>
      <c r="U770" s="209"/>
      <c r="V770" s="210"/>
      <c r="W770" s="210"/>
      <c r="X770" s="210"/>
      <c r="Y770" s="210"/>
      <c r="Z770" s="210"/>
    </row>
    <row r="771">
      <c r="A771" s="415"/>
      <c r="B771" s="210"/>
      <c r="C771" s="415"/>
      <c r="D771" s="156"/>
      <c r="E771" s="415"/>
      <c r="F771" s="210"/>
      <c r="G771" s="415"/>
      <c r="H771" s="210"/>
      <c r="I771" s="423"/>
      <c r="J771" s="156"/>
      <c r="K771" s="423"/>
      <c r="L771" s="156"/>
      <c r="M771" s="423"/>
      <c r="N771" s="156"/>
      <c r="O771" s="415"/>
      <c r="P771" s="210"/>
      <c r="Q771" s="424"/>
      <c r="R771" s="83"/>
      <c r="S771" s="209"/>
      <c r="T771" s="210"/>
      <c r="U771" s="209"/>
      <c r="V771" s="210"/>
      <c r="W771" s="210"/>
      <c r="X771" s="210"/>
      <c r="Y771" s="210"/>
      <c r="Z771" s="210"/>
    </row>
    <row r="772">
      <c r="A772" s="415"/>
      <c r="B772" s="210"/>
      <c r="C772" s="415"/>
      <c r="D772" s="156"/>
      <c r="E772" s="415"/>
      <c r="F772" s="210"/>
      <c r="G772" s="415"/>
      <c r="H772" s="210"/>
      <c r="I772" s="423"/>
      <c r="J772" s="156"/>
      <c r="K772" s="423"/>
      <c r="L772" s="156"/>
      <c r="M772" s="423"/>
      <c r="N772" s="156"/>
      <c r="O772" s="415"/>
      <c r="P772" s="210"/>
      <c r="Q772" s="424"/>
      <c r="R772" s="83"/>
      <c r="S772" s="209"/>
      <c r="T772" s="210"/>
      <c r="U772" s="209"/>
      <c r="V772" s="210"/>
      <c r="W772" s="210"/>
      <c r="X772" s="210"/>
      <c r="Y772" s="210"/>
      <c r="Z772" s="210"/>
    </row>
    <row r="773">
      <c r="A773" s="415"/>
      <c r="B773" s="210"/>
      <c r="C773" s="415"/>
      <c r="D773" s="156"/>
      <c r="E773" s="415"/>
      <c r="F773" s="210"/>
      <c r="G773" s="415"/>
      <c r="H773" s="210"/>
      <c r="I773" s="423"/>
      <c r="J773" s="156"/>
      <c r="K773" s="423"/>
      <c r="L773" s="156"/>
      <c r="M773" s="423"/>
      <c r="N773" s="156"/>
      <c r="O773" s="415"/>
      <c r="P773" s="210"/>
      <c r="Q773" s="424"/>
      <c r="R773" s="83"/>
      <c r="S773" s="209"/>
      <c r="T773" s="210"/>
      <c r="U773" s="209"/>
      <c r="V773" s="210"/>
      <c r="W773" s="210"/>
      <c r="X773" s="210"/>
      <c r="Y773" s="210"/>
      <c r="Z773" s="210"/>
    </row>
    <row r="774">
      <c r="A774" s="415"/>
      <c r="B774" s="210"/>
      <c r="C774" s="415"/>
      <c r="D774" s="156"/>
      <c r="E774" s="415"/>
      <c r="F774" s="210"/>
      <c r="G774" s="415"/>
      <c r="H774" s="210"/>
      <c r="I774" s="423"/>
      <c r="J774" s="156"/>
      <c r="K774" s="423"/>
      <c r="L774" s="156"/>
      <c r="M774" s="423"/>
      <c r="N774" s="156"/>
      <c r="O774" s="415"/>
      <c r="P774" s="210"/>
      <c r="Q774" s="424"/>
      <c r="R774" s="83"/>
      <c r="S774" s="209"/>
      <c r="T774" s="210"/>
      <c r="U774" s="209"/>
      <c r="V774" s="210"/>
      <c r="W774" s="210"/>
      <c r="X774" s="210"/>
      <c r="Y774" s="210"/>
      <c r="Z774" s="210"/>
    </row>
    <row r="775">
      <c r="A775" s="415"/>
      <c r="B775" s="210"/>
      <c r="C775" s="415"/>
      <c r="D775" s="156"/>
      <c r="E775" s="415"/>
      <c r="F775" s="210"/>
      <c r="G775" s="415"/>
      <c r="H775" s="210"/>
      <c r="I775" s="423"/>
      <c r="J775" s="156"/>
      <c r="K775" s="423"/>
      <c r="L775" s="156"/>
      <c r="M775" s="423"/>
      <c r="N775" s="156"/>
      <c r="O775" s="415"/>
      <c r="P775" s="210"/>
      <c r="Q775" s="424"/>
      <c r="R775" s="83"/>
      <c r="S775" s="209"/>
      <c r="T775" s="210"/>
      <c r="U775" s="209"/>
      <c r="V775" s="210"/>
      <c r="W775" s="210"/>
      <c r="X775" s="210"/>
      <c r="Y775" s="210"/>
      <c r="Z775" s="210"/>
    </row>
    <row r="776">
      <c r="A776" s="415"/>
      <c r="B776" s="210"/>
      <c r="C776" s="415"/>
      <c r="D776" s="156"/>
      <c r="E776" s="415"/>
      <c r="F776" s="210"/>
      <c r="G776" s="415"/>
      <c r="H776" s="210"/>
      <c r="I776" s="423"/>
      <c r="J776" s="156"/>
      <c r="K776" s="423"/>
      <c r="L776" s="156"/>
      <c r="M776" s="423"/>
      <c r="N776" s="156"/>
      <c r="O776" s="415"/>
      <c r="P776" s="210"/>
      <c r="Q776" s="424"/>
      <c r="R776" s="83"/>
      <c r="S776" s="209"/>
      <c r="T776" s="210"/>
      <c r="U776" s="209"/>
      <c r="V776" s="210"/>
      <c r="W776" s="210"/>
      <c r="X776" s="210"/>
      <c r="Y776" s="210"/>
      <c r="Z776" s="210"/>
    </row>
    <row r="777">
      <c r="A777" s="415"/>
      <c r="B777" s="210"/>
      <c r="C777" s="415"/>
      <c r="D777" s="156"/>
      <c r="E777" s="415"/>
      <c r="F777" s="210"/>
      <c r="G777" s="415"/>
      <c r="H777" s="210"/>
      <c r="I777" s="423"/>
      <c r="J777" s="156"/>
      <c r="K777" s="423"/>
      <c r="L777" s="156"/>
      <c r="M777" s="423"/>
      <c r="N777" s="156"/>
      <c r="O777" s="415"/>
      <c r="P777" s="210"/>
      <c r="Q777" s="424"/>
      <c r="R777" s="83"/>
      <c r="S777" s="209"/>
      <c r="T777" s="210"/>
      <c r="U777" s="209"/>
      <c r="V777" s="210"/>
      <c r="W777" s="210"/>
      <c r="X777" s="210"/>
      <c r="Y777" s="210"/>
      <c r="Z777" s="210"/>
    </row>
    <row r="778">
      <c r="A778" s="415"/>
      <c r="B778" s="210"/>
      <c r="C778" s="415"/>
      <c r="D778" s="156"/>
      <c r="E778" s="415"/>
      <c r="F778" s="210"/>
      <c r="G778" s="415"/>
      <c r="H778" s="210"/>
      <c r="I778" s="423"/>
      <c r="J778" s="156"/>
      <c r="K778" s="423"/>
      <c r="L778" s="156"/>
      <c r="M778" s="423"/>
      <c r="N778" s="156"/>
      <c r="O778" s="415"/>
      <c r="P778" s="210"/>
      <c r="Q778" s="424"/>
      <c r="R778" s="83"/>
      <c r="S778" s="209"/>
      <c r="T778" s="210"/>
      <c r="U778" s="209"/>
      <c r="V778" s="210"/>
      <c r="W778" s="210"/>
      <c r="X778" s="210"/>
      <c r="Y778" s="210"/>
      <c r="Z778" s="210"/>
    </row>
    <row r="779">
      <c r="A779" s="415"/>
      <c r="B779" s="210"/>
      <c r="C779" s="415"/>
      <c r="D779" s="156"/>
      <c r="E779" s="415"/>
      <c r="F779" s="210"/>
      <c r="G779" s="415"/>
      <c r="H779" s="210"/>
      <c r="I779" s="423"/>
      <c r="J779" s="156"/>
      <c r="K779" s="423"/>
      <c r="L779" s="156"/>
      <c r="M779" s="423"/>
      <c r="N779" s="156"/>
      <c r="O779" s="415"/>
      <c r="P779" s="210"/>
      <c r="Q779" s="424"/>
      <c r="R779" s="83"/>
      <c r="S779" s="209"/>
      <c r="T779" s="210"/>
      <c r="U779" s="209"/>
      <c r="V779" s="210"/>
      <c r="W779" s="210"/>
      <c r="X779" s="210"/>
      <c r="Y779" s="210"/>
      <c r="Z779" s="210"/>
    </row>
    <row r="780">
      <c r="A780" s="415"/>
      <c r="B780" s="210"/>
      <c r="C780" s="415"/>
      <c r="D780" s="156"/>
      <c r="E780" s="415"/>
      <c r="F780" s="210"/>
      <c r="G780" s="415"/>
      <c r="H780" s="210"/>
      <c r="I780" s="423"/>
      <c r="J780" s="156"/>
      <c r="K780" s="423"/>
      <c r="L780" s="156"/>
      <c r="M780" s="423"/>
      <c r="N780" s="156"/>
      <c r="O780" s="415"/>
      <c r="P780" s="210"/>
      <c r="Q780" s="424"/>
      <c r="R780" s="83"/>
      <c r="S780" s="209"/>
      <c r="T780" s="210"/>
      <c r="U780" s="209"/>
      <c r="V780" s="210"/>
      <c r="W780" s="210"/>
      <c r="X780" s="210"/>
      <c r="Y780" s="210"/>
      <c r="Z780" s="210"/>
    </row>
    <row r="781">
      <c r="A781" s="415"/>
      <c r="B781" s="210"/>
      <c r="C781" s="415"/>
      <c r="D781" s="156"/>
      <c r="E781" s="415"/>
      <c r="F781" s="210"/>
      <c r="G781" s="415"/>
      <c r="H781" s="210"/>
      <c r="I781" s="423"/>
      <c r="J781" s="156"/>
      <c r="K781" s="423"/>
      <c r="L781" s="156"/>
      <c r="M781" s="423"/>
      <c r="N781" s="156"/>
      <c r="O781" s="415"/>
      <c r="P781" s="210"/>
      <c r="Q781" s="424"/>
      <c r="R781" s="83"/>
      <c r="S781" s="209"/>
      <c r="T781" s="210"/>
      <c r="U781" s="209"/>
      <c r="V781" s="210"/>
      <c r="W781" s="210"/>
      <c r="X781" s="210"/>
      <c r="Y781" s="210"/>
      <c r="Z781" s="210"/>
    </row>
    <row r="782">
      <c r="A782" s="415"/>
      <c r="B782" s="210"/>
      <c r="C782" s="415"/>
      <c r="D782" s="156"/>
      <c r="E782" s="415"/>
      <c r="F782" s="210"/>
      <c r="G782" s="415"/>
      <c r="H782" s="210"/>
      <c r="I782" s="423"/>
      <c r="J782" s="156"/>
      <c r="K782" s="423"/>
      <c r="L782" s="156"/>
      <c r="M782" s="423"/>
      <c r="N782" s="156"/>
      <c r="O782" s="415"/>
      <c r="P782" s="210"/>
      <c r="Q782" s="424"/>
      <c r="R782" s="83"/>
      <c r="S782" s="209"/>
      <c r="T782" s="210"/>
      <c r="U782" s="209"/>
      <c r="V782" s="210"/>
      <c r="W782" s="210"/>
      <c r="X782" s="210"/>
      <c r="Y782" s="210"/>
      <c r="Z782" s="210"/>
    </row>
    <row r="783">
      <c r="A783" s="415"/>
      <c r="B783" s="210"/>
      <c r="C783" s="415"/>
      <c r="D783" s="156"/>
      <c r="E783" s="415"/>
      <c r="F783" s="210"/>
      <c r="G783" s="415"/>
      <c r="H783" s="210"/>
      <c r="I783" s="423"/>
      <c r="J783" s="156"/>
      <c r="K783" s="423"/>
      <c r="L783" s="156"/>
      <c r="M783" s="423"/>
      <c r="N783" s="156"/>
      <c r="O783" s="415"/>
      <c r="P783" s="210"/>
      <c r="Q783" s="424"/>
      <c r="R783" s="83"/>
      <c r="S783" s="209"/>
      <c r="T783" s="210"/>
      <c r="U783" s="209"/>
      <c r="V783" s="210"/>
      <c r="W783" s="210"/>
      <c r="X783" s="210"/>
      <c r="Y783" s="210"/>
      <c r="Z783" s="210"/>
    </row>
    <row r="784">
      <c r="A784" s="415"/>
      <c r="B784" s="210"/>
      <c r="C784" s="415"/>
      <c r="D784" s="156"/>
      <c r="E784" s="415"/>
      <c r="F784" s="210"/>
      <c r="G784" s="415"/>
      <c r="H784" s="210"/>
      <c r="I784" s="423"/>
      <c r="J784" s="156"/>
      <c r="K784" s="423"/>
      <c r="L784" s="156"/>
      <c r="M784" s="423"/>
      <c r="N784" s="156"/>
      <c r="O784" s="415"/>
      <c r="P784" s="210"/>
      <c r="Q784" s="424"/>
      <c r="R784" s="83"/>
      <c r="S784" s="209"/>
      <c r="T784" s="210"/>
      <c r="U784" s="209"/>
      <c r="V784" s="210"/>
      <c r="W784" s="210"/>
      <c r="X784" s="210"/>
      <c r="Y784" s="210"/>
      <c r="Z784" s="210"/>
    </row>
    <row r="785">
      <c r="A785" s="415"/>
      <c r="B785" s="210"/>
      <c r="C785" s="415"/>
      <c r="D785" s="156"/>
      <c r="E785" s="415"/>
      <c r="F785" s="210"/>
      <c r="G785" s="415"/>
      <c r="H785" s="210"/>
      <c r="I785" s="423"/>
      <c r="J785" s="156"/>
      <c r="K785" s="423"/>
      <c r="L785" s="156"/>
      <c r="M785" s="423"/>
      <c r="N785" s="156"/>
      <c r="O785" s="415"/>
      <c r="P785" s="210"/>
      <c r="Q785" s="424"/>
      <c r="R785" s="83"/>
      <c r="S785" s="209"/>
      <c r="T785" s="210"/>
      <c r="U785" s="209"/>
      <c r="V785" s="210"/>
      <c r="W785" s="210"/>
      <c r="X785" s="210"/>
      <c r="Y785" s="210"/>
      <c r="Z785" s="210"/>
    </row>
    <row r="786">
      <c r="A786" s="415"/>
      <c r="B786" s="210"/>
      <c r="C786" s="415"/>
      <c r="D786" s="156"/>
      <c r="E786" s="415"/>
      <c r="F786" s="210"/>
      <c r="G786" s="415"/>
      <c r="H786" s="210"/>
      <c r="I786" s="423"/>
      <c r="J786" s="156"/>
      <c r="K786" s="423"/>
      <c r="L786" s="156"/>
      <c r="M786" s="423"/>
      <c r="N786" s="156"/>
      <c r="O786" s="415"/>
      <c r="P786" s="210"/>
      <c r="Q786" s="424"/>
      <c r="R786" s="83"/>
      <c r="S786" s="209"/>
      <c r="T786" s="210"/>
      <c r="U786" s="209"/>
      <c r="V786" s="210"/>
      <c r="W786" s="210"/>
      <c r="X786" s="210"/>
      <c r="Y786" s="210"/>
      <c r="Z786" s="210"/>
    </row>
    <row r="787">
      <c r="A787" s="415"/>
      <c r="B787" s="210"/>
      <c r="C787" s="415"/>
      <c r="D787" s="156"/>
      <c r="E787" s="415"/>
      <c r="F787" s="210"/>
      <c r="G787" s="415"/>
      <c r="H787" s="210"/>
      <c r="I787" s="423"/>
      <c r="J787" s="156"/>
      <c r="K787" s="423"/>
      <c r="L787" s="156"/>
      <c r="M787" s="423"/>
      <c r="N787" s="156"/>
      <c r="O787" s="415"/>
      <c r="P787" s="210"/>
      <c r="Q787" s="424"/>
      <c r="R787" s="83"/>
      <c r="S787" s="209"/>
      <c r="T787" s="210"/>
      <c r="U787" s="209"/>
      <c r="V787" s="210"/>
      <c r="W787" s="210"/>
      <c r="X787" s="210"/>
      <c r="Y787" s="210"/>
      <c r="Z787" s="210"/>
    </row>
    <row r="788">
      <c r="A788" s="415"/>
      <c r="B788" s="210"/>
      <c r="C788" s="415"/>
      <c r="D788" s="156"/>
      <c r="E788" s="415"/>
      <c r="F788" s="210"/>
      <c r="G788" s="415"/>
      <c r="H788" s="210"/>
      <c r="I788" s="423"/>
      <c r="J788" s="156"/>
      <c r="K788" s="423"/>
      <c r="L788" s="156"/>
      <c r="M788" s="423"/>
      <c r="N788" s="156"/>
      <c r="O788" s="415"/>
      <c r="P788" s="210"/>
      <c r="Q788" s="424"/>
      <c r="R788" s="83"/>
      <c r="S788" s="209"/>
      <c r="T788" s="210"/>
      <c r="U788" s="209"/>
      <c r="V788" s="210"/>
      <c r="W788" s="210"/>
      <c r="X788" s="210"/>
      <c r="Y788" s="210"/>
      <c r="Z788" s="210"/>
    </row>
    <row r="789">
      <c r="A789" s="415"/>
      <c r="B789" s="210"/>
      <c r="C789" s="415"/>
      <c r="D789" s="156"/>
      <c r="E789" s="415"/>
      <c r="F789" s="210"/>
      <c r="G789" s="415"/>
      <c r="H789" s="210"/>
      <c r="I789" s="423"/>
      <c r="J789" s="156"/>
      <c r="K789" s="423"/>
      <c r="L789" s="156"/>
      <c r="M789" s="423"/>
      <c r="N789" s="156"/>
      <c r="O789" s="415"/>
      <c r="P789" s="210"/>
      <c r="Q789" s="424"/>
      <c r="R789" s="83"/>
      <c r="S789" s="209"/>
      <c r="T789" s="210"/>
      <c r="U789" s="209"/>
      <c r="V789" s="210"/>
      <c r="W789" s="210"/>
      <c r="X789" s="210"/>
      <c r="Y789" s="210"/>
      <c r="Z789" s="210"/>
    </row>
    <row r="790">
      <c r="A790" s="415"/>
      <c r="B790" s="210"/>
      <c r="C790" s="415"/>
      <c r="D790" s="156"/>
      <c r="E790" s="415"/>
      <c r="F790" s="210"/>
      <c r="G790" s="415"/>
      <c r="H790" s="210"/>
      <c r="I790" s="423"/>
      <c r="J790" s="156"/>
      <c r="K790" s="423"/>
      <c r="L790" s="156"/>
      <c r="M790" s="423"/>
      <c r="N790" s="156"/>
      <c r="O790" s="415"/>
      <c r="P790" s="210"/>
      <c r="Q790" s="424"/>
      <c r="R790" s="83"/>
      <c r="S790" s="209"/>
      <c r="T790" s="210"/>
      <c r="U790" s="209"/>
      <c r="V790" s="210"/>
      <c r="W790" s="210"/>
      <c r="X790" s="210"/>
      <c r="Y790" s="210"/>
      <c r="Z790" s="210"/>
    </row>
    <row r="791">
      <c r="A791" s="415"/>
      <c r="B791" s="210"/>
      <c r="C791" s="415"/>
      <c r="D791" s="156"/>
      <c r="E791" s="415"/>
      <c r="F791" s="210"/>
      <c r="G791" s="415"/>
      <c r="H791" s="210"/>
      <c r="I791" s="423"/>
      <c r="J791" s="156"/>
      <c r="K791" s="423"/>
      <c r="L791" s="156"/>
      <c r="M791" s="423"/>
      <c r="N791" s="156"/>
      <c r="O791" s="415"/>
      <c r="P791" s="210"/>
      <c r="Q791" s="424"/>
      <c r="R791" s="83"/>
      <c r="S791" s="209"/>
      <c r="T791" s="210"/>
      <c r="U791" s="209"/>
      <c r="V791" s="210"/>
      <c r="W791" s="210"/>
      <c r="X791" s="210"/>
      <c r="Y791" s="210"/>
      <c r="Z791" s="210"/>
    </row>
    <row r="792">
      <c r="A792" s="415"/>
      <c r="B792" s="210"/>
      <c r="C792" s="415"/>
      <c r="D792" s="156"/>
      <c r="E792" s="415"/>
      <c r="F792" s="210"/>
      <c r="G792" s="415"/>
      <c r="H792" s="210"/>
      <c r="I792" s="423"/>
      <c r="J792" s="156"/>
      <c r="K792" s="423"/>
      <c r="L792" s="156"/>
      <c r="M792" s="423"/>
      <c r="N792" s="156"/>
      <c r="O792" s="415"/>
      <c r="P792" s="210"/>
      <c r="Q792" s="424"/>
      <c r="R792" s="83"/>
      <c r="S792" s="209"/>
      <c r="T792" s="210"/>
      <c r="U792" s="209"/>
      <c r="V792" s="210"/>
      <c r="W792" s="210"/>
      <c r="X792" s="210"/>
      <c r="Y792" s="210"/>
      <c r="Z792" s="210"/>
    </row>
    <row r="793">
      <c r="A793" s="415"/>
      <c r="B793" s="210"/>
      <c r="C793" s="415"/>
      <c r="D793" s="156"/>
      <c r="E793" s="415"/>
      <c r="F793" s="210"/>
      <c r="G793" s="415"/>
      <c r="H793" s="210"/>
      <c r="I793" s="423"/>
      <c r="J793" s="156"/>
      <c r="K793" s="423"/>
      <c r="L793" s="156"/>
      <c r="M793" s="423"/>
      <c r="N793" s="156"/>
      <c r="O793" s="415"/>
      <c r="P793" s="210"/>
      <c r="Q793" s="424"/>
      <c r="R793" s="83"/>
      <c r="S793" s="209"/>
      <c r="T793" s="210"/>
      <c r="U793" s="209"/>
      <c r="V793" s="210"/>
      <c r="W793" s="210"/>
      <c r="X793" s="210"/>
      <c r="Y793" s="210"/>
      <c r="Z793" s="210"/>
    </row>
    <row r="794">
      <c r="A794" s="415"/>
      <c r="B794" s="210"/>
      <c r="C794" s="415"/>
      <c r="D794" s="156"/>
      <c r="E794" s="415"/>
      <c r="F794" s="210"/>
      <c r="G794" s="415"/>
      <c r="H794" s="210"/>
      <c r="I794" s="423"/>
      <c r="J794" s="156"/>
      <c r="K794" s="423"/>
      <c r="L794" s="156"/>
      <c r="M794" s="423"/>
      <c r="N794" s="156"/>
      <c r="O794" s="415"/>
      <c r="P794" s="210"/>
      <c r="Q794" s="424"/>
      <c r="R794" s="83"/>
      <c r="S794" s="209"/>
      <c r="T794" s="210"/>
      <c r="U794" s="209"/>
      <c r="V794" s="210"/>
      <c r="W794" s="210"/>
      <c r="X794" s="210"/>
      <c r="Y794" s="210"/>
      <c r="Z794" s="210"/>
    </row>
    <row r="795">
      <c r="A795" s="415"/>
      <c r="B795" s="210"/>
      <c r="C795" s="415"/>
      <c r="D795" s="156"/>
      <c r="E795" s="415"/>
      <c r="F795" s="210"/>
      <c r="G795" s="415"/>
      <c r="H795" s="210"/>
      <c r="I795" s="423"/>
      <c r="J795" s="156"/>
      <c r="K795" s="423"/>
      <c r="L795" s="156"/>
      <c r="M795" s="423"/>
      <c r="N795" s="156"/>
      <c r="O795" s="415"/>
      <c r="P795" s="210"/>
      <c r="Q795" s="424"/>
      <c r="R795" s="83"/>
      <c r="S795" s="209"/>
      <c r="T795" s="210"/>
      <c r="U795" s="209"/>
      <c r="V795" s="210"/>
      <c r="W795" s="210"/>
      <c r="X795" s="210"/>
      <c r="Y795" s="210"/>
      <c r="Z795" s="210"/>
    </row>
    <row r="796">
      <c r="A796" s="415"/>
      <c r="B796" s="210"/>
      <c r="C796" s="415"/>
      <c r="D796" s="156"/>
      <c r="E796" s="415"/>
      <c r="F796" s="210"/>
      <c r="G796" s="415"/>
      <c r="H796" s="210"/>
      <c r="I796" s="423"/>
      <c r="J796" s="156"/>
      <c r="K796" s="423"/>
      <c r="L796" s="156"/>
      <c r="M796" s="423"/>
      <c r="N796" s="156"/>
      <c r="O796" s="415"/>
      <c r="P796" s="210"/>
      <c r="Q796" s="424"/>
      <c r="R796" s="83"/>
      <c r="S796" s="209"/>
      <c r="T796" s="210"/>
      <c r="U796" s="209"/>
      <c r="V796" s="210"/>
      <c r="W796" s="210"/>
      <c r="X796" s="210"/>
      <c r="Y796" s="210"/>
      <c r="Z796" s="210"/>
    </row>
    <row r="797">
      <c r="A797" s="415"/>
      <c r="B797" s="210"/>
      <c r="C797" s="415"/>
      <c r="D797" s="156"/>
      <c r="E797" s="415"/>
      <c r="F797" s="210"/>
      <c r="G797" s="415"/>
      <c r="H797" s="210"/>
      <c r="I797" s="423"/>
      <c r="J797" s="156"/>
      <c r="K797" s="423"/>
      <c r="L797" s="156"/>
      <c r="M797" s="423"/>
      <c r="N797" s="156"/>
      <c r="O797" s="415"/>
      <c r="P797" s="210"/>
      <c r="Q797" s="424"/>
      <c r="R797" s="83"/>
      <c r="S797" s="209"/>
      <c r="T797" s="210"/>
      <c r="U797" s="209"/>
      <c r="V797" s="210"/>
      <c r="W797" s="210"/>
      <c r="X797" s="210"/>
      <c r="Y797" s="210"/>
      <c r="Z797" s="210"/>
    </row>
    <row r="798">
      <c r="A798" s="415"/>
      <c r="B798" s="210"/>
      <c r="C798" s="415"/>
      <c r="D798" s="156"/>
      <c r="E798" s="415"/>
      <c r="F798" s="210"/>
      <c r="G798" s="415"/>
      <c r="H798" s="210"/>
      <c r="I798" s="423"/>
      <c r="J798" s="156"/>
      <c r="K798" s="423"/>
      <c r="L798" s="156"/>
      <c r="M798" s="423"/>
      <c r="N798" s="156"/>
      <c r="O798" s="415"/>
      <c r="P798" s="210"/>
      <c r="Q798" s="424"/>
      <c r="R798" s="83"/>
      <c r="S798" s="209"/>
      <c r="T798" s="210"/>
      <c r="U798" s="209"/>
      <c r="V798" s="210"/>
      <c r="W798" s="210"/>
      <c r="X798" s="210"/>
      <c r="Y798" s="210"/>
      <c r="Z798" s="210"/>
    </row>
    <row r="799">
      <c r="A799" s="415"/>
      <c r="B799" s="210"/>
      <c r="C799" s="415"/>
      <c r="D799" s="156"/>
      <c r="E799" s="415"/>
      <c r="F799" s="210"/>
      <c r="G799" s="415"/>
      <c r="H799" s="210"/>
      <c r="I799" s="423"/>
      <c r="J799" s="156"/>
      <c r="K799" s="423"/>
      <c r="L799" s="156"/>
      <c r="M799" s="423"/>
      <c r="N799" s="156"/>
      <c r="O799" s="415"/>
      <c r="P799" s="210"/>
      <c r="Q799" s="424"/>
      <c r="R799" s="83"/>
      <c r="S799" s="209"/>
      <c r="T799" s="210"/>
      <c r="U799" s="209"/>
      <c r="V799" s="210"/>
      <c r="W799" s="210"/>
      <c r="X799" s="210"/>
      <c r="Y799" s="210"/>
      <c r="Z799" s="210"/>
    </row>
    <row r="800">
      <c r="A800" s="415"/>
      <c r="B800" s="210"/>
      <c r="C800" s="415"/>
      <c r="D800" s="156"/>
      <c r="E800" s="415"/>
      <c r="F800" s="210"/>
      <c r="G800" s="415"/>
      <c r="H800" s="210"/>
      <c r="I800" s="423"/>
      <c r="J800" s="156"/>
      <c r="K800" s="423"/>
      <c r="L800" s="156"/>
      <c r="M800" s="423"/>
      <c r="N800" s="156"/>
      <c r="O800" s="415"/>
      <c r="P800" s="210"/>
      <c r="Q800" s="424"/>
      <c r="R800" s="83"/>
      <c r="S800" s="209"/>
      <c r="T800" s="210"/>
      <c r="U800" s="209"/>
      <c r="V800" s="210"/>
      <c r="W800" s="210"/>
      <c r="X800" s="210"/>
      <c r="Y800" s="210"/>
      <c r="Z800" s="210"/>
    </row>
    <row r="801">
      <c r="A801" s="415"/>
      <c r="B801" s="210"/>
      <c r="C801" s="415"/>
      <c r="D801" s="156"/>
      <c r="E801" s="415"/>
      <c r="F801" s="210"/>
      <c r="G801" s="415"/>
      <c r="H801" s="210"/>
      <c r="I801" s="423"/>
      <c r="J801" s="156"/>
      <c r="K801" s="423"/>
      <c r="L801" s="156"/>
      <c r="M801" s="423"/>
      <c r="N801" s="156"/>
      <c r="O801" s="415"/>
      <c r="P801" s="210"/>
      <c r="Q801" s="424"/>
      <c r="R801" s="83"/>
      <c r="S801" s="209"/>
      <c r="T801" s="210"/>
      <c r="U801" s="209"/>
      <c r="V801" s="210"/>
      <c r="W801" s="210"/>
      <c r="X801" s="210"/>
      <c r="Y801" s="210"/>
      <c r="Z801" s="210"/>
    </row>
    <row r="802">
      <c r="A802" s="415"/>
      <c r="B802" s="210"/>
      <c r="C802" s="415"/>
      <c r="D802" s="156"/>
      <c r="E802" s="415"/>
      <c r="F802" s="210"/>
      <c r="G802" s="415"/>
      <c r="H802" s="210"/>
      <c r="I802" s="423"/>
      <c r="J802" s="156"/>
      <c r="K802" s="423"/>
      <c r="L802" s="156"/>
      <c r="M802" s="423"/>
      <c r="N802" s="156"/>
      <c r="O802" s="415"/>
      <c r="P802" s="210"/>
      <c r="Q802" s="424"/>
      <c r="R802" s="83"/>
      <c r="S802" s="209"/>
      <c r="T802" s="210"/>
      <c r="U802" s="209"/>
      <c r="V802" s="210"/>
      <c r="W802" s="210"/>
      <c r="X802" s="210"/>
      <c r="Y802" s="210"/>
      <c r="Z802" s="210"/>
    </row>
    <row r="803">
      <c r="A803" s="415"/>
      <c r="B803" s="210"/>
      <c r="C803" s="415"/>
      <c r="D803" s="156"/>
      <c r="E803" s="415"/>
      <c r="F803" s="210"/>
      <c r="G803" s="415"/>
      <c r="H803" s="210"/>
      <c r="I803" s="423"/>
      <c r="J803" s="156"/>
      <c r="K803" s="423"/>
      <c r="L803" s="156"/>
      <c r="M803" s="423"/>
      <c r="N803" s="156"/>
      <c r="O803" s="415"/>
      <c r="P803" s="210"/>
      <c r="Q803" s="424"/>
      <c r="R803" s="83"/>
      <c r="S803" s="209"/>
      <c r="T803" s="210"/>
      <c r="U803" s="209"/>
      <c r="V803" s="210"/>
      <c r="W803" s="210"/>
      <c r="X803" s="210"/>
      <c r="Y803" s="210"/>
      <c r="Z803" s="210"/>
    </row>
    <row r="804">
      <c r="A804" s="415"/>
      <c r="B804" s="210"/>
      <c r="C804" s="415"/>
      <c r="D804" s="156"/>
      <c r="E804" s="415"/>
      <c r="F804" s="210"/>
      <c r="G804" s="415"/>
      <c r="H804" s="210"/>
      <c r="I804" s="423"/>
      <c r="J804" s="156"/>
      <c r="K804" s="423"/>
      <c r="L804" s="156"/>
      <c r="M804" s="423"/>
      <c r="N804" s="156"/>
      <c r="O804" s="415"/>
      <c r="P804" s="210"/>
      <c r="Q804" s="424"/>
      <c r="R804" s="83"/>
      <c r="S804" s="209"/>
      <c r="T804" s="210"/>
      <c r="U804" s="209"/>
      <c r="V804" s="210"/>
      <c r="W804" s="210"/>
      <c r="X804" s="210"/>
      <c r="Y804" s="210"/>
      <c r="Z804" s="210"/>
    </row>
    <row r="805">
      <c r="A805" s="415"/>
      <c r="B805" s="210"/>
      <c r="C805" s="415"/>
      <c r="D805" s="156"/>
      <c r="E805" s="415"/>
      <c r="F805" s="210"/>
      <c r="G805" s="415"/>
      <c r="H805" s="210"/>
      <c r="I805" s="423"/>
      <c r="J805" s="156"/>
      <c r="K805" s="423"/>
      <c r="L805" s="156"/>
      <c r="M805" s="423"/>
      <c r="N805" s="156"/>
      <c r="O805" s="415"/>
      <c r="P805" s="210"/>
      <c r="Q805" s="424"/>
      <c r="R805" s="83"/>
      <c r="S805" s="209"/>
      <c r="T805" s="210"/>
      <c r="U805" s="209"/>
      <c r="V805" s="210"/>
      <c r="W805" s="210"/>
      <c r="X805" s="210"/>
      <c r="Y805" s="210"/>
      <c r="Z805" s="210"/>
    </row>
    <row r="806">
      <c r="A806" s="415"/>
      <c r="B806" s="210"/>
      <c r="C806" s="415"/>
      <c r="D806" s="156"/>
      <c r="E806" s="415"/>
      <c r="F806" s="210"/>
      <c r="G806" s="415"/>
      <c r="H806" s="210"/>
      <c r="I806" s="423"/>
      <c r="J806" s="156"/>
      <c r="K806" s="423"/>
      <c r="L806" s="156"/>
      <c r="M806" s="423"/>
      <c r="N806" s="156"/>
      <c r="O806" s="415"/>
      <c r="P806" s="210"/>
      <c r="Q806" s="424"/>
      <c r="R806" s="83"/>
      <c r="S806" s="209"/>
      <c r="T806" s="210"/>
      <c r="U806" s="209"/>
      <c r="V806" s="210"/>
      <c r="W806" s="210"/>
      <c r="X806" s="210"/>
      <c r="Y806" s="210"/>
      <c r="Z806" s="210"/>
    </row>
    <row r="807">
      <c r="A807" s="415"/>
      <c r="B807" s="210"/>
      <c r="C807" s="415"/>
      <c r="D807" s="156"/>
      <c r="E807" s="415"/>
      <c r="F807" s="210"/>
      <c r="G807" s="415"/>
      <c r="H807" s="210"/>
      <c r="I807" s="423"/>
      <c r="J807" s="156"/>
      <c r="K807" s="423"/>
      <c r="L807" s="156"/>
      <c r="M807" s="423"/>
      <c r="N807" s="156"/>
      <c r="O807" s="415"/>
      <c r="P807" s="210"/>
      <c r="Q807" s="424"/>
      <c r="R807" s="83"/>
      <c r="S807" s="209"/>
      <c r="T807" s="210"/>
      <c r="U807" s="209"/>
      <c r="V807" s="210"/>
      <c r="W807" s="210"/>
      <c r="X807" s="210"/>
      <c r="Y807" s="210"/>
      <c r="Z807" s="210"/>
    </row>
    <row r="808">
      <c r="A808" s="415"/>
      <c r="B808" s="210"/>
      <c r="C808" s="415"/>
      <c r="D808" s="156"/>
      <c r="E808" s="415"/>
      <c r="F808" s="210"/>
      <c r="G808" s="415"/>
      <c r="H808" s="210"/>
      <c r="I808" s="423"/>
      <c r="J808" s="156"/>
      <c r="K808" s="423"/>
      <c r="L808" s="156"/>
      <c r="M808" s="423"/>
      <c r="N808" s="156"/>
      <c r="O808" s="415"/>
      <c r="P808" s="210"/>
      <c r="Q808" s="424"/>
      <c r="R808" s="83"/>
      <c r="S808" s="209"/>
      <c r="T808" s="210"/>
      <c r="U808" s="209"/>
      <c r="V808" s="210"/>
      <c r="W808" s="210"/>
      <c r="X808" s="210"/>
      <c r="Y808" s="210"/>
      <c r="Z808" s="210"/>
    </row>
    <row r="809">
      <c r="A809" s="415"/>
      <c r="B809" s="210"/>
      <c r="C809" s="415"/>
      <c r="D809" s="156"/>
      <c r="E809" s="415"/>
      <c r="F809" s="210"/>
      <c r="G809" s="415"/>
      <c r="H809" s="210"/>
      <c r="I809" s="423"/>
      <c r="J809" s="156"/>
      <c r="K809" s="423"/>
      <c r="L809" s="156"/>
      <c r="M809" s="423"/>
      <c r="N809" s="156"/>
      <c r="O809" s="415"/>
      <c r="P809" s="210"/>
      <c r="Q809" s="424"/>
      <c r="R809" s="83"/>
      <c r="S809" s="209"/>
      <c r="T809" s="210"/>
      <c r="U809" s="209"/>
      <c r="V809" s="210"/>
      <c r="W809" s="210"/>
      <c r="X809" s="210"/>
      <c r="Y809" s="210"/>
      <c r="Z809" s="210"/>
    </row>
    <row r="810">
      <c r="A810" s="415"/>
      <c r="B810" s="210"/>
      <c r="C810" s="415"/>
      <c r="D810" s="156"/>
      <c r="E810" s="415"/>
      <c r="F810" s="210"/>
      <c r="G810" s="415"/>
      <c r="H810" s="210"/>
      <c r="I810" s="423"/>
      <c r="J810" s="156"/>
      <c r="K810" s="423"/>
      <c r="L810" s="156"/>
      <c r="M810" s="423"/>
      <c r="N810" s="156"/>
      <c r="O810" s="415"/>
      <c r="P810" s="210"/>
      <c r="Q810" s="424"/>
      <c r="R810" s="83"/>
      <c r="S810" s="209"/>
      <c r="T810" s="210"/>
      <c r="U810" s="209"/>
      <c r="V810" s="210"/>
      <c r="W810" s="210"/>
      <c r="X810" s="210"/>
      <c r="Y810" s="210"/>
      <c r="Z810" s="210"/>
    </row>
    <row r="811">
      <c r="A811" s="415"/>
      <c r="B811" s="210"/>
      <c r="C811" s="415"/>
      <c r="D811" s="156"/>
      <c r="E811" s="415"/>
      <c r="F811" s="210"/>
      <c r="G811" s="415"/>
      <c r="H811" s="210"/>
      <c r="I811" s="423"/>
      <c r="J811" s="156"/>
      <c r="K811" s="423"/>
      <c r="L811" s="156"/>
      <c r="M811" s="423"/>
      <c r="N811" s="156"/>
      <c r="O811" s="415"/>
      <c r="P811" s="210"/>
      <c r="Q811" s="424"/>
      <c r="R811" s="83"/>
      <c r="S811" s="209"/>
      <c r="T811" s="210"/>
      <c r="U811" s="209"/>
      <c r="V811" s="210"/>
      <c r="W811" s="210"/>
      <c r="X811" s="210"/>
      <c r="Y811" s="210"/>
      <c r="Z811" s="210"/>
    </row>
    <row r="812">
      <c r="A812" s="415"/>
      <c r="B812" s="210"/>
      <c r="C812" s="415"/>
      <c r="D812" s="156"/>
      <c r="E812" s="415"/>
      <c r="F812" s="210"/>
      <c r="G812" s="415"/>
      <c r="H812" s="210"/>
      <c r="I812" s="423"/>
      <c r="J812" s="156"/>
      <c r="K812" s="423"/>
      <c r="L812" s="156"/>
      <c r="M812" s="423"/>
      <c r="N812" s="156"/>
      <c r="O812" s="415"/>
      <c r="P812" s="210"/>
      <c r="Q812" s="424"/>
      <c r="R812" s="83"/>
      <c r="S812" s="209"/>
      <c r="T812" s="210"/>
      <c r="U812" s="209"/>
      <c r="V812" s="210"/>
      <c r="W812" s="210"/>
      <c r="X812" s="210"/>
      <c r="Y812" s="210"/>
      <c r="Z812" s="210"/>
    </row>
    <row r="813">
      <c r="A813" s="415"/>
      <c r="B813" s="210"/>
      <c r="C813" s="415"/>
      <c r="D813" s="156"/>
      <c r="E813" s="415"/>
      <c r="F813" s="210"/>
      <c r="G813" s="415"/>
      <c r="H813" s="210"/>
      <c r="I813" s="423"/>
      <c r="J813" s="156"/>
      <c r="K813" s="423"/>
      <c r="L813" s="156"/>
      <c r="M813" s="423"/>
      <c r="N813" s="156"/>
      <c r="O813" s="415"/>
      <c r="P813" s="210"/>
      <c r="Q813" s="424"/>
      <c r="R813" s="83"/>
      <c r="S813" s="209"/>
      <c r="T813" s="210"/>
      <c r="U813" s="209"/>
      <c r="V813" s="210"/>
      <c r="W813" s="210"/>
      <c r="X813" s="210"/>
      <c r="Y813" s="210"/>
      <c r="Z813" s="210"/>
    </row>
    <row r="814">
      <c r="A814" s="415"/>
      <c r="B814" s="210"/>
      <c r="C814" s="415"/>
      <c r="D814" s="156"/>
      <c r="E814" s="415"/>
      <c r="F814" s="210"/>
      <c r="G814" s="415"/>
      <c r="H814" s="210"/>
      <c r="I814" s="423"/>
      <c r="J814" s="156"/>
      <c r="K814" s="423"/>
      <c r="L814" s="156"/>
      <c r="M814" s="423"/>
      <c r="N814" s="156"/>
      <c r="O814" s="415"/>
      <c r="P814" s="210"/>
      <c r="Q814" s="424"/>
      <c r="R814" s="83"/>
      <c r="S814" s="209"/>
      <c r="T814" s="210"/>
      <c r="U814" s="209"/>
      <c r="V814" s="210"/>
      <c r="W814" s="210"/>
      <c r="X814" s="210"/>
      <c r="Y814" s="210"/>
      <c r="Z814" s="210"/>
    </row>
    <row r="815">
      <c r="A815" s="415"/>
      <c r="B815" s="210"/>
      <c r="C815" s="415"/>
      <c r="D815" s="156"/>
      <c r="E815" s="415"/>
      <c r="F815" s="210"/>
      <c r="G815" s="415"/>
      <c r="H815" s="210"/>
      <c r="I815" s="423"/>
      <c r="J815" s="156"/>
      <c r="K815" s="423"/>
      <c r="L815" s="156"/>
      <c r="M815" s="423"/>
      <c r="N815" s="156"/>
      <c r="O815" s="415"/>
      <c r="P815" s="210"/>
      <c r="Q815" s="424"/>
      <c r="R815" s="83"/>
      <c r="S815" s="209"/>
      <c r="T815" s="210"/>
      <c r="U815" s="209"/>
      <c r="V815" s="210"/>
      <c r="W815" s="210"/>
      <c r="X815" s="210"/>
      <c r="Y815" s="210"/>
      <c r="Z815" s="210"/>
    </row>
    <row r="816">
      <c r="A816" s="415"/>
      <c r="B816" s="210"/>
      <c r="C816" s="415"/>
      <c r="D816" s="156"/>
      <c r="E816" s="415"/>
      <c r="F816" s="210"/>
      <c r="G816" s="415"/>
      <c r="H816" s="210"/>
      <c r="I816" s="423"/>
      <c r="J816" s="156"/>
      <c r="K816" s="423"/>
      <c r="L816" s="156"/>
      <c r="M816" s="423"/>
      <c r="N816" s="156"/>
      <c r="O816" s="415"/>
      <c r="P816" s="210"/>
      <c r="Q816" s="424"/>
      <c r="R816" s="83"/>
      <c r="S816" s="209"/>
      <c r="T816" s="210"/>
      <c r="U816" s="209"/>
      <c r="V816" s="210"/>
      <c r="W816" s="210"/>
      <c r="X816" s="210"/>
      <c r="Y816" s="210"/>
      <c r="Z816" s="210"/>
    </row>
    <row r="817">
      <c r="A817" s="415"/>
      <c r="B817" s="210"/>
      <c r="C817" s="415"/>
      <c r="D817" s="156"/>
      <c r="E817" s="415"/>
      <c r="F817" s="210"/>
      <c r="G817" s="415"/>
      <c r="H817" s="210"/>
      <c r="I817" s="423"/>
      <c r="J817" s="156"/>
      <c r="K817" s="423"/>
      <c r="L817" s="156"/>
      <c r="M817" s="423"/>
      <c r="N817" s="156"/>
      <c r="O817" s="415"/>
      <c r="P817" s="210"/>
      <c r="Q817" s="424"/>
      <c r="R817" s="83"/>
      <c r="S817" s="209"/>
      <c r="T817" s="210"/>
      <c r="U817" s="209"/>
      <c r="V817" s="210"/>
      <c r="W817" s="210"/>
      <c r="X817" s="210"/>
      <c r="Y817" s="210"/>
      <c r="Z817" s="210"/>
    </row>
    <row r="818">
      <c r="A818" s="415"/>
      <c r="B818" s="210"/>
      <c r="C818" s="415"/>
      <c r="D818" s="156"/>
      <c r="E818" s="415"/>
      <c r="F818" s="210"/>
      <c r="G818" s="415"/>
      <c r="H818" s="210"/>
      <c r="I818" s="423"/>
      <c r="J818" s="156"/>
      <c r="K818" s="423"/>
      <c r="L818" s="156"/>
      <c r="M818" s="423"/>
      <c r="N818" s="156"/>
      <c r="O818" s="415"/>
      <c r="P818" s="210"/>
      <c r="Q818" s="424"/>
      <c r="R818" s="83"/>
      <c r="S818" s="209"/>
      <c r="T818" s="210"/>
      <c r="U818" s="209"/>
      <c r="V818" s="210"/>
      <c r="W818" s="210"/>
      <c r="X818" s="210"/>
      <c r="Y818" s="210"/>
      <c r="Z818" s="210"/>
    </row>
    <row r="819">
      <c r="A819" s="415"/>
      <c r="B819" s="210"/>
      <c r="C819" s="415"/>
      <c r="D819" s="156"/>
      <c r="E819" s="415"/>
      <c r="F819" s="210"/>
      <c r="G819" s="415"/>
      <c r="H819" s="210"/>
      <c r="I819" s="423"/>
      <c r="J819" s="156"/>
      <c r="K819" s="423"/>
      <c r="L819" s="156"/>
      <c r="M819" s="423"/>
      <c r="N819" s="156"/>
      <c r="O819" s="415"/>
      <c r="P819" s="210"/>
      <c r="Q819" s="424"/>
      <c r="R819" s="83"/>
      <c r="S819" s="209"/>
      <c r="T819" s="210"/>
      <c r="U819" s="209"/>
      <c r="V819" s="210"/>
      <c r="W819" s="210"/>
      <c r="X819" s="210"/>
      <c r="Y819" s="210"/>
      <c r="Z819" s="210"/>
    </row>
    <row r="820">
      <c r="A820" s="415"/>
      <c r="B820" s="210"/>
      <c r="C820" s="415"/>
      <c r="D820" s="156"/>
      <c r="E820" s="415"/>
      <c r="F820" s="210"/>
      <c r="G820" s="415"/>
      <c r="H820" s="210"/>
      <c r="I820" s="423"/>
      <c r="J820" s="156"/>
      <c r="K820" s="423"/>
      <c r="L820" s="156"/>
      <c r="M820" s="423"/>
      <c r="N820" s="156"/>
      <c r="O820" s="415"/>
      <c r="P820" s="210"/>
      <c r="Q820" s="424"/>
      <c r="R820" s="83"/>
      <c r="S820" s="209"/>
      <c r="T820" s="210"/>
      <c r="U820" s="209"/>
      <c r="V820" s="210"/>
      <c r="W820" s="210"/>
      <c r="X820" s="210"/>
      <c r="Y820" s="210"/>
      <c r="Z820" s="210"/>
    </row>
    <row r="821">
      <c r="A821" s="415"/>
      <c r="B821" s="210"/>
      <c r="C821" s="415"/>
      <c r="D821" s="156"/>
      <c r="E821" s="415"/>
      <c r="F821" s="210"/>
      <c r="G821" s="415"/>
      <c r="H821" s="210"/>
      <c r="I821" s="423"/>
      <c r="J821" s="156"/>
      <c r="K821" s="423"/>
      <c r="L821" s="156"/>
      <c r="M821" s="423"/>
      <c r="N821" s="156"/>
      <c r="O821" s="415"/>
      <c r="P821" s="210"/>
      <c r="Q821" s="424"/>
      <c r="R821" s="83"/>
      <c r="S821" s="209"/>
      <c r="T821" s="210"/>
      <c r="U821" s="209"/>
      <c r="V821" s="210"/>
      <c r="W821" s="210"/>
      <c r="X821" s="210"/>
      <c r="Y821" s="210"/>
      <c r="Z821" s="210"/>
    </row>
    <row r="822">
      <c r="A822" s="415"/>
      <c r="B822" s="210"/>
      <c r="C822" s="415"/>
      <c r="D822" s="156"/>
      <c r="E822" s="415"/>
      <c r="F822" s="210"/>
      <c r="G822" s="415"/>
      <c r="H822" s="210"/>
      <c r="I822" s="423"/>
      <c r="J822" s="156"/>
      <c r="K822" s="423"/>
      <c r="L822" s="156"/>
      <c r="M822" s="423"/>
      <c r="N822" s="156"/>
      <c r="O822" s="415"/>
      <c r="P822" s="210"/>
      <c r="Q822" s="424"/>
      <c r="R822" s="83"/>
      <c r="S822" s="209"/>
      <c r="T822" s="210"/>
      <c r="U822" s="209"/>
      <c r="V822" s="210"/>
      <c r="W822" s="210"/>
      <c r="X822" s="210"/>
      <c r="Y822" s="210"/>
      <c r="Z822" s="210"/>
    </row>
    <row r="823">
      <c r="A823" s="415"/>
      <c r="B823" s="210"/>
      <c r="C823" s="415"/>
      <c r="D823" s="156"/>
      <c r="E823" s="415"/>
      <c r="F823" s="210"/>
      <c r="G823" s="415"/>
      <c r="H823" s="210"/>
      <c r="I823" s="423"/>
      <c r="J823" s="156"/>
      <c r="K823" s="423"/>
      <c r="L823" s="156"/>
      <c r="M823" s="423"/>
      <c r="N823" s="156"/>
      <c r="O823" s="415"/>
      <c r="P823" s="210"/>
      <c r="Q823" s="424"/>
      <c r="R823" s="83"/>
      <c r="S823" s="209"/>
      <c r="T823" s="210"/>
      <c r="U823" s="209"/>
      <c r="V823" s="210"/>
      <c r="W823" s="210"/>
      <c r="X823" s="210"/>
      <c r="Y823" s="210"/>
      <c r="Z823" s="210"/>
    </row>
    <row r="824">
      <c r="A824" s="415"/>
      <c r="B824" s="210"/>
      <c r="C824" s="415"/>
      <c r="D824" s="156"/>
      <c r="E824" s="415"/>
      <c r="F824" s="210"/>
      <c r="G824" s="415"/>
      <c r="H824" s="210"/>
      <c r="I824" s="423"/>
      <c r="J824" s="156"/>
      <c r="K824" s="423"/>
      <c r="L824" s="156"/>
      <c r="M824" s="423"/>
      <c r="N824" s="156"/>
      <c r="O824" s="415"/>
      <c r="P824" s="210"/>
      <c r="Q824" s="424"/>
      <c r="R824" s="83"/>
      <c r="S824" s="209"/>
      <c r="T824" s="210"/>
      <c r="U824" s="209"/>
      <c r="V824" s="210"/>
      <c r="W824" s="210"/>
      <c r="X824" s="210"/>
      <c r="Y824" s="210"/>
      <c r="Z824" s="210"/>
    </row>
    <row r="825">
      <c r="A825" s="415"/>
      <c r="B825" s="210"/>
      <c r="C825" s="415"/>
      <c r="D825" s="156"/>
      <c r="E825" s="415"/>
      <c r="F825" s="210"/>
      <c r="G825" s="415"/>
      <c r="H825" s="210"/>
      <c r="I825" s="423"/>
      <c r="J825" s="156"/>
      <c r="K825" s="423"/>
      <c r="L825" s="156"/>
      <c r="M825" s="423"/>
      <c r="N825" s="156"/>
      <c r="O825" s="415"/>
      <c r="P825" s="210"/>
      <c r="Q825" s="424"/>
      <c r="R825" s="83"/>
      <c r="S825" s="209"/>
      <c r="T825" s="210"/>
      <c r="U825" s="209"/>
      <c r="V825" s="210"/>
      <c r="W825" s="210"/>
      <c r="X825" s="210"/>
      <c r="Y825" s="210"/>
      <c r="Z825" s="210"/>
    </row>
    <row r="826">
      <c r="A826" s="415"/>
      <c r="B826" s="210"/>
      <c r="C826" s="415"/>
      <c r="D826" s="156"/>
      <c r="E826" s="415"/>
      <c r="F826" s="210"/>
      <c r="G826" s="415"/>
      <c r="H826" s="210"/>
      <c r="I826" s="423"/>
      <c r="J826" s="156"/>
      <c r="K826" s="423"/>
      <c r="L826" s="156"/>
      <c r="M826" s="423"/>
      <c r="N826" s="156"/>
      <c r="O826" s="415"/>
      <c r="P826" s="210"/>
      <c r="Q826" s="424"/>
      <c r="R826" s="83"/>
      <c r="S826" s="209"/>
      <c r="T826" s="210"/>
      <c r="U826" s="209"/>
      <c r="V826" s="210"/>
      <c r="W826" s="210"/>
      <c r="X826" s="210"/>
      <c r="Y826" s="210"/>
      <c r="Z826" s="210"/>
    </row>
    <row r="827">
      <c r="A827" s="415"/>
      <c r="B827" s="210"/>
      <c r="C827" s="415"/>
      <c r="D827" s="156"/>
      <c r="E827" s="415"/>
      <c r="F827" s="210"/>
      <c r="G827" s="415"/>
      <c r="H827" s="210"/>
      <c r="I827" s="423"/>
      <c r="J827" s="156"/>
      <c r="K827" s="423"/>
      <c r="L827" s="156"/>
      <c r="M827" s="423"/>
      <c r="N827" s="156"/>
      <c r="O827" s="415"/>
      <c r="P827" s="210"/>
      <c r="Q827" s="424"/>
      <c r="R827" s="83"/>
      <c r="S827" s="209"/>
      <c r="T827" s="210"/>
      <c r="U827" s="209"/>
      <c r="V827" s="210"/>
      <c r="W827" s="210"/>
      <c r="X827" s="210"/>
      <c r="Y827" s="210"/>
      <c r="Z827" s="210"/>
    </row>
    <row r="828">
      <c r="A828" s="415"/>
      <c r="B828" s="210"/>
      <c r="C828" s="415"/>
      <c r="D828" s="156"/>
      <c r="E828" s="415"/>
      <c r="F828" s="210"/>
      <c r="G828" s="415"/>
      <c r="H828" s="210"/>
      <c r="I828" s="423"/>
      <c r="J828" s="156"/>
      <c r="K828" s="423"/>
      <c r="L828" s="156"/>
      <c r="M828" s="423"/>
      <c r="N828" s="156"/>
      <c r="O828" s="415"/>
      <c r="P828" s="210"/>
      <c r="Q828" s="424"/>
      <c r="R828" s="83"/>
      <c r="S828" s="209"/>
      <c r="T828" s="210"/>
      <c r="U828" s="209"/>
      <c r="V828" s="210"/>
      <c r="W828" s="210"/>
      <c r="X828" s="210"/>
      <c r="Y828" s="210"/>
      <c r="Z828" s="210"/>
    </row>
    <row r="829">
      <c r="A829" s="415"/>
      <c r="B829" s="210"/>
      <c r="C829" s="415"/>
      <c r="D829" s="156"/>
      <c r="E829" s="415"/>
      <c r="F829" s="210"/>
      <c r="G829" s="415"/>
      <c r="H829" s="210"/>
      <c r="I829" s="423"/>
      <c r="J829" s="156"/>
      <c r="K829" s="423"/>
      <c r="L829" s="156"/>
      <c r="M829" s="423"/>
      <c r="N829" s="156"/>
      <c r="O829" s="415"/>
      <c r="P829" s="210"/>
      <c r="Q829" s="424"/>
      <c r="R829" s="83"/>
      <c r="S829" s="209"/>
      <c r="T829" s="210"/>
      <c r="U829" s="209"/>
      <c r="V829" s="210"/>
      <c r="W829" s="210"/>
      <c r="X829" s="210"/>
      <c r="Y829" s="210"/>
      <c r="Z829" s="210"/>
    </row>
    <row r="830">
      <c r="A830" s="415"/>
      <c r="B830" s="210"/>
      <c r="C830" s="415"/>
      <c r="D830" s="156"/>
      <c r="E830" s="415"/>
      <c r="F830" s="210"/>
      <c r="G830" s="415"/>
      <c r="H830" s="210"/>
      <c r="I830" s="423"/>
      <c r="J830" s="156"/>
      <c r="K830" s="423"/>
      <c r="L830" s="156"/>
      <c r="M830" s="423"/>
      <c r="N830" s="156"/>
      <c r="O830" s="415"/>
      <c r="P830" s="210"/>
      <c r="Q830" s="424"/>
      <c r="R830" s="83"/>
      <c r="S830" s="209"/>
      <c r="T830" s="210"/>
      <c r="U830" s="209"/>
      <c r="V830" s="210"/>
      <c r="W830" s="210"/>
      <c r="X830" s="210"/>
      <c r="Y830" s="210"/>
      <c r="Z830" s="210"/>
    </row>
    <row r="831">
      <c r="A831" s="415"/>
      <c r="B831" s="210"/>
      <c r="C831" s="415"/>
      <c r="D831" s="156"/>
      <c r="E831" s="415"/>
      <c r="F831" s="210"/>
      <c r="G831" s="415"/>
      <c r="H831" s="210"/>
      <c r="I831" s="423"/>
      <c r="J831" s="156"/>
      <c r="K831" s="423"/>
      <c r="L831" s="156"/>
      <c r="M831" s="423"/>
      <c r="N831" s="156"/>
      <c r="O831" s="415"/>
      <c r="P831" s="210"/>
      <c r="Q831" s="424"/>
      <c r="R831" s="83"/>
      <c r="S831" s="209"/>
      <c r="T831" s="210"/>
      <c r="U831" s="209"/>
      <c r="V831" s="210"/>
      <c r="W831" s="210"/>
      <c r="X831" s="210"/>
      <c r="Y831" s="210"/>
      <c r="Z831" s="210"/>
    </row>
    <row r="832">
      <c r="A832" s="415"/>
      <c r="B832" s="210"/>
      <c r="C832" s="415"/>
      <c r="D832" s="156"/>
      <c r="E832" s="415"/>
      <c r="F832" s="210"/>
      <c r="G832" s="415"/>
      <c r="H832" s="210"/>
      <c r="I832" s="423"/>
      <c r="J832" s="156"/>
      <c r="K832" s="423"/>
      <c r="L832" s="156"/>
      <c r="M832" s="423"/>
      <c r="N832" s="156"/>
      <c r="O832" s="415"/>
      <c r="P832" s="210"/>
      <c r="Q832" s="424"/>
      <c r="R832" s="83"/>
      <c r="S832" s="209"/>
      <c r="T832" s="210"/>
      <c r="U832" s="209"/>
      <c r="V832" s="210"/>
      <c r="W832" s="210"/>
      <c r="X832" s="210"/>
      <c r="Y832" s="210"/>
      <c r="Z832" s="210"/>
    </row>
    <row r="833">
      <c r="A833" s="415"/>
      <c r="B833" s="210"/>
      <c r="C833" s="415"/>
      <c r="D833" s="156"/>
      <c r="E833" s="415"/>
      <c r="F833" s="210"/>
      <c r="G833" s="415"/>
      <c r="H833" s="210"/>
      <c r="I833" s="423"/>
      <c r="J833" s="156"/>
      <c r="K833" s="423"/>
      <c r="L833" s="156"/>
      <c r="M833" s="423"/>
      <c r="N833" s="156"/>
      <c r="O833" s="415"/>
      <c r="P833" s="210"/>
      <c r="Q833" s="424"/>
      <c r="R833" s="83"/>
      <c r="S833" s="209"/>
      <c r="T833" s="210"/>
      <c r="U833" s="209"/>
      <c r="V833" s="210"/>
      <c r="W833" s="210"/>
      <c r="X833" s="210"/>
      <c r="Y833" s="210"/>
      <c r="Z833" s="210"/>
    </row>
    <row r="834">
      <c r="A834" s="415"/>
      <c r="B834" s="210"/>
      <c r="C834" s="415"/>
      <c r="D834" s="156"/>
      <c r="E834" s="415"/>
      <c r="F834" s="210"/>
      <c r="G834" s="415"/>
      <c r="H834" s="210"/>
      <c r="I834" s="423"/>
      <c r="J834" s="156"/>
      <c r="K834" s="423"/>
      <c r="L834" s="156"/>
      <c r="M834" s="423"/>
      <c r="N834" s="156"/>
      <c r="O834" s="415"/>
      <c r="P834" s="210"/>
      <c r="Q834" s="424"/>
      <c r="R834" s="83"/>
      <c r="S834" s="209"/>
      <c r="T834" s="210"/>
      <c r="U834" s="209"/>
      <c r="V834" s="210"/>
      <c r="W834" s="210"/>
      <c r="X834" s="210"/>
      <c r="Y834" s="210"/>
      <c r="Z834" s="210"/>
    </row>
    <row r="835">
      <c r="A835" s="415"/>
      <c r="B835" s="210"/>
      <c r="C835" s="415"/>
      <c r="D835" s="156"/>
      <c r="E835" s="415"/>
      <c r="F835" s="210"/>
      <c r="G835" s="415"/>
      <c r="H835" s="210"/>
      <c r="I835" s="423"/>
      <c r="J835" s="156"/>
      <c r="K835" s="423"/>
      <c r="L835" s="156"/>
      <c r="M835" s="423"/>
      <c r="N835" s="156"/>
      <c r="O835" s="415"/>
      <c r="P835" s="210"/>
      <c r="Q835" s="424"/>
      <c r="R835" s="83"/>
      <c r="S835" s="209"/>
      <c r="T835" s="210"/>
      <c r="U835" s="209"/>
      <c r="V835" s="210"/>
      <c r="W835" s="210"/>
      <c r="X835" s="210"/>
      <c r="Y835" s="210"/>
      <c r="Z835" s="210"/>
    </row>
    <row r="836">
      <c r="A836" s="415"/>
      <c r="B836" s="210"/>
      <c r="C836" s="415"/>
      <c r="D836" s="156"/>
      <c r="E836" s="415"/>
      <c r="F836" s="210"/>
      <c r="G836" s="415"/>
      <c r="H836" s="210"/>
      <c r="I836" s="423"/>
      <c r="J836" s="156"/>
      <c r="K836" s="423"/>
      <c r="L836" s="156"/>
      <c r="M836" s="423"/>
      <c r="N836" s="156"/>
      <c r="O836" s="415"/>
      <c r="P836" s="210"/>
      <c r="Q836" s="424"/>
      <c r="R836" s="83"/>
      <c r="S836" s="209"/>
      <c r="T836" s="210"/>
      <c r="U836" s="209"/>
      <c r="V836" s="210"/>
      <c r="W836" s="210"/>
      <c r="X836" s="210"/>
      <c r="Y836" s="210"/>
      <c r="Z836" s="210"/>
    </row>
    <row r="837">
      <c r="A837" s="415"/>
      <c r="B837" s="210"/>
      <c r="C837" s="415"/>
      <c r="D837" s="156"/>
      <c r="E837" s="415"/>
      <c r="F837" s="210"/>
      <c r="G837" s="415"/>
      <c r="H837" s="210"/>
      <c r="I837" s="423"/>
      <c r="J837" s="156"/>
      <c r="K837" s="423"/>
      <c r="L837" s="156"/>
      <c r="M837" s="423"/>
      <c r="N837" s="156"/>
      <c r="O837" s="415"/>
      <c r="P837" s="210"/>
      <c r="Q837" s="424"/>
      <c r="R837" s="83"/>
      <c r="S837" s="209"/>
      <c r="T837" s="210"/>
      <c r="U837" s="209"/>
      <c r="V837" s="210"/>
      <c r="W837" s="210"/>
      <c r="X837" s="210"/>
      <c r="Y837" s="210"/>
      <c r="Z837" s="210"/>
    </row>
    <row r="838">
      <c r="A838" s="415"/>
      <c r="B838" s="210"/>
      <c r="C838" s="415"/>
      <c r="D838" s="156"/>
      <c r="E838" s="415"/>
      <c r="F838" s="210"/>
      <c r="G838" s="415"/>
      <c r="H838" s="210"/>
      <c r="I838" s="423"/>
      <c r="J838" s="156"/>
      <c r="K838" s="423"/>
      <c r="L838" s="156"/>
      <c r="M838" s="423"/>
      <c r="N838" s="156"/>
      <c r="O838" s="415"/>
      <c r="P838" s="210"/>
      <c r="Q838" s="424"/>
      <c r="R838" s="83"/>
      <c r="S838" s="209"/>
      <c r="T838" s="210"/>
      <c r="U838" s="209"/>
      <c r="V838" s="210"/>
      <c r="W838" s="210"/>
      <c r="X838" s="210"/>
      <c r="Y838" s="210"/>
      <c r="Z838" s="210"/>
    </row>
    <row r="839">
      <c r="A839" s="415"/>
      <c r="B839" s="210"/>
      <c r="C839" s="415"/>
      <c r="D839" s="156"/>
      <c r="E839" s="415"/>
      <c r="F839" s="210"/>
      <c r="G839" s="415"/>
      <c r="H839" s="210"/>
      <c r="I839" s="423"/>
      <c r="J839" s="156"/>
      <c r="K839" s="423"/>
      <c r="L839" s="156"/>
      <c r="M839" s="423"/>
      <c r="N839" s="156"/>
      <c r="O839" s="415"/>
      <c r="P839" s="210"/>
      <c r="Q839" s="424"/>
      <c r="R839" s="83"/>
      <c r="S839" s="209"/>
      <c r="T839" s="210"/>
      <c r="U839" s="209"/>
      <c r="V839" s="210"/>
      <c r="W839" s="210"/>
      <c r="X839" s="210"/>
      <c r="Y839" s="210"/>
      <c r="Z839" s="210"/>
    </row>
    <row r="840">
      <c r="A840" s="415"/>
      <c r="B840" s="210"/>
      <c r="C840" s="415"/>
      <c r="D840" s="156"/>
      <c r="E840" s="415"/>
      <c r="F840" s="210"/>
      <c r="G840" s="415"/>
      <c r="H840" s="210"/>
      <c r="I840" s="423"/>
      <c r="J840" s="156"/>
      <c r="K840" s="423"/>
      <c r="L840" s="156"/>
      <c r="M840" s="423"/>
      <c r="N840" s="156"/>
      <c r="O840" s="415"/>
      <c r="P840" s="210"/>
      <c r="Q840" s="424"/>
      <c r="R840" s="83"/>
      <c r="S840" s="209"/>
      <c r="T840" s="210"/>
      <c r="U840" s="209"/>
      <c r="V840" s="210"/>
      <c r="W840" s="210"/>
      <c r="X840" s="210"/>
      <c r="Y840" s="210"/>
      <c r="Z840" s="210"/>
    </row>
    <row r="841">
      <c r="A841" s="415"/>
      <c r="B841" s="210"/>
      <c r="C841" s="415"/>
      <c r="D841" s="156"/>
      <c r="E841" s="415"/>
      <c r="F841" s="210"/>
      <c r="G841" s="415"/>
      <c r="H841" s="210"/>
      <c r="I841" s="423"/>
      <c r="J841" s="156"/>
      <c r="K841" s="423"/>
      <c r="L841" s="156"/>
      <c r="M841" s="423"/>
      <c r="N841" s="156"/>
      <c r="O841" s="415"/>
      <c r="P841" s="210"/>
      <c r="Q841" s="424"/>
      <c r="R841" s="83"/>
      <c r="S841" s="209"/>
      <c r="T841" s="210"/>
      <c r="U841" s="209"/>
      <c r="V841" s="210"/>
      <c r="W841" s="210"/>
      <c r="X841" s="210"/>
      <c r="Y841" s="210"/>
      <c r="Z841" s="210"/>
    </row>
    <row r="842">
      <c r="A842" s="415"/>
      <c r="B842" s="210"/>
      <c r="C842" s="415"/>
      <c r="D842" s="156"/>
      <c r="E842" s="415"/>
      <c r="F842" s="210"/>
      <c r="G842" s="415"/>
      <c r="H842" s="210"/>
      <c r="I842" s="423"/>
      <c r="J842" s="156"/>
      <c r="K842" s="423"/>
      <c r="L842" s="156"/>
      <c r="M842" s="423"/>
      <c r="N842" s="156"/>
      <c r="O842" s="415"/>
      <c r="P842" s="210"/>
      <c r="Q842" s="424"/>
      <c r="R842" s="83"/>
      <c r="S842" s="209"/>
      <c r="T842" s="210"/>
      <c r="U842" s="209"/>
      <c r="V842" s="210"/>
      <c r="W842" s="210"/>
      <c r="X842" s="210"/>
      <c r="Y842" s="210"/>
      <c r="Z842" s="210"/>
    </row>
    <row r="843">
      <c r="A843" s="415"/>
      <c r="B843" s="210"/>
      <c r="C843" s="415"/>
      <c r="D843" s="156"/>
      <c r="E843" s="415"/>
      <c r="F843" s="210"/>
      <c r="G843" s="415"/>
      <c r="H843" s="210"/>
      <c r="I843" s="423"/>
      <c r="J843" s="156"/>
      <c r="K843" s="423"/>
      <c r="L843" s="156"/>
      <c r="M843" s="423"/>
      <c r="N843" s="156"/>
      <c r="O843" s="415"/>
      <c r="P843" s="210"/>
      <c r="Q843" s="424"/>
      <c r="R843" s="83"/>
      <c r="S843" s="209"/>
      <c r="T843" s="210"/>
      <c r="U843" s="209"/>
      <c r="V843" s="210"/>
      <c r="W843" s="210"/>
      <c r="X843" s="210"/>
      <c r="Y843" s="210"/>
      <c r="Z843" s="210"/>
    </row>
    <row r="844">
      <c r="A844" s="415"/>
      <c r="B844" s="210"/>
      <c r="C844" s="415"/>
      <c r="D844" s="156"/>
      <c r="E844" s="415"/>
      <c r="F844" s="210"/>
      <c r="G844" s="415"/>
      <c r="H844" s="210"/>
      <c r="I844" s="423"/>
      <c r="J844" s="156"/>
      <c r="K844" s="423"/>
      <c r="L844" s="156"/>
      <c r="M844" s="423"/>
      <c r="N844" s="156"/>
      <c r="O844" s="415"/>
      <c r="P844" s="210"/>
      <c r="Q844" s="424"/>
      <c r="R844" s="83"/>
      <c r="S844" s="209"/>
      <c r="T844" s="210"/>
      <c r="U844" s="209"/>
      <c r="V844" s="210"/>
      <c r="W844" s="210"/>
      <c r="X844" s="210"/>
      <c r="Y844" s="210"/>
      <c r="Z844" s="210"/>
    </row>
    <row r="845">
      <c r="A845" s="415"/>
      <c r="B845" s="210"/>
      <c r="C845" s="415"/>
      <c r="D845" s="156"/>
      <c r="E845" s="415"/>
      <c r="F845" s="210"/>
      <c r="G845" s="415"/>
      <c r="H845" s="210"/>
      <c r="I845" s="423"/>
      <c r="J845" s="156"/>
      <c r="K845" s="423"/>
      <c r="L845" s="156"/>
      <c r="M845" s="423"/>
      <c r="N845" s="156"/>
      <c r="O845" s="415"/>
      <c r="P845" s="210"/>
      <c r="Q845" s="424"/>
      <c r="R845" s="83"/>
      <c r="S845" s="209"/>
      <c r="T845" s="210"/>
      <c r="U845" s="209"/>
      <c r="V845" s="210"/>
      <c r="W845" s="210"/>
      <c r="X845" s="210"/>
      <c r="Y845" s="210"/>
      <c r="Z845" s="210"/>
    </row>
    <row r="846">
      <c r="A846" s="415"/>
      <c r="B846" s="210"/>
      <c r="C846" s="415"/>
      <c r="D846" s="156"/>
      <c r="E846" s="415"/>
      <c r="F846" s="210"/>
      <c r="G846" s="415"/>
      <c r="H846" s="210"/>
      <c r="I846" s="423"/>
      <c r="J846" s="156"/>
      <c r="K846" s="423"/>
      <c r="L846" s="156"/>
      <c r="M846" s="423"/>
      <c r="N846" s="156"/>
      <c r="O846" s="415"/>
      <c r="P846" s="210"/>
      <c r="Q846" s="424"/>
      <c r="R846" s="83"/>
      <c r="S846" s="209"/>
      <c r="T846" s="210"/>
      <c r="U846" s="209"/>
      <c r="V846" s="210"/>
      <c r="W846" s="210"/>
      <c r="X846" s="210"/>
      <c r="Y846" s="210"/>
      <c r="Z846" s="210"/>
    </row>
    <row r="847">
      <c r="A847" s="415"/>
      <c r="B847" s="210"/>
      <c r="C847" s="415"/>
      <c r="D847" s="156"/>
      <c r="E847" s="415"/>
      <c r="F847" s="210"/>
      <c r="G847" s="415"/>
      <c r="H847" s="210"/>
      <c r="I847" s="423"/>
      <c r="J847" s="156"/>
      <c r="K847" s="423"/>
      <c r="L847" s="156"/>
      <c r="M847" s="423"/>
      <c r="N847" s="156"/>
      <c r="O847" s="415"/>
      <c r="P847" s="210"/>
      <c r="Q847" s="424"/>
      <c r="R847" s="83"/>
      <c r="S847" s="209"/>
      <c r="T847" s="210"/>
      <c r="U847" s="209"/>
      <c r="V847" s="210"/>
      <c r="W847" s="210"/>
      <c r="X847" s="210"/>
      <c r="Y847" s="210"/>
      <c r="Z847" s="210"/>
    </row>
    <row r="848">
      <c r="A848" s="415"/>
      <c r="B848" s="210"/>
      <c r="C848" s="415"/>
      <c r="D848" s="156"/>
      <c r="E848" s="415"/>
      <c r="F848" s="210"/>
      <c r="G848" s="415"/>
      <c r="H848" s="210"/>
      <c r="I848" s="423"/>
      <c r="J848" s="156"/>
      <c r="K848" s="423"/>
      <c r="L848" s="156"/>
      <c r="M848" s="423"/>
      <c r="N848" s="156"/>
      <c r="O848" s="415"/>
      <c r="P848" s="210"/>
      <c r="Q848" s="424"/>
      <c r="R848" s="83"/>
      <c r="S848" s="209"/>
      <c r="T848" s="210"/>
      <c r="U848" s="209"/>
      <c r="V848" s="210"/>
      <c r="W848" s="210"/>
      <c r="X848" s="210"/>
      <c r="Y848" s="210"/>
      <c r="Z848" s="210"/>
    </row>
    <row r="849">
      <c r="A849" s="415"/>
      <c r="B849" s="210"/>
      <c r="C849" s="415"/>
      <c r="D849" s="156"/>
      <c r="E849" s="415"/>
      <c r="F849" s="210"/>
      <c r="G849" s="415"/>
      <c r="H849" s="210"/>
      <c r="I849" s="423"/>
      <c r="J849" s="156"/>
      <c r="K849" s="423"/>
      <c r="L849" s="156"/>
      <c r="M849" s="423"/>
      <c r="N849" s="156"/>
      <c r="O849" s="415"/>
      <c r="P849" s="210"/>
      <c r="Q849" s="424"/>
      <c r="R849" s="83"/>
      <c r="S849" s="209"/>
      <c r="T849" s="210"/>
      <c r="U849" s="209"/>
      <c r="V849" s="210"/>
      <c r="W849" s="210"/>
      <c r="X849" s="210"/>
      <c r="Y849" s="210"/>
      <c r="Z849" s="210"/>
    </row>
    <row r="850">
      <c r="A850" s="415"/>
      <c r="B850" s="210"/>
      <c r="C850" s="415"/>
      <c r="D850" s="156"/>
      <c r="E850" s="415"/>
      <c r="F850" s="210"/>
      <c r="G850" s="415"/>
      <c r="H850" s="210"/>
      <c r="I850" s="423"/>
      <c r="J850" s="156"/>
      <c r="K850" s="423"/>
      <c r="L850" s="156"/>
      <c r="M850" s="423"/>
      <c r="N850" s="156"/>
      <c r="O850" s="415"/>
      <c r="P850" s="210"/>
      <c r="Q850" s="424"/>
      <c r="R850" s="83"/>
      <c r="S850" s="209"/>
      <c r="T850" s="210"/>
      <c r="U850" s="209"/>
      <c r="V850" s="210"/>
      <c r="W850" s="210"/>
      <c r="X850" s="210"/>
      <c r="Y850" s="210"/>
      <c r="Z850" s="210"/>
    </row>
    <row r="851">
      <c r="A851" s="415"/>
      <c r="B851" s="210"/>
      <c r="C851" s="415"/>
      <c r="D851" s="156"/>
      <c r="E851" s="415"/>
      <c r="F851" s="210"/>
      <c r="G851" s="415"/>
      <c r="H851" s="210"/>
      <c r="I851" s="423"/>
      <c r="J851" s="156"/>
      <c r="K851" s="423"/>
      <c r="L851" s="156"/>
      <c r="M851" s="423"/>
      <c r="N851" s="156"/>
      <c r="O851" s="415"/>
      <c r="P851" s="210"/>
      <c r="Q851" s="424"/>
      <c r="R851" s="83"/>
      <c r="S851" s="209"/>
      <c r="T851" s="210"/>
      <c r="U851" s="209"/>
      <c r="V851" s="210"/>
      <c r="W851" s="210"/>
      <c r="X851" s="210"/>
      <c r="Y851" s="210"/>
      <c r="Z851" s="210"/>
    </row>
    <row r="852">
      <c r="A852" s="415"/>
      <c r="B852" s="210"/>
      <c r="C852" s="415"/>
      <c r="D852" s="156"/>
      <c r="E852" s="415"/>
      <c r="F852" s="210"/>
      <c r="G852" s="415"/>
      <c r="H852" s="210"/>
      <c r="I852" s="423"/>
      <c r="J852" s="156"/>
      <c r="K852" s="423"/>
      <c r="L852" s="156"/>
      <c r="M852" s="423"/>
      <c r="N852" s="156"/>
      <c r="O852" s="415"/>
      <c r="P852" s="210"/>
      <c r="Q852" s="424"/>
      <c r="R852" s="83"/>
      <c r="S852" s="209"/>
      <c r="T852" s="210"/>
      <c r="U852" s="209"/>
      <c r="V852" s="210"/>
      <c r="W852" s="210"/>
      <c r="X852" s="210"/>
      <c r="Y852" s="210"/>
      <c r="Z852" s="210"/>
    </row>
    <row r="853">
      <c r="A853" s="415"/>
      <c r="B853" s="210"/>
      <c r="C853" s="415"/>
      <c r="D853" s="156"/>
      <c r="E853" s="415"/>
      <c r="F853" s="210"/>
      <c r="G853" s="415"/>
      <c r="H853" s="210"/>
      <c r="I853" s="423"/>
      <c r="J853" s="156"/>
      <c r="K853" s="423"/>
      <c r="L853" s="156"/>
      <c r="M853" s="423"/>
      <c r="N853" s="156"/>
      <c r="O853" s="415"/>
      <c r="P853" s="210"/>
      <c r="Q853" s="424"/>
      <c r="R853" s="83"/>
      <c r="S853" s="209"/>
      <c r="T853" s="210"/>
      <c r="U853" s="209"/>
      <c r="V853" s="210"/>
      <c r="W853" s="210"/>
      <c r="X853" s="210"/>
      <c r="Y853" s="210"/>
      <c r="Z853" s="210"/>
    </row>
    <row r="854">
      <c r="A854" s="415"/>
      <c r="B854" s="210"/>
      <c r="C854" s="415"/>
      <c r="D854" s="156"/>
      <c r="E854" s="415"/>
      <c r="F854" s="210"/>
      <c r="G854" s="415"/>
      <c r="H854" s="210"/>
      <c r="I854" s="423"/>
      <c r="J854" s="156"/>
      <c r="K854" s="423"/>
      <c r="L854" s="156"/>
      <c r="M854" s="423"/>
      <c r="N854" s="156"/>
      <c r="O854" s="415"/>
      <c r="P854" s="210"/>
      <c r="Q854" s="424"/>
      <c r="R854" s="83"/>
      <c r="S854" s="209"/>
      <c r="T854" s="210"/>
      <c r="U854" s="209"/>
      <c r="V854" s="210"/>
      <c r="W854" s="210"/>
      <c r="X854" s="210"/>
      <c r="Y854" s="210"/>
      <c r="Z854" s="210"/>
    </row>
    <row r="855">
      <c r="A855" s="415"/>
      <c r="B855" s="210"/>
      <c r="C855" s="415"/>
      <c r="D855" s="156"/>
      <c r="E855" s="415"/>
      <c r="F855" s="210"/>
      <c r="G855" s="415"/>
      <c r="H855" s="210"/>
      <c r="I855" s="423"/>
      <c r="J855" s="156"/>
      <c r="K855" s="423"/>
      <c r="L855" s="156"/>
      <c r="M855" s="423"/>
      <c r="N855" s="156"/>
      <c r="O855" s="415"/>
      <c r="P855" s="210"/>
      <c r="Q855" s="424"/>
      <c r="R855" s="83"/>
      <c r="S855" s="209"/>
      <c r="T855" s="210"/>
      <c r="U855" s="209"/>
      <c r="V855" s="210"/>
      <c r="W855" s="210"/>
      <c r="X855" s="210"/>
      <c r="Y855" s="210"/>
      <c r="Z855" s="210"/>
    </row>
    <row r="856">
      <c r="A856" s="415"/>
      <c r="B856" s="210"/>
      <c r="C856" s="415"/>
      <c r="D856" s="156"/>
      <c r="E856" s="415"/>
      <c r="F856" s="210"/>
      <c r="G856" s="415"/>
      <c r="H856" s="210"/>
      <c r="I856" s="423"/>
      <c r="J856" s="156"/>
      <c r="K856" s="423"/>
      <c r="L856" s="156"/>
      <c r="M856" s="423"/>
      <c r="N856" s="156"/>
      <c r="O856" s="415"/>
      <c r="P856" s="210"/>
      <c r="Q856" s="424"/>
      <c r="R856" s="83"/>
      <c r="S856" s="209"/>
      <c r="T856" s="210"/>
      <c r="U856" s="209"/>
      <c r="V856" s="210"/>
      <c r="W856" s="210"/>
      <c r="X856" s="210"/>
      <c r="Y856" s="210"/>
      <c r="Z856" s="210"/>
    </row>
    <row r="857">
      <c r="A857" s="415"/>
      <c r="B857" s="210"/>
      <c r="C857" s="415"/>
      <c r="D857" s="156"/>
      <c r="E857" s="415"/>
      <c r="F857" s="210"/>
      <c r="G857" s="415"/>
      <c r="H857" s="210"/>
      <c r="I857" s="423"/>
      <c r="J857" s="156"/>
      <c r="K857" s="423"/>
      <c r="L857" s="156"/>
      <c r="M857" s="423"/>
      <c r="N857" s="156"/>
      <c r="O857" s="415"/>
      <c r="P857" s="210"/>
      <c r="Q857" s="424"/>
      <c r="R857" s="83"/>
      <c r="S857" s="209"/>
      <c r="T857" s="210"/>
      <c r="U857" s="209"/>
      <c r="V857" s="210"/>
      <c r="W857" s="210"/>
      <c r="X857" s="210"/>
      <c r="Y857" s="210"/>
      <c r="Z857" s="210"/>
    </row>
    <row r="858">
      <c r="A858" s="415"/>
      <c r="B858" s="210"/>
      <c r="C858" s="415"/>
      <c r="D858" s="156"/>
      <c r="E858" s="415"/>
      <c r="F858" s="210"/>
      <c r="G858" s="415"/>
      <c r="H858" s="210"/>
      <c r="I858" s="423"/>
      <c r="J858" s="156"/>
      <c r="K858" s="423"/>
      <c r="L858" s="156"/>
      <c r="M858" s="423"/>
      <c r="N858" s="156"/>
      <c r="O858" s="415"/>
      <c r="P858" s="210"/>
      <c r="Q858" s="424"/>
      <c r="R858" s="83"/>
      <c r="S858" s="209"/>
      <c r="T858" s="210"/>
      <c r="U858" s="209"/>
      <c r="V858" s="210"/>
      <c r="W858" s="210"/>
      <c r="X858" s="210"/>
      <c r="Y858" s="210"/>
      <c r="Z858" s="210"/>
    </row>
    <row r="859">
      <c r="A859" s="415"/>
      <c r="B859" s="210"/>
      <c r="C859" s="415"/>
      <c r="D859" s="156"/>
      <c r="E859" s="415"/>
      <c r="F859" s="210"/>
      <c r="G859" s="415"/>
      <c r="H859" s="210"/>
      <c r="I859" s="423"/>
      <c r="J859" s="156"/>
      <c r="K859" s="423"/>
      <c r="L859" s="156"/>
      <c r="M859" s="423"/>
      <c r="N859" s="156"/>
      <c r="O859" s="415"/>
      <c r="P859" s="210"/>
      <c r="Q859" s="424"/>
      <c r="R859" s="83"/>
      <c r="S859" s="209"/>
      <c r="T859" s="210"/>
      <c r="U859" s="209"/>
      <c r="V859" s="210"/>
      <c r="W859" s="210"/>
      <c r="X859" s="210"/>
      <c r="Y859" s="210"/>
      <c r="Z859" s="210"/>
    </row>
    <row r="860">
      <c r="A860" s="415"/>
      <c r="B860" s="210"/>
      <c r="C860" s="415"/>
      <c r="D860" s="156"/>
      <c r="E860" s="415"/>
      <c r="F860" s="210"/>
      <c r="G860" s="415"/>
      <c r="H860" s="210"/>
      <c r="I860" s="423"/>
      <c r="J860" s="156"/>
      <c r="K860" s="423"/>
      <c r="L860" s="156"/>
      <c r="M860" s="423"/>
      <c r="N860" s="156"/>
      <c r="O860" s="415"/>
      <c r="P860" s="210"/>
      <c r="Q860" s="424"/>
      <c r="R860" s="83"/>
      <c r="S860" s="209"/>
      <c r="T860" s="210"/>
      <c r="U860" s="209"/>
      <c r="V860" s="210"/>
      <c r="W860" s="210"/>
      <c r="X860" s="210"/>
      <c r="Y860" s="210"/>
      <c r="Z860" s="210"/>
    </row>
    <row r="861">
      <c r="A861" s="415"/>
      <c r="B861" s="210"/>
      <c r="C861" s="415"/>
      <c r="D861" s="156"/>
      <c r="E861" s="415"/>
      <c r="F861" s="210"/>
      <c r="G861" s="415"/>
      <c r="H861" s="210"/>
      <c r="I861" s="423"/>
      <c r="J861" s="156"/>
      <c r="K861" s="423"/>
      <c r="L861" s="156"/>
      <c r="M861" s="423"/>
      <c r="N861" s="156"/>
      <c r="O861" s="415"/>
      <c r="P861" s="210"/>
      <c r="Q861" s="424"/>
      <c r="R861" s="83"/>
      <c r="S861" s="209"/>
      <c r="T861" s="210"/>
      <c r="U861" s="209"/>
      <c r="V861" s="210"/>
      <c r="W861" s="210"/>
      <c r="X861" s="210"/>
      <c r="Y861" s="210"/>
      <c r="Z861" s="210"/>
    </row>
    <row r="862">
      <c r="A862" s="415"/>
      <c r="B862" s="210"/>
      <c r="C862" s="415"/>
      <c r="D862" s="156"/>
      <c r="E862" s="415"/>
      <c r="F862" s="210"/>
      <c r="G862" s="415"/>
      <c r="H862" s="210"/>
      <c r="I862" s="423"/>
      <c r="J862" s="156"/>
      <c r="K862" s="423"/>
      <c r="L862" s="156"/>
      <c r="M862" s="423"/>
      <c r="N862" s="156"/>
      <c r="O862" s="415"/>
      <c r="P862" s="210"/>
      <c r="Q862" s="424"/>
      <c r="R862" s="83"/>
      <c r="S862" s="209"/>
      <c r="T862" s="210"/>
      <c r="U862" s="209"/>
      <c r="V862" s="210"/>
      <c r="W862" s="210"/>
      <c r="X862" s="210"/>
      <c r="Y862" s="210"/>
      <c r="Z862" s="210"/>
    </row>
    <row r="863">
      <c r="A863" s="415"/>
      <c r="B863" s="210"/>
      <c r="C863" s="415"/>
      <c r="D863" s="156"/>
      <c r="E863" s="415"/>
      <c r="F863" s="210"/>
      <c r="G863" s="415"/>
      <c r="H863" s="210"/>
      <c r="I863" s="423"/>
      <c r="J863" s="156"/>
      <c r="K863" s="423"/>
      <c r="L863" s="156"/>
      <c r="M863" s="423"/>
      <c r="N863" s="156"/>
      <c r="O863" s="415"/>
      <c r="P863" s="210"/>
      <c r="Q863" s="424"/>
      <c r="R863" s="83"/>
      <c r="S863" s="209"/>
      <c r="T863" s="210"/>
      <c r="U863" s="209"/>
      <c r="V863" s="210"/>
      <c r="W863" s="210"/>
      <c r="X863" s="210"/>
      <c r="Y863" s="210"/>
      <c r="Z863" s="210"/>
    </row>
    <row r="864">
      <c r="A864" s="415"/>
      <c r="B864" s="210"/>
      <c r="C864" s="415"/>
      <c r="D864" s="156"/>
      <c r="E864" s="415"/>
      <c r="F864" s="210"/>
      <c r="G864" s="415"/>
      <c r="H864" s="210"/>
      <c r="I864" s="423"/>
      <c r="J864" s="156"/>
      <c r="K864" s="423"/>
      <c r="L864" s="156"/>
      <c r="M864" s="423"/>
      <c r="N864" s="156"/>
      <c r="O864" s="415"/>
      <c r="P864" s="210"/>
      <c r="Q864" s="424"/>
      <c r="R864" s="83"/>
      <c r="S864" s="209"/>
      <c r="T864" s="210"/>
      <c r="U864" s="209"/>
      <c r="V864" s="210"/>
      <c r="W864" s="210"/>
      <c r="X864" s="210"/>
      <c r="Y864" s="210"/>
      <c r="Z864" s="210"/>
    </row>
    <row r="865">
      <c r="A865" s="415"/>
      <c r="B865" s="210"/>
      <c r="C865" s="415"/>
      <c r="D865" s="156"/>
      <c r="E865" s="415"/>
      <c r="F865" s="210"/>
      <c r="G865" s="415"/>
      <c r="H865" s="210"/>
      <c r="I865" s="423"/>
      <c r="J865" s="156"/>
      <c r="K865" s="423"/>
      <c r="L865" s="156"/>
      <c r="M865" s="423"/>
      <c r="N865" s="156"/>
      <c r="O865" s="415"/>
      <c r="P865" s="210"/>
      <c r="Q865" s="424"/>
      <c r="R865" s="83"/>
      <c r="S865" s="209"/>
      <c r="T865" s="210"/>
      <c r="U865" s="209"/>
      <c r="V865" s="210"/>
      <c r="W865" s="210"/>
      <c r="X865" s="210"/>
      <c r="Y865" s="210"/>
      <c r="Z865" s="210"/>
    </row>
    <row r="866">
      <c r="A866" s="415"/>
      <c r="B866" s="210"/>
      <c r="C866" s="415"/>
      <c r="D866" s="156"/>
      <c r="E866" s="415"/>
      <c r="F866" s="210"/>
      <c r="G866" s="415"/>
      <c r="H866" s="210"/>
      <c r="I866" s="423"/>
      <c r="J866" s="156"/>
      <c r="K866" s="423"/>
      <c r="L866" s="156"/>
      <c r="M866" s="423"/>
      <c r="N866" s="156"/>
      <c r="O866" s="415"/>
      <c r="P866" s="210"/>
      <c r="Q866" s="424"/>
      <c r="R866" s="83"/>
      <c r="S866" s="209"/>
      <c r="T866" s="210"/>
      <c r="U866" s="209"/>
      <c r="V866" s="210"/>
      <c r="W866" s="210"/>
      <c r="X866" s="210"/>
      <c r="Y866" s="210"/>
      <c r="Z866" s="210"/>
    </row>
    <row r="867">
      <c r="A867" s="415"/>
      <c r="B867" s="210"/>
      <c r="C867" s="415"/>
      <c r="D867" s="156"/>
      <c r="E867" s="415"/>
      <c r="F867" s="210"/>
      <c r="G867" s="415"/>
      <c r="H867" s="210"/>
      <c r="I867" s="423"/>
      <c r="J867" s="156"/>
      <c r="K867" s="423"/>
      <c r="L867" s="156"/>
      <c r="M867" s="423"/>
      <c r="N867" s="156"/>
      <c r="O867" s="415"/>
      <c r="P867" s="210"/>
      <c r="Q867" s="424"/>
      <c r="R867" s="83"/>
      <c r="S867" s="209"/>
      <c r="T867" s="210"/>
      <c r="U867" s="209"/>
      <c r="V867" s="210"/>
      <c r="W867" s="210"/>
      <c r="X867" s="210"/>
      <c r="Y867" s="210"/>
      <c r="Z867" s="210"/>
    </row>
    <row r="868">
      <c r="A868" s="415"/>
      <c r="B868" s="210"/>
      <c r="C868" s="415"/>
      <c r="D868" s="156"/>
      <c r="E868" s="415"/>
      <c r="F868" s="210"/>
      <c r="G868" s="415"/>
      <c r="H868" s="210"/>
      <c r="I868" s="423"/>
      <c r="J868" s="156"/>
      <c r="K868" s="423"/>
      <c r="L868" s="156"/>
      <c r="M868" s="423"/>
      <c r="N868" s="156"/>
      <c r="O868" s="415"/>
      <c r="P868" s="210"/>
      <c r="Q868" s="424"/>
      <c r="R868" s="83"/>
      <c r="S868" s="209"/>
      <c r="T868" s="210"/>
      <c r="U868" s="209"/>
      <c r="V868" s="210"/>
      <c r="W868" s="210"/>
      <c r="X868" s="210"/>
      <c r="Y868" s="210"/>
      <c r="Z868" s="210"/>
    </row>
    <row r="869">
      <c r="A869" s="415"/>
      <c r="B869" s="210"/>
      <c r="C869" s="415"/>
      <c r="D869" s="156"/>
      <c r="E869" s="415"/>
      <c r="F869" s="210"/>
      <c r="G869" s="415"/>
      <c r="H869" s="210"/>
      <c r="I869" s="423"/>
      <c r="J869" s="156"/>
      <c r="K869" s="423"/>
      <c r="L869" s="156"/>
      <c r="M869" s="423"/>
      <c r="N869" s="156"/>
      <c r="O869" s="415"/>
      <c r="P869" s="210"/>
      <c r="Q869" s="424"/>
      <c r="R869" s="83"/>
      <c r="S869" s="209"/>
      <c r="T869" s="210"/>
      <c r="U869" s="209"/>
      <c r="V869" s="210"/>
      <c r="W869" s="210"/>
      <c r="X869" s="210"/>
      <c r="Y869" s="210"/>
      <c r="Z869" s="210"/>
    </row>
    <row r="870">
      <c r="A870" s="415"/>
      <c r="B870" s="210"/>
      <c r="C870" s="415"/>
      <c r="D870" s="156"/>
      <c r="E870" s="415"/>
      <c r="F870" s="210"/>
      <c r="G870" s="415"/>
      <c r="H870" s="210"/>
      <c r="I870" s="423"/>
      <c r="J870" s="156"/>
      <c r="K870" s="423"/>
      <c r="L870" s="156"/>
      <c r="M870" s="423"/>
      <c r="N870" s="156"/>
      <c r="O870" s="415"/>
      <c r="P870" s="210"/>
      <c r="Q870" s="424"/>
      <c r="R870" s="83"/>
      <c r="S870" s="209"/>
      <c r="T870" s="210"/>
      <c r="U870" s="209"/>
      <c r="V870" s="210"/>
      <c r="W870" s="210"/>
      <c r="X870" s="210"/>
      <c r="Y870" s="210"/>
      <c r="Z870" s="210"/>
    </row>
    <row r="871">
      <c r="A871" s="415"/>
      <c r="B871" s="210"/>
      <c r="C871" s="415"/>
      <c r="D871" s="156"/>
      <c r="E871" s="415"/>
      <c r="F871" s="210"/>
      <c r="G871" s="415"/>
      <c r="H871" s="210"/>
      <c r="I871" s="423"/>
      <c r="J871" s="156"/>
      <c r="K871" s="423"/>
      <c r="L871" s="156"/>
      <c r="M871" s="423"/>
      <c r="N871" s="156"/>
      <c r="O871" s="415"/>
      <c r="P871" s="210"/>
      <c r="Q871" s="424"/>
      <c r="R871" s="83"/>
      <c r="S871" s="209"/>
      <c r="T871" s="210"/>
      <c r="U871" s="209"/>
      <c r="V871" s="210"/>
      <c r="W871" s="210"/>
      <c r="X871" s="210"/>
      <c r="Y871" s="210"/>
      <c r="Z871" s="210"/>
    </row>
    <row r="872">
      <c r="A872" s="415"/>
      <c r="B872" s="210"/>
      <c r="C872" s="415"/>
      <c r="D872" s="156"/>
      <c r="E872" s="415"/>
      <c r="F872" s="210"/>
      <c r="G872" s="415"/>
      <c r="H872" s="210"/>
      <c r="I872" s="423"/>
      <c r="J872" s="156"/>
      <c r="K872" s="423"/>
      <c r="L872" s="156"/>
      <c r="M872" s="423"/>
      <c r="N872" s="156"/>
      <c r="O872" s="415"/>
      <c r="P872" s="210"/>
      <c r="Q872" s="424"/>
      <c r="R872" s="83"/>
      <c r="S872" s="209"/>
      <c r="T872" s="210"/>
      <c r="U872" s="209"/>
      <c r="V872" s="210"/>
      <c r="W872" s="210"/>
      <c r="X872" s="210"/>
      <c r="Y872" s="210"/>
      <c r="Z872" s="210"/>
    </row>
    <row r="873">
      <c r="A873" s="415"/>
      <c r="B873" s="210"/>
      <c r="C873" s="415"/>
      <c r="D873" s="156"/>
      <c r="E873" s="415"/>
      <c r="F873" s="210"/>
      <c r="G873" s="415"/>
      <c r="H873" s="210"/>
      <c r="I873" s="423"/>
      <c r="J873" s="156"/>
      <c r="K873" s="423"/>
      <c r="L873" s="156"/>
      <c r="M873" s="423"/>
      <c r="N873" s="156"/>
      <c r="O873" s="415"/>
      <c r="P873" s="210"/>
      <c r="Q873" s="424"/>
      <c r="R873" s="83"/>
      <c r="S873" s="209"/>
      <c r="T873" s="210"/>
      <c r="U873" s="209"/>
      <c r="V873" s="210"/>
      <c r="W873" s="210"/>
      <c r="X873" s="210"/>
      <c r="Y873" s="210"/>
      <c r="Z873" s="210"/>
    </row>
    <row r="874">
      <c r="A874" s="415"/>
      <c r="B874" s="210"/>
      <c r="C874" s="415"/>
      <c r="D874" s="156"/>
      <c r="E874" s="415"/>
      <c r="F874" s="210"/>
      <c r="G874" s="415"/>
      <c r="H874" s="210"/>
      <c r="I874" s="423"/>
      <c r="J874" s="156"/>
      <c r="K874" s="423"/>
      <c r="L874" s="156"/>
      <c r="M874" s="423"/>
      <c r="N874" s="156"/>
      <c r="O874" s="415"/>
      <c r="P874" s="210"/>
      <c r="Q874" s="424"/>
      <c r="R874" s="83"/>
      <c r="S874" s="209"/>
      <c r="T874" s="210"/>
      <c r="U874" s="209"/>
      <c r="V874" s="210"/>
      <c r="W874" s="210"/>
      <c r="X874" s="210"/>
      <c r="Y874" s="210"/>
      <c r="Z874" s="210"/>
    </row>
    <row r="875">
      <c r="A875" s="415"/>
      <c r="B875" s="210"/>
      <c r="C875" s="415"/>
      <c r="D875" s="156"/>
      <c r="E875" s="415"/>
      <c r="F875" s="210"/>
      <c r="G875" s="415"/>
      <c r="H875" s="210"/>
      <c r="I875" s="423"/>
      <c r="J875" s="156"/>
      <c r="K875" s="423"/>
      <c r="L875" s="156"/>
      <c r="M875" s="423"/>
      <c r="N875" s="156"/>
      <c r="O875" s="415"/>
      <c r="P875" s="210"/>
      <c r="Q875" s="424"/>
      <c r="R875" s="83"/>
      <c r="S875" s="209"/>
      <c r="T875" s="210"/>
      <c r="U875" s="209"/>
      <c r="V875" s="210"/>
      <c r="W875" s="210"/>
      <c r="X875" s="210"/>
      <c r="Y875" s="210"/>
      <c r="Z875" s="210"/>
    </row>
    <row r="876">
      <c r="A876" s="415"/>
      <c r="B876" s="210"/>
      <c r="C876" s="415"/>
      <c r="D876" s="156"/>
      <c r="E876" s="415"/>
      <c r="F876" s="210"/>
      <c r="G876" s="415"/>
      <c r="H876" s="210"/>
      <c r="I876" s="423"/>
      <c r="J876" s="156"/>
      <c r="K876" s="423"/>
      <c r="L876" s="156"/>
      <c r="M876" s="423"/>
      <c r="N876" s="156"/>
      <c r="O876" s="415"/>
      <c r="P876" s="210"/>
      <c r="Q876" s="424"/>
      <c r="R876" s="83"/>
      <c r="S876" s="209"/>
      <c r="T876" s="210"/>
      <c r="U876" s="209"/>
      <c r="V876" s="210"/>
      <c r="W876" s="210"/>
      <c r="X876" s="210"/>
      <c r="Y876" s="210"/>
      <c r="Z876" s="210"/>
    </row>
    <row r="877">
      <c r="A877" s="415"/>
      <c r="B877" s="210"/>
      <c r="C877" s="415"/>
      <c r="D877" s="156"/>
      <c r="E877" s="415"/>
      <c r="F877" s="210"/>
      <c r="G877" s="415"/>
      <c r="H877" s="210"/>
      <c r="I877" s="423"/>
      <c r="J877" s="156"/>
      <c r="K877" s="423"/>
      <c r="L877" s="156"/>
      <c r="M877" s="423"/>
      <c r="N877" s="156"/>
      <c r="O877" s="415"/>
      <c r="P877" s="210"/>
      <c r="Q877" s="424"/>
      <c r="R877" s="83"/>
      <c r="S877" s="209"/>
      <c r="T877" s="210"/>
      <c r="U877" s="209"/>
      <c r="V877" s="210"/>
      <c r="W877" s="210"/>
      <c r="X877" s="210"/>
      <c r="Y877" s="210"/>
      <c r="Z877" s="210"/>
    </row>
    <row r="878">
      <c r="A878" s="415"/>
      <c r="B878" s="210"/>
      <c r="C878" s="415"/>
      <c r="D878" s="156"/>
      <c r="E878" s="415"/>
      <c r="F878" s="210"/>
      <c r="G878" s="415"/>
      <c r="H878" s="210"/>
      <c r="I878" s="423"/>
      <c r="J878" s="156"/>
      <c r="K878" s="423"/>
      <c r="L878" s="156"/>
      <c r="M878" s="423"/>
      <c r="N878" s="156"/>
      <c r="O878" s="415"/>
      <c r="P878" s="210"/>
      <c r="Q878" s="424"/>
      <c r="R878" s="83"/>
      <c r="S878" s="209"/>
      <c r="T878" s="210"/>
      <c r="U878" s="209"/>
      <c r="V878" s="210"/>
      <c r="W878" s="210"/>
      <c r="X878" s="210"/>
      <c r="Y878" s="210"/>
      <c r="Z878" s="210"/>
    </row>
    <row r="879">
      <c r="A879" s="415"/>
      <c r="B879" s="210"/>
      <c r="C879" s="415"/>
      <c r="D879" s="156"/>
      <c r="E879" s="415"/>
      <c r="F879" s="210"/>
      <c r="G879" s="415"/>
      <c r="H879" s="210"/>
      <c r="I879" s="423"/>
      <c r="J879" s="156"/>
      <c r="K879" s="423"/>
      <c r="L879" s="156"/>
      <c r="M879" s="423"/>
      <c r="N879" s="156"/>
      <c r="O879" s="415"/>
      <c r="P879" s="210"/>
      <c r="Q879" s="424"/>
      <c r="R879" s="83"/>
      <c r="S879" s="209"/>
      <c r="T879" s="210"/>
      <c r="U879" s="209"/>
      <c r="V879" s="210"/>
      <c r="W879" s="210"/>
      <c r="X879" s="210"/>
      <c r="Y879" s="210"/>
      <c r="Z879" s="210"/>
    </row>
    <row r="880">
      <c r="A880" s="415"/>
      <c r="B880" s="210"/>
      <c r="C880" s="415"/>
      <c r="D880" s="156"/>
      <c r="E880" s="415"/>
      <c r="F880" s="210"/>
      <c r="G880" s="415"/>
      <c r="H880" s="210"/>
      <c r="I880" s="423"/>
      <c r="J880" s="156"/>
      <c r="K880" s="423"/>
      <c r="L880" s="156"/>
      <c r="M880" s="423"/>
      <c r="N880" s="156"/>
      <c r="O880" s="415"/>
      <c r="P880" s="210"/>
      <c r="Q880" s="424"/>
      <c r="R880" s="83"/>
      <c r="S880" s="209"/>
      <c r="T880" s="210"/>
      <c r="U880" s="209"/>
      <c r="V880" s="210"/>
      <c r="W880" s="210"/>
      <c r="X880" s="210"/>
      <c r="Y880" s="210"/>
      <c r="Z880" s="210"/>
    </row>
    <row r="881">
      <c r="A881" s="415"/>
      <c r="B881" s="210"/>
      <c r="C881" s="415"/>
      <c r="D881" s="156"/>
      <c r="E881" s="415"/>
      <c r="F881" s="210"/>
      <c r="G881" s="415"/>
      <c r="H881" s="210"/>
      <c r="I881" s="423"/>
      <c r="J881" s="156"/>
      <c r="K881" s="423"/>
      <c r="L881" s="156"/>
      <c r="M881" s="423"/>
      <c r="N881" s="156"/>
      <c r="O881" s="415"/>
      <c r="P881" s="210"/>
      <c r="Q881" s="424"/>
      <c r="R881" s="83"/>
      <c r="S881" s="209"/>
      <c r="T881" s="210"/>
      <c r="U881" s="209"/>
      <c r="V881" s="210"/>
      <c r="W881" s="210"/>
      <c r="X881" s="210"/>
      <c r="Y881" s="210"/>
      <c r="Z881" s="210"/>
    </row>
    <row r="882">
      <c r="A882" s="415"/>
      <c r="B882" s="210"/>
      <c r="C882" s="415"/>
      <c r="D882" s="156"/>
      <c r="E882" s="415"/>
      <c r="F882" s="210"/>
      <c r="G882" s="415"/>
      <c r="H882" s="210"/>
      <c r="I882" s="423"/>
      <c r="J882" s="156"/>
      <c r="K882" s="423"/>
      <c r="L882" s="156"/>
      <c r="M882" s="423"/>
      <c r="N882" s="156"/>
      <c r="O882" s="415"/>
      <c r="P882" s="210"/>
      <c r="Q882" s="424"/>
      <c r="R882" s="83"/>
      <c r="S882" s="209"/>
      <c r="T882" s="210"/>
      <c r="U882" s="209"/>
      <c r="V882" s="210"/>
      <c r="W882" s="210"/>
      <c r="X882" s="210"/>
      <c r="Y882" s="210"/>
      <c r="Z882" s="210"/>
    </row>
    <row r="883">
      <c r="A883" s="415"/>
      <c r="B883" s="210"/>
      <c r="C883" s="415"/>
      <c r="D883" s="156"/>
      <c r="E883" s="415"/>
      <c r="F883" s="210"/>
      <c r="G883" s="415"/>
      <c r="H883" s="210"/>
      <c r="I883" s="423"/>
      <c r="J883" s="156"/>
      <c r="K883" s="423"/>
      <c r="L883" s="156"/>
      <c r="M883" s="423"/>
      <c r="N883" s="156"/>
      <c r="O883" s="415"/>
      <c r="P883" s="210"/>
      <c r="Q883" s="424"/>
      <c r="R883" s="83"/>
      <c r="S883" s="209"/>
      <c r="T883" s="210"/>
      <c r="U883" s="209"/>
      <c r="V883" s="210"/>
      <c r="W883" s="210"/>
      <c r="X883" s="210"/>
      <c r="Y883" s="210"/>
      <c r="Z883" s="210"/>
    </row>
    <row r="884">
      <c r="A884" s="415"/>
      <c r="B884" s="210"/>
      <c r="C884" s="415"/>
      <c r="D884" s="156"/>
      <c r="E884" s="415"/>
      <c r="F884" s="210"/>
      <c r="G884" s="415"/>
      <c r="H884" s="210"/>
      <c r="I884" s="423"/>
      <c r="J884" s="156"/>
      <c r="K884" s="423"/>
      <c r="L884" s="156"/>
      <c r="M884" s="423"/>
      <c r="N884" s="156"/>
      <c r="O884" s="415"/>
      <c r="P884" s="210"/>
      <c r="Q884" s="424"/>
      <c r="R884" s="83"/>
      <c r="S884" s="209"/>
      <c r="T884" s="210"/>
      <c r="U884" s="209"/>
      <c r="V884" s="210"/>
      <c r="W884" s="210"/>
      <c r="X884" s="210"/>
      <c r="Y884" s="210"/>
      <c r="Z884" s="210"/>
    </row>
    <row r="885">
      <c r="A885" s="415"/>
      <c r="B885" s="210"/>
      <c r="C885" s="415"/>
      <c r="D885" s="156"/>
      <c r="E885" s="415"/>
      <c r="F885" s="210"/>
      <c r="G885" s="415"/>
      <c r="H885" s="210"/>
      <c r="I885" s="423"/>
      <c r="J885" s="156"/>
      <c r="K885" s="423"/>
      <c r="L885" s="156"/>
      <c r="M885" s="423"/>
      <c r="N885" s="156"/>
      <c r="O885" s="415"/>
      <c r="P885" s="210"/>
      <c r="Q885" s="424"/>
      <c r="R885" s="83"/>
      <c r="S885" s="209"/>
      <c r="T885" s="210"/>
      <c r="U885" s="209"/>
      <c r="V885" s="210"/>
      <c r="W885" s="210"/>
      <c r="X885" s="210"/>
      <c r="Y885" s="210"/>
      <c r="Z885" s="210"/>
    </row>
    <row r="886">
      <c r="A886" s="415"/>
      <c r="B886" s="210"/>
      <c r="C886" s="415"/>
      <c r="D886" s="156"/>
      <c r="E886" s="415"/>
      <c r="F886" s="210"/>
      <c r="G886" s="415"/>
      <c r="H886" s="210"/>
      <c r="I886" s="423"/>
      <c r="J886" s="156"/>
      <c r="K886" s="423"/>
      <c r="L886" s="156"/>
      <c r="M886" s="423"/>
      <c r="N886" s="156"/>
      <c r="O886" s="415"/>
      <c r="P886" s="210"/>
      <c r="Q886" s="424"/>
      <c r="R886" s="83"/>
      <c r="S886" s="209"/>
      <c r="T886" s="210"/>
      <c r="U886" s="209"/>
      <c r="V886" s="210"/>
      <c r="W886" s="210"/>
      <c r="X886" s="210"/>
      <c r="Y886" s="210"/>
      <c r="Z886" s="210"/>
    </row>
    <row r="887">
      <c r="A887" s="415"/>
      <c r="B887" s="210"/>
      <c r="C887" s="415"/>
      <c r="D887" s="156"/>
      <c r="E887" s="415"/>
      <c r="F887" s="210"/>
      <c r="G887" s="415"/>
      <c r="H887" s="210"/>
      <c r="I887" s="423"/>
      <c r="J887" s="156"/>
      <c r="K887" s="423"/>
      <c r="L887" s="156"/>
      <c r="M887" s="423"/>
      <c r="N887" s="156"/>
      <c r="O887" s="415"/>
      <c r="P887" s="210"/>
      <c r="Q887" s="424"/>
      <c r="R887" s="83"/>
      <c r="S887" s="209"/>
      <c r="T887" s="210"/>
      <c r="U887" s="209"/>
      <c r="V887" s="210"/>
      <c r="W887" s="210"/>
      <c r="X887" s="210"/>
      <c r="Y887" s="210"/>
      <c r="Z887" s="210"/>
    </row>
    <row r="888">
      <c r="A888" s="415"/>
      <c r="B888" s="210"/>
      <c r="C888" s="415"/>
      <c r="D888" s="156"/>
      <c r="E888" s="415"/>
      <c r="F888" s="210"/>
      <c r="G888" s="415"/>
      <c r="H888" s="210"/>
      <c r="I888" s="423"/>
      <c r="J888" s="156"/>
      <c r="K888" s="423"/>
      <c r="L888" s="156"/>
      <c r="M888" s="423"/>
      <c r="N888" s="156"/>
      <c r="O888" s="415"/>
      <c r="P888" s="210"/>
      <c r="Q888" s="424"/>
      <c r="R888" s="83"/>
      <c r="S888" s="209"/>
      <c r="T888" s="210"/>
      <c r="U888" s="209"/>
      <c r="V888" s="210"/>
      <c r="W888" s="210"/>
      <c r="X888" s="210"/>
      <c r="Y888" s="210"/>
      <c r="Z888" s="210"/>
    </row>
    <row r="889">
      <c r="A889" s="415"/>
      <c r="B889" s="210"/>
      <c r="C889" s="415"/>
      <c r="D889" s="156"/>
      <c r="E889" s="415"/>
      <c r="F889" s="210"/>
      <c r="G889" s="415"/>
      <c r="H889" s="210"/>
      <c r="I889" s="423"/>
      <c r="J889" s="156"/>
      <c r="K889" s="423"/>
      <c r="L889" s="156"/>
      <c r="M889" s="423"/>
      <c r="N889" s="156"/>
      <c r="O889" s="415"/>
      <c r="P889" s="210"/>
      <c r="Q889" s="424"/>
      <c r="R889" s="83"/>
      <c r="S889" s="209"/>
      <c r="T889" s="210"/>
      <c r="U889" s="209"/>
      <c r="V889" s="210"/>
      <c r="W889" s="210"/>
      <c r="X889" s="210"/>
      <c r="Y889" s="210"/>
      <c r="Z889" s="210"/>
    </row>
    <row r="890">
      <c r="A890" s="415"/>
      <c r="B890" s="210"/>
      <c r="C890" s="415"/>
      <c r="D890" s="156"/>
      <c r="E890" s="415"/>
      <c r="F890" s="210"/>
      <c r="G890" s="415"/>
      <c r="H890" s="210"/>
      <c r="I890" s="423"/>
      <c r="J890" s="156"/>
      <c r="K890" s="423"/>
      <c r="L890" s="156"/>
      <c r="M890" s="423"/>
      <c r="N890" s="156"/>
      <c r="O890" s="415"/>
      <c r="P890" s="210"/>
      <c r="Q890" s="424"/>
      <c r="R890" s="83"/>
      <c r="S890" s="209"/>
      <c r="T890" s="210"/>
      <c r="U890" s="209"/>
      <c r="V890" s="210"/>
      <c r="W890" s="210"/>
      <c r="X890" s="210"/>
      <c r="Y890" s="210"/>
      <c r="Z890" s="210"/>
    </row>
    <row r="891">
      <c r="A891" s="415"/>
      <c r="B891" s="210"/>
      <c r="C891" s="415"/>
      <c r="D891" s="156"/>
      <c r="E891" s="415"/>
      <c r="F891" s="210"/>
      <c r="G891" s="415"/>
      <c r="H891" s="210"/>
      <c r="I891" s="423"/>
      <c r="J891" s="156"/>
      <c r="K891" s="423"/>
      <c r="L891" s="156"/>
      <c r="M891" s="423"/>
      <c r="N891" s="156"/>
      <c r="O891" s="415"/>
      <c r="P891" s="210"/>
      <c r="Q891" s="424"/>
      <c r="R891" s="83"/>
      <c r="S891" s="209"/>
      <c r="T891" s="210"/>
      <c r="U891" s="209"/>
      <c r="V891" s="210"/>
      <c r="W891" s="210"/>
      <c r="X891" s="210"/>
      <c r="Y891" s="210"/>
      <c r="Z891" s="210"/>
    </row>
    <row r="892">
      <c r="A892" s="415"/>
      <c r="B892" s="210"/>
      <c r="C892" s="415"/>
      <c r="D892" s="156"/>
      <c r="E892" s="415"/>
      <c r="F892" s="210"/>
      <c r="G892" s="415"/>
      <c r="H892" s="210"/>
      <c r="I892" s="423"/>
      <c r="J892" s="156"/>
      <c r="K892" s="423"/>
      <c r="L892" s="156"/>
      <c r="M892" s="423"/>
      <c r="N892" s="156"/>
      <c r="O892" s="415"/>
      <c r="P892" s="210"/>
      <c r="Q892" s="424"/>
      <c r="R892" s="83"/>
      <c r="S892" s="209"/>
      <c r="T892" s="210"/>
      <c r="U892" s="209"/>
      <c r="V892" s="210"/>
      <c r="W892" s="210"/>
      <c r="X892" s="210"/>
      <c r="Y892" s="210"/>
      <c r="Z892" s="210"/>
    </row>
    <row r="893">
      <c r="A893" s="415"/>
      <c r="B893" s="210"/>
      <c r="C893" s="415"/>
      <c r="D893" s="156"/>
      <c r="E893" s="415"/>
      <c r="F893" s="210"/>
      <c r="G893" s="415"/>
      <c r="H893" s="210"/>
      <c r="I893" s="423"/>
      <c r="J893" s="156"/>
      <c r="K893" s="423"/>
      <c r="L893" s="156"/>
      <c r="M893" s="423"/>
      <c r="N893" s="156"/>
      <c r="O893" s="415"/>
      <c r="P893" s="210"/>
      <c r="Q893" s="424"/>
      <c r="R893" s="83"/>
      <c r="S893" s="209"/>
      <c r="T893" s="210"/>
      <c r="U893" s="209"/>
      <c r="V893" s="210"/>
      <c r="W893" s="210"/>
      <c r="X893" s="210"/>
      <c r="Y893" s="210"/>
      <c r="Z893" s="210"/>
    </row>
    <row r="894">
      <c r="A894" s="415"/>
      <c r="B894" s="210"/>
      <c r="C894" s="415"/>
      <c r="D894" s="156"/>
      <c r="E894" s="415"/>
      <c r="F894" s="210"/>
      <c r="G894" s="415"/>
      <c r="H894" s="210"/>
      <c r="I894" s="423"/>
      <c r="J894" s="156"/>
      <c r="K894" s="423"/>
      <c r="L894" s="156"/>
      <c r="M894" s="423"/>
      <c r="N894" s="156"/>
      <c r="O894" s="415"/>
      <c r="P894" s="210"/>
      <c r="Q894" s="424"/>
      <c r="R894" s="83"/>
      <c r="S894" s="209"/>
      <c r="T894" s="210"/>
      <c r="U894" s="209"/>
      <c r="V894" s="210"/>
      <c r="W894" s="210"/>
      <c r="X894" s="210"/>
      <c r="Y894" s="210"/>
      <c r="Z894" s="210"/>
    </row>
    <row r="895">
      <c r="A895" s="415"/>
      <c r="B895" s="210"/>
      <c r="C895" s="415"/>
      <c r="D895" s="156"/>
      <c r="E895" s="415"/>
      <c r="F895" s="210"/>
      <c r="G895" s="415"/>
      <c r="H895" s="210"/>
      <c r="I895" s="423"/>
      <c r="J895" s="156"/>
      <c r="K895" s="423"/>
      <c r="L895" s="156"/>
      <c r="M895" s="423"/>
      <c r="N895" s="156"/>
      <c r="O895" s="415"/>
      <c r="P895" s="210"/>
      <c r="Q895" s="424"/>
      <c r="R895" s="83"/>
      <c r="S895" s="209"/>
      <c r="T895" s="210"/>
      <c r="U895" s="209"/>
      <c r="V895" s="210"/>
      <c r="W895" s="210"/>
      <c r="X895" s="210"/>
      <c r="Y895" s="210"/>
      <c r="Z895" s="210"/>
    </row>
    <row r="896">
      <c r="A896" s="415"/>
      <c r="B896" s="210"/>
      <c r="C896" s="415"/>
      <c r="D896" s="156"/>
      <c r="E896" s="415"/>
      <c r="F896" s="210"/>
      <c r="G896" s="415"/>
      <c r="H896" s="210"/>
      <c r="I896" s="423"/>
      <c r="J896" s="156"/>
      <c r="K896" s="423"/>
      <c r="L896" s="156"/>
      <c r="M896" s="423"/>
      <c r="N896" s="156"/>
      <c r="O896" s="415"/>
      <c r="P896" s="210"/>
      <c r="Q896" s="424"/>
      <c r="R896" s="83"/>
      <c r="S896" s="209"/>
      <c r="T896" s="210"/>
      <c r="U896" s="209"/>
      <c r="V896" s="210"/>
      <c r="W896" s="210"/>
      <c r="X896" s="210"/>
      <c r="Y896" s="210"/>
      <c r="Z896" s="210"/>
    </row>
    <row r="897">
      <c r="A897" s="415"/>
      <c r="B897" s="210"/>
      <c r="C897" s="415"/>
      <c r="D897" s="156"/>
      <c r="E897" s="415"/>
      <c r="F897" s="210"/>
      <c r="G897" s="415"/>
      <c r="H897" s="210"/>
      <c r="I897" s="423"/>
      <c r="J897" s="156"/>
      <c r="K897" s="423"/>
      <c r="L897" s="156"/>
      <c r="M897" s="423"/>
      <c r="N897" s="156"/>
      <c r="O897" s="415"/>
      <c r="P897" s="210"/>
      <c r="Q897" s="424"/>
      <c r="R897" s="83"/>
      <c r="S897" s="209"/>
      <c r="T897" s="210"/>
      <c r="U897" s="209"/>
      <c r="V897" s="210"/>
      <c r="W897" s="210"/>
      <c r="X897" s="210"/>
      <c r="Y897" s="210"/>
      <c r="Z897" s="210"/>
    </row>
    <row r="898">
      <c r="A898" s="415"/>
      <c r="B898" s="210"/>
      <c r="C898" s="415"/>
      <c r="D898" s="156"/>
      <c r="E898" s="415"/>
      <c r="F898" s="210"/>
      <c r="G898" s="415"/>
      <c r="H898" s="210"/>
      <c r="I898" s="423"/>
      <c r="J898" s="156"/>
      <c r="K898" s="423"/>
      <c r="L898" s="156"/>
      <c r="M898" s="423"/>
      <c r="N898" s="156"/>
      <c r="O898" s="415"/>
      <c r="P898" s="210"/>
      <c r="Q898" s="424"/>
      <c r="R898" s="83"/>
      <c r="S898" s="209"/>
      <c r="T898" s="210"/>
      <c r="U898" s="209"/>
      <c r="V898" s="210"/>
      <c r="W898" s="210"/>
      <c r="X898" s="210"/>
      <c r="Y898" s="210"/>
      <c r="Z898" s="210"/>
    </row>
    <row r="899">
      <c r="A899" s="415"/>
      <c r="B899" s="210"/>
      <c r="C899" s="415"/>
      <c r="D899" s="156"/>
      <c r="E899" s="415"/>
      <c r="F899" s="210"/>
      <c r="G899" s="415"/>
      <c r="H899" s="210"/>
      <c r="I899" s="423"/>
      <c r="J899" s="156"/>
      <c r="K899" s="423"/>
      <c r="L899" s="156"/>
      <c r="M899" s="423"/>
      <c r="N899" s="156"/>
      <c r="O899" s="415"/>
      <c r="P899" s="210"/>
      <c r="Q899" s="424"/>
      <c r="R899" s="83"/>
      <c r="S899" s="209"/>
      <c r="T899" s="210"/>
      <c r="U899" s="209"/>
      <c r="V899" s="210"/>
      <c r="W899" s="210"/>
      <c r="X899" s="210"/>
      <c r="Y899" s="210"/>
      <c r="Z899" s="210"/>
    </row>
    <row r="900">
      <c r="A900" s="415"/>
      <c r="B900" s="210"/>
      <c r="C900" s="415"/>
      <c r="D900" s="156"/>
      <c r="E900" s="415"/>
      <c r="F900" s="210"/>
      <c r="G900" s="415"/>
      <c r="H900" s="210"/>
      <c r="I900" s="423"/>
      <c r="J900" s="156"/>
      <c r="K900" s="423"/>
      <c r="L900" s="156"/>
      <c r="M900" s="423"/>
      <c r="N900" s="156"/>
      <c r="O900" s="415"/>
      <c r="P900" s="210"/>
      <c r="Q900" s="424"/>
      <c r="R900" s="83"/>
      <c r="S900" s="209"/>
      <c r="T900" s="210"/>
      <c r="U900" s="209"/>
      <c r="V900" s="210"/>
      <c r="W900" s="210"/>
      <c r="X900" s="210"/>
      <c r="Y900" s="210"/>
      <c r="Z900" s="210"/>
    </row>
    <row r="901">
      <c r="A901" s="415"/>
      <c r="B901" s="210"/>
      <c r="C901" s="415"/>
      <c r="D901" s="156"/>
      <c r="E901" s="415"/>
      <c r="F901" s="210"/>
      <c r="G901" s="415"/>
      <c r="H901" s="210"/>
      <c r="I901" s="423"/>
      <c r="J901" s="156"/>
      <c r="K901" s="423"/>
      <c r="L901" s="156"/>
      <c r="M901" s="423"/>
      <c r="N901" s="156"/>
      <c r="O901" s="415"/>
      <c r="P901" s="210"/>
      <c r="Q901" s="424"/>
      <c r="R901" s="83"/>
      <c r="S901" s="209"/>
      <c r="T901" s="210"/>
      <c r="U901" s="209"/>
      <c r="V901" s="210"/>
      <c r="W901" s="210"/>
      <c r="X901" s="210"/>
      <c r="Y901" s="210"/>
      <c r="Z901" s="210"/>
    </row>
    <row r="902">
      <c r="A902" s="415"/>
      <c r="B902" s="210"/>
      <c r="C902" s="415"/>
      <c r="D902" s="156"/>
      <c r="E902" s="415"/>
      <c r="F902" s="210"/>
      <c r="G902" s="415"/>
      <c r="H902" s="210"/>
      <c r="I902" s="423"/>
      <c r="J902" s="156"/>
      <c r="K902" s="423"/>
      <c r="L902" s="156"/>
      <c r="M902" s="423"/>
      <c r="N902" s="156"/>
      <c r="O902" s="415"/>
      <c r="P902" s="210"/>
      <c r="Q902" s="424"/>
      <c r="R902" s="83"/>
      <c r="S902" s="209"/>
      <c r="T902" s="210"/>
      <c r="U902" s="209"/>
      <c r="V902" s="210"/>
      <c r="W902" s="210"/>
      <c r="X902" s="210"/>
      <c r="Y902" s="210"/>
      <c r="Z902" s="210"/>
    </row>
    <row r="903">
      <c r="A903" s="415"/>
      <c r="B903" s="210"/>
      <c r="C903" s="415"/>
      <c r="D903" s="156"/>
      <c r="E903" s="415"/>
      <c r="F903" s="210"/>
      <c r="G903" s="415"/>
      <c r="H903" s="210"/>
      <c r="I903" s="423"/>
      <c r="J903" s="156"/>
      <c r="K903" s="423"/>
      <c r="L903" s="156"/>
      <c r="M903" s="423"/>
      <c r="N903" s="156"/>
      <c r="O903" s="415"/>
      <c r="P903" s="210"/>
      <c r="Q903" s="424"/>
      <c r="R903" s="83"/>
      <c r="S903" s="209"/>
      <c r="T903" s="210"/>
      <c r="U903" s="209"/>
      <c r="V903" s="210"/>
      <c r="W903" s="210"/>
      <c r="X903" s="210"/>
      <c r="Y903" s="210"/>
      <c r="Z903" s="210"/>
    </row>
    <row r="904">
      <c r="A904" s="415"/>
      <c r="B904" s="210"/>
      <c r="C904" s="415"/>
      <c r="D904" s="156"/>
      <c r="E904" s="415"/>
      <c r="F904" s="210"/>
      <c r="G904" s="415"/>
      <c r="H904" s="210"/>
      <c r="I904" s="423"/>
      <c r="J904" s="156"/>
      <c r="K904" s="423"/>
      <c r="L904" s="156"/>
      <c r="M904" s="423"/>
      <c r="N904" s="156"/>
      <c r="O904" s="415"/>
      <c r="P904" s="210"/>
      <c r="Q904" s="424"/>
      <c r="R904" s="83"/>
      <c r="S904" s="209"/>
      <c r="T904" s="210"/>
      <c r="U904" s="209"/>
      <c r="V904" s="210"/>
      <c r="W904" s="210"/>
      <c r="X904" s="210"/>
      <c r="Y904" s="210"/>
      <c r="Z904" s="210"/>
    </row>
    <row r="905">
      <c r="A905" s="415"/>
      <c r="B905" s="210"/>
      <c r="C905" s="415"/>
      <c r="D905" s="156"/>
      <c r="E905" s="415"/>
      <c r="F905" s="210"/>
      <c r="G905" s="415"/>
      <c r="H905" s="210"/>
      <c r="I905" s="423"/>
      <c r="J905" s="156"/>
      <c r="K905" s="423"/>
      <c r="L905" s="156"/>
      <c r="M905" s="423"/>
      <c r="N905" s="156"/>
      <c r="O905" s="415"/>
      <c r="P905" s="210"/>
      <c r="Q905" s="424"/>
      <c r="R905" s="83"/>
      <c r="S905" s="209"/>
      <c r="T905" s="210"/>
      <c r="U905" s="209"/>
      <c r="V905" s="210"/>
      <c r="W905" s="210"/>
      <c r="X905" s="210"/>
      <c r="Y905" s="210"/>
      <c r="Z905" s="210"/>
    </row>
    <row r="906">
      <c r="A906" s="415"/>
      <c r="B906" s="210"/>
      <c r="C906" s="415"/>
      <c r="D906" s="156"/>
      <c r="E906" s="415"/>
      <c r="F906" s="210"/>
      <c r="G906" s="415"/>
      <c r="H906" s="210"/>
      <c r="I906" s="423"/>
      <c r="J906" s="156"/>
      <c r="K906" s="423"/>
      <c r="L906" s="156"/>
      <c r="M906" s="423"/>
      <c r="N906" s="156"/>
      <c r="O906" s="415"/>
      <c r="P906" s="210"/>
      <c r="Q906" s="424"/>
      <c r="R906" s="83"/>
      <c r="S906" s="209"/>
      <c r="T906" s="210"/>
      <c r="U906" s="209"/>
      <c r="V906" s="210"/>
      <c r="W906" s="210"/>
      <c r="X906" s="210"/>
      <c r="Y906" s="210"/>
      <c r="Z906" s="210"/>
    </row>
    <row r="907">
      <c r="A907" s="415"/>
      <c r="B907" s="210"/>
      <c r="C907" s="415"/>
      <c r="D907" s="156"/>
      <c r="E907" s="415"/>
      <c r="F907" s="210"/>
      <c r="G907" s="415"/>
      <c r="H907" s="210"/>
      <c r="I907" s="423"/>
      <c r="J907" s="156"/>
      <c r="K907" s="423"/>
      <c r="L907" s="156"/>
      <c r="M907" s="423"/>
      <c r="N907" s="156"/>
      <c r="O907" s="415"/>
      <c r="P907" s="210"/>
      <c r="Q907" s="424"/>
      <c r="R907" s="83"/>
      <c r="S907" s="209"/>
      <c r="T907" s="210"/>
      <c r="U907" s="209"/>
      <c r="V907" s="210"/>
      <c r="W907" s="210"/>
      <c r="X907" s="210"/>
      <c r="Y907" s="210"/>
      <c r="Z907" s="210"/>
    </row>
    <row r="908">
      <c r="A908" s="415"/>
      <c r="B908" s="210"/>
      <c r="C908" s="415"/>
      <c r="D908" s="156"/>
      <c r="E908" s="415"/>
      <c r="F908" s="210"/>
      <c r="G908" s="415"/>
      <c r="H908" s="210"/>
      <c r="I908" s="423"/>
      <c r="J908" s="156"/>
      <c r="K908" s="423"/>
      <c r="L908" s="156"/>
      <c r="M908" s="423"/>
      <c r="N908" s="156"/>
      <c r="O908" s="415"/>
      <c r="P908" s="210"/>
      <c r="Q908" s="424"/>
      <c r="R908" s="83"/>
      <c r="S908" s="209"/>
      <c r="T908" s="210"/>
      <c r="U908" s="209"/>
      <c r="V908" s="210"/>
      <c r="W908" s="210"/>
      <c r="X908" s="210"/>
      <c r="Y908" s="210"/>
      <c r="Z908" s="210"/>
    </row>
    <row r="909">
      <c r="A909" s="415"/>
      <c r="B909" s="210"/>
      <c r="C909" s="415"/>
      <c r="D909" s="156"/>
      <c r="E909" s="415"/>
      <c r="F909" s="210"/>
      <c r="G909" s="415"/>
      <c r="H909" s="210"/>
      <c r="I909" s="423"/>
      <c r="J909" s="156"/>
      <c r="K909" s="423"/>
      <c r="L909" s="156"/>
      <c r="M909" s="423"/>
      <c r="N909" s="156"/>
      <c r="O909" s="415"/>
      <c r="P909" s="210"/>
      <c r="Q909" s="424"/>
      <c r="R909" s="83"/>
      <c r="S909" s="209"/>
      <c r="T909" s="210"/>
      <c r="U909" s="209"/>
      <c r="V909" s="210"/>
      <c r="W909" s="210"/>
      <c r="X909" s="210"/>
      <c r="Y909" s="210"/>
      <c r="Z909" s="210"/>
    </row>
    <row r="910">
      <c r="A910" s="415"/>
      <c r="B910" s="210"/>
      <c r="C910" s="415"/>
      <c r="D910" s="156"/>
      <c r="E910" s="415"/>
      <c r="F910" s="210"/>
      <c r="G910" s="415"/>
      <c r="H910" s="210"/>
      <c r="I910" s="423"/>
      <c r="J910" s="156"/>
      <c r="K910" s="423"/>
      <c r="L910" s="156"/>
      <c r="M910" s="423"/>
      <c r="N910" s="156"/>
      <c r="O910" s="415"/>
      <c r="P910" s="210"/>
      <c r="Q910" s="424"/>
      <c r="R910" s="83"/>
      <c r="S910" s="209"/>
      <c r="T910" s="210"/>
      <c r="U910" s="209"/>
      <c r="V910" s="210"/>
      <c r="W910" s="210"/>
      <c r="X910" s="210"/>
      <c r="Y910" s="210"/>
      <c r="Z910" s="210"/>
    </row>
    <row r="911">
      <c r="A911" s="415"/>
      <c r="B911" s="210"/>
      <c r="C911" s="415"/>
      <c r="D911" s="156"/>
      <c r="E911" s="415"/>
      <c r="F911" s="210"/>
      <c r="G911" s="415"/>
      <c r="H911" s="210"/>
      <c r="I911" s="423"/>
      <c r="J911" s="156"/>
      <c r="K911" s="423"/>
      <c r="L911" s="156"/>
      <c r="M911" s="423"/>
      <c r="N911" s="156"/>
      <c r="O911" s="415"/>
      <c r="P911" s="210"/>
      <c r="Q911" s="424"/>
      <c r="R911" s="83"/>
      <c r="S911" s="209"/>
      <c r="T911" s="210"/>
      <c r="U911" s="209"/>
      <c r="V911" s="210"/>
      <c r="W911" s="210"/>
      <c r="X911" s="210"/>
      <c r="Y911" s="210"/>
      <c r="Z911" s="210"/>
    </row>
    <row r="912">
      <c r="A912" s="415"/>
      <c r="B912" s="210"/>
      <c r="C912" s="415"/>
      <c r="D912" s="156"/>
      <c r="E912" s="415"/>
      <c r="F912" s="210"/>
      <c r="G912" s="415"/>
      <c r="H912" s="210"/>
      <c r="I912" s="423"/>
      <c r="J912" s="156"/>
      <c r="K912" s="423"/>
      <c r="L912" s="156"/>
      <c r="M912" s="423"/>
      <c r="N912" s="156"/>
      <c r="O912" s="415"/>
      <c r="P912" s="210"/>
      <c r="Q912" s="424"/>
      <c r="R912" s="83"/>
      <c r="S912" s="209"/>
      <c r="T912" s="210"/>
      <c r="U912" s="209"/>
      <c r="V912" s="210"/>
      <c r="W912" s="210"/>
      <c r="X912" s="210"/>
      <c r="Y912" s="210"/>
      <c r="Z912" s="210"/>
    </row>
    <row r="913">
      <c r="A913" s="415"/>
      <c r="B913" s="210"/>
      <c r="C913" s="415"/>
      <c r="D913" s="156"/>
      <c r="E913" s="415"/>
      <c r="F913" s="210"/>
      <c r="G913" s="415"/>
      <c r="H913" s="210"/>
      <c r="I913" s="423"/>
      <c r="J913" s="156"/>
      <c r="K913" s="423"/>
      <c r="L913" s="156"/>
      <c r="M913" s="423"/>
      <c r="N913" s="156"/>
      <c r="O913" s="415"/>
      <c r="P913" s="210"/>
      <c r="Q913" s="424"/>
      <c r="R913" s="83"/>
      <c r="S913" s="209"/>
      <c r="T913" s="210"/>
      <c r="U913" s="209"/>
      <c r="V913" s="210"/>
      <c r="W913" s="210"/>
      <c r="X913" s="210"/>
      <c r="Y913" s="210"/>
      <c r="Z913" s="210"/>
    </row>
    <row r="914">
      <c r="A914" s="415"/>
      <c r="B914" s="210"/>
      <c r="C914" s="415"/>
      <c r="D914" s="156"/>
      <c r="E914" s="415"/>
      <c r="F914" s="210"/>
      <c r="G914" s="415"/>
      <c r="H914" s="210"/>
      <c r="I914" s="423"/>
      <c r="J914" s="156"/>
      <c r="K914" s="423"/>
      <c r="L914" s="156"/>
      <c r="M914" s="423"/>
      <c r="N914" s="156"/>
      <c r="O914" s="415"/>
      <c r="P914" s="210"/>
      <c r="Q914" s="424"/>
      <c r="R914" s="83"/>
      <c r="S914" s="209"/>
      <c r="T914" s="210"/>
      <c r="U914" s="209"/>
      <c r="V914" s="210"/>
      <c r="W914" s="210"/>
      <c r="X914" s="210"/>
      <c r="Y914" s="210"/>
      <c r="Z914" s="210"/>
    </row>
    <row r="915">
      <c r="A915" s="415"/>
      <c r="B915" s="210"/>
      <c r="C915" s="415"/>
      <c r="D915" s="156"/>
      <c r="E915" s="415"/>
      <c r="F915" s="210"/>
      <c r="G915" s="415"/>
      <c r="H915" s="210"/>
      <c r="I915" s="423"/>
      <c r="J915" s="156"/>
      <c r="K915" s="423"/>
      <c r="L915" s="156"/>
      <c r="M915" s="423"/>
      <c r="N915" s="156"/>
      <c r="O915" s="415"/>
      <c r="P915" s="210"/>
      <c r="Q915" s="424"/>
      <c r="R915" s="83"/>
      <c r="S915" s="209"/>
      <c r="T915" s="210"/>
      <c r="U915" s="209"/>
      <c r="V915" s="210"/>
      <c r="W915" s="210"/>
      <c r="X915" s="210"/>
      <c r="Y915" s="210"/>
      <c r="Z915" s="210"/>
    </row>
    <row r="916">
      <c r="A916" s="415"/>
      <c r="B916" s="210"/>
      <c r="C916" s="415"/>
      <c r="D916" s="156"/>
      <c r="E916" s="415"/>
      <c r="F916" s="210"/>
      <c r="G916" s="415"/>
      <c r="H916" s="210"/>
      <c r="I916" s="423"/>
      <c r="J916" s="156"/>
      <c r="K916" s="423"/>
      <c r="L916" s="156"/>
      <c r="M916" s="423"/>
      <c r="N916" s="156"/>
      <c r="O916" s="415"/>
      <c r="P916" s="210"/>
      <c r="Q916" s="424"/>
      <c r="R916" s="83"/>
      <c r="S916" s="209"/>
      <c r="T916" s="210"/>
      <c r="U916" s="209"/>
      <c r="V916" s="210"/>
      <c r="W916" s="210"/>
      <c r="X916" s="210"/>
      <c r="Y916" s="210"/>
      <c r="Z916" s="210"/>
    </row>
    <row r="917">
      <c r="A917" s="415"/>
      <c r="B917" s="210"/>
      <c r="C917" s="415"/>
      <c r="D917" s="156"/>
      <c r="E917" s="415"/>
      <c r="F917" s="210"/>
      <c r="G917" s="415"/>
      <c r="H917" s="210"/>
      <c r="I917" s="423"/>
      <c r="J917" s="156"/>
      <c r="K917" s="423"/>
      <c r="L917" s="156"/>
      <c r="M917" s="423"/>
      <c r="N917" s="156"/>
      <c r="O917" s="415"/>
      <c r="P917" s="210"/>
      <c r="Q917" s="424"/>
      <c r="R917" s="83"/>
      <c r="S917" s="209"/>
      <c r="T917" s="210"/>
      <c r="U917" s="209"/>
      <c r="V917" s="210"/>
      <c r="W917" s="210"/>
      <c r="X917" s="210"/>
      <c r="Y917" s="210"/>
      <c r="Z917" s="210"/>
    </row>
    <row r="918">
      <c r="A918" s="415"/>
      <c r="B918" s="210"/>
      <c r="C918" s="415"/>
      <c r="D918" s="156"/>
      <c r="E918" s="415"/>
      <c r="F918" s="210"/>
      <c r="G918" s="415"/>
      <c r="H918" s="210"/>
      <c r="I918" s="423"/>
      <c r="J918" s="156"/>
      <c r="K918" s="423"/>
      <c r="L918" s="156"/>
      <c r="M918" s="423"/>
      <c r="N918" s="156"/>
      <c r="O918" s="415"/>
      <c r="P918" s="210"/>
      <c r="Q918" s="424"/>
      <c r="R918" s="83"/>
      <c r="S918" s="209"/>
      <c r="T918" s="210"/>
      <c r="U918" s="209"/>
      <c r="V918" s="210"/>
      <c r="W918" s="210"/>
      <c r="X918" s="210"/>
      <c r="Y918" s="210"/>
      <c r="Z918" s="210"/>
    </row>
    <row r="919">
      <c r="A919" s="415"/>
      <c r="B919" s="210"/>
      <c r="C919" s="415"/>
      <c r="D919" s="156"/>
      <c r="E919" s="415"/>
      <c r="F919" s="210"/>
      <c r="G919" s="415"/>
      <c r="H919" s="210"/>
      <c r="I919" s="423"/>
      <c r="J919" s="156"/>
      <c r="K919" s="423"/>
      <c r="L919" s="156"/>
      <c r="M919" s="423"/>
      <c r="N919" s="156"/>
      <c r="O919" s="415"/>
      <c r="P919" s="210"/>
      <c r="Q919" s="424"/>
      <c r="R919" s="83"/>
      <c r="S919" s="209"/>
      <c r="T919" s="210"/>
      <c r="U919" s="209"/>
      <c r="V919" s="210"/>
      <c r="W919" s="210"/>
      <c r="X919" s="210"/>
      <c r="Y919" s="210"/>
      <c r="Z919" s="210"/>
    </row>
    <row r="920">
      <c r="A920" s="415"/>
      <c r="B920" s="210"/>
      <c r="C920" s="415"/>
      <c r="D920" s="156"/>
      <c r="E920" s="415"/>
      <c r="F920" s="210"/>
      <c r="G920" s="415"/>
      <c r="H920" s="210"/>
      <c r="I920" s="423"/>
      <c r="J920" s="156"/>
      <c r="K920" s="423"/>
      <c r="L920" s="156"/>
      <c r="M920" s="423"/>
      <c r="N920" s="156"/>
      <c r="O920" s="415"/>
      <c r="P920" s="210"/>
      <c r="Q920" s="424"/>
      <c r="R920" s="83"/>
      <c r="S920" s="209"/>
      <c r="T920" s="210"/>
      <c r="U920" s="209"/>
      <c r="V920" s="210"/>
      <c r="W920" s="210"/>
      <c r="X920" s="210"/>
      <c r="Y920" s="210"/>
      <c r="Z920" s="210"/>
    </row>
    <row r="921">
      <c r="A921" s="415"/>
      <c r="B921" s="210"/>
      <c r="C921" s="415"/>
      <c r="D921" s="156"/>
      <c r="E921" s="415"/>
      <c r="F921" s="210"/>
      <c r="G921" s="415"/>
      <c r="H921" s="210"/>
      <c r="I921" s="423"/>
      <c r="J921" s="156"/>
      <c r="K921" s="423"/>
      <c r="L921" s="156"/>
      <c r="M921" s="423"/>
      <c r="N921" s="156"/>
      <c r="O921" s="415"/>
      <c r="P921" s="210"/>
      <c r="Q921" s="424"/>
      <c r="R921" s="83"/>
      <c r="S921" s="209"/>
      <c r="T921" s="210"/>
      <c r="U921" s="209"/>
      <c r="V921" s="210"/>
      <c r="W921" s="210"/>
      <c r="X921" s="210"/>
      <c r="Y921" s="210"/>
      <c r="Z921" s="210"/>
    </row>
    <row r="922">
      <c r="A922" s="415"/>
      <c r="B922" s="210"/>
      <c r="C922" s="415"/>
      <c r="D922" s="156"/>
      <c r="E922" s="415"/>
      <c r="F922" s="210"/>
      <c r="G922" s="415"/>
      <c r="H922" s="210"/>
      <c r="I922" s="423"/>
      <c r="J922" s="156"/>
      <c r="K922" s="423"/>
      <c r="L922" s="156"/>
      <c r="M922" s="423"/>
      <c r="N922" s="156"/>
      <c r="O922" s="415"/>
      <c r="P922" s="210"/>
      <c r="Q922" s="424"/>
      <c r="R922" s="83"/>
      <c r="S922" s="209"/>
      <c r="T922" s="210"/>
      <c r="U922" s="209"/>
      <c r="V922" s="210"/>
      <c r="W922" s="210"/>
      <c r="X922" s="210"/>
      <c r="Y922" s="210"/>
      <c r="Z922" s="210"/>
    </row>
    <row r="923">
      <c r="A923" s="415"/>
      <c r="B923" s="210"/>
      <c r="C923" s="415"/>
      <c r="D923" s="156"/>
      <c r="E923" s="415"/>
      <c r="F923" s="210"/>
      <c r="G923" s="415"/>
      <c r="H923" s="210"/>
      <c r="I923" s="423"/>
      <c r="J923" s="156"/>
      <c r="K923" s="423"/>
      <c r="L923" s="156"/>
      <c r="M923" s="423"/>
      <c r="N923" s="156"/>
      <c r="O923" s="415"/>
      <c r="P923" s="210"/>
      <c r="Q923" s="424"/>
      <c r="R923" s="83"/>
      <c r="S923" s="209"/>
      <c r="T923" s="210"/>
      <c r="U923" s="209"/>
      <c r="V923" s="210"/>
      <c r="W923" s="210"/>
      <c r="X923" s="210"/>
      <c r="Y923" s="210"/>
      <c r="Z923" s="210"/>
    </row>
    <row r="924">
      <c r="A924" s="415"/>
      <c r="B924" s="210"/>
      <c r="C924" s="415"/>
      <c r="D924" s="156"/>
      <c r="E924" s="415"/>
      <c r="F924" s="210"/>
      <c r="G924" s="415"/>
      <c r="H924" s="210"/>
      <c r="I924" s="423"/>
      <c r="J924" s="156"/>
      <c r="K924" s="423"/>
      <c r="L924" s="156"/>
      <c r="M924" s="423"/>
      <c r="N924" s="156"/>
      <c r="O924" s="415"/>
      <c r="P924" s="210"/>
      <c r="Q924" s="424"/>
      <c r="R924" s="83"/>
      <c r="S924" s="209"/>
      <c r="T924" s="210"/>
      <c r="U924" s="209"/>
      <c r="V924" s="210"/>
      <c r="W924" s="210"/>
      <c r="X924" s="210"/>
      <c r="Y924" s="210"/>
      <c r="Z924" s="210"/>
    </row>
    <row r="925">
      <c r="A925" s="415"/>
      <c r="B925" s="210"/>
      <c r="C925" s="415"/>
      <c r="D925" s="156"/>
      <c r="E925" s="415"/>
      <c r="F925" s="210"/>
      <c r="G925" s="415"/>
      <c r="H925" s="210"/>
      <c r="I925" s="423"/>
      <c r="J925" s="156"/>
      <c r="K925" s="423"/>
      <c r="L925" s="156"/>
      <c r="M925" s="423"/>
      <c r="N925" s="156"/>
      <c r="O925" s="415"/>
      <c r="P925" s="210"/>
      <c r="Q925" s="424"/>
      <c r="R925" s="83"/>
      <c r="S925" s="209"/>
      <c r="T925" s="210"/>
      <c r="U925" s="209"/>
      <c r="V925" s="210"/>
      <c r="W925" s="210"/>
      <c r="X925" s="210"/>
      <c r="Y925" s="210"/>
      <c r="Z925" s="210"/>
    </row>
    <row r="926">
      <c r="A926" s="415"/>
      <c r="B926" s="210"/>
      <c r="C926" s="415"/>
      <c r="D926" s="156"/>
      <c r="E926" s="415"/>
      <c r="F926" s="210"/>
      <c r="G926" s="415"/>
      <c r="H926" s="210"/>
      <c r="I926" s="423"/>
      <c r="J926" s="156"/>
      <c r="K926" s="423"/>
      <c r="L926" s="156"/>
      <c r="M926" s="423"/>
      <c r="N926" s="156"/>
      <c r="O926" s="415"/>
      <c r="P926" s="210"/>
      <c r="Q926" s="424"/>
      <c r="R926" s="83"/>
      <c r="S926" s="209"/>
      <c r="T926" s="210"/>
      <c r="U926" s="209"/>
      <c r="V926" s="210"/>
      <c r="W926" s="210"/>
      <c r="X926" s="210"/>
      <c r="Y926" s="210"/>
      <c r="Z926" s="210"/>
    </row>
    <row r="927">
      <c r="A927" s="415"/>
      <c r="B927" s="210"/>
      <c r="C927" s="415"/>
      <c r="D927" s="156"/>
      <c r="E927" s="415"/>
      <c r="F927" s="210"/>
      <c r="G927" s="415"/>
      <c r="H927" s="210"/>
      <c r="I927" s="423"/>
      <c r="J927" s="156"/>
      <c r="K927" s="423"/>
      <c r="L927" s="156"/>
      <c r="M927" s="423"/>
      <c r="N927" s="156"/>
      <c r="O927" s="415"/>
      <c r="P927" s="210"/>
      <c r="Q927" s="424"/>
      <c r="R927" s="83"/>
      <c r="S927" s="209"/>
      <c r="T927" s="210"/>
      <c r="U927" s="209"/>
      <c r="V927" s="210"/>
      <c r="W927" s="210"/>
      <c r="X927" s="210"/>
      <c r="Y927" s="210"/>
      <c r="Z927" s="210"/>
    </row>
    <row r="928">
      <c r="A928" s="415"/>
      <c r="B928" s="210"/>
      <c r="C928" s="415"/>
      <c r="D928" s="156"/>
      <c r="E928" s="415"/>
      <c r="F928" s="210"/>
      <c r="G928" s="415"/>
      <c r="H928" s="210"/>
      <c r="I928" s="423"/>
      <c r="J928" s="156"/>
      <c r="K928" s="423"/>
      <c r="L928" s="156"/>
      <c r="M928" s="423"/>
      <c r="N928" s="156"/>
      <c r="O928" s="415"/>
      <c r="P928" s="210"/>
      <c r="Q928" s="424"/>
      <c r="R928" s="83"/>
      <c r="S928" s="209"/>
      <c r="T928" s="210"/>
      <c r="U928" s="209"/>
      <c r="V928" s="210"/>
      <c r="W928" s="210"/>
      <c r="X928" s="210"/>
      <c r="Y928" s="210"/>
      <c r="Z928" s="210"/>
    </row>
    <row r="929">
      <c r="A929" s="415"/>
      <c r="B929" s="210"/>
      <c r="C929" s="415"/>
      <c r="D929" s="156"/>
      <c r="E929" s="415"/>
      <c r="F929" s="210"/>
      <c r="G929" s="415"/>
      <c r="H929" s="210"/>
      <c r="I929" s="423"/>
      <c r="J929" s="156"/>
      <c r="K929" s="423"/>
      <c r="L929" s="156"/>
      <c r="M929" s="423"/>
      <c r="N929" s="156"/>
      <c r="O929" s="415"/>
      <c r="P929" s="210"/>
      <c r="Q929" s="424"/>
      <c r="R929" s="83"/>
      <c r="S929" s="209"/>
      <c r="T929" s="210"/>
      <c r="U929" s="209"/>
      <c r="V929" s="210"/>
      <c r="W929" s="210"/>
      <c r="X929" s="210"/>
      <c r="Y929" s="210"/>
      <c r="Z929" s="210"/>
    </row>
    <row r="930">
      <c r="A930" s="415"/>
      <c r="B930" s="210"/>
      <c r="C930" s="415"/>
      <c r="D930" s="156"/>
      <c r="E930" s="415"/>
      <c r="F930" s="210"/>
      <c r="G930" s="415"/>
      <c r="H930" s="210"/>
      <c r="I930" s="423"/>
      <c r="J930" s="156"/>
      <c r="K930" s="423"/>
      <c r="L930" s="156"/>
      <c r="M930" s="423"/>
      <c r="N930" s="156"/>
      <c r="O930" s="415"/>
      <c r="P930" s="210"/>
      <c r="Q930" s="424"/>
      <c r="R930" s="83"/>
      <c r="S930" s="209"/>
      <c r="T930" s="210"/>
      <c r="U930" s="209"/>
      <c r="V930" s="210"/>
      <c r="W930" s="210"/>
      <c r="X930" s="210"/>
      <c r="Y930" s="210"/>
      <c r="Z930" s="210"/>
    </row>
    <row r="931">
      <c r="A931" s="415"/>
      <c r="B931" s="210"/>
      <c r="C931" s="415"/>
      <c r="D931" s="156"/>
      <c r="E931" s="415"/>
      <c r="F931" s="210"/>
      <c r="G931" s="415"/>
      <c r="H931" s="210"/>
      <c r="I931" s="423"/>
      <c r="J931" s="156"/>
      <c r="K931" s="423"/>
      <c r="L931" s="156"/>
      <c r="M931" s="423"/>
      <c r="N931" s="156"/>
      <c r="O931" s="415"/>
      <c r="P931" s="210"/>
      <c r="Q931" s="424"/>
      <c r="R931" s="83"/>
      <c r="S931" s="209"/>
      <c r="T931" s="210"/>
      <c r="U931" s="209"/>
      <c r="V931" s="210"/>
      <c r="W931" s="210"/>
      <c r="X931" s="210"/>
      <c r="Y931" s="210"/>
      <c r="Z931" s="210"/>
    </row>
    <row r="932">
      <c r="A932" s="415"/>
      <c r="B932" s="210"/>
      <c r="C932" s="415"/>
      <c r="D932" s="156"/>
      <c r="E932" s="415"/>
      <c r="F932" s="210"/>
      <c r="G932" s="415"/>
      <c r="H932" s="210"/>
      <c r="I932" s="423"/>
      <c r="J932" s="156"/>
      <c r="K932" s="423"/>
      <c r="L932" s="156"/>
      <c r="M932" s="423"/>
      <c r="N932" s="156"/>
      <c r="O932" s="415"/>
      <c r="P932" s="210"/>
      <c r="Q932" s="424"/>
      <c r="R932" s="83"/>
      <c r="S932" s="209"/>
      <c r="T932" s="210"/>
      <c r="U932" s="209"/>
      <c r="V932" s="210"/>
      <c r="W932" s="210"/>
      <c r="X932" s="210"/>
      <c r="Y932" s="210"/>
      <c r="Z932" s="210"/>
    </row>
    <row r="933">
      <c r="A933" s="415"/>
      <c r="B933" s="210"/>
      <c r="C933" s="415"/>
      <c r="D933" s="156"/>
      <c r="E933" s="415"/>
      <c r="F933" s="210"/>
      <c r="G933" s="415"/>
      <c r="H933" s="210"/>
      <c r="I933" s="423"/>
      <c r="J933" s="156"/>
      <c r="K933" s="423"/>
      <c r="L933" s="156"/>
      <c r="M933" s="423"/>
      <c r="N933" s="156"/>
      <c r="O933" s="415"/>
      <c r="P933" s="210"/>
      <c r="Q933" s="424"/>
      <c r="R933" s="83"/>
      <c r="S933" s="209"/>
      <c r="T933" s="210"/>
      <c r="U933" s="209"/>
      <c r="V933" s="210"/>
      <c r="W933" s="210"/>
      <c r="X933" s="210"/>
      <c r="Y933" s="210"/>
      <c r="Z933" s="210"/>
    </row>
    <row r="934">
      <c r="A934" s="415"/>
      <c r="B934" s="210"/>
      <c r="C934" s="415"/>
      <c r="D934" s="156"/>
      <c r="E934" s="415"/>
      <c r="F934" s="210"/>
      <c r="G934" s="415"/>
      <c r="H934" s="210"/>
      <c r="I934" s="423"/>
      <c r="J934" s="156"/>
      <c r="K934" s="423"/>
      <c r="L934" s="156"/>
      <c r="M934" s="423"/>
      <c r="N934" s="156"/>
      <c r="O934" s="415"/>
      <c r="P934" s="210"/>
      <c r="Q934" s="424"/>
      <c r="R934" s="83"/>
      <c r="S934" s="209"/>
      <c r="T934" s="210"/>
      <c r="U934" s="209"/>
      <c r="V934" s="210"/>
      <c r="W934" s="210"/>
      <c r="X934" s="210"/>
      <c r="Y934" s="210"/>
      <c r="Z934" s="210"/>
    </row>
    <row r="935">
      <c r="A935" s="415"/>
      <c r="B935" s="210"/>
      <c r="C935" s="415"/>
      <c r="D935" s="156"/>
      <c r="E935" s="415"/>
      <c r="F935" s="210"/>
      <c r="G935" s="415"/>
      <c r="H935" s="210"/>
      <c r="I935" s="423"/>
      <c r="J935" s="156"/>
      <c r="K935" s="423"/>
      <c r="L935" s="156"/>
      <c r="M935" s="423"/>
      <c r="N935" s="156"/>
      <c r="O935" s="415"/>
      <c r="P935" s="210"/>
      <c r="Q935" s="424"/>
      <c r="R935" s="83"/>
      <c r="S935" s="209"/>
      <c r="T935" s="210"/>
      <c r="U935" s="209"/>
      <c r="V935" s="210"/>
      <c r="W935" s="210"/>
      <c r="X935" s="210"/>
      <c r="Y935" s="210"/>
      <c r="Z935" s="210"/>
    </row>
    <row r="936">
      <c r="A936" s="415"/>
      <c r="B936" s="210"/>
      <c r="C936" s="415"/>
      <c r="D936" s="156"/>
      <c r="E936" s="415"/>
      <c r="F936" s="210"/>
      <c r="G936" s="415"/>
      <c r="H936" s="210"/>
      <c r="I936" s="423"/>
      <c r="J936" s="156"/>
      <c r="K936" s="423"/>
      <c r="L936" s="156"/>
      <c r="M936" s="423"/>
      <c r="N936" s="156"/>
      <c r="O936" s="415"/>
      <c r="P936" s="210"/>
      <c r="Q936" s="424"/>
      <c r="R936" s="83"/>
      <c r="S936" s="209"/>
      <c r="T936" s="210"/>
      <c r="U936" s="209"/>
      <c r="V936" s="210"/>
      <c r="W936" s="210"/>
      <c r="X936" s="210"/>
      <c r="Y936" s="210"/>
      <c r="Z936" s="210"/>
    </row>
    <row r="937">
      <c r="A937" s="415"/>
      <c r="B937" s="210"/>
      <c r="C937" s="415"/>
      <c r="D937" s="156"/>
      <c r="E937" s="415"/>
      <c r="F937" s="210"/>
      <c r="G937" s="415"/>
      <c r="H937" s="210"/>
      <c r="I937" s="423"/>
      <c r="J937" s="156"/>
      <c r="K937" s="423"/>
      <c r="L937" s="156"/>
      <c r="M937" s="423"/>
      <c r="N937" s="156"/>
      <c r="O937" s="415"/>
      <c r="P937" s="210"/>
      <c r="Q937" s="424"/>
      <c r="R937" s="83"/>
      <c r="S937" s="209"/>
      <c r="T937" s="210"/>
      <c r="U937" s="209"/>
      <c r="V937" s="210"/>
      <c r="W937" s="210"/>
      <c r="X937" s="210"/>
      <c r="Y937" s="210"/>
      <c r="Z937" s="210"/>
    </row>
    <row r="938">
      <c r="A938" s="415"/>
      <c r="B938" s="210"/>
      <c r="C938" s="415"/>
      <c r="D938" s="156"/>
      <c r="E938" s="415"/>
      <c r="F938" s="210"/>
      <c r="G938" s="415"/>
      <c r="H938" s="210"/>
      <c r="I938" s="423"/>
      <c r="J938" s="156"/>
      <c r="K938" s="423"/>
      <c r="L938" s="156"/>
      <c r="M938" s="423"/>
      <c r="N938" s="156"/>
      <c r="O938" s="415"/>
      <c r="P938" s="210"/>
      <c r="Q938" s="424"/>
      <c r="R938" s="83"/>
      <c r="S938" s="209"/>
      <c r="T938" s="210"/>
      <c r="U938" s="209"/>
      <c r="V938" s="210"/>
      <c r="W938" s="210"/>
      <c r="X938" s="210"/>
      <c r="Y938" s="210"/>
      <c r="Z938" s="210"/>
    </row>
    <row r="939">
      <c r="A939" s="415"/>
      <c r="B939" s="210"/>
      <c r="C939" s="415"/>
      <c r="D939" s="156"/>
      <c r="E939" s="415"/>
      <c r="F939" s="210"/>
      <c r="G939" s="415"/>
      <c r="H939" s="210"/>
      <c r="I939" s="423"/>
      <c r="J939" s="156"/>
      <c r="K939" s="423"/>
      <c r="L939" s="156"/>
      <c r="M939" s="423"/>
      <c r="N939" s="156"/>
      <c r="O939" s="415"/>
      <c r="P939" s="210"/>
      <c r="Q939" s="424"/>
      <c r="R939" s="83"/>
      <c r="S939" s="209"/>
      <c r="T939" s="210"/>
      <c r="U939" s="209"/>
      <c r="V939" s="210"/>
      <c r="W939" s="210"/>
      <c r="X939" s="210"/>
      <c r="Y939" s="210"/>
      <c r="Z939" s="210"/>
    </row>
    <row r="940">
      <c r="A940" s="415"/>
      <c r="B940" s="210"/>
      <c r="C940" s="415"/>
      <c r="D940" s="156"/>
      <c r="E940" s="415"/>
      <c r="F940" s="210"/>
      <c r="G940" s="415"/>
      <c r="H940" s="210"/>
      <c r="I940" s="423"/>
      <c r="J940" s="156"/>
      <c r="K940" s="423"/>
      <c r="L940" s="156"/>
      <c r="M940" s="423"/>
      <c r="N940" s="156"/>
      <c r="O940" s="415"/>
      <c r="P940" s="210"/>
      <c r="Q940" s="424"/>
      <c r="R940" s="83"/>
      <c r="S940" s="209"/>
      <c r="T940" s="210"/>
      <c r="U940" s="209"/>
      <c r="V940" s="210"/>
      <c r="W940" s="210"/>
      <c r="X940" s="210"/>
      <c r="Y940" s="210"/>
      <c r="Z940" s="210"/>
    </row>
    <row r="941">
      <c r="A941" s="415"/>
      <c r="B941" s="210"/>
      <c r="C941" s="415"/>
      <c r="D941" s="156"/>
      <c r="E941" s="415"/>
      <c r="F941" s="210"/>
      <c r="G941" s="415"/>
      <c r="H941" s="210"/>
      <c r="I941" s="423"/>
      <c r="J941" s="156"/>
      <c r="K941" s="423"/>
      <c r="L941" s="156"/>
      <c r="M941" s="423"/>
      <c r="N941" s="156"/>
      <c r="O941" s="415"/>
      <c r="P941" s="210"/>
      <c r="Q941" s="424"/>
      <c r="R941" s="83"/>
      <c r="S941" s="209"/>
      <c r="T941" s="210"/>
      <c r="U941" s="209"/>
      <c r="V941" s="210"/>
      <c r="W941" s="210"/>
      <c r="X941" s="210"/>
      <c r="Y941" s="210"/>
      <c r="Z941" s="210"/>
    </row>
    <row r="942">
      <c r="A942" s="415"/>
      <c r="B942" s="210"/>
      <c r="C942" s="415"/>
      <c r="D942" s="156"/>
      <c r="E942" s="415"/>
      <c r="F942" s="210"/>
      <c r="G942" s="415"/>
      <c r="H942" s="210"/>
      <c r="I942" s="423"/>
      <c r="J942" s="156"/>
      <c r="K942" s="423"/>
      <c r="L942" s="156"/>
      <c r="M942" s="423"/>
      <c r="N942" s="156"/>
      <c r="O942" s="415"/>
      <c r="P942" s="210"/>
      <c r="Q942" s="424"/>
      <c r="R942" s="83"/>
      <c r="S942" s="209"/>
      <c r="T942" s="210"/>
      <c r="U942" s="209"/>
      <c r="V942" s="210"/>
      <c r="W942" s="210"/>
      <c r="X942" s="210"/>
      <c r="Y942" s="210"/>
      <c r="Z942" s="210"/>
    </row>
    <row r="943">
      <c r="A943" s="415"/>
      <c r="B943" s="210"/>
      <c r="C943" s="415"/>
      <c r="D943" s="156"/>
      <c r="E943" s="415"/>
      <c r="F943" s="210"/>
      <c r="G943" s="415"/>
      <c r="H943" s="210"/>
      <c r="I943" s="423"/>
      <c r="J943" s="156"/>
      <c r="K943" s="423"/>
      <c r="L943" s="156"/>
      <c r="M943" s="423"/>
      <c r="N943" s="156"/>
      <c r="O943" s="415"/>
      <c r="P943" s="210"/>
      <c r="Q943" s="424"/>
      <c r="R943" s="83"/>
      <c r="S943" s="209"/>
      <c r="T943" s="210"/>
      <c r="U943" s="209"/>
      <c r="V943" s="210"/>
      <c r="W943" s="210"/>
      <c r="X943" s="210"/>
      <c r="Y943" s="210"/>
      <c r="Z943" s="210"/>
    </row>
    <row r="944">
      <c r="A944" s="415"/>
      <c r="B944" s="210"/>
      <c r="C944" s="415"/>
      <c r="D944" s="156"/>
      <c r="E944" s="415"/>
      <c r="F944" s="210"/>
      <c r="G944" s="415"/>
      <c r="H944" s="210"/>
      <c r="I944" s="423"/>
      <c r="J944" s="156"/>
      <c r="K944" s="423"/>
      <c r="L944" s="156"/>
      <c r="M944" s="423"/>
      <c r="N944" s="156"/>
      <c r="O944" s="415"/>
      <c r="P944" s="210"/>
      <c r="Q944" s="424"/>
      <c r="R944" s="83"/>
      <c r="S944" s="209"/>
      <c r="T944" s="210"/>
      <c r="U944" s="209"/>
      <c r="V944" s="210"/>
      <c r="W944" s="210"/>
      <c r="X944" s="210"/>
      <c r="Y944" s="210"/>
      <c r="Z944" s="210"/>
    </row>
    <row r="945">
      <c r="A945" s="415"/>
      <c r="B945" s="210"/>
      <c r="C945" s="415"/>
      <c r="D945" s="156"/>
      <c r="E945" s="415"/>
      <c r="F945" s="210"/>
      <c r="G945" s="415"/>
      <c r="H945" s="210"/>
      <c r="I945" s="423"/>
      <c r="J945" s="156"/>
      <c r="K945" s="423"/>
      <c r="L945" s="156"/>
      <c r="M945" s="423"/>
      <c r="N945" s="156"/>
      <c r="O945" s="415"/>
      <c r="P945" s="210"/>
      <c r="Q945" s="424"/>
      <c r="R945" s="83"/>
      <c r="S945" s="209"/>
      <c r="T945" s="210"/>
      <c r="U945" s="209"/>
      <c r="V945" s="210"/>
      <c r="W945" s="210"/>
      <c r="X945" s="210"/>
      <c r="Y945" s="210"/>
      <c r="Z945" s="210"/>
    </row>
    <row r="946">
      <c r="A946" s="415"/>
      <c r="B946" s="210"/>
      <c r="C946" s="415"/>
      <c r="D946" s="156"/>
      <c r="E946" s="415"/>
      <c r="F946" s="210"/>
      <c r="G946" s="415"/>
      <c r="H946" s="210"/>
      <c r="I946" s="423"/>
      <c r="J946" s="156"/>
      <c r="K946" s="423"/>
      <c r="L946" s="156"/>
      <c r="M946" s="423"/>
      <c r="N946" s="156"/>
      <c r="O946" s="415"/>
      <c r="P946" s="210"/>
      <c r="Q946" s="424"/>
      <c r="R946" s="83"/>
      <c r="S946" s="209"/>
      <c r="T946" s="210"/>
      <c r="U946" s="209"/>
      <c r="V946" s="210"/>
      <c r="W946" s="210"/>
      <c r="X946" s="210"/>
      <c r="Y946" s="210"/>
      <c r="Z946" s="210"/>
    </row>
    <row r="947">
      <c r="A947" s="415"/>
      <c r="B947" s="210"/>
      <c r="C947" s="415"/>
      <c r="D947" s="156"/>
      <c r="E947" s="415"/>
      <c r="F947" s="210"/>
      <c r="G947" s="415"/>
      <c r="H947" s="210"/>
      <c r="I947" s="423"/>
      <c r="J947" s="156"/>
      <c r="K947" s="423"/>
      <c r="L947" s="156"/>
      <c r="M947" s="423"/>
      <c r="N947" s="156"/>
      <c r="O947" s="415"/>
      <c r="P947" s="210"/>
      <c r="Q947" s="424"/>
      <c r="R947" s="83"/>
      <c r="S947" s="209"/>
      <c r="T947" s="210"/>
      <c r="U947" s="209"/>
      <c r="V947" s="210"/>
      <c r="W947" s="210"/>
      <c r="X947" s="210"/>
      <c r="Y947" s="210"/>
      <c r="Z947" s="210"/>
    </row>
    <row r="948">
      <c r="A948" s="415"/>
      <c r="B948" s="210"/>
      <c r="C948" s="415"/>
      <c r="D948" s="156"/>
      <c r="E948" s="415"/>
      <c r="F948" s="210"/>
      <c r="G948" s="415"/>
      <c r="H948" s="210"/>
      <c r="I948" s="423"/>
      <c r="J948" s="156"/>
      <c r="K948" s="423"/>
      <c r="L948" s="156"/>
      <c r="M948" s="423"/>
      <c r="N948" s="156"/>
      <c r="O948" s="415"/>
      <c r="P948" s="210"/>
      <c r="Q948" s="424"/>
      <c r="R948" s="83"/>
      <c r="S948" s="209"/>
      <c r="T948" s="210"/>
      <c r="U948" s="209"/>
      <c r="V948" s="210"/>
      <c r="W948" s="210"/>
      <c r="X948" s="210"/>
      <c r="Y948" s="210"/>
      <c r="Z948" s="210"/>
    </row>
    <row r="949">
      <c r="A949" s="415"/>
      <c r="B949" s="210"/>
      <c r="C949" s="415"/>
      <c r="D949" s="156"/>
      <c r="E949" s="415"/>
      <c r="F949" s="210"/>
      <c r="G949" s="415"/>
      <c r="H949" s="210"/>
      <c r="I949" s="423"/>
      <c r="J949" s="156"/>
      <c r="K949" s="423"/>
      <c r="L949" s="156"/>
      <c r="M949" s="423"/>
      <c r="N949" s="156"/>
      <c r="O949" s="415"/>
      <c r="P949" s="210"/>
      <c r="Q949" s="424"/>
      <c r="R949" s="83"/>
      <c r="S949" s="209"/>
      <c r="T949" s="210"/>
      <c r="U949" s="209"/>
      <c r="V949" s="210"/>
      <c r="W949" s="210"/>
      <c r="X949" s="210"/>
      <c r="Y949" s="210"/>
      <c r="Z949" s="210"/>
    </row>
    <row r="950">
      <c r="A950" s="415"/>
      <c r="B950" s="210"/>
      <c r="C950" s="415"/>
      <c r="D950" s="156"/>
      <c r="E950" s="415"/>
      <c r="F950" s="210"/>
      <c r="G950" s="415"/>
      <c r="H950" s="210"/>
      <c r="I950" s="423"/>
      <c r="J950" s="156"/>
      <c r="K950" s="423"/>
      <c r="L950" s="156"/>
      <c r="M950" s="423"/>
      <c r="N950" s="156"/>
      <c r="O950" s="415"/>
      <c r="P950" s="210"/>
      <c r="Q950" s="424"/>
      <c r="R950" s="83"/>
      <c r="S950" s="209"/>
      <c r="T950" s="210"/>
      <c r="U950" s="209"/>
      <c r="V950" s="210"/>
      <c r="W950" s="210"/>
      <c r="X950" s="210"/>
      <c r="Y950" s="210"/>
      <c r="Z950" s="210"/>
    </row>
    <row r="951">
      <c r="A951" s="415"/>
      <c r="B951" s="210"/>
      <c r="C951" s="415"/>
      <c r="D951" s="156"/>
      <c r="E951" s="415"/>
      <c r="F951" s="210"/>
      <c r="G951" s="415"/>
      <c r="H951" s="210"/>
      <c r="I951" s="423"/>
      <c r="J951" s="156"/>
      <c r="K951" s="423"/>
      <c r="L951" s="156"/>
      <c r="M951" s="423"/>
      <c r="N951" s="156"/>
      <c r="O951" s="415"/>
      <c r="P951" s="210"/>
      <c r="Q951" s="424"/>
      <c r="R951" s="83"/>
      <c r="S951" s="209"/>
      <c r="T951" s="210"/>
      <c r="U951" s="209"/>
      <c r="V951" s="210"/>
      <c r="W951" s="210"/>
      <c r="X951" s="210"/>
      <c r="Y951" s="210"/>
      <c r="Z951" s="210"/>
    </row>
    <row r="952">
      <c r="A952" s="415"/>
      <c r="B952" s="210"/>
      <c r="C952" s="415"/>
      <c r="D952" s="156"/>
      <c r="E952" s="415"/>
      <c r="F952" s="210"/>
      <c r="G952" s="415"/>
      <c r="H952" s="210"/>
      <c r="I952" s="423"/>
      <c r="J952" s="156"/>
      <c r="K952" s="423"/>
      <c r="L952" s="156"/>
      <c r="M952" s="423"/>
      <c r="N952" s="156"/>
      <c r="O952" s="415"/>
      <c r="P952" s="210"/>
      <c r="Q952" s="424"/>
      <c r="R952" s="83"/>
      <c r="S952" s="209"/>
      <c r="T952" s="210"/>
      <c r="U952" s="209"/>
      <c r="V952" s="210"/>
      <c r="W952" s="210"/>
      <c r="X952" s="210"/>
      <c r="Y952" s="210"/>
      <c r="Z952" s="210"/>
    </row>
    <row r="953">
      <c r="A953" s="415"/>
      <c r="B953" s="210"/>
      <c r="C953" s="415"/>
      <c r="D953" s="156"/>
      <c r="E953" s="415"/>
      <c r="F953" s="210"/>
      <c r="G953" s="415"/>
      <c r="H953" s="210"/>
      <c r="I953" s="423"/>
      <c r="J953" s="156"/>
      <c r="K953" s="423"/>
      <c r="L953" s="156"/>
      <c r="M953" s="423"/>
      <c r="N953" s="156"/>
      <c r="O953" s="415"/>
      <c r="P953" s="210"/>
      <c r="Q953" s="424"/>
      <c r="R953" s="83"/>
      <c r="S953" s="209"/>
      <c r="T953" s="210"/>
      <c r="U953" s="209"/>
      <c r="V953" s="210"/>
      <c r="W953" s="210"/>
      <c r="X953" s="210"/>
      <c r="Y953" s="210"/>
      <c r="Z953" s="210"/>
    </row>
    <row r="954">
      <c r="A954" s="415"/>
      <c r="B954" s="210"/>
      <c r="C954" s="415"/>
      <c r="D954" s="156"/>
      <c r="E954" s="415"/>
      <c r="F954" s="210"/>
      <c r="G954" s="415"/>
      <c r="H954" s="210"/>
      <c r="I954" s="423"/>
      <c r="J954" s="156"/>
      <c r="K954" s="423"/>
      <c r="L954" s="156"/>
      <c r="M954" s="423"/>
      <c r="N954" s="156"/>
      <c r="O954" s="415"/>
      <c r="P954" s="210"/>
      <c r="Q954" s="424"/>
      <c r="R954" s="83"/>
      <c r="S954" s="209"/>
      <c r="T954" s="210"/>
      <c r="U954" s="209"/>
      <c r="V954" s="210"/>
      <c r="W954" s="210"/>
      <c r="X954" s="210"/>
      <c r="Y954" s="210"/>
      <c r="Z954" s="210"/>
    </row>
    <row r="955">
      <c r="A955" s="415"/>
      <c r="B955" s="210"/>
      <c r="C955" s="415"/>
      <c r="D955" s="156"/>
      <c r="E955" s="415"/>
      <c r="F955" s="210"/>
      <c r="G955" s="415"/>
      <c r="H955" s="210"/>
      <c r="I955" s="423"/>
      <c r="J955" s="156"/>
      <c r="K955" s="423"/>
      <c r="L955" s="156"/>
      <c r="M955" s="423"/>
      <c r="N955" s="156"/>
      <c r="O955" s="415"/>
      <c r="P955" s="210"/>
      <c r="Q955" s="424"/>
      <c r="R955" s="83"/>
      <c r="S955" s="209"/>
      <c r="T955" s="210"/>
      <c r="U955" s="209"/>
      <c r="V955" s="210"/>
      <c r="W955" s="210"/>
      <c r="X955" s="210"/>
      <c r="Y955" s="210"/>
      <c r="Z955" s="210"/>
    </row>
    <row r="956">
      <c r="A956" s="415"/>
      <c r="B956" s="210"/>
      <c r="C956" s="415"/>
      <c r="D956" s="156"/>
      <c r="E956" s="415"/>
      <c r="F956" s="210"/>
      <c r="G956" s="415"/>
      <c r="H956" s="210"/>
      <c r="I956" s="423"/>
      <c r="J956" s="156"/>
      <c r="K956" s="423"/>
      <c r="L956" s="156"/>
      <c r="M956" s="423"/>
      <c r="N956" s="156"/>
      <c r="O956" s="415"/>
      <c r="P956" s="210"/>
      <c r="Q956" s="424"/>
      <c r="R956" s="83"/>
      <c r="S956" s="209"/>
      <c r="T956" s="210"/>
      <c r="U956" s="209"/>
      <c r="V956" s="210"/>
      <c r="W956" s="210"/>
      <c r="X956" s="210"/>
      <c r="Y956" s="210"/>
      <c r="Z956" s="210"/>
    </row>
    <row r="957">
      <c r="A957" s="415"/>
      <c r="B957" s="210"/>
      <c r="C957" s="415"/>
      <c r="D957" s="156"/>
      <c r="E957" s="415"/>
      <c r="F957" s="210"/>
      <c r="G957" s="415"/>
      <c r="H957" s="210"/>
      <c r="I957" s="423"/>
      <c r="J957" s="156"/>
      <c r="K957" s="423"/>
      <c r="L957" s="156"/>
      <c r="M957" s="423"/>
      <c r="N957" s="156"/>
      <c r="O957" s="415"/>
      <c r="P957" s="210"/>
      <c r="Q957" s="424"/>
      <c r="R957" s="83"/>
      <c r="S957" s="209"/>
      <c r="T957" s="210"/>
      <c r="U957" s="209"/>
      <c r="V957" s="210"/>
      <c r="W957" s="210"/>
      <c r="X957" s="210"/>
      <c r="Y957" s="210"/>
      <c r="Z957" s="210"/>
    </row>
    <row r="958">
      <c r="A958" s="415"/>
      <c r="B958" s="210"/>
      <c r="C958" s="415"/>
      <c r="D958" s="156"/>
      <c r="E958" s="415"/>
      <c r="F958" s="210"/>
      <c r="G958" s="415"/>
      <c r="H958" s="210"/>
      <c r="I958" s="423"/>
      <c r="J958" s="156"/>
      <c r="K958" s="423"/>
      <c r="L958" s="156"/>
      <c r="M958" s="423"/>
      <c r="N958" s="156"/>
      <c r="O958" s="415"/>
      <c r="P958" s="210"/>
      <c r="Q958" s="424"/>
      <c r="R958" s="83"/>
      <c r="S958" s="209"/>
      <c r="T958" s="210"/>
      <c r="U958" s="209"/>
      <c r="V958" s="210"/>
      <c r="W958" s="210"/>
      <c r="X958" s="210"/>
      <c r="Y958" s="210"/>
      <c r="Z958" s="210"/>
    </row>
    <row r="959">
      <c r="A959" s="415"/>
      <c r="B959" s="210"/>
      <c r="C959" s="415"/>
      <c r="D959" s="156"/>
      <c r="E959" s="415"/>
      <c r="F959" s="210"/>
      <c r="G959" s="415"/>
      <c r="H959" s="210"/>
      <c r="I959" s="423"/>
      <c r="J959" s="156"/>
      <c r="K959" s="423"/>
      <c r="L959" s="156"/>
      <c r="M959" s="423"/>
      <c r="N959" s="156"/>
      <c r="O959" s="415"/>
      <c r="P959" s="210"/>
      <c r="Q959" s="424"/>
      <c r="R959" s="83"/>
      <c r="S959" s="209"/>
      <c r="T959" s="210"/>
      <c r="U959" s="209"/>
      <c r="V959" s="210"/>
      <c r="W959" s="210"/>
      <c r="X959" s="210"/>
      <c r="Y959" s="210"/>
      <c r="Z959" s="210"/>
    </row>
    <row r="960">
      <c r="A960" s="415"/>
      <c r="B960" s="210"/>
      <c r="C960" s="415"/>
      <c r="D960" s="156"/>
      <c r="E960" s="415"/>
      <c r="F960" s="210"/>
      <c r="G960" s="415"/>
      <c r="H960" s="210"/>
      <c r="I960" s="423"/>
      <c r="J960" s="156"/>
      <c r="K960" s="423"/>
      <c r="L960" s="156"/>
      <c r="M960" s="423"/>
      <c r="N960" s="156"/>
      <c r="O960" s="415"/>
      <c r="P960" s="210"/>
      <c r="Q960" s="424"/>
      <c r="R960" s="83"/>
      <c r="S960" s="209"/>
      <c r="T960" s="210"/>
      <c r="U960" s="209"/>
      <c r="V960" s="210"/>
      <c r="W960" s="210"/>
      <c r="X960" s="210"/>
      <c r="Y960" s="210"/>
      <c r="Z960" s="210"/>
    </row>
    <row r="961">
      <c r="A961" s="415"/>
      <c r="B961" s="210"/>
      <c r="C961" s="415"/>
      <c r="D961" s="156"/>
      <c r="E961" s="415"/>
      <c r="F961" s="210"/>
      <c r="G961" s="415"/>
      <c r="H961" s="210"/>
      <c r="I961" s="423"/>
      <c r="J961" s="156"/>
      <c r="K961" s="423"/>
      <c r="L961" s="156"/>
      <c r="M961" s="423"/>
      <c r="N961" s="156"/>
      <c r="O961" s="415"/>
      <c r="P961" s="210"/>
      <c r="Q961" s="424"/>
      <c r="R961" s="83"/>
      <c r="S961" s="209"/>
      <c r="T961" s="210"/>
      <c r="U961" s="209"/>
      <c r="V961" s="210"/>
      <c r="W961" s="210"/>
      <c r="X961" s="210"/>
      <c r="Y961" s="210"/>
      <c r="Z961" s="210"/>
    </row>
    <row r="962">
      <c r="A962" s="415"/>
      <c r="B962" s="210"/>
      <c r="C962" s="415"/>
      <c r="D962" s="156"/>
      <c r="E962" s="415"/>
      <c r="F962" s="210"/>
      <c r="G962" s="415"/>
      <c r="H962" s="210"/>
      <c r="I962" s="423"/>
      <c r="J962" s="156"/>
      <c r="K962" s="423"/>
      <c r="L962" s="156"/>
      <c r="M962" s="423"/>
      <c r="N962" s="156"/>
      <c r="O962" s="415"/>
      <c r="P962" s="210"/>
      <c r="Q962" s="424"/>
      <c r="R962" s="83"/>
      <c r="S962" s="209"/>
      <c r="T962" s="210"/>
      <c r="U962" s="209"/>
      <c r="V962" s="210"/>
      <c r="W962" s="210"/>
      <c r="X962" s="210"/>
      <c r="Y962" s="210"/>
      <c r="Z962" s="210"/>
    </row>
    <row r="963">
      <c r="A963" s="415"/>
      <c r="B963" s="210"/>
      <c r="C963" s="415"/>
      <c r="D963" s="156"/>
      <c r="E963" s="415"/>
      <c r="F963" s="210"/>
      <c r="G963" s="415"/>
      <c r="H963" s="210"/>
      <c r="I963" s="423"/>
      <c r="J963" s="156"/>
      <c r="K963" s="423"/>
      <c r="L963" s="156"/>
      <c r="M963" s="423"/>
      <c r="N963" s="156"/>
      <c r="O963" s="415"/>
      <c r="P963" s="210"/>
      <c r="Q963" s="424"/>
      <c r="R963" s="83"/>
      <c r="S963" s="209"/>
      <c r="T963" s="210"/>
      <c r="U963" s="209"/>
      <c r="V963" s="210"/>
      <c r="W963" s="210"/>
      <c r="X963" s="210"/>
      <c r="Y963" s="210"/>
      <c r="Z963" s="210"/>
    </row>
    <row r="964">
      <c r="A964" s="415"/>
      <c r="B964" s="210"/>
      <c r="C964" s="415"/>
      <c r="D964" s="156"/>
      <c r="E964" s="415"/>
      <c r="F964" s="210"/>
      <c r="G964" s="415"/>
      <c r="H964" s="210"/>
      <c r="I964" s="423"/>
      <c r="J964" s="156"/>
      <c r="K964" s="423"/>
      <c r="L964" s="156"/>
      <c r="M964" s="423"/>
      <c r="N964" s="156"/>
      <c r="O964" s="415"/>
      <c r="P964" s="210"/>
      <c r="Q964" s="424"/>
      <c r="R964" s="83"/>
      <c r="S964" s="209"/>
      <c r="T964" s="210"/>
      <c r="U964" s="209"/>
      <c r="V964" s="210"/>
      <c r="W964" s="210"/>
      <c r="X964" s="210"/>
      <c r="Y964" s="210"/>
      <c r="Z964" s="210"/>
    </row>
    <row r="965">
      <c r="A965" s="415"/>
      <c r="B965" s="210"/>
      <c r="C965" s="415"/>
      <c r="D965" s="156"/>
      <c r="E965" s="415"/>
      <c r="F965" s="210"/>
      <c r="G965" s="415"/>
      <c r="H965" s="210"/>
      <c r="I965" s="423"/>
      <c r="J965" s="156"/>
      <c r="K965" s="423"/>
      <c r="L965" s="156"/>
      <c r="M965" s="423"/>
      <c r="N965" s="156"/>
      <c r="O965" s="415"/>
      <c r="P965" s="210"/>
      <c r="Q965" s="424"/>
      <c r="R965" s="83"/>
      <c r="S965" s="209"/>
      <c r="T965" s="210"/>
      <c r="U965" s="209"/>
      <c r="V965" s="210"/>
      <c r="W965" s="210"/>
      <c r="X965" s="210"/>
      <c r="Y965" s="210"/>
      <c r="Z965" s="210"/>
    </row>
    <row r="966">
      <c r="A966" s="415"/>
      <c r="B966" s="210"/>
      <c r="C966" s="415"/>
      <c r="D966" s="156"/>
      <c r="E966" s="415"/>
      <c r="F966" s="210"/>
      <c r="G966" s="415"/>
      <c r="H966" s="210"/>
      <c r="I966" s="423"/>
      <c r="J966" s="156"/>
      <c r="K966" s="423"/>
      <c r="L966" s="156"/>
      <c r="M966" s="423"/>
      <c r="N966" s="156"/>
      <c r="O966" s="415"/>
      <c r="P966" s="210"/>
      <c r="Q966" s="424"/>
      <c r="R966" s="83"/>
      <c r="S966" s="209"/>
      <c r="T966" s="210"/>
      <c r="U966" s="209"/>
      <c r="V966" s="210"/>
      <c r="W966" s="210"/>
      <c r="X966" s="210"/>
      <c r="Y966" s="210"/>
      <c r="Z966" s="210"/>
    </row>
    <row r="967">
      <c r="A967" s="415"/>
      <c r="B967" s="210"/>
      <c r="C967" s="415"/>
      <c r="D967" s="156"/>
      <c r="E967" s="415"/>
      <c r="F967" s="210"/>
      <c r="G967" s="415"/>
      <c r="H967" s="210"/>
      <c r="I967" s="423"/>
      <c r="J967" s="156"/>
      <c r="K967" s="423"/>
      <c r="L967" s="156"/>
      <c r="M967" s="423"/>
      <c r="N967" s="156"/>
      <c r="O967" s="415"/>
      <c r="P967" s="210"/>
      <c r="Q967" s="424"/>
      <c r="R967" s="83"/>
      <c r="S967" s="209"/>
      <c r="T967" s="210"/>
      <c r="U967" s="209"/>
      <c r="V967" s="210"/>
      <c r="W967" s="210"/>
      <c r="X967" s="210"/>
      <c r="Y967" s="210"/>
      <c r="Z967" s="210"/>
    </row>
    <row r="968">
      <c r="A968" s="415"/>
      <c r="B968" s="210"/>
      <c r="C968" s="415"/>
      <c r="D968" s="156"/>
      <c r="E968" s="415"/>
      <c r="F968" s="210"/>
      <c r="G968" s="415"/>
      <c r="H968" s="210"/>
      <c r="I968" s="423"/>
      <c r="J968" s="156"/>
      <c r="K968" s="423"/>
      <c r="L968" s="156"/>
      <c r="M968" s="423"/>
      <c r="N968" s="156"/>
      <c r="O968" s="415"/>
      <c r="P968" s="210"/>
      <c r="Q968" s="424"/>
      <c r="R968" s="83"/>
      <c r="S968" s="209"/>
      <c r="T968" s="210"/>
      <c r="U968" s="209"/>
      <c r="V968" s="210"/>
      <c r="W968" s="210"/>
      <c r="X968" s="210"/>
      <c r="Y968" s="210"/>
      <c r="Z968" s="210"/>
    </row>
    <row r="969">
      <c r="A969" s="415"/>
      <c r="B969" s="210"/>
      <c r="C969" s="415"/>
      <c r="D969" s="156"/>
      <c r="E969" s="415"/>
      <c r="F969" s="210"/>
      <c r="G969" s="415"/>
      <c r="H969" s="210"/>
      <c r="I969" s="423"/>
      <c r="J969" s="156"/>
      <c r="K969" s="423"/>
      <c r="L969" s="156"/>
      <c r="M969" s="423"/>
      <c r="N969" s="156"/>
      <c r="O969" s="415"/>
      <c r="P969" s="210"/>
      <c r="Q969" s="424"/>
      <c r="R969" s="83"/>
      <c r="S969" s="209"/>
      <c r="T969" s="210"/>
      <c r="U969" s="209"/>
      <c r="V969" s="210"/>
      <c r="W969" s="210"/>
      <c r="X969" s="210"/>
      <c r="Y969" s="210"/>
      <c r="Z969" s="210"/>
    </row>
    <row r="970">
      <c r="A970" s="415"/>
      <c r="B970" s="210"/>
      <c r="C970" s="415"/>
      <c r="D970" s="156"/>
      <c r="E970" s="415"/>
      <c r="F970" s="210"/>
      <c r="G970" s="415"/>
      <c r="H970" s="210"/>
      <c r="I970" s="423"/>
      <c r="J970" s="156"/>
      <c r="K970" s="423"/>
      <c r="L970" s="156"/>
      <c r="M970" s="423"/>
      <c r="N970" s="156"/>
      <c r="O970" s="415"/>
      <c r="P970" s="210"/>
      <c r="Q970" s="424"/>
      <c r="R970" s="83"/>
      <c r="S970" s="209"/>
      <c r="T970" s="210"/>
      <c r="U970" s="209"/>
      <c r="V970" s="210"/>
      <c r="W970" s="210"/>
      <c r="X970" s="210"/>
      <c r="Y970" s="210"/>
      <c r="Z970" s="210"/>
    </row>
    <row r="971">
      <c r="A971" s="415"/>
      <c r="B971" s="210"/>
      <c r="C971" s="415"/>
      <c r="D971" s="156"/>
      <c r="E971" s="415"/>
      <c r="F971" s="210"/>
      <c r="G971" s="415"/>
      <c r="H971" s="210"/>
      <c r="I971" s="423"/>
      <c r="J971" s="156"/>
      <c r="K971" s="423"/>
      <c r="L971" s="156"/>
      <c r="M971" s="423"/>
      <c r="N971" s="156"/>
      <c r="O971" s="415"/>
      <c r="P971" s="210"/>
      <c r="Q971" s="424"/>
      <c r="R971" s="83"/>
      <c r="S971" s="209"/>
      <c r="T971" s="210"/>
      <c r="U971" s="209"/>
      <c r="V971" s="210"/>
      <c r="W971" s="210"/>
      <c r="X971" s="210"/>
      <c r="Y971" s="210"/>
      <c r="Z971" s="210"/>
    </row>
    <row r="972">
      <c r="A972" s="415"/>
      <c r="B972" s="210"/>
      <c r="C972" s="415"/>
      <c r="D972" s="156"/>
      <c r="E972" s="415"/>
      <c r="F972" s="210"/>
      <c r="G972" s="415"/>
      <c r="H972" s="210"/>
      <c r="I972" s="423"/>
      <c r="J972" s="156"/>
      <c r="K972" s="423"/>
      <c r="L972" s="156"/>
      <c r="M972" s="423"/>
      <c r="N972" s="156"/>
      <c r="O972" s="415"/>
      <c r="P972" s="210"/>
      <c r="Q972" s="424"/>
      <c r="R972" s="83"/>
      <c r="S972" s="209"/>
      <c r="T972" s="210"/>
      <c r="U972" s="209"/>
      <c r="V972" s="210"/>
      <c r="W972" s="210"/>
      <c r="X972" s="210"/>
      <c r="Y972" s="210"/>
      <c r="Z972" s="210"/>
    </row>
    <row r="973">
      <c r="A973" s="415"/>
      <c r="B973" s="210"/>
      <c r="C973" s="415"/>
      <c r="D973" s="156"/>
      <c r="E973" s="415"/>
      <c r="F973" s="210"/>
      <c r="G973" s="415"/>
      <c r="H973" s="210"/>
      <c r="I973" s="423"/>
      <c r="J973" s="156"/>
      <c r="K973" s="423"/>
      <c r="L973" s="156"/>
      <c r="M973" s="423"/>
      <c r="N973" s="156"/>
      <c r="O973" s="415"/>
      <c r="P973" s="210"/>
      <c r="Q973" s="424"/>
      <c r="R973" s="83"/>
      <c r="S973" s="209"/>
      <c r="T973" s="210"/>
      <c r="U973" s="209"/>
      <c r="V973" s="210"/>
      <c r="W973" s="210"/>
      <c r="X973" s="210"/>
      <c r="Y973" s="210"/>
      <c r="Z973" s="210"/>
    </row>
    <row r="974">
      <c r="A974" s="415"/>
      <c r="B974" s="210"/>
      <c r="C974" s="415"/>
      <c r="D974" s="156"/>
      <c r="E974" s="415"/>
      <c r="F974" s="210"/>
      <c r="G974" s="415"/>
      <c r="H974" s="210"/>
      <c r="I974" s="423"/>
      <c r="J974" s="156"/>
      <c r="K974" s="423"/>
      <c r="L974" s="156"/>
      <c r="M974" s="423"/>
      <c r="N974" s="156"/>
      <c r="O974" s="415"/>
      <c r="P974" s="210"/>
      <c r="Q974" s="424"/>
      <c r="R974" s="83"/>
      <c r="S974" s="209"/>
      <c r="T974" s="210"/>
      <c r="U974" s="209"/>
      <c r="V974" s="210"/>
      <c r="W974" s="210"/>
      <c r="X974" s="210"/>
      <c r="Y974" s="210"/>
      <c r="Z974" s="210"/>
    </row>
    <row r="975">
      <c r="A975" s="415"/>
      <c r="B975" s="210"/>
      <c r="C975" s="415"/>
      <c r="D975" s="156"/>
      <c r="E975" s="415"/>
      <c r="F975" s="210"/>
      <c r="G975" s="415"/>
      <c r="H975" s="210"/>
      <c r="I975" s="423"/>
      <c r="J975" s="156"/>
      <c r="K975" s="423"/>
      <c r="L975" s="156"/>
      <c r="M975" s="423"/>
      <c r="N975" s="156"/>
      <c r="O975" s="415"/>
      <c r="P975" s="210"/>
      <c r="Q975" s="424"/>
      <c r="R975" s="83"/>
      <c r="S975" s="209"/>
      <c r="T975" s="210"/>
      <c r="U975" s="209"/>
      <c r="V975" s="210"/>
      <c r="W975" s="210"/>
      <c r="X975" s="210"/>
      <c r="Y975" s="210"/>
      <c r="Z975" s="210"/>
    </row>
    <row r="976">
      <c r="A976" s="415"/>
      <c r="B976" s="210"/>
      <c r="C976" s="415"/>
      <c r="D976" s="156"/>
      <c r="E976" s="415"/>
      <c r="F976" s="210"/>
      <c r="G976" s="415"/>
      <c r="H976" s="210"/>
      <c r="I976" s="423"/>
      <c r="J976" s="156"/>
      <c r="K976" s="423"/>
      <c r="L976" s="156"/>
      <c r="M976" s="423"/>
      <c r="N976" s="156"/>
      <c r="O976" s="415"/>
      <c r="P976" s="210"/>
      <c r="Q976" s="424"/>
      <c r="R976" s="83"/>
      <c r="S976" s="209"/>
      <c r="T976" s="210"/>
      <c r="U976" s="209"/>
      <c r="V976" s="210"/>
      <c r="W976" s="210"/>
      <c r="X976" s="210"/>
      <c r="Y976" s="210"/>
      <c r="Z976" s="210"/>
    </row>
    <row r="977">
      <c r="A977" s="415"/>
      <c r="B977" s="210"/>
      <c r="C977" s="415"/>
      <c r="D977" s="156"/>
      <c r="E977" s="415"/>
      <c r="F977" s="210"/>
      <c r="G977" s="415"/>
      <c r="H977" s="210"/>
      <c r="I977" s="423"/>
      <c r="J977" s="156"/>
      <c r="K977" s="423"/>
      <c r="L977" s="156"/>
      <c r="M977" s="423"/>
      <c r="N977" s="156"/>
      <c r="O977" s="415"/>
      <c r="P977" s="210"/>
      <c r="Q977" s="424"/>
      <c r="R977" s="83"/>
      <c r="S977" s="209"/>
      <c r="T977" s="210"/>
      <c r="U977" s="209"/>
      <c r="V977" s="210"/>
      <c r="W977" s="210"/>
      <c r="X977" s="210"/>
      <c r="Y977" s="210"/>
      <c r="Z977" s="210"/>
    </row>
    <row r="978">
      <c r="A978" s="415"/>
      <c r="B978" s="210"/>
      <c r="C978" s="415"/>
      <c r="D978" s="156"/>
      <c r="E978" s="415"/>
      <c r="F978" s="210"/>
      <c r="G978" s="415"/>
      <c r="H978" s="210"/>
      <c r="I978" s="423"/>
      <c r="J978" s="156"/>
      <c r="K978" s="423"/>
      <c r="L978" s="156"/>
      <c r="M978" s="423"/>
      <c r="N978" s="156"/>
      <c r="O978" s="415"/>
      <c r="P978" s="210"/>
      <c r="Q978" s="424"/>
      <c r="R978" s="83"/>
      <c r="S978" s="209"/>
      <c r="T978" s="210"/>
      <c r="U978" s="209"/>
      <c r="V978" s="210"/>
      <c r="W978" s="210"/>
      <c r="X978" s="210"/>
      <c r="Y978" s="210"/>
      <c r="Z978" s="210"/>
    </row>
    <row r="979">
      <c r="A979" s="415"/>
      <c r="B979" s="210"/>
      <c r="C979" s="415"/>
      <c r="D979" s="156"/>
      <c r="E979" s="415"/>
      <c r="F979" s="210"/>
      <c r="G979" s="415"/>
      <c r="H979" s="210"/>
      <c r="I979" s="423"/>
      <c r="J979" s="156"/>
      <c r="K979" s="423"/>
      <c r="L979" s="156"/>
      <c r="M979" s="423"/>
      <c r="N979" s="156"/>
      <c r="O979" s="415"/>
      <c r="P979" s="210"/>
      <c r="Q979" s="424"/>
      <c r="R979" s="83"/>
      <c r="S979" s="209"/>
      <c r="T979" s="210"/>
      <c r="U979" s="209"/>
      <c r="V979" s="210"/>
      <c r="W979" s="210"/>
      <c r="X979" s="210"/>
      <c r="Y979" s="210"/>
      <c r="Z979" s="210"/>
    </row>
    <row r="980">
      <c r="A980" s="415"/>
      <c r="B980" s="210"/>
      <c r="C980" s="415"/>
      <c r="D980" s="156"/>
      <c r="E980" s="415"/>
      <c r="F980" s="210"/>
      <c r="G980" s="415"/>
      <c r="H980" s="210"/>
      <c r="I980" s="423"/>
      <c r="J980" s="156"/>
      <c r="K980" s="423"/>
      <c r="L980" s="156"/>
      <c r="M980" s="423"/>
      <c r="N980" s="156"/>
      <c r="O980" s="415"/>
      <c r="P980" s="210"/>
      <c r="Q980" s="424"/>
      <c r="R980" s="83"/>
      <c r="S980" s="209"/>
      <c r="T980" s="210"/>
      <c r="U980" s="209"/>
      <c r="V980" s="210"/>
      <c r="W980" s="210"/>
      <c r="X980" s="210"/>
      <c r="Y980" s="210"/>
      <c r="Z980" s="210"/>
    </row>
    <row r="981">
      <c r="A981" s="415"/>
      <c r="B981" s="210"/>
      <c r="C981" s="415"/>
      <c r="D981" s="156"/>
      <c r="E981" s="415"/>
      <c r="F981" s="210"/>
      <c r="G981" s="415"/>
      <c r="H981" s="210"/>
      <c r="I981" s="423"/>
      <c r="J981" s="156"/>
      <c r="K981" s="423"/>
      <c r="L981" s="156"/>
      <c r="M981" s="423"/>
      <c r="N981" s="156"/>
      <c r="O981" s="415"/>
      <c r="P981" s="210"/>
      <c r="Q981" s="424"/>
      <c r="R981" s="83"/>
      <c r="S981" s="209"/>
      <c r="T981" s="210"/>
      <c r="U981" s="209"/>
      <c r="V981" s="210"/>
      <c r="W981" s="210"/>
      <c r="X981" s="210"/>
      <c r="Y981" s="210"/>
      <c r="Z981" s="210"/>
    </row>
    <row r="982">
      <c r="A982" s="415"/>
      <c r="B982" s="210"/>
      <c r="C982" s="415"/>
      <c r="D982" s="156"/>
      <c r="E982" s="415"/>
      <c r="F982" s="210"/>
      <c r="G982" s="415"/>
      <c r="H982" s="210"/>
      <c r="I982" s="423"/>
      <c r="J982" s="156"/>
      <c r="K982" s="423"/>
      <c r="L982" s="156"/>
      <c r="M982" s="423"/>
      <c r="N982" s="156"/>
      <c r="O982" s="415"/>
      <c r="P982" s="210"/>
      <c r="Q982" s="424"/>
      <c r="R982" s="83"/>
      <c r="S982" s="209"/>
      <c r="T982" s="210"/>
      <c r="U982" s="209"/>
      <c r="V982" s="210"/>
      <c r="W982" s="210"/>
      <c r="X982" s="210"/>
      <c r="Y982" s="210"/>
      <c r="Z982" s="210"/>
    </row>
    <row r="983">
      <c r="A983" s="415"/>
      <c r="B983" s="210"/>
      <c r="C983" s="415"/>
      <c r="D983" s="156"/>
      <c r="E983" s="415"/>
      <c r="F983" s="210"/>
      <c r="G983" s="415"/>
      <c r="H983" s="210"/>
      <c r="I983" s="423"/>
      <c r="J983" s="156"/>
      <c r="K983" s="423"/>
      <c r="L983" s="156"/>
      <c r="M983" s="423"/>
      <c r="N983" s="156"/>
      <c r="O983" s="415"/>
      <c r="P983" s="210"/>
      <c r="Q983" s="424"/>
      <c r="R983" s="83"/>
      <c r="S983" s="209"/>
      <c r="T983" s="210"/>
      <c r="U983" s="209"/>
      <c r="V983" s="210"/>
      <c r="W983" s="210"/>
      <c r="X983" s="210"/>
      <c r="Y983" s="210"/>
      <c r="Z983" s="210"/>
    </row>
    <row r="984">
      <c r="A984" s="415"/>
      <c r="B984" s="210"/>
      <c r="C984" s="415"/>
      <c r="D984" s="156"/>
      <c r="E984" s="415"/>
      <c r="F984" s="210"/>
      <c r="G984" s="415"/>
      <c r="H984" s="210"/>
      <c r="I984" s="423"/>
      <c r="J984" s="156"/>
      <c r="K984" s="423"/>
      <c r="L984" s="156"/>
      <c r="M984" s="423"/>
      <c r="N984" s="156"/>
      <c r="O984" s="415"/>
      <c r="P984" s="210"/>
      <c r="Q984" s="424"/>
      <c r="R984" s="83"/>
      <c r="S984" s="209"/>
      <c r="T984" s="210"/>
      <c r="U984" s="209"/>
      <c r="V984" s="210"/>
      <c r="W984" s="210"/>
      <c r="X984" s="210"/>
      <c r="Y984" s="210"/>
      <c r="Z984" s="210"/>
    </row>
    <row r="985">
      <c r="A985" s="415"/>
      <c r="B985" s="210"/>
      <c r="C985" s="415"/>
      <c r="D985" s="156"/>
      <c r="E985" s="415"/>
      <c r="F985" s="210"/>
      <c r="G985" s="415"/>
      <c r="H985" s="210"/>
      <c r="I985" s="423"/>
      <c r="J985" s="156"/>
      <c r="K985" s="423"/>
      <c r="L985" s="156"/>
      <c r="M985" s="423"/>
      <c r="N985" s="156"/>
      <c r="O985" s="415"/>
      <c r="P985" s="210"/>
      <c r="Q985" s="424"/>
      <c r="R985" s="83"/>
      <c r="S985" s="209"/>
      <c r="T985" s="210"/>
      <c r="U985" s="209"/>
      <c r="V985" s="210"/>
      <c r="W985" s="210"/>
      <c r="X985" s="210"/>
      <c r="Y985" s="210"/>
      <c r="Z985" s="210"/>
    </row>
    <row r="986">
      <c r="A986" s="415"/>
      <c r="B986" s="210"/>
      <c r="C986" s="415"/>
      <c r="D986" s="156"/>
      <c r="E986" s="415"/>
      <c r="F986" s="210"/>
      <c r="G986" s="415"/>
      <c r="H986" s="210"/>
      <c r="I986" s="423"/>
      <c r="J986" s="156"/>
      <c r="K986" s="423"/>
      <c r="L986" s="156"/>
      <c r="M986" s="423"/>
      <c r="N986" s="156"/>
      <c r="O986" s="415"/>
      <c r="P986" s="210"/>
      <c r="Q986" s="424"/>
      <c r="R986" s="83"/>
      <c r="S986" s="209"/>
      <c r="T986" s="210"/>
      <c r="U986" s="209"/>
      <c r="V986" s="210"/>
      <c r="W986" s="210"/>
      <c r="X986" s="210"/>
      <c r="Y986" s="210"/>
      <c r="Z986" s="210"/>
    </row>
    <row r="987">
      <c r="A987" s="415"/>
      <c r="B987" s="210"/>
      <c r="C987" s="415"/>
      <c r="D987" s="156"/>
      <c r="E987" s="415"/>
      <c r="F987" s="210"/>
      <c r="G987" s="415"/>
      <c r="H987" s="210"/>
      <c r="I987" s="423"/>
      <c r="J987" s="156"/>
      <c r="K987" s="423"/>
      <c r="L987" s="156"/>
      <c r="M987" s="423"/>
      <c r="N987" s="156"/>
      <c r="O987" s="415"/>
      <c r="P987" s="210"/>
      <c r="Q987" s="424"/>
      <c r="R987" s="83"/>
      <c r="S987" s="209"/>
      <c r="T987" s="210"/>
      <c r="U987" s="209"/>
      <c r="V987" s="210"/>
      <c r="W987" s="210"/>
      <c r="X987" s="210"/>
      <c r="Y987" s="210"/>
      <c r="Z987" s="210"/>
    </row>
    <row r="988">
      <c r="A988" s="415"/>
      <c r="B988" s="210"/>
      <c r="C988" s="415"/>
      <c r="D988" s="156"/>
      <c r="E988" s="415"/>
      <c r="F988" s="210"/>
      <c r="G988" s="415"/>
      <c r="H988" s="210"/>
      <c r="I988" s="423"/>
      <c r="J988" s="156"/>
      <c r="K988" s="423"/>
      <c r="L988" s="156"/>
      <c r="M988" s="423"/>
      <c r="N988" s="156"/>
      <c r="O988" s="415"/>
      <c r="P988" s="210"/>
      <c r="Q988" s="424"/>
      <c r="R988" s="83"/>
      <c r="S988" s="209"/>
      <c r="T988" s="210"/>
      <c r="U988" s="209"/>
      <c r="V988" s="210"/>
      <c r="W988" s="210"/>
      <c r="X988" s="210"/>
      <c r="Y988" s="210"/>
      <c r="Z988" s="210"/>
    </row>
    <row r="989">
      <c r="A989" s="415"/>
      <c r="B989" s="210"/>
      <c r="C989" s="415"/>
      <c r="D989" s="156"/>
      <c r="E989" s="415"/>
      <c r="F989" s="210"/>
      <c r="G989" s="415"/>
      <c r="H989" s="210"/>
      <c r="I989" s="423"/>
      <c r="J989" s="156"/>
      <c r="K989" s="423"/>
      <c r="L989" s="156"/>
      <c r="M989" s="423"/>
      <c r="N989" s="156"/>
      <c r="O989" s="415"/>
      <c r="P989" s="210"/>
      <c r="Q989" s="424"/>
      <c r="R989" s="83"/>
      <c r="S989" s="209"/>
      <c r="T989" s="210"/>
      <c r="U989" s="209"/>
      <c r="V989" s="210"/>
      <c r="W989" s="210"/>
      <c r="X989" s="210"/>
      <c r="Y989" s="210"/>
      <c r="Z989" s="210"/>
    </row>
    <row r="990">
      <c r="A990" s="415"/>
      <c r="B990" s="210"/>
      <c r="C990" s="415"/>
      <c r="D990" s="156"/>
      <c r="E990" s="415"/>
      <c r="F990" s="210"/>
      <c r="G990" s="415"/>
      <c r="H990" s="210"/>
      <c r="I990" s="423"/>
      <c r="J990" s="156"/>
      <c r="K990" s="423"/>
      <c r="L990" s="156"/>
      <c r="M990" s="423"/>
      <c r="N990" s="156"/>
      <c r="O990" s="415"/>
      <c r="P990" s="210"/>
      <c r="Q990" s="424"/>
      <c r="R990" s="83"/>
      <c r="S990" s="209"/>
      <c r="T990" s="210"/>
      <c r="U990" s="209"/>
      <c r="V990" s="210"/>
      <c r="W990" s="210"/>
      <c r="X990" s="210"/>
      <c r="Y990" s="210"/>
      <c r="Z990" s="210"/>
    </row>
    <row r="991">
      <c r="A991" s="415"/>
      <c r="B991" s="210"/>
      <c r="C991" s="415"/>
      <c r="D991" s="156"/>
      <c r="E991" s="415"/>
      <c r="F991" s="210"/>
      <c r="G991" s="415"/>
      <c r="H991" s="210"/>
      <c r="I991" s="423"/>
      <c r="J991" s="156"/>
      <c r="K991" s="423"/>
      <c r="L991" s="156"/>
      <c r="M991" s="423"/>
      <c r="N991" s="156"/>
      <c r="O991" s="415"/>
      <c r="P991" s="210"/>
      <c r="Q991" s="424"/>
      <c r="R991" s="83"/>
      <c r="S991" s="209"/>
      <c r="T991" s="210"/>
      <c r="U991" s="209"/>
      <c r="V991" s="210"/>
      <c r="W991" s="210"/>
      <c r="X991" s="210"/>
      <c r="Y991" s="210"/>
      <c r="Z991" s="210"/>
    </row>
    <row r="992">
      <c r="A992" s="415"/>
      <c r="B992" s="210"/>
      <c r="C992" s="415"/>
      <c r="D992" s="156"/>
      <c r="E992" s="415"/>
      <c r="F992" s="210"/>
      <c r="G992" s="415"/>
      <c r="H992" s="210"/>
      <c r="I992" s="423"/>
      <c r="J992" s="156"/>
      <c r="K992" s="423"/>
      <c r="L992" s="156"/>
      <c r="M992" s="423"/>
      <c r="N992" s="156"/>
      <c r="O992" s="415"/>
      <c r="P992" s="210"/>
      <c r="Q992" s="424"/>
      <c r="R992" s="83"/>
      <c r="S992" s="209"/>
      <c r="T992" s="210"/>
      <c r="U992" s="209"/>
      <c r="V992" s="210"/>
      <c r="W992" s="210"/>
      <c r="X992" s="210"/>
      <c r="Y992" s="210"/>
      <c r="Z992" s="210"/>
    </row>
    <row r="993">
      <c r="A993" s="415"/>
      <c r="B993" s="210"/>
      <c r="C993" s="415"/>
      <c r="D993" s="156"/>
      <c r="E993" s="415"/>
      <c r="F993" s="210"/>
      <c r="G993" s="415"/>
      <c r="H993" s="210"/>
      <c r="I993" s="423"/>
      <c r="J993" s="156"/>
      <c r="K993" s="423"/>
      <c r="L993" s="156"/>
      <c r="M993" s="423"/>
      <c r="N993" s="156"/>
      <c r="O993" s="415"/>
      <c r="P993" s="210"/>
      <c r="Q993" s="424"/>
      <c r="R993" s="83"/>
      <c r="S993" s="209"/>
      <c r="T993" s="210"/>
      <c r="U993" s="209"/>
      <c r="V993" s="210"/>
      <c r="W993" s="210"/>
      <c r="X993" s="210"/>
      <c r="Y993" s="210"/>
      <c r="Z993" s="210"/>
    </row>
    <row r="994">
      <c r="A994" s="415"/>
      <c r="B994" s="210"/>
      <c r="C994" s="415"/>
      <c r="D994" s="156"/>
      <c r="E994" s="415"/>
      <c r="F994" s="210"/>
      <c r="G994" s="415"/>
      <c r="H994" s="210"/>
      <c r="I994" s="423"/>
      <c r="J994" s="156"/>
      <c r="K994" s="423"/>
      <c r="L994" s="156"/>
      <c r="M994" s="423"/>
      <c r="N994" s="156"/>
      <c r="O994" s="415"/>
      <c r="P994" s="210"/>
      <c r="Q994" s="424"/>
      <c r="R994" s="83"/>
      <c r="S994" s="209"/>
      <c r="T994" s="210"/>
      <c r="U994" s="209"/>
      <c r="V994" s="210"/>
      <c r="W994" s="210"/>
      <c r="X994" s="210"/>
      <c r="Y994" s="210"/>
      <c r="Z994" s="210"/>
    </row>
    <row r="995">
      <c r="A995" s="415"/>
      <c r="B995" s="210"/>
      <c r="C995" s="415"/>
      <c r="D995" s="156"/>
      <c r="E995" s="415"/>
      <c r="F995" s="210"/>
      <c r="G995" s="415"/>
      <c r="H995" s="210"/>
      <c r="I995" s="423"/>
      <c r="J995" s="156"/>
      <c r="K995" s="423"/>
      <c r="L995" s="156"/>
      <c r="M995" s="423"/>
      <c r="N995" s="156"/>
      <c r="O995" s="415"/>
      <c r="P995" s="210"/>
      <c r="Q995" s="424"/>
      <c r="R995" s="83"/>
      <c r="S995" s="209"/>
      <c r="T995" s="210"/>
      <c r="U995" s="209"/>
      <c r="V995" s="210"/>
      <c r="W995" s="210"/>
      <c r="X995" s="210"/>
      <c r="Y995" s="210"/>
      <c r="Z995" s="210"/>
    </row>
    <row r="996">
      <c r="A996" s="415"/>
      <c r="B996" s="210"/>
      <c r="C996" s="415"/>
      <c r="D996" s="156"/>
      <c r="E996" s="415"/>
      <c r="F996" s="210"/>
      <c r="G996" s="415"/>
      <c r="H996" s="210"/>
      <c r="I996" s="423"/>
      <c r="J996" s="156"/>
      <c r="K996" s="423"/>
      <c r="L996" s="156"/>
      <c r="M996" s="423"/>
      <c r="N996" s="156"/>
      <c r="O996" s="415"/>
      <c r="P996" s="210"/>
      <c r="Q996" s="424"/>
      <c r="R996" s="83"/>
      <c r="S996" s="209"/>
      <c r="T996" s="210"/>
      <c r="U996" s="209"/>
      <c r="V996" s="210"/>
      <c r="W996" s="210"/>
      <c r="X996" s="210"/>
      <c r="Y996" s="210"/>
      <c r="Z996" s="210"/>
    </row>
    <row r="997">
      <c r="A997" s="415"/>
      <c r="B997" s="210"/>
      <c r="C997" s="415"/>
      <c r="D997" s="156"/>
      <c r="E997" s="415"/>
      <c r="F997" s="210"/>
      <c r="G997" s="415"/>
      <c r="H997" s="210"/>
      <c r="I997" s="423"/>
      <c r="J997" s="156"/>
      <c r="K997" s="423"/>
      <c r="L997" s="156"/>
      <c r="M997" s="423"/>
      <c r="N997" s="156"/>
      <c r="O997" s="415"/>
      <c r="P997" s="210"/>
      <c r="Q997" s="424"/>
      <c r="R997" s="83"/>
      <c r="S997" s="209"/>
      <c r="T997" s="210"/>
      <c r="U997" s="209"/>
      <c r="V997" s="210"/>
      <c r="W997" s="210"/>
      <c r="X997" s="210"/>
      <c r="Y997" s="210"/>
      <c r="Z997" s="210"/>
    </row>
    <row r="998">
      <c r="A998" s="415"/>
      <c r="B998" s="210"/>
      <c r="C998" s="415"/>
      <c r="D998" s="156"/>
      <c r="E998" s="415"/>
      <c r="F998" s="210"/>
      <c r="G998" s="415"/>
      <c r="H998" s="210"/>
      <c r="I998" s="423"/>
      <c r="J998" s="156"/>
      <c r="K998" s="423"/>
      <c r="L998" s="156"/>
      <c r="M998" s="423"/>
      <c r="N998" s="156"/>
      <c r="O998" s="415"/>
      <c r="P998" s="210"/>
      <c r="Q998" s="424"/>
      <c r="R998" s="83"/>
      <c r="S998" s="209"/>
      <c r="T998" s="210"/>
      <c r="U998" s="209"/>
      <c r="V998" s="210"/>
      <c r="W998" s="210"/>
      <c r="X998" s="210"/>
      <c r="Y998" s="210"/>
      <c r="Z998" s="210"/>
    </row>
    <row r="999">
      <c r="A999" s="415"/>
      <c r="B999" s="210"/>
      <c r="C999" s="415"/>
      <c r="D999" s="156"/>
      <c r="E999" s="415"/>
      <c r="F999" s="210"/>
      <c r="G999" s="415"/>
      <c r="H999" s="210"/>
      <c r="I999" s="423"/>
      <c r="J999" s="156"/>
      <c r="K999" s="423"/>
      <c r="L999" s="156"/>
      <c r="M999" s="423"/>
      <c r="N999" s="156"/>
      <c r="O999" s="415"/>
      <c r="P999" s="210"/>
      <c r="Q999" s="424"/>
      <c r="R999" s="83"/>
      <c r="S999" s="209"/>
      <c r="T999" s="210"/>
      <c r="U999" s="209"/>
      <c r="V999" s="210"/>
      <c r="W999" s="210"/>
      <c r="X999" s="210"/>
      <c r="Y999" s="210"/>
      <c r="Z999" s="210"/>
    </row>
    <row r="1000">
      <c r="A1000" s="415"/>
      <c r="B1000" s="210"/>
      <c r="C1000" s="415"/>
      <c r="D1000" s="156"/>
      <c r="E1000" s="415"/>
      <c r="F1000" s="210"/>
      <c r="G1000" s="415"/>
      <c r="H1000" s="210"/>
      <c r="I1000" s="423"/>
      <c r="J1000" s="156"/>
      <c r="K1000" s="423"/>
      <c r="L1000" s="156"/>
      <c r="M1000" s="423"/>
      <c r="N1000" s="156"/>
      <c r="O1000" s="415"/>
      <c r="P1000" s="210"/>
      <c r="Q1000" s="424"/>
      <c r="R1000" s="83"/>
      <c r="S1000" s="209"/>
      <c r="T1000" s="210"/>
      <c r="U1000" s="209"/>
      <c r="V1000" s="210"/>
      <c r="W1000" s="210"/>
      <c r="X1000" s="210"/>
      <c r="Y1000" s="210"/>
      <c r="Z1000" s="210"/>
    </row>
    <row r="1001">
      <c r="A1001" s="415"/>
      <c r="B1001" s="210"/>
      <c r="C1001" s="415"/>
      <c r="D1001" s="156"/>
      <c r="E1001" s="415"/>
      <c r="F1001" s="210"/>
      <c r="G1001" s="415"/>
      <c r="H1001" s="210"/>
      <c r="I1001" s="423"/>
      <c r="J1001" s="156"/>
      <c r="K1001" s="423"/>
      <c r="L1001" s="156"/>
      <c r="M1001" s="423"/>
      <c r="N1001" s="156"/>
      <c r="O1001" s="415"/>
      <c r="P1001" s="210"/>
      <c r="Q1001" s="424"/>
      <c r="R1001" s="83"/>
      <c r="S1001" s="209"/>
      <c r="T1001" s="210"/>
      <c r="U1001" s="209"/>
      <c r="V1001" s="210"/>
      <c r="W1001" s="210"/>
      <c r="X1001" s="210"/>
      <c r="Y1001" s="210"/>
      <c r="Z1001" s="210"/>
    </row>
    <row r="1002">
      <c r="A1002" s="415"/>
      <c r="B1002" s="210"/>
      <c r="C1002" s="415"/>
      <c r="D1002" s="156"/>
      <c r="E1002" s="415"/>
      <c r="F1002" s="210"/>
      <c r="G1002" s="415"/>
      <c r="H1002" s="210"/>
      <c r="I1002" s="423"/>
      <c r="J1002" s="156"/>
      <c r="K1002" s="423"/>
      <c r="L1002" s="156"/>
      <c r="M1002" s="423"/>
      <c r="N1002" s="156"/>
      <c r="O1002" s="415"/>
      <c r="P1002" s="210"/>
      <c r="Q1002" s="209"/>
      <c r="R1002" s="210"/>
      <c r="S1002" s="209"/>
      <c r="T1002" s="210"/>
      <c r="U1002" s="209"/>
      <c r="V1002" s="210"/>
      <c r="W1002" s="210"/>
      <c r="X1002" s="210"/>
      <c r="Y1002" s="210"/>
      <c r="Z1002" s="210"/>
    </row>
    <row r="1003">
      <c r="A1003" s="415"/>
      <c r="B1003" s="210"/>
      <c r="C1003" s="415"/>
      <c r="D1003" s="156"/>
      <c r="E1003" s="415"/>
      <c r="F1003" s="210"/>
      <c r="G1003" s="415"/>
      <c r="H1003" s="210"/>
      <c r="I1003" s="423"/>
      <c r="J1003" s="156"/>
      <c r="K1003" s="423"/>
      <c r="L1003" s="156"/>
      <c r="M1003" s="423"/>
      <c r="N1003" s="156"/>
      <c r="O1003" s="415"/>
      <c r="P1003" s="210"/>
      <c r="Q1003" s="209"/>
      <c r="R1003" s="210"/>
      <c r="S1003" s="209"/>
      <c r="T1003" s="210"/>
      <c r="U1003" s="209"/>
      <c r="V1003" s="210"/>
      <c r="W1003" s="210"/>
      <c r="X1003" s="210"/>
      <c r="Y1003" s="210"/>
      <c r="Z1003" s="210"/>
    </row>
    <row r="1004">
      <c r="A1004" s="415"/>
      <c r="B1004" s="210"/>
      <c r="C1004" s="415"/>
      <c r="D1004" s="156"/>
      <c r="E1004" s="415"/>
      <c r="F1004" s="210"/>
      <c r="G1004" s="415"/>
      <c r="H1004" s="210"/>
      <c r="I1004" s="423"/>
      <c r="J1004" s="156"/>
      <c r="K1004" s="423"/>
      <c r="L1004" s="156"/>
      <c r="M1004" s="423"/>
      <c r="N1004" s="156"/>
      <c r="O1004" s="415"/>
      <c r="P1004" s="210"/>
      <c r="Q1004" s="209"/>
      <c r="R1004" s="210"/>
      <c r="S1004" s="209"/>
      <c r="T1004" s="210"/>
      <c r="U1004" s="209"/>
      <c r="V1004" s="210"/>
      <c r="W1004" s="210"/>
      <c r="X1004" s="210"/>
      <c r="Y1004" s="210"/>
      <c r="Z1004" s="210"/>
    </row>
    <row r="1005">
      <c r="A1005" s="415"/>
      <c r="B1005" s="210"/>
      <c r="C1005" s="415"/>
      <c r="D1005" s="156"/>
      <c r="E1005" s="415"/>
      <c r="F1005" s="210"/>
      <c r="G1005" s="415"/>
      <c r="H1005" s="210"/>
      <c r="I1005" s="423"/>
      <c r="J1005" s="156"/>
      <c r="K1005" s="423"/>
      <c r="L1005" s="156"/>
      <c r="M1005" s="423"/>
      <c r="N1005" s="156"/>
      <c r="O1005" s="415"/>
      <c r="P1005" s="210"/>
      <c r="Q1005" s="209"/>
      <c r="R1005" s="210"/>
      <c r="S1005" s="209"/>
      <c r="T1005" s="210"/>
      <c r="U1005" s="209"/>
      <c r="V1005" s="210"/>
      <c r="W1005" s="210"/>
      <c r="X1005" s="210"/>
      <c r="Y1005" s="210"/>
      <c r="Z1005" s="210"/>
    </row>
    <row r="1006">
      <c r="A1006" s="415"/>
      <c r="B1006" s="210"/>
      <c r="C1006" s="415"/>
      <c r="D1006" s="156"/>
      <c r="E1006" s="415"/>
      <c r="F1006" s="210"/>
      <c r="G1006" s="415"/>
      <c r="H1006" s="210"/>
      <c r="I1006" s="423"/>
      <c r="J1006" s="156"/>
      <c r="K1006" s="423"/>
      <c r="L1006" s="156"/>
      <c r="M1006" s="423"/>
      <c r="N1006" s="156"/>
      <c r="O1006" s="415"/>
      <c r="P1006" s="210"/>
      <c r="Q1006" s="209"/>
      <c r="R1006" s="210"/>
      <c r="S1006" s="209"/>
      <c r="T1006" s="210"/>
      <c r="U1006" s="209"/>
      <c r="V1006" s="210"/>
      <c r="W1006" s="210"/>
      <c r="X1006" s="210"/>
      <c r="Y1006" s="210"/>
      <c r="Z1006" s="210"/>
    </row>
    <row r="1007">
      <c r="A1007" s="415"/>
      <c r="B1007" s="210"/>
      <c r="C1007" s="415"/>
      <c r="D1007" s="156"/>
      <c r="E1007" s="415"/>
      <c r="F1007" s="210"/>
      <c r="G1007" s="415"/>
      <c r="H1007" s="210"/>
      <c r="I1007" s="423"/>
      <c r="J1007" s="156"/>
      <c r="K1007" s="423"/>
      <c r="L1007" s="156"/>
      <c r="M1007" s="423"/>
      <c r="N1007" s="156"/>
      <c r="O1007" s="415"/>
      <c r="P1007" s="210"/>
      <c r="Q1007" s="209"/>
      <c r="R1007" s="210"/>
      <c r="S1007" s="209"/>
      <c r="T1007" s="210"/>
      <c r="U1007" s="209"/>
      <c r="V1007" s="210"/>
      <c r="W1007" s="210"/>
      <c r="X1007" s="210"/>
      <c r="Y1007" s="210"/>
      <c r="Z1007" s="210"/>
    </row>
    <row r="1008">
      <c r="A1008" s="415"/>
      <c r="B1008" s="210"/>
      <c r="C1008" s="415"/>
      <c r="D1008" s="156"/>
      <c r="E1008" s="415"/>
      <c r="F1008" s="210"/>
      <c r="G1008" s="415"/>
      <c r="H1008" s="210"/>
      <c r="I1008" s="423"/>
      <c r="J1008" s="156"/>
      <c r="K1008" s="423"/>
      <c r="L1008" s="156"/>
      <c r="M1008" s="423"/>
      <c r="N1008" s="156"/>
      <c r="O1008" s="415"/>
      <c r="P1008" s="210"/>
      <c r="Q1008" s="209"/>
      <c r="R1008" s="210"/>
      <c r="S1008" s="209"/>
      <c r="T1008" s="210"/>
      <c r="U1008" s="209"/>
      <c r="V1008" s="210"/>
      <c r="W1008" s="210"/>
      <c r="X1008" s="210"/>
      <c r="Y1008" s="210"/>
      <c r="Z1008" s="210"/>
    </row>
    <row r="1009">
      <c r="A1009" s="415"/>
      <c r="B1009" s="210"/>
      <c r="C1009" s="415"/>
      <c r="D1009" s="156"/>
      <c r="E1009" s="415"/>
      <c r="F1009" s="210"/>
      <c r="G1009" s="415"/>
      <c r="H1009" s="210"/>
      <c r="I1009" s="423"/>
      <c r="J1009" s="156"/>
      <c r="K1009" s="423"/>
      <c r="L1009" s="156"/>
      <c r="M1009" s="423"/>
      <c r="N1009" s="156"/>
      <c r="O1009" s="415"/>
      <c r="P1009" s="210"/>
      <c r="Q1009" s="209"/>
      <c r="R1009" s="210"/>
      <c r="S1009" s="209"/>
      <c r="T1009" s="210"/>
      <c r="U1009" s="209"/>
      <c r="V1009" s="210"/>
      <c r="W1009" s="210"/>
      <c r="X1009" s="210"/>
      <c r="Y1009" s="210"/>
      <c r="Z1009" s="210"/>
    </row>
    <row r="1010">
      <c r="A1010" s="415"/>
      <c r="B1010" s="210"/>
      <c r="C1010" s="415"/>
      <c r="D1010" s="156"/>
      <c r="E1010" s="415"/>
      <c r="F1010" s="210"/>
      <c r="G1010" s="415"/>
      <c r="H1010" s="210"/>
      <c r="I1010" s="423"/>
      <c r="J1010" s="156"/>
      <c r="K1010" s="423"/>
      <c r="L1010" s="156"/>
      <c r="M1010" s="423"/>
      <c r="N1010" s="156"/>
      <c r="O1010" s="415"/>
      <c r="P1010" s="210"/>
      <c r="Q1010" s="209"/>
      <c r="R1010" s="210"/>
      <c r="S1010" s="209"/>
      <c r="T1010" s="210"/>
      <c r="U1010" s="209"/>
      <c r="V1010" s="210"/>
      <c r="W1010" s="210"/>
      <c r="X1010" s="210"/>
      <c r="Y1010" s="210"/>
      <c r="Z1010" s="210"/>
    </row>
    <row r="1011">
      <c r="A1011" s="415"/>
      <c r="B1011" s="210"/>
      <c r="C1011" s="415"/>
      <c r="D1011" s="156"/>
      <c r="E1011" s="415"/>
      <c r="F1011" s="210"/>
      <c r="G1011" s="415"/>
      <c r="H1011" s="210"/>
      <c r="I1011" s="423"/>
      <c r="J1011" s="156"/>
      <c r="K1011" s="423"/>
      <c r="L1011" s="156"/>
      <c r="M1011" s="423"/>
      <c r="N1011" s="156"/>
      <c r="O1011" s="415"/>
      <c r="P1011" s="210"/>
      <c r="Q1011" s="209"/>
      <c r="R1011" s="210"/>
      <c r="S1011" s="209"/>
      <c r="T1011" s="210"/>
      <c r="U1011" s="209"/>
      <c r="V1011" s="210"/>
      <c r="W1011" s="210"/>
      <c r="X1011" s="210"/>
      <c r="Y1011" s="210"/>
      <c r="Z1011" s="210"/>
    </row>
    <row r="1012">
      <c r="A1012" s="415"/>
      <c r="B1012" s="210"/>
      <c r="C1012" s="415"/>
      <c r="D1012" s="156"/>
      <c r="E1012" s="415"/>
      <c r="F1012" s="210"/>
      <c r="G1012" s="415"/>
      <c r="H1012" s="210"/>
      <c r="I1012" s="423"/>
      <c r="J1012" s="156"/>
      <c r="K1012" s="423"/>
      <c r="L1012" s="156"/>
      <c r="M1012" s="423"/>
      <c r="N1012" s="156"/>
      <c r="O1012" s="415"/>
      <c r="P1012" s="210"/>
      <c r="Q1012" s="209"/>
      <c r="R1012" s="210"/>
      <c r="S1012" s="209"/>
      <c r="T1012" s="210"/>
      <c r="U1012" s="209"/>
      <c r="V1012" s="210"/>
      <c r="W1012" s="210"/>
      <c r="X1012" s="210"/>
      <c r="Y1012" s="210"/>
      <c r="Z1012" s="210"/>
    </row>
    <row r="1013">
      <c r="A1013" s="415"/>
      <c r="B1013" s="210"/>
      <c r="C1013" s="415"/>
      <c r="D1013" s="156"/>
      <c r="E1013" s="415"/>
      <c r="F1013" s="210"/>
      <c r="G1013" s="415"/>
      <c r="H1013" s="210"/>
      <c r="I1013" s="423"/>
      <c r="J1013" s="156"/>
      <c r="K1013" s="423"/>
      <c r="L1013" s="156"/>
      <c r="M1013" s="423"/>
      <c r="N1013" s="156"/>
      <c r="O1013" s="415"/>
      <c r="P1013" s="210"/>
      <c r="Q1013" s="209"/>
      <c r="R1013" s="210"/>
      <c r="S1013" s="209"/>
      <c r="T1013" s="210"/>
      <c r="U1013" s="209"/>
      <c r="V1013" s="210"/>
      <c r="W1013" s="210"/>
      <c r="X1013" s="210"/>
      <c r="Y1013" s="210"/>
      <c r="Z1013" s="210"/>
    </row>
  </sheetData>
  <mergeCells count="55">
    <mergeCell ref="O46:P46"/>
    <mergeCell ref="Q46:R46"/>
    <mergeCell ref="S46:T46"/>
    <mergeCell ref="U46:V46"/>
    <mergeCell ref="A46:B46"/>
    <mergeCell ref="C46:D46"/>
    <mergeCell ref="E46:F46"/>
    <mergeCell ref="G46:H46"/>
    <mergeCell ref="I46:J46"/>
    <mergeCell ref="K46:L46"/>
    <mergeCell ref="M46:N46"/>
    <mergeCell ref="O2:P2"/>
    <mergeCell ref="Q2:R2"/>
    <mergeCell ref="S2:T2"/>
    <mergeCell ref="U2:V2"/>
    <mergeCell ref="A2:B2"/>
    <mergeCell ref="C2:D2"/>
    <mergeCell ref="E2:F2"/>
    <mergeCell ref="G2:H2"/>
    <mergeCell ref="I2:J2"/>
    <mergeCell ref="K2:L2"/>
    <mergeCell ref="M2:N2"/>
    <mergeCell ref="O17:P17"/>
    <mergeCell ref="Q17:R17"/>
    <mergeCell ref="S17:T17"/>
    <mergeCell ref="U17:V17"/>
    <mergeCell ref="A17:B17"/>
    <mergeCell ref="C17:D17"/>
    <mergeCell ref="E17:F17"/>
    <mergeCell ref="G17:H17"/>
    <mergeCell ref="I17:J17"/>
    <mergeCell ref="K17:L17"/>
    <mergeCell ref="M17:N17"/>
    <mergeCell ref="O34:P34"/>
    <mergeCell ref="Q34:R34"/>
    <mergeCell ref="S34:T34"/>
    <mergeCell ref="U34:V34"/>
    <mergeCell ref="A34:B34"/>
    <mergeCell ref="C34:D34"/>
    <mergeCell ref="E34:F34"/>
    <mergeCell ref="G34:H34"/>
    <mergeCell ref="I34:J34"/>
    <mergeCell ref="K34:L34"/>
    <mergeCell ref="M34:N34"/>
    <mergeCell ref="O52:P52"/>
    <mergeCell ref="Q52:R52"/>
    <mergeCell ref="S52:T52"/>
    <mergeCell ref="U52:V52"/>
    <mergeCell ref="A52:B52"/>
    <mergeCell ref="C52:D52"/>
    <mergeCell ref="E52:F52"/>
    <mergeCell ref="G52:H52"/>
    <mergeCell ref="I52:J52"/>
    <mergeCell ref="K52:L52"/>
    <mergeCell ref="M52:N5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28.38"/>
    <col customWidth="1" min="3" max="3" width="19.0"/>
    <col customWidth="1" min="4" max="4" width="28.38"/>
    <col customWidth="1" min="5" max="5" width="19.0"/>
    <col customWidth="1" min="6" max="6" width="32.13"/>
    <col customWidth="1" min="7" max="7" width="19.75"/>
    <col customWidth="1" min="8" max="8" width="29.38"/>
    <col customWidth="1" min="9" max="9" width="19.75"/>
    <col customWidth="1" min="10" max="10" width="29.38"/>
    <col customWidth="1" min="11" max="11" width="19.75"/>
    <col customWidth="1" min="12" max="12" width="29.38"/>
    <col customWidth="1" min="13" max="13" width="19.75"/>
    <col customWidth="1" min="14" max="14" width="29.38"/>
    <col customWidth="1" min="15" max="15" width="19.75"/>
    <col customWidth="1" min="16" max="16" width="29.38"/>
    <col customWidth="1" min="17" max="17" width="25.0"/>
    <col customWidth="1" min="18" max="18" width="44.38"/>
    <col customWidth="1" min="19" max="19" width="22.88"/>
    <col customWidth="1" min="20" max="20" width="39.0"/>
    <col customWidth="1" min="21" max="21" width="22.88"/>
    <col customWidth="1" min="22" max="22" width="39.0"/>
    <col customWidth="1" min="23" max="46" width="23.13"/>
  </cols>
  <sheetData>
    <row r="1">
      <c r="A1" s="405" t="s">
        <v>7952</v>
      </c>
      <c r="B1" s="91" t="s">
        <v>7953</v>
      </c>
      <c r="C1" s="407" t="str">
        <f>IFERROR(__xludf.DUMMYFUNCTION("GOOGLETRANSLATE(A1,""zh-tw"",""ja"")"),"設備プロジェクト")</f>
        <v>設備プロジェクト</v>
      </c>
      <c r="D1" s="95" t="str">
        <f>IFERROR(__xludf.DUMMYFUNCTION("GOOGLETRANSLATE(B1,""zh-tw"",""ja"")"),"装備属性")</f>
        <v>装備属性</v>
      </c>
      <c r="E1" s="408" t="s">
        <v>7954</v>
      </c>
      <c r="F1" s="32" t="s">
        <v>7183</v>
      </c>
      <c r="G1" s="407" t="str">
        <f>IFERROR(__xludf.DUMMYFUNCTION("GOOGLETRANSLATE(A1,""zh-tw"",""zh"")"),"装备项目")</f>
        <v>装备项目</v>
      </c>
      <c r="H1" s="95" t="str">
        <f>IFERROR(__xludf.DUMMYFUNCTION("GOOGLETRANSLATE(B1,""zh-tw"",""zh"")"),"装备属性")</f>
        <v>装备属性</v>
      </c>
      <c r="I1" s="406" t="str">
        <f>IFERROR(__xludf.DUMMYFUNCTION("GOOGLETRANSLATE(A1,""zh-tw"",""es-MX"")"),"Proyecto de equipamiento")</f>
        <v>Proyecto de equipamiento</v>
      </c>
      <c r="J1" s="56" t="str">
        <f>IFERROR(__xludf.DUMMYFUNCTION("GOOGLETRANSLATE(B1,""zh-tw"",""es-MX"")"),"Atributos del equipo")</f>
        <v>Atributos del equipo</v>
      </c>
      <c r="K1" s="407" t="str">
        <f>IFERROR(__xludf.DUMMYFUNCTION("GOOGLETRANSLATE(A1,""zh-tw"",""KO"")"),"장비 프로젝트")</f>
        <v>장비 프로젝트</v>
      </c>
      <c r="L1" s="95" t="str">
        <f>IFERROR(__xludf.DUMMYFUNCTION("GOOGLETRANSLATE(B1,""zh-tw"",""KO"")"),"장비 속성")</f>
        <v>장비 속성</v>
      </c>
      <c r="M1" s="407" t="s">
        <v>7955</v>
      </c>
      <c r="N1" s="95" t="s">
        <v>7185</v>
      </c>
      <c r="O1" s="405" t="s">
        <v>7956</v>
      </c>
      <c r="P1" s="91" t="s">
        <v>7957</v>
      </c>
      <c r="Q1" s="425" t="s">
        <v>7958</v>
      </c>
      <c r="R1" s="410" t="s">
        <v>7189</v>
      </c>
      <c r="S1" s="406" t="s">
        <v>7959</v>
      </c>
      <c r="T1" s="56" t="s">
        <v>7191</v>
      </c>
      <c r="U1" s="406"/>
      <c r="V1" s="56"/>
      <c r="W1" s="8"/>
      <c r="X1" s="8"/>
      <c r="Y1" s="8"/>
      <c r="Z1" s="8"/>
      <c r="AA1" s="8"/>
      <c r="AB1" s="8"/>
      <c r="AC1" s="8"/>
      <c r="AD1" s="8"/>
      <c r="AE1" s="8"/>
      <c r="AF1" s="8"/>
      <c r="AG1" s="8"/>
      <c r="AH1" s="8"/>
      <c r="AI1" s="8"/>
      <c r="AJ1" s="8"/>
      <c r="AK1" s="8"/>
      <c r="AL1" s="8"/>
      <c r="AM1" s="8"/>
      <c r="AN1" s="8"/>
      <c r="AO1" s="8"/>
      <c r="AP1" s="8"/>
      <c r="AQ1" s="8"/>
      <c r="AR1" s="8"/>
      <c r="AS1" s="8"/>
      <c r="AT1" s="8"/>
    </row>
    <row r="2">
      <c r="A2" s="172" t="s">
        <v>7192</v>
      </c>
      <c r="C2" s="172" t="s">
        <v>7193</v>
      </c>
      <c r="E2" s="172" t="s">
        <v>7194</v>
      </c>
      <c r="G2" s="172" t="s">
        <v>7195</v>
      </c>
      <c r="I2" s="172"/>
      <c r="K2" s="172"/>
      <c r="M2" s="172" t="s">
        <v>7196</v>
      </c>
      <c r="O2" s="172"/>
      <c r="Q2" s="175" t="s">
        <v>7197</v>
      </c>
      <c r="S2" s="172" t="s">
        <v>7198</v>
      </c>
      <c r="U2" s="172"/>
      <c r="W2" s="210"/>
      <c r="X2" s="210"/>
      <c r="Y2" s="210"/>
      <c r="Z2" s="210"/>
      <c r="AA2" s="8"/>
      <c r="AB2" s="8"/>
      <c r="AC2" s="8"/>
      <c r="AD2" s="8"/>
      <c r="AE2" s="8"/>
      <c r="AF2" s="8"/>
      <c r="AG2" s="8"/>
      <c r="AH2" s="8"/>
      <c r="AI2" s="8"/>
      <c r="AJ2" s="8"/>
      <c r="AK2" s="8"/>
      <c r="AL2" s="8"/>
      <c r="AM2" s="8"/>
      <c r="AN2" s="8"/>
      <c r="AO2" s="8"/>
      <c r="AP2" s="8"/>
      <c r="AQ2" s="8"/>
      <c r="AR2" s="8"/>
      <c r="AS2" s="8"/>
      <c r="AT2" s="8"/>
    </row>
    <row r="3">
      <c r="A3" s="412" t="s">
        <v>7960</v>
      </c>
      <c r="B3" s="426" t="s">
        <v>7961</v>
      </c>
      <c r="C3" s="411" t="s">
        <v>7962</v>
      </c>
      <c r="D3" s="177" t="s">
        <v>7963</v>
      </c>
      <c r="E3" s="411" t="s">
        <v>7964</v>
      </c>
      <c r="F3" s="177" t="s">
        <v>7965</v>
      </c>
      <c r="G3" s="415" t="str">
        <f>IFERROR(__xludf.DUMMYFUNCTION("GOOGLETRANSLATE(A3,""zh-tw"",""zh"")"),"雨天娃娃")</f>
        <v>雨天娃娃</v>
      </c>
      <c r="H3" s="210" t="str">
        <f>IFERROR(__xludf.DUMMYFUNCTION("GOOGLETRANSLATE(B3,""zh-tw"",""zh"")"),"魔抗：10
幸运：10
第二天雨天(消耗品)")</f>
        <v>魔抗：10
幸运：10
第二天雨天(消耗品)</v>
      </c>
      <c r="I3" s="411" t="s">
        <v>7964</v>
      </c>
      <c r="J3" s="210" t="str">
        <f>IFERROR(__xludf.DUMMYFUNCTION("GOOGLETRANSLATE(B3,""zh-tw"",""es-MX"")"),"Resistencia mágica: 10
Suerte: 10
Día 2: Lluvioso (Consumible)")</f>
        <v>Resistencia mágica: 10
Suerte: 10
Día 2: Lluvioso (Consumible)</v>
      </c>
      <c r="K3" s="411" t="s">
        <v>7966</v>
      </c>
      <c r="L3" s="177" t="s">
        <v>7967</v>
      </c>
      <c r="M3" s="415" t="s">
        <v>7968</v>
      </c>
      <c r="N3" s="177" t="s">
        <v>7969</v>
      </c>
      <c r="O3" s="412" t="s">
        <v>7970</v>
      </c>
      <c r="P3" s="214" t="s">
        <v>7971</v>
      </c>
      <c r="Q3" s="427" t="s">
        <v>7972</v>
      </c>
      <c r="R3" s="418" t="s">
        <v>7973</v>
      </c>
      <c r="S3" s="415" t="s">
        <v>7974</v>
      </c>
      <c r="T3" s="210" t="s">
        <v>7975</v>
      </c>
      <c r="U3" s="415"/>
      <c r="V3" s="210"/>
      <c r="W3" s="8"/>
      <c r="X3" s="8"/>
      <c r="Y3" s="8"/>
      <c r="Z3" s="8"/>
      <c r="AA3" s="8"/>
      <c r="AB3" s="8"/>
      <c r="AC3" s="8"/>
      <c r="AD3" s="8"/>
      <c r="AE3" s="8"/>
      <c r="AF3" s="8"/>
      <c r="AG3" s="8"/>
      <c r="AH3" s="8"/>
      <c r="AI3" s="8"/>
      <c r="AJ3" s="8"/>
      <c r="AK3" s="8"/>
      <c r="AL3" s="8"/>
      <c r="AM3" s="8"/>
      <c r="AN3" s="8"/>
      <c r="AO3" s="8"/>
      <c r="AP3" s="8"/>
      <c r="AQ3" s="8"/>
      <c r="AR3" s="8"/>
      <c r="AS3" s="8"/>
      <c r="AT3" s="8"/>
    </row>
    <row r="4">
      <c r="A4" s="411" t="s">
        <v>7976</v>
      </c>
      <c r="B4" s="426" t="s">
        <v>7977</v>
      </c>
      <c r="C4" s="411" t="s">
        <v>7978</v>
      </c>
      <c r="D4" s="177" t="s">
        <v>7979</v>
      </c>
      <c r="E4" s="411" t="s">
        <v>7980</v>
      </c>
      <c r="F4" s="177" t="s">
        <v>7981</v>
      </c>
      <c r="G4" s="415" t="str">
        <f>IFERROR(__xludf.DUMMYFUNCTION("GOOGLETRANSLATE(A4,""zh-tw"",""zh"")"),"炎天娃娃")</f>
        <v>炎天娃娃</v>
      </c>
      <c r="H4" s="210" t="str">
        <f>IFERROR(__xludf.DUMMYFUNCTION("GOOGLETRANSLATE(B4,""zh-tw"",""zh"")"),"魔抗：10
幸运：10
第二天炎热(消耗品)")</f>
        <v>魔抗：10
幸运：10
第二天炎热(消耗品)</v>
      </c>
      <c r="I4" s="411" t="s">
        <v>7980</v>
      </c>
      <c r="J4" s="210" t="str">
        <f>IFERROR(__xludf.DUMMYFUNCTION("GOOGLETRANSLATE(B4,""zh-tw"",""es-MX"")"),"Resistencia mágica: 10
Suerte: 10
Día 2: Calor (Consumible)")</f>
        <v>Resistencia mágica: 10
Suerte: 10
Día 2: Calor (Consumible)</v>
      </c>
      <c r="K4" s="415" t="str">
        <f>IFERROR(__xludf.DUMMYFUNCTION("GOOGLETRANSLATE(A4,""zh-tw"",""KO"")"),"불꽃 인형")</f>
        <v>불꽃 인형</v>
      </c>
      <c r="L4" s="210" t="str">
        <f>IFERROR(__xludf.DUMMYFUNCTION("GOOGLETRANSLATE(B4,""zh-tw"",""KO"")"),"마법 저항력: 10
행운: 10
2일차: 열기 (소모품)")</f>
        <v>마법 저항력: 10
행운: 10
2일차: 열기 (소모품)</v>
      </c>
      <c r="M4" s="415" t="s">
        <v>7982</v>
      </c>
      <c r="N4" s="177" t="s">
        <v>7983</v>
      </c>
      <c r="O4" s="412" t="s">
        <v>7984</v>
      </c>
      <c r="P4" s="214" t="s">
        <v>7985</v>
      </c>
      <c r="Q4" s="427" t="s">
        <v>7986</v>
      </c>
      <c r="R4" s="414" t="s">
        <v>7987</v>
      </c>
      <c r="S4" s="415" t="s">
        <v>7988</v>
      </c>
      <c r="T4" s="210" t="s">
        <v>7989</v>
      </c>
      <c r="U4" s="415"/>
      <c r="V4" s="210"/>
      <c r="W4" s="8"/>
      <c r="X4" s="8"/>
      <c r="Y4" s="8"/>
      <c r="Z4" s="8"/>
      <c r="AA4" s="8"/>
      <c r="AB4" s="8"/>
      <c r="AC4" s="8"/>
      <c r="AD4" s="8"/>
      <c r="AE4" s="8"/>
      <c r="AF4" s="8"/>
      <c r="AG4" s="8"/>
      <c r="AH4" s="8"/>
      <c r="AI4" s="8"/>
      <c r="AJ4" s="8"/>
      <c r="AK4" s="8"/>
      <c r="AL4" s="8"/>
      <c r="AM4" s="8"/>
      <c r="AN4" s="8"/>
      <c r="AO4" s="8"/>
      <c r="AP4" s="8"/>
      <c r="AQ4" s="8"/>
      <c r="AR4" s="8"/>
      <c r="AS4" s="8"/>
      <c r="AT4" s="8"/>
    </row>
    <row r="5">
      <c r="A5" s="412" t="s">
        <v>7990</v>
      </c>
      <c r="B5" s="426" t="s">
        <v>7991</v>
      </c>
      <c r="C5" s="411" t="s">
        <v>7992</v>
      </c>
      <c r="D5" s="177" t="s">
        <v>7993</v>
      </c>
      <c r="E5" s="411" t="s">
        <v>7994</v>
      </c>
      <c r="F5" s="177" t="s">
        <v>7995</v>
      </c>
      <c r="G5" s="415" t="str">
        <f>IFERROR(__xludf.DUMMYFUNCTION("GOOGLETRANSLATE(A5,""zh-tw"",""zh"")"),"阴天娃娃")</f>
        <v>阴天娃娃</v>
      </c>
      <c r="H5" s="210" t="str">
        <f>IFERROR(__xludf.DUMMYFUNCTION("GOOGLETRANSLATE(B5,""zh-tw"",""zh"")"),"魔抗：10
幸运：10
第二天阴天(消耗品)")</f>
        <v>魔抗：10
幸运：10
第二天阴天(消耗品)</v>
      </c>
      <c r="I5" s="411" t="s">
        <v>7994</v>
      </c>
      <c r="J5" s="210" t="str">
        <f>IFERROR(__xludf.DUMMYFUNCTION("GOOGLETRANSLATE(B5,""zh-tw"",""es-MX"")"),"Resistencia mágica: 10
Suerte: 10
Día 2: Nublado (Consumible)")</f>
        <v>Resistencia mágica: 10
Suerte: 10
Día 2: Nublado (Consumible)</v>
      </c>
      <c r="K5" s="412" t="s">
        <v>7996</v>
      </c>
      <c r="L5" s="177" t="s">
        <v>7997</v>
      </c>
      <c r="M5" s="415" t="s">
        <v>7998</v>
      </c>
      <c r="N5" s="177" t="s">
        <v>7999</v>
      </c>
      <c r="O5" s="412" t="s">
        <v>8000</v>
      </c>
      <c r="P5" s="214" t="s">
        <v>8001</v>
      </c>
      <c r="Q5" s="427" t="s">
        <v>8002</v>
      </c>
      <c r="R5" s="414" t="s">
        <v>8003</v>
      </c>
      <c r="S5" s="415" t="s">
        <v>8004</v>
      </c>
      <c r="T5" s="210" t="s">
        <v>8005</v>
      </c>
      <c r="U5" s="415"/>
      <c r="V5" s="210"/>
      <c r="W5" s="8"/>
      <c r="X5" s="8"/>
      <c r="Y5" s="8"/>
      <c r="Z5" s="8"/>
      <c r="AA5" s="8"/>
      <c r="AB5" s="8"/>
      <c r="AC5" s="8"/>
      <c r="AD5" s="8"/>
      <c r="AE5" s="8"/>
      <c r="AF5" s="8"/>
      <c r="AG5" s="8"/>
      <c r="AH5" s="8"/>
      <c r="AI5" s="8"/>
      <c r="AJ5" s="8"/>
      <c r="AK5" s="8"/>
      <c r="AL5" s="8"/>
      <c r="AM5" s="8"/>
      <c r="AN5" s="8"/>
      <c r="AO5" s="8"/>
      <c r="AP5" s="8"/>
      <c r="AQ5" s="8"/>
      <c r="AR5" s="8"/>
      <c r="AS5" s="8"/>
      <c r="AT5" s="8"/>
    </row>
    <row r="6">
      <c r="A6" s="412" t="s">
        <v>8006</v>
      </c>
      <c r="B6" s="426" t="s">
        <v>8007</v>
      </c>
      <c r="C6" s="411" t="s">
        <v>8008</v>
      </c>
      <c r="D6" s="177" t="s">
        <v>8009</v>
      </c>
      <c r="E6" s="411" t="s">
        <v>8010</v>
      </c>
      <c r="F6" s="177" t="s">
        <v>8011</v>
      </c>
      <c r="G6" s="415" t="str">
        <f>IFERROR(__xludf.DUMMYFUNCTION("GOOGLETRANSLATE(A6,""zh-tw"",""zh"")"),"晴天娃娃")</f>
        <v>晴天娃娃</v>
      </c>
      <c r="H6" s="210" t="str">
        <f>IFERROR(__xludf.DUMMYFUNCTION("GOOGLETRANSLATE(B6,""zh-tw"",""zh"")"),"魔抗：10
幸运：10
第二天晴天(消耗品)")</f>
        <v>魔抗：10
幸运：10
第二天晴天(消耗品)</v>
      </c>
      <c r="I6" s="411" t="s">
        <v>8010</v>
      </c>
      <c r="J6" s="210" t="str">
        <f>IFERROR(__xludf.DUMMYFUNCTION("GOOGLETRANSLATE(B6,""zh-tw"",""es-MX"")"),"Resistencia mágica: 10
Suerte: 10
Día soleado 2 (Consumible)")</f>
        <v>Resistencia mágica: 10
Suerte: 10
Día soleado 2 (Consumible)</v>
      </c>
      <c r="K6" s="411" t="s">
        <v>8012</v>
      </c>
      <c r="L6" s="177" t="s">
        <v>8013</v>
      </c>
      <c r="M6" s="415" t="s">
        <v>8014</v>
      </c>
      <c r="N6" s="177" t="s">
        <v>8015</v>
      </c>
      <c r="O6" s="412" t="s">
        <v>8016</v>
      </c>
      <c r="P6" s="214" t="s">
        <v>8017</v>
      </c>
      <c r="Q6" s="427" t="s">
        <v>8018</v>
      </c>
      <c r="R6" s="414" t="s">
        <v>8019</v>
      </c>
      <c r="S6" s="415" t="s">
        <v>8020</v>
      </c>
      <c r="T6" s="210" t="s">
        <v>8021</v>
      </c>
      <c r="U6" s="415"/>
      <c r="V6" s="210"/>
      <c r="W6" s="8"/>
      <c r="X6" s="8"/>
      <c r="Y6" s="8"/>
      <c r="Z6" s="8"/>
      <c r="AA6" s="8"/>
      <c r="AB6" s="8"/>
      <c r="AC6" s="8"/>
      <c r="AD6" s="8"/>
      <c r="AE6" s="8"/>
      <c r="AF6" s="8"/>
      <c r="AG6" s="8"/>
      <c r="AH6" s="8"/>
      <c r="AI6" s="8"/>
      <c r="AJ6" s="8"/>
      <c r="AK6" s="8"/>
      <c r="AL6" s="8"/>
      <c r="AM6" s="8"/>
      <c r="AN6" s="8"/>
      <c r="AO6" s="8"/>
      <c r="AP6" s="8"/>
      <c r="AQ6" s="8"/>
      <c r="AR6" s="8"/>
      <c r="AS6" s="8"/>
      <c r="AT6" s="8"/>
    </row>
    <row r="7">
      <c r="A7" s="412" t="s">
        <v>8022</v>
      </c>
      <c r="B7" s="214" t="s">
        <v>8023</v>
      </c>
      <c r="C7" s="411" t="s">
        <v>8024</v>
      </c>
      <c r="D7" s="177" t="s">
        <v>8025</v>
      </c>
      <c r="E7" s="411" t="s">
        <v>8026</v>
      </c>
      <c r="F7" s="177" t="s">
        <v>8027</v>
      </c>
      <c r="G7" s="415" t="str">
        <f>IFERROR(__xludf.DUMMYFUNCTION("GOOGLETRANSLATE(A7,""zh-tw"",""zh"")"),"厕纸")</f>
        <v>厕纸</v>
      </c>
      <c r="H7" s="210" t="str">
        <f>IFERROR(__xludf.DUMMYFUNCTION("GOOGLETRANSLATE(B7,""zh-tw"",""zh"")"),"物防：1
降低出血伤害")</f>
        <v>物防：1
降低出血伤害</v>
      </c>
      <c r="I7" s="415" t="str">
        <f>IFERROR(__xludf.DUMMYFUNCTION("GOOGLETRANSLATE(A7,""zh-tw"",""es-MX"")"),"papel higiénico")</f>
        <v>papel higiénico</v>
      </c>
      <c r="J7" s="210" t="str">
        <f>IFERROR(__xludf.DUMMYFUNCTION("GOOGLETRANSLATE(B7,""zh-tw"",""es-MX"")"),"Defensa física: 1. Reduce el daño por sangrado.")</f>
        <v>Defensa física: 1. Reduce el daño por sangrado.</v>
      </c>
      <c r="K7" s="415" t="str">
        <f>IFERROR(__xludf.DUMMYFUNCTION("GOOGLETRANSLATE(A7,""zh-tw"",""KO"")"),"휴지")</f>
        <v>휴지</v>
      </c>
      <c r="L7" s="177" t="s">
        <v>8028</v>
      </c>
      <c r="M7" s="415" t="s">
        <v>8029</v>
      </c>
      <c r="N7" s="210" t="s">
        <v>8030</v>
      </c>
      <c r="O7" s="412" t="s">
        <v>8031</v>
      </c>
      <c r="P7" s="214" t="s">
        <v>8032</v>
      </c>
      <c r="Q7" s="428" t="s">
        <v>8033</v>
      </c>
      <c r="R7" s="418" t="s">
        <v>8034</v>
      </c>
      <c r="S7" s="415" t="s">
        <v>8035</v>
      </c>
      <c r="T7" s="210" t="s">
        <v>8036</v>
      </c>
      <c r="U7" s="415"/>
      <c r="V7" s="210"/>
      <c r="W7" s="8"/>
      <c r="X7" s="8"/>
      <c r="Y7" s="8"/>
      <c r="Z7" s="8"/>
      <c r="AA7" s="8"/>
      <c r="AB7" s="8"/>
      <c r="AC7" s="8"/>
      <c r="AD7" s="8"/>
      <c r="AE7" s="8"/>
      <c r="AF7" s="8"/>
      <c r="AG7" s="8"/>
      <c r="AH7" s="8"/>
      <c r="AI7" s="8"/>
      <c r="AJ7" s="8"/>
      <c r="AK7" s="8"/>
      <c r="AL7" s="8"/>
      <c r="AM7" s="8"/>
      <c r="AN7" s="8"/>
      <c r="AO7" s="8"/>
      <c r="AP7" s="8"/>
      <c r="AQ7" s="8"/>
      <c r="AR7" s="8"/>
      <c r="AS7" s="8"/>
      <c r="AT7" s="8"/>
    </row>
    <row r="8">
      <c r="A8" s="411" t="s">
        <v>8037</v>
      </c>
      <c r="B8" s="177" t="s">
        <v>8038</v>
      </c>
      <c r="C8" s="411" t="s">
        <v>8037</v>
      </c>
      <c r="D8" s="177" t="s">
        <v>8039</v>
      </c>
      <c r="E8" s="411" t="s">
        <v>8040</v>
      </c>
      <c r="F8" s="177" t="s">
        <v>8041</v>
      </c>
      <c r="G8" s="415" t="str">
        <f>IFERROR(__xludf.DUMMYFUNCTION("GOOGLETRANSLATE(A8,""zh-tw"",""zh"")"),"芳草心")</f>
        <v>芳草心</v>
      </c>
      <c r="H8" s="210" t="str">
        <f>IFERROR(__xludf.DUMMYFUNCTION("GOOGLETRANSLATE(B8,""zh-tw"",""zh"")"),"物防：1
魔抗：10
幸运：5
提升最大体力")</f>
        <v>物防：1
魔抗：10
幸运：5
提升最大体力</v>
      </c>
      <c r="I8" s="415" t="str">
        <f>IFERROR(__xludf.DUMMYFUNCTION("GOOGLETRANSLATE(A8,""zh-tw"",""es-MX"")"),"Corazón de hierba fragante")</f>
        <v>Corazón de hierba fragante</v>
      </c>
      <c r="J8" s="210" t="str">
        <f>IFERROR(__xludf.DUMMYFUNCTION("GOOGLETRANSLATE(B8,""zh-tw"",""es-MX"")"),"Defensa física: 1
Resistencia mágica: 10
Suerte: 5
Aumenta los puntos de vida máximos")</f>
        <v>Defensa física: 1
Resistencia mágica: 10
Suerte: 5
Aumenta los puntos de vida máximos</v>
      </c>
      <c r="K8" s="411" t="s">
        <v>8042</v>
      </c>
      <c r="L8" s="177" t="s">
        <v>8043</v>
      </c>
      <c r="M8" s="415" t="s">
        <v>8044</v>
      </c>
      <c r="N8" s="210" t="s">
        <v>8045</v>
      </c>
      <c r="O8" s="412" t="s">
        <v>8046</v>
      </c>
      <c r="P8" s="214" t="s">
        <v>8047</v>
      </c>
      <c r="Q8" s="428" t="s">
        <v>8048</v>
      </c>
      <c r="R8" s="414" t="s">
        <v>8049</v>
      </c>
      <c r="S8" s="415" t="s">
        <v>8050</v>
      </c>
      <c r="T8" s="210" t="s">
        <v>8051</v>
      </c>
      <c r="U8" s="415"/>
      <c r="V8" s="210"/>
      <c r="W8" s="8"/>
      <c r="X8" s="8"/>
      <c r="Y8" s="8"/>
      <c r="Z8" s="8"/>
      <c r="AA8" s="8"/>
      <c r="AB8" s="8"/>
      <c r="AC8" s="8"/>
      <c r="AD8" s="8"/>
      <c r="AE8" s="8"/>
      <c r="AF8" s="8"/>
      <c r="AG8" s="8"/>
      <c r="AH8" s="8"/>
      <c r="AI8" s="8"/>
      <c r="AJ8" s="8"/>
      <c r="AK8" s="8"/>
      <c r="AL8" s="8"/>
      <c r="AM8" s="8"/>
      <c r="AN8" s="8"/>
      <c r="AO8" s="8"/>
      <c r="AP8" s="8"/>
      <c r="AQ8" s="8"/>
      <c r="AR8" s="8"/>
      <c r="AS8" s="8"/>
      <c r="AT8" s="8"/>
    </row>
    <row r="9">
      <c r="A9" s="411" t="s">
        <v>8052</v>
      </c>
      <c r="B9" s="177" t="s">
        <v>8053</v>
      </c>
      <c r="C9" s="411" t="s">
        <v>8054</v>
      </c>
      <c r="D9" s="177" t="s">
        <v>8055</v>
      </c>
      <c r="E9" s="411" t="s">
        <v>8056</v>
      </c>
      <c r="F9" s="177" t="s">
        <v>8057</v>
      </c>
      <c r="G9" s="415" t="str">
        <f>IFERROR(__xludf.DUMMYFUNCTION("GOOGLETRANSLATE(A9,""zh-tw"",""zh"")"),"绿龟壳")</f>
        <v>绿龟壳</v>
      </c>
      <c r="H9" s="210" t="str">
        <f>IFERROR(__xludf.DUMMYFUNCTION("GOOGLETRANSLATE(B9,""zh-tw"",""zh"")"),"物防：20
魔抗：60
增加游泳移速、降低陆地移速")</f>
        <v>物防：20
魔抗：60
增加游泳移速、降低陆地移速</v>
      </c>
      <c r="I9" s="415" t="str">
        <f>IFERROR(__xludf.DUMMYFUNCTION("GOOGLETRANSLATE(A9,""zh-tw"",""es-MX"")"),"caparazón de tortuga verde")</f>
        <v>caparazón de tortuga verde</v>
      </c>
      <c r="J9" s="210" t="str">
        <f>IFERROR(__xludf.DUMMYFUNCTION("GOOGLETRANSLATE(B9,""zh-tw"",""es-MX"")"),"Defensa física: 20
Resistencia mágica: 60
Aumenta la velocidad de natación, reduce la velocidad de movimiento terrestre")</f>
        <v>Defensa física: 20
Resistencia mágica: 60
Aumenta la velocidad de natación, reduce la velocidad de movimiento terrestre</v>
      </c>
      <c r="K9" s="415" t="str">
        <f>IFERROR(__xludf.DUMMYFUNCTION("GOOGLETRANSLATE(A9,""zh-tw"",""KO"")"),"푸른바다거북 등껍질")</f>
        <v>푸른바다거북 등껍질</v>
      </c>
      <c r="L9" s="210" t="str">
        <f>IFERROR(__xludf.DUMMYFUNCTION("GOOGLETRANSLATE(B9,""zh-tw"",""KO"")"),"물리 방어력: 20
마법 저항력: 60
수영 속도 증가, 지상 이동 속도 감소")</f>
        <v>물리 방어력: 20
마법 저항력: 60
수영 속도 증가, 지상 이동 속도 감소</v>
      </c>
      <c r="M9" s="415" t="s">
        <v>8058</v>
      </c>
      <c r="N9" s="210" t="s">
        <v>8059</v>
      </c>
      <c r="O9" s="429" t="str">
        <f>IFERROR(__xludf.DUMMYFUNCTION("GOOGLETRANSLATE(A9,""zh-tw"",""de"")"),"Grüner Schildkrötenpanzer")</f>
        <v>Grüner Schildkrötenpanzer</v>
      </c>
      <c r="P9" s="430" t="str">
        <f>IFERROR(__xludf.DUMMYFUNCTION("GOOGLETRANSLATE(B9,""zh-tw"",""de"")"),"Physische Verteidigung: 20
Magieresistenz: 60
Erhöht die Schwimmgeschwindigkeit, verringert die Bewegungsgeschwindigkeit an Land.")</f>
        <v>Physische Verteidigung: 20
Magieresistenz: 60
Erhöht die Schwimmgeschwindigkeit, verringert die Bewegungsgeschwindigkeit an Land.</v>
      </c>
      <c r="Q9" s="428" t="s">
        <v>8060</v>
      </c>
      <c r="R9" s="414" t="s">
        <v>8061</v>
      </c>
      <c r="S9" s="415" t="s">
        <v>8062</v>
      </c>
      <c r="T9" s="210" t="s">
        <v>8063</v>
      </c>
      <c r="U9" s="415"/>
      <c r="V9" s="210"/>
      <c r="W9" s="8"/>
      <c r="X9" s="8"/>
      <c r="Y9" s="8"/>
      <c r="Z9" s="8"/>
      <c r="AA9" s="8"/>
      <c r="AB9" s="8"/>
      <c r="AC9" s="8"/>
      <c r="AD9" s="8"/>
      <c r="AE9" s="8"/>
      <c r="AF9" s="8"/>
      <c r="AG9" s="8"/>
      <c r="AH9" s="8"/>
      <c r="AI9" s="8"/>
      <c r="AJ9" s="8"/>
      <c r="AK9" s="8"/>
      <c r="AL9" s="8"/>
      <c r="AM9" s="8"/>
      <c r="AN9" s="8"/>
      <c r="AO9" s="8"/>
      <c r="AP9" s="8"/>
      <c r="AQ9" s="8"/>
      <c r="AR9" s="8"/>
      <c r="AS9" s="8"/>
      <c r="AT9" s="8"/>
    </row>
    <row r="10">
      <c r="A10" s="411" t="s">
        <v>8064</v>
      </c>
      <c r="B10" s="177" t="s">
        <v>8065</v>
      </c>
      <c r="C10" s="411" t="s">
        <v>8066</v>
      </c>
      <c r="D10" s="177" t="s">
        <v>8067</v>
      </c>
      <c r="E10" s="411" t="s">
        <v>8068</v>
      </c>
      <c r="F10" s="177" t="s">
        <v>8069</v>
      </c>
      <c r="G10" s="415" t="str">
        <f>IFERROR(__xludf.DUMMYFUNCTION("GOOGLETRANSLATE(A10,""zh-tw"",""zh"")"),"猎人服")</f>
        <v>猎人服</v>
      </c>
      <c r="H10" s="210" t="str">
        <f>IFERROR(__xludf.DUMMYFUNCTION("GOOGLETRANSLATE(B10,""zh-tw"",""zh"")"),"物防：3
魔抗：10
站在草地上回复体力")</f>
        <v>物防：3
魔抗：10
站在草地上回复体力</v>
      </c>
      <c r="I10" s="415" t="str">
        <f>IFERROR(__xludf.DUMMYFUNCTION("GOOGLETRANSLATE(A10,""zh-tw"",""es-MX"")"),"El atuendo de Hunter")</f>
        <v>El atuendo de Hunter</v>
      </c>
      <c r="J10" s="210" t="str">
        <f>IFERROR(__xludf.DUMMYFUNCTION("GOOGLETRANSLATE(B10,""zh-tw"",""es-MX"")"),"Defensa física: 3
Resistencia mágica: 10
Recupera resistencia al estar de pie sobre la hierba")</f>
        <v>Defensa física: 3
Resistencia mágica: 10
Recupera resistencia al estar de pie sobre la hierba</v>
      </c>
      <c r="K10" s="415" t="str">
        <f>IFERROR(__xludf.DUMMYFUNCTION("GOOGLETRANSLATE(A10,""zh-tw"",""KO"")"),"사냥꾼의 복장")</f>
        <v>사냥꾼의 복장</v>
      </c>
      <c r="L10" s="210" t="str">
        <f>IFERROR(__xludf.DUMMYFUNCTION("GOOGLETRANSLATE(B10,""zh-tw"",""KO"")"),"물리 방어력: 3
마법 저항력: 10
풀밭에 서 있으면 스태미나를 회복합니다.")</f>
        <v>물리 방어력: 3
마법 저항력: 10
풀밭에 서 있으면 스태미나를 회복합니다.</v>
      </c>
      <c r="M10" s="415" t="s">
        <v>8070</v>
      </c>
      <c r="N10" s="210" t="s">
        <v>8071</v>
      </c>
      <c r="O10" s="429" t="str">
        <f>IFERROR(__xludf.DUMMYFUNCTION("GOOGLETRANSLATE(A10,""zh-tw"",""de"")"),"Jägers Outfit")</f>
        <v>Jägers Outfit</v>
      </c>
      <c r="P10" s="430" t="str">
        <f>IFERROR(__xludf.DUMMYFUNCTION("GOOGLETRANSLATE(B10,""zh-tw"",""de"")"),"Physische Verteidigung: 3
Magieresistenz: 10
Regeneriert Ausdauer, solange man auf Gras steht")</f>
        <v>Physische Verteidigung: 3
Magieresistenz: 10
Regeneriert Ausdauer, solange man auf Gras steht</v>
      </c>
      <c r="Q10" s="428" t="s">
        <v>8072</v>
      </c>
      <c r="R10" s="414" t="s">
        <v>8073</v>
      </c>
      <c r="S10" s="415" t="s">
        <v>8074</v>
      </c>
      <c r="T10" s="210" t="s">
        <v>8075</v>
      </c>
      <c r="U10" s="415"/>
      <c r="V10" s="210"/>
      <c r="W10" s="8"/>
      <c r="X10" s="8"/>
      <c r="Y10" s="8"/>
      <c r="Z10" s="8"/>
      <c r="AA10" s="8"/>
      <c r="AB10" s="8"/>
      <c r="AC10" s="8"/>
      <c r="AD10" s="8"/>
      <c r="AE10" s="8"/>
      <c r="AF10" s="8"/>
      <c r="AG10" s="8"/>
      <c r="AH10" s="8"/>
      <c r="AI10" s="8"/>
      <c r="AJ10" s="8"/>
      <c r="AK10" s="8"/>
      <c r="AL10" s="8"/>
      <c r="AM10" s="8"/>
      <c r="AN10" s="8"/>
      <c r="AO10" s="8"/>
      <c r="AP10" s="8"/>
      <c r="AQ10" s="8"/>
      <c r="AR10" s="8"/>
      <c r="AS10" s="8"/>
      <c r="AT10" s="8"/>
    </row>
    <row r="11">
      <c r="A11" s="411" t="s">
        <v>8076</v>
      </c>
      <c r="B11" s="177" t="s">
        <v>8077</v>
      </c>
      <c r="C11" s="411" t="s">
        <v>8078</v>
      </c>
      <c r="D11" s="177" t="s">
        <v>8079</v>
      </c>
      <c r="E11" s="411" t="s">
        <v>8080</v>
      </c>
      <c r="F11" s="177" t="s">
        <v>8081</v>
      </c>
      <c r="G11" s="415" t="str">
        <f>IFERROR(__xludf.DUMMYFUNCTION("GOOGLETRANSLATE(A11,""zh-tw"",""zh"")"),"猎人腰带")</f>
        <v>猎人腰带</v>
      </c>
      <c r="H11" s="210" t="str">
        <f>IFERROR(__xludf.DUMMYFUNCTION("GOOGLETRANSLATE(B11,""zh-tw"",""zh"")"),"物防：1
小幅提升：体力上限、移动速度、装备携带数量")</f>
        <v>物防：1
小幅提升：体力上限、移动速度、装备携带数量</v>
      </c>
      <c r="I11" s="415" t="str">
        <f>IFERROR(__xludf.DUMMYFUNCTION("GOOGLETRANSLATE(A11,""zh-tw"",""es-MX"")"),"Cinturón de cazador")</f>
        <v>Cinturón de cazador</v>
      </c>
      <c r="J11" s="210" t="str">
        <f>IFERROR(__xludf.DUMMYFUNCTION("GOOGLETRANSLATE(B11,""zh-tw"",""es-MX"")"),"Defensa física: 1. Aumentos leves: Resistencia máxima, velocidad de movimiento, capacidad de equipo.")</f>
        <v>Defensa física: 1. Aumentos leves: Resistencia máxima, velocidad de movimiento, capacidad de equipo.</v>
      </c>
      <c r="K11" s="415" t="str">
        <f>IFERROR(__xludf.DUMMYFUNCTION("GOOGLETRANSLATE(A11,""zh-tw"",""KO"")"),"헌터스 벨트")</f>
        <v>헌터스 벨트</v>
      </c>
      <c r="L11" s="210" t="str">
        <f>IFERROR(__xludf.DUMMYFUNCTION("GOOGLETRANSLATE(B11,""zh-tw"",""KO"")"),"물리 방어력: 1 약간 증가: 최대 체력, 이동 속도, 장비 소지량")</f>
        <v>물리 방어력: 1 약간 증가: 최대 체력, 이동 속도, 장비 소지량</v>
      </c>
      <c r="M11" s="415" t="s">
        <v>8082</v>
      </c>
      <c r="N11" s="210" t="s">
        <v>8083</v>
      </c>
      <c r="O11" s="429" t="str">
        <f>IFERROR(__xludf.DUMMYFUNCTION("GOOGLETRANSLATE(A11,""zh-tw"",""de"")"),"Jägergürtel")</f>
        <v>Jägergürtel</v>
      </c>
      <c r="P11" s="430" t="str">
        <f>IFERROR(__xludf.DUMMYFUNCTION("GOOGLETRANSLATE(B11,""zh-tw"",""de"")"),"Physische Verteidigung: 1 Leichte Erhöhungen: Maximale Ausdauer, Bewegungsgeschwindigkeit, Ausrüstungskapazität")</f>
        <v>Physische Verteidigung: 1 Leichte Erhöhungen: Maximale Ausdauer, Bewegungsgeschwindigkeit, Ausrüstungskapazität</v>
      </c>
      <c r="Q11" s="428" t="s">
        <v>8084</v>
      </c>
      <c r="R11" s="418" t="s">
        <v>8085</v>
      </c>
      <c r="S11" s="415" t="s">
        <v>8086</v>
      </c>
      <c r="T11" s="210" t="s">
        <v>8087</v>
      </c>
      <c r="U11" s="415"/>
      <c r="V11" s="210"/>
      <c r="W11" s="8"/>
      <c r="X11" s="8"/>
      <c r="Y11" s="8"/>
      <c r="Z11" s="8"/>
      <c r="AA11" s="8"/>
      <c r="AB11" s="8"/>
      <c r="AC11" s="8"/>
      <c r="AD11" s="8"/>
      <c r="AE11" s="8"/>
      <c r="AF11" s="8"/>
      <c r="AG11" s="8"/>
      <c r="AH11" s="8"/>
      <c r="AI11" s="8"/>
      <c r="AJ11" s="8"/>
      <c r="AK11" s="8"/>
      <c r="AL11" s="8"/>
      <c r="AM11" s="8"/>
      <c r="AN11" s="8"/>
      <c r="AO11" s="8"/>
      <c r="AP11" s="8"/>
      <c r="AQ11" s="8"/>
      <c r="AR11" s="8"/>
      <c r="AS11" s="8"/>
      <c r="AT11" s="8"/>
    </row>
    <row r="12">
      <c r="A12" s="411" t="s">
        <v>8088</v>
      </c>
      <c r="B12" s="177" t="s">
        <v>8089</v>
      </c>
      <c r="C12" s="411" t="s">
        <v>8090</v>
      </c>
      <c r="D12" s="177" t="s">
        <v>8091</v>
      </c>
      <c r="E12" s="411" t="s">
        <v>8092</v>
      </c>
      <c r="F12" s="177" t="s">
        <v>8093</v>
      </c>
      <c r="G12" s="415" t="str">
        <f>IFERROR(__xludf.DUMMYFUNCTION("GOOGLETRANSLATE(A12,""zh-tw"",""zh"")"),"猎人短刀")</f>
        <v>猎人短刀</v>
      </c>
      <c r="H12" s="210" t="str">
        <f>IFERROR(__xludf.DUMMYFUNCTION("GOOGLETRANSLATE(B12,""zh-tw"",""zh"")"),"物攻：6
幸运：20
肉类掉落机率翻倍(包含炸鱼)")</f>
        <v>物攻：6
幸运：20
肉类掉落机率翻倍(包含炸鱼)</v>
      </c>
      <c r="I12" s="415" t="str">
        <f>IFERROR(__xludf.DUMMYFUNCTION("GOOGLETRANSLATE(A12,""zh-tw"",""es-MX"")"),"Daga del cazador")</f>
        <v>Daga del cazador</v>
      </c>
      <c r="J12" s="210" t="str">
        <f>IFERROR(__xludf.DUMMYFUNCTION("GOOGLETRANSLATE(B12,""zh-tw"",""es-MX"")"),"Ataque físico: 6
Suerte: 20
Probabilidad de obtención de carne duplicada (incluido el pescado frito)")</f>
        <v>Ataque físico: 6
Suerte: 20
Probabilidad de obtención de carne duplicada (incluido el pescado frito)</v>
      </c>
      <c r="K12" s="415" t="str">
        <f>IFERROR(__xludf.DUMMYFUNCTION("GOOGLETRANSLATE(A12,""zh-tw"",""KO"")"),"사냥꾼의 단검")</f>
        <v>사냥꾼의 단검</v>
      </c>
      <c r="L12" s="210" t="str">
        <f>IFERROR(__xludf.DUMMYFUNCTION("GOOGLETRANSLATE(B12,""zh-tw"",""KO"")"),"물리 공격력: 6
행운: 20
고기 드롭률 2배 증가 (튀긴 생선 포함)")</f>
        <v>물리 공격력: 6
행운: 20
고기 드롭률 2배 증가 (튀긴 생선 포함)</v>
      </c>
      <c r="M12" s="415" t="s">
        <v>8094</v>
      </c>
      <c r="N12" s="210" t="s">
        <v>8095</v>
      </c>
      <c r="O12" s="429" t="str">
        <f>IFERROR(__xludf.DUMMYFUNCTION("GOOGLETRANSLATE(A12,""zh-tw"",""de"")"),"Jägerdolch")</f>
        <v>Jägerdolch</v>
      </c>
      <c r="P12" s="430" t="str">
        <f>IFERROR(__xludf.DUMMYFUNCTION("GOOGLETRANSLATE(B12,""zh-tw"",""de"")"),"Physischer Angriff: 6
Glück: 20
Fleischfundrate verdoppelt (einschließlich gebratenem Fisch)")</f>
        <v>Physischer Angriff: 6
Glück: 20
Fleischfundrate verdoppelt (einschließlich gebratenem Fisch)</v>
      </c>
      <c r="Q12" s="428" t="s">
        <v>8096</v>
      </c>
      <c r="R12" s="414" t="s">
        <v>8097</v>
      </c>
      <c r="S12" s="415" t="s">
        <v>8098</v>
      </c>
      <c r="T12" s="210" t="s">
        <v>8099</v>
      </c>
      <c r="U12" s="415"/>
      <c r="V12" s="210"/>
      <c r="W12" s="8"/>
      <c r="X12" s="8"/>
      <c r="Y12" s="8"/>
      <c r="Z12" s="8"/>
      <c r="AA12" s="8"/>
      <c r="AB12" s="8"/>
      <c r="AC12" s="8"/>
      <c r="AD12" s="8"/>
      <c r="AE12" s="8"/>
      <c r="AF12" s="8"/>
      <c r="AG12" s="8"/>
      <c r="AH12" s="8"/>
      <c r="AI12" s="8"/>
      <c r="AJ12" s="8"/>
      <c r="AK12" s="8"/>
      <c r="AL12" s="8"/>
      <c r="AM12" s="8"/>
      <c r="AN12" s="8"/>
      <c r="AO12" s="8"/>
      <c r="AP12" s="8"/>
      <c r="AQ12" s="8"/>
      <c r="AR12" s="8"/>
      <c r="AS12" s="8"/>
      <c r="AT12" s="8"/>
    </row>
    <row r="13">
      <c r="A13" s="411" t="s">
        <v>8100</v>
      </c>
      <c r="B13" s="177" t="s">
        <v>8101</v>
      </c>
      <c r="C13" s="411" t="s">
        <v>8102</v>
      </c>
      <c r="D13" s="177" t="s">
        <v>8103</v>
      </c>
      <c r="E13" s="411" t="s">
        <v>8104</v>
      </c>
      <c r="F13" s="177" t="s">
        <v>8105</v>
      </c>
      <c r="G13" s="415" t="str">
        <f>IFERROR(__xludf.DUMMYFUNCTION("GOOGLETRANSLATE(A13,""zh-tw"",""zh"")"),"安全手套")</f>
        <v>安全手套</v>
      </c>
      <c r="H13" s="210" t="str">
        <f>IFERROR(__xludf.DUMMYFUNCTION("GOOGLETRANSLATE(B13,""zh-tw"",""zh"")"),"物攻：1
物防：2
魔抗：45
防御雷电")</f>
        <v>物攻：1
物防：2
魔抗：45
防御雷电</v>
      </c>
      <c r="I13" s="415" t="str">
        <f>IFERROR(__xludf.DUMMYFUNCTION("GOOGLETRANSLATE(A13,""zh-tw"",""es-MX"")"),"guantes de seguridad")</f>
        <v>guantes de seguridad</v>
      </c>
      <c r="J13" s="210" t="str">
        <f>IFERROR(__xludf.DUMMYFUNCTION("GOOGLETRANSLATE(B13,""zh-tw"",""es-MX"")"),"Ataque físico: 1
Defensa física: 2
Resistencia mágica: 45
Defensa contra rayos")</f>
        <v>Ataque físico: 1
Defensa física: 2
Resistencia mágica: 45
Defensa contra rayos</v>
      </c>
      <c r="K13" s="415" t="str">
        <f>IFERROR(__xludf.DUMMYFUNCTION("GOOGLETRANSLATE(A13,""zh-tw"",""KO"")"),"안전 장갑")</f>
        <v>안전 장갑</v>
      </c>
      <c r="L13" s="210" t="str">
        <f>IFERROR(__xludf.DUMMYFUNCTION("GOOGLETRANSLATE(B13,""zh-tw"",""KO"")"),"물리 공격력: 1
물리 방어력: 2
마법 저항력: 45
번개 방어력")</f>
        <v>물리 공격력: 1
물리 방어력: 2
마법 저항력: 45
번개 방어력</v>
      </c>
      <c r="M13" s="415" t="s">
        <v>8106</v>
      </c>
      <c r="N13" s="210" t="s">
        <v>8107</v>
      </c>
      <c r="O13" s="429" t="str">
        <f>IFERROR(__xludf.DUMMYFUNCTION("GOOGLETRANSLATE(A13,""zh-tw"",""de"")"),"Schutzhandschuhe")</f>
        <v>Schutzhandschuhe</v>
      </c>
      <c r="P13" s="430" t="str">
        <f>IFERROR(__xludf.DUMMYFUNCTION("GOOGLETRANSLATE(B13,""zh-tw"",""de"")"),"Physischer Angriff: 1
Physische Verteidigung: 2
Magieresistenz: 45
Blitzabwehr")</f>
        <v>Physischer Angriff: 1
Physische Verteidigung: 2
Magieresistenz: 45
Blitzabwehr</v>
      </c>
      <c r="Q13" s="428" t="s">
        <v>8108</v>
      </c>
      <c r="R13" s="418" t="s">
        <v>8109</v>
      </c>
      <c r="S13" s="415" t="s">
        <v>8110</v>
      </c>
      <c r="T13" s="210" t="s">
        <v>8111</v>
      </c>
      <c r="U13" s="415"/>
      <c r="V13" s="210"/>
      <c r="W13" s="8"/>
      <c r="X13" s="8"/>
      <c r="Y13" s="8"/>
      <c r="Z13" s="8"/>
      <c r="AA13" s="8"/>
      <c r="AB13" s="8"/>
      <c r="AC13" s="8"/>
      <c r="AD13" s="8"/>
      <c r="AE13" s="8"/>
      <c r="AF13" s="8"/>
      <c r="AG13" s="8"/>
      <c r="AH13" s="8"/>
      <c r="AI13" s="8"/>
      <c r="AJ13" s="8"/>
      <c r="AK13" s="8"/>
      <c r="AL13" s="8"/>
      <c r="AM13" s="8"/>
      <c r="AN13" s="8"/>
      <c r="AO13" s="8"/>
      <c r="AP13" s="8"/>
      <c r="AQ13" s="8"/>
      <c r="AR13" s="8"/>
      <c r="AS13" s="8"/>
      <c r="AT13" s="8"/>
    </row>
    <row r="14">
      <c r="A14" s="411" t="s">
        <v>8112</v>
      </c>
      <c r="B14" s="177" t="s">
        <v>8113</v>
      </c>
      <c r="C14" s="411" t="s">
        <v>8114</v>
      </c>
      <c r="D14" s="177" t="s">
        <v>8115</v>
      </c>
      <c r="E14" s="411" t="s">
        <v>8116</v>
      </c>
      <c r="F14" s="177" t="s">
        <v>8117</v>
      </c>
      <c r="G14" s="415" t="str">
        <f>IFERROR(__xludf.DUMMYFUNCTION("GOOGLETRANSLATE(A14,""zh-tw"",""zh"")"),"猪猪存钱罐")</f>
        <v>猪猪存钱罐</v>
      </c>
      <c r="H14" s="210" t="str">
        <f>IFERROR(__xludf.DUMMYFUNCTION("GOOGLETRANSLATE(B14,""zh-tw"",""zh"")"),"幸运：40
捡钱(100万进化)、易碎")</f>
        <v>幸运：40
捡钱(100万进化)、易碎</v>
      </c>
      <c r="I14" s="415" t="str">
        <f>IFERROR(__xludf.DUMMYFUNCTION("GOOGLETRANSLATE(A14,""zh-tw"",""es-MX"")"),"Hucha")</f>
        <v>Hucha</v>
      </c>
      <c r="J14" s="210" t="str">
        <f>IFERROR(__xludf.DUMMYFUNCTION("GOOGLETRANSLATE(B14,""zh-tw"",""es-MX"")"),"Suerte: 40 Encuentra dinero (Evoluciona con 1 millón), Frágil")</f>
        <v>Suerte: 40 Encuentra dinero (Evoluciona con 1 millón), Frágil</v>
      </c>
      <c r="K14" s="415" t="str">
        <f>IFERROR(__xludf.DUMMYFUNCTION("GOOGLETRANSLATE(A14,""zh-tw"",""KO"")"),"돼지 저금통")</f>
        <v>돼지 저금통</v>
      </c>
      <c r="L14" s="177" t="s">
        <v>8118</v>
      </c>
      <c r="M14" s="415" t="s">
        <v>8119</v>
      </c>
      <c r="N14" s="210" t="s">
        <v>8120</v>
      </c>
      <c r="O14" s="412" t="s">
        <v>8121</v>
      </c>
      <c r="P14" s="214" t="s">
        <v>8122</v>
      </c>
      <c r="Q14" s="428" t="s">
        <v>8123</v>
      </c>
      <c r="R14" s="414" t="s">
        <v>8124</v>
      </c>
      <c r="S14" s="415" t="s">
        <v>8125</v>
      </c>
      <c r="T14" s="210" t="s">
        <v>8126</v>
      </c>
      <c r="U14" s="415"/>
      <c r="V14" s="210"/>
      <c r="W14" s="8"/>
      <c r="X14" s="8"/>
      <c r="Y14" s="8"/>
      <c r="Z14" s="8"/>
      <c r="AA14" s="8"/>
      <c r="AB14" s="8"/>
      <c r="AC14" s="8"/>
      <c r="AD14" s="8"/>
      <c r="AE14" s="8"/>
      <c r="AF14" s="8"/>
      <c r="AG14" s="8"/>
      <c r="AH14" s="8"/>
      <c r="AI14" s="8"/>
      <c r="AJ14" s="8"/>
      <c r="AK14" s="8"/>
      <c r="AL14" s="8"/>
      <c r="AM14" s="8"/>
      <c r="AN14" s="8"/>
      <c r="AO14" s="8"/>
      <c r="AP14" s="8"/>
      <c r="AQ14" s="8"/>
      <c r="AR14" s="8"/>
      <c r="AS14" s="8"/>
      <c r="AT14" s="8"/>
    </row>
    <row r="15">
      <c r="A15" s="412" t="s">
        <v>8127</v>
      </c>
      <c r="B15" s="214" t="s">
        <v>1273</v>
      </c>
      <c r="C15" s="411" t="s">
        <v>8128</v>
      </c>
      <c r="D15" s="214" t="s">
        <v>1273</v>
      </c>
      <c r="E15" s="411" t="s">
        <v>8129</v>
      </c>
      <c r="F15" s="177" t="s">
        <v>1273</v>
      </c>
      <c r="G15" s="415" t="str">
        <f>IFERROR(__xludf.DUMMYFUNCTION("GOOGLETRANSLATE(A15,""zh-tw"",""zh"")"),"炸薯条")</f>
        <v>炸薯条</v>
      </c>
      <c r="H15" s="210" t="str">
        <f>IFERROR(__xludf.DUMMYFUNCTION("GOOGLETRANSLATE(B15,""zh-tw"",""zh"")"),"-")</f>
        <v>-</v>
      </c>
      <c r="I15" s="415" t="str">
        <f>IFERROR(__xludf.DUMMYFUNCTION("GOOGLETRANSLATE(A15,""zh-tw"",""es-MX"")"),"papas fritas")</f>
        <v>papas fritas</v>
      </c>
      <c r="J15" s="210" t="str">
        <f>IFERROR(__xludf.DUMMYFUNCTION("GOOGLETRANSLATE(B15,""zh-tw"",""es-MX"")"),"-")</f>
        <v>-</v>
      </c>
      <c r="K15" s="415" t="str">
        <f>IFERROR(__xludf.DUMMYFUNCTION("GOOGLETRANSLATE(A15,""zh-tw"",""KO"")"),"감자 튀김")</f>
        <v>감자 튀김</v>
      </c>
      <c r="L15" s="210" t="str">
        <f>IFERROR(__xludf.DUMMYFUNCTION("GOOGLETRANSLATE(B15,""zh-tw"",""KO"")"),"-")</f>
        <v>-</v>
      </c>
      <c r="M15" s="415" t="s">
        <v>8130</v>
      </c>
      <c r="N15" s="210" t="s">
        <v>1273</v>
      </c>
      <c r="O15" s="412" t="s">
        <v>8131</v>
      </c>
      <c r="P15" s="214" t="s">
        <v>8132</v>
      </c>
      <c r="Q15" s="428" t="s">
        <v>8133</v>
      </c>
      <c r="R15" s="414" t="s">
        <v>1273</v>
      </c>
      <c r="S15" s="415" t="s">
        <v>8134</v>
      </c>
      <c r="T15" s="210" t="s">
        <v>1273</v>
      </c>
      <c r="U15" s="415"/>
      <c r="V15" s="210"/>
      <c r="W15" s="8"/>
      <c r="X15" s="8"/>
      <c r="Y15" s="8"/>
      <c r="Z15" s="8"/>
      <c r="AA15" s="8"/>
      <c r="AB15" s="8"/>
      <c r="AC15" s="8"/>
      <c r="AD15" s="8"/>
      <c r="AE15" s="8"/>
      <c r="AF15" s="8"/>
      <c r="AG15" s="8"/>
      <c r="AH15" s="8"/>
      <c r="AI15" s="8"/>
      <c r="AJ15" s="8"/>
      <c r="AK15" s="8"/>
      <c r="AL15" s="8"/>
      <c r="AM15" s="8"/>
      <c r="AN15" s="8"/>
      <c r="AO15" s="8"/>
      <c r="AP15" s="8"/>
      <c r="AQ15" s="8"/>
      <c r="AR15" s="8"/>
      <c r="AS15" s="8"/>
      <c r="AT15" s="8"/>
    </row>
    <row r="16">
      <c r="A16" s="415" t="s">
        <v>8135</v>
      </c>
      <c r="B16" s="210" t="s">
        <v>8136</v>
      </c>
      <c r="C16" s="415" t="s">
        <v>8137</v>
      </c>
      <c r="D16" s="210" t="s">
        <v>8138</v>
      </c>
      <c r="E16" s="415" t="s">
        <v>8139</v>
      </c>
      <c r="F16" s="210" t="s">
        <v>8140</v>
      </c>
      <c r="G16" s="415" t="s">
        <v>8141</v>
      </c>
      <c r="H16" s="210" t="s">
        <v>8142</v>
      </c>
      <c r="I16" s="415" t="str">
        <f>IFERROR(__xludf.DUMMYFUNCTION("GOOGLETRANSLATE(A16,""zh-tw"",""es-MX"")"),"Regalo de los Creepers Oscuros")</f>
        <v>Regalo de los Creepers Oscuros</v>
      </c>
      <c r="J16" s="210" t="str">
        <f>IFERROR(__xludf.DUMMYFUNCTION("GOOGLETRANSLATE(B16,""zh-tw"",""es-MX"")"),"Mayor velocidad de movimiento.
Garantiza un efecto de estado especial.")</f>
        <v>Mayor velocidad de movimiento.
Garantiza un efecto de estado especial.</v>
      </c>
      <c r="K16" s="415" t="str">
        <f>IFERROR(__xludf.DUMMYFUNCTION("GOOGLETRANSLATE(A16,""zh-tw"",""KO"")"),"어둠의 덩굴의 선물")</f>
        <v>어둠의 덩굴의 선물</v>
      </c>
      <c r="L16" s="210" t="str">
        <f>IFERROR(__xludf.DUMMYFUNCTION("GOOGLETRANSLATE(B16,""zh-tw"",""KO"")"),"이동 속도 증가
특수 상태 효과 부여 보장")</f>
        <v>이동 속도 증가
특수 상태 효과 부여 보장</v>
      </c>
      <c r="M16" s="415" t="s">
        <v>8143</v>
      </c>
      <c r="N16" s="210" t="s">
        <v>8144</v>
      </c>
      <c r="O16" s="429" t="str">
        <f>IFERROR(__xludf.DUMMYFUNCTION("GOOGLETRANSLATE(A16,""zh-tw"",""de"")"),"Geschenk der dunklen Kriecher")</f>
        <v>Geschenk der dunklen Kriecher</v>
      </c>
      <c r="P16" s="430" t="str">
        <f>IFERROR(__xludf.DUMMYFUNCTION("GOOGLETRANSLATE(B16,""zh-tw"",""de"")"),"Erhöhte Bewegungsgeschwindigkeit. Gewährt garantiert einen besonderen Statuseffekt.")</f>
        <v>Erhöhte Bewegungsgeschwindigkeit. Gewährt garantiert einen besonderen Statuseffekt.</v>
      </c>
      <c r="Q16" s="427" t="s">
        <v>8145</v>
      </c>
      <c r="R16" s="215" t="s">
        <v>8146</v>
      </c>
      <c r="S16" s="415" t="s">
        <v>8147</v>
      </c>
      <c r="T16" s="210" t="s">
        <v>8148</v>
      </c>
      <c r="U16" s="415"/>
      <c r="V16" s="210"/>
      <c r="W16" s="8"/>
      <c r="X16" s="8"/>
      <c r="Y16" s="8"/>
      <c r="Z16" s="8"/>
      <c r="AA16" s="8"/>
      <c r="AB16" s="8"/>
      <c r="AC16" s="8"/>
      <c r="AD16" s="8"/>
      <c r="AE16" s="8"/>
      <c r="AF16" s="8"/>
      <c r="AG16" s="8"/>
      <c r="AH16" s="8"/>
      <c r="AI16" s="8"/>
      <c r="AJ16" s="8"/>
      <c r="AK16" s="8"/>
      <c r="AL16" s="8"/>
      <c r="AM16" s="8"/>
      <c r="AN16" s="8"/>
      <c r="AO16" s="8"/>
      <c r="AP16" s="8"/>
      <c r="AQ16" s="8"/>
      <c r="AR16" s="8"/>
      <c r="AS16" s="8"/>
      <c r="AT16" s="8"/>
    </row>
    <row r="17">
      <c r="A17" s="411" t="s">
        <v>8149</v>
      </c>
      <c r="B17" s="177" t="s">
        <v>8150</v>
      </c>
      <c r="C17" s="411" t="s">
        <v>8151</v>
      </c>
      <c r="D17" s="177" t="s">
        <v>8152</v>
      </c>
      <c r="E17" s="411" t="s">
        <v>8153</v>
      </c>
      <c r="F17" s="177" t="s">
        <v>8154</v>
      </c>
      <c r="G17" s="415" t="str">
        <f>IFERROR(__xludf.DUMMYFUNCTION("GOOGLETRANSLATE(A17,""zh-tw"",""zh"")"),"铁觇")</f>
        <v>铁觇</v>
      </c>
      <c r="H17" s="210" t="str">
        <f>IFERROR(__xludf.DUMMYFUNCTION("GOOGLETRANSLATE(B17,""zh-tw"",""zh"")"),"物防：15
魔抗：10
详细说明于Tips")</f>
        <v>物防：15
魔抗：10
详细说明于Tips</v>
      </c>
      <c r="I17" s="415" t="str">
        <f>IFERROR(__xludf.DUMMYFUNCTION("GOOGLETRANSLATE(A17,""zh-tw"",""es-MX"")"),"Águila de hierro")</f>
        <v>Águila de hierro</v>
      </c>
      <c r="J17" s="210" t="str">
        <f>IFERROR(__xludf.DUMMYFUNCTION("GOOGLETRANSLATE(B17,""zh-tw"",""es-MX"")"),"Defensa física: 15
Resistencia mágica: 10
Explicación detallada en Consejos")</f>
        <v>Defensa física: 15
Resistencia mágica: 10
Explicación detallada en Consejos</v>
      </c>
      <c r="K17" s="415" t="str">
        <f>IFERROR(__xludf.DUMMYFUNCTION("GOOGLETRANSLATE(A17,""zh-tw"",""KO"")"),"아이언 이글")</f>
        <v>아이언 이글</v>
      </c>
      <c r="L17" s="210" t="str">
        <f>IFERROR(__xludf.DUMMYFUNCTION("GOOGLETRANSLATE(B17,""zh-tw"",""KO"")"),"물리 방어력: 15
마법 저항력: 10
자세한 설명은 팁을 참조하세요.")</f>
        <v>물리 방어력: 15
마법 저항력: 10
자세한 설명은 팁을 참조하세요.</v>
      </c>
      <c r="M17" s="415" t="s">
        <v>8155</v>
      </c>
      <c r="N17" s="210" t="s">
        <v>8156</v>
      </c>
      <c r="O17" s="429" t="str">
        <f>IFERROR(__xludf.DUMMYFUNCTION("GOOGLETRANSLATE(A17,""zh-tw"",""de"")"),"Eiserner Adler")</f>
        <v>Eiserner Adler</v>
      </c>
      <c r="P17" s="430" t="str">
        <f>IFERROR(__xludf.DUMMYFUNCTION("GOOGLETRANSLATE(B17,""zh-tw"",""de"")"),"Physische Verteidigung: 15
Magieresistenz: 10
Detaillierte Erklärung in den Tipps")</f>
        <v>Physische Verteidigung: 15
Magieresistenz: 10
Detaillierte Erklärung in den Tipps</v>
      </c>
      <c r="Q17" s="427" t="s">
        <v>8157</v>
      </c>
      <c r="R17" s="414" t="s">
        <v>8158</v>
      </c>
      <c r="S17" s="415" t="s">
        <v>8159</v>
      </c>
      <c r="T17" s="210" t="s">
        <v>8160</v>
      </c>
      <c r="U17" s="415"/>
      <c r="V17" s="210"/>
      <c r="W17" s="8"/>
      <c r="X17" s="8"/>
      <c r="Y17" s="8"/>
      <c r="Z17" s="8"/>
      <c r="AA17" s="8"/>
      <c r="AB17" s="8"/>
      <c r="AC17" s="8"/>
      <c r="AD17" s="8"/>
      <c r="AE17" s="8"/>
      <c r="AF17" s="8"/>
      <c r="AG17" s="8"/>
      <c r="AH17" s="8"/>
      <c r="AI17" s="8"/>
      <c r="AJ17" s="8"/>
      <c r="AK17" s="8"/>
      <c r="AL17" s="8"/>
      <c r="AM17" s="8"/>
      <c r="AN17" s="8"/>
      <c r="AO17" s="8"/>
      <c r="AP17" s="8"/>
      <c r="AQ17" s="8"/>
      <c r="AR17" s="8"/>
      <c r="AS17" s="8"/>
      <c r="AT17" s="8"/>
    </row>
    <row r="18">
      <c r="A18" s="411" t="s">
        <v>8161</v>
      </c>
      <c r="B18" s="177" t="s">
        <v>8162</v>
      </c>
      <c r="C18" s="411" t="s">
        <v>8163</v>
      </c>
      <c r="D18" s="177" t="s">
        <v>8164</v>
      </c>
      <c r="E18" s="411" t="s">
        <v>8165</v>
      </c>
      <c r="F18" s="177" t="s">
        <v>8166</v>
      </c>
      <c r="G18" s="415" t="str">
        <f>IFERROR(__xludf.DUMMYFUNCTION("GOOGLETRANSLATE(A18,""zh-tw"",""zh"")"),"初号机枢I~VII")</f>
        <v>初号机枢I~VII</v>
      </c>
      <c r="H18" s="210" t="str">
        <f>IFERROR(__xludf.DUMMYFUNCTION("GOOGLETRANSLATE(B18,""zh-tw"",""zh"")"),"可以于技能栏位中，消耗特定物品进行提升机甲的型态，由此获得新能力
魔抗：20~??
*无法丢弃或破坏
(请见TIPS说明)")</f>
        <v>可以于技能栏位中，消耗特定物品进行提升机甲的型态，由此获得新能力
魔抗：20~??
*无法丢弃或破坏
(请见TIPS说明)</v>
      </c>
      <c r="I18" s="415" t="str">
        <f>IFERROR(__xludf.DUMMYFUNCTION("GOOGLETRANSLATE(A18,""zh-tw"",""es-MX"")"),"Unidad 1-7")</f>
        <v>Unidad 1-7</v>
      </c>
      <c r="J18" s="210" t="str">
        <f>IFERROR(__xludf.DUMMYFUNCTION("GOOGLETRANSLATE(B18,""zh-tw"",""es-MX"")"),"Puedes mejorar la forma de tu mecha consumiendo objetos específicos en las ranuras de habilidades, obteniendo así nuevas capacidades.
Resistencia mágica: 20~??
*No se puede descartar ni destruir
(Consulta los CONSEJOS para más detalles)")</f>
        <v>Puedes mejorar la forma de tu mecha consumiendo objetos específicos en las ranuras de habilidades, obteniendo así nuevas capacidades.
Resistencia mágica: 20~??
*No se puede descartar ni destruir
(Consulta los CONSEJOS para más detalles)</v>
      </c>
      <c r="K18" s="415" t="str">
        <f>IFERROR(__xludf.DUMMYFUNCTION("GOOGLETRANSLATE(A18,""zh-tw"",""KO"")"),"단원 1-7")</f>
        <v>단원 1-7</v>
      </c>
      <c r="L18" s="210" t="str">
        <f>IFERROR(__xludf.DUMMYFUNCTION("GOOGLETRANSLATE(B18,""zh-tw"",""KO"")"),"스킬 슬롯에 특정 아이템을 소모하여 메카의 형태를 업그레이드하고 새로운 능력을 얻을 수 있습니다.
마법 저항: 20~??
*버리거나 파괴할 수 없습니다.
(자세한 내용은 팁을 참조하세요.)")</f>
        <v>스킬 슬롯에 특정 아이템을 소모하여 메카의 형태를 업그레이드하고 새로운 능력을 얻을 수 있습니다.
마법 저항: 20~??
*버리거나 파괴할 수 없습니다.
(자세한 내용은 팁을 참조하세요.)</v>
      </c>
      <c r="M18" s="415" t="s">
        <v>8167</v>
      </c>
      <c r="N18" s="210" t="s">
        <v>8168</v>
      </c>
      <c r="O18" s="411" t="s">
        <v>8169</v>
      </c>
      <c r="P18" s="177" t="s">
        <v>8170</v>
      </c>
      <c r="Q18" s="428" t="s">
        <v>8165</v>
      </c>
      <c r="R18" s="418" t="s">
        <v>8171</v>
      </c>
      <c r="S18" s="415" t="s">
        <v>8172</v>
      </c>
      <c r="T18" s="210" t="s">
        <v>8173</v>
      </c>
      <c r="U18" s="415"/>
      <c r="V18" s="210"/>
      <c r="W18" s="8"/>
      <c r="X18" s="8"/>
      <c r="Y18" s="8"/>
      <c r="Z18" s="8"/>
      <c r="AA18" s="8"/>
      <c r="AB18" s="8"/>
      <c r="AC18" s="8"/>
      <c r="AD18" s="8"/>
      <c r="AE18" s="8"/>
      <c r="AF18" s="8"/>
      <c r="AG18" s="8"/>
      <c r="AH18" s="8"/>
      <c r="AI18" s="8"/>
      <c r="AJ18" s="8"/>
      <c r="AK18" s="8"/>
      <c r="AL18" s="8"/>
      <c r="AM18" s="8"/>
      <c r="AN18" s="8"/>
      <c r="AO18" s="8"/>
      <c r="AP18" s="8"/>
      <c r="AQ18" s="8"/>
      <c r="AR18" s="8"/>
      <c r="AS18" s="8"/>
      <c r="AT18" s="8"/>
    </row>
    <row r="19">
      <c r="A19" s="411" t="s">
        <v>8174</v>
      </c>
      <c r="B19" s="177" t="s">
        <v>8175</v>
      </c>
      <c r="C19" s="411" t="s">
        <v>8176</v>
      </c>
      <c r="D19" s="177" t="s">
        <v>8177</v>
      </c>
      <c r="E19" s="411" t="s">
        <v>8178</v>
      </c>
      <c r="F19" s="177" t="s">
        <v>8179</v>
      </c>
      <c r="G19" s="415" t="str">
        <f>IFERROR(__xludf.DUMMYFUNCTION("GOOGLETRANSLATE(A19,""zh-tw"",""zh"")"),"把草莓夺回来！ !")</f>
        <v>把草莓夺回来！ !</v>
      </c>
      <c r="H19" s="210" t="str">
        <f>IFERROR(__xludf.DUMMYFUNCTION("GOOGLETRANSLATE(B19,""zh-tw"",""zh"")"),"指令类型装备
(请见技能栏位)")</f>
        <v>指令类型装备
(请见技能栏位)</v>
      </c>
      <c r="I19" s="415" t="str">
        <f>IFERROR(__xludf.DUMMYFUNCTION("GOOGLETRANSLATE(A19,""zh-tw"",""es-MX"")"),"¡Devuelvan las fresas!")</f>
        <v>¡Devuelvan las fresas!</v>
      </c>
      <c r="J19" s="210" t="str">
        <f>IFERROR(__xludf.DUMMYFUNCTION("GOOGLETRANSLATE(B19,""zh-tw"",""es-MX"")"),"Equipo de tipo comando
(Ver ranuras de habilidad)")</f>
        <v>Equipo de tipo comando
(Ver ranuras de habilidad)</v>
      </c>
      <c r="K19" s="415" t="str">
        <f>IFERROR(__xludf.DUMMYFUNCTION("GOOGLETRANSLATE(A19,""zh-tw"",""KO"")"),"딸기를 되찾아와!")</f>
        <v>딸기를 되찾아와!</v>
      </c>
      <c r="L19" s="210" t="str">
        <f>IFERROR(__xludf.DUMMYFUNCTION("GOOGLETRANSLATE(B19,""zh-tw"",""KO"")"),"명령형 장비
(스킬 슬롯 참조)")</f>
        <v>명령형 장비
(스킬 슬롯 참조)</v>
      </c>
      <c r="M19" s="415" t="s">
        <v>8180</v>
      </c>
      <c r="N19" s="210" t="s">
        <v>8181</v>
      </c>
      <c r="O19" s="429" t="str">
        <f>IFERROR(__xludf.DUMMYFUNCTION("GOOGLETRANSLATE(A19,""zh-tw"",""de"")"),"Holt die Erdbeeren zurück!")</f>
        <v>Holt die Erdbeeren zurück!</v>
      </c>
      <c r="P19" s="430" t="str">
        <f>IFERROR(__xludf.DUMMYFUNCTION("GOOGLETRANSLATE(B19,""zh-tw"",""de"")"),"Ausrüstung vom Typ „Befehl“
(Siehe Fertigkeitsplätze)")</f>
        <v>Ausrüstung vom Typ „Befehl“
(Siehe Fertigkeitsplätze)</v>
      </c>
      <c r="Q19" s="428" t="s">
        <v>8182</v>
      </c>
      <c r="R19" s="418" t="s">
        <v>8183</v>
      </c>
      <c r="S19" s="415" t="s">
        <v>8184</v>
      </c>
      <c r="T19" s="210" t="s">
        <v>8185</v>
      </c>
      <c r="U19" s="415"/>
      <c r="V19" s="210"/>
      <c r="W19" s="8"/>
      <c r="X19" s="8"/>
      <c r="Y19" s="8"/>
      <c r="Z19" s="8"/>
      <c r="AA19" s="8"/>
      <c r="AB19" s="8"/>
      <c r="AC19" s="8"/>
      <c r="AD19" s="8"/>
      <c r="AE19" s="8"/>
      <c r="AF19" s="8"/>
      <c r="AG19" s="8"/>
      <c r="AH19" s="8"/>
      <c r="AI19" s="8"/>
      <c r="AJ19" s="8"/>
      <c r="AK19" s="8"/>
      <c r="AL19" s="8"/>
      <c r="AM19" s="8"/>
      <c r="AN19" s="8"/>
      <c r="AO19" s="8"/>
      <c r="AP19" s="8"/>
      <c r="AQ19" s="8"/>
      <c r="AR19" s="8"/>
      <c r="AS19" s="8"/>
      <c r="AT19" s="8"/>
    </row>
    <row r="20">
      <c r="A20" s="172" t="s">
        <v>7412</v>
      </c>
      <c r="C20" s="172" t="s">
        <v>7413</v>
      </c>
      <c r="E20" s="172" t="s">
        <v>7414</v>
      </c>
      <c r="G20" s="172" t="s">
        <v>7415</v>
      </c>
      <c r="I20" s="172"/>
      <c r="K20" s="172"/>
      <c r="M20" s="172" t="s">
        <v>7416</v>
      </c>
      <c r="O20" s="172"/>
      <c r="Q20" s="175" t="s">
        <v>8186</v>
      </c>
      <c r="S20" s="172" t="s">
        <v>7418</v>
      </c>
      <c r="U20" s="172"/>
      <c r="W20" s="210"/>
      <c r="X20" s="210"/>
      <c r="Y20" s="210"/>
      <c r="Z20" s="210"/>
      <c r="AA20" s="8"/>
      <c r="AB20" s="8"/>
      <c r="AC20" s="8"/>
      <c r="AD20" s="8"/>
      <c r="AE20" s="8"/>
      <c r="AF20" s="8"/>
      <c r="AG20" s="8"/>
      <c r="AH20" s="8"/>
      <c r="AI20" s="8"/>
      <c r="AJ20" s="8"/>
      <c r="AK20" s="8"/>
      <c r="AL20" s="8"/>
      <c r="AM20" s="8"/>
      <c r="AN20" s="8"/>
      <c r="AO20" s="8"/>
      <c r="AP20" s="8"/>
      <c r="AQ20" s="8"/>
      <c r="AR20" s="8"/>
      <c r="AS20" s="8"/>
      <c r="AT20" s="8"/>
    </row>
    <row r="21">
      <c r="A21" s="412" t="s">
        <v>8187</v>
      </c>
      <c r="B21" s="214" t="s">
        <v>8188</v>
      </c>
      <c r="C21" s="411" t="s">
        <v>8189</v>
      </c>
      <c r="D21" s="177" t="s">
        <v>8190</v>
      </c>
      <c r="E21" s="411" t="s">
        <v>8191</v>
      </c>
      <c r="F21" s="177" t="s">
        <v>8192</v>
      </c>
      <c r="G21" s="415" t="str">
        <f>IFERROR(__xludf.DUMMYFUNCTION("GOOGLETRANSLATE(A21,""zh-tw"",""zh"")"),"苹果头套")</f>
        <v>苹果头套</v>
      </c>
      <c r="H21" s="210" t="str">
        <f>IFERROR(__xludf.DUMMYFUNCTION("GOOGLETRANSLATE(B21,""zh-tw"",""zh"")"),"幸运：10
概率回复")</f>
        <v>幸运：10
概率回复</v>
      </c>
      <c r="I21" s="411" t="s">
        <v>8193</v>
      </c>
      <c r="J21" s="177" t="s">
        <v>8194</v>
      </c>
      <c r="K21" s="411" t="s">
        <v>8195</v>
      </c>
      <c r="L21" s="177" t="s">
        <v>8196</v>
      </c>
      <c r="M21" s="415" t="s">
        <v>8197</v>
      </c>
      <c r="N21" s="210" t="s">
        <v>8198</v>
      </c>
      <c r="O21" s="412" t="s">
        <v>8199</v>
      </c>
      <c r="P21" s="214" t="s">
        <v>8200</v>
      </c>
      <c r="Q21" s="428" t="s">
        <v>8201</v>
      </c>
      <c r="R21" s="414" t="s">
        <v>8202</v>
      </c>
      <c r="S21" s="415" t="s">
        <v>8203</v>
      </c>
      <c r="T21" s="210" t="s">
        <v>8204</v>
      </c>
      <c r="U21" s="415"/>
      <c r="V21" s="210"/>
      <c r="W21" s="8"/>
      <c r="X21" s="8"/>
      <c r="Y21" s="8"/>
      <c r="Z21" s="8"/>
      <c r="AA21" s="8"/>
      <c r="AB21" s="8"/>
      <c r="AC21" s="8"/>
      <c r="AD21" s="8"/>
      <c r="AE21" s="8"/>
      <c r="AF21" s="8"/>
      <c r="AG21" s="8"/>
      <c r="AH21" s="8"/>
      <c r="AI21" s="8"/>
      <c r="AJ21" s="8"/>
      <c r="AK21" s="8"/>
      <c r="AL21" s="8"/>
      <c r="AM21" s="8"/>
      <c r="AN21" s="8"/>
      <c r="AO21" s="8"/>
      <c r="AP21" s="8"/>
      <c r="AQ21" s="8"/>
      <c r="AR21" s="8"/>
      <c r="AS21" s="8"/>
      <c r="AT21" s="8"/>
    </row>
    <row r="22">
      <c r="A22" s="412" t="s">
        <v>8205</v>
      </c>
      <c r="B22" s="214" t="s">
        <v>8206</v>
      </c>
      <c r="C22" s="411" t="s">
        <v>8207</v>
      </c>
      <c r="D22" s="177" t="s">
        <v>8208</v>
      </c>
      <c r="E22" s="411" t="s">
        <v>8209</v>
      </c>
      <c r="F22" s="177" t="s">
        <v>8210</v>
      </c>
      <c r="G22" s="415" t="str">
        <f>IFERROR(__xludf.DUMMYFUNCTION("GOOGLETRANSLATE(A22,""zh-tw"",""zh"")"),"受诅胎体")</f>
        <v>受诅胎体</v>
      </c>
      <c r="H22" s="210" t="str">
        <f>IFERROR(__xludf.DUMMYFUNCTION("GOOGLETRANSLATE(B22,""zh-tw"",""zh"")"),"体力上升，基础25，额外加成2%
体力恢复效果提升20%")</f>
        <v>体力上升，基础25，额外加成2%
体力恢复效果提升20%</v>
      </c>
      <c r="I22" s="415" t="str">
        <f>IFERROR(__xludf.DUMMYFUNCTION("GOOGLETRANSLATE(A22,""zh-tw"",""es-MX"")"),"feto maldito")</f>
        <v>feto maldito</v>
      </c>
      <c r="J22" s="210" t="str">
        <f>IFERROR(__xludf.DUMMYFUNCTION("GOOGLETRANSLATE(B22,""zh-tw"",""es-MX"")"),"Resistencia aumentada, base 25, bonificación adicional del 2%. Efecto de recuperación de resistencia aumentado en un 20%.")</f>
        <v>Resistencia aumentada, base 25, bonificación adicional del 2%. Efecto de recuperación de resistencia aumentado en un 20%.</v>
      </c>
      <c r="K22" s="415" t="str">
        <f>IFERROR(__xludf.DUMMYFUNCTION("GOOGLETRANSLATE(A22,""zh-tw"",""KO"")"),"저주받은 태아")</f>
        <v>저주받은 태아</v>
      </c>
      <c r="L22" s="177" t="s">
        <v>8211</v>
      </c>
      <c r="M22" s="415" t="s">
        <v>8212</v>
      </c>
      <c r="N22" s="210" t="s">
        <v>8213</v>
      </c>
      <c r="O22" s="412" t="s">
        <v>8214</v>
      </c>
      <c r="P22" s="214" t="s">
        <v>8215</v>
      </c>
      <c r="Q22" s="428" t="s">
        <v>8216</v>
      </c>
      <c r="R22" s="414" t="s">
        <v>8217</v>
      </c>
      <c r="S22" s="415" t="s">
        <v>8218</v>
      </c>
      <c r="T22" s="210" t="s">
        <v>8219</v>
      </c>
      <c r="U22" s="415"/>
      <c r="V22" s="210"/>
      <c r="W22" s="8"/>
      <c r="X22" s="8"/>
      <c r="Y22" s="8"/>
      <c r="Z22" s="8"/>
      <c r="AA22" s="8"/>
      <c r="AB22" s="8"/>
      <c r="AC22" s="8"/>
      <c r="AD22" s="8"/>
      <c r="AE22" s="8"/>
      <c r="AF22" s="8"/>
      <c r="AG22" s="8"/>
      <c r="AH22" s="8"/>
      <c r="AI22" s="8"/>
      <c r="AJ22" s="8"/>
      <c r="AK22" s="8"/>
      <c r="AL22" s="8"/>
      <c r="AM22" s="8"/>
      <c r="AN22" s="8"/>
      <c r="AO22" s="8"/>
      <c r="AP22" s="8"/>
      <c r="AQ22" s="8"/>
      <c r="AR22" s="8"/>
      <c r="AS22" s="8"/>
      <c r="AT22" s="8"/>
    </row>
    <row r="23">
      <c r="A23" s="412" t="s">
        <v>8220</v>
      </c>
      <c r="B23" s="214" t="s">
        <v>8221</v>
      </c>
      <c r="C23" s="411" t="s">
        <v>8222</v>
      </c>
      <c r="D23" s="177" t="s">
        <v>8223</v>
      </c>
      <c r="E23" s="411" t="s">
        <v>8224</v>
      </c>
      <c r="F23" s="177" t="s">
        <v>8225</v>
      </c>
      <c r="G23" s="415" t="str">
        <f>IFERROR(__xludf.DUMMYFUNCTION("GOOGLETRANSLATE(A23,""zh-tw"",""zh"")"),"魔力晶簇")</f>
        <v>魔力晶簇</v>
      </c>
      <c r="H23" s="210" t="str">
        <f>IFERROR(__xludf.DUMMYFUNCTION("GOOGLETRANSLATE(B23,""zh-tw"",""zh"")"),"魔攻：20
魔抗：10
加快吟唱、提升魔法威力上限")</f>
        <v>魔攻：20
魔抗：10
加快吟唱、提升魔法威力上限</v>
      </c>
      <c r="I23" s="415" t="str">
        <f>IFERROR(__xludf.DUMMYFUNCTION("GOOGLETRANSLATE(A23,""zh-tw"",""es-MX"")"),"Racimo de cristales mágicos")</f>
        <v>Racimo de cristales mágicos</v>
      </c>
      <c r="J23" s="210" t="str">
        <f>IFERROR(__xludf.DUMMYFUNCTION("GOOGLETRANSLATE(B23,""zh-tw"",""es-MX"")"),"Ataque mágico: 20
Resistencia mágica: 10
Acelera el lanzamiento de hechizos, aumenta el poder mágico máximo")</f>
        <v>Ataque mágico: 20
Resistencia mágica: 10
Acelera el lanzamiento de hechizos, aumenta el poder mágico máximo</v>
      </c>
      <c r="K23" s="411" t="s">
        <v>8226</v>
      </c>
      <c r="L23" s="177" t="s">
        <v>8227</v>
      </c>
      <c r="M23" s="415" t="s">
        <v>8228</v>
      </c>
      <c r="N23" s="210" t="s">
        <v>8229</v>
      </c>
      <c r="O23" s="412" t="s">
        <v>8230</v>
      </c>
      <c r="P23" s="214" t="s">
        <v>8231</v>
      </c>
      <c r="Q23" s="428" t="s">
        <v>8232</v>
      </c>
      <c r="R23" s="418" t="s">
        <v>8233</v>
      </c>
      <c r="S23" s="415" t="s">
        <v>8234</v>
      </c>
      <c r="T23" s="210" t="s">
        <v>8235</v>
      </c>
      <c r="U23" s="415"/>
      <c r="V23" s="210"/>
      <c r="W23" s="8"/>
      <c r="X23" s="8"/>
      <c r="Y23" s="8"/>
      <c r="Z23" s="8"/>
      <c r="AA23" s="8"/>
      <c r="AB23" s="8"/>
      <c r="AC23" s="8"/>
      <c r="AD23" s="8"/>
      <c r="AE23" s="8"/>
      <c r="AF23" s="8"/>
      <c r="AG23" s="8"/>
      <c r="AH23" s="8"/>
      <c r="AI23" s="8"/>
      <c r="AJ23" s="8"/>
      <c r="AK23" s="8"/>
      <c r="AL23" s="8"/>
      <c r="AM23" s="8"/>
      <c r="AN23" s="8"/>
      <c r="AO23" s="8"/>
      <c r="AP23" s="8"/>
      <c r="AQ23" s="8"/>
      <c r="AR23" s="8"/>
      <c r="AS23" s="8"/>
      <c r="AT23" s="8"/>
    </row>
    <row r="24">
      <c r="A24" s="412" t="s">
        <v>8236</v>
      </c>
      <c r="B24" s="214" t="s">
        <v>8237</v>
      </c>
      <c r="C24" s="411" t="s">
        <v>8238</v>
      </c>
      <c r="D24" s="177" t="s">
        <v>8239</v>
      </c>
      <c r="E24" s="411" t="s">
        <v>8240</v>
      </c>
      <c r="F24" s="177" t="s">
        <v>8241</v>
      </c>
      <c r="G24" s="415" t="str">
        <f>IFERROR(__xludf.DUMMYFUNCTION("GOOGLETRANSLATE(A24,""zh-tw"",""zh"")"),"借来的猫爪")</f>
        <v>借来的猫爪</v>
      </c>
      <c r="H24" s="210" t="str">
        <f>IFERROR(__xludf.DUMMYFUNCTION("GOOGLETRANSLATE(B24,""zh-tw"",""zh"")"),"物攻：5
攻击力、攻速上升")</f>
        <v>物攻：5
攻击力、攻速上升</v>
      </c>
      <c r="I24" s="411" t="s">
        <v>8242</v>
      </c>
      <c r="J24" s="210" t="str">
        <f>IFERROR(__xludf.DUMMYFUNCTION("GOOGLETRANSLATE(B24,""zh-tw"",""es-MX"")"),"Ataque físico: 5. Aumenta el poder de ataque y la velocidad de ataque.")</f>
        <v>Ataque físico: 5. Aumenta el poder de ataque y la velocidad de ataque.</v>
      </c>
      <c r="K24" s="411" t="s">
        <v>8243</v>
      </c>
      <c r="L24" s="177" t="s">
        <v>8244</v>
      </c>
      <c r="M24" s="415" t="s">
        <v>8245</v>
      </c>
      <c r="N24" s="210" t="s">
        <v>8246</v>
      </c>
      <c r="O24" s="412" t="s">
        <v>8247</v>
      </c>
      <c r="P24" s="214" t="s">
        <v>8248</v>
      </c>
      <c r="Q24" s="428" t="s">
        <v>8249</v>
      </c>
      <c r="R24" s="414" t="s">
        <v>8250</v>
      </c>
      <c r="S24" s="415" t="s">
        <v>8251</v>
      </c>
      <c r="T24" s="210" t="s">
        <v>8252</v>
      </c>
      <c r="U24" s="415"/>
      <c r="V24" s="210"/>
      <c r="W24" s="8"/>
      <c r="X24" s="8"/>
      <c r="Y24" s="8"/>
      <c r="Z24" s="8"/>
      <c r="AA24" s="8"/>
      <c r="AB24" s="8"/>
      <c r="AC24" s="8"/>
      <c r="AD24" s="8"/>
      <c r="AE24" s="8"/>
      <c r="AF24" s="8"/>
      <c r="AG24" s="8"/>
      <c r="AH24" s="8"/>
      <c r="AI24" s="8"/>
      <c r="AJ24" s="8"/>
      <c r="AK24" s="8"/>
      <c r="AL24" s="8"/>
      <c r="AM24" s="8"/>
      <c r="AN24" s="8"/>
      <c r="AO24" s="8"/>
      <c r="AP24" s="8"/>
      <c r="AQ24" s="8"/>
      <c r="AR24" s="8"/>
      <c r="AS24" s="8"/>
      <c r="AT24" s="8"/>
    </row>
    <row r="25">
      <c r="A25" s="411" t="s">
        <v>8253</v>
      </c>
      <c r="B25" s="177" t="s">
        <v>8254</v>
      </c>
      <c r="C25" s="411" t="s">
        <v>8255</v>
      </c>
      <c r="D25" s="177" t="s">
        <v>8256</v>
      </c>
      <c r="E25" s="411" t="s">
        <v>8257</v>
      </c>
      <c r="F25" s="177" t="s">
        <v>8258</v>
      </c>
      <c r="G25" s="415" t="str">
        <f>IFERROR(__xludf.DUMMYFUNCTION("GOOGLETRANSLATE(A25,""zh-tw"",""zh"")"),"猫猫玩偶服")</f>
        <v>猫猫玩偶服</v>
      </c>
      <c r="H25" s="210" t="str">
        <f>IFERROR(__xludf.DUMMYFUNCTION("GOOGLETRANSLATE(B25,""zh-tw"",""zh"")"),"物防：3
魔抗：25
武器数量+10
装备数量+20")</f>
        <v>物防：3
魔抗：25
武器数量+10
装备数量+20</v>
      </c>
      <c r="I25" s="411" t="s">
        <v>8259</v>
      </c>
      <c r="J25" s="210" t="str">
        <f>IFERROR(__xludf.DUMMYFUNCTION("GOOGLETRANSLATE(B25,""zh-tw"",""es-MX"")"),"Defensa física: 3
Resistencia mágica: 25
Cantidad de armas: +10
Cantidad de equipo: +20")</f>
        <v>Defensa física: 3
Resistencia mágica: 25
Cantidad de armas: +10
Cantidad de equipo: +20</v>
      </c>
      <c r="K25" s="415" t="str">
        <f>IFERROR(__xludf.DUMMYFUNCTION("GOOGLETRANSLATE(A25,""zh-tw"",""KO"")"),"고양이 코스튬")</f>
        <v>고양이 코스튬</v>
      </c>
      <c r="L25" s="177" t="s">
        <v>8260</v>
      </c>
      <c r="M25" s="415" t="s">
        <v>8261</v>
      </c>
      <c r="N25" s="210" t="s">
        <v>8262</v>
      </c>
      <c r="O25" s="412" t="s">
        <v>8263</v>
      </c>
      <c r="P25" s="214" t="s">
        <v>8264</v>
      </c>
      <c r="Q25" s="428" t="s">
        <v>8265</v>
      </c>
      <c r="R25" s="418" t="s">
        <v>8266</v>
      </c>
      <c r="S25" s="415" t="s">
        <v>8267</v>
      </c>
      <c r="T25" s="210" t="s">
        <v>8268</v>
      </c>
      <c r="U25" s="415"/>
      <c r="V25" s="210"/>
      <c r="W25" s="8"/>
      <c r="X25" s="8"/>
      <c r="Y25" s="8"/>
      <c r="Z25" s="8"/>
      <c r="AA25" s="8"/>
      <c r="AB25" s="8"/>
      <c r="AC25" s="8"/>
      <c r="AD25" s="8"/>
      <c r="AE25" s="8"/>
      <c r="AF25" s="8"/>
      <c r="AG25" s="8"/>
      <c r="AH25" s="8"/>
      <c r="AI25" s="8"/>
      <c r="AJ25" s="8"/>
      <c r="AK25" s="8"/>
      <c r="AL25" s="8"/>
      <c r="AM25" s="8"/>
      <c r="AN25" s="8"/>
      <c r="AO25" s="8"/>
      <c r="AP25" s="8"/>
      <c r="AQ25" s="8"/>
      <c r="AR25" s="8"/>
      <c r="AS25" s="8"/>
      <c r="AT25" s="8"/>
    </row>
    <row r="26">
      <c r="A26" s="412" t="s">
        <v>8269</v>
      </c>
      <c r="B26" s="214" t="s">
        <v>8270</v>
      </c>
      <c r="C26" s="411" t="s">
        <v>8271</v>
      </c>
      <c r="D26" s="177" t="s">
        <v>8272</v>
      </c>
      <c r="E26" s="411" t="s">
        <v>8273</v>
      </c>
      <c r="F26" s="177" t="s">
        <v>8274</v>
      </c>
      <c r="G26" s="415" t="str">
        <f>IFERROR(__xludf.DUMMYFUNCTION("GOOGLETRANSLATE(A26,""zh-tw"",""zh"")"),"借来的猫足")</f>
        <v>借来的猫足</v>
      </c>
      <c r="H26" s="210" t="str">
        <f>IFERROR(__xludf.DUMMYFUNCTION("GOOGLETRANSLATE(B26,""zh-tw"",""zh"")"),"攻速、移速上升
闪步冷却时间缩短")</f>
        <v>攻速、移速上升
闪步冷却时间缩短</v>
      </c>
      <c r="I26" s="415" t="str">
        <f>IFERROR(__xludf.DUMMYFUNCTION("GOOGLETRANSLATE(A26,""zh-tw"",""es-MX"")"),"pies de gato prestados")</f>
        <v>pies de gato prestados</v>
      </c>
      <c r="J26" s="210" t="str">
        <f>IFERROR(__xludf.DUMMYFUNCTION("GOOGLETRANSLATE(B26,""zh-tw"",""es-MX"")"),"Se ha aumentado la velocidad de ataque y la velocidad de movimiento; se ha reducido el tiempo de reutilización de Paso Relámpago.")</f>
        <v>Se ha aumentado la velocidad de ataque y la velocidad de movimiento; se ha reducido el tiempo de reutilización de Paso Relámpago.</v>
      </c>
      <c r="K26" s="411" t="s">
        <v>8275</v>
      </c>
      <c r="L26" s="177" t="s">
        <v>8276</v>
      </c>
      <c r="M26" s="415" t="s">
        <v>6729</v>
      </c>
      <c r="N26" s="210" t="s">
        <v>8277</v>
      </c>
      <c r="O26" s="412" t="s">
        <v>8278</v>
      </c>
      <c r="P26" s="214" t="s">
        <v>8279</v>
      </c>
      <c r="Q26" s="428" t="s">
        <v>8280</v>
      </c>
      <c r="R26" s="414" t="s">
        <v>8281</v>
      </c>
      <c r="S26" s="415" t="s">
        <v>8282</v>
      </c>
      <c r="T26" s="210" t="s">
        <v>8283</v>
      </c>
      <c r="U26" s="415"/>
      <c r="V26" s="210"/>
      <c r="W26" s="8"/>
      <c r="X26" s="8"/>
      <c r="Y26" s="8"/>
      <c r="Z26" s="8"/>
      <c r="AA26" s="8"/>
      <c r="AB26" s="8"/>
      <c r="AC26" s="8"/>
      <c r="AD26" s="8"/>
      <c r="AE26" s="8"/>
      <c r="AF26" s="8"/>
      <c r="AG26" s="8"/>
      <c r="AH26" s="8"/>
      <c r="AI26" s="8"/>
      <c r="AJ26" s="8"/>
      <c r="AK26" s="8"/>
      <c r="AL26" s="8"/>
      <c r="AM26" s="8"/>
      <c r="AN26" s="8"/>
      <c r="AO26" s="8"/>
      <c r="AP26" s="8"/>
      <c r="AQ26" s="8"/>
      <c r="AR26" s="8"/>
      <c r="AS26" s="8"/>
      <c r="AT26" s="8"/>
    </row>
    <row r="27">
      <c r="A27" s="411" t="s">
        <v>8284</v>
      </c>
      <c r="B27" s="177" t="s">
        <v>8285</v>
      </c>
      <c r="C27" s="411" t="s">
        <v>4530</v>
      </c>
      <c r="D27" s="177" t="s">
        <v>8286</v>
      </c>
      <c r="E27" s="411" t="s">
        <v>8287</v>
      </c>
      <c r="F27" s="177" t="s">
        <v>8288</v>
      </c>
      <c r="G27" s="415" t="str">
        <f>IFERROR(__xludf.DUMMYFUNCTION("GOOGLETRANSLATE(A27,""zh-tw"",""zh"")"),"宝石剑")</f>
        <v>宝石剑</v>
      </c>
      <c r="H27" s="210" t="str">
        <f>IFERROR(__xludf.DUMMYFUNCTION("GOOGLETRANSLATE(B27,""zh-tw"",""zh"")"),"魔攻：15
魔抗：20
幸运：20
消耗宝石强化攻击")</f>
        <v>魔攻：15
魔抗：20
幸运：20
消耗宝石强化攻击</v>
      </c>
      <c r="I27" s="415" t="str">
        <f>IFERROR(__xludf.DUMMYFUNCTION("GOOGLETRANSLATE(A27,""zh-tw"",""es-MX"")"),"Espada enjoyada")</f>
        <v>Espada enjoyada</v>
      </c>
      <c r="J27" s="210" t="str">
        <f>IFERROR(__xludf.DUMMYFUNCTION("GOOGLETRANSLATE(B27,""zh-tw"",""es-MX"")"),"Ataque mágico: 15
Resistencia mágica: 20
Suerte: 20 Consume gemas para mejorar el ataque.")</f>
        <v>Ataque mágico: 15
Resistencia mágica: 20
Suerte: 20 Consume gemas para mejorar el ataque.</v>
      </c>
      <c r="K27" s="415" t="str">
        <f>IFERROR(__xludf.DUMMYFUNCTION("GOOGLETRANSLATE(A27,""zh-tw"",""KO"")"),"보석 박힌 검")</f>
        <v>보석 박힌 검</v>
      </c>
      <c r="L27" s="210" t="str">
        <f>IFERROR(__xludf.DUMMYFUNCTION("GOOGLETRANSLATE(B27,""zh-tw"",""KO"")"),"마법 공격력: 15
마법 저항력: 20
행운: 20 보석을 소모하여 공격력을 강화할 수 있습니다.")</f>
        <v>마법 공격력: 15
마법 저항력: 20
행운: 20 보석을 소모하여 공격력을 강화할 수 있습니다.</v>
      </c>
      <c r="M27" s="415" t="s">
        <v>8289</v>
      </c>
      <c r="N27" s="210" t="s">
        <v>8290</v>
      </c>
      <c r="O27" s="429" t="str">
        <f>IFERROR(__xludf.DUMMYFUNCTION("GOOGLETRANSLATE(A27,""zh-tw"",""de"")"),"Juwelenschwert")</f>
        <v>Juwelenschwert</v>
      </c>
      <c r="P27" s="430" t="str">
        <f>IFERROR(__xludf.DUMMYFUNCTION("GOOGLETRANSLATE(B27,""zh-tw"",""de"")"),"Magischer Angriff: 15
Magieresistenz: 20
Glück: 20 Verbrauche Edelsteine, um den Angriff zu erhöhen.")</f>
        <v>Magischer Angriff: 15
Magieresistenz: 20
Glück: 20 Verbrauche Edelsteine, um den Angriff zu erhöhen.</v>
      </c>
      <c r="Q27" s="428" t="s">
        <v>8291</v>
      </c>
      <c r="R27" s="52" t="s">
        <v>8292</v>
      </c>
      <c r="S27" s="415" t="s">
        <v>8293</v>
      </c>
      <c r="T27" s="210" t="s">
        <v>8294</v>
      </c>
      <c r="U27" s="415"/>
      <c r="V27" s="210"/>
      <c r="W27" s="8"/>
      <c r="X27" s="8"/>
      <c r="Y27" s="8"/>
      <c r="Z27" s="8"/>
      <c r="AA27" s="8"/>
      <c r="AB27" s="8"/>
      <c r="AC27" s="8"/>
      <c r="AD27" s="8"/>
      <c r="AE27" s="8"/>
      <c r="AF27" s="8"/>
      <c r="AG27" s="8"/>
      <c r="AH27" s="8"/>
      <c r="AI27" s="8"/>
      <c r="AJ27" s="8"/>
      <c r="AK27" s="8"/>
      <c r="AL27" s="8"/>
      <c r="AM27" s="8"/>
      <c r="AN27" s="8"/>
      <c r="AO27" s="8"/>
      <c r="AP27" s="8"/>
      <c r="AQ27" s="8"/>
      <c r="AR27" s="8"/>
      <c r="AS27" s="8"/>
      <c r="AT27" s="8"/>
    </row>
    <row r="28">
      <c r="A28" s="411" t="s">
        <v>8295</v>
      </c>
      <c r="B28" s="177" t="s">
        <v>8296</v>
      </c>
      <c r="C28" s="411" t="s">
        <v>8297</v>
      </c>
      <c r="D28" s="177" t="s">
        <v>8298</v>
      </c>
      <c r="E28" s="411" t="s">
        <v>8299</v>
      </c>
      <c r="F28" s="177" t="s">
        <v>8300</v>
      </c>
      <c r="G28" s="415" t="str">
        <f>IFERROR(__xludf.DUMMYFUNCTION("GOOGLETRANSLATE(A28,""zh-tw"",""zh"")"),"破颜拳套")</f>
        <v>破颜拳套</v>
      </c>
      <c r="H28" s="210" t="str">
        <f>IFERROR(__xludf.DUMMYFUNCTION("GOOGLETRANSLATE(B28,""zh-tw"",""zh"")"),"物攻：6
物防：1
装备时无法穿戴武器。
机率性根据对方最大生命值，造成额外伤害。
额外伤害的数值为3倍暴击伤害，但若敌人血量大于此数值的1%，则改为敌人血量的1%。
穿戴多个可以提升触发机率。")</f>
        <v>物攻：6
物防：1
装备时无法穿戴武器。
机率性根据对方最大生命值，造成额外伤害。
额外伤害的数值为3倍暴击伤害，但若敌人血量大于此数值的1%，则改为敌人血量的1%。
穿戴多个可以提升触发机率。</v>
      </c>
      <c r="I28" s="411" t="s">
        <v>8301</v>
      </c>
      <c r="J28" s="177" t="s">
        <v>8302</v>
      </c>
      <c r="K28" s="415" t="str">
        <f>IFERROR(__xludf.DUMMYFUNCTION("GOOGLETRANSLATE(A28,""zh-tw"",""KO"")"),"얼굴을 부수는 장갑")</f>
        <v>얼굴을 부수는 장갑</v>
      </c>
      <c r="L28" s="210" t="str">
        <f>IFERROR(__xludf.DUMMYFUNCTION("GOOGLETRANSLATE(B28,""zh-tw"",""KO"")"),"물리 공격력: 6
물리 방어력: 1
장착 중에는 무기를 착용할 수 없습니다.
상대방의 최대 체력에 비례하여 추가 피해를 줄 확률이 있습니다.
추가 피해는 치명타 피해의 3배이지만, 적의 체력이 치명타 피해의 1%보다 클 경우, 적 체력의 1%로 감소합니다.
여러 개를 착용하면 발동 확률이 증가합니다.")</f>
        <v>물리 공격력: 6
물리 방어력: 1
장착 중에는 무기를 착용할 수 없습니다.
상대방의 최대 체력에 비례하여 추가 피해를 줄 확률이 있습니다.
추가 피해는 치명타 피해의 3배이지만, 적의 체력이 치명타 피해의 1%보다 클 경우, 적 체력의 1%로 감소합니다.
여러 개를 착용하면 발동 확률이 증가합니다.</v>
      </c>
      <c r="M28" s="415" t="s">
        <v>8303</v>
      </c>
      <c r="N28" s="210" t="s">
        <v>8304</v>
      </c>
      <c r="O28" s="412" t="s">
        <v>8305</v>
      </c>
      <c r="P28" s="214" t="s">
        <v>8306</v>
      </c>
      <c r="Q28" s="427" t="s">
        <v>8307</v>
      </c>
      <c r="R28" s="418" t="s">
        <v>8308</v>
      </c>
      <c r="S28" s="415" t="s">
        <v>8309</v>
      </c>
      <c r="T28" s="210" t="s">
        <v>8310</v>
      </c>
      <c r="U28" s="415"/>
      <c r="V28" s="210"/>
      <c r="W28" s="8"/>
      <c r="X28" s="8"/>
      <c r="Y28" s="8"/>
      <c r="Z28" s="8"/>
      <c r="AA28" s="8"/>
      <c r="AB28" s="8"/>
      <c r="AC28" s="8"/>
      <c r="AD28" s="8"/>
      <c r="AE28" s="8"/>
      <c r="AF28" s="8"/>
      <c r="AG28" s="8"/>
      <c r="AH28" s="8"/>
      <c r="AI28" s="8"/>
      <c r="AJ28" s="8"/>
      <c r="AK28" s="8"/>
      <c r="AL28" s="8"/>
      <c r="AM28" s="8"/>
      <c r="AN28" s="8"/>
      <c r="AO28" s="8"/>
      <c r="AP28" s="8"/>
      <c r="AQ28" s="8"/>
      <c r="AR28" s="8"/>
      <c r="AS28" s="8"/>
      <c r="AT28" s="8"/>
    </row>
    <row r="29">
      <c r="A29" s="412" t="s">
        <v>8311</v>
      </c>
      <c r="B29" s="214" t="s">
        <v>8312</v>
      </c>
      <c r="C29" s="411" t="s">
        <v>8313</v>
      </c>
      <c r="D29" s="177" t="s">
        <v>8314</v>
      </c>
      <c r="E29" s="411" t="s">
        <v>8315</v>
      </c>
      <c r="F29" s="177" t="s">
        <v>8316</v>
      </c>
      <c r="G29" s="415" t="str">
        <f>IFERROR(__xludf.DUMMYFUNCTION("GOOGLETRANSLATE(A29,""zh-tw"",""zh"")"),"萌萌兔耳")</f>
        <v>萌萌兔耳</v>
      </c>
      <c r="H29" s="210" t="str">
        <f>IFERROR(__xludf.DUMMYFUNCTION("GOOGLETRANSLATE(B29,""zh-tw"",""zh"")"),"物防：1
幸运：60
增加物品掉落率")</f>
        <v>物防：1
幸运：60
增加物品掉落率</v>
      </c>
      <c r="I29" s="415" t="str">
        <f>IFERROR(__xludf.DUMMYFUNCTION("GOOGLETRANSLATE(A29,""zh-tw"",""es-MX"")"),"Lindas orejas de conejito")</f>
        <v>Lindas orejas de conejito</v>
      </c>
      <c r="J29" s="210" t="str">
        <f>IFERROR(__xludf.DUMMYFUNCTION("GOOGLETRANSLATE(B29,""zh-tw"",""es-MX"")"),"Defensa física: 1
Suerte: 60
Aumenta la probabilidad de obtener objetos")</f>
        <v>Defensa física: 1
Suerte: 60
Aumenta la probabilidad de obtener objetos</v>
      </c>
      <c r="K29" s="415" t="str">
        <f>IFERROR(__xludf.DUMMYFUNCTION("GOOGLETRANSLATE(A29,""zh-tw"",""KO"")"),"귀여운 토끼 귀")</f>
        <v>귀여운 토끼 귀</v>
      </c>
      <c r="L29" s="210" t="str">
        <f>IFERROR(__xludf.DUMMYFUNCTION("GOOGLETRANSLATE(B29,""zh-tw"",""KO"")"),"물리 방어력: 1
행운: 60
아이템 드롭률 증가")</f>
        <v>물리 방어력: 1
행운: 60
아이템 드롭률 증가</v>
      </c>
      <c r="M29" s="415" t="s">
        <v>8317</v>
      </c>
      <c r="N29" s="210" t="s">
        <v>8318</v>
      </c>
      <c r="O29" s="412" t="s">
        <v>8319</v>
      </c>
      <c r="P29" s="214" t="s">
        <v>8320</v>
      </c>
      <c r="Q29" s="428" t="s">
        <v>8321</v>
      </c>
      <c r="R29" s="418" t="s">
        <v>8322</v>
      </c>
      <c r="S29" s="415" t="s">
        <v>8323</v>
      </c>
      <c r="T29" s="210" t="s">
        <v>8324</v>
      </c>
      <c r="U29" s="415"/>
      <c r="V29" s="210"/>
      <c r="W29" s="8"/>
      <c r="X29" s="8"/>
      <c r="Y29" s="8"/>
      <c r="Z29" s="8"/>
      <c r="AA29" s="8"/>
      <c r="AB29" s="8"/>
      <c r="AC29" s="8"/>
      <c r="AD29" s="8"/>
      <c r="AE29" s="8"/>
      <c r="AF29" s="8"/>
      <c r="AG29" s="8"/>
      <c r="AH29" s="8"/>
      <c r="AI29" s="8"/>
      <c r="AJ29" s="8"/>
      <c r="AK29" s="8"/>
      <c r="AL29" s="8"/>
      <c r="AM29" s="8"/>
      <c r="AN29" s="8"/>
      <c r="AO29" s="8"/>
      <c r="AP29" s="8"/>
      <c r="AQ29" s="8"/>
      <c r="AR29" s="8"/>
      <c r="AS29" s="8"/>
      <c r="AT29" s="8"/>
    </row>
    <row r="30">
      <c r="A30" s="412" t="s">
        <v>8325</v>
      </c>
      <c r="B30" s="214" t="s">
        <v>8326</v>
      </c>
      <c r="C30" s="411" t="s">
        <v>8327</v>
      </c>
      <c r="D30" s="177" t="s">
        <v>8328</v>
      </c>
      <c r="E30" s="411" t="s">
        <v>8329</v>
      </c>
      <c r="F30" s="177" t="s">
        <v>8330</v>
      </c>
      <c r="G30" s="415" t="str">
        <f>IFERROR(__xludf.DUMMYFUNCTION("GOOGLETRANSLATE(A30,""zh-tw"",""zh"")"),"女仆制服")</f>
        <v>女仆制服</v>
      </c>
      <c r="H30" s="210" t="str">
        <f>IFERROR(__xludf.DUMMYFUNCTION("GOOGLETRANSLATE(B30,""zh-tw"",""zh"")"),"物防：4
魔抗：4
幸运：30
无法攻击、特殊效果")</f>
        <v>物防：4
魔抗：4
幸运：30
无法攻击、特殊效果</v>
      </c>
      <c r="I30" s="415" t="str">
        <f>IFERROR(__xludf.DUMMYFUNCTION("GOOGLETRANSLATE(A30,""zh-tw"",""es-MX"")"),"Uniforme de sirvienta")</f>
        <v>Uniforme de sirvienta</v>
      </c>
      <c r="J30" s="210" t="str">
        <f>IFERROR(__xludf.DUMMYFUNCTION("GOOGLETRANSLATE(B30,""zh-tw"",""es-MX"")"),"Defensa física: 4
Resistencia mágica: 4
Suerte: 30
No puede atacar, efecto especial")</f>
        <v>Defensa física: 4
Resistencia mágica: 4
Suerte: 30
No puede atacar, efecto especial</v>
      </c>
      <c r="K30" s="412" t="s">
        <v>8331</v>
      </c>
      <c r="L30" s="177" t="s">
        <v>8332</v>
      </c>
      <c r="M30" s="415" t="s">
        <v>8333</v>
      </c>
      <c r="N30" s="210" t="s">
        <v>8334</v>
      </c>
      <c r="O30" s="412" t="s">
        <v>8335</v>
      </c>
      <c r="P30" s="214" t="s">
        <v>8336</v>
      </c>
      <c r="Q30" s="428" t="s">
        <v>8337</v>
      </c>
      <c r="R30" s="414" t="s">
        <v>8338</v>
      </c>
      <c r="S30" s="415" t="s">
        <v>8339</v>
      </c>
      <c r="T30" s="210" t="s">
        <v>8340</v>
      </c>
      <c r="U30" s="415"/>
      <c r="V30" s="210"/>
      <c r="W30" s="8"/>
      <c r="X30" s="8"/>
      <c r="Y30" s="8"/>
      <c r="Z30" s="8"/>
      <c r="AA30" s="8"/>
      <c r="AB30" s="8"/>
      <c r="AC30" s="8"/>
      <c r="AD30" s="8"/>
      <c r="AE30" s="8"/>
      <c r="AF30" s="8"/>
      <c r="AG30" s="8"/>
      <c r="AH30" s="8"/>
      <c r="AI30" s="8"/>
      <c r="AJ30" s="8"/>
      <c r="AK30" s="8"/>
      <c r="AL30" s="8"/>
      <c r="AM30" s="8"/>
      <c r="AN30" s="8"/>
      <c r="AO30" s="8"/>
      <c r="AP30" s="8"/>
      <c r="AQ30" s="8"/>
      <c r="AR30" s="8"/>
      <c r="AS30" s="8"/>
      <c r="AT30" s="8"/>
    </row>
    <row r="31">
      <c r="A31" s="412" t="s">
        <v>8341</v>
      </c>
      <c r="B31" s="214" t="s">
        <v>8342</v>
      </c>
      <c r="C31" s="411" t="s">
        <v>8343</v>
      </c>
      <c r="D31" s="177" t="s">
        <v>8344</v>
      </c>
      <c r="E31" s="411" t="s">
        <v>8345</v>
      </c>
      <c r="F31" s="177" t="s">
        <v>8346</v>
      </c>
      <c r="G31" s="415" t="str">
        <f>IFERROR(__xludf.DUMMYFUNCTION("GOOGLETRANSLATE(A31,""zh-tw"",""zh"")"),"毅力头巾")</f>
        <v>毅力头巾</v>
      </c>
      <c r="H31" s="210" t="str">
        <f>IFERROR(__xludf.DUMMYFUNCTION("GOOGLETRANSLATE(B31,""zh-tw"",""zh"")"),"物防：2
体力上升5%、增加了15%全异常抗性、15%机率免死")</f>
        <v>物防：2
体力上升5%、增加了15%全异常抗性、15%机率免死</v>
      </c>
      <c r="I31" s="415" t="str">
        <f>IFERROR(__xludf.DUMMYFUNCTION("GOOGLETRANSLATE(A31,""zh-tw"",""es-MX"")"),"Diadema de la perseverancia")</f>
        <v>Diadema de la perseverancia</v>
      </c>
      <c r="J31" s="210" t="str">
        <f>IFERROR(__xludf.DUMMYFUNCTION("GOOGLETRANSLATE(B31,""zh-tw"",""es-MX"")"),"Defensa física: 2. Aumenta la resistencia en un 5%, aumenta la resistencia a todos los estados anormales en un 15% y otorga un 15% de probabilidad de invulnerabilidad.")</f>
        <v>Defensa física: 2. Aumenta la resistencia en un 5%, aumenta la resistencia a todos los estados anormales en un 15% y otorga un 15% de probabilidad de invulnerabilidad.</v>
      </c>
      <c r="K31" s="411" t="s">
        <v>8347</v>
      </c>
      <c r="L31" s="177" t="s">
        <v>8348</v>
      </c>
      <c r="M31" s="415" t="s">
        <v>8349</v>
      </c>
      <c r="N31" s="210" t="s">
        <v>8350</v>
      </c>
      <c r="O31" s="412" t="s">
        <v>8351</v>
      </c>
      <c r="P31" s="214" t="s">
        <v>8352</v>
      </c>
      <c r="Q31" s="428" t="s">
        <v>8353</v>
      </c>
      <c r="R31" s="414" t="s">
        <v>8354</v>
      </c>
      <c r="S31" s="415" t="s">
        <v>8355</v>
      </c>
      <c r="T31" s="210" t="s">
        <v>8356</v>
      </c>
      <c r="U31" s="415"/>
      <c r="V31" s="210"/>
      <c r="W31" s="8"/>
      <c r="X31" s="8"/>
      <c r="Y31" s="8"/>
      <c r="Z31" s="8"/>
      <c r="AA31" s="8"/>
      <c r="AB31" s="8"/>
      <c r="AC31" s="8"/>
      <c r="AD31" s="8"/>
      <c r="AE31" s="8"/>
      <c r="AF31" s="8"/>
      <c r="AG31" s="8"/>
      <c r="AH31" s="8"/>
      <c r="AI31" s="8"/>
      <c r="AJ31" s="8"/>
      <c r="AK31" s="8"/>
      <c r="AL31" s="8"/>
      <c r="AM31" s="8"/>
      <c r="AN31" s="8"/>
      <c r="AO31" s="8"/>
      <c r="AP31" s="8"/>
      <c r="AQ31" s="8"/>
      <c r="AR31" s="8"/>
      <c r="AS31" s="8"/>
      <c r="AT31" s="8"/>
    </row>
    <row r="32">
      <c r="A32" s="411" t="s">
        <v>8357</v>
      </c>
      <c r="B32" s="177" t="s">
        <v>8358</v>
      </c>
      <c r="C32" s="411" t="s">
        <v>8359</v>
      </c>
      <c r="D32" s="177" t="s">
        <v>8360</v>
      </c>
      <c r="E32" s="415" t="str">
        <f>IFERROR(__xludf.DUMMYFUNCTION("GOOGLETRANSLATE(A32,""zh-tw"",""en"")"),"Martial Arts Wristguards")</f>
        <v>Martial Arts Wristguards</v>
      </c>
      <c r="F32" s="177" t="s">
        <v>8361</v>
      </c>
      <c r="G32" s="415" t="str">
        <f>IFERROR(__xludf.DUMMYFUNCTION("GOOGLETRANSLATE(A32,""zh-tw"",""zh"")"),"武术家护腕")</f>
        <v>武术家护腕</v>
      </c>
      <c r="H32" s="210" t="str">
        <f>IFERROR(__xludf.DUMMYFUNCTION("GOOGLETRANSLATE(B32,""zh-tw"",""zh"")"),"物攻：3
减少物理系武器耐久消耗、提升攻速和拳击的伤害")</f>
        <v>物攻：3
减少物理系武器耐久消耗、提升攻速和拳击的伤害</v>
      </c>
      <c r="I32" s="415" t="str">
        <f>IFERROR(__xludf.DUMMYFUNCTION("GOOGLETRANSLATE(A32,""zh-tw"",""es-MX"")"),"Muñequeras para artes marciales")</f>
        <v>Muñequeras para artes marciales</v>
      </c>
      <c r="J32" s="210" t="str">
        <f>IFERROR(__xludf.DUMMYFUNCTION("GOOGLETRANSLATE(B32,""zh-tw"",""es-MX"")"),"Ataque físico: 3. Reduce el consumo de durabilidad de las armas físicas, aumenta la velocidad de ataque y el daño de los puñetazos.")</f>
        <v>Ataque físico: 3. Reduce el consumo de durabilidad de las armas físicas, aumenta la velocidad de ataque y el daño de los puñetazos.</v>
      </c>
      <c r="K32" s="415" t="str">
        <f>IFERROR(__xludf.DUMMYFUNCTION("GOOGLETRANSLATE(A32,""zh-tw"",""KO"")"),"무술용 손목 보호대")</f>
        <v>무술용 손목 보호대</v>
      </c>
      <c r="L32" s="210" t="str">
        <f>IFERROR(__xludf.DUMMYFUNCTION("GOOGLETRANSLATE(B32,""zh-tw"",""KO"")"),"물리 공격: 3. 물리 무기의 내구도 소모를 줄이고, 공격 속도와 주먹 공격력을 증가시킵니다.")</f>
        <v>물리 공격: 3. 물리 무기의 내구도 소모를 줄이고, 공격 속도와 주먹 공격력을 증가시킵니다.</v>
      </c>
      <c r="M32" s="415" t="s">
        <v>8362</v>
      </c>
      <c r="N32" s="210" t="s">
        <v>8363</v>
      </c>
      <c r="O32" s="412" t="s">
        <v>8364</v>
      </c>
      <c r="P32" s="214" t="s">
        <v>8365</v>
      </c>
      <c r="Q32" s="427" t="s">
        <v>8366</v>
      </c>
      <c r="R32" s="418" t="s">
        <v>8367</v>
      </c>
      <c r="S32" s="415" t="s">
        <v>8368</v>
      </c>
      <c r="T32" s="210" t="s">
        <v>8369</v>
      </c>
      <c r="U32" s="415"/>
      <c r="V32" s="210"/>
      <c r="W32" s="8"/>
      <c r="X32" s="8"/>
      <c r="Y32" s="8"/>
      <c r="Z32" s="8"/>
      <c r="AA32" s="8"/>
      <c r="AB32" s="8"/>
      <c r="AC32" s="8"/>
      <c r="AD32" s="8"/>
      <c r="AE32" s="8"/>
      <c r="AF32" s="8"/>
      <c r="AG32" s="8"/>
      <c r="AH32" s="8"/>
      <c r="AI32" s="8"/>
      <c r="AJ32" s="8"/>
      <c r="AK32" s="8"/>
      <c r="AL32" s="8"/>
      <c r="AM32" s="8"/>
      <c r="AN32" s="8"/>
      <c r="AO32" s="8"/>
      <c r="AP32" s="8"/>
      <c r="AQ32" s="8"/>
      <c r="AR32" s="8"/>
      <c r="AS32" s="8"/>
      <c r="AT32" s="8"/>
    </row>
    <row r="33">
      <c r="A33" s="412" t="s">
        <v>8370</v>
      </c>
      <c r="B33" s="214" t="s">
        <v>8371</v>
      </c>
      <c r="C33" s="411" t="s">
        <v>8372</v>
      </c>
      <c r="D33" s="177" t="s">
        <v>8373</v>
      </c>
      <c r="E33" s="411" t="s">
        <v>8374</v>
      </c>
      <c r="F33" s="177" t="s">
        <v>8375</v>
      </c>
      <c r="G33" s="415" t="str">
        <f>IFERROR(__xludf.DUMMYFUNCTION("GOOGLETRANSLATE(A33,""zh-tw"",""zh"")"),"武术家之鞋")</f>
        <v>武术家之鞋</v>
      </c>
      <c r="H33" s="210" t="str">
        <f>IFERROR(__xludf.DUMMYFUNCTION("GOOGLETRANSLATE(B33,""zh-tw"",""zh"")"),"物防：2
魔抗：10
闪步效果强化")</f>
        <v>物防：2
魔抗：10
闪步效果强化</v>
      </c>
      <c r="I33" s="415" t="str">
        <f>IFERROR(__xludf.DUMMYFUNCTION("GOOGLETRANSLATE(A33,""zh-tw"",""es-MX"")"),"Zapatos de artista marcial")</f>
        <v>Zapatos de artista marcial</v>
      </c>
      <c r="J33" s="210" t="str">
        <f>IFERROR(__xludf.DUMMYFUNCTION("GOOGLETRANSLATE(B33,""zh-tw"",""es-MX"")"),"Defensa física: 2
Resistencia mágica: 10
Mejora del efecto de Paso relámpago")</f>
        <v>Defensa física: 2
Resistencia mágica: 10
Mejora del efecto de Paso relámpago</v>
      </c>
      <c r="K33" s="415" t="str">
        <f>IFERROR(__xludf.DUMMYFUNCTION("GOOGLETRANSLATE(A33,""zh-tw"",""KO"")"),"무술가용 신발")</f>
        <v>무술가용 신발</v>
      </c>
      <c r="L33" s="210" t="str">
        <f>IFERROR(__xludf.DUMMYFUNCTION("GOOGLETRANSLATE(B33,""zh-tw"",""KO"")"),"물리 방어력: 2
마법 저항력: 10
플래시 스텝 효과 강화")</f>
        <v>물리 방어력: 2
마법 저항력: 10
플래시 스텝 효과 강화</v>
      </c>
      <c r="M33" s="415" t="s">
        <v>8376</v>
      </c>
      <c r="N33" s="210" t="s">
        <v>8377</v>
      </c>
      <c r="O33" s="412" t="s">
        <v>8378</v>
      </c>
      <c r="P33" s="214" t="s">
        <v>8379</v>
      </c>
      <c r="Q33" s="428" t="s">
        <v>8380</v>
      </c>
      <c r="R33" s="418" t="s">
        <v>8381</v>
      </c>
      <c r="S33" s="415" t="s">
        <v>8382</v>
      </c>
      <c r="T33" s="210" t="s">
        <v>8383</v>
      </c>
      <c r="U33" s="415"/>
      <c r="V33" s="210"/>
      <c r="W33" s="8"/>
      <c r="X33" s="8"/>
      <c r="Y33" s="8"/>
      <c r="Z33" s="8"/>
      <c r="AA33" s="8"/>
      <c r="AB33" s="8"/>
      <c r="AC33" s="8"/>
      <c r="AD33" s="8"/>
      <c r="AE33" s="8"/>
      <c r="AF33" s="8"/>
      <c r="AG33" s="8"/>
      <c r="AH33" s="8"/>
      <c r="AI33" s="8"/>
      <c r="AJ33" s="8"/>
      <c r="AK33" s="8"/>
      <c r="AL33" s="8"/>
      <c r="AM33" s="8"/>
      <c r="AN33" s="8"/>
      <c r="AO33" s="8"/>
      <c r="AP33" s="8"/>
      <c r="AQ33" s="8"/>
      <c r="AR33" s="8"/>
      <c r="AS33" s="8"/>
      <c r="AT33" s="8"/>
    </row>
    <row r="34">
      <c r="A34" s="412" t="s">
        <v>8384</v>
      </c>
      <c r="B34" s="214" t="s">
        <v>8385</v>
      </c>
      <c r="C34" s="411" t="s">
        <v>8386</v>
      </c>
      <c r="D34" s="177" t="s">
        <v>8387</v>
      </c>
      <c r="E34" s="411" t="s">
        <v>8388</v>
      </c>
      <c r="F34" s="177" t="s">
        <v>8389</v>
      </c>
      <c r="G34" s="415" t="str">
        <f>IFERROR(__xludf.DUMMYFUNCTION("GOOGLETRANSLATE(A34,""zh-tw"",""zh"")"),"穿刺钉盔")</f>
        <v>穿刺钉盔</v>
      </c>
      <c r="H34" s="210" t="str">
        <f>IFERROR(__xludf.DUMMYFUNCTION("GOOGLETRANSLATE(B34,""zh-tw"",""zh"")"),"物攻：4
物防：2
伤害型防具")</f>
        <v>物攻：4
物防：2
伤害型防具</v>
      </c>
      <c r="I34" s="415" t="str">
        <f>IFERROR(__xludf.DUMMYFUNCTION("GOOGLETRANSLATE(A34,""zh-tw"",""es-MX"")"),"Casco perforado")</f>
        <v>Casco perforado</v>
      </c>
      <c r="J34" s="210" t="str">
        <f>IFERROR(__xludf.DUMMYFUNCTION("GOOGLETRANSLATE(B34,""zh-tw"",""es-MX"")"),"Ataque físico: 4
Defensa física: 2
Armadura que inflige daño")</f>
        <v>Ataque físico: 4
Defensa física: 2
Armadura que inflige daño</v>
      </c>
      <c r="K34" s="411" t="s">
        <v>8390</v>
      </c>
      <c r="L34" s="177" t="s">
        <v>8391</v>
      </c>
      <c r="M34" s="415" t="s">
        <v>8392</v>
      </c>
      <c r="N34" s="210" t="s">
        <v>8393</v>
      </c>
      <c r="O34" s="412" t="s">
        <v>8394</v>
      </c>
      <c r="P34" s="214" t="s">
        <v>8395</v>
      </c>
      <c r="Q34" s="428" t="s">
        <v>8396</v>
      </c>
      <c r="R34" s="414" t="s">
        <v>8397</v>
      </c>
      <c r="S34" s="415" t="s">
        <v>8398</v>
      </c>
      <c r="T34" s="210" t="s">
        <v>8399</v>
      </c>
      <c r="U34" s="415"/>
      <c r="V34" s="210"/>
      <c r="W34" s="8"/>
      <c r="X34" s="8"/>
      <c r="Y34" s="8"/>
      <c r="Z34" s="8"/>
      <c r="AA34" s="8"/>
      <c r="AB34" s="8"/>
      <c r="AC34" s="8"/>
      <c r="AD34" s="8"/>
      <c r="AE34" s="8"/>
      <c r="AF34" s="8"/>
      <c r="AG34" s="8"/>
      <c r="AH34" s="8"/>
      <c r="AI34" s="8"/>
      <c r="AJ34" s="8"/>
      <c r="AK34" s="8"/>
      <c r="AL34" s="8"/>
      <c r="AM34" s="8"/>
      <c r="AN34" s="8"/>
      <c r="AO34" s="8"/>
      <c r="AP34" s="8"/>
      <c r="AQ34" s="8"/>
      <c r="AR34" s="8"/>
      <c r="AS34" s="8"/>
      <c r="AT34" s="8"/>
    </row>
    <row r="35">
      <c r="A35" s="412" t="s">
        <v>8400</v>
      </c>
      <c r="B35" s="214" t="s">
        <v>8401</v>
      </c>
      <c r="C35" s="411" t="s">
        <v>8402</v>
      </c>
      <c r="D35" s="177" t="s">
        <v>8403</v>
      </c>
      <c r="E35" s="411" t="s">
        <v>8404</v>
      </c>
      <c r="F35" s="177" t="s">
        <v>8405</v>
      </c>
      <c r="G35" s="415" t="str">
        <f>IFERROR(__xludf.DUMMYFUNCTION("GOOGLETRANSLATE(A35,""zh-tw"",""zh"")"),"穿刺钉甲")</f>
        <v>穿刺钉甲</v>
      </c>
      <c r="H35" s="210" t="str">
        <f>IFERROR(__xludf.DUMMYFUNCTION("GOOGLETRANSLATE(B35,""zh-tw"",""zh"")"),"物攻：2
物防：6
伤害型防具")</f>
        <v>物攻：2
物防：6
伤害型防具</v>
      </c>
      <c r="I35" s="415" t="str">
        <f>IFERROR(__xludf.DUMMYFUNCTION("GOOGLETRANSLATE(A35,""zh-tw"",""es-MX"")"),"Armadura de uñas perforantes")</f>
        <v>Armadura de uñas perforantes</v>
      </c>
      <c r="J35" s="210" t="str">
        <f>IFERROR(__xludf.DUMMYFUNCTION("GOOGLETRANSLATE(B35,""zh-tw"",""es-MX"")"),"Ataque físico: 2 Defensa física: 6 Armadura que inflige daño")</f>
        <v>Ataque físico: 2 Defensa física: 6 Armadura que inflige daño</v>
      </c>
      <c r="K35" s="411" t="s">
        <v>8406</v>
      </c>
      <c r="L35" s="177" t="s">
        <v>8407</v>
      </c>
      <c r="M35" s="415" t="s">
        <v>8408</v>
      </c>
      <c r="N35" s="210" t="s">
        <v>8409</v>
      </c>
      <c r="O35" s="412" t="s">
        <v>8410</v>
      </c>
      <c r="P35" s="214" t="s">
        <v>8411</v>
      </c>
      <c r="Q35" s="428" t="s">
        <v>8412</v>
      </c>
      <c r="R35" s="414" t="s">
        <v>8413</v>
      </c>
      <c r="S35" s="415" t="s">
        <v>8414</v>
      </c>
      <c r="T35" s="210" t="s">
        <v>8415</v>
      </c>
      <c r="U35" s="415"/>
      <c r="V35" s="210"/>
      <c r="W35" s="8"/>
      <c r="X35" s="8"/>
      <c r="Y35" s="8"/>
      <c r="Z35" s="8"/>
      <c r="AA35" s="8"/>
      <c r="AB35" s="8"/>
      <c r="AC35" s="8"/>
      <c r="AD35" s="8"/>
      <c r="AE35" s="8"/>
      <c r="AF35" s="8"/>
      <c r="AG35" s="8"/>
      <c r="AH35" s="8"/>
      <c r="AI35" s="8"/>
      <c r="AJ35" s="8"/>
      <c r="AK35" s="8"/>
      <c r="AL35" s="8"/>
      <c r="AM35" s="8"/>
      <c r="AN35" s="8"/>
      <c r="AO35" s="8"/>
      <c r="AP35" s="8"/>
      <c r="AQ35" s="8"/>
      <c r="AR35" s="8"/>
      <c r="AS35" s="8"/>
      <c r="AT35" s="8"/>
    </row>
    <row r="36">
      <c r="A36" s="412" t="s">
        <v>8416</v>
      </c>
      <c r="B36" s="214" t="s">
        <v>8417</v>
      </c>
      <c r="C36" s="411" t="s">
        <v>8418</v>
      </c>
      <c r="D36" s="177" t="s">
        <v>8419</v>
      </c>
      <c r="E36" s="411" t="s">
        <v>8420</v>
      </c>
      <c r="F36" s="177" t="s">
        <v>8421</v>
      </c>
      <c r="G36" s="415" t="str">
        <f>IFERROR(__xludf.DUMMYFUNCTION("GOOGLETRANSLATE(A36,""zh-tw"",""zh"")"),"穿刺臂铠")</f>
        <v>穿刺臂铠</v>
      </c>
      <c r="H36" s="210" t="str">
        <f>IFERROR(__xludf.DUMMYFUNCTION("GOOGLETRANSLATE(B36,""zh-tw"",""zh"")"),"物攻：5
物防：1
伤害型防具")</f>
        <v>物攻：5
物防：1
伤害型防具</v>
      </c>
      <c r="I36" s="415" t="str">
        <f>IFERROR(__xludf.DUMMYFUNCTION("GOOGLETRANSLATE(A36,""zh-tw"",""es-MX"")"),"Armadura de brazo perforante")</f>
        <v>Armadura de brazo perforante</v>
      </c>
      <c r="J36" s="210" t="str">
        <f>IFERROR(__xludf.DUMMYFUNCTION("GOOGLETRANSLATE(B36,""zh-tw"",""es-MX"")"),"Ataque físico: 5
Defensa física: 1
Armadura que inflige daño")</f>
        <v>Ataque físico: 5
Defensa física: 1
Armadura que inflige daño</v>
      </c>
      <c r="K36" s="411" t="s">
        <v>8422</v>
      </c>
      <c r="L36" s="177" t="s">
        <v>8423</v>
      </c>
      <c r="M36" s="415" t="s">
        <v>8424</v>
      </c>
      <c r="N36" s="210" t="s">
        <v>8425</v>
      </c>
      <c r="O36" s="412" t="s">
        <v>8426</v>
      </c>
      <c r="P36" s="214" t="s">
        <v>8427</v>
      </c>
      <c r="Q36" s="428" t="s">
        <v>8428</v>
      </c>
      <c r="R36" s="414" t="s">
        <v>8429</v>
      </c>
      <c r="S36" s="415" t="s">
        <v>8430</v>
      </c>
      <c r="T36" s="210" t="s">
        <v>8431</v>
      </c>
      <c r="U36" s="415"/>
      <c r="V36" s="210"/>
      <c r="W36" s="8"/>
      <c r="X36" s="8"/>
      <c r="Y36" s="8"/>
      <c r="Z36" s="8"/>
      <c r="AA36" s="8"/>
      <c r="AB36" s="8"/>
      <c r="AC36" s="8"/>
      <c r="AD36" s="8"/>
      <c r="AE36" s="8"/>
      <c r="AF36" s="8"/>
      <c r="AG36" s="8"/>
      <c r="AH36" s="8"/>
      <c r="AI36" s="8"/>
      <c r="AJ36" s="8"/>
      <c r="AK36" s="8"/>
      <c r="AL36" s="8"/>
      <c r="AM36" s="8"/>
      <c r="AN36" s="8"/>
      <c r="AO36" s="8"/>
      <c r="AP36" s="8"/>
      <c r="AQ36" s="8"/>
      <c r="AR36" s="8"/>
      <c r="AS36" s="8"/>
      <c r="AT36" s="8"/>
    </row>
    <row r="37">
      <c r="A37" s="412" t="s">
        <v>8432</v>
      </c>
      <c r="B37" s="214" t="s">
        <v>8433</v>
      </c>
      <c r="C37" s="411" t="s">
        <v>8434</v>
      </c>
      <c r="D37" s="177" t="s">
        <v>8435</v>
      </c>
      <c r="E37" s="411" t="s">
        <v>8436</v>
      </c>
      <c r="F37" s="177" t="s">
        <v>8437</v>
      </c>
      <c r="G37" s="415" t="str">
        <f>IFERROR(__xludf.DUMMYFUNCTION("GOOGLETRANSLATE(A37,""zh-tw"",""zh"")"),"穿刺钉鞋")</f>
        <v>穿刺钉鞋</v>
      </c>
      <c r="H37" s="210" t="str">
        <f>IFERROR(__xludf.DUMMYFUNCTION("GOOGLETRANSLATE(B37,""zh-tw"",""zh"")"),"物攻：2
物防：2
伤害型防具")</f>
        <v>物攻：2
物防：2
伤害型防具</v>
      </c>
      <c r="I37" s="411" t="s">
        <v>8438</v>
      </c>
      <c r="J37" s="210" t="str">
        <f>IFERROR(__xludf.DUMMYFUNCTION("GOOGLETRANSLATE(B37,""zh-tw"",""es-MX"")"),"Ataque físico: 2 Defensa física: 2 Armadura que inflige daño")</f>
        <v>Ataque físico: 2 Defensa física: 2 Armadura que inflige daño</v>
      </c>
      <c r="K37" s="411" t="s">
        <v>8439</v>
      </c>
      <c r="L37" s="177" t="s">
        <v>8440</v>
      </c>
      <c r="M37" s="415" t="s">
        <v>8441</v>
      </c>
      <c r="N37" s="210" t="s">
        <v>8442</v>
      </c>
      <c r="O37" s="412" t="s">
        <v>8443</v>
      </c>
      <c r="P37" s="214" t="s">
        <v>8444</v>
      </c>
      <c r="Q37" s="428" t="s">
        <v>8445</v>
      </c>
      <c r="R37" s="414" t="s">
        <v>8446</v>
      </c>
      <c r="S37" s="415" t="s">
        <v>8436</v>
      </c>
      <c r="T37" s="210" t="s">
        <v>8447</v>
      </c>
      <c r="U37" s="415"/>
      <c r="V37" s="210"/>
      <c r="W37" s="8"/>
      <c r="X37" s="8"/>
      <c r="Y37" s="8"/>
      <c r="Z37" s="8"/>
      <c r="AA37" s="8"/>
      <c r="AB37" s="8"/>
      <c r="AC37" s="8"/>
      <c r="AD37" s="8"/>
      <c r="AE37" s="8"/>
      <c r="AF37" s="8"/>
      <c r="AG37" s="8"/>
      <c r="AH37" s="8"/>
      <c r="AI37" s="8"/>
      <c r="AJ37" s="8"/>
      <c r="AK37" s="8"/>
      <c r="AL37" s="8"/>
      <c r="AM37" s="8"/>
      <c r="AN37" s="8"/>
      <c r="AO37" s="8"/>
      <c r="AP37" s="8"/>
      <c r="AQ37" s="8"/>
      <c r="AR37" s="8"/>
      <c r="AS37" s="8"/>
      <c r="AT37" s="8"/>
    </row>
    <row r="38">
      <c r="A38" s="412" t="s">
        <v>8448</v>
      </c>
      <c r="B38" s="214" t="s">
        <v>8449</v>
      </c>
      <c r="C38" s="411" t="s">
        <v>8450</v>
      </c>
      <c r="D38" s="177" t="s">
        <v>8451</v>
      </c>
      <c r="E38" s="411" t="s">
        <v>8452</v>
      </c>
      <c r="F38" s="177" t="s">
        <v>8453</v>
      </c>
      <c r="G38" s="415" t="str">
        <f>IFERROR(__xludf.DUMMYFUNCTION("GOOGLETRANSLATE(A38,""zh-tw"",""zh"")"),"骑士头盔")</f>
        <v>骑士头盔</v>
      </c>
      <c r="H38" s="210" t="str">
        <f>IFERROR(__xludf.DUMMYFUNCTION("GOOGLETRANSLATE(B38,""zh-tw"",""zh"")"),"物防：5
魔抗：2
低体力加防御")</f>
        <v>物防：5
魔抗：2
低体力加防御</v>
      </c>
      <c r="I38" s="415" t="str">
        <f>IFERROR(__xludf.DUMMYFUNCTION("GOOGLETRANSLATE(A38,""zh-tw"",""es-MX"")"),"Casco de caballero")</f>
        <v>Casco de caballero</v>
      </c>
      <c r="J38" s="210" t="str">
        <f>IFERROR(__xludf.DUMMYFUNCTION("GOOGLETRANSLATE(B38,""zh-tw"",""es-MX"")"),"Defensa física: 5
Resistencia mágica: 2
Pocos puntos de vida aumentan la defensa")</f>
        <v>Defensa física: 5
Resistencia mágica: 2
Pocos puntos de vida aumentan la defensa</v>
      </c>
      <c r="K38" s="411" t="s">
        <v>8454</v>
      </c>
      <c r="L38" s="177" t="s">
        <v>8455</v>
      </c>
      <c r="M38" s="415" t="s">
        <v>8456</v>
      </c>
      <c r="N38" s="210" t="s">
        <v>8457</v>
      </c>
      <c r="O38" s="412" t="s">
        <v>8458</v>
      </c>
      <c r="P38" s="214" t="s">
        <v>8459</v>
      </c>
      <c r="Q38" s="428" t="s">
        <v>8460</v>
      </c>
      <c r="R38" s="418" t="s">
        <v>8461</v>
      </c>
      <c r="S38" s="415" t="s">
        <v>8462</v>
      </c>
      <c r="T38" s="210" t="s">
        <v>8463</v>
      </c>
      <c r="U38" s="415"/>
      <c r="V38" s="210"/>
      <c r="W38" s="8"/>
      <c r="X38" s="8"/>
      <c r="Y38" s="8"/>
      <c r="Z38" s="8"/>
      <c r="AA38" s="8"/>
      <c r="AB38" s="8"/>
      <c r="AC38" s="8"/>
      <c r="AD38" s="8"/>
      <c r="AE38" s="8"/>
      <c r="AF38" s="8"/>
      <c r="AG38" s="8"/>
      <c r="AH38" s="8"/>
      <c r="AI38" s="8"/>
      <c r="AJ38" s="8"/>
      <c r="AK38" s="8"/>
      <c r="AL38" s="8"/>
      <c r="AM38" s="8"/>
      <c r="AN38" s="8"/>
      <c r="AO38" s="8"/>
      <c r="AP38" s="8"/>
      <c r="AQ38" s="8"/>
      <c r="AR38" s="8"/>
      <c r="AS38" s="8"/>
      <c r="AT38" s="8"/>
    </row>
    <row r="39">
      <c r="A39" s="412" t="s">
        <v>8464</v>
      </c>
      <c r="B39" s="214" t="s">
        <v>8465</v>
      </c>
      <c r="C39" s="411" t="s">
        <v>8466</v>
      </c>
      <c r="D39" s="177" t="s">
        <v>8467</v>
      </c>
      <c r="E39" s="411" t="s">
        <v>8468</v>
      </c>
      <c r="F39" s="177" t="s">
        <v>8469</v>
      </c>
      <c r="G39" s="415" t="str">
        <f>IFERROR(__xludf.DUMMYFUNCTION("GOOGLETRANSLATE(A39,""zh-tw"",""zh"")"),"骑士铠甲")</f>
        <v>骑士铠甲</v>
      </c>
      <c r="H39" s="210" t="str">
        <f>IFERROR(__xludf.DUMMYFUNCTION("GOOGLETRANSLATE(B39,""zh-tw"",""zh"")"),"物防：10
魔抗：4
低体力加防御")</f>
        <v>物防：10
魔抗：4
低体力加防御</v>
      </c>
      <c r="I39" s="415" t="str">
        <f>IFERROR(__xludf.DUMMYFUNCTION("GOOGLETRANSLATE(A39,""zh-tw"",""es-MX"")"),"Armadura de caballero")</f>
        <v>Armadura de caballero</v>
      </c>
      <c r="J39" s="210" t="str">
        <f>IFERROR(__xludf.DUMMYFUNCTION("GOOGLETRANSLATE(B39,""zh-tw"",""es-MX"")"),"Defensa física: 10
Resistencia mágica: 4
Pocos puntos de vida aumentan la defensa")</f>
        <v>Defensa física: 10
Resistencia mágica: 4
Pocos puntos de vida aumentan la defensa</v>
      </c>
      <c r="K39" s="411" t="s">
        <v>8470</v>
      </c>
      <c r="L39" s="177" t="s">
        <v>8471</v>
      </c>
      <c r="M39" s="415" t="s">
        <v>8472</v>
      </c>
      <c r="N39" s="210" t="s">
        <v>8473</v>
      </c>
      <c r="O39" s="412" t="s">
        <v>8474</v>
      </c>
      <c r="P39" s="214" t="s">
        <v>8475</v>
      </c>
      <c r="Q39" s="428" t="s">
        <v>8476</v>
      </c>
      <c r="R39" s="418" t="s">
        <v>8477</v>
      </c>
      <c r="S39" s="415" t="s">
        <v>8478</v>
      </c>
      <c r="T39" s="210" t="s">
        <v>8479</v>
      </c>
      <c r="U39" s="415"/>
      <c r="V39" s="210"/>
      <c r="W39" s="8"/>
      <c r="X39" s="8"/>
      <c r="Y39" s="8"/>
      <c r="Z39" s="8"/>
      <c r="AA39" s="8"/>
      <c r="AB39" s="8"/>
      <c r="AC39" s="8"/>
      <c r="AD39" s="8"/>
      <c r="AE39" s="8"/>
      <c r="AF39" s="8"/>
      <c r="AG39" s="8"/>
      <c r="AH39" s="8"/>
      <c r="AI39" s="8"/>
      <c r="AJ39" s="8"/>
      <c r="AK39" s="8"/>
      <c r="AL39" s="8"/>
      <c r="AM39" s="8"/>
      <c r="AN39" s="8"/>
      <c r="AO39" s="8"/>
      <c r="AP39" s="8"/>
      <c r="AQ39" s="8"/>
      <c r="AR39" s="8"/>
      <c r="AS39" s="8"/>
      <c r="AT39" s="8"/>
    </row>
    <row r="40">
      <c r="A40" s="412" t="s">
        <v>8480</v>
      </c>
      <c r="B40" s="214" t="s">
        <v>8481</v>
      </c>
      <c r="C40" s="411" t="s">
        <v>8482</v>
      </c>
      <c r="D40" s="177" t="s">
        <v>8483</v>
      </c>
      <c r="E40" s="411" t="s">
        <v>8484</v>
      </c>
      <c r="F40" s="177" t="s">
        <v>8485</v>
      </c>
      <c r="G40" s="415" t="str">
        <f>IFERROR(__xludf.DUMMYFUNCTION("GOOGLETRANSLATE(A40,""zh-tw"",""zh"")"),"骑士护臂")</f>
        <v>骑士护臂</v>
      </c>
      <c r="H40" s="210" t="str">
        <f>IFERROR(__xludf.DUMMYFUNCTION("GOOGLETRANSLATE(B40,""zh-tw"",""zh"")"),"物攻：3
物防：3
低体力加攻击、防御")</f>
        <v>物攻：3
物防：3
低体力加攻击、防御</v>
      </c>
      <c r="I40" s="411" t="s">
        <v>8486</v>
      </c>
      <c r="J40" s="210" t="str">
        <f>IFERROR(__xludf.DUMMYFUNCTION("GOOGLETRANSLATE(B40,""zh-tw"",""es-MX"")"),"Ataque físico: 3 Defensa física: 3 Aumenta el ataque y la defensa cuando los PS son bajos.")</f>
        <v>Ataque físico: 3 Defensa física: 3 Aumenta el ataque y la defensa cuando los PS son bajos.</v>
      </c>
      <c r="K40" s="412" t="s">
        <v>8487</v>
      </c>
      <c r="L40" s="177" t="s">
        <v>8488</v>
      </c>
      <c r="M40" s="415" t="s">
        <v>8489</v>
      </c>
      <c r="N40" s="210" t="s">
        <v>8490</v>
      </c>
      <c r="O40" s="412" t="s">
        <v>8491</v>
      </c>
      <c r="P40" s="214" t="s">
        <v>8492</v>
      </c>
      <c r="Q40" s="428" t="s">
        <v>8493</v>
      </c>
      <c r="R40" s="52" t="s">
        <v>8494</v>
      </c>
      <c r="S40" s="415" t="s">
        <v>8495</v>
      </c>
      <c r="T40" s="210" t="s">
        <v>8496</v>
      </c>
      <c r="U40" s="415"/>
      <c r="V40" s="210"/>
      <c r="W40" s="8"/>
      <c r="X40" s="8"/>
      <c r="Y40" s="8"/>
      <c r="Z40" s="8"/>
      <c r="AA40" s="8"/>
      <c r="AB40" s="8"/>
      <c r="AC40" s="8"/>
      <c r="AD40" s="8"/>
      <c r="AE40" s="8"/>
      <c r="AF40" s="8"/>
      <c r="AG40" s="8"/>
      <c r="AH40" s="8"/>
      <c r="AI40" s="8"/>
      <c r="AJ40" s="8"/>
      <c r="AK40" s="8"/>
      <c r="AL40" s="8"/>
      <c r="AM40" s="8"/>
      <c r="AN40" s="8"/>
      <c r="AO40" s="8"/>
      <c r="AP40" s="8"/>
      <c r="AQ40" s="8"/>
      <c r="AR40" s="8"/>
      <c r="AS40" s="8"/>
      <c r="AT40" s="8"/>
    </row>
    <row r="41">
      <c r="A41" s="412" t="s">
        <v>8497</v>
      </c>
      <c r="B41" s="214" t="s">
        <v>8498</v>
      </c>
      <c r="C41" s="411" t="s">
        <v>8499</v>
      </c>
      <c r="D41" s="177" t="s">
        <v>8500</v>
      </c>
      <c r="E41" s="411" t="s">
        <v>8501</v>
      </c>
      <c r="F41" s="177" t="s">
        <v>8502</v>
      </c>
      <c r="G41" s="415" t="str">
        <f>IFERROR(__xludf.DUMMYFUNCTION("GOOGLETRANSLATE(A41,""zh-tw"",""zh"")"),"骑士胫甲")</f>
        <v>骑士胫甲</v>
      </c>
      <c r="H41" s="210" t="str">
        <f>IFERROR(__xludf.DUMMYFUNCTION("GOOGLETRANSLATE(B41,""zh-tw"",""zh"")"),"物防：2
魔抗：2
低体力加移速")</f>
        <v>物防：2
魔抗：2
低体力加移速</v>
      </c>
      <c r="I41" s="415" t="str">
        <f>IFERROR(__xludf.DUMMYFUNCTION("GOOGLETRANSLATE(A41,""zh-tw"",""es-MX"")"),"Grebas de caballero")</f>
        <v>Grebas de caballero</v>
      </c>
      <c r="J41" s="210" t="str">
        <f>IFERROR(__xludf.DUMMYFUNCTION("GOOGLETRANSLATE(B41,""zh-tw"",""es-MX"")"),"Defensa física: 2
Resistencia mágica: 2
Baja resistencia, mayor velocidad de movimiento")</f>
        <v>Defensa física: 2
Resistencia mágica: 2
Baja resistencia, mayor velocidad de movimiento</v>
      </c>
      <c r="K41" s="411" t="s">
        <v>8503</v>
      </c>
      <c r="L41" s="177" t="s">
        <v>8504</v>
      </c>
      <c r="M41" s="415" t="s">
        <v>8505</v>
      </c>
      <c r="N41" s="210" t="s">
        <v>8506</v>
      </c>
      <c r="O41" s="412" t="s">
        <v>8507</v>
      </c>
      <c r="P41" s="214" t="s">
        <v>8508</v>
      </c>
      <c r="Q41" s="428" t="s">
        <v>8509</v>
      </c>
      <c r="R41" s="418" t="s">
        <v>8510</v>
      </c>
      <c r="S41" s="415" t="s">
        <v>8511</v>
      </c>
      <c r="T41" s="210" t="s">
        <v>8512</v>
      </c>
      <c r="U41" s="415"/>
      <c r="V41" s="210"/>
      <c r="W41" s="8"/>
      <c r="X41" s="8"/>
      <c r="Y41" s="8"/>
      <c r="Z41" s="8"/>
      <c r="AA41" s="8"/>
      <c r="AB41" s="8"/>
      <c r="AC41" s="8"/>
      <c r="AD41" s="8"/>
      <c r="AE41" s="8"/>
      <c r="AF41" s="8"/>
      <c r="AG41" s="8"/>
      <c r="AH41" s="8"/>
      <c r="AI41" s="8"/>
      <c r="AJ41" s="8"/>
      <c r="AK41" s="8"/>
      <c r="AL41" s="8"/>
      <c r="AM41" s="8"/>
      <c r="AN41" s="8"/>
      <c r="AO41" s="8"/>
      <c r="AP41" s="8"/>
      <c r="AQ41" s="8"/>
      <c r="AR41" s="8"/>
      <c r="AS41" s="8"/>
      <c r="AT41" s="8"/>
    </row>
    <row r="42">
      <c r="A42" s="412" t="s">
        <v>8513</v>
      </c>
      <c r="B42" s="214" t="s">
        <v>8514</v>
      </c>
      <c r="C42" s="411" t="s">
        <v>8515</v>
      </c>
      <c r="D42" s="177" t="s">
        <v>8516</v>
      </c>
      <c r="E42" s="411" t="s">
        <v>8517</v>
      </c>
      <c r="F42" s="177" t="s">
        <v>8518</v>
      </c>
      <c r="G42" s="415" t="str">
        <f>IFERROR(__xludf.DUMMYFUNCTION("GOOGLETRANSLATE(A42,""zh-tw"",""zh"")"),"倒吊人的骨戒")</f>
        <v>倒吊人的骨戒</v>
      </c>
      <c r="H42" s="210" t="str">
        <f>IFERROR(__xludf.DUMMYFUNCTION("GOOGLETRANSLATE(B42,""zh-tw"",""zh"")"),"物防：2
魔抗：15
掉落伤害减免")</f>
        <v>物防：2
魔抗：15
掉落伤害减免</v>
      </c>
      <c r="I42" s="415" t="str">
        <f>IFERROR(__xludf.DUMMYFUNCTION("GOOGLETRANSLATE(A42,""zh-tw"",""es-MX"")"),"El anillo de huesos del ahorcado")</f>
        <v>El anillo de huesos del ahorcado</v>
      </c>
      <c r="J42" s="210" t="str">
        <f>IFERROR(__xludf.DUMMYFUNCTION("GOOGLETRANSLATE(B42,""zh-tw"",""es-MX"")"),"Defensa física: 2
Resistencia mágica: 15
Reducción de daño por caída")</f>
        <v>Defensa física: 2
Resistencia mágica: 15
Reducción de daño por caída</v>
      </c>
      <c r="K42" s="411" t="s">
        <v>8519</v>
      </c>
      <c r="L42" s="177" t="s">
        <v>8520</v>
      </c>
      <c r="M42" s="415" t="s">
        <v>8521</v>
      </c>
      <c r="N42" s="210" t="s">
        <v>8522</v>
      </c>
      <c r="O42" s="412" t="s">
        <v>8523</v>
      </c>
      <c r="P42" s="214" t="s">
        <v>8524</v>
      </c>
      <c r="Q42" s="428" t="s">
        <v>8525</v>
      </c>
      <c r="R42" s="418" t="s">
        <v>8526</v>
      </c>
      <c r="S42" s="415" t="s">
        <v>8527</v>
      </c>
      <c r="T42" s="210" t="s">
        <v>8528</v>
      </c>
      <c r="U42" s="415"/>
      <c r="V42" s="210"/>
      <c r="W42" s="8"/>
      <c r="X42" s="8"/>
      <c r="Y42" s="8"/>
      <c r="Z42" s="8"/>
      <c r="AA42" s="8"/>
      <c r="AB42" s="8"/>
      <c r="AC42" s="8"/>
      <c r="AD42" s="8"/>
      <c r="AE42" s="8"/>
      <c r="AF42" s="8"/>
      <c r="AG42" s="8"/>
      <c r="AH42" s="8"/>
      <c r="AI42" s="8"/>
      <c r="AJ42" s="8"/>
      <c r="AK42" s="8"/>
      <c r="AL42" s="8"/>
      <c r="AM42" s="8"/>
      <c r="AN42" s="8"/>
      <c r="AO42" s="8"/>
      <c r="AP42" s="8"/>
      <c r="AQ42" s="8"/>
      <c r="AR42" s="8"/>
      <c r="AS42" s="8"/>
      <c r="AT42" s="8"/>
    </row>
    <row r="43">
      <c r="A43" s="411" t="s">
        <v>8529</v>
      </c>
      <c r="B43" s="177" t="s">
        <v>8530</v>
      </c>
      <c r="C43" s="411" t="s">
        <v>8531</v>
      </c>
      <c r="D43" s="177" t="s">
        <v>8532</v>
      </c>
      <c r="E43" s="411" t="s">
        <v>8533</v>
      </c>
      <c r="F43" s="177" t="s">
        <v>8534</v>
      </c>
      <c r="G43" s="415" t="str">
        <f>IFERROR(__xludf.DUMMYFUNCTION("GOOGLETRANSLATE(A43,""zh-tw"",""zh"")"),"熔岩戒指")</f>
        <v>熔岩戒指</v>
      </c>
      <c r="H43" s="210" t="str">
        <f>IFERROR(__xludf.DUMMYFUNCTION("GOOGLETRANSLATE(B43,""zh-tw"",""zh"")"),"物防：2
魔功：15
魔抗：60
降低结冰、炎上的机率")</f>
        <v>物防：2
魔功：15
魔抗：60
降低结冰、炎上的机率</v>
      </c>
      <c r="I43" s="415" t="str">
        <f>IFERROR(__xludf.DUMMYFUNCTION("GOOGLETRANSLATE(A43,""zh-tw"",""es-MX"")"),"Anillo de lava")</f>
        <v>Anillo de lava</v>
      </c>
      <c r="J43" s="210" t="str">
        <f>IFERROR(__xludf.DUMMYFUNCTION("GOOGLETRANSLATE(B43,""zh-tw"",""es-MX"")"),"Defensa física: 2
Ataque mágico: 15
Resistencia mágica: 60
Reduce la probabilidad de congelación y quemaduras.")</f>
        <v>Defensa física: 2
Ataque mágico: 15
Resistencia mágica: 60
Reduce la probabilidad de congelación y quemaduras.</v>
      </c>
      <c r="K43" s="411" t="s">
        <v>7112</v>
      </c>
      <c r="L43" s="177" t="s">
        <v>8535</v>
      </c>
      <c r="M43" s="415" t="s">
        <v>8536</v>
      </c>
      <c r="N43" s="210" t="s">
        <v>8537</v>
      </c>
      <c r="O43" s="412" t="s">
        <v>7116</v>
      </c>
      <c r="P43" s="214" t="s">
        <v>8538</v>
      </c>
      <c r="Q43" s="428" t="s">
        <v>8539</v>
      </c>
      <c r="R43" s="414" t="s">
        <v>8540</v>
      </c>
      <c r="S43" s="415" t="s">
        <v>8541</v>
      </c>
      <c r="T43" s="210" t="s">
        <v>8542</v>
      </c>
      <c r="U43" s="415"/>
      <c r="V43" s="210"/>
      <c r="W43" s="8"/>
      <c r="X43" s="8"/>
      <c r="Y43" s="8"/>
      <c r="Z43" s="8"/>
      <c r="AA43" s="8"/>
      <c r="AB43" s="8"/>
      <c r="AC43" s="8"/>
      <c r="AD43" s="8"/>
      <c r="AE43" s="8"/>
      <c r="AF43" s="8"/>
      <c r="AG43" s="8"/>
      <c r="AH43" s="8"/>
      <c r="AI43" s="8"/>
      <c r="AJ43" s="8"/>
      <c r="AK43" s="8"/>
      <c r="AL43" s="8"/>
      <c r="AM43" s="8"/>
      <c r="AN43" s="8"/>
      <c r="AO43" s="8"/>
      <c r="AP43" s="8"/>
      <c r="AQ43" s="8"/>
      <c r="AR43" s="8"/>
      <c r="AS43" s="8"/>
      <c r="AT43" s="8"/>
    </row>
    <row r="44">
      <c r="A44" s="416" t="s">
        <v>8543</v>
      </c>
      <c r="B44" s="177" t="s">
        <v>8544</v>
      </c>
      <c r="C44" s="416" t="s">
        <v>8545</v>
      </c>
      <c r="D44" s="177" t="s">
        <v>8546</v>
      </c>
      <c r="E44" s="416" t="s">
        <v>8547</v>
      </c>
      <c r="F44" s="177" t="s">
        <v>8548</v>
      </c>
      <c r="G44" s="415" t="str">
        <f>IFERROR(__xludf.DUMMYFUNCTION("GOOGLETRANSLATE(A44,""zh-tw"",""zh"")"),"火蝾螈之卷")</f>
        <v>火蝾螈之卷</v>
      </c>
      <c r="H44" s="210" t="str">
        <f>IFERROR(__xludf.DUMMYFUNCTION("GOOGLETRANSLATE(B44,""zh-tw"",""zh"")"),"魔攻：25
魔防：15
强化火焰元素")</f>
        <v>魔攻：25
魔防：15
强化火焰元素</v>
      </c>
      <c r="I44" s="415" t="str">
        <f>IFERROR(__xludf.DUMMYFUNCTION("GOOGLETRANSLATE(A44,""zh-tw"",""es-MX"")"),"Pergamino de la Salamandra de Fuego")</f>
        <v>Pergamino de la Salamandra de Fuego</v>
      </c>
      <c r="J44" s="210" t="str">
        <f>IFERROR(__xludf.DUMMYFUNCTION("GOOGLETRANSLATE(B44,""zh-tw"",""es-MX"")"),"Ataque mágico: 25
Defensa mágica: 15
Elemento fuego mejorado")</f>
        <v>Ataque mágico: 25
Defensa mágica: 15
Elemento fuego mejorado</v>
      </c>
      <c r="K44" s="415" t="str">
        <f>IFERROR(__xludf.DUMMYFUNCTION("GOOGLETRANSLATE(A44,""zh-tw"",""KO"")"),"불도롱뇽 두루마리")</f>
        <v>불도롱뇽 두루마리</v>
      </c>
      <c r="L44" s="210" t="str">
        <f>IFERROR(__xludf.DUMMYFUNCTION("GOOGLETRANSLATE(B44,""zh-tw"",""KO"")"),"마법 공격력: 25
마법 방어력: 15
강화된 화염 속성")</f>
        <v>마법 공격력: 25
마법 방어력: 15
강화된 화염 속성</v>
      </c>
      <c r="M44" s="415" t="s">
        <v>8549</v>
      </c>
      <c r="N44" s="210" t="s">
        <v>8550</v>
      </c>
      <c r="O44" s="415" t="s">
        <v>8551</v>
      </c>
      <c r="P44" s="177" t="s">
        <v>8552</v>
      </c>
      <c r="Q44" s="428" t="s">
        <v>8553</v>
      </c>
      <c r="R44" s="418" t="s">
        <v>8554</v>
      </c>
      <c r="S44" s="415" t="s">
        <v>8547</v>
      </c>
      <c r="T44" s="210" t="s">
        <v>8555</v>
      </c>
      <c r="U44" s="415"/>
      <c r="V44" s="210"/>
      <c r="W44" s="8"/>
      <c r="X44" s="8"/>
      <c r="Y44" s="8"/>
      <c r="Z44" s="8"/>
      <c r="AA44" s="8"/>
      <c r="AB44" s="8"/>
      <c r="AC44" s="8"/>
      <c r="AD44" s="8"/>
      <c r="AE44" s="8"/>
      <c r="AF44" s="8"/>
      <c r="AG44" s="8"/>
      <c r="AH44" s="8"/>
      <c r="AI44" s="8"/>
      <c r="AJ44" s="8"/>
      <c r="AK44" s="8"/>
      <c r="AL44" s="8"/>
      <c r="AM44" s="8"/>
      <c r="AN44" s="8"/>
      <c r="AO44" s="8"/>
      <c r="AP44" s="8"/>
      <c r="AQ44" s="8"/>
      <c r="AR44" s="8"/>
      <c r="AS44" s="8"/>
      <c r="AT44" s="8"/>
    </row>
    <row r="45">
      <c r="A45" s="411" t="s">
        <v>8556</v>
      </c>
      <c r="B45" s="177" t="s">
        <v>8557</v>
      </c>
      <c r="C45" s="411" t="s">
        <v>8558</v>
      </c>
      <c r="D45" s="177" t="s">
        <v>8559</v>
      </c>
      <c r="E45" s="411" t="s">
        <v>8560</v>
      </c>
      <c r="F45" s="177" t="s">
        <v>8561</v>
      </c>
      <c r="G45" s="415" t="str">
        <f>IFERROR(__xludf.DUMMYFUNCTION("GOOGLETRANSLATE(A45,""zh-tw"",""zh"")"),"纵火狂的防烫手套")</f>
        <v>纵火狂的防烫手套</v>
      </c>
      <c r="H45" s="210" t="str">
        <f>IFERROR(__xludf.DUMMYFUNCTION("GOOGLETRANSLATE(B45,""zh-tw"",""zh"")"),"物攻：4
魔抗：8
幸运：4
增强炸弹效果
(丢炸弹概率连环爆炸)")</f>
        <v>物攻：4
魔抗：8
幸运：4
增强炸弹效果
(丢炸弹概率连环爆炸)</v>
      </c>
      <c r="I45" s="415" t="str">
        <f>IFERROR(__xludf.DUMMYFUNCTION("GOOGLETRANSLATE(A45,""zh-tw"",""es-MX"")"),"Los guantes resistentes al calor del pirómano")</f>
        <v>Los guantes resistentes al calor del pirómano</v>
      </c>
      <c r="J45" s="210" t="str">
        <f>IFERROR(__xludf.DUMMYFUNCTION("GOOGLETRANSLATE(B45,""zh-tw"",""es-MX"")"),"Ataque físico: 4
Resistencia mágica: 8
Suerte: 4
Efecto de bomba mejorado
(Posibilidad de explosión en cadena al lanzar bombas)")</f>
        <v>Ataque físico: 4
Resistencia mágica: 8
Suerte: 4
Efecto de bomba mejorado
(Posibilidad de explosión en cadena al lanzar bombas)</v>
      </c>
      <c r="K45" s="411" t="s">
        <v>8562</v>
      </c>
      <c r="L45" s="177" t="s">
        <v>8563</v>
      </c>
      <c r="M45" s="415" t="s">
        <v>8564</v>
      </c>
      <c r="N45" s="210" t="s">
        <v>8565</v>
      </c>
      <c r="O45" s="412" t="s">
        <v>8566</v>
      </c>
      <c r="P45" s="214" t="s">
        <v>8567</v>
      </c>
      <c r="Q45" s="428" t="s">
        <v>8568</v>
      </c>
      <c r="R45" s="418" t="s">
        <v>8569</v>
      </c>
      <c r="S45" s="415" t="s">
        <v>8570</v>
      </c>
      <c r="T45" s="210" t="s">
        <v>8571</v>
      </c>
      <c r="U45" s="415"/>
      <c r="V45" s="210"/>
      <c r="W45" s="8"/>
      <c r="X45" s="8"/>
      <c r="Y45" s="8"/>
      <c r="Z45" s="8"/>
      <c r="AA45" s="8"/>
      <c r="AB45" s="8"/>
      <c r="AC45" s="8"/>
      <c r="AD45" s="8"/>
      <c r="AE45" s="8"/>
      <c r="AF45" s="8"/>
      <c r="AG45" s="8"/>
      <c r="AH45" s="8"/>
      <c r="AI45" s="8"/>
      <c r="AJ45" s="8"/>
      <c r="AK45" s="8"/>
      <c r="AL45" s="8"/>
      <c r="AM45" s="8"/>
      <c r="AN45" s="8"/>
      <c r="AO45" s="8"/>
      <c r="AP45" s="8"/>
      <c r="AQ45" s="8"/>
      <c r="AR45" s="8"/>
      <c r="AS45" s="8"/>
      <c r="AT45" s="8"/>
    </row>
    <row r="46">
      <c r="A46" s="411" t="s">
        <v>8572</v>
      </c>
      <c r="B46" s="177" t="s">
        <v>8573</v>
      </c>
      <c r="C46" s="411" t="s">
        <v>4442</v>
      </c>
      <c r="D46" s="177" t="s">
        <v>8574</v>
      </c>
      <c r="E46" s="411" t="s">
        <v>8575</v>
      </c>
      <c r="F46" s="177" t="s">
        <v>8576</v>
      </c>
      <c r="G46" s="415" t="str">
        <f>IFERROR(__xludf.DUMMYFUNCTION("GOOGLETRANSLATE(A46,""zh-tw"",""zh"")"),"护刃众的徽章")</f>
        <v>护刃众的徽章</v>
      </c>
      <c r="H46" s="210" t="str">
        <f>IFERROR(__xludf.DUMMYFUNCTION("GOOGLETRANSLATE(B46,""zh-tw"",""zh"")"),"减少攻击力、攻击上限降低至200
降低武器耐久度消耗")</f>
        <v>减少攻击力、攻击上限降低至200
降低武器耐久度消耗</v>
      </c>
      <c r="I46" s="415" t="str">
        <f>IFERROR(__xludf.DUMMYFUNCTION("GOOGLETRANSLATE(A46,""zh-tw"",""es-MX"")"),"Insignias del Goken-kun")</f>
        <v>Insignias del Goken-kun</v>
      </c>
      <c r="J46" s="210" t="str">
        <f>IFERROR(__xludf.DUMMYFUNCTION("GOOGLETRANSLATE(B46,""zh-tw"",""es-MX"")"),"Poder de ataque reducido, límite de ataque disminuido a 200. Consumo de durabilidad de armas reducido.")</f>
        <v>Poder de ataque reducido, límite de ataque disminuido a 200. Consumo de durabilidad de armas reducido.</v>
      </c>
      <c r="K46" s="415" t="str">
        <f>IFERROR(__xludf.DUMMYFUNCTION("GOOGLETRANSLATE(A46,""zh-tw"",""KO"")"),"고켄군의 배지")</f>
        <v>고켄군의 배지</v>
      </c>
      <c r="L46" s="210" t="str">
        <f>IFERROR(__xludf.DUMMYFUNCTION("GOOGLETRANSLATE(B46,""zh-tw"",""KO"")"),"공격력이 감소하고, 공격력 상한선이 200으로 낮아졌습니다. 무기 내구도 소모량도 감소했습니다.")</f>
        <v>공격력이 감소하고, 공격력 상한선이 200으로 낮아졌습니다. 무기 내구도 소모량도 감소했습니다.</v>
      </c>
      <c r="M46" s="415" t="s">
        <v>8577</v>
      </c>
      <c r="N46" s="210" t="s">
        <v>8578</v>
      </c>
      <c r="O46" s="429" t="str">
        <f>IFERROR(__xludf.DUMMYFUNCTION("GOOGLETRANSLATE(A46,""zh-tw"",""de"")"),"Abzeichen des Goken-kun")</f>
        <v>Abzeichen des Goken-kun</v>
      </c>
      <c r="P46" s="430" t="str">
        <f>IFERROR(__xludf.DUMMYFUNCTION("GOOGLETRANSLATE(B46,""zh-tw"",""de"")"),"Reduzierte Angriffskraft, Angriffslimit auf 200 gesenkt. Reduzierter Verbrauch der Waffenhaltbarkeit.")</f>
        <v>Reduzierte Angriffskraft, Angriffslimit auf 200 gesenkt. Reduzierter Verbrauch der Waffenhaltbarkeit.</v>
      </c>
      <c r="Q46" s="428" t="s">
        <v>8579</v>
      </c>
      <c r="R46" s="418" t="s">
        <v>8580</v>
      </c>
      <c r="S46" s="415" t="s">
        <v>8581</v>
      </c>
      <c r="T46" s="210" t="s">
        <v>8582</v>
      </c>
      <c r="U46" s="415"/>
      <c r="V46" s="210"/>
      <c r="W46" s="8"/>
      <c r="X46" s="8"/>
      <c r="Y46" s="8"/>
      <c r="Z46" s="8"/>
      <c r="AA46" s="8"/>
      <c r="AB46" s="8"/>
      <c r="AC46" s="8"/>
      <c r="AD46" s="8"/>
      <c r="AE46" s="8"/>
      <c r="AF46" s="8"/>
      <c r="AG46" s="8"/>
      <c r="AH46" s="8"/>
      <c r="AI46" s="8"/>
      <c r="AJ46" s="8"/>
      <c r="AK46" s="8"/>
      <c r="AL46" s="8"/>
      <c r="AM46" s="8"/>
      <c r="AN46" s="8"/>
      <c r="AO46" s="8"/>
      <c r="AP46" s="8"/>
      <c r="AQ46" s="8"/>
      <c r="AR46" s="8"/>
      <c r="AS46" s="8"/>
      <c r="AT46" s="8"/>
    </row>
    <row r="47">
      <c r="A47" s="411" t="s">
        <v>8583</v>
      </c>
      <c r="B47" s="177" t="s">
        <v>8584</v>
      </c>
      <c r="C47" s="411" t="s">
        <v>8585</v>
      </c>
      <c r="D47" s="177" t="s">
        <v>8586</v>
      </c>
      <c r="E47" s="411" t="s">
        <v>8587</v>
      </c>
      <c r="F47" s="177" t="s">
        <v>8588</v>
      </c>
      <c r="G47" s="411" t="s">
        <v>8589</v>
      </c>
      <c r="H47" s="177" t="s">
        <v>8590</v>
      </c>
      <c r="I47" s="415"/>
      <c r="J47" s="210"/>
      <c r="K47" s="415"/>
      <c r="L47" s="210"/>
      <c r="M47" s="411" t="s">
        <v>8591</v>
      </c>
      <c r="N47" s="177" t="s">
        <v>8592</v>
      </c>
      <c r="O47" s="415"/>
      <c r="P47" s="210"/>
      <c r="Q47" s="427" t="s">
        <v>8593</v>
      </c>
      <c r="R47" s="418" t="s">
        <v>8594</v>
      </c>
      <c r="S47" s="411" t="s">
        <v>8595</v>
      </c>
      <c r="T47" s="177" t="s">
        <v>8596</v>
      </c>
      <c r="U47" s="411"/>
      <c r="V47" s="177"/>
      <c r="W47" s="8"/>
      <c r="X47" s="8"/>
      <c r="Y47" s="8"/>
      <c r="Z47" s="8"/>
      <c r="AA47" s="8"/>
      <c r="AB47" s="8"/>
      <c r="AC47" s="8"/>
      <c r="AD47" s="8"/>
      <c r="AE47" s="8"/>
      <c r="AF47" s="8"/>
      <c r="AG47" s="8"/>
      <c r="AH47" s="8"/>
      <c r="AI47" s="8"/>
      <c r="AJ47" s="8"/>
      <c r="AK47" s="8"/>
      <c r="AL47" s="8"/>
      <c r="AM47" s="8"/>
      <c r="AN47" s="8"/>
      <c r="AO47" s="8"/>
      <c r="AP47" s="8"/>
      <c r="AQ47" s="8"/>
      <c r="AR47" s="8"/>
      <c r="AS47" s="8"/>
      <c r="AT47" s="8"/>
    </row>
    <row r="48">
      <c r="A48" s="416" t="s">
        <v>8597</v>
      </c>
      <c r="B48" s="166" t="s">
        <v>8598</v>
      </c>
      <c r="C48" s="411" t="s">
        <v>8599</v>
      </c>
      <c r="D48" s="177" t="s">
        <v>8600</v>
      </c>
      <c r="E48" s="416" t="s">
        <v>8601</v>
      </c>
      <c r="F48" s="166" t="s">
        <v>8602</v>
      </c>
      <c r="G48" s="415" t="str">
        <f>IFERROR(__xludf.DUMMYFUNCTION("GOOGLETRANSLATE(A48,""zh-tw"",""zh"")"),"逆咒缚契约")</f>
        <v>逆咒缚契约</v>
      </c>
      <c r="H48" s="210" t="str">
        <f>IFERROR(__xludf.DUMMYFUNCTION("GOOGLETRANSLATE(B48,""zh-tw"",""zh"")"),"代替从者受到伤害
依从者数量提升主角生命回复力")</f>
        <v>代替从者受到伤害
依从者数量提升主角生命回复力</v>
      </c>
      <c r="I48" s="415" t="str">
        <f>IFERROR(__xludf.DUMMYFUNCTION("GOOGLETRANSLATE(A48,""zh-tw"",""es-MX"")"),"Contrato de maldición inversa")</f>
        <v>Contrato de maldición inversa</v>
      </c>
      <c r="J48" s="210" t="str">
        <f>IFERROR(__xludf.DUMMYFUNCTION("GOOGLETRANSLATE(B48,""zh-tw"",""es-MX"")"),"Recibir daño en lugar de los Servants; aumentar la regeneración de HP del protagonista en función del número de Servants.")</f>
        <v>Recibir daño en lugar de los Servants; aumentar la regeneración de HP del protagonista en función del número de Servants.</v>
      </c>
      <c r="K48" s="415" t="str">
        <f>IFERROR(__xludf.DUMMYFUNCTION("GOOGLETRANSLATE(A48,""zh-tw"",""KO"")"),"역저주 계약")</f>
        <v>역저주 계약</v>
      </c>
      <c r="L48" s="210" t="str">
        <f>IFERROR(__xludf.DUMMYFUNCTION("GOOGLETRANSLATE(B48,""zh-tw"",""KO"")"),"서번트를 대신해 피해를 입고, 서번트 수에 비례하여 주인공의 HP 회복량이 증가합니다.")</f>
        <v>서번트를 대신해 피해를 입고, 서번트 수에 비례하여 주인공의 HP 회복량이 증가합니다.</v>
      </c>
      <c r="M48" s="415" t="s">
        <v>8603</v>
      </c>
      <c r="N48" s="210" t="s">
        <v>8604</v>
      </c>
      <c r="O48" s="415" t="s">
        <v>8605</v>
      </c>
      <c r="P48" s="210" t="s">
        <v>8606</v>
      </c>
      <c r="Q48" s="427" t="s">
        <v>8607</v>
      </c>
      <c r="R48" s="52" t="s">
        <v>8608</v>
      </c>
      <c r="S48" s="415" t="s">
        <v>8609</v>
      </c>
      <c r="T48" s="210" t="s">
        <v>8610</v>
      </c>
      <c r="U48" s="415"/>
      <c r="V48" s="210"/>
      <c r="W48" s="8"/>
      <c r="X48" s="8"/>
      <c r="Y48" s="8"/>
      <c r="Z48" s="8"/>
      <c r="AA48" s="8"/>
      <c r="AB48" s="8"/>
      <c r="AC48" s="8"/>
      <c r="AD48" s="8"/>
      <c r="AE48" s="8"/>
      <c r="AF48" s="8"/>
      <c r="AG48" s="8"/>
      <c r="AH48" s="8"/>
      <c r="AI48" s="8"/>
      <c r="AJ48" s="8"/>
      <c r="AK48" s="8"/>
      <c r="AL48" s="8"/>
      <c r="AM48" s="8"/>
      <c r="AN48" s="8"/>
      <c r="AO48" s="8"/>
      <c r="AP48" s="8"/>
      <c r="AQ48" s="8"/>
      <c r="AR48" s="8"/>
      <c r="AS48" s="8"/>
      <c r="AT48" s="8"/>
    </row>
    <row r="49">
      <c r="A49" s="412" t="s">
        <v>8611</v>
      </c>
      <c r="B49" s="214" t="s">
        <v>8612</v>
      </c>
      <c r="C49" s="411" t="s">
        <v>8613</v>
      </c>
      <c r="D49" s="177" t="s">
        <v>8614</v>
      </c>
      <c r="E49" s="411" t="s">
        <v>8615</v>
      </c>
      <c r="F49" s="177" t="s">
        <v>8616</v>
      </c>
      <c r="G49" s="415" t="str">
        <f>IFERROR(__xludf.DUMMYFUNCTION("GOOGLETRANSLATE(A49,""zh-tw"",""zh"")"),"愤怒的拳头")</f>
        <v>愤怒的拳头</v>
      </c>
      <c r="H49" s="210" t="str">
        <f>IFERROR(__xludf.DUMMYFUNCTION("GOOGLETRANSLATE(B49,""zh-tw"",""zh"")"),"物攻：1
魔攻：8
自动环绕攻击")</f>
        <v>物攻：1
魔攻：8
自动环绕攻击</v>
      </c>
      <c r="I49" s="415" t="str">
        <f>IFERROR(__xludf.DUMMYFUNCTION("GOOGLETRANSLATE(A49,""zh-tw"",""es-MX"")"),"Puño furioso")</f>
        <v>Puño furioso</v>
      </c>
      <c r="J49" s="210" t="str">
        <f>IFERROR(__xludf.DUMMYFUNCTION("GOOGLETRANSLATE(B49,""zh-tw"",""es-MX"")"),"Ataque físico: 1
Ataque mágico: 8
Ataque circular automático")</f>
        <v>Ataque físico: 1
Ataque mágico: 8
Ataque circular automático</v>
      </c>
      <c r="K49" s="415" t="str">
        <f>IFERROR(__xludf.DUMMYFUNCTION("GOOGLETRANSLATE(A49,""zh-tw"",""KO"")"),"분노에 찬 주먹")</f>
        <v>분노에 찬 주먹</v>
      </c>
      <c r="L49" s="177" t="s">
        <v>8617</v>
      </c>
      <c r="M49" s="415" t="s">
        <v>8618</v>
      </c>
      <c r="N49" s="210" t="s">
        <v>8619</v>
      </c>
      <c r="O49" s="412" t="s">
        <v>8620</v>
      </c>
      <c r="P49" s="214" t="s">
        <v>8621</v>
      </c>
      <c r="Q49" s="428" t="s">
        <v>8622</v>
      </c>
      <c r="R49" s="418" t="s">
        <v>8623</v>
      </c>
      <c r="S49" s="415" t="s">
        <v>8624</v>
      </c>
      <c r="T49" s="210" t="s">
        <v>8625</v>
      </c>
      <c r="U49" s="415"/>
      <c r="V49" s="210"/>
      <c r="W49" s="8"/>
      <c r="X49" s="8"/>
      <c r="Y49" s="8"/>
      <c r="Z49" s="8"/>
      <c r="AA49" s="8"/>
      <c r="AB49" s="8"/>
      <c r="AC49" s="8"/>
      <c r="AD49" s="8"/>
      <c r="AE49" s="8"/>
      <c r="AF49" s="8"/>
      <c r="AG49" s="8"/>
      <c r="AH49" s="8"/>
      <c r="AI49" s="8"/>
      <c r="AJ49" s="8"/>
      <c r="AK49" s="8"/>
      <c r="AL49" s="8"/>
      <c r="AM49" s="8"/>
      <c r="AN49" s="8"/>
      <c r="AO49" s="8"/>
      <c r="AP49" s="8"/>
      <c r="AQ49" s="8"/>
      <c r="AR49" s="8"/>
      <c r="AS49" s="8"/>
      <c r="AT49" s="8"/>
    </row>
    <row r="50">
      <c r="A50" s="416" t="s">
        <v>6340</v>
      </c>
      <c r="B50" s="177" t="s">
        <v>8626</v>
      </c>
      <c r="C50" s="411" t="s">
        <v>8627</v>
      </c>
      <c r="D50" s="177" t="s">
        <v>8628</v>
      </c>
      <c r="E50" s="411" t="s">
        <v>6346</v>
      </c>
      <c r="F50" s="177" t="s">
        <v>8629</v>
      </c>
      <c r="G50" s="415" t="str">
        <f>IFERROR(__xludf.DUMMYFUNCTION("GOOGLETRANSLATE(A50,""zh-tw"",""zh"")"),"◉▽◉(蓝色)")</f>
        <v>◉▽◉(蓝色)</v>
      </c>
      <c r="H50" s="210" t="str">
        <f>IFERROR(__xludf.DUMMYFUNCTION("GOOGLETRANSLATE(B50,""zh-tw"",""zh"")"),"投掷攻击
遇水消失、会被击杀
幸运：10")</f>
        <v>投掷攻击
遇水消失、会被击杀
幸运：10</v>
      </c>
      <c r="I50" s="415" t="str">
        <f>IFERROR(__xludf.DUMMYFUNCTION("GOOGLETRANSLATE(A50,""zh-tw"",""es-MX"")"),"◉▽◉ (Azul)")</f>
        <v>◉▽◉ (Azul)</v>
      </c>
      <c r="J50" s="210" t="str">
        <f>IFERROR(__xludf.DUMMYFUNCTION("GOOGLETRANSLATE(B50,""zh-tw"",""es-MX"")"),"Ataque de lanzamiento. Desaparece al contacto con el agua y puede ser eliminado. Suerte: 10")</f>
        <v>Ataque de lanzamiento. Desaparece al contacto con el agua y puede ser eliminado. Suerte: 10</v>
      </c>
      <c r="K50" s="415" t="str">
        <f>IFERROR(__xludf.DUMMYFUNCTION("GOOGLETRANSLATE(A50,""zh-tw"",""KO"")"),"◉▽◉ (파란색)")</f>
        <v>◉▽◉ (파란색)</v>
      </c>
      <c r="L50" s="210" t="str">
        <f>IFERROR(__xludf.DUMMYFUNCTION("GOOGLETRANSLATE(B50,""zh-tw"",""KO"")"),"투척 공격. 물에 닿으면 사라지며, 물에 닿으면 죽습니다. 행운: 10")</f>
        <v>투척 공격. 물에 닿으면 사라지며, 물에 닿으면 죽습니다. 행운: 10</v>
      </c>
      <c r="M50" s="415" t="s">
        <v>6349</v>
      </c>
      <c r="N50" s="210" t="s">
        <v>8630</v>
      </c>
      <c r="O50" s="411" t="s">
        <v>6352</v>
      </c>
      <c r="P50" s="177" t="s">
        <v>8631</v>
      </c>
      <c r="Q50" s="428" t="s">
        <v>6355</v>
      </c>
      <c r="R50" s="414" t="s">
        <v>8632</v>
      </c>
      <c r="S50" s="415" t="s">
        <v>6358</v>
      </c>
      <c r="T50" s="210" t="s">
        <v>8633</v>
      </c>
      <c r="U50" s="415"/>
      <c r="V50" s="210"/>
      <c r="W50" s="8"/>
      <c r="X50" s="8"/>
      <c r="Y50" s="8"/>
      <c r="Z50" s="8"/>
      <c r="AA50" s="8"/>
      <c r="AB50" s="8"/>
      <c r="AC50" s="8"/>
      <c r="AD50" s="8"/>
      <c r="AE50" s="8"/>
      <c r="AF50" s="8"/>
      <c r="AG50" s="8"/>
      <c r="AH50" s="8"/>
      <c r="AI50" s="8"/>
      <c r="AJ50" s="8"/>
      <c r="AK50" s="8"/>
      <c r="AL50" s="8"/>
      <c r="AM50" s="8"/>
      <c r="AN50" s="8"/>
      <c r="AO50" s="8"/>
      <c r="AP50" s="8"/>
      <c r="AQ50" s="8"/>
      <c r="AR50" s="8"/>
      <c r="AS50" s="8"/>
      <c r="AT50" s="8"/>
    </row>
    <row r="51">
      <c r="A51" s="172" t="s">
        <v>7655</v>
      </c>
      <c r="C51" s="172" t="s">
        <v>7656</v>
      </c>
      <c r="E51" s="172" t="s">
        <v>7657</v>
      </c>
      <c r="G51" s="172" t="s">
        <v>7658</v>
      </c>
      <c r="I51" s="172"/>
      <c r="K51" s="172"/>
      <c r="M51" s="172" t="s">
        <v>7659</v>
      </c>
      <c r="O51" s="172"/>
      <c r="Q51" s="175" t="s">
        <v>8634</v>
      </c>
      <c r="S51" s="172" t="s">
        <v>7661</v>
      </c>
      <c r="U51" s="172"/>
      <c r="W51" s="210"/>
      <c r="X51" s="210"/>
      <c r="Y51" s="210"/>
      <c r="Z51" s="210"/>
      <c r="AA51" s="8"/>
      <c r="AB51" s="8"/>
      <c r="AC51" s="8"/>
      <c r="AD51" s="8"/>
      <c r="AE51" s="8"/>
      <c r="AF51" s="8"/>
      <c r="AG51" s="8"/>
      <c r="AH51" s="8"/>
      <c r="AI51" s="8"/>
      <c r="AJ51" s="8"/>
      <c r="AK51" s="8"/>
      <c r="AL51" s="8"/>
      <c r="AM51" s="8"/>
      <c r="AN51" s="8"/>
      <c r="AO51" s="8"/>
      <c r="AP51" s="8"/>
      <c r="AQ51" s="8"/>
      <c r="AR51" s="8"/>
      <c r="AS51" s="8"/>
      <c r="AT51" s="8"/>
    </row>
    <row r="52">
      <c r="A52" s="412" t="s">
        <v>6720</v>
      </c>
      <c r="B52" s="214" t="s">
        <v>8635</v>
      </c>
      <c r="C52" s="411" t="s">
        <v>6722</v>
      </c>
      <c r="D52" s="177" t="s">
        <v>8636</v>
      </c>
      <c r="E52" s="411" t="s">
        <v>6724</v>
      </c>
      <c r="F52" s="177" t="s">
        <v>8637</v>
      </c>
      <c r="G52" s="415" t="str">
        <f>IFERROR(__xludf.DUMMYFUNCTION("GOOGLETRANSLATE(A52,""zh-tw"",""zh"")"),"猫爪手套")</f>
        <v>猫爪手套</v>
      </c>
      <c r="H52" s="210" t="str">
        <f>IFERROR(__xludf.DUMMYFUNCTION("GOOGLETRANSLATE(B52,""zh-tw"",""zh"")"),"增加攻击速度、攻击数目+1")</f>
        <v>增加攻击速度、攻击数目+1</v>
      </c>
      <c r="I52" s="415" t="str">
        <f>IFERROR(__xludf.DUMMYFUNCTION("GOOGLETRANSLATE(A52,""zh-tw"",""es-MX"")"),"Guantes con forma de pata de gato")</f>
        <v>Guantes con forma de pata de gato</v>
      </c>
      <c r="J52" s="210" t="str">
        <f>IFERROR(__xludf.DUMMYFUNCTION("GOOGLETRANSLATE(B52,""zh-tw"",""es-MX"")"),"Aumenta la velocidad de ataque y el número de ataques en 1.")</f>
        <v>Aumenta la velocidad de ataque y el número de ataques en 1.</v>
      </c>
      <c r="K52" s="411" t="s">
        <v>6726</v>
      </c>
      <c r="L52" s="177" t="s">
        <v>8638</v>
      </c>
      <c r="M52" s="415" t="s">
        <v>8639</v>
      </c>
      <c r="N52" s="210" t="s">
        <v>8640</v>
      </c>
      <c r="O52" s="412" t="s">
        <v>6731</v>
      </c>
      <c r="P52" s="214" t="s">
        <v>8641</v>
      </c>
      <c r="Q52" s="427" t="s">
        <v>8642</v>
      </c>
      <c r="R52" s="414" t="s">
        <v>8643</v>
      </c>
      <c r="S52" s="415" t="s">
        <v>6735</v>
      </c>
      <c r="T52" s="210" t="s">
        <v>8644</v>
      </c>
      <c r="U52" s="415"/>
      <c r="V52" s="210"/>
      <c r="W52" s="8"/>
      <c r="X52" s="8"/>
      <c r="Y52" s="8"/>
      <c r="Z52" s="8"/>
      <c r="AA52" s="8"/>
      <c r="AB52" s="8"/>
      <c r="AC52" s="8"/>
      <c r="AD52" s="8"/>
      <c r="AE52" s="8"/>
      <c r="AF52" s="8"/>
      <c r="AG52" s="8"/>
      <c r="AH52" s="8"/>
      <c r="AI52" s="8"/>
      <c r="AJ52" s="8"/>
      <c r="AK52" s="8"/>
      <c r="AL52" s="8"/>
      <c r="AM52" s="8"/>
      <c r="AN52" s="8"/>
      <c r="AO52" s="8"/>
      <c r="AP52" s="8"/>
      <c r="AQ52" s="8"/>
      <c r="AR52" s="8"/>
      <c r="AS52" s="8"/>
      <c r="AT52" s="8"/>
    </row>
    <row r="53">
      <c r="A53" s="411" t="s">
        <v>8645</v>
      </c>
      <c r="B53" s="177" t="s">
        <v>8646</v>
      </c>
      <c r="C53" s="411" t="s">
        <v>8645</v>
      </c>
      <c r="D53" s="177" t="s">
        <v>8647</v>
      </c>
      <c r="E53" s="411" t="s">
        <v>8648</v>
      </c>
      <c r="F53" s="177" t="s">
        <v>8649</v>
      </c>
      <c r="G53" s="415" t="str">
        <f>IFERROR(__xludf.DUMMYFUNCTION("GOOGLETRANSLATE(A53,""zh-tw"",""zh"")"),"胁差")</f>
        <v>胁差</v>
      </c>
      <c r="H53" s="210" t="str">
        <f>IFERROR(__xludf.DUMMYFUNCTION("GOOGLETRANSLATE(B53,""zh-tw"",""zh"")"),"近距离普通攻击次数+1
机率出血
判定较小，且不会随着武器大小变动
固定伤害，但可以配合剑术修行的伤害加成")</f>
        <v>近距离普通攻击次数+1
机率出血
判定较小，且不会随着武器大小变动
固定伤害，但可以配合剑术修行的伤害加成</v>
      </c>
      <c r="I53" s="415" t="str">
        <f>IFERROR(__xludf.DUMMYFUNCTION("GOOGLETRANSLATE(A53,""zh-tw"",""es-MX"")"),"takizashi")</f>
        <v>takizashi</v>
      </c>
      <c r="J53" s="210" t="str">
        <f>IFERROR(__xludf.DUMMYFUNCTION("GOOGLETRANSLATE(B53,""zh-tw"",""es-MX"")"),"+1 al contador de ataques normales cuerpo a cuerpo. Posibilidad de sangrado. Área de impacto pequeña, que no varía con el tamaño del arma. Daño fijo, pero se puede combinar con entrenamiento en esgrima para obtener bonificaciones de daño.")</f>
        <v>+1 al contador de ataques normales cuerpo a cuerpo. Posibilidad de sangrado. Área de impacto pequeña, que no varía con el tamaño del arma. Daño fijo, pero se puede combinar con entrenamiento en esgrima para obtener bonificaciones de daño.</v>
      </c>
      <c r="K53" s="415" t="str">
        <f>IFERROR(__xludf.DUMMYFUNCTION("GOOGLETRANSLATE(A53,""zh-tw"",""KO"")"),"타키자시")</f>
        <v>타키자시</v>
      </c>
      <c r="L53" s="210" t="str">
        <f>IFERROR(__xludf.DUMMYFUNCTION("GOOGLETRANSLATE(B53,""zh-tw"",""KO"")"),"근접 일반 공격 횟수 +1. 출혈 확률 증가. 작은 히트박스를 가지며 무기 크기에 따라 변하지 않습니다. 고정 피해량이지만 검술 훈련과 조합하여 추가 피해량 보너스를 얻을 수 있습니다.")</f>
        <v>근접 일반 공격 횟수 +1. 출혈 확률 증가. 작은 히트박스를 가지며 무기 크기에 따라 변하지 않습니다. 고정 피해량이지만 검술 훈련과 조합하여 추가 피해량 보너스를 얻을 수 있습니다.</v>
      </c>
      <c r="M53" s="415" t="s">
        <v>8650</v>
      </c>
      <c r="N53" s="210" t="s">
        <v>8651</v>
      </c>
      <c r="O53" s="429" t="str">
        <f>IFERROR(__xludf.DUMMYFUNCTION("GOOGLETRANSLATE(A53,""zh-tw"",""de"")"),"Takizashi")</f>
        <v>Takizashi</v>
      </c>
      <c r="P53" s="430" t="str">
        <f>IFERROR(__xludf.DUMMYFUNCTION("GOOGLETRANSLATE(B53,""zh-tw"",""de"")"),"+1 Nahkampfangriff. Blutungschance. Kleine Trefferzone, die sich nicht mit der Waffengröße ändert. Fester Schaden, kann aber mit Schwertkampftraining für Schadensboni kombiniert werden.")</f>
        <v>+1 Nahkampfangriff. Blutungschance. Kleine Trefferzone, die sich nicht mit der Waffengröße ändert. Fester Schaden, kann aber mit Schwertkampftraining für Schadensboni kombiniert werden.</v>
      </c>
      <c r="Q53" s="428" t="s">
        <v>8648</v>
      </c>
      <c r="R53" s="52" t="s">
        <v>8652</v>
      </c>
      <c r="S53" s="415" t="s">
        <v>8648</v>
      </c>
      <c r="T53" s="210" t="s">
        <v>8653</v>
      </c>
      <c r="U53" s="415"/>
      <c r="V53" s="210"/>
      <c r="W53" s="8"/>
      <c r="X53" s="8"/>
      <c r="Y53" s="8"/>
      <c r="Z53" s="8"/>
      <c r="AA53" s="8"/>
      <c r="AB53" s="8"/>
      <c r="AC53" s="8"/>
      <c r="AD53" s="8"/>
      <c r="AE53" s="8"/>
      <c r="AF53" s="8"/>
      <c r="AG53" s="8"/>
      <c r="AH53" s="8"/>
      <c r="AI53" s="8"/>
      <c r="AJ53" s="8"/>
      <c r="AK53" s="8"/>
      <c r="AL53" s="8"/>
      <c r="AM53" s="8"/>
      <c r="AN53" s="8"/>
      <c r="AO53" s="8"/>
      <c r="AP53" s="8"/>
      <c r="AQ53" s="8"/>
      <c r="AR53" s="8"/>
      <c r="AS53" s="8"/>
      <c r="AT53" s="8"/>
    </row>
    <row r="54">
      <c r="A54" s="411" t="s">
        <v>8654</v>
      </c>
      <c r="B54" s="177" t="s">
        <v>8655</v>
      </c>
      <c r="C54" s="411" t="s">
        <v>8656</v>
      </c>
      <c r="D54" s="177" t="s">
        <v>8657</v>
      </c>
      <c r="E54" s="411" t="s">
        <v>8658</v>
      </c>
      <c r="F54" s="177" t="s">
        <v>8659</v>
      </c>
      <c r="G54" s="415" t="str">
        <f>IFERROR(__xludf.DUMMYFUNCTION("GOOGLETRANSLATE(A54,""zh-tw"",""zh"")"),"锐刃指环")</f>
        <v>锐刃指环</v>
      </c>
      <c r="H54" s="210" t="str">
        <f>IFERROR(__xludf.DUMMYFUNCTION("GOOGLETRANSLATE(B54,""zh-tw"",""zh"")"),"物攻：4
物防：1
物攻+15%
")</f>
        <v>物攻：4
物防：1
物攻+15%
</v>
      </c>
      <c r="I54" s="415" t="str">
        <f>IFERROR(__xludf.DUMMYFUNCTION("GOOGLETRANSLATE(A54,""zh-tw"",""es-MX"")"),"Anillo de cuchilla afilada")</f>
        <v>Anillo de cuchilla afilada</v>
      </c>
      <c r="J54" s="210" t="str">
        <f>IFERROR(__xludf.DUMMYFUNCTION("GOOGLETRANSLATE(B54,""zh-tw"",""es-MX"")"),"Ataque físico: 4
Defensa física: 1
Ataque físico +15%
")</f>
        <v>Ataque físico: 4
Defensa física: 1
Ataque físico +15%
</v>
      </c>
      <c r="K54" s="415" t="str">
        <f>IFERROR(__xludf.DUMMYFUNCTION("GOOGLETRANSLATE(A54,""zh-tw"",""KO"")"),"날카로운 칼날 고리")</f>
        <v>날카로운 칼날 고리</v>
      </c>
      <c r="L54" s="210" t="str">
        <f>IFERROR(__xludf.DUMMYFUNCTION("GOOGLETRANSLATE(B54,""zh-tw"",""KO"")"),"물리 공격력: 4
물리 방어력: 1
물리 공격력 +15%
")</f>
        <v>물리 공격력: 4
물리 방어력: 1
물리 공격력 +15%
</v>
      </c>
      <c r="M54" s="415" t="s">
        <v>8660</v>
      </c>
      <c r="N54" s="210" t="s">
        <v>8661</v>
      </c>
      <c r="O54" s="429" t="str">
        <f>IFERROR(__xludf.DUMMYFUNCTION("GOOGLETRANSLATE(A54,""zh-tw"",""de"")"),"Scharfer Klingenring")</f>
        <v>Scharfer Klingenring</v>
      </c>
      <c r="P54" s="430" t="str">
        <f>IFERROR(__xludf.DUMMYFUNCTION("GOOGLETRANSLATE(B54,""zh-tw"",""de"")"),"Physischer Angriff: 4
Physische Verteidigung: 1
Physischer Angriff +15 %
")</f>
        <v>Physischer Angriff: 4
Physische Verteidigung: 1
Physischer Angriff +15 %
</v>
      </c>
      <c r="Q54" s="428" t="s">
        <v>8662</v>
      </c>
      <c r="R54" s="418" t="s">
        <v>8663</v>
      </c>
      <c r="S54" s="415" t="s">
        <v>8664</v>
      </c>
      <c r="T54" s="210" t="s">
        <v>8665</v>
      </c>
      <c r="U54" s="415"/>
      <c r="V54" s="210"/>
      <c r="W54" s="8"/>
      <c r="X54" s="8"/>
      <c r="Y54" s="8"/>
      <c r="Z54" s="8"/>
      <c r="AA54" s="8"/>
      <c r="AB54" s="8"/>
      <c r="AC54" s="8"/>
      <c r="AD54" s="8"/>
      <c r="AE54" s="8"/>
      <c r="AF54" s="8"/>
      <c r="AG54" s="8"/>
      <c r="AH54" s="8"/>
      <c r="AI54" s="8"/>
      <c r="AJ54" s="8"/>
      <c r="AK54" s="8"/>
      <c r="AL54" s="8"/>
      <c r="AM54" s="8"/>
      <c r="AN54" s="8"/>
      <c r="AO54" s="8"/>
      <c r="AP54" s="8"/>
      <c r="AQ54" s="8"/>
      <c r="AR54" s="8"/>
      <c r="AS54" s="8"/>
      <c r="AT54" s="8"/>
    </row>
    <row r="55">
      <c r="A55" s="411" t="s">
        <v>8666</v>
      </c>
      <c r="B55" s="177" t="s">
        <v>8667</v>
      </c>
      <c r="C55" s="411" t="s">
        <v>8668</v>
      </c>
      <c r="D55" s="177" t="s">
        <v>8669</v>
      </c>
      <c r="E55" s="411" t="s">
        <v>8670</v>
      </c>
      <c r="F55" s="177" t="s">
        <v>8671</v>
      </c>
      <c r="G55" s="415" t="str">
        <f>IFERROR(__xludf.DUMMYFUNCTION("GOOGLETRANSLATE(A55,""zh-tw"",""zh"")"),"炸弹魔之魂")</f>
        <v>炸弹魔之魂</v>
      </c>
      <c r="H55" s="210" t="str">
        <f>IFERROR(__xludf.DUMMYFUNCTION("GOOGLETRANSLATE(B55,""zh-tw"",""zh"")"),"小概率附带爆炸效果、爆炸减免")</f>
        <v>小概率附带爆炸效果、爆炸减免</v>
      </c>
      <c r="I55" s="415" t="str">
        <f>IFERROR(__xludf.DUMMYFUNCTION("GOOGLETRANSLATE(A55,""zh-tw"",""es-MX"")"),"Alma del bombardero")</f>
        <v>Alma del bombardero</v>
      </c>
      <c r="J55" s="210" t="str">
        <f>IFERROR(__xludf.DUMMYFUNCTION("GOOGLETRANSLATE(B55,""zh-tw"",""es-MX"")"),"Baja probabilidad de desencadenar un efecto explosivo o una reducción de la explosión.")</f>
        <v>Baja probabilidad de desencadenar un efecto explosivo o una reducción de la explosión.</v>
      </c>
      <c r="K55" s="412" t="s">
        <v>8672</v>
      </c>
      <c r="L55" s="177" t="s">
        <v>8673</v>
      </c>
      <c r="M55" s="415" t="s">
        <v>8674</v>
      </c>
      <c r="N55" s="210" t="s">
        <v>8675</v>
      </c>
      <c r="O55" s="412" t="s">
        <v>8676</v>
      </c>
      <c r="P55" s="214" t="s">
        <v>8677</v>
      </c>
      <c r="Q55" s="428" t="s">
        <v>8678</v>
      </c>
      <c r="R55" s="414" t="s">
        <v>8679</v>
      </c>
      <c r="S55" s="415" t="s">
        <v>8680</v>
      </c>
      <c r="T55" s="210" t="s">
        <v>8681</v>
      </c>
      <c r="U55" s="415"/>
      <c r="V55" s="210"/>
      <c r="W55" s="8"/>
      <c r="X55" s="8"/>
      <c r="Y55" s="8"/>
      <c r="Z55" s="8"/>
      <c r="AA55" s="8"/>
      <c r="AB55" s="8"/>
      <c r="AC55" s="8"/>
      <c r="AD55" s="8"/>
      <c r="AE55" s="8"/>
      <c r="AF55" s="8"/>
      <c r="AG55" s="8"/>
      <c r="AH55" s="8"/>
      <c r="AI55" s="8"/>
      <c r="AJ55" s="8"/>
      <c r="AK55" s="8"/>
      <c r="AL55" s="8"/>
      <c r="AM55" s="8"/>
      <c r="AN55" s="8"/>
      <c r="AO55" s="8"/>
      <c r="AP55" s="8"/>
      <c r="AQ55" s="8"/>
      <c r="AR55" s="8"/>
      <c r="AS55" s="8"/>
      <c r="AT55" s="8"/>
    </row>
    <row r="56">
      <c r="A56" s="411" t="s">
        <v>8682</v>
      </c>
      <c r="B56" s="177" t="s">
        <v>8683</v>
      </c>
      <c r="C56" s="411" t="s">
        <v>8684</v>
      </c>
      <c r="D56" s="177" t="s">
        <v>8685</v>
      </c>
      <c r="E56" s="411" t="s">
        <v>8686</v>
      </c>
      <c r="F56" s="177" t="s">
        <v>8687</v>
      </c>
      <c r="G56" s="415" t="str">
        <f>IFERROR(__xludf.DUMMYFUNCTION("GOOGLETRANSLATE(A56,""zh-tw"",""zh"")"),"堕落法师的头环")</f>
        <v>堕落法师的头环</v>
      </c>
      <c r="H56" s="210" t="str">
        <f>IFERROR(__xludf.DUMMYFUNCTION("GOOGLETRANSLATE(B56,""zh-tw"",""zh"")"),"魔攻：10
魔抗：25
提升魔攻并降低自身体力上限")</f>
        <v>魔攻：10
魔抗：25
提升魔攻并降低自身体力上限</v>
      </c>
      <c r="I56" s="415" t="str">
        <f>IFERROR(__xludf.DUMMYFUNCTION("GOOGLETRANSLATE(A56,""zh-tw"",""es-MX"")"),"La diadema del mago caído")</f>
        <v>La diadema del mago caído</v>
      </c>
      <c r="J56" s="210" t="str">
        <f>IFERROR(__xludf.DUMMYFUNCTION("GOOGLETRANSLATE(B56,""zh-tw"",""es-MX"")"),"Ataque mágico: 10
Resistencia mágica: 25
Aumenta el ataque mágico y reduce la resistencia máxima.")</f>
        <v>Ataque mágico: 10
Resistencia mágica: 25
Aumenta el ataque mágico y reduce la resistencia máxima.</v>
      </c>
      <c r="K56" s="411" t="s">
        <v>8688</v>
      </c>
      <c r="L56" s="177" t="s">
        <v>8689</v>
      </c>
      <c r="M56" s="415" t="s">
        <v>8690</v>
      </c>
      <c r="N56" s="210" t="s">
        <v>8691</v>
      </c>
      <c r="O56" s="412" t="s">
        <v>8692</v>
      </c>
      <c r="P56" s="214" t="s">
        <v>8693</v>
      </c>
      <c r="Q56" s="427" t="s">
        <v>8694</v>
      </c>
      <c r="R56" s="414" t="s">
        <v>8695</v>
      </c>
      <c r="S56" s="415" t="s">
        <v>8696</v>
      </c>
      <c r="T56" s="210" t="s">
        <v>8697</v>
      </c>
      <c r="U56" s="415"/>
      <c r="V56" s="210"/>
      <c r="W56" s="8"/>
      <c r="X56" s="8"/>
      <c r="Y56" s="8"/>
      <c r="Z56" s="8"/>
      <c r="AA56" s="8"/>
      <c r="AB56" s="8"/>
      <c r="AC56" s="8"/>
      <c r="AD56" s="8"/>
      <c r="AE56" s="8"/>
      <c r="AF56" s="8"/>
      <c r="AG56" s="8"/>
      <c r="AH56" s="8"/>
      <c r="AI56" s="8"/>
      <c r="AJ56" s="8"/>
      <c r="AK56" s="8"/>
      <c r="AL56" s="8"/>
      <c r="AM56" s="8"/>
      <c r="AN56" s="8"/>
      <c r="AO56" s="8"/>
      <c r="AP56" s="8"/>
      <c r="AQ56" s="8"/>
      <c r="AR56" s="8"/>
      <c r="AS56" s="8"/>
      <c r="AT56" s="8"/>
    </row>
    <row r="57">
      <c r="A57" s="411" t="s">
        <v>8698</v>
      </c>
      <c r="B57" s="177" t="s">
        <v>8699</v>
      </c>
      <c r="C57" s="411" t="s">
        <v>8700</v>
      </c>
      <c r="D57" s="177" t="s">
        <v>8701</v>
      </c>
      <c r="E57" s="411" t="s">
        <v>8702</v>
      </c>
      <c r="F57" s="177" t="s">
        <v>8703</v>
      </c>
      <c r="G57" s="415" t="str">
        <f>IFERROR(__xludf.DUMMYFUNCTION("GOOGLETRANSLATE(A57,""zh-tw"",""zh"")"),"堕落法师的披风")</f>
        <v>堕落法师的披风</v>
      </c>
      <c r="H57" s="210" t="str">
        <f>IFERROR(__xludf.DUMMYFUNCTION("GOOGLETRANSLATE(B57,""zh-tw"",""zh"")"),"魔攻：10
物防:1
魔抗：35
闪步使物体陷入凝滞状态")</f>
        <v>魔攻：10
物防:1
魔抗：35
闪步使物体陷入凝滞状态</v>
      </c>
      <c r="I57" s="415" t="str">
        <f>IFERROR(__xludf.DUMMYFUNCTION("GOOGLETRANSLATE(A57,""zh-tw"",""es-MX"")"),"La capa del mago caído")</f>
        <v>La capa del mago caído</v>
      </c>
      <c r="J57" s="210" t="str">
        <f>IFERROR(__xludf.DUMMYFUNCTION("GOOGLETRANSLATE(B57,""zh-tw"",""es-MX"")"),"Ataque mágico: 10 Defensa física: 1 Resistencia mágica: 35 Paso relámpago congela los objetos en un estado de estancamiento.")</f>
        <v>Ataque mágico: 10 Defensa física: 1 Resistencia mágica: 35 Paso relámpago congela los objetos en un estado de estancamiento.</v>
      </c>
      <c r="K57" s="411" t="s">
        <v>8704</v>
      </c>
      <c r="L57" s="177" t="s">
        <v>8705</v>
      </c>
      <c r="M57" s="415" t="s">
        <v>8706</v>
      </c>
      <c r="N57" s="210" t="s">
        <v>8707</v>
      </c>
      <c r="O57" s="412" t="s">
        <v>8708</v>
      </c>
      <c r="P57" s="214" t="s">
        <v>8709</v>
      </c>
      <c r="Q57" s="427" t="s">
        <v>8710</v>
      </c>
      <c r="R57" s="414" t="s">
        <v>8711</v>
      </c>
      <c r="S57" s="415" t="s">
        <v>8712</v>
      </c>
      <c r="T57" s="210" t="s">
        <v>8713</v>
      </c>
      <c r="U57" s="415"/>
      <c r="V57" s="210"/>
      <c r="W57" s="8"/>
      <c r="X57" s="8"/>
      <c r="Y57" s="8"/>
      <c r="Z57" s="8"/>
      <c r="AA57" s="8"/>
      <c r="AB57" s="8"/>
      <c r="AC57" s="8"/>
      <c r="AD57" s="8"/>
      <c r="AE57" s="8"/>
      <c r="AF57" s="8"/>
      <c r="AG57" s="8"/>
      <c r="AH57" s="8"/>
      <c r="AI57" s="8"/>
      <c r="AJ57" s="8"/>
      <c r="AK57" s="8"/>
      <c r="AL57" s="8"/>
      <c r="AM57" s="8"/>
      <c r="AN57" s="8"/>
      <c r="AO57" s="8"/>
      <c r="AP57" s="8"/>
      <c r="AQ57" s="8"/>
      <c r="AR57" s="8"/>
      <c r="AS57" s="8"/>
      <c r="AT57" s="8"/>
    </row>
    <row r="58">
      <c r="A58" s="416" t="s">
        <v>8714</v>
      </c>
      <c r="B58" s="177" t="s">
        <v>8715</v>
      </c>
      <c r="C58" s="411" t="s">
        <v>8716</v>
      </c>
      <c r="D58" s="177" t="s">
        <v>8717</v>
      </c>
      <c r="E58" s="411" t="s">
        <v>8718</v>
      </c>
      <c r="F58" s="177" t="s">
        <v>8719</v>
      </c>
      <c r="G58" s="415" t="str">
        <f>IFERROR(__xludf.DUMMYFUNCTION("GOOGLETRANSLATE(A58,""zh-tw"",""zh"")"),"堕落法师的手套")</f>
        <v>堕落法师的手套</v>
      </c>
      <c r="H58" s="210" t="str">
        <f>IFERROR(__xludf.DUMMYFUNCTION("GOOGLETRANSLATE(B58,""zh-tw"",""zh"")"),"物攻：2
魔攻：10
魔抗：20
自动瞄准")</f>
        <v>物攻：2
魔攻：10
魔抗：20
自动瞄准</v>
      </c>
      <c r="I58" s="415" t="str">
        <f>IFERROR(__xludf.DUMMYFUNCTION("GOOGLETRANSLATE(A58,""zh-tw"",""es-MX"")"),"Los guantes del mago caído")</f>
        <v>Los guantes del mago caído</v>
      </c>
      <c r="J58" s="210" t="str">
        <f>IFERROR(__xludf.DUMMYFUNCTION("GOOGLETRANSLATE(B58,""zh-tw"",""es-MX"")"),"Ataque físico: 2
Ataque mágico: 10
Resistencia mágica: 20
Apuntado automático")</f>
        <v>Ataque físico: 2
Ataque mágico: 10
Resistencia mágica: 20
Apuntado automático</v>
      </c>
      <c r="K58" s="415" t="str">
        <f>IFERROR(__xludf.DUMMYFUNCTION("GOOGLETRANSLATE(A58,""zh-tw"",""KO"")"),"타락한 마법사의 장갑")</f>
        <v>타락한 마법사의 장갑</v>
      </c>
      <c r="L58" s="177" t="s">
        <v>8720</v>
      </c>
      <c r="M58" s="415" t="s">
        <v>8721</v>
      </c>
      <c r="N58" s="210" t="s">
        <v>8722</v>
      </c>
      <c r="O58" s="412" t="s">
        <v>8723</v>
      </c>
      <c r="P58" s="214" t="s">
        <v>8724</v>
      </c>
      <c r="Q58" s="427" t="s">
        <v>8725</v>
      </c>
      <c r="R58" s="431" t="s">
        <v>8726</v>
      </c>
      <c r="S58" s="415" t="s">
        <v>8727</v>
      </c>
      <c r="T58" s="210" t="s">
        <v>8728</v>
      </c>
      <c r="U58" s="415"/>
      <c r="V58" s="210"/>
      <c r="W58" s="8"/>
      <c r="X58" s="8"/>
      <c r="Y58" s="8"/>
      <c r="Z58" s="8"/>
      <c r="AA58" s="8"/>
      <c r="AB58" s="8"/>
      <c r="AC58" s="8"/>
      <c r="AD58" s="8"/>
      <c r="AE58" s="8"/>
      <c r="AF58" s="8"/>
      <c r="AG58" s="8"/>
      <c r="AH58" s="8"/>
      <c r="AI58" s="8"/>
      <c r="AJ58" s="8"/>
      <c r="AK58" s="8"/>
      <c r="AL58" s="8"/>
      <c r="AM58" s="8"/>
      <c r="AN58" s="8"/>
      <c r="AO58" s="8"/>
      <c r="AP58" s="8"/>
      <c r="AQ58" s="8"/>
      <c r="AR58" s="8"/>
      <c r="AS58" s="8"/>
      <c r="AT58" s="8"/>
    </row>
    <row r="59">
      <c r="A59" s="416" t="s">
        <v>8729</v>
      </c>
      <c r="B59" s="177" t="s">
        <v>8730</v>
      </c>
      <c r="C59" s="411" t="s">
        <v>8731</v>
      </c>
      <c r="D59" s="177" t="s">
        <v>8732</v>
      </c>
      <c r="E59" s="411" t="s">
        <v>8733</v>
      </c>
      <c r="F59" s="177" t="s">
        <v>8734</v>
      </c>
      <c r="G59" s="415" t="str">
        <f>IFERROR(__xludf.DUMMYFUNCTION("GOOGLETRANSLATE(A59,""zh-tw"",""zh"")"),"堕落法师的轻履")</f>
        <v>堕落法师的轻履</v>
      </c>
      <c r="H59" s="210" t="str">
        <f>IFERROR(__xludf.DUMMYFUNCTION("GOOGLETRANSLATE(B59,""zh-tw"",""zh"")"),"物攻：2
魔攻：10
魔抗：20
虚无：无视一切阻碍、包括敌人子弹")</f>
        <v>物攻：2
魔攻：10
魔抗：20
虚无：无视一切阻碍、包括敌人子弹</v>
      </c>
      <c r="I59" s="415" t="str">
        <f>IFERROR(__xludf.DUMMYFUNCTION("GOOGLETRANSLATE(A59,""zh-tw"",""es-MX"")"),"Los pasos ligeros del mago caído")</f>
        <v>Los pasos ligeros del mago caído</v>
      </c>
      <c r="J59" s="210" t="str">
        <f>IFERROR(__xludf.DUMMYFUNCTION("GOOGLETRANSLATE(B59,""zh-tw"",""es-MX"")"),"Ataque físico: 2
Ataque mágico: 10
Resistencia mágica: 20
Vacío: Ignora todos los obstáculos, incluyendo las balas enemigas")</f>
        <v>Ataque físico: 2
Ataque mágico: 10
Resistencia mágica: 20
Vacío: Ignora todos los obstáculos, incluyendo las balas enemigas</v>
      </c>
      <c r="K59" s="411" t="s">
        <v>8735</v>
      </c>
      <c r="L59" s="177" t="s">
        <v>8736</v>
      </c>
      <c r="M59" s="415" t="s">
        <v>8737</v>
      </c>
      <c r="N59" s="210" t="s">
        <v>8738</v>
      </c>
      <c r="O59" s="412" t="s">
        <v>8739</v>
      </c>
      <c r="P59" s="214" t="s">
        <v>8740</v>
      </c>
      <c r="Q59" s="427" t="s">
        <v>8741</v>
      </c>
      <c r="R59" s="418" t="s">
        <v>8742</v>
      </c>
      <c r="S59" s="415" t="s">
        <v>8743</v>
      </c>
      <c r="T59" s="210" t="s">
        <v>8744</v>
      </c>
      <c r="U59" s="415"/>
      <c r="V59" s="210"/>
      <c r="W59" s="8"/>
      <c r="X59" s="8"/>
      <c r="Y59" s="8"/>
      <c r="Z59" s="8"/>
      <c r="AA59" s="8"/>
      <c r="AB59" s="8"/>
      <c r="AC59" s="8"/>
      <c r="AD59" s="8"/>
      <c r="AE59" s="8"/>
      <c r="AF59" s="8"/>
      <c r="AG59" s="8"/>
      <c r="AH59" s="8"/>
      <c r="AI59" s="8"/>
      <c r="AJ59" s="8"/>
      <c r="AK59" s="8"/>
      <c r="AL59" s="8"/>
      <c r="AM59" s="8"/>
      <c r="AN59" s="8"/>
      <c r="AO59" s="8"/>
      <c r="AP59" s="8"/>
      <c r="AQ59" s="8"/>
      <c r="AR59" s="8"/>
      <c r="AS59" s="8"/>
      <c r="AT59" s="8"/>
    </row>
    <row r="60">
      <c r="A60" s="411" t="s">
        <v>8745</v>
      </c>
      <c r="B60" s="177" t="s">
        <v>8746</v>
      </c>
      <c r="C60" s="411" t="s">
        <v>8747</v>
      </c>
      <c r="D60" s="177" t="s">
        <v>8748</v>
      </c>
      <c r="E60" s="411" t="s">
        <v>8749</v>
      </c>
      <c r="F60" s="177" t="s">
        <v>8750</v>
      </c>
      <c r="G60" s="415" t="str">
        <f>IFERROR(__xludf.DUMMYFUNCTION("GOOGLETRANSLATE(A60,""zh-tw"",""zh"")"),"调皮的杰克")</f>
        <v>调皮的杰克</v>
      </c>
      <c r="H60" s="210" t="str">
        <f>IFERROR(__xludf.DUMMYFUNCTION("GOOGLETRANSLATE(B60,""zh-tw"",""zh"")"),"魔攻：8
魔防：8
增强残血伤害
(最大额外附加30%伤害)")</f>
        <v>魔攻：8
魔防：8
增强残血伤害
(最大额外附加30%伤害)</v>
      </c>
      <c r="I60" s="415" t="str">
        <f>IFERROR(__xludf.DUMMYFUNCTION("GOOGLETRANSLATE(A60,""zh-tw"",""es-MX"")"),"Jack travieso")</f>
        <v>Jack travieso</v>
      </c>
      <c r="J60" s="210" t="str">
        <f>IFERROR(__xludf.DUMMYFUNCTION("GOOGLETRANSLATE(B60,""zh-tw"",""es-MX"")"),"Ataque mágico: 8
Defensa mágica: 8
Aumenta el daño infligido a enemigos con poca salud
(Daño adicional máximo del 30%)")</f>
        <v>Ataque mágico: 8
Defensa mágica: 8
Aumenta el daño infligido a enemigos con poca salud
(Daño adicional máximo del 30%)</v>
      </c>
      <c r="K60" s="415" t="str">
        <f>IFERROR(__xludf.DUMMYFUNCTION("GOOGLETRANSLATE(A60,""zh-tw"",""KO"")"),"장난꾸러기 잭")</f>
        <v>장난꾸러기 잭</v>
      </c>
      <c r="L60" s="177" t="s">
        <v>8751</v>
      </c>
      <c r="M60" s="415" t="s">
        <v>8752</v>
      </c>
      <c r="N60" s="210" t="s">
        <v>8753</v>
      </c>
      <c r="O60" s="412" t="s">
        <v>8754</v>
      </c>
      <c r="P60" s="214" t="s">
        <v>8755</v>
      </c>
      <c r="Q60" s="427" t="s">
        <v>8756</v>
      </c>
      <c r="R60" s="52" t="s">
        <v>8757</v>
      </c>
      <c r="S60" s="415" t="s">
        <v>8758</v>
      </c>
      <c r="T60" s="210" t="s">
        <v>8759</v>
      </c>
      <c r="U60" s="415"/>
      <c r="V60" s="210"/>
      <c r="W60" s="8"/>
      <c r="X60" s="8"/>
      <c r="Y60" s="8"/>
      <c r="Z60" s="8"/>
      <c r="AA60" s="8"/>
      <c r="AB60" s="8"/>
      <c r="AC60" s="8"/>
      <c r="AD60" s="8"/>
      <c r="AE60" s="8"/>
      <c r="AF60" s="8"/>
      <c r="AG60" s="8"/>
      <c r="AH60" s="8"/>
      <c r="AI60" s="8"/>
      <c r="AJ60" s="8"/>
      <c r="AK60" s="8"/>
      <c r="AL60" s="8"/>
      <c r="AM60" s="8"/>
      <c r="AN60" s="8"/>
      <c r="AO60" s="8"/>
      <c r="AP60" s="8"/>
      <c r="AQ60" s="8"/>
      <c r="AR60" s="8"/>
      <c r="AS60" s="8"/>
      <c r="AT60" s="8"/>
    </row>
    <row r="61">
      <c r="A61" s="411" t="s">
        <v>8760</v>
      </c>
      <c r="B61" s="177" t="s">
        <v>8761</v>
      </c>
      <c r="C61" s="411" t="s">
        <v>8762</v>
      </c>
      <c r="D61" s="177" t="s">
        <v>8763</v>
      </c>
      <c r="E61" s="411" t="s">
        <v>8764</v>
      </c>
      <c r="F61" s="177" t="s">
        <v>8765</v>
      </c>
      <c r="G61" s="415" t="str">
        <f>IFERROR(__xludf.DUMMYFUNCTION("GOOGLETRANSLATE(A61,""zh-tw"",""zh"")"),"夜雾幻影")</f>
        <v>夜雾幻影</v>
      </c>
      <c r="H61" s="210" t="str">
        <f>IFERROR(__xludf.DUMMYFUNCTION("GOOGLETRANSLATE(B61,""zh-tw"",""zh"")"),"物防:2
魔防:2
每隔一段时间会透明化、透明时进行背刺伤害加倍")</f>
        <v>物防:2
魔防:2
每隔一段时间会透明化、透明时进行背刺伤害加倍</v>
      </c>
      <c r="I61" s="415" t="str">
        <f>IFERROR(__xludf.DUMMYFUNCTION("GOOGLETRANSLATE(A61,""zh-tw"",""es-MX"")"),"Fantasma de la Niebla Nocturna")</f>
        <v>Fantasma de la Niebla Nocturna</v>
      </c>
      <c r="J61" s="210" t="str">
        <f>IFERROR(__xludf.DUMMYFUNCTION("GOOGLETRANSLATE(B61,""zh-tw"",""es-MX"")"),"Defensa física: 2
Defensa mágica: 2
Periódicamente se vuelve transparente; el daño por ataque por la espalda se duplica mientras es transparente.")</f>
        <v>Defensa física: 2
Defensa mágica: 2
Periódicamente se vuelve transparente; el daño por ataque por la espalda se duplica mientras es transparente.</v>
      </c>
      <c r="K61" s="411" t="s">
        <v>8766</v>
      </c>
      <c r="L61" s="177" t="s">
        <v>8767</v>
      </c>
      <c r="M61" s="415" t="s">
        <v>8768</v>
      </c>
      <c r="N61" s="210" t="s">
        <v>8769</v>
      </c>
      <c r="O61" s="412" t="s">
        <v>8770</v>
      </c>
      <c r="P61" s="214" t="s">
        <v>8771</v>
      </c>
      <c r="Q61" s="427" t="s">
        <v>8772</v>
      </c>
      <c r="R61" s="414" t="s">
        <v>8773</v>
      </c>
      <c r="S61" s="415" t="s">
        <v>8774</v>
      </c>
      <c r="T61" s="210" t="s">
        <v>8775</v>
      </c>
      <c r="U61" s="415"/>
      <c r="V61" s="210"/>
      <c r="W61" s="8"/>
      <c r="X61" s="8"/>
      <c r="Y61" s="8"/>
      <c r="Z61" s="8"/>
      <c r="AA61" s="8"/>
      <c r="AB61" s="8"/>
      <c r="AC61" s="8"/>
      <c r="AD61" s="8"/>
      <c r="AE61" s="8"/>
      <c r="AF61" s="8"/>
      <c r="AG61" s="8"/>
      <c r="AH61" s="8"/>
      <c r="AI61" s="8"/>
      <c r="AJ61" s="8"/>
      <c r="AK61" s="8"/>
      <c r="AL61" s="8"/>
      <c r="AM61" s="8"/>
      <c r="AN61" s="8"/>
      <c r="AO61" s="8"/>
      <c r="AP61" s="8"/>
      <c r="AQ61" s="8"/>
      <c r="AR61" s="8"/>
      <c r="AS61" s="8"/>
      <c r="AT61" s="8"/>
    </row>
    <row r="62">
      <c r="A62" s="411" t="s">
        <v>8776</v>
      </c>
      <c r="B62" s="177" t="s">
        <v>8777</v>
      </c>
      <c r="C62" s="411" t="s">
        <v>8778</v>
      </c>
      <c r="D62" s="177" t="s">
        <v>8779</v>
      </c>
      <c r="E62" s="411" t="s">
        <v>8780</v>
      </c>
      <c r="F62" s="177" t="s">
        <v>8781</v>
      </c>
      <c r="G62" s="411" t="s">
        <v>8776</v>
      </c>
      <c r="H62" s="177" t="s">
        <v>8777</v>
      </c>
      <c r="I62" s="415"/>
      <c r="J62" s="210"/>
      <c r="K62" s="411" t="s">
        <v>8782</v>
      </c>
      <c r="L62" s="177" t="s">
        <v>8783</v>
      </c>
      <c r="M62" s="416" t="s">
        <v>8784</v>
      </c>
      <c r="N62" s="166" t="s">
        <v>8785</v>
      </c>
      <c r="O62" s="411" t="s">
        <v>8780</v>
      </c>
      <c r="P62" s="210" t="str">
        <f>IFERROR(__xludf.DUMMYFUNCTION("GOOGLETRANSLATE(B62,""zh-tw"",""de"")"),"Physischer Angriff: 10
Magische Verteidigung: 10
Physischer Angriff verdoppelt, Angriffsgeschwindigkeit verringert, Haltbarkeitsverbrauch erhöht.")</f>
        <v>Physischer Angriff: 10
Magische Verteidigung: 10
Physischer Angriff verdoppelt, Angriffsgeschwindigkeit verringert, Haltbarkeitsverbrauch erhöht.</v>
      </c>
      <c r="Q62" s="427" t="s">
        <v>8786</v>
      </c>
      <c r="R62" s="52" t="s">
        <v>8787</v>
      </c>
      <c r="S62" s="411" t="s">
        <v>8788</v>
      </c>
      <c r="T62" s="177" t="s">
        <v>8789</v>
      </c>
      <c r="U62" s="411"/>
      <c r="V62" s="177"/>
      <c r="W62" s="8"/>
      <c r="X62" s="8"/>
      <c r="Y62" s="8"/>
      <c r="Z62" s="8"/>
      <c r="AA62" s="8"/>
      <c r="AB62" s="8"/>
      <c r="AC62" s="8"/>
      <c r="AD62" s="8"/>
      <c r="AE62" s="8"/>
      <c r="AF62" s="8"/>
      <c r="AG62" s="8"/>
      <c r="AH62" s="8"/>
      <c r="AI62" s="8"/>
      <c r="AJ62" s="8"/>
      <c r="AK62" s="8"/>
      <c r="AL62" s="8"/>
      <c r="AM62" s="8"/>
      <c r="AN62" s="8"/>
      <c r="AO62" s="8"/>
      <c r="AP62" s="8"/>
      <c r="AQ62" s="8"/>
      <c r="AR62" s="8"/>
      <c r="AS62" s="8"/>
      <c r="AT62" s="8"/>
    </row>
    <row r="63">
      <c r="A63" s="415" t="s">
        <v>8790</v>
      </c>
      <c r="B63" s="210" t="s">
        <v>8791</v>
      </c>
      <c r="C63" s="411" t="s">
        <v>8792</v>
      </c>
      <c r="D63" s="210" t="s">
        <v>8793</v>
      </c>
      <c r="E63" s="415" t="s">
        <v>8794</v>
      </c>
      <c r="F63" s="177" t="s">
        <v>8795</v>
      </c>
      <c r="G63" s="415" t="str">
        <f>IFERROR(__xludf.DUMMYFUNCTION("GOOGLETRANSLATE(A63,""zh-tw"",""zh"")"),"谢里斯的诅咒之手")</f>
        <v>谢里斯的诅咒之手</v>
      </c>
      <c r="H63" s="210" t="str">
        <f>IFERROR(__xludf.DUMMYFUNCTION("GOOGLETRANSLATE(B63,""zh-tw"",""zh"")"),"魔防：18
自动环绕从者
对目标施加伤害
附上Debuff：嘲讽、激怒
(减少对方防御、增加对方攻击)
(Debuff未实装)")</f>
        <v>魔防：18
自动环绕从者
对目标施加伤害
附上Debuff：嘲讽、激怒
(减少对方防御、增加对方攻击)
(Debuff未实装)</v>
      </c>
      <c r="I63" s="415" t="str">
        <f>IFERROR(__xludf.DUMMYFUNCTION("GOOGLETRANSLATE(A63,""zh-tw"",""es-MX"")"),"La mano maldita de Sheris")</f>
        <v>La mano maldita de Sheris</v>
      </c>
      <c r="J63" s="210" t="str">
        <f>IFERROR(__xludf.DUMMYFUNCTION("GOOGLETRANSLATE(B63,""zh-tw"",""es-MX"")"),"Defensa Mágica: 18. Orbita automáticamente al Servant. Inflige daño al objetivo. Aplica desventajas: Provocación, Enfurecer.
(Reduce la defensa del enemigo, aumenta su ataque).
(Desventaja aún no implementada).")</f>
        <v>Defensa Mágica: 18. Orbita automáticamente al Servant. Inflige daño al objetivo. Aplica desventajas: Provocación, Enfurecer.
(Reduce la defensa del enemigo, aumenta su ataque).
(Desventaja aún no implementada).</v>
      </c>
      <c r="K63" s="415" t="str">
        <f>IFERROR(__xludf.DUMMYFUNCTION("GOOGLETRANSLATE(A63,""zh-tw"",""KO"")"),"셰리스의 저주받은 손")</f>
        <v>셰리스의 저주받은 손</v>
      </c>
      <c r="L63" s="210" t="str">
        <f>IFERROR(__xludf.DUMMYFUNCTION("GOOGLETRANSLATE(B63,""zh-tw"",""KO"")"),"마법 방어력: 18 자동으로 하수인 주위를 공전하며 대상에게 피해를 줍니다. 도발, 분노 등의 디버프를 부여합니다.
(적의 방어력을 감소시키고 공격력을 증가시킵니다.)
(디버프는 아직 구현되지 않았습니다.)")</f>
        <v>마법 방어력: 18 자동으로 하수인 주위를 공전하며 대상에게 피해를 줍니다. 도발, 분노 등의 디버프를 부여합니다.
(적의 방어력을 감소시키고 공격력을 증가시킵니다.)
(디버프는 아직 구현되지 않았습니다.)</v>
      </c>
      <c r="M63" s="415" t="s">
        <v>8796</v>
      </c>
      <c r="N63" s="210" t="s">
        <v>8797</v>
      </c>
      <c r="O63" s="411" t="s">
        <v>8798</v>
      </c>
      <c r="P63" s="177" t="s">
        <v>8799</v>
      </c>
      <c r="Q63" s="432" t="s">
        <v>8800</v>
      </c>
      <c r="R63" s="418" t="s">
        <v>8801</v>
      </c>
      <c r="S63" s="415" t="s">
        <v>8802</v>
      </c>
      <c r="T63" s="210" t="s">
        <v>8803</v>
      </c>
      <c r="U63" s="415"/>
      <c r="V63" s="210"/>
      <c r="W63" s="8"/>
      <c r="X63" s="8"/>
      <c r="Y63" s="8"/>
      <c r="Z63" s="8"/>
      <c r="AA63" s="8"/>
      <c r="AB63" s="8"/>
      <c r="AC63" s="8"/>
      <c r="AD63" s="8"/>
      <c r="AE63" s="8"/>
      <c r="AF63" s="8"/>
      <c r="AG63" s="8"/>
      <c r="AH63" s="8"/>
      <c r="AI63" s="8"/>
      <c r="AJ63" s="8"/>
      <c r="AK63" s="8"/>
      <c r="AL63" s="8"/>
      <c r="AM63" s="8"/>
      <c r="AN63" s="8"/>
      <c r="AO63" s="8"/>
      <c r="AP63" s="8"/>
      <c r="AQ63" s="8"/>
      <c r="AR63" s="8"/>
      <c r="AS63" s="8"/>
      <c r="AT63" s="8"/>
    </row>
    <row r="64">
      <c r="A64" s="412" t="s">
        <v>8804</v>
      </c>
      <c r="B64" s="214" t="s">
        <v>8612</v>
      </c>
      <c r="C64" s="411" t="s">
        <v>8805</v>
      </c>
      <c r="D64" s="177" t="s">
        <v>8614</v>
      </c>
      <c r="E64" s="411" t="s">
        <v>8806</v>
      </c>
      <c r="F64" s="177" t="s">
        <v>8807</v>
      </c>
      <c r="G64" s="415" t="str">
        <f>IFERROR(__xludf.DUMMYFUNCTION("GOOGLETRANSLATE(A64,""zh-tw"",""zh"")"),"毒蛇之拥")</f>
        <v>毒蛇之拥</v>
      </c>
      <c r="H64" s="210" t="str">
        <f>IFERROR(__xludf.DUMMYFUNCTION("GOOGLETRANSLATE(B64,""zh-tw"",""zh"")"),"物攻：1
魔攻：8
自动环绕攻击")</f>
        <v>物攻：1
魔攻：8
自动环绕攻击</v>
      </c>
      <c r="I64" s="415" t="str">
        <f>IFERROR(__xludf.DUMMYFUNCTION("GOOGLETRANSLATE(A64,""zh-tw"",""es-MX"")"),"El abrazo de la serpiente")</f>
        <v>El abrazo de la serpiente</v>
      </c>
      <c r="J64" s="210" t="str">
        <f>IFERROR(__xludf.DUMMYFUNCTION("GOOGLETRANSLATE(B64,""zh-tw"",""es-MX"")"),"Ataque físico: 1
Ataque mágico: 8
Ataque circular automático")</f>
        <v>Ataque físico: 1
Ataque mágico: 8
Ataque circular automático</v>
      </c>
      <c r="K64" s="411" t="s">
        <v>8808</v>
      </c>
      <c r="L64" s="177" t="s">
        <v>8617</v>
      </c>
      <c r="M64" s="415" t="s">
        <v>8809</v>
      </c>
      <c r="N64" s="210" t="s">
        <v>8810</v>
      </c>
      <c r="O64" s="412" t="s">
        <v>8811</v>
      </c>
      <c r="P64" s="214" t="s">
        <v>8812</v>
      </c>
      <c r="Q64" s="428" t="s">
        <v>8813</v>
      </c>
      <c r="R64" s="418" t="s">
        <v>8814</v>
      </c>
      <c r="S64" s="415" t="s">
        <v>8815</v>
      </c>
      <c r="T64" s="210" t="s">
        <v>8816</v>
      </c>
      <c r="U64" s="415"/>
      <c r="V64" s="210"/>
      <c r="W64" s="8"/>
      <c r="X64" s="8"/>
      <c r="Y64" s="8"/>
      <c r="Z64" s="8"/>
      <c r="AA64" s="8"/>
      <c r="AB64" s="8"/>
      <c r="AC64" s="8"/>
      <c r="AD64" s="8"/>
      <c r="AE64" s="8"/>
      <c r="AF64" s="8"/>
      <c r="AG64" s="8"/>
      <c r="AH64" s="8"/>
      <c r="AI64" s="8"/>
      <c r="AJ64" s="8"/>
      <c r="AK64" s="8"/>
      <c r="AL64" s="8"/>
      <c r="AM64" s="8"/>
      <c r="AN64" s="8"/>
      <c r="AO64" s="8"/>
      <c r="AP64" s="8"/>
      <c r="AQ64" s="8"/>
      <c r="AR64" s="8"/>
      <c r="AS64" s="8"/>
      <c r="AT64" s="8"/>
    </row>
    <row r="65">
      <c r="A65" s="412" t="s">
        <v>8817</v>
      </c>
      <c r="B65" s="214" t="s">
        <v>8818</v>
      </c>
      <c r="C65" s="411" t="s">
        <v>8819</v>
      </c>
      <c r="D65" s="177" t="s">
        <v>8820</v>
      </c>
      <c r="E65" s="411" t="s">
        <v>8821</v>
      </c>
      <c r="F65" s="177" t="s">
        <v>8822</v>
      </c>
      <c r="G65" s="415" t="str">
        <f>IFERROR(__xludf.DUMMYFUNCTION("GOOGLETRANSLATE(A65,""zh-tw"",""zh"")"),"招财猫")</f>
        <v>招财猫</v>
      </c>
      <c r="H65" s="210" t="str">
        <f>IFERROR(__xludf.DUMMYFUNCTION("GOOGLETRANSLATE(B65,""zh-tw"",""zh"")"),"魔抗：10
幸运：50
吸取物品")</f>
        <v>魔抗：10
幸运：50
吸取物品</v>
      </c>
      <c r="I65" s="415" t="str">
        <f>IFERROR(__xludf.DUMMYFUNCTION("GOOGLETRANSLATE(A65,""zh-tw"",""es-MX"")"),"Gato de la suerte")</f>
        <v>Gato de la suerte</v>
      </c>
      <c r="J65" s="210" t="str">
        <f>IFERROR(__xludf.DUMMYFUNCTION("GOOGLETRANSLATE(B65,""zh-tw"",""es-MX"")"),"Resistencia mágica: 10
Suerte: 50
Absorber objetos")</f>
        <v>Resistencia mágica: 10
Suerte: 50
Absorber objetos</v>
      </c>
      <c r="K65" s="411" t="s">
        <v>8823</v>
      </c>
      <c r="L65" s="177" t="s">
        <v>8824</v>
      </c>
      <c r="M65" s="415" t="s">
        <v>8825</v>
      </c>
      <c r="N65" s="210" t="s">
        <v>8826</v>
      </c>
      <c r="O65" s="412" t="s">
        <v>8827</v>
      </c>
      <c r="P65" s="214" t="s">
        <v>8828</v>
      </c>
      <c r="Q65" s="428" t="s">
        <v>8829</v>
      </c>
      <c r="R65" s="414" t="s">
        <v>8830</v>
      </c>
      <c r="S65" s="415" t="s">
        <v>8831</v>
      </c>
      <c r="T65" s="210" t="s">
        <v>8832</v>
      </c>
      <c r="U65" s="415"/>
      <c r="V65" s="210"/>
      <c r="W65" s="8"/>
      <c r="X65" s="8"/>
      <c r="Y65" s="8"/>
      <c r="Z65" s="8"/>
      <c r="AA65" s="8"/>
      <c r="AB65" s="8"/>
      <c r="AC65" s="8"/>
      <c r="AD65" s="8"/>
      <c r="AE65" s="8"/>
      <c r="AF65" s="8"/>
      <c r="AG65" s="8"/>
      <c r="AH65" s="8"/>
      <c r="AI65" s="8"/>
      <c r="AJ65" s="8"/>
      <c r="AK65" s="8"/>
      <c r="AL65" s="8"/>
      <c r="AM65" s="8"/>
      <c r="AN65" s="8"/>
      <c r="AO65" s="8"/>
      <c r="AP65" s="8"/>
      <c r="AQ65" s="8"/>
      <c r="AR65" s="8"/>
      <c r="AS65" s="8"/>
      <c r="AT65" s="8"/>
    </row>
    <row r="66">
      <c r="A66" s="415" t="s">
        <v>6365</v>
      </c>
      <c r="B66" s="177" t="s">
        <v>8833</v>
      </c>
      <c r="C66" s="415" t="s">
        <v>6365</v>
      </c>
      <c r="D66" s="177" t="s">
        <v>8834</v>
      </c>
      <c r="E66" s="411" t="s">
        <v>6369</v>
      </c>
      <c r="F66" s="177" t="s">
        <v>8835</v>
      </c>
      <c r="G66" s="415" t="str">
        <f>IFERROR(__xludf.DUMMYFUNCTION("GOOGLETRANSLATE(A66,""zh-tw"",""zh"")"),"◉▽◉(紫色)")</f>
        <v>◉▽◉(紫色)</v>
      </c>
      <c r="H66" s="210" t="str">
        <f>IFERROR(__xludf.DUMMYFUNCTION("GOOGLETRANSLATE(B66,""zh-tw"",""zh"")"),"投掷攻击
遇水消失、会被击杀
幸运：20")</f>
        <v>投掷攻击
遇水消失、会被击杀
幸运：20</v>
      </c>
      <c r="I66" s="415" t="str">
        <f>IFERROR(__xludf.DUMMYFUNCTION("GOOGLETRANSLATE(A66,""zh-tw"",""es-MX"")"),"◉▽◉(morado)")</f>
        <v>◉▽◉(morado)</v>
      </c>
      <c r="J66" s="210" t="str">
        <f>IFERROR(__xludf.DUMMYFUNCTION("GOOGLETRANSLATE(B66,""zh-tw"",""es-MX"")"),"Ataque de lanzamiento. Desaparece al contacto con el agua y puede ser eliminado. Suerte: 20")</f>
        <v>Ataque de lanzamiento. Desaparece al contacto con el agua y puede ser eliminado. Suerte: 20</v>
      </c>
      <c r="K66" s="415" t="str">
        <f>IFERROR(__xludf.DUMMYFUNCTION("GOOGLETRANSLATE(A66,""zh-tw"",""KO"")"),"◉▽◉(보라색)")</f>
        <v>◉▽◉(보라색)</v>
      </c>
      <c r="L66" s="210" t="str">
        <f>IFERROR(__xludf.DUMMYFUNCTION("GOOGLETRANSLATE(B66,""zh-tw"",""KO"")"),"투척 공격. 물에 닿으면 사라지며, 물에 닿으면 죽습니다. 행운: 20")</f>
        <v>투척 공격. 물에 닿으면 사라지며, 물에 닿으면 죽습니다. 행운: 20</v>
      </c>
      <c r="M66" s="415" t="s">
        <v>8836</v>
      </c>
      <c r="N66" s="210" t="s">
        <v>8837</v>
      </c>
      <c r="O66" s="411" t="s">
        <v>6373</v>
      </c>
      <c r="P66" s="177" t="s">
        <v>8838</v>
      </c>
      <c r="Q66" s="433" t="s">
        <v>6375</v>
      </c>
      <c r="R66" s="414" t="s">
        <v>8839</v>
      </c>
      <c r="S66" s="415" t="s">
        <v>6377</v>
      </c>
      <c r="T66" s="210" t="s">
        <v>8840</v>
      </c>
      <c r="U66" s="415"/>
      <c r="V66" s="210"/>
      <c r="W66" s="8"/>
      <c r="X66" s="8"/>
      <c r="Y66" s="8"/>
      <c r="Z66" s="8"/>
      <c r="AA66" s="8"/>
      <c r="AB66" s="8"/>
      <c r="AC66" s="8"/>
      <c r="AD66" s="8"/>
      <c r="AE66" s="8"/>
      <c r="AF66" s="8"/>
      <c r="AG66" s="8"/>
      <c r="AH66" s="8"/>
      <c r="AI66" s="8"/>
      <c r="AJ66" s="8"/>
      <c r="AK66" s="8"/>
      <c r="AL66" s="8"/>
      <c r="AM66" s="8"/>
      <c r="AN66" s="8"/>
      <c r="AO66" s="8"/>
      <c r="AP66" s="8"/>
      <c r="AQ66" s="8"/>
      <c r="AR66" s="8"/>
      <c r="AS66" s="8"/>
      <c r="AT66" s="8"/>
    </row>
    <row r="67">
      <c r="A67" s="415" t="s">
        <v>8841</v>
      </c>
      <c r="B67" s="210" t="s">
        <v>8842</v>
      </c>
      <c r="C67" s="415" t="s">
        <v>8843</v>
      </c>
      <c r="D67" s="210" t="s">
        <v>8844</v>
      </c>
      <c r="E67" s="415" t="s">
        <v>8845</v>
      </c>
      <c r="F67" s="210" t="s">
        <v>8846</v>
      </c>
      <c r="G67" s="415" t="s">
        <v>8847</v>
      </c>
      <c r="H67" s="210" t="s">
        <v>8848</v>
      </c>
      <c r="I67" s="415" t="str">
        <f>IFERROR(__xludf.DUMMYFUNCTION("GOOGLETRANSLATE(A67,""zh-tw"",""es-MX"")"),"Cuerno rojo")</f>
        <v>Cuerno rojo</v>
      </c>
      <c r="J67" s="210" t="str">
        <f>IFERROR(__xludf.DUMMYFUNCTION("GOOGLETRANSLATE(B67,""zh-tw"",""es-MX"")"),"Ataque físico: 4
Defensa física: 2
Defensa mágica: 25
Aumento de velocidad ilimitado tras cargarse")</f>
        <v>Ataque físico: 4
Defensa física: 2
Defensa mágica: 25
Aumento de velocidad ilimitado tras cargarse</v>
      </c>
      <c r="K67" s="415" t="str">
        <f>IFERROR(__xludf.DUMMYFUNCTION("GOOGLETRANSLATE(A67,""zh-tw"",""KO"")"),"붉은 뿔")</f>
        <v>붉은 뿔</v>
      </c>
      <c r="L67" s="210" t="str">
        <f>IFERROR(__xludf.DUMMYFUNCTION("GOOGLETRANSLATE(B67,""zh-tw"",""KO"")"),"물리 공격력: 4
물리 방어력: 2
마법 방어력: 25
충전 후 무제한 속도 증가")</f>
        <v>물리 공격력: 4
물리 방어력: 2
마법 방어력: 25
충전 후 무제한 속도 증가</v>
      </c>
      <c r="M67" s="415" t="s">
        <v>8849</v>
      </c>
      <c r="N67" s="210" t="s">
        <v>8850</v>
      </c>
      <c r="O67" s="429" t="str">
        <f>IFERROR(__xludf.DUMMYFUNCTION("GOOGLETRANSLATE(A67,""zh-tw"",""de"")"),"Rothorn")</f>
        <v>Rothorn</v>
      </c>
      <c r="P67" s="430" t="str">
        <f>IFERROR(__xludf.DUMMYFUNCTION("GOOGLETRANSLATE(B67,""zh-tw"",""de"")"),"Physischer Angriff: 4
Physische Verteidigung: 2
Magische Verteidigung: 25
Unbegrenzter Geschwindigkeitsschub nach dem Aufladen")</f>
        <v>Physischer Angriff: 4
Physische Verteidigung: 2
Magische Verteidigung: 25
Unbegrenzter Geschwindigkeitsschub nach dem Aufladen</v>
      </c>
      <c r="Q67" s="434" t="s">
        <v>8851</v>
      </c>
      <c r="R67" s="170" t="s">
        <v>8852</v>
      </c>
      <c r="S67" s="415" t="s">
        <v>8853</v>
      </c>
      <c r="T67" s="210" t="s">
        <v>8854</v>
      </c>
      <c r="U67" s="415"/>
      <c r="V67" s="210"/>
      <c r="W67" s="8"/>
      <c r="X67" s="8"/>
      <c r="Y67" s="8"/>
      <c r="Z67" s="8"/>
      <c r="AA67" s="8"/>
      <c r="AB67" s="8"/>
      <c r="AC67" s="8"/>
      <c r="AD67" s="8"/>
      <c r="AE67" s="8"/>
      <c r="AF67" s="8"/>
      <c r="AG67" s="8"/>
      <c r="AH67" s="8"/>
      <c r="AI67" s="8"/>
      <c r="AJ67" s="8"/>
      <c r="AK67" s="8"/>
      <c r="AL67" s="8"/>
      <c r="AM67" s="8"/>
      <c r="AN67" s="8"/>
      <c r="AO67" s="8"/>
      <c r="AP67" s="8"/>
      <c r="AQ67" s="8"/>
      <c r="AR67" s="8"/>
      <c r="AS67" s="8"/>
      <c r="AT67" s="8"/>
    </row>
    <row r="68">
      <c r="A68" s="172" t="s">
        <v>7822</v>
      </c>
      <c r="C68" s="172" t="s">
        <v>7823</v>
      </c>
      <c r="E68" s="172" t="s">
        <v>7824</v>
      </c>
      <c r="G68" s="172" t="s">
        <v>7825</v>
      </c>
      <c r="I68" s="172"/>
      <c r="K68" s="172"/>
      <c r="M68" s="172" t="s">
        <v>7826</v>
      </c>
      <c r="O68" s="172"/>
      <c r="Q68" s="175" t="s">
        <v>7827</v>
      </c>
      <c r="S68" s="172" t="s">
        <v>7828</v>
      </c>
      <c r="U68" s="172"/>
      <c r="W68" s="210"/>
      <c r="X68" s="210"/>
      <c r="Y68" s="210"/>
      <c r="Z68" s="210"/>
      <c r="AA68" s="8"/>
      <c r="AB68" s="8"/>
      <c r="AC68" s="8"/>
      <c r="AD68" s="8"/>
      <c r="AE68" s="8"/>
      <c r="AF68" s="8"/>
      <c r="AG68" s="8"/>
      <c r="AH68" s="8"/>
      <c r="AI68" s="8"/>
      <c r="AJ68" s="8"/>
      <c r="AK68" s="8"/>
      <c r="AL68" s="8"/>
      <c r="AM68" s="8"/>
      <c r="AN68" s="8"/>
      <c r="AO68" s="8"/>
      <c r="AP68" s="8"/>
      <c r="AQ68" s="8"/>
      <c r="AR68" s="8"/>
      <c r="AS68" s="8"/>
      <c r="AT68" s="8"/>
    </row>
    <row r="69">
      <c r="A69" s="412" t="s">
        <v>8855</v>
      </c>
      <c r="B69" s="214" t="s">
        <v>8856</v>
      </c>
      <c r="C69" s="411" t="s">
        <v>8857</v>
      </c>
      <c r="D69" s="177" t="s">
        <v>8858</v>
      </c>
      <c r="E69" s="411" t="s">
        <v>8859</v>
      </c>
      <c r="F69" s="177" t="s">
        <v>8860</v>
      </c>
      <c r="G69" s="415" t="str">
        <f>IFERROR(__xludf.DUMMYFUNCTION("GOOGLETRANSLATE(A69,""zh-tw"",""zh"")"),"火鸟的羽毛")</f>
        <v>火鸟的羽毛</v>
      </c>
      <c r="H69" s="210" t="str">
        <f>IFERROR(__xludf.DUMMYFUNCTION("GOOGLETRANSLATE(B69,""zh-tw"",""zh"")"),"复活并恢复全部体力(消耗品)")</f>
        <v>复活并恢复全部体力(消耗品)</v>
      </c>
      <c r="I69" s="415" t="str">
        <f>IFERROR(__xludf.DUMMYFUNCTION("GOOGLETRANSLATE(A69,""zh-tw"",""es-MX"")"),"plumas de pájaro de fuego")</f>
        <v>plumas de pájaro de fuego</v>
      </c>
      <c r="J69" s="210" t="str">
        <f>IFERROR(__xludf.DUMMYFUNCTION("GOOGLETRANSLATE(B69,""zh-tw"",""es-MX"")"),"Reanima y restaura la salud por completo (consumible).")</f>
        <v>Reanima y restaura la salud por completo (consumible).</v>
      </c>
      <c r="K69" s="412" t="s">
        <v>6915</v>
      </c>
      <c r="L69" s="177" t="s">
        <v>8861</v>
      </c>
      <c r="M69" s="415" t="s">
        <v>8862</v>
      </c>
      <c r="N69" s="210" t="s">
        <v>8863</v>
      </c>
      <c r="O69" s="412" t="s">
        <v>6921</v>
      </c>
      <c r="P69" s="214" t="s">
        <v>8864</v>
      </c>
      <c r="Q69" s="428" t="s">
        <v>8865</v>
      </c>
      <c r="R69" s="418" t="s">
        <v>8866</v>
      </c>
      <c r="S69" s="415" t="s">
        <v>8867</v>
      </c>
      <c r="T69" s="210" t="s">
        <v>8868</v>
      </c>
      <c r="U69" s="415"/>
      <c r="V69" s="210"/>
      <c r="W69" s="8"/>
      <c r="X69" s="8"/>
      <c r="Y69" s="8"/>
      <c r="Z69" s="8"/>
      <c r="AA69" s="8"/>
      <c r="AB69" s="8"/>
      <c r="AC69" s="8"/>
      <c r="AD69" s="8"/>
      <c r="AE69" s="8"/>
      <c r="AF69" s="8"/>
      <c r="AG69" s="8"/>
      <c r="AH69" s="8"/>
      <c r="AI69" s="8"/>
      <c r="AJ69" s="8"/>
      <c r="AK69" s="8"/>
      <c r="AL69" s="8"/>
      <c r="AM69" s="8"/>
      <c r="AN69" s="8"/>
      <c r="AO69" s="8"/>
      <c r="AP69" s="8"/>
      <c r="AQ69" s="8"/>
      <c r="AR69" s="8"/>
      <c r="AS69" s="8"/>
      <c r="AT69" s="8"/>
    </row>
    <row r="70">
      <c r="A70" s="411" t="s">
        <v>6663</v>
      </c>
      <c r="B70" s="177" t="s">
        <v>8869</v>
      </c>
      <c r="C70" s="411" t="s">
        <v>6665</v>
      </c>
      <c r="D70" s="177" t="s">
        <v>8870</v>
      </c>
      <c r="E70" s="411" t="s">
        <v>6667</v>
      </c>
      <c r="F70" s="177" t="s">
        <v>8871</v>
      </c>
      <c r="G70" s="415" t="str">
        <f>IFERROR(__xludf.DUMMYFUNCTION("GOOGLETRANSLATE(A70,""zh-tw"",""zh"")"),"稻草人的心")</f>
        <v>稻草人的心</v>
      </c>
      <c r="H70" s="210" t="str">
        <f>IFERROR(__xludf.DUMMYFUNCTION("GOOGLETRANSLATE(B70,""zh-tw"",""zh"")"),"魔抗：30
无法回复、免死7秒")</f>
        <v>魔抗：30
无法回复、免死7秒</v>
      </c>
      <c r="I70" s="415" t="str">
        <f>IFERROR(__xludf.DUMMYFUNCTION("GOOGLETRANSLATE(A70,""zh-tw"",""es-MX"")"),"El corazón del espantapájaros")</f>
        <v>El corazón del espantapájaros</v>
      </c>
      <c r="J70" s="210" t="str">
        <f>IFERROR(__xludf.DUMMYFUNCTION("GOOGLETRANSLATE(B70,""zh-tw"",""es-MX"")"),"Resistencia mágica: 30. Incapaz de recuperarse, invulnerable durante 7 segundos.")</f>
        <v>Resistencia mágica: 30. Incapaz de recuperarse, invulnerable durante 7 segundos.</v>
      </c>
      <c r="K70" s="411" t="s">
        <v>6669</v>
      </c>
      <c r="L70" s="177" t="s">
        <v>8872</v>
      </c>
      <c r="M70" s="415" t="s">
        <v>6671</v>
      </c>
      <c r="N70" s="210" t="s">
        <v>8873</v>
      </c>
      <c r="O70" s="412" t="s">
        <v>6673</v>
      </c>
      <c r="P70" s="214" t="s">
        <v>8874</v>
      </c>
      <c r="Q70" s="428" t="s">
        <v>6675</v>
      </c>
      <c r="R70" s="418" t="s">
        <v>8875</v>
      </c>
      <c r="S70" s="415" t="s">
        <v>6677</v>
      </c>
      <c r="T70" s="210" t="s">
        <v>8876</v>
      </c>
      <c r="U70" s="415"/>
      <c r="V70" s="210"/>
      <c r="W70" s="8"/>
      <c r="X70" s="8"/>
      <c r="Y70" s="8"/>
      <c r="Z70" s="8"/>
      <c r="AA70" s="8"/>
      <c r="AB70" s="8"/>
      <c r="AC70" s="8"/>
      <c r="AD70" s="8"/>
      <c r="AE70" s="8"/>
      <c r="AF70" s="8"/>
      <c r="AG70" s="8"/>
      <c r="AH70" s="8"/>
      <c r="AI70" s="8"/>
      <c r="AJ70" s="8"/>
      <c r="AK70" s="8"/>
      <c r="AL70" s="8"/>
      <c r="AM70" s="8"/>
      <c r="AN70" s="8"/>
      <c r="AO70" s="8"/>
      <c r="AP70" s="8"/>
      <c r="AQ70" s="8"/>
      <c r="AR70" s="8"/>
      <c r="AS70" s="8"/>
      <c r="AT70" s="8"/>
    </row>
    <row r="71">
      <c r="A71" s="412" t="s">
        <v>8877</v>
      </c>
      <c r="B71" s="214" t="s">
        <v>8878</v>
      </c>
      <c r="C71" s="411" t="s">
        <v>8879</v>
      </c>
      <c r="D71" s="177" t="s">
        <v>8880</v>
      </c>
      <c r="E71" s="411" t="s">
        <v>8881</v>
      </c>
      <c r="F71" s="177" t="s">
        <v>8882</v>
      </c>
      <c r="G71" s="415" t="str">
        <f>IFERROR(__xludf.DUMMYFUNCTION("GOOGLETRANSLATE(A71,""zh-tw"",""zh"")"),"不幸的诞生")</f>
        <v>不幸的诞生</v>
      </c>
      <c r="H71" s="210" t="str">
        <f>IFERROR(__xludf.DUMMYFUNCTION("GOOGLETRANSLATE(B71,""zh-tw"",""zh"")"),"体力上升，基础30，额外加成10%
获得自动回复效果，体力恢复效果提升25%")</f>
        <v>体力上升，基础30，额外加成10%
获得自动回复效果，体力恢复效果提升25%</v>
      </c>
      <c r="I71" s="415" t="str">
        <f>IFERROR(__xludf.DUMMYFUNCTION("GOOGLETRANSLATE(A71,""zh-tw"",""es-MX"")"),"Un nacimiento desafortunado")</f>
        <v>Un nacimiento desafortunado</v>
      </c>
      <c r="J71" s="210" t="str">
        <f>IFERROR(__xludf.DUMMYFUNCTION("GOOGLETRANSLATE(B71,""zh-tw"",""es-MX"")"),"Resistencia aumentada, base 30, bonificación adicional del 10%. Obtiene recuperación automática de resistencia; el efecto de recuperación de resistencia aumenta un 25%.")</f>
        <v>Resistencia aumentada, base 30, bonificación adicional del 10%. Obtiene recuperación automática de resistencia; el efecto de recuperación de resistencia aumenta un 25%.</v>
      </c>
      <c r="K71" s="415" t="str">
        <f>IFERROR(__xludf.DUMMYFUNCTION("GOOGLETRANSLATE(A71,""zh-tw"",""KO"")"),"불행한 탄생")</f>
        <v>불행한 탄생</v>
      </c>
      <c r="L71" s="177" t="s">
        <v>8883</v>
      </c>
      <c r="M71" s="415" t="s">
        <v>8884</v>
      </c>
      <c r="N71" s="210" t="s">
        <v>8885</v>
      </c>
      <c r="O71" s="412" t="s">
        <v>8886</v>
      </c>
      <c r="P71" s="214" t="s">
        <v>8887</v>
      </c>
      <c r="Q71" s="427" t="s">
        <v>8888</v>
      </c>
      <c r="R71" s="418" t="s">
        <v>8889</v>
      </c>
      <c r="S71" s="415" t="s">
        <v>8890</v>
      </c>
      <c r="T71" s="210" t="s">
        <v>8891</v>
      </c>
      <c r="U71" s="415"/>
      <c r="V71" s="210"/>
      <c r="W71" s="8"/>
      <c r="X71" s="8"/>
      <c r="Y71" s="8"/>
      <c r="Z71" s="8"/>
      <c r="AA71" s="8"/>
      <c r="AB71" s="8"/>
      <c r="AC71" s="8"/>
      <c r="AD71" s="8"/>
      <c r="AE71" s="8"/>
      <c r="AF71" s="8"/>
      <c r="AG71" s="8"/>
      <c r="AH71" s="8"/>
      <c r="AI71" s="8"/>
      <c r="AJ71" s="8"/>
      <c r="AK71" s="8"/>
      <c r="AL71" s="8"/>
      <c r="AM71" s="8"/>
      <c r="AN71" s="8"/>
      <c r="AO71" s="8"/>
      <c r="AP71" s="8"/>
      <c r="AQ71" s="8"/>
      <c r="AR71" s="8"/>
      <c r="AS71" s="8"/>
      <c r="AT71" s="8"/>
    </row>
    <row r="72">
      <c r="A72" s="412" t="s">
        <v>8892</v>
      </c>
      <c r="B72" s="214" t="s">
        <v>8893</v>
      </c>
      <c r="C72" s="411" t="s">
        <v>8894</v>
      </c>
      <c r="D72" s="177" t="s">
        <v>8895</v>
      </c>
      <c r="E72" s="411" t="s">
        <v>8896</v>
      </c>
      <c r="F72" s="177" t="s">
        <v>8897</v>
      </c>
      <c r="G72" s="415" t="str">
        <f>IFERROR(__xludf.DUMMYFUNCTION("GOOGLETRANSLATE(A72,""zh-tw"",""zh"")"),"妹妹脱下的内裤")</f>
        <v>妹妹脱下的内裤</v>
      </c>
      <c r="H72" s="210" t="str">
        <f>IFERROR(__xludf.DUMMYFUNCTION("GOOGLETRANSLATE(B72,""zh-tw"",""zh"")"),"低体力回复")</f>
        <v>低体力回复</v>
      </c>
      <c r="I72" s="411" t="s">
        <v>8898</v>
      </c>
      <c r="J72" s="177" t="s">
        <v>8899</v>
      </c>
      <c r="K72" s="411" t="s">
        <v>8900</v>
      </c>
      <c r="L72" s="177" t="s">
        <v>8901</v>
      </c>
      <c r="M72" s="415" t="s">
        <v>8902</v>
      </c>
      <c r="N72" s="210" t="s">
        <v>8903</v>
      </c>
      <c r="O72" s="412" t="s">
        <v>8904</v>
      </c>
      <c r="P72" s="214" t="s">
        <v>8905</v>
      </c>
      <c r="Q72" s="428" t="s">
        <v>8906</v>
      </c>
      <c r="R72" s="414" t="s">
        <v>8907</v>
      </c>
      <c r="S72" s="411" t="s">
        <v>8908</v>
      </c>
      <c r="T72" s="210" t="s">
        <v>8909</v>
      </c>
      <c r="U72" s="411"/>
      <c r="V72" s="210"/>
      <c r="W72" s="8"/>
      <c r="X72" s="8"/>
      <c r="Y72" s="8"/>
      <c r="Z72" s="8"/>
      <c r="AA72" s="8"/>
      <c r="AB72" s="8"/>
      <c r="AC72" s="8"/>
      <c r="AD72" s="8"/>
      <c r="AE72" s="8"/>
      <c r="AF72" s="8"/>
      <c r="AG72" s="8"/>
      <c r="AH72" s="8"/>
      <c r="AI72" s="8"/>
      <c r="AJ72" s="8"/>
      <c r="AK72" s="8"/>
      <c r="AL72" s="8"/>
      <c r="AM72" s="8"/>
      <c r="AN72" s="8"/>
      <c r="AO72" s="8"/>
      <c r="AP72" s="8"/>
      <c r="AQ72" s="8"/>
      <c r="AR72" s="8"/>
      <c r="AS72" s="8"/>
      <c r="AT72" s="8"/>
    </row>
    <row r="73">
      <c r="A73" s="412" t="s">
        <v>8910</v>
      </c>
      <c r="B73" s="214" t="s">
        <v>8911</v>
      </c>
      <c r="C73" s="411" t="s">
        <v>8912</v>
      </c>
      <c r="D73" s="177" t="s">
        <v>8913</v>
      </c>
      <c r="E73" s="411" t="s">
        <v>8914</v>
      </c>
      <c r="F73" s="177" t="s">
        <v>8915</v>
      </c>
      <c r="G73" s="415" t="str">
        <f>IFERROR(__xludf.DUMMYFUNCTION("GOOGLETRANSLATE(A73,""zh-tw"",""zh"")"),"少女的笑容")</f>
        <v>少女的笑容</v>
      </c>
      <c r="H73" s="210" t="str">
        <f>IFERROR(__xludf.DUMMYFUNCTION("GOOGLETRANSLATE(B73,""zh-tw"",""zh"")"),"性欲上升，全属性上升10%")</f>
        <v>性欲上升，全属性上升10%</v>
      </c>
      <c r="I73" s="411" t="s">
        <v>8916</v>
      </c>
      <c r="J73" s="210" t="str">
        <f>IFERROR(__xludf.DUMMYFUNCTION("GOOGLETRANSLATE(B73,""zh-tw"",""es-MX"")"),"Aumento de la libido; todos los atributos aumentan un 10%.")</f>
        <v>Aumento de la libido; todos los atributos aumentan un 10%.</v>
      </c>
      <c r="K73" s="415" t="str">
        <f>IFERROR(__xludf.DUMMYFUNCTION("GOOGLETRANSLATE(A73,""zh-tw"",""KO"")"),"소녀의 미소")</f>
        <v>소녀의 미소</v>
      </c>
      <c r="L73" s="177" t="s">
        <v>8917</v>
      </c>
      <c r="M73" s="415" t="s">
        <v>8918</v>
      </c>
      <c r="N73" s="210" t="s">
        <v>8919</v>
      </c>
      <c r="O73" s="412" t="s">
        <v>8920</v>
      </c>
      <c r="P73" s="214" t="s">
        <v>8921</v>
      </c>
      <c r="Q73" s="427" t="s">
        <v>8922</v>
      </c>
      <c r="R73" s="414" t="s">
        <v>8923</v>
      </c>
      <c r="S73" s="415" t="s">
        <v>8924</v>
      </c>
      <c r="T73" s="210" t="s">
        <v>8925</v>
      </c>
      <c r="U73" s="415"/>
      <c r="V73" s="210"/>
      <c r="W73" s="8"/>
      <c r="X73" s="8"/>
      <c r="Y73" s="8"/>
      <c r="Z73" s="8"/>
      <c r="AA73" s="8"/>
      <c r="AB73" s="8"/>
      <c r="AC73" s="8"/>
      <c r="AD73" s="8"/>
      <c r="AE73" s="8"/>
      <c r="AF73" s="8"/>
      <c r="AG73" s="8"/>
      <c r="AH73" s="8"/>
      <c r="AI73" s="8"/>
      <c r="AJ73" s="8"/>
      <c r="AK73" s="8"/>
      <c r="AL73" s="8"/>
      <c r="AM73" s="8"/>
      <c r="AN73" s="8"/>
      <c r="AO73" s="8"/>
      <c r="AP73" s="8"/>
      <c r="AQ73" s="8"/>
      <c r="AR73" s="8"/>
      <c r="AS73" s="8"/>
      <c r="AT73" s="8"/>
    </row>
    <row r="74">
      <c r="A74" s="411" t="s">
        <v>8926</v>
      </c>
      <c r="B74" s="177" t="s">
        <v>8927</v>
      </c>
      <c r="C74" s="411" t="s">
        <v>8928</v>
      </c>
      <c r="D74" s="177" t="s">
        <v>8929</v>
      </c>
      <c r="E74" s="411" t="s">
        <v>8930</v>
      </c>
      <c r="F74" s="177" t="s">
        <v>8931</v>
      </c>
      <c r="G74" s="415" t="str">
        <f>IFERROR(__xludf.DUMMYFUNCTION("GOOGLETRANSLATE(A74,""zh-tw"",""zh"")"),"圣少女的怜悯")</f>
        <v>圣少女的怜悯</v>
      </c>
      <c r="H74" s="210" t="str">
        <f>IFERROR(__xludf.DUMMYFUNCTION("GOOGLETRANSLATE(B74,""zh-tw"",""zh"")"),"魔攻：20
物防:2
魔抗：40
贤者、特殊好感")</f>
        <v>魔攻：20
物防:2
魔抗：40
贤者、特殊好感</v>
      </c>
      <c r="I74" s="415" t="str">
        <f>IFERROR(__xludf.DUMMYFUNCTION("GOOGLETRANSLATE(A74,""zh-tw"",""es-MX"")"),"La Misericordia de la Santa Doncella")</f>
        <v>La Misericordia de la Santa Doncella</v>
      </c>
      <c r="J74" s="210" t="str">
        <f>IFERROR(__xludf.DUMMYFUNCTION("GOOGLETRANSLATE(B74,""zh-tw"",""es-MX"")"),"Ataque mágico: 20 Defensa física: 2 Resistencia mágica: 40 Sabio, Afinidad especial")</f>
        <v>Ataque mágico: 20 Defensa física: 2 Resistencia mágica: 40 Sabio, Afinidad especial</v>
      </c>
      <c r="K74" s="411" t="s">
        <v>8932</v>
      </c>
      <c r="L74" s="177" t="s">
        <v>8933</v>
      </c>
      <c r="M74" s="415" t="s">
        <v>8934</v>
      </c>
      <c r="N74" s="210" t="s">
        <v>8935</v>
      </c>
      <c r="O74" s="412" t="s">
        <v>8936</v>
      </c>
      <c r="P74" s="214" t="s">
        <v>8937</v>
      </c>
      <c r="Q74" s="428" t="s">
        <v>8938</v>
      </c>
      <c r="R74" s="414" t="s">
        <v>8939</v>
      </c>
      <c r="S74" s="415" t="s">
        <v>8940</v>
      </c>
      <c r="T74" s="210" t="s">
        <v>8941</v>
      </c>
      <c r="U74" s="415"/>
      <c r="V74" s="210"/>
      <c r="W74" s="8"/>
      <c r="X74" s="8"/>
      <c r="Y74" s="8"/>
      <c r="Z74" s="8"/>
      <c r="AA74" s="8"/>
      <c r="AB74" s="8"/>
      <c r="AC74" s="8"/>
      <c r="AD74" s="8"/>
      <c r="AE74" s="8"/>
      <c r="AF74" s="8"/>
      <c r="AG74" s="8"/>
      <c r="AH74" s="8"/>
      <c r="AI74" s="8"/>
      <c r="AJ74" s="8"/>
      <c r="AK74" s="8"/>
      <c r="AL74" s="8"/>
      <c r="AM74" s="8"/>
      <c r="AN74" s="8"/>
      <c r="AO74" s="8"/>
      <c r="AP74" s="8"/>
      <c r="AQ74" s="8"/>
      <c r="AR74" s="8"/>
      <c r="AS74" s="8"/>
      <c r="AT74" s="8"/>
    </row>
    <row r="75">
      <c r="A75" s="412" t="s">
        <v>8942</v>
      </c>
      <c r="B75" s="214" t="s">
        <v>8943</v>
      </c>
      <c r="C75" s="411" t="s">
        <v>8944</v>
      </c>
      <c r="D75" s="177" t="s">
        <v>8945</v>
      </c>
      <c r="E75" s="411" t="s">
        <v>8946</v>
      </c>
      <c r="F75" s="177" t="s">
        <v>8947</v>
      </c>
      <c r="G75" s="415" t="str">
        <f>IFERROR(__xludf.DUMMYFUNCTION("GOOGLETRANSLATE(A75,""zh-tw"",""zh"")"),"深邃魔力晶簇")</f>
        <v>深邃魔力晶簇</v>
      </c>
      <c r="H75" s="210" t="str">
        <f>IFERROR(__xludf.DUMMYFUNCTION("GOOGLETRANSLATE(B75,""zh-tw"",""zh"")"),"魔攻：35
魔抗：20
加快吟唱、提升魔法威力上限")</f>
        <v>魔攻：35
魔抗：20
加快吟唱、提升魔法威力上限</v>
      </c>
      <c r="I75" s="415" t="str">
        <f>IFERROR(__xludf.DUMMYFUNCTION("GOOGLETRANSLATE(A75,""zh-tw"",""es-MX"")"),"Clúster de Cristales de Magia Profunda")</f>
        <v>Clúster de Cristales de Magia Profunda</v>
      </c>
      <c r="J75" s="210" t="str">
        <f>IFERROR(__xludf.DUMMYFUNCTION("GOOGLETRANSLATE(B75,""zh-tw"",""es-MX"")"),"Ataque mágico: 35
Resistencia mágica: 20
Acelera el lanzamiento de hechizos, aumenta el poder mágico máximo")</f>
        <v>Ataque mágico: 35
Resistencia mágica: 20
Acelera el lanzamiento de hechizos, aumenta el poder mágico máximo</v>
      </c>
      <c r="K75" s="412" t="s">
        <v>8948</v>
      </c>
      <c r="L75" s="177" t="s">
        <v>8949</v>
      </c>
      <c r="M75" s="415" t="s">
        <v>8950</v>
      </c>
      <c r="N75" s="210" t="s">
        <v>8951</v>
      </c>
      <c r="O75" s="412" t="s">
        <v>8952</v>
      </c>
      <c r="P75" s="214" t="s">
        <v>8953</v>
      </c>
      <c r="Q75" s="428" t="s">
        <v>8954</v>
      </c>
      <c r="R75" s="418" t="s">
        <v>8955</v>
      </c>
      <c r="S75" s="415" t="s">
        <v>8956</v>
      </c>
      <c r="T75" s="210" t="s">
        <v>8957</v>
      </c>
      <c r="U75" s="415"/>
      <c r="V75" s="210"/>
      <c r="W75" s="8"/>
      <c r="X75" s="8"/>
      <c r="Y75" s="8"/>
      <c r="Z75" s="8"/>
      <c r="AA75" s="8"/>
      <c r="AB75" s="8"/>
      <c r="AC75" s="8"/>
      <c r="AD75" s="8"/>
      <c r="AE75" s="8"/>
      <c r="AF75" s="8"/>
      <c r="AG75" s="8"/>
      <c r="AH75" s="8"/>
      <c r="AI75" s="8"/>
      <c r="AJ75" s="8"/>
      <c r="AK75" s="8"/>
      <c r="AL75" s="8"/>
      <c r="AM75" s="8"/>
      <c r="AN75" s="8"/>
      <c r="AO75" s="8"/>
      <c r="AP75" s="8"/>
      <c r="AQ75" s="8"/>
      <c r="AR75" s="8"/>
      <c r="AS75" s="8"/>
      <c r="AT75" s="8"/>
    </row>
    <row r="76">
      <c r="A76" s="411" t="s">
        <v>8958</v>
      </c>
      <c r="B76" s="177" t="s">
        <v>8959</v>
      </c>
      <c r="C76" s="411" t="s">
        <v>8960</v>
      </c>
      <c r="D76" s="177" t="s">
        <v>8961</v>
      </c>
      <c r="E76" s="411" t="s">
        <v>8962</v>
      </c>
      <c r="F76" s="177" t="s">
        <v>8963</v>
      </c>
      <c r="G76" s="415" t="str">
        <f>IFERROR(__xludf.DUMMYFUNCTION("GOOGLETRANSLATE(A76,""zh-tw"",""zh"")"),"精神凝聚头环")</f>
        <v>精神凝聚头环</v>
      </c>
      <c r="H76" s="210" t="str">
        <f>IFERROR(__xludf.DUMMYFUNCTION("GOOGLETRANSLATE(B76,""zh-tw"",""zh"")"),"魔攻：1
魔抗：20
免疫晕眩、增强魔法输出和魔法范围")</f>
        <v>魔攻：1
魔抗：20
免疫晕眩、增强魔法输出和魔法范围</v>
      </c>
      <c r="I76" s="415" t="str">
        <f>IFERROR(__xludf.DUMMYFUNCTION("GOOGLETRANSLATE(A76,""zh-tw"",""es-MX"")"),"Diadema de cohesión espiritual")</f>
        <v>Diadema de cohesión espiritual</v>
      </c>
      <c r="J76" s="210" t="str">
        <f>IFERROR(__xludf.DUMMYFUNCTION("GOOGLETRANSLATE(B76,""zh-tw"",""es-MX"")"),"Ataque mágico: 1
Resistencia mágica: 20
Inmune al aturdimiento, aumenta el daño mágico y el alcance mágico")</f>
        <v>Ataque mágico: 1
Resistencia mágica: 20
Inmune al aturdimiento, aumenta el daño mágico y el alcance mágico</v>
      </c>
      <c r="K76" s="411" t="s">
        <v>8964</v>
      </c>
      <c r="L76" s="177" t="s">
        <v>8965</v>
      </c>
      <c r="M76" s="415" t="s">
        <v>8966</v>
      </c>
      <c r="N76" s="210" t="s">
        <v>8967</v>
      </c>
      <c r="O76" s="412" t="s">
        <v>8968</v>
      </c>
      <c r="P76" s="214" t="s">
        <v>8969</v>
      </c>
      <c r="Q76" s="428" t="s">
        <v>8970</v>
      </c>
      <c r="R76" s="418" t="s">
        <v>8971</v>
      </c>
      <c r="S76" s="415" t="s">
        <v>8972</v>
      </c>
      <c r="T76" s="210" t="s">
        <v>8973</v>
      </c>
      <c r="U76" s="415"/>
      <c r="V76" s="210"/>
      <c r="W76" s="8"/>
      <c r="X76" s="8"/>
      <c r="Y76" s="8"/>
      <c r="Z76" s="8"/>
      <c r="AA76" s="8"/>
      <c r="AB76" s="8"/>
      <c r="AC76" s="8"/>
      <c r="AD76" s="8"/>
      <c r="AE76" s="8"/>
      <c r="AF76" s="8"/>
      <c r="AG76" s="8"/>
      <c r="AH76" s="8"/>
      <c r="AI76" s="8"/>
      <c r="AJ76" s="8"/>
      <c r="AK76" s="8"/>
      <c r="AL76" s="8"/>
      <c r="AM76" s="8"/>
      <c r="AN76" s="8"/>
      <c r="AO76" s="8"/>
      <c r="AP76" s="8"/>
      <c r="AQ76" s="8"/>
      <c r="AR76" s="8"/>
      <c r="AS76" s="8"/>
      <c r="AT76" s="8"/>
    </row>
    <row r="77">
      <c r="A77" s="412" t="s">
        <v>8974</v>
      </c>
      <c r="B77" s="214" t="s">
        <v>8975</v>
      </c>
      <c r="C77" s="411" t="s">
        <v>8976</v>
      </c>
      <c r="D77" s="177" t="s">
        <v>8977</v>
      </c>
      <c r="E77" s="411" t="s">
        <v>8978</v>
      </c>
      <c r="F77" s="177" t="s">
        <v>8979</v>
      </c>
      <c r="G77" s="415" t="str">
        <f>IFERROR(__xludf.DUMMYFUNCTION("GOOGLETRANSLATE(A77,""zh-tw"",""zh"")"),"魔力汲取手套")</f>
        <v>魔力汲取手套</v>
      </c>
      <c r="H77" s="210" t="str">
        <f>IFERROR(__xludf.DUMMYFUNCTION("GOOGLETRANSLATE(B77,""zh-tw"",""zh"")"),"物攻：3
魔攻：10
物防：1
魔抗：20
武器附带魔法伤害")</f>
        <v>物攻：3
魔攻：10
物防：1
魔抗：20
武器附带魔法伤害</v>
      </c>
      <c r="I77" s="415" t="str">
        <f>IFERROR(__xludf.DUMMYFUNCTION("GOOGLETRANSLATE(A77,""zh-tw"",""es-MX"")"),"Guantes de absorción mágica")</f>
        <v>Guantes de absorción mágica</v>
      </c>
      <c r="J77" s="210" t="str">
        <f>IFERROR(__xludf.DUMMYFUNCTION("GOOGLETRANSLATE(B77,""zh-tw"",""es-MX"")"),"Ataque físico: 3
Ataque mágico: 10
Defensa física: 1
Resistencia mágica: 20
El arma inflige daño mágico adicional.")</f>
        <v>Ataque físico: 3
Ataque mágico: 10
Defensa física: 1
Resistencia mágica: 20
El arma inflige daño mágico adicional.</v>
      </c>
      <c r="K77" s="412" t="s">
        <v>8980</v>
      </c>
      <c r="L77" s="177" t="s">
        <v>8981</v>
      </c>
      <c r="M77" s="411" t="s">
        <v>8982</v>
      </c>
      <c r="N77" s="210" t="s">
        <v>8983</v>
      </c>
      <c r="O77" s="412" t="s">
        <v>8984</v>
      </c>
      <c r="P77" s="214" t="s">
        <v>8985</v>
      </c>
      <c r="Q77" s="428" t="s">
        <v>8986</v>
      </c>
      <c r="R77" s="418" t="s">
        <v>8987</v>
      </c>
      <c r="S77" s="415" t="s">
        <v>8988</v>
      </c>
      <c r="T77" s="210" t="s">
        <v>8989</v>
      </c>
      <c r="U77" s="415"/>
      <c r="V77" s="210"/>
      <c r="W77" s="8"/>
      <c r="X77" s="8"/>
      <c r="Y77" s="8"/>
      <c r="Z77" s="8"/>
      <c r="AA77" s="8"/>
      <c r="AB77" s="8"/>
      <c r="AC77" s="8"/>
      <c r="AD77" s="8"/>
      <c r="AE77" s="8"/>
      <c r="AF77" s="8"/>
      <c r="AG77" s="8"/>
      <c r="AH77" s="8"/>
      <c r="AI77" s="8"/>
      <c r="AJ77" s="8"/>
      <c r="AK77" s="8"/>
      <c r="AL77" s="8"/>
      <c r="AM77" s="8"/>
      <c r="AN77" s="8"/>
      <c r="AO77" s="8"/>
      <c r="AP77" s="8"/>
      <c r="AQ77" s="8"/>
      <c r="AR77" s="8"/>
      <c r="AS77" s="8"/>
      <c r="AT77" s="8"/>
    </row>
    <row r="78">
      <c r="A78" s="415" t="s">
        <v>8990</v>
      </c>
      <c r="B78" s="435" t="s">
        <v>8991</v>
      </c>
      <c r="C78" s="411" t="s">
        <v>8992</v>
      </c>
      <c r="D78" s="177" t="s">
        <v>8993</v>
      </c>
      <c r="E78" s="415" t="s">
        <v>8994</v>
      </c>
      <c r="F78" s="177" t="s">
        <v>8995</v>
      </c>
      <c r="G78" s="415" t="str">
        <f>IFERROR(__xludf.DUMMYFUNCTION("GOOGLETRANSLATE(A78,""zh-tw"",""zh"")"),"红髓玉吊坠")</f>
        <v>红髓玉吊坠</v>
      </c>
      <c r="H78" s="210" t="str">
        <f>IFERROR(__xludf.DUMMYFUNCTION("GOOGLETRANSLATE(B78,""zh-tw"",""zh"")"),"魔攻：20
魔防：45
1.降低魔法武器的耐久消耗(可叠加)
2.依照""天上石碎片""的数量，每个碎片提升10魔法攻击数值(多件装备无法叠加效果)")</f>
        <v>魔攻：20
魔防：45
1.降低魔法武器的耐久消耗(可叠加)
2.依照"天上石碎片"的数量，每个碎片提升10魔法攻击数值(多件装备无法叠加效果)</v>
      </c>
      <c r="I78" s="415" t="str">
        <f>IFERROR(__xludf.DUMMYFUNCTION("GOOGLETRANSLATE(A78,""zh-tw"",""es-MX"")"),"Colgante de cornalina roja")</f>
        <v>Colgante de cornalina roja</v>
      </c>
      <c r="J78" s="210" t="str">
        <f>IFERROR(__xludf.DUMMYFUNCTION("GOOGLETRANSLATE(B78,""zh-tw"",""es-MX"")"),"Ataque mágico: 20
Defensa mágica: 45
1. Reduce el consumo de durabilidad de las armas mágicas (acumulable)
2. Aumenta el ataque mágico en 10 por cada ""Fragmento de Piedra Celestial"" (las piezas de equipo múltiples no se acumulan).")</f>
        <v>Ataque mágico: 20
Defensa mágica: 45
1. Reduce el consumo de durabilidad de las armas mágicas (acumulable)
2. Aumenta el ataque mágico en 10 por cada "Fragmento de Piedra Celestial" (las piezas de equipo múltiples no se acumulan).</v>
      </c>
      <c r="K78" s="415" t="str">
        <f>IFERROR(__xludf.DUMMYFUNCTION("GOOGLETRANSLATE(A78,""zh-tw"",""KO"")"),"붉은 카넬리언 펜던트")</f>
        <v>붉은 카넬리언 펜던트</v>
      </c>
      <c r="L78" s="210" t="str">
        <f>IFERROR(__xludf.DUMMYFUNCTION("GOOGLETRANSLATE(B78,""zh-tw"",""KO"")"),"마법 공격력: 20
마법 방어력: 45
1. 마법 무기의 내구도 소모량을 감소시킵니다 (중첩 가능)
2. ""천석 조각"" 하나당 마법 공격력이 10씩 증가합니다 (여러 장비에 적용해도 중첩되지 않습니다).")</f>
        <v>마법 공격력: 20
마법 방어력: 45
1. 마법 무기의 내구도 소모량을 감소시킵니다 (중첩 가능)
2. "천석 조각" 하나당 마법 공격력이 10씩 증가합니다 (여러 장비에 적용해도 중첩되지 않습니다).</v>
      </c>
      <c r="M78" s="415" t="s">
        <v>8996</v>
      </c>
      <c r="N78" s="177" t="s">
        <v>8997</v>
      </c>
      <c r="O78" s="411" t="s">
        <v>8994</v>
      </c>
      <c r="P78" s="177" t="s">
        <v>8998</v>
      </c>
      <c r="Q78" s="433" t="s">
        <v>8999</v>
      </c>
      <c r="R78" s="52" t="s">
        <v>9000</v>
      </c>
      <c r="S78" s="415" t="s">
        <v>9001</v>
      </c>
      <c r="T78" s="177" t="s">
        <v>9002</v>
      </c>
      <c r="U78" s="415"/>
      <c r="V78" s="177"/>
      <c r="W78" s="8"/>
      <c r="X78" s="8"/>
      <c r="Y78" s="8"/>
      <c r="Z78" s="8"/>
      <c r="AA78" s="8"/>
      <c r="AB78" s="8"/>
      <c r="AC78" s="8"/>
      <c r="AD78" s="8"/>
      <c r="AE78" s="8"/>
      <c r="AF78" s="8"/>
      <c r="AG78" s="8"/>
      <c r="AH78" s="8"/>
      <c r="AI78" s="8"/>
      <c r="AJ78" s="8"/>
      <c r="AK78" s="8"/>
      <c r="AL78" s="8"/>
      <c r="AM78" s="8"/>
      <c r="AN78" s="8"/>
      <c r="AO78" s="8"/>
      <c r="AP78" s="8"/>
      <c r="AQ78" s="8"/>
      <c r="AR78" s="8"/>
      <c r="AS78" s="8"/>
      <c r="AT78" s="8"/>
    </row>
    <row r="79">
      <c r="A79" s="411" t="s">
        <v>9003</v>
      </c>
      <c r="B79" s="177" t="s">
        <v>9004</v>
      </c>
      <c r="C79" s="411" t="s">
        <v>9005</v>
      </c>
      <c r="D79" s="177" t="s">
        <v>9006</v>
      </c>
      <c r="E79" s="411" t="s">
        <v>9007</v>
      </c>
      <c r="F79" s="177" t="s">
        <v>9008</v>
      </c>
      <c r="G79" s="411" t="str">
        <f>IFERROR(__xludf.DUMMYFUNCTION("GOOGLETRANSLATE(A79,""zh-tw"",""zh"")"),"恶魔眼球")</f>
        <v>恶魔眼球</v>
      </c>
      <c r="H79" s="177" t="str">
        <f>IFERROR(__xludf.DUMMYFUNCTION("GOOGLETRANSLATE(B79,""zh-tw"",""zh"")"),"魔攻:6
魔防:40
装备时可以解除部分怪物资讯的马赛克
可以于部分SLG事件中，观看动画的X光透视效果")</f>
        <v>魔攻:6
魔防:40
装备时可以解除部分怪物资讯的马赛克
可以于部分SLG事件中，观看动画的X光透视效果</v>
      </c>
      <c r="I79" s="415" t="str">
        <f>IFERROR(__xludf.DUMMYFUNCTION("GOOGLETRANSLATE(A79,""zh-tw"",""es-MX"")"),"Ojo del diablo")</f>
        <v>Ojo del diablo</v>
      </c>
      <c r="J79" s="210" t="str">
        <f>IFERROR(__xludf.DUMMYFUNCTION("GOOGLETRANSLATE(B79,""zh-tw"",""es-MX"")"),"Ataque mágico: 6
Defensa mágica: 40
Equipar este objeto reduce la pixelación en la información de los monstruos.
También permite ver el efecto de rayos X de las animaciones en ciertos eventos de SLG.")</f>
        <v>Ataque mágico: 6
Defensa mágica: 40
Equipar este objeto reduce la pixelación en la información de los monstruos.
También permite ver el efecto de rayos X de las animaciones en ciertos eventos de SLG.</v>
      </c>
      <c r="K79" s="411" t="str">
        <f>IFERROR(__xludf.DUMMYFUNCTION("GOOGLETRANSLATE(A79,""zh-tw"",""KO"")"),"악마의 눈알")</f>
        <v>악마의 눈알</v>
      </c>
      <c r="L79" s="177" t="str">
        <f>IFERROR(__xludf.DUMMYFUNCTION("GOOGLETRANSLATE(B79,""zh-tw"",""KO"")"),"마법 공격력: 6
마법 방어력: 40
이 아이템을 장착하면 몬스터 정보의 픽셀화 현상이 일부 제거됩니다.
또한 특정 SLG 이벤트에서 애니메이션의 X-레이 효과를 볼 수 있습니다.")</f>
        <v>마법 공격력: 6
마법 방어력: 40
이 아이템을 장착하면 몬스터 정보의 픽셀화 현상이 일부 제거됩니다.
또한 특정 SLG 이벤트에서 애니메이션의 X-레이 효과를 볼 수 있습니다.</v>
      </c>
      <c r="M79" s="416" t="s">
        <v>9009</v>
      </c>
      <c r="N79" s="166" t="s">
        <v>9010</v>
      </c>
      <c r="O79" s="411" t="s">
        <v>9011</v>
      </c>
      <c r="P79" s="210" t="s">
        <v>9012</v>
      </c>
      <c r="Q79" s="427" t="s">
        <v>9013</v>
      </c>
      <c r="R79" s="52" t="s">
        <v>9014</v>
      </c>
      <c r="S79" s="411" t="s">
        <v>9015</v>
      </c>
      <c r="T79" s="177" t="s">
        <v>9016</v>
      </c>
      <c r="U79" s="411"/>
      <c r="V79" s="177"/>
      <c r="W79" s="8"/>
      <c r="X79" s="8"/>
      <c r="Y79" s="8"/>
      <c r="Z79" s="8"/>
      <c r="AA79" s="8"/>
      <c r="AB79" s="8"/>
      <c r="AC79" s="8"/>
      <c r="AD79" s="8"/>
      <c r="AE79" s="8"/>
      <c r="AF79" s="8"/>
      <c r="AG79" s="8"/>
      <c r="AH79" s="8"/>
      <c r="AI79" s="8"/>
      <c r="AJ79" s="8"/>
      <c r="AK79" s="8"/>
      <c r="AL79" s="8"/>
      <c r="AM79" s="8"/>
      <c r="AN79" s="8"/>
      <c r="AO79" s="8"/>
      <c r="AP79" s="8"/>
      <c r="AQ79" s="8"/>
      <c r="AR79" s="8"/>
      <c r="AS79" s="8"/>
      <c r="AT79" s="8"/>
    </row>
    <row r="80">
      <c r="A80" s="415" t="s">
        <v>9017</v>
      </c>
      <c r="B80" s="177" t="s">
        <v>9018</v>
      </c>
      <c r="C80" s="411" t="s">
        <v>9019</v>
      </c>
      <c r="D80" s="177" t="s">
        <v>9020</v>
      </c>
      <c r="E80" s="411" t="s">
        <v>9021</v>
      </c>
      <c r="F80" s="177" t="s">
        <v>9022</v>
      </c>
      <c r="G80" s="415" t="str">
        <f>IFERROR(__xludf.DUMMYFUNCTION("GOOGLETRANSLATE(A80,""zh-tw"",""zh"")"),"◉▽◉(粉色)")</f>
        <v>◉▽◉(粉色)</v>
      </c>
      <c r="H80" s="210" t="str">
        <f>IFERROR(__xludf.DUMMYFUNCTION("GOOGLETRANSLATE(B80,""zh-tw"",""zh"")"),"投掷攻击
遇水消失、会被击杀
幸运：40")</f>
        <v>投掷攻击
遇水消失、会被击杀
幸运：40</v>
      </c>
      <c r="I80" s="415" t="str">
        <f>IFERROR(__xludf.DUMMYFUNCTION("GOOGLETRANSLATE(A80,""zh-tw"",""es-MX"")"),"◉▽◉(Rosa)")</f>
        <v>◉▽◉(Rosa)</v>
      </c>
      <c r="J80" s="210" t="str">
        <f>IFERROR(__xludf.DUMMYFUNCTION("GOOGLETRANSLATE(B80,""zh-tw"",""es-MX"")"),"Ataque de lanzamiento. Desaparece al contacto con el agua; puede ser eliminado. Suerte: 40")</f>
        <v>Ataque de lanzamiento. Desaparece al contacto con el agua; puede ser eliminado. Suerte: 40</v>
      </c>
      <c r="K80" s="415" t="str">
        <f>IFERROR(__xludf.DUMMYFUNCTION("GOOGLETRANSLATE(A80,""zh-tw"",""KO"")"),"◉▽◉(핑크)")</f>
        <v>◉▽◉(핑크)</v>
      </c>
      <c r="L80" s="210" t="str">
        <f>IFERROR(__xludf.DUMMYFUNCTION("GOOGLETRANSLATE(B80,""zh-tw"",""KO"")"),"투척 공격. 물에 닿으면 사라짐; 죽일 수 있음. 행운: 40")</f>
        <v>투척 공격. 물에 닿으면 사라짐; 죽일 수 있음. 행운: 40</v>
      </c>
      <c r="M80" s="415" t="s">
        <v>9023</v>
      </c>
      <c r="N80" s="210" t="s">
        <v>9024</v>
      </c>
      <c r="O80" s="411" t="s">
        <v>9025</v>
      </c>
      <c r="P80" s="177" t="s">
        <v>9026</v>
      </c>
      <c r="Q80" s="433" t="s">
        <v>9027</v>
      </c>
      <c r="R80" s="414" t="s">
        <v>9028</v>
      </c>
      <c r="S80" s="415" t="s">
        <v>9029</v>
      </c>
      <c r="T80" s="210" t="s">
        <v>9030</v>
      </c>
      <c r="U80" s="415"/>
      <c r="V80" s="210"/>
      <c r="W80" s="8"/>
      <c r="X80" s="8"/>
      <c r="Y80" s="8"/>
      <c r="Z80" s="8"/>
      <c r="AA80" s="8"/>
      <c r="AB80" s="8"/>
      <c r="AC80" s="8"/>
      <c r="AD80" s="8"/>
      <c r="AE80" s="8"/>
      <c r="AF80" s="8"/>
      <c r="AG80" s="8"/>
      <c r="AH80" s="8"/>
      <c r="AI80" s="8"/>
      <c r="AJ80" s="8"/>
      <c r="AK80" s="8"/>
      <c r="AL80" s="8"/>
      <c r="AM80" s="8"/>
      <c r="AN80" s="8"/>
      <c r="AO80" s="8"/>
      <c r="AP80" s="8"/>
      <c r="AQ80" s="8"/>
      <c r="AR80" s="8"/>
      <c r="AS80" s="8"/>
      <c r="AT80" s="8"/>
    </row>
    <row r="81">
      <c r="A81" s="172" t="s">
        <v>7903</v>
      </c>
      <c r="C81" s="172" t="s">
        <v>7904</v>
      </c>
      <c r="E81" s="172" t="s">
        <v>7905</v>
      </c>
      <c r="G81" s="172" t="s">
        <v>7906</v>
      </c>
      <c r="I81" s="172"/>
      <c r="K81" s="172"/>
      <c r="M81" s="172" t="s">
        <v>7907</v>
      </c>
      <c r="O81" s="172"/>
      <c r="Q81" s="175" t="s">
        <v>7908</v>
      </c>
      <c r="S81" s="172" t="s">
        <v>7909</v>
      </c>
      <c r="U81" s="172"/>
      <c r="W81" s="210"/>
      <c r="X81" s="210"/>
      <c r="Y81" s="210"/>
      <c r="Z81" s="210"/>
      <c r="AA81" s="8"/>
      <c r="AB81" s="8"/>
      <c r="AC81" s="8"/>
      <c r="AD81" s="8"/>
      <c r="AE81" s="8"/>
      <c r="AF81" s="8"/>
      <c r="AG81" s="8"/>
      <c r="AH81" s="8"/>
      <c r="AI81" s="8"/>
      <c r="AJ81" s="8"/>
      <c r="AK81" s="8"/>
      <c r="AL81" s="8"/>
      <c r="AM81" s="8"/>
      <c r="AN81" s="8"/>
      <c r="AO81" s="8"/>
      <c r="AP81" s="8"/>
      <c r="AQ81" s="8"/>
      <c r="AR81" s="8"/>
      <c r="AS81" s="8"/>
      <c r="AT81" s="8"/>
    </row>
    <row r="82">
      <c r="A82" s="411" t="s">
        <v>9031</v>
      </c>
      <c r="B82" s="177" t="s">
        <v>9032</v>
      </c>
      <c r="C82" s="411" t="s">
        <v>9033</v>
      </c>
      <c r="D82" s="177" t="s">
        <v>9034</v>
      </c>
      <c r="E82" s="411" t="s">
        <v>9035</v>
      </c>
      <c r="F82" s="177" t="s">
        <v>9036</v>
      </c>
      <c r="G82" s="415" t="str">
        <f>IFERROR(__xludf.DUMMYFUNCTION("GOOGLETRANSLATE(A82,""zh-tw"",""zh"")"),"未满的黄金圣杯")</f>
        <v>未满的黄金圣杯</v>
      </c>
      <c r="H82" s="210" t="str">
        <f>IFERROR(__xludf.DUMMYFUNCTION("GOOGLETRANSLATE(B82,""zh-tw"",""zh"")"),"幸运:100
掉落拾取的金钱数量翻倍
(不可以和存钱罐连动)")</f>
        <v>幸运:100
掉落拾取的金钱数量翻倍
(不可以和存钱罐连动)</v>
      </c>
      <c r="I82" s="411" t="s">
        <v>9037</v>
      </c>
      <c r="J82" s="210" t="str">
        <f>IFERROR(__xludf.DUMMYFUNCTION("GOOGLETRANSLATE(B82,""zh-tw"",""es-MX"")"),"Suerte: 100 - Duplica la cantidad de dinero que recoges de los objetos que sueltan los enemigos.
(No se puede combinar con una hucha)")</f>
        <v>Suerte: 100 - Duplica la cantidad de dinero que recoges de los objetos que sueltan los enemigos.
(No se puede combinar con una hucha)</v>
      </c>
      <c r="K82" s="411" t="s">
        <v>9038</v>
      </c>
      <c r="L82" s="177" t="s">
        <v>9039</v>
      </c>
      <c r="M82" s="415" t="s">
        <v>9040</v>
      </c>
      <c r="N82" s="210" t="s">
        <v>9041</v>
      </c>
      <c r="O82" s="412" t="s">
        <v>9042</v>
      </c>
      <c r="P82" s="214" t="s">
        <v>9043</v>
      </c>
      <c r="Q82" s="428" t="s">
        <v>9044</v>
      </c>
      <c r="R82" s="414" t="s">
        <v>9045</v>
      </c>
      <c r="S82" s="436" t="s">
        <v>9035</v>
      </c>
      <c r="T82" s="210" t="s">
        <v>9046</v>
      </c>
      <c r="U82" s="436"/>
      <c r="V82" s="210"/>
      <c r="W82" s="8"/>
      <c r="X82" s="8"/>
      <c r="Y82" s="8"/>
      <c r="Z82" s="8"/>
      <c r="AA82" s="8"/>
      <c r="AB82" s="8"/>
      <c r="AC82" s="8"/>
      <c r="AD82" s="8"/>
      <c r="AE82" s="8"/>
      <c r="AF82" s="8"/>
      <c r="AG82" s="8"/>
      <c r="AH82" s="8"/>
      <c r="AI82" s="8"/>
      <c r="AJ82" s="8"/>
      <c r="AK82" s="8"/>
      <c r="AL82" s="8"/>
      <c r="AM82" s="8"/>
      <c r="AN82" s="8"/>
      <c r="AO82" s="8"/>
      <c r="AP82" s="8"/>
      <c r="AQ82" s="8"/>
      <c r="AR82" s="8"/>
      <c r="AS82" s="8"/>
      <c r="AT82" s="8"/>
    </row>
    <row r="83">
      <c r="A83" s="411" t="s">
        <v>9047</v>
      </c>
      <c r="B83" s="177" t="s">
        <v>9048</v>
      </c>
      <c r="C83" s="411" t="s">
        <v>9049</v>
      </c>
      <c r="D83" s="177" t="s">
        <v>9050</v>
      </c>
      <c r="E83" s="411" t="s">
        <v>9051</v>
      </c>
      <c r="F83" s="177" t="s">
        <v>9052</v>
      </c>
      <c r="G83" s="415" t="str">
        <f>IFERROR(__xludf.DUMMYFUNCTION("GOOGLETRANSLATE(A83,""zh-tw"",""zh"")"),"王权之令")</f>
        <v>王权之令</v>
      </c>
      <c r="H83" s="210" t="str">
        <f>IFERROR(__xludf.DUMMYFUNCTION("GOOGLETRANSLATE(B83,""zh-tw"",""zh"")"),"提升从者大小和能力、提升全属性
愤怒的拳头-强化伤害和击退距离
毒刀-强化中毒概率
猪猪存钱罐-更不易碎
贪欲存钱罐-探测范围变大，光环范围变大
谢里斯的诅咒之手-强化Debuff效果，并让手指变为马赛克状态(未实装)
◉▽◉-提升体型与伤害、增加击退效果(击退效果不会叠加)
(海鸥目前未适配)")</f>
        <v>提升从者大小和能力、提升全属性
愤怒的拳头-强化伤害和击退距离
毒刀-强化中毒概率
猪猪存钱罐-更不易碎
贪欲存钱罐-探测范围变大，光环范围变大
谢里斯的诅咒之手-强化Debuff效果，并让手指变为马赛克状态(未实装)
◉▽◉-提升体型与伤害、增加击退效果(击退效果不会叠加)
(海鸥目前未适配)</v>
      </c>
      <c r="I83" s="415" t="str">
        <f>IFERROR(__xludf.DUMMYFUNCTION("GOOGLETRANSLATE(A83,""zh-tw"",""es-MX"")"),"Real Decreto")</f>
        <v>Real Decreto</v>
      </c>
      <c r="J83" s="210" t="str">
        <f>IFERROR(__xludf.DUMMYFUNCTION("GOOGLETRANSLATE(B83,""zh-tw"",""es-MX"")"),"Aumenta el tamaño y las habilidades del Servant, y mejora todos sus atributos.
Puño Furioso: Aumenta el daño y la distancia de retroceso.
Cuchillo Envenenado: Aumenta la probabilidad de envenenamiento.
Hucha: Más resistente.
Hucha Codiciosa: Aumenta e"&amp;"l alcance de detección y el alcance del aura.
Mano Maldita de Sheris: Mejora los efectos negativos y pixela los dedos (aún no implementado).
◉▽◉: Aumenta el tamaño y el daño, y añade un efecto de retroceso (este efecto no se acumula).
(Gaviota no compa"&amp;"tible actualmente)")</f>
        <v>Aumenta el tamaño y las habilidades del Servant, y mejora todos sus atributos.
Puño Furioso: Aumenta el daño y la distancia de retroceso.
Cuchillo Envenenado: Aumenta la probabilidad de envenenamiento.
Hucha: Más resistente.
Hucha Codiciosa: Aumenta el alcance de detección y el alcance del aura.
Mano Maldita de Sheris: Mejora los efectos negativos y pixela los dedos (aún no implementado).
◉▽◉: Aumenta el tamaño y el daño, y añade un efecto de retroceso (este efecto no se acumula).
(Gaviota no compatible actualmente)</v>
      </c>
      <c r="K83" s="415" t="str">
        <f>IFERROR(__xludf.DUMMYFUNCTION("GOOGLETRANSLATE(A83,""zh-tw"",""KO"")"),"왕령")</f>
        <v>왕령</v>
      </c>
      <c r="L83" s="177" t="s">
        <v>9053</v>
      </c>
      <c r="M83" s="415" t="s">
        <v>9054</v>
      </c>
      <c r="N83" s="210" t="s">
        <v>9055</v>
      </c>
      <c r="O83" s="412" t="s">
        <v>9056</v>
      </c>
      <c r="P83" s="214" t="s">
        <v>9057</v>
      </c>
      <c r="Q83" s="428" t="s">
        <v>9058</v>
      </c>
      <c r="R83" s="52" t="s">
        <v>9059</v>
      </c>
      <c r="S83" s="415" t="s">
        <v>9060</v>
      </c>
      <c r="T83" s="210" t="s">
        <v>9061</v>
      </c>
      <c r="U83" s="415"/>
      <c r="V83" s="210"/>
      <c r="W83" s="8"/>
      <c r="X83" s="8"/>
      <c r="Y83" s="8"/>
      <c r="Z83" s="8"/>
      <c r="AA83" s="8"/>
      <c r="AB83" s="8"/>
      <c r="AC83" s="8"/>
      <c r="AD83" s="8"/>
      <c r="AE83" s="8"/>
      <c r="AF83" s="8"/>
      <c r="AG83" s="8"/>
      <c r="AH83" s="8"/>
      <c r="AI83" s="8"/>
      <c r="AJ83" s="8"/>
      <c r="AK83" s="8"/>
      <c r="AL83" s="8"/>
      <c r="AM83" s="8"/>
      <c r="AN83" s="8"/>
      <c r="AO83" s="8"/>
      <c r="AP83" s="8"/>
      <c r="AQ83" s="8"/>
      <c r="AR83" s="8"/>
      <c r="AS83" s="8"/>
      <c r="AT83" s="8"/>
    </row>
    <row r="84">
      <c r="A84" s="411" t="s">
        <v>9062</v>
      </c>
      <c r="B84" s="177" t="s">
        <v>9063</v>
      </c>
      <c r="C84" s="411" t="s">
        <v>9064</v>
      </c>
      <c r="D84" s="177" t="s">
        <v>9065</v>
      </c>
      <c r="E84" s="411" t="s">
        <v>9066</v>
      </c>
      <c r="F84" s="210" t="str">
        <f>IFERROR(__xludf.DUMMYFUNCTION("GOOGLETRANSLATE(B84,""zh-tw"",""en"")"),"Luck: 100 (Lucky stats include: finding money, Mammon aura, indestructible, increased movement speed)
")</f>
        <v>Luck: 100 (Lucky stats include: finding money, Mammon aura, indestructible, increased movement speed)
</v>
      </c>
      <c r="G84" s="415" t="str">
        <f>IFERROR(__xludf.DUMMYFUNCTION("GOOGLETRANSLATE(A84,""zh-tw"",""zh"")"),"贪欲存钱罐")</f>
        <v>贪欲存钱罐</v>
      </c>
      <c r="H84" s="210" t="str">
        <f>IFERROR(__xludf.DUMMYFUNCTION("GOOGLETRANSLATE(B84,""zh-tw"",""zh"")"),"幸运：100
捡钱、玛门光环、坚不可摧、移动加快
")</f>
        <v>幸运：100
捡钱、玛门光环、坚不可摧、移动加快
</v>
      </c>
      <c r="I84" s="415" t="str">
        <f>IFERROR(__xludf.DUMMYFUNCTION("GOOGLETRANSLATE(A84,""zh-tw"",""es-MX"")"),"Hucha codiciosa")</f>
        <v>Hucha codiciosa</v>
      </c>
      <c r="J84" s="210" t="str">
        <f>IFERROR(__xludf.DUMMYFUNCTION("GOOGLETRANSLATE(B84,""zh-tw"",""es-MX"")"),"Suerte: 100 (Estadísticas de suerte: encontrar dinero, aura de Mammon, indestructible, mayor velocidad de movimiento)
")</f>
        <v>Suerte: 100 (Estadísticas de suerte: encontrar dinero, aura de Mammon, indestructible, mayor velocidad de movimiento)
</v>
      </c>
      <c r="K84" s="415" t="str">
        <f>IFERROR(__xludf.DUMMYFUNCTION("GOOGLETRANSLATE(A84,""zh-tw"",""KO"")"),"욕심쟁이 돼지 저금통")</f>
        <v>욕심쟁이 돼지 저금통</v>
      </c>
      <c r="L84" s="177" t="s">
        <v>9067</v>
      </c>
      <c r="M84" s="415" t="s">
        <v>9068</v>
      </c>
      <c r="N84" s="210" t="s">
        <v>9069</v>
      </c>
      <c r="O84" s="412" t="s">
        <v>9070</v>
      </c>
      <c r="P84" s="214" t="s">
        <v>9071</v>
      </c>
      <c r="Q84" s="428" t="s">
        <v>9072</v>
      </c>
      <c r="R84" s="418" t="s">
        <v>9073</v>
      </c>
      <c r="S84" s="415" t="s">
        <v>9074</v>
      </c>
      <c r="T84" s="177" t="s">
        <v>9075</v>
      </c>
      <c r="U84" s="415"/>
      <c r="V84" s="177"/>
      <c r="W84" s="8"/>
      <c r="X84" s="8"/>
      <c r="Y84" s="8"/>
      <c r="Z84" s="8"/>
      <c r="AA84" s="8"/>
      <c r="AB84" s="8"/>
      <c r="AC84" s="8"/>
      <c r="AD84" s="8"/>
      <c r="AE84" s="8"/>
      <c r="AF84" s="8"/>
      <c r="AG84" s="8"/>
      <c r="AH84" s="8"/>
      <c r="AI84" s="8"/>
      <c r="AJ84" s="8"/>
      <c r="AK84" s="8"/>
      <c r="AL84" s="8"/>
      <c r="AM84" s="8"/>
      <c r="AN84" s="8"/>
      <c r="AO84" s="8"/>
      <c r="AP84" s="8"/>
      <c r="AQ84" s="8"/>
      <c r="AR84" s="8"/>
      <c r="AS84" s="8"/>
      <c r="AT84" s="8"/>
    </row>
    <row r="85">
      <c r="A85" s="415" t="s">
        <v>9076</v>
      </c>
      <c r="B85" s="210" t="s">
        <v>9077</v>
      </c>
      <c r="C85" s="411" t="s">
        <v>9078</v>
      </c>
      <c r="D85" s="177" t="s">
        <v>9079</v>
      </c>
      <c r="E85" s="411" t="s">
        <v>9080</v>
      </c>
      <c r="F85" s="177" t="s">
        <v>9081</v>
      </c>
      <c r="G85" s="415" t="str">
        <f>IFERROR(__xludf.DUMMYFUNCTION("GOOGLETRANSLATE(A85,""zh-tw"",""zh"")"),"爱神荡漾")</f>
        <v>爱神荡漾</v>
      </c>
      <c r="H85" s="210" t="str">
        <f>IFERROR(__xludf.DUMMYFUNCTION("GOOGLETRANSLATE(B85,""zh-tw"",""zh"")"),"大幅增加触摸时提升的好感度
(摸一次增加一颗好感)
※此为作弊神器，请参考TIPS")</f>
        <v>大幅增加触摸时提升的好感度
(摸一次增加一颗好感)
※此为作弊神器，请参考TIPS</v>
      </c>
      <c r="I85" s="415" t="str">
        <f>IFERROR(__xludf.DUMMYFUNCTION("GOOGLETRANSLATE(A85,""zh-tw"",""es-MX"")"),"Ondulación de Cupido")</f>
        <v>Ondulación de Cupido</v>
      </c>
      <c r="J85" s="210" t="str">
        <f>IFERROR(__xludf.DUMMYFUNCTION("GOOGLETRANSLATE(B85,""zh-tw"",""es-MX"")"),"Aumenta significativamente la afinidad obtenida al tocar a alguien.
(Un toque aumenta la afinidad en un punto).
※Esto es una trampa; consulta los consejos.")</f>
        <v>Aumenta significativamente la afinidad obtenida al tocar a alguien.
(Un toque aumenta la afinidad en un punto).
※Esto es una trampa; consulta los consejos.</v>
      </c>
      <c r="K85" s="415" t="str">
        <f>IFERROR(__xludf.DUMMYFUNCTION("GOOGLETRANSLATE(A85,""zh-tw"",""KO"")"),"큐피드의 잔물결")</f>
        <v>큐피드의 잔물결</v>
      </c>
      <c r="L85" s="210" t="str">
        <f>IFERROR(__xludf.DUMMYFUNCTION("GOOGLETRANSLATE(B85,""zh-tw"",""KO"")"),"접촉을 통해 얻는 친밀도를 크게 증가시킵니다.
(접촉 한 번당 친밀도가 1점 증가합니다.)
※이것은 치트 도구입니다. 자세한 내용은 팁을 참조하세요.")</f>
        <v>접촉을 통해 얻는 친밀도를 크게 증가시킵니다.
(접촉 한 번당 친밀도가 1점 증가합니다.)
※이것은 치트 도구입니다. 자세한 내용은 팁을 참조하세요.</v>
      </c>
      <c r="M85" s="415" t="s">
        <v>9082</v>
      </c>
      <c r="N85" s="210" t="s">
        <v>9083</v>
      </c>
      <c r="O85" s="411" t="s">
        <v>9084</v>
      </c>
      <c r="P85" s="177" t="s">
        <v>9085</v>
      </c>
      <c r="Q85" s="427" t="s">
        <v>9086</v>
      </c>
      <c r="R85" s="418" t="s">
        <v>9087</v>
      </c>
      <c r="S85" s="415" t="s">
        <v>9088</v>
      </c>
      <c r="T85" s="177" t="s">
        <v>9089</v>
      </c>
      <c r="U85" s="415"/>
      <c r="V85" s="177"/>
      <c r="W85" s="8"/>
      <c r="X85" s="8"/>
      <c r="Y85" s="8"/>
      <c r="Z85" s="8"/>
      <c r="AA85" s="8"/>
      <c r="AB85" s="8"/>
      <c r="AC85" s="8"/>
      <c r="AD85" s="8"/>
      <c r="AE85" s="8"/>
      <c r="AF85" s="8"/>
      <c r="AG85" s="8"/>
      <c r="AH85" s="8"/>
      <c r="AI85" s="8"/>
      <c r="AJ85" s="8"/>
      <c r="AK85" s="8"/>
      <c r="AL85" s="8"/>
      <c r="AM85" s="8"/>
      <c r="AN85" s="8"/>
      <c r="AO85" s="8"/>
      <c r="AP85" s="8"/>
      <c r="AQ85" s="8"/>
      <c r="AR85" s="8"/>
      <c r="AS85" s="8"/>
      <c r="AT85" s="8"/>
    </row>
    <row r="86">
      <c r="A86" s="411" t="s">
        <v>9090</v>
      </c>
      <c r="B86" s="177" t="s">
        <v>9091</v>
      </c>
      <c r="C86" s="411" t="s">
        <v>9092</v>
      </c>
      <c r="D86" s="177" t="s">
        <v>9093</v>
      </c>
      <c r="E86" s="411" t="s">
        <v>9094</v>
      </c>
      <c r="F86" s="177" t="s">
        <v>9095</v>
      </c>
      <c r="G86" s="415" t="str">
        <f>IFERROR(__xludf.DUMMYFUNCTION("GOOGLETRANSLATE(A86,""zh-tw"",""zh"")"),"绝对领域")</f>
        <v>绝对领域</v>
      </c>
      <c r="H86" s="210" t="str">
        <f>IFERROR(__xludf.DUMMYFUNCTION("GOOGLETRANSLATE(B86,""zh-tw"",""zh"")"),"魔防：169
幸运：69
增加携带武器/防具数量+99
※此为作弊神器，请参考TIPS")</f>
        <v>魔防：169
幸运：69
增加携带武器/防具数量+99
※此为作弊神器，请参考TIPS</v>
      </c>
      <c r="I86" s="415" t="str">
        <f>IFERROR(__xludf.DUMMYFUNCTION("GOOGLETRANSLATE(A86,""zh-tw"",""es-MX"")"),"Territorio absoluto")</f>
        <v>Territorio absoluto</v>
      </c>
      <c r="J86" s="210" t="str">
        <f>IFERROR(__xludf.DUMMYFUNCTION("GOOGLETRANSLATE(B86,""zh-tw"",""es-MX"")"),"Defensa mágica: 169
Suerte: 69
Aumenta la cantidad de armas/armaduras que puedes llevar en +99
※Este es un objeto de trucos. Consulta los CONSEJOS.")</f>
        <v>Defensa mágica: 169
Suerte: 69
Aumenta la cantidad de armas/armaduras que puedes llevar en +99
※Este es un objeto de trucos. Consulta los CONSEJOS.</v>
      </c>
      <c r="K86" s="415" t="str">
        <f>IFERROR(__xludf.DUMMYFUNCTION("GOOGLETRANSLATE(A86,""zh-tw"",""KO"")"),"절대 영토")</f>
        <v>절대 영토</v>
      </c>
      <c r="L86" s="210" t="str">
        <f>IFERROR(__xludf.DUMMYFUNCTION("GOOGLETRANSLATE(B86,""zh-tw"",""KO"")"),"마법 방어력: 169
행운: 69
소지 가능한 무기/방어구 개수를 +99 증가시킵니다.
※이 아이템은 치트 아이템이므로, 자세한 사용법은 팁을 참조하세요.")</f>
        <v>마법 방어력: 169
행운: 69
소지 가능한 무기/방어구 개수를 +99 증가시킵니다.
※이 아이템은 치트 아이템이므로, 자세한 사용법은 팁을 참조하세요.</v>
      </c>
      <c r="M86" s="415" t="s">
        <v>9096</v>
      </c>
      <c r="N86" s="210" t="s">
        <v>9097</v>
      </c>
      <c r="O86" s="411" t="s">
        <v>9098</v>
      </c>
      <c r="P86" s="177" t="s">
        <v>9099</v>
      </c>
      <c r="Q86" s="428" t="s">
        <v>9100</v>
      </c>
      <c r="R86" s="418" t="s">
        <v>9101</v>
      </c>
      <c r="S86" s="415" t="s">
        <v>9102</v>
      </c>
      <c r="T86" s="177" t="s">
        <v>9103</v>
      </c>
      <c r="U86" s="415"/>
      <c r="V86" s="177"/>
      <c r="W86" s="8"/>
      <c r="X86" s="8"/>
      <c r="Y86" s="8"/>
      <c r="Z86" s="8"/>
      <c r="AA86" s="8"/>
      <c r="AB86" s="8"/>
      <c r="AC86" s="8"/>
      <c r="AD86" s="8"/>
      <c r="AE86" s="8"/>
      <c r="AF86" s="8"/>
      <c r="AG86" s="8"/>
      <c r="AH86" s="8"/>
      <c r="AI86" s="8"/>
      <c r="AJ86" s="8"/>
      <c r="AK86" s="8"/>
      <c r="AL86" s="8"/>
      <c r="AM86" s="8"/>
      <c r="AN86" s="8"/>
      <c r="AO86" s="8"/>
      <c r="AP86" s="8"/>
      <c r="AQ86" s="8"/>
      <c r="AR86" s="8"/>
      <c r="AS86" s="8"/>
      <c r="AT86" s="8"/>
    </row>
    <row r="87">
      <c r="A87" s="411" t="s">
        <v>9104</v>
      </c>
      <c r="B87" s="177" t="s">
        <v>9105</v>
      </c>
      <c r="C87" s="411" t="s">
        <v>9106</v>
      </c>
      <c r="D87" s="177" t="s">
        <v>9107</v>
      </c>
      <c r="E87" s="411" t="s">
        <v>9108</v>
      </c>
      <c r="F87" s="177" t="s">
        <v>9109</v>
      </c>
      <c r="G87" s="415" t="str">
        <f>IFERROR(__xludf.DUMMYFUNCTION("GOOGLETRANSLATE(A87,""zh-tw"",""zh"")"),"Mio的急救箱")</f>
        <v>Mio的急救箱</v>
      </c>
      <c r="H87" s="210" t="str">
        <f>IFERROR(__xludf.DUMMYFUNCTION("GOOGLETRANSLATE(B87,""zh-tw"",""zh"")"),"每秒回复血
※此为作弊神器，请参考TIPS")</f>
        <v>每秒回复血
※此为作弊神器，请参考TIPS</v>
      </c>
      <c r="I87" s="415" t="str">
        <f>IFERROR(__xludf.DUMMYFUNCTION("GOOGLETRANSLATE(A87,""zh-tw"",""es-MX"")"),"Botiquín de primeros auxilios de Mio")</f>
        <v>Botiquín de primeros auxilios de Mio</v>
      </c>
      <c r="J87" s="210" t="str">
        <f>IFERROR(__xludf.DUMMYFUNCTION("GOOGLETRANSLATE(B87,""zh-tw"",""es-MX"")"),"Regenera salud por segundo
※Esta es una herramienta para hacer trampas; consulta los CONSEJOS.")</f>
        <v>Regenera salud por segundo
※Esta es una herramienta para hacer trampas; consulta los CONSEJOS.</v>
      </c>
      <c r="K87" s="415" t="str">
        <f>IFERROR(__xludf.DUMMYFUNCTION("GOOGLETRANSLATE(A87,""zh-tw"",""KO"")"),"미오의 구급상자")</f>
        <v>미오의 구급상자</v>
      </c>
      <c r="L87" s="210" t="str">
        <f>IFERROR(__xludf.DUMMYFUNCTION("GOOGLETRANSLATE(B87,""zh-tw"",""KO"")"),"초당 체력을 회복합니다.
※이것은 치트 도구입니다. 사용 시 주의사항을 참고하세요.")</f>
        <v>초당 체력을 회복합니다.
※이것은 치트 도구입니다. 사용 시 주의사항을 참고하세요.</v>
      </c>
      <c r="M87" s="415" t="s">
        <v>9110</v>
      </c>
      <c r="N87" s="210" t="s">
        <v>9111</v>
      </c>
      <c r="O87" s="429" t="str">
        <f>IFERROR(__xludf.DUMMYFUNCTION("GOOGLETRANSLATE(A87,""zh-tw"",""de"")"),"Mios Erste-Hilfe-Set")</f>
        <v>Mios Erste-Hilfe-Set</v>
      </c>
      <c r="P87" s="430" t="str">
        <f>IFERROR(__xludf.DUMMYFUNCTION("GOOGLETRANSLATE(B87,""zh-tw"",""de"")"),"Regeneriert Gesundheit pro Sekunde
※Dies ist ein Cheat-Tool. Bitte beachte die Tipps.")</f>
        <v>Regeneriert Gesundheit pro Sekunde
※Dies ist ein Cheat-Tool. Bitte beachte die Tipps.</v>
      </c>
      <c r="Q87" s="427" t="s">
        <v>9112</v>
      </c>
      <c r="R87" s="418" t="s">
        <v>9113</v>
      </c>
      <c r="S87" s="415" t="s">
        <v>9114</v>
      </c>
      <c r="T87" s="177" t="s">
        <v>9115</v>
      </c>
      <c r="U87" s="415"/>
      <c r="V87" s="177"/>
      <c r="W87" s="8"/>
      <c r="X87" s="8"/>
      <c r="Y87" s="8"/>
      <c r="Z87" s="8"/>
      <c r="AA87" s="8"/>
      <c r="AB87" s="8"/>
      <c r="AC87" s="8"/>
      <c r="AD87" s="8"/>
      <c r="AE87" s="8"/>
      <c r="AF87" s="8"/>
      <c r="AG87" s="8"/>
      <c r="AH87" s="8"/>
      <c r="AI87" s="8"/>
      <c r="AJ87" s="8"/>
      <c r="AK87" s="8"/>
      <c r="AL87" s="8"/>
      <c r="AM87" s="8"/>
      <c r="AN87" s="8"/>
      <c r="AO87" s="8"/>
      <c r="AP87" s="8"/>
      <c r="AQ87" s="8"/>
      <c r="AR87" s="8"/>
      <c r="AS87" s="8"/>
      <c r="AT87" s="8"/>
    </row>
    <row r="88">
      <c r="A88" s="411" t="s">
        <v>9116</v>
      </c>
      <c r="B88" s="177" t="s">
        <v>9117</v>
      </c>
      <c r="C88" s="411" t="s">
        <v>9118</v>
      </c>
      <c r="D88" s="177" t="s">
        <v>9119</v>
      </c>
      <c r="E88" s="411" t="s">
        <v>9120</v>
      </c>
      <c r="F88" s="177" t="s">
        <v>9121</v>
      </c>
      <c r="G88" s="415" t="str">
        <f>IFERROR(__xludf.DUMMYFUNCTION("GOOGLETRANSLATE(A88,""zh-tw"",""zh"")"),"Ruika的万宝槌")</f>
        <v>Ruika的万宝槌</v>
      </c>
      <c r="H88" s="210" t="str">
        <f>IFERROR(__xludf.DUMMYFUNCTION("GOOGLETRANSLATE(B88,""zh-tw"",""zh"")"),"幸运：777
增加掉落率
※此为作弊神器，请参考TIPS")</f>
        <v>幸运：777
增加掉落率
※此为作弊神器，请参考TIPS</v>
      </c>
      <c r="I88" s="415" t="str">
        <f>IFERROR(__xludf.DUMMYFUNCTION("GOOGLETRANSLATE(A88,""zh-tw"",""es-MX"")"),"El martillo de Ruika")</f>
        <v>El martillo de Ruika</v>
      </c>
      <c r="J88" s="210" t="str">
        <f>IFERROR(__xludf.DUMMYFUNCTION("GOOGLETRANSLATE(B88,""zh-tw"",""es-MX"")"),"Suerte: 777
Aumenta la probabilidad de obtención
※Esta es una herramienta de trucos; consulta los CONSEJOS.")</f>
        <v>Suerte: 777
Aumenta la probabilidad de obtención
※Esta es una herramienta de trucos; consulta los CONSEJOS.</v>
      </c>
      <c r="K88" s="415" t="str">
        <f>IFERROR(__xludf.DUMMYFUNCTION("GOOGLETRANSLATE(A88,""zh-tw"",""KO"")"),"루이카의 망치")</f>
        <v>루이카의 망치</v>
      </c>
      <c r="L88" s="210" t="str">
        <f>IFERROR(__xludf.DUMMYFUNCTION("GOOGLETRANSLATE(B88,""zh-tw"",""KO"")"),"행운: 777
드롭률 증가
※본 도구는 치트 도구이므로, 사용 시 주의사항을 참고하시기 바랍니다.")</f>
        <v>행운: 777
드롭률 증가
※본 도구는 치트 도구이므로, 사용 시 주의사항을 참고하시기 바랍니다.</v>
      </c>
      <c r="M88" s="415" t="s">
        <v>9122</v>
      </c>
      <c r="N88" s="210" t="s">
        <v>9123</v>
      </c>
      <c r="O88" s="429" t="str">
        <f>IFERROR(__xludf.DUMMYFUNCTION("GOOGLETRANSLATE(A88,""zh-tw"",""de"")"),"Ruikas Hammer")</f>
        <v>Ruikas Hammer</v>
      </c>
      <c r="P88" s="430" t="str">
        <f>IFERROR(__xludf.DUMMYFUNCTION("GOOGLETRANSLATE(B88,""zh-tw"",""de"")"),"Glück: 777
Erhöht die Drop-Rate
※Dies ist ein Cheat-Tool. Bitte beachte die Tipps.")</f>
        <v>Glück: 777
Erhöht die Drop-Rate
※Dies ist ein Cheat-Tool. Bitte beachte die Tipps.</v>
      </c>
      <c r="Q88" s="427" t="s">
        <v>9124</v>
      </c>
      <c r="R88" s="418" t="s">
        <v>9125</v>
      </c>
      <c r="S88" s="415" t="s">
        <v>9126</v>
      </c>
      <c r="T88" s="177" t="s">
        <v>9127</v>
      </c>
      <c r="U88" s="415"/>
      <c r="V88" s="177"/>
      <c r="W88" s="8"/>
      <c r="X88" s="8"/>
      <c r="Y88" s="8"/>
      <c r="Z88" s="8"/>
      <c r="AA88" s="8"/>
      <c r="AB88" s="8"/>
      <c r="AC88" s="8"/>
      <c r="AD88" s="8"/>
      <c r="AE88" s="8"/>
      <c r="AF88" s="8"/>
      <c r="AG88" s="8"/>
      <c r="AH88" s="8"/>
      <c r="AI88" s="8"/>
      <c r="AJ88" s="8"/>
      <c r="AK88" s="8"/>
      <c r="AL88" s="8"/>
      <c r="AM88" s="8"/>
      <c r="AN88" s="8"/>
      <c r="AO88" s="8"/>
      <c r="AP88" s="8"/>
      <c r="AQ88" s="8"/>
      <c r="AR88" s="8"/>
      <c r="AS88" s="8"/>
      <c r="AT88" s="8"/>
    </row>
    <row r="89">
      <c r="A89" s="411" t="s">
        <v>9128</v>
      </c>
      <c r="B89" s="177" t="s">
        <v>9129</v>
      </c>
      <c r="C89" s="411" t="s">
        <v>9130</v>
      </c>
      <c r="D89" s="177" t="s">
        <v>9131</v>
      </c>
      <c r="E89" s="411" t="s">
        <v>9132</v>
      </c>
      <c r="F89" s="177" t="s">
        <v>9133</v>
      </c>
      <c r="G89" s="415" t="str">
        <f>IFERROR(__xludf.DUMMYFUNCTION("GOOGLETRANSLATE(A89,""zh-tw"",""zh"")"),"白湮的金手指")</f>
        <v>白湮的金手指</v>
      </c>
      <c r="H89" s="210" t="str">
        <f>IFERROR(__xludf.DUMMYFUNCTION("GOOGLETRANSLATE(B89,""zh-tw"",""zh"")"),"武器无消耗
※此为作弊神器，请参考TIPS")</f>
        <v>武器无消耗
※此为作弊神器，请参考TIPS</v>
      </c>
      <c r="I89" s="415" t="str">
        <f>IFERROR(__xludf.DUMMYFUNCTION("GOOGLETRANSLATE(A89,""zh-tw"",""es-MX"")"),"El dedo dorado de Bai Yan")</f>
        <v>El dedo dorado de Bai Yan</v>
      </c>
      <c r="J89" s="210" t="str">
        <f>IFERROR(__xludf.DUMMYFUNCTION("GOOGLETRANSLATE(B89,""zh-tw"",""es-MX"")"),"El arma no tiene costo.
※Este es un truco; consulta los CONSEJOS.")</f>
        <v>El arma no tiene costo.
※Este es un truco; consulta los CONSEJOS.</v>
      </c>
      <c r="K89" s="415" t="str">
        <f>IFERROR(__xludf.DUMMYFUNCTION("GOOGLETRANSLATE(A89,""zh-tw"",""KO"")"),"바이옌의 황금손가락")</f>
        <v>바이옌의 황금손가락</v>
      </c>
      <c r="L89" s="210" t="str">
        <f>IFERROR(__xludf.DUMMYFUNCTION("GOOGLETRANSLATE(B89,""zh-tw"",""KO"")"),"무기는 비용이 들지 않습니다.
※이것은 치트 코드입니다. 자세한 내용은 팁을 참조하세요.")</f>
        <v>무기는 비용이 들지 않습니다.
※이것은 치트 코드입니다. 자세한 내용은 팁을 참조하세요.</v>
      </c>
      <c r="M89" s="415" t="s">
        <v>9134</v>
      </c>
      <c r="N89" s="210" t="s">
        <v>9135</v>
      </c>
      <c r="O89" s="429" t="str">
        <f>IFERROR(__xludf.DUMMYFUNCTION("GOOGLETRANSLATE(A89,""zh-tw"",""de"")"),"Bai Yans goldener Finger")</f>
        <v>Bai Yans goldener Finger</v>
      </c>
      <c r="P89" s="430" t="str">
        <f>IFERROR(__xludf.DUMMYFUNCTION("GOOGLETRANSLATE(B89,""zh-tw"",""de"")"),"Die Waffe ist kostenlos.
※Dies ist ein Cheat-Code; bitte beachte die Tipps.")</f>
        <v>Die Waffe ist kostenlos.
※Dies ist ein Cheat-Code; bitte beachte die Tipps.</v>
      </c>
      <c r="Q89" s="427" t="s">
        <v>9136</v>
      </c>
      <c r="R89" s="418" t="s">
        <v>9137</v>
      </c>
      <c r="S89" s="415" t="s">
        <v>9138</v>
      </c>
      <c r="T89" s="177" t="s">
        <v>9139</v>
      </c>
      <c r="U89" s="415"/>
      <c r="V89" s="177"/>
      <c r="W89" s="8"/>
      <c r="X89" s="8"/>
      <c r="Y89" s="8"/>
      <c r="Z89" s="8"/>
      <c r="AA89" s="8"/>
      <c r="AB89" s="8"/>
      <c r="AC89" s="8"/>
      <c r="AD89" s="8"/>
      <c r="AE89" s="8"/>
      <c r="AF89" s="8"/>
      <c r="AG89" s="8"/>
      <c r="AH89" s="8"/>
      <c r="AI89" s="8"/>
      <c r="AJ89" s="8"/>
      <c r="AK89" s="8"/>
      <c r="AL89" s="8"/>
      <c r="AM89" s="8"/>
      <c r="AN89" s="8"/>
      <c r="AO89" s="8"/>
      <c r="AP89" s="8"/>
      <c r="AQ89" s="8"/>
      <c r="AR89" s="8"/>
      <c r="AS89" s="8"/>
      <c r="AT89" s="8"/>
    </row>
    <row r="90">
      <c r="A90" s="415"/>
      <c r="B90" s="210"/>
      <c r="C90" s="415"/>
      <c r="D90" s="210"/>
      <c r="E90" s="415"/>
      <c r="F90" s="210"/>
      <c r="G90" s="415"/>
      <c r="H90" s="210"/>
      <c r="I90" s="415"/>
      <c r="J90" s="210"/>
      <c r="K90" s="415"/>
      <c r="L90" s="210"/>
      <c r="M90" s="415"/>
      <c r="N90" s="210"/>
      <c r="O90" s="415"/>
      <c r="P90" s="210"/>
      <c r="Q90" s="428"/>
      <c r="R90" s="414"/>
      <c r="S90" s="415"/>
      <c r="T90" s="210"/>
      <c r="U90" s="415"/>
      <c r="V90" s="210"/>
      <c r="W90" s="8"/>
      <c r="X90" s="8"/>
      <c r="Y90" s="8"/>
      <c r="Z90" s="8"/>
      <c r="AA90" s="8"/>
      <c r="AB90" s="8"/>
      <c r="AC90" s="8"/>
      <c r="AD90" s="8"/>
      <c r="AE90" s="8"/>
      <c r="AF90" s="8"/>
      <c r="AG90" s="8"/>
      <c r="AH90" s="8"/>
      <c r="AI90" s="8"/>
      <c r="AJ90" s="8"/>
      <c r="AK90" s="8"/>
      <c r="AL90" s="8"/>
      <c r="AM90" s="8"/>
      <c r="AN90" s="8"/>
      <c r="AO90" s="8"/>
      <c r="AP90" s="8"/>
      <c r="AQ90" s="8"/>
      <c r="AR90" s="8"/>
      <c r="AS90" s="8"/>
      <c r="AT90" s="8"/>
    </row>
    <row r="91">
      <c r="A91" s="415"/>
      <c r="B91" s="210"/>
      <c r="C91" s="415"/>
      <c r="D91" s="210"/>
      <c r="E91" s="415"/>
      <c r="F91" s="210"/>
      <c r="G91" s="415"/>
      <c r="H91" s="210"/>
      <c r="I91" s="415"/>
      <c r="J91" s="210"/>
      <c r="K91" s="415"/>
      <c r="L91" s="210"/>
      <c r="M91" s="415"/>
      <c r="N91" s="210"/>
      <c r="O91" s="415"/>
      <c r="P91" s="210"/>
      <c r="Q91" s="428"/>
      <c r="R91" s="414"/>
      <c r="S91" s="415"/>
      <c r="T91" s="210"/>
      <c r="U91" s="415"/>
      <c r="V91" s="210"/>
      <c r="W91" s="8"/>
      <c r="X91" s="8"/>
      <c r="Y91" s="8"/>
      <c r="Z91" s="8"/>
      <c r="AA91" s="8"/>
      <c r="AB91" s="8"/>
      <c r="AC91" s="8"/>
      <c r="AD91" s="8"/>
      <c r="AE91" s="8"/>
      <c r="AF91" s="8"/>
      <c r="AG91" s="8"/>
      <c r="AH91" s="8"/>
      <c r="AI91" s="8"/>
      <c r="AJ91" s="8"/>
      <c r="AK91" s="8"/>
      <c r="AL91" s="8"/>
      <c r="AM91" s="8"/>
      <c r="AN91" s="8"/>
      <c r="AO91" s="8"/>
      <c r="AP91" s="8"/>
      <c r="AQ91" s="8"/>
      <c r="AR91" s="8"/>
      <c r="AS91" s="8"/>
      <c r="AT91" s="8"/>
    </row>
    <row r="92">
      <c r="A92" s="415"/>
      <c r="B92" s="437"/>
      <c r="C92" s="415"/>
      <c r="D92" s="210"/>
      <c r="E92" s="415"/>
      <c r="F92" s="210"/>
      <c r="G92" s="415"/>
      <c r="H92" s="210"/>
      <c r="I92" s="415"/>
      <c r="J92" s="210"/>
      <c r="K92" s="415"/>
      <c r="L92" s="210"/>
      <c r="M92" s="415"/>
      <c r="N92" s="210"/>
      <c r="O92" s="415"/>
      <c r="P92" s="210"/>
      <c r="Q92" s="428"/>
      <c r="R92" s="414"/>
      <c r="S92" s="415"/>
      <c r="T92" s="210"/>
      <c r="U92" s="415"/>
      <c r="V92" s="210"/>
      <c r="W92" s="8"/>
      <c r="X92" s="8"/>
      <c r="Y92" s="8"/>
      <c r="Z92" s="8"/>
      <c r="AA92" s="8"/>
      <c r="AB92" s="8"/>
      <c r="AC92" s="8"/>
      <c r="AD92" s="8"/>
      <c r="AE92" s="8"/>
      <c r="AF92" s="8"/>
      <c r="AG92" s="8"/>
      <c r="AH92" s="8"/>
      <c r="AI92" s="8"/>
      <c r="AJ92" s="8"/>
      <c r="AK92" s="8"/>
      <c r="AL92" s="8"/>
      <c r="AM92" s="8"/>
      <c r="AN92" s="8"/>
      <c r="AO92" s="8"/>
      <c r="AP92" s="8"/>
      <c r="AQ92" s="8"/>
      <c r="AR92" s="8"/>
      <c r="AS92" s="8"/>
      <c r="AT92" s="8"/>
    </row>
    <row r="93">
      <c r="A93" s="415"/>
      <c r="B93" s="210"/>
      <c r="C93" s="415"/>
      <c r="D93" s="210"/>
      <c r="E93" s="415"/>
      <c r="F93" s="210"/>
      <c r="G93" s="415"/>
      <c r="H93" s="210"/>
      <c r="I93" s="415"/>
      <c r="J93" s="210"/>
      <c r="K93" s="415"/>
      <c r="L93" s="210"/>
      <c r="M93" s="415"/>
      <c r="N93" s="210"/>
      <c r="O93" s="415"/>
      <c r="P93" s="210"/>
      <c r="Q93" s="428"/>
      <c r="R93" s="414"/>
      <c r="S93" s="415"/>
      <c r="T93" s="210"/>
      <c r="U93" s="415"/>
      <c r="V93" s="210"/>
      <c r="W93" s="8"/>
      <c r="X93" s="8"/>
      <c r="Y93" s="8"/>
      <c r="Z93" s="8"/>
      <c r="AA93" s="8"/>
      <c r="AB93" s="8"/>
      <c r="AC93" s="8"/>
      <c r="AD93" s="8"/>
      <c r="AE93" s="8"/>
      <c r="AF93" s="8"/>
      <c r="AG93" s="8"/>
      <c r="AH93" s="8"/>
      <c r="AI93" s="8"/>
      <c r="AJ93" s="8"/>
      <c r="AK93" s="8"/>
      <c r="AL93" s="8"/>
      <c r="AM93" s="8"/>
      <c r="AN93" s="8"/>
      <c r="AO93" s="8"/>
      <c r="AP93" s="8"/>
      <c r="AQ93" s="8"/>
      <c r="AR93" s="8"/>
      <c r="AS93" s="8"/>
      <c r="AT93" s="8"/>
    </row>
    <row r="94">
      <c r="A94" s="415"/>
      <c r="B94" s="210"/>
      <c r="C94" s="415"/>
      <c r="D94" s="210"/>
      <c r="E94" s="415"/>
      <c r="F94" s="210"/>
      <c r="G94" s="415"/>
      <c r="H94" s="210"/>
      <c r="I94" s="415"/>
      <c r="J94" s="210"/>
      <c r="K94" s="415"/>
      <c r="L94" s="210"/>
      <c r="M94" s="415"/>
      <c r="N94" s="210"/>
      <c r="O94" s="415"/>
      <c r="P94" s="210"/>
      <c r="Q94" s="428"/>
      <c r="R94" s="414"/>
      <c r="S94" s="415"/>
      <c r="T94" s="210"/>
      <c r="U94" s="415"/>
      <c r="V94" s="210"/>
      <c r="W94" s="8"/>
      <c r="X94" s="8"/>
      <c r="Y94" s="8"/>
      <c r="Z94" s="8"/>
      <c r="AA94" s="8"/>
      <c r="AB94" s="8"/>
      <c r="AC94" s="8"/>
      <c r="AD94" s="8"/>
      <c r="AE94" s="8"/>
      <c r="AF94" s="8"/>
      <c r="AG94" s="8"/>
      <c r="AH94" s="8"/>
      <c r="AI94" s="8"/>
      <c r="AJ94" s="8"/>
      <c r="AK94" s="8"/>
      <c r="AL94" s="8"/>
      <c r="AM94" s="8"/>
      <c r="AN94" s="8"/>
      <c r="AO94" s="8"/>
      <c r="AP94" s="8"/>
      <c r="AQ94" s="8"/>
      <c r="AR94" s="8"/>
      <c r="AS94" s="8"/>
      <c r="AT94" s="8"/>
    </row>
    <row r="95">
      <c r="A95" s="415"/>
      <c r="B95" s="210"/>
      <c r="C95" s="415"/>
      <c r="D95" s="210"/>
      <c r="E95" s="415"/>
      <c r="F95" s="210"/>
      <c r="G95" s="415"/>
      <c r="H95" s="210"/>
      <c r="I95" s="415"/>
      <c r="J95" s="210"/>
      <c r="K95" s="415"/>
      <c r="L95" s="210"/>
      <c r="M95" s="415"/>
      <c r="N95" s="210"/>
      <c r="O95" s="415"/>
      <c r="P95" s="210"/>
      <c r="Q95" s="428"/>
      <c r="R95" s="414"/>
      <c r="S95" s="415"/>
      <c r="T95" s="210"/>
      <c r="U95" s="415"/>
      <c r="V95" s="210"/>
      <c r="W95" s="8"/>
      <c r="X95" s="8"/>
      <c r="Y95" s="8"/>
      <c r="Z95" s="8"/>
      <c r="AA95" s="8"/>
      <c r="AB95" s="8"/>
      <c r="AC95" s="8"/>
      <c r="AD95" s="8"/>
      <c r="AE95" s="8"/>
      <c r="AF95" s="8"/>
      <c r="AG95" s="8"/>
      <c r="AH95" s="8"/>
      <c r="AI95" s="8"/>
      <c r="AJ95" s="8"/>
      <c r="AK95" s="8"/>
      <c r="AL95" s="8"/>
      <c r="AM95" s="8"/>
      <c r="AN95" s="8"/>
      <c r="AO95" s="8"/>
      <c r="AP95" s="8"/>
      <c r="AQ95" s="8"/>
      <c r="AR95" s="8"/>
      <c r="AS95" s="8"/>
      <c r="AT95" s="8"/>
    </row>
    <row r="96">
      <c r="A96" s="415"/>
      <c r="B96" s="210"/>
      <c r="C96" s="415"/>
      <c r="D96" s="210"/>
      <c r="E96" s="415"/>
      <c r="F96" s="210"/>
      <c r="G96" s="415"/>
      <c r="H96" s="210"/>
      <c r="I96" s="415"/>
      <c r="J96" s="210"/>
      <c r="K96" s="415"/>
      <c r="L96" s="210"/>
      <c r="M96" s="415"/>
      <c r="N96" s="210"/>
      <c r="O96" s="415"/>
      <c r="P96" s="210"/>
      <c r="Q96" s="428"/>
      <c r="R96" s="414"/>
      <c r="S96" s="415"/>
      <c r="T96" s="210"/>
      <c r="U96" s="415"/>
      <c r="V96" s="210"/>
      <c r="W96" s="8"/>
      <c r="X96" s="8"/>
      <c r="Y96" s="8"/>
      <c r="Z96" s="8"/>
      <c r="AA96" s="8"/>
      <c r="AB96" s="8"/>
      <c r="AC96" s="8"/>
      <c r="AD96" s="8"/>
      <c r="AE96" s="8"/>
      <c r="AF96" s="8"/>
      <c r="AG96" s="8"/>
      <c r="AH96" s="8"/>
      <c r="AI96" s="8"/>
      <c r="AJ96" s="8"/>
      <c r="AK96" s="8"/>
      <c r="AL96" s="8"/>
      <c r="AM96" s="8"/>
      <c r="AN96" s="8"/>
      <c r="AO96" s="8"/>
      <c r="AP96" s="8"/>
      <c r="AQ96" s="8"/>
      <c r="AR96" s="8"/>
      <c r="AS96" s="8"/>
      <c r="AT96" s="8"/>
    </row>
    <row r="97">
      <c r="A97" s="415"/>
      <c r="B97" s="210"/>
      <c r="C97" s="415"/>
      <c r="D97" s="210"/>
      <c r="E97" s="415"/>
      <c r="F97" s="210"/>
      <c r="G97" s="415"/>
      <c r="H97" s="210"/>
      <c r="I97" s="415"/>
      <c r="J97" s="210"/>
      <c r="K97" s="415"/>
      <c r="L97" s="210"/>
      <c r="M97" s="415"/>
      <c r="N97" s="210"/>
      <c r="O97" s="415"/>
      <c r="P97" s="210"/>
      <c r="Q97" s="428"/>
      <c r="R97" s="414"/>
      <c r="S97" s="415"/>
      <c r="T97" s="210"/>
      <c r="U97" s="415"/>
      <c r="V97" s="210"/>
      <c r="W97" s="8"/>
      <c r="X97" s="8"/>
      <c r="Y97" s="8"/>
      <c r="Z97" s="8"/>
      <c r="AA97" s="8"/>
      <c r="AB97" s="8"/>
      <c r="AC97" s="8"/>
      <c r="AD97" s="8"/>
      <c r="AE97" s="8"/>
      <c r="AF97" s="8"/>
      <c r="AG97" s="8"/>
      <c r="AH97" s="8"/>
      <c r="AI97" s="8"/>
      <c r="AJ97" s="8"/>
      <c r="AK97" s="8"/>
      <c r="AL97" s="8"/>
      <c r="AM97" s="8"/>
      <c r="AN97" s="8"/>
      <c r="AO97" s="8"/>
      <c r="AP97" s="8"/>
      <c r="AQ97" s="8"/>
      <c r="AR97" s="8"/>
      <c r="AS97" s="8"/>
      <c r="AT97" s="8"/>
    </row>
    <row r="98">
      <c r="A98" s="415"/>
      <c r="B98" s="210"/>
      <c r="C98" s="415"/>
      <c r="D98" s="210"/>
      <c r="E98" s="415"/>
      <c r="F98" s="210"/>
      <c r="G98" s="415"/>
      <c r="H98" s="210"/>
      <c r="I98" s="415"/>
      <c r="J98" s="210"/>
      <c r="K98" s="415"/>
      <c r="L98" s="210"/>
      <c r="M98" s="415"/>
      <c r="N98" s="210"/>
      <c r="O98" s="415"/>
      <c r="P98" s="210"/>
      <c r="Q98" s="428"/>
      <c r="R98" s="414"/>
      <c r="S98" s="415"/>
      <c r="T98" s="210"/>
      <c r="U98" s="415"/>
      <c r="V98" s="210"/>
      <c r="W98" s="8"/>
      <c r="X98" s="8"/>
      <c r="Y98" s="8"/>
      <c r="Z98" s="8"/>
      <c r="AA98" s="8"/>
      <c r="AB98" s="8"/>
      <c r="AC98" s="8"/>
      <c r="AD98" s="8"/>
      <c r="AE98" s="8"/>
      <c r="AF98" s="8"/>
      <c r="AG98" s="8"/>
      <c r="AH98" s="8"/>
      <c r="AI98" s="8"/>
      <c r="AJ98" s="8"/>
      <c r="AK98" s="8"/>
      <c r="AL98" s="8"/>
      <c r="AM98" s="8"/>
      <c r="AN98" s="8"/>
      <c r="AO98" s="8"/>
      <c r="AP98" s="8"/>
      <c r="AQ98" s="8"/>
      <c r="AR98" s="8"/>
      <c r="AS98" s="8"/>
      <c r="AT98" s="8"/>
    </row>
    <row r="99">
      <c r="A99" s="415"/>
      <c r="B99" s="210"/>
      <c r="C99" s="415"/>
      <c r="D99" s="210"/>
      <c r="E99" s="415"/>
      <c r="F99" s="210"/>
      <c r="G99" s="415"/>
      <c r="H99" s="210"/>
      <c r="I99" s="415"/>
      <c r="J99" s="210"/>
      <c r="K99" s="415"/>
      <c r="L99" s="210"/>
      <c r="M99" s="415"/>
      <c r="N99" s="210"/>
      <c r="O99" s="415"/>
      <c r="P99" s="210"/>
      <c r="Q99" s="428"/>
      <c r="R99" s="414"/>
      <c r="S99" s="415"/>
      <c r="T99" s="210"/>
      <c r="U99" s="415"/>
      <c r="V99" s="210"/>
      <c r="W99" s="8"/>
      <c r="X99" s="8"/>
      <c r="Y99" s="8"/>
      <c r="Z99" s="8"/>
      <c r="AA99" s="8"/>
      <c r="AB99" s="8"/>
      <c r="AC99" s="8"/>
      <c r="AD99" s="8"/>
      <c r="AE99" s="8"/>
      <c r="AF99" s="8"/>
      <c r="AG99" s="8"/>
      <c r="AH99" s="8"/>
      <c r="AI99" s="8"/>
      <c r="AJ99" s="8"/>
      <c r="AK99" s="8"/>
      <c r="AL99" s="8"/>
      <c r="AM99" s="8"/>
      <c r="AN99" s="8"/>
      <c r="AO99" s="8"/>
      <c r="AP99" s="8"/>
      <c r="AQ99" s="8"/>
      <c r="AR99" s="8"/>
      <c r="AS99" s="8"/>
      <c r="AT99" s="8"/>
    </row>
    <row r="100">
      <c r="A100" s="415"/>
      <c r="B100" s="210"/>
      <c r="C100" s="415"/>
      <c r="D100" s="210"/>
      <c r="E100" s="415"/>
      <c r="F100" s="210"/>
      <c r="G100" s="415"/>
      <c r="H100" s="210"/>
      <c r="I100" s="415"/>
      <c r="J100" s="210"/>
      <c r="K100" s="415"/>
      <c r="L100" s="210"/>
      <c r="M100" s="415"/>
      <c r="N100" s="210"/>
      <c r="O100" s="415"/>
      <c r="P100" s="210"/>
      <c r="Q100" s="428"/>
      <c r="R100" s="414"/>
      <c r="S100" s="415"/>
      <c r="T100" s="210"/>
      <c r="U100" s="415"/>
      <c r="V100" s="210"/>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row>
    <row r="101">
      <c r="A101" s="415"/>
      <c r="B101" s="210"/>
      <c r="C101" s="415"/>
      <c r="D101" s="210"/>
      <c r="E101" s="415"/>
      <c r="F101" s="210"/>
      <c r="G101" s="415"/>
      <c r="H101" s="210"/>
      <c r="I101" s="415"/>
      <c r="J101" s="210"/>
      <c r="K101" s="415"/>
      <c r="L101" s="210"/>
      <c r="M101" s="415"/>
      <c r="N101" s="210"/>
      <c r="O101" s="415"/>
      <c r="P101" s="210"/>
      <c r="Q101" s="428"/>
      <c r="R101" s="414"/>
      <c r="S101" s="415"/>
      <c r="T101" s="210"/>
      <c r="U101" s="415"/>
      <c r="V101" s="210"/>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row>
    <row r="102">
      <c r="A102" s="415"/>
      <c r="B102" s="210"/>
      <c r="C102" s="415"/>
      <c r="D102" s="210"/>
      <c r="E102" s="415"/>
      <c r="F102" s="210"/>
      <c r="G102" s="415"/>
      <c r="H102" s="210"/>
      <c r="I102" s="415"/>
      <c r="J102" s="210"/>
      <c r="K102" s="415"/>
      <c r="L102" s="210"/>
      <c r="M102" s="415"/>
      <c r="N102" s="210"/>
      <c r="O102" s="415"/>
      <c r="P102" s="210"/>
      <c r="Q102" s="428"/>
      <c r="R102" s="414"/>
      <c r="S102" s="415"/>
      <c r="T102" s="210"/>
      <c r="U102" s="415"/>
      <c r="V102" s="210"/>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row>
    <row r="103">
      <c r="A103" s="415"/>
      <c r="B103" s="210"/>
      <c r="C103" s="415"/>
      <c r="D103" s="210"/>
      <c r="E103" s="415"/>
      <c r="F103" s="210"/>
      <c r="G103" s="415"/>
      <c r="H103" s="210"/>
      <c r="I103" s="415"/>
      <c r="J103" s="210"/>
      <c r="K103" s="415"/>
      <c r="L103" s="210"/>
      <c r="M103" s="415"/>
      <c r="N103" s="210"/>
      <c r="O103" s="415"/>
      <c r="P103" s="210"/>
      <c r="Q103" s="428"/>
      <c r="R103" s="414"/>
      <c r="S103" s="415"/>
      <c r="T103" s="210"/>
      <c r="U103" s="415"/>
      <c r="V103" s="210"/>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row>
    <row r="104">
      <c r="A104" s="415"/>
      <c r="B104" s="210"/>
      <c r="C104" s="415"/>
      <c r="D104" s="210"/>
      <c r="E104" s="415"/>
      <c r="F104" s="210"/>
      <c r="G104" s="415"/>
      <c r="H104" s="210"/>
      <c r="I104" s="415"/>
      <c r="J104" s="210"/>
      <c r="K104" s="415"/>
      <c r="L104" s="210"/>
      <c r="M104" s="415"/>
      <c r="N104" s="210"/>
      <c r="O104" s="415"/>
      <c r="P104" s="210"/>
      <c r="Q104" s="428"/>
      <c r="R104" s="414"/>
      <c r="S104" s="415"/>
      <c r="T104" s="210"/>
      <c r="U104" s="415"/>
      <c r="V104" s="210"/>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row>
    <row r="105">
      <c r="A105" s="415"/>
      <c r="B105" s="210"/>
      <c r="C105" s="415"/>
      <c r="D105" s="210"/>
      <c r="E105" s="415"/>
      <c r="F105" s="210"/>
      <c r="G105" s="415"/>
      <c r="H105" s="210"/>
      <c r="I105" s="415"/>
      <c r="J105" s="210"/>
      <c r="K105" s="415"/>
      <c r="L105" s="210"/>
      <c r="M105" s="415"/>
      <c r="N105" s="210"/>
      <c r="O105" s="415"/>
      <c r="P105" s="210"/>
      <c r="Q105" s="428"/>
      <c r="R105" s="414"/>
      <c r="S105" s="415"/>
      <c r="T105" s="210"/>
      <c r="U105" s="415"/>
      <c r="V105" s="210"/>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row>
    <row r="106">
      <c r="A106" s="415"/>
      <c r="B106" s="210"/>
      <c r="C106" s="415"/>
      <c r="D106" s="210"/>
      <c r="E106" s="415"/>
      <c r="F106" s="210"/>
      <c r="G106" s="415"/>
      <c r="H106" s="210"/>
      <c r="I106" s="415"/>
      <c r="J106" s="210"/>
      <c r="K106" s="415"/>
      <c r="L106" s="210"/>
      <c r="M106" s="415"/>
      <c r="N106" s="210"/>
      <c r="O106" s="415"/>
      <c r="P106" s="210"/>
      <c r="Q106" s="428"/>
      <c r="R106" s="414"/>
      <c r="S106" s="415"/>
      <c r="T106" s="210"/>
      <c r="U106" s="415"/>
      <c r="V106" s="210"/>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row>
    <row r="107">
      <c r="A107" s="415"/>
      <c r="B107" s="210"/>
      <c r="C107" s="415"/>
      <c r="D107" s="210"/>
      <c r="E107" s="415"/>
      <c r="F107" s="210"/>
      <c r="G107" s="415"/>
      <c r="H107" s="210"/>
      <c r="I107" s="415"/>
      <c r="J107" s="210"/>
      <c r="K107" s="415"/>
      <c r="L107" s="210"/>
      <c r="M107" s="415"/>
      <c r="N107" s="210"/>
      <c r="O107" s="415"/>
      <c r="P107" s="210"/>
      <c r="Q107" s="428"/>
      <c r="R107" s="414"/>
      <c r="S107" s="415"/>
      <c r="T107" s="210"/>
      <c r="U107" s="415"/>
      <c r="V107" s="210"/>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row>
    <row r="108">
      <c r="A108" s="415"/>
      <c r="B108" s="210"/>
      <c r="C108" s="415"/>
      <c r="D108" s="210"/>
      <c r="E108" s="415"/>
      <c r="F108" s="210"/>
      <c r="G108" s="415"/>
      <c r="H108" s="210"/>
      <c r="I108" s="415"/>
      <c r="J108" s="210"/>
      <c r="K108" s="415"/>
      <c r="L108" s="210"/>
      <c r="M108" s="415"/>
      <c r="N108" s="210"/>
      <c r="O108" s="415"/>
      <c r="P108" s="210"/>
      <c r="Q108" s="428"/>
      <c r="R108" s="414"/>
      <c r="S108" s="415"/>
      <c r="T108" s="210"/>
      <c r="U108" s="415"/>
      <c r="V108" s="210"/>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row>
    <row r="109">
      <c r="A109" s="415"/>
      <c r="B109" s="210"/>
      <c r="C109" s="415"/>
      <c r="D109" s="210"/>
      <c r="E109" s="415"/>
      <c r="F109" s="210"/>
      <c r="G109" s="415"/>
      <c r="H109" s="210"/>
      <c r="I109" s="415"/>
      <c r="J109" s="210"/>
      <c r="K109" s="415"/>
      <c r="L109" s="210"/>
      <c r="M109" s="415"/>
      <c r="N109" s="210"/>
      <c r="O109" s="415"/>
      <c r="P109" s="210"/>
      <c r="Q109" s="428"/>
      <c r="R109" s="414"/>
      <c r="S109" s="415"/>
      <c r="T109" s="210"/>
      <c r="U109" s="415"/>
      <c r="V109" s="210"/>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row>
    <row r="110">
      <c r="A110" s="415"/>
      <c r="B110" s="210"/>
      <c r="C110" s="415"/>
      <c r="D110" s="210"/>
      <c r="E110" s="415"/>
      <c r="F110" s="210"/>
      <c r="G110" s="415"/>
      <c r="H110" s="210"/>
      <c r="I110" s="415"/>
      <c r="J110" s="210"/>
      <c r="K110" s="415"/>
      <c r="L110" s="210"/>
      <c r="M110" s="415"/>
      <c r="N110" s="210"/>
      <c r="O110" s="415"/>
      <c r="P110" s="210"/>
      <c r="Q110" s="428"/>
      <c r="R110" s="414"/>
      <c r="S110" s="415"/>
      <c r="T110" s="210"/>
      <c r="U110" s="415"/>
      <c r="V110" s="210"/>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row>
    <row r="111">
      <c r="A111" s="415"/>
      <c r="B111" s="210"/>
      <c r="C111" s="415"/>
      <c r="D111" s="210"/>
      <c r="E111" s="415"/>
      <c r="F111" s="210"/>
      <c r="G111" s="415"/>
      <c r="H111" s="210"/>
      <c r="I111" s="415"/>
      <c r="J111" s="210"/>
      <c r="K111" s="415"/>
      <c r="L111" s="210"/>
      <c r="M111" s="415"/>
      <c r="N111" s="210"/>
      <c r="O111" s="415"/>
      <c r="P111" s="210"/>
      <c r="Q111" s="428"/>
      <c r="R111" s="414"/>
      <c r="S111" s="415"/>
      <c r="T111" s="210"/>
      <c r="U111" s="415"/>
      <c r="V111" s="210"/>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row>
    <row r="112">
      <c r="A112" s="415"/>
      <c r="B112" s="210"/>
      <c r="C112" s="415"/>
      <c r="D112" s="210"/>
      <c r="E112" s="415"/>
      <c r="F112" s="210"/>
      <c r="G112" s="415"/>
      <c r="H112" s="210"/>
      <c r="I112" s="415"/>
      <c r="J112" s="210"/>
      <c r="K112" s="415"/>
      <c r="L112" s="210"/>
      <c r="M112" s="415"/>
      <c r="N112" s="210"/>
      <c r="O112" s="415"/>
      <c r="P112" s="210"/>
      <c r="Q112" s="428"/>
      <c r="R112" s="414"/>
      <c r="S112" s="415"/>
      <c r="T112" s="210"/>
      <c r="U112" s="415"/>
      <c r="V112" s="210"/>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row>
    <row r="113">
      <c r="A113" s="415"/>
      <c r="B113" s="210"/>
      <c r="C113" s="415"/>
      <c r="D113" s="210"/>
      <c r="E113" s="415"/>
      <c r="F113" s="210"/>
      <c r="G113" s="415"/>
      <c r="H113" s="210"/>
      <c r="I113" s="415"/>
      <c r="J113" s="210"/>
      <c r="K113" s="415"/>
      <c r="L113" s="210"/>
      <c r="M113" s="415"/>
      <c r="N113" s="210"/>
      <c r="O113" s="415"/>
      <c r="P113" s="210"/>
      <c r="Q113" s="428"/>
      <c r="R113" s="414"/>
      <c r="S113" s="415"/>
      <c r="T113" s="210"/>
      <c r="U113" s="415"/>
      <c r="V113" s="210"/>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row>
    <row r="114">
      <c r="A114" s="415"/>
      <c r="B114" s="210"/>
      <c r="C114" s="415"/>
      <c r="D114" s="210"/>
      <c r="E114" s="415"/>
      <c r="F114" s="210"/>
      <c r="G114" s="415"/>
      <c r="H114" s="210"/>
      <c r="I114" s="415"/>
      <c r="J114" s="210"/>
      <c r="K114" s="415"/>
      <c r="L114" s="210"/>
      <c r="M114" s="415"/>
      <c r="N114" s="210"/>
      <c r="O114" s="415"/>
      <c r="P114" s="210"/>
      <c r="Q114" s="428"/>
      <c r="R114" s="414"/>
      <c r="S114" s="415"/>
      <c r="T114" s="210"/>
      <c r="U114" s="415"/>
      <c r="V114" s="210"/>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row>
    <row r="115">
      <c r="A115" s="415"/>
      <c r="B115" s="210"/>
      <c r="C115" s="415"/>
      <c r="D115" s="210"/>
      <c r="E115" s="415"/>
      <c r="F115" s="210"/>
      <c r="G115" s="415"/>
      <c r="H115" s="210"/>
      <c r="I115" s="415"/>
      <c r="J115" s="210"/>
      <c r="K115" s="415"/>
      <c r="L115" s="210"/>
      <c r="M115" s="415"/>
      <c r="N115" s="210"/>
      <c r="O115" s="415"/>
      <c r="P115" s="210"/>
      <c r="Q115" s="428"/>
      <c r="R115" s="414"/>
      <c r="S115" s="415"/>
      <c r="T115" s="210"/>
      <c r="U115" s="415"/>
      <c r="V115" s="210"/>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row>
    <row r="116">
      <c r="A116" s="415"/>
      <c r="B116" s="210"/>
      <c r="C116" s="415"/>
      <c r="D116" s="210"/>
      <c r="E116" s="415"/>
      <c r="F116" s="210"/>
      <c r="G116" s="415"/>
      <c r="H116" s="210"/>
      <c r="I116" s="415"/>
      <c r="J116" s="210"/>
      <c r="K116" s="415"/>
      <c r="L116" s="210"/>
      <c r="M116" s="415"/>
      <c r="N116" s="210"/>
      <c r="O116" s="415"/>
      <c r="P116" s="210"/>
      <c r="Q116" s="428"/>
      <c r="R116" s="414"/>
      <c r="S116" s="415"/>
      <c r="T116" s="210"/>
      <c r="U116" s="415"/>
      <c r="V116" s="210"/>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row>
    <row r="117">
      <c r="A117" s="415"/>
      <c r="B117" s="210"/>
      <c r="C117" s="415"/>
      <c r="D117" s="210"/>
      <c r="E117" s="415"/>
      <c r="F117" s="210"/>
      <c r="G117" s="415"/>
      <c r="H117" s="210"/>
      <c r="I117" s="415"/>
      <c r="J117" s="210"/>
      <c r="K117" s="415"/>
      <c r="L117" s="210"/>
      <c r="M117" s="415"/>
      <c r="N117" s="210"/>
      <c r="O117" s="415"/>
      <c r="P117" s="210"/>
      <c r="Q117" s="428"/>
      <c r="R117" s="414"/>
      <c r="S117" s="415"/>
      <c r="T117" s="210"/>
      <c r="U117" s="415"/>
      <c r="V117" s="210"/>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row>
    <row r="118">
      <c r="A118" s="415"/>
      <c r="B118" s="210"/>
      <c r="C118" s="415"/>
      <c r="D118" s="210"/>
      <c r="E118" s="415"/>
      <c r="F118" s="210"/>
      <c r="G118" s="415"/>
      <c r="H118" s="210"/>
      <c r="I118" s="415"/>
      <c r="J118" s="210"/>
      <c r="K118" s="415"/>
      <c r="L118" s="210"/>
      <c r="M118" s="415"/>
      <c r="N118" s="210"/>
      <c r="O118" s="415"/>
      <c r="P118" s="210"/>
      <c r="Q118" s="428"/>
      <c r="R118" s="414"/>
      <c r="S118" s="415"/>
      <c r="T118" s="210"/>
      <c r="U118" s="415"/>
      <c r="V118" s="210"/>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row>
    <row r="119">
      <c r="A119" s="415"/>
      <c r="B119" s="210"/>
      <c r="C119" s="415"/>
      <c r="D119" s="210"/>
      <c r="E119" s="415"/>
      <c r="F119" s="210"/>
      <c r="G119" s="415"/>
      <c r="H119" s="210"/>
      <c r="I119" s="415"/>
      <c r="J119" s="210"/>
      <c r="K119" s="415"/>
      <c r="L119" s="210"/>
      <c r="M119" s="415"/>
      <c r="N119" s="210"/>
      <c r="O119" s="415"/>
      <c r="P119" s="210"/>
      <c r="Q119" s="428"/>
      <c r="R119" s="414"/>
      <c r="S119" s="415"/>
      <c r="T119" s="210"/>
      <c r="U119" s="415"/>
      <c r="V119" s="210"/>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row>
    <row r="120">
      <c r="A120" s="415"/>
      <c r="B120" s="210"/>
      <c r="C120" s="415"/>
      <c r="D120" s="210"/>
      <c r="E120" s="415"/>
      <c r="F120" s="210"/>
      <c r="G120" s="415"/>
      <c r="H120" s="210"/>
      <c r="I120" s="415"/>
      <c r="J120" s="210"/>
      <c r="K120" s="415"/>
      <c r="L120" s="210"/>
      <c r="M120" s="415"/>
      <c r="N120" s="210"/>
      <c r="O120" s="415"/>
      <c r="P120" s="210"/>
      <c r="Q120" s="428"/>
      <c r="R120" s="414"/>
      <c r="S120" s="415"/>
      <c r="T120" s="210"/>
      <c r="U120" s="415"/>
      <c r="V120" s="210"/>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row>
    <row r="121">
      <c r="A121" s="415"/>
      <c r="B121" s="210"/>
      <c r="C121" s="415"/>
      <c r="D121" s="210"/>
      <c r="E121" s="415"/>
      <c r="F121" s="210"/>
      <c r="G121" s="415"/>
      <c r="H121" s="210"/>
      <c r="I121" s="415"/>
      <c r="J121" s="210"/>
      <c r="K121" s="415"/>
      <c r="L121" s="210"/>
      <c r="M121" s="415"/>
      <c r="N121" s="210"/>
      <c r="O121" s="415"/>
      <c r="P121" s="210"/>
      <c r="Q121" s="428"/>
      <c r="R121" s="414"/>
      <c r="S121" s="415"/>
      <c r="T121" s="210"/>
      <c r="U121" s="415"/>
      <c r="V121" s="210"/>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row>
    <row r="122">
      <c r="A122" s="415"/>
      <c r="B122" s="210"/>
      <c r="C122" s="415"/>
      <c r="D122" s="210"/>
      <c r="E122" s="415"/>
      <c r="F122" s="210"/>
      <c r="G122" s="415"/>
      <c r="H122" s="210"/>
      <c r="I122" s="415"/>
      <c r="J122" s="210"/>
      <c r="K122" s="415"/>
      <c r="L122" s="210"/>
      <c r="M122" s="415"/>
      <c r="N122" s="210"/>
      <c r="O122" s="415"/>
      <c r="P122" s="210"/>
      <c r="Q122" s="428"/>
      <c r="R122" s="414"/>
      <c r="S122" s="415"/>
      <c r="T122" s="210"/>
      <c r="U122" s="415"/>
      <c r="V122" s="210"/>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row>
    <row r="123">
      <c r="A123" s="415"/>
      <c r="B123" s="210"/>
      <c r="C123" s="415"/>
      <c r="D123" s="210"/>
      <c r="E123" s="415"/>
      <c r="F123" s="210"/>
      <c r="G123" s="415"/>
      <c r="H123" s="210"/>
      <c r="I123" s="415"/>
      <c r="J123" s="210"/>
      <c r="K123" s="415"/>
      <c r="L123" s="210"/>
      <c r="M123" s="415"/>
      <c r="N123" s="210"/>
      <c r="O123" s="415"/>
      <c r="P123" s="210"/>
      <c r="Q123" s="428"/>
      <c r="R123" s="414"/>
      <c r="S123" s="415"/>
      <c r="T123" s="210"/>
      <c r="U123" s="415"/>
      <c r="V123" s="210"/>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row>
    <row r="124">
      <c r="A124" s="415"/>
      <c r="B124" s="210"/>
      <c r="C124" s="415"/>
      <c r="D124" s="210"/>
      <c r="E124" s="415"/>
      <c r="F124" s="210"/>
      <c r="G124" s="415"/>
      <c r="H124" s="210"/>
      <c r="I124" s="415"/>
      <c r="J124" s="210"/>
      <c r="K124" s="415"/>
      <c r="L124" s="210"/>
      <c r="M124" s="415"/>
      <c r="N124" s="210"/>
      <c r="O124" s="415"/>
      <c r="P124" s="210"/>
      <c r="Q124" s="428"/>
      <c r="R124" s="414"/>
      <c r="S124" s="415"/>
      <c r="T124" s="210"/>
      <c r="U124" s="415"/>
      <c r="V124" s="210"/>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row>
    <row r="125">
      <c r="A125" s="415"/>
      <c r="B125" s="210"/>
      <c r="C125" s="415"/>
      <c r="D125" s="210"/>
      <c r="E125" s="415"/>
      <c r="F125" s="210"/>
      <c r="G125" s="415"/>
      <c r="H125" s="210"/>
      <c r="I125" s="415"/>
      <c r="J125" s="210"/>
      <c r="K125" s="415"/>
      <c r="L125" s="210"/>
      <c r="M125" s="415"/>
      <c r="N125" s="210"/>
      <c r="O125" s="415"/>
      <c r="P125" s="210"/>
      <c r="Q125" s="428"/>
      <c r="R125" s="414"/>
      <c r="S125" s="415"/>
      <c r="T125" s="210"/>
      <c r="U125" s="415"/>
      <c r="V125" s="210"/>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row>
    <row r="126">
      <c r="A126" s="415"/>
      <c r="B126" s="210"/>
      <c r="C126" s="415"/>
      <c r="D126" s="210"/>
      <c r="E126" s="415"/>
      <c r="F126" s="210"/>
      <c r="G126" s="415"/>
      <c r="H126" s="210"/>
      <c r="I126" s="415"/>
      <c r="J126" s="210"/>
      <c r="K126" s="415"/>
      <c r="L126" s="210"/>
      <c r="M126" s="415"/>
      <c r="N126" s="210"/>
      <c r="O126" s="415"/>
      <c r="P126" s="210"/>
      <c r="Q126" s="428"/>
      <c r="R126" s="414"/>
      <c r="S126" s="415"/>
      <c r="T126" s="210"/>
      <c r="U126" s="415"/>
      <c r="V126" s="210"/>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row>
    <row r="127">
      <c r="A127" s="415"/>
      <c r="B127" s="210"/>
      <c r="C127" s="415"/>
      <c r="D127" s="210"/>
      <c r="E127" s="415"/>
      <c r="F127" s="210"/>
      <c r="G127" s="415"/>
      <c r="H127" s="210"/>
      <c r="I127" s="415"/>
      <c r="J127" s="210"/>
      <c r="K127" s="415"/>
      <c r="L127" s="210"/>
      <c r="M127" s="415"/>
      <c r="N127" s="210"/>
      <c r="O127" s="415"/>
      <c r="P127" s="210"/>
      <c r="Q127" s="428"/>
      <c r="R127" s="414"/>
      <c r="S127" s="415"/>
      <c r="T127" s="210"/>
      <c r="U127" s="415"/>
      <c r="V127" s="210"/>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row>
    <row r="128">
      <c r="A128" s="415"/>
      <c r="B128" s="210"/>
      <c r="C128" s="415"/>
      <c r="D128" s="210"/>
      <c r="E128" s="415"/>
      <c r="F128" s="210"/>
      <c r="G128" s="415"/>
      <c r="H128" s="210"/>
      <c r="I128" s="415"/>
      <c r="J128" s="210"/>
      <c r="K128" s="415"/>
      <c r="L128" s="210"/>
      <c r="M128" s="415"/>
      <c r="N128" s="210"/>
      <c r="O128" s="415"/>
      <c r="P128" s="210"/>
      <c r="Q128" s="428"/>
      <c r="R128" s="414"/>
      <c r="S128" s="415"/>
      <c r="T128" s="210"/>
      <c r="U128" s="415"/>
      <c r="V128" s="210"/>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row>
    <row r="129">
      <c r="A129" s="415"/>
      <c r="B129" s="210"/>
      <c r="C129" s="415"/>
      <c r="D129" s="210"/>
      <c r="E129" s="415"/>
      <c r="F129" s="210"/>
      <c r="G129" s="415"/>
      <c r="H129" s="210"/>
      <c r="I129" s="415"/>
      <c r="J129" s="210"/>
      <c r="K129" s="415"/>
      <c r="L129" s="210"/>
      <c r="M129" s="415"/>
      <c r="N129" s="210"/>
      <c r="O129" s="415"/>
      <c r="P129" s="210"/>
      <c r="Q129" s="428"/>
      <c r="R129" s="414"/>
      <c r="S129" s="415"/>
      <c r="T129" s="210"/>
      <c r="U129" s="415"/>
      <c r="V129" s="210"/>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row>
    <row r="130">
      <c r="A130" s="415"/>
      <c r="B130" s="210"/>
      <c r="C130" s="415"/>
      <c r="D130" s="210"/>
      <c r="E130" s="415"/>
      <c r="F130" s="210"/>
      <c r="G130" s="415"/>
      <c r="H130" s="210"/>
      <c r="I130" s="415"/>
      <c r="J130" s="210"/>
      <c r="K130" s="415"/>
      <c r="L130" s="210"/>
      <c r="M130" s="415"/>
      <c r="N130" s="210"/>
      <c r="O130" s="415"/>
      <c r="P130" s="210"/>
      <c r="Q130" s="428"/>
      <c r="R130" s="414"/>
      <c r="S130" s="415"/>
      <c r="T130" s="210"/>
      <c r="U130" s="415"/>
      <c r="V130" s="210"/>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row>
    <row r="131">
      <c r="A131" s="415"/>
      <c r="B131" s="210"/>
      <c r="C131" s="415"/>
      <c r="D131" s="210"/>
      <c r="E131" s="415"/>
      <c r="F131" s="210"/>
      <c r="G131" s="415"/>
      <c r="H131" s="210"/>
      <c r="I131" s="415"/>
      <c r="J131" s="210"/>
      <c r="K131" s="415"/>
      <c r="L131" s="210"/>
      <c r="M131" s="415"/>
      <c r="N131" s="210"/>
      <c r="O131" s="415"/>
      <c r="P131" s="210"/>
      <c r="Q131" s="438"/>
      <c r="R131" s="34"/>
      <c r="S131" s="415"/>
      <c r="T131" s="210"/>
      <c r="U131" s="415"/>
      <c r="V131" s="210"/>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row>
    <row r="132">
      <c r="A132" s="415"/>
      <c r="B132" s="210"/>
      <c r="C132" s="415"/>
      <c r="D132" s="210"/>
      <c r="E132" s="415"/>
      <c r="F132" s="210"/>
      <c r="G132" s="415"/>
      <c r="H132" s="210"/>
      <c r="I132" s="415"/>
      <c r="J132" s="210"/>
      <c r="K132" s="415"/>
      <c r="L132" s="210"/>
      <c r="M132" s="415"/>
      <c r="N132" s="210"/>
      <c r="O132" s="415"/>
      <c r="P132" s="210"/>
      <c r="Q132" s="438"/>
      <c r="R132" s="34"/>
      <c r="S132" s="415"/>
      <c r="T132" s="210"/>
      <c r="U132" s="415"/>
      <c r="V132" s="210"/>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row>
    <row r="133">
      <c r="A133" s="415"/>
      <c r="B133" s="210"/>
      <c r="C133" s="415"/>
      <c r="D133" s="210"/>
      <c r="E133" s="415"/>
      <c r="F133" s="210"/>
      <c r="G133" s="415"/>
      <c r="H133" s="210"/>
      <c r="I133" s="415"/>
      <c r="J133" s="210"/>
      <c r="K133" s="415"/>
      <c r="L133" s="210"/>
      <c r="M133" s="415"/>
      <c r="N133" s="210"/>
      <c r="O133" s="415"/>
      <c r="P133" s="210"/>
      <c r="Q133" s="438"/>
      <c r="R133" s="34"/>
      <c r="S133" s="415"/>
      <c r="T133" s="210"/>
      <c r="U133" s="415"/>
      <c r="V133" s="210"/>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row>
    <row r="134">
      <c r="A134" s="415"/>
      <c r="B134" s="210"/>
      <c r="C134" s="415"/>
      <c r="D134" s="210"/>
      <c r="E134" s="415"/>
      <c r="F134" s="210"/>
      <c r="G134" s="415"/>
      <c r="H134" s="210"/>
      <c r="I134" s="415"/>
      <c r="J134" s="210"/>
      <c r="K134" s="415"/>
      <c r="L134" s="210"/>
      <c r="M134" s="415"/>
      <c r="N134" s="210"/>
      <c r="O134" s="415"/>
      <c r="P134" s="210"/>
      <c r="Q134" s="438"/>
      <c r="R134" s="34"/>
      <c r="S134" s="415"/>
      <c r="T134" s="210"/>
      <c r="U134" s="415"/>
      <c r="V134" s="210"/>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row>
    <row r="135">
      <c r="A135" s="415"/>
      <c r="B135" s="210"/>
      <c r="C135" s="415"/>
      <c r="D135" s="210"/>
      <c r="E135" s="415"/>
      <c r="F135" s="210"/>
      <c r="G135" s="415"/>
      <c r="H135" s="210"/>
      <c r="I135" s="415"/>
      <c r="J135" s="210"/>
      <c r="K135" s="415"/>
      <c r="L135" s="210"/>
      <c r="M135" s="415"/>
      <c r="N135" s="210"/>
      <c r="O135" s="415"/>
      <c r="P135" s="210"/>
      <c r="Q135" s="438"/>
      <c r="R135" s="34"/>
      <c r="S135" s="415"/>
      <c r="T135" s="210"/>
      <c r="U135" s="415"/>
      <c r="V135" s="210"/>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row>
    <row r="136">
      <c r="A136" s="415"/>
      <c r="B136" s="210"/>
      <c r="C136" s="415"/>
      <c r="D136" s="210"/>
      <c r="E136" s="415"/>
      <c r="F136" s="210"/>
      <c r="G136" s="415"/>
      <c r="H136" s="210"/>
      <c r="I136" s="415"/>
      <c r="J136" s="210"/>
      <c r="K136" s="415"/>
      <c r="L136" s="210"/>
      <c r="M136" s="415"/>
      <c r="N136" s="210"/>
      <c r="O136" s="415"/>
      <c r="P136" s="210"/>
      <c r="Q136" s="438"/>
      <c r="R136" s="34"/>
      <c r="S136" s="415"/>
      <c r="T136" s="210"/>
      <c r="U136" s="415"/>
      <c r="V136" s="210"/>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row>
    <row r="137">
      <c r="A137" s="415"/>
      <c r="B137" s="210"/>
      <c r="C137" s="415"/>
      <c r="D137" s="210"/>
      <c r="E137" s="415"/>
      <c r="F137" s="210"/>
      <c r="G137" s="415"/>
      <c r="H137" s="210"/>
      <c r="I137" s="415"/>
      <c r="J137" s="210"/>
      <c r="K137" s="415"/>
      <c r="L137" s="210"/>
      <c r="M137" s="415"/>
      <c r="N137" s="210"/>
      <c r="O137" s="415"/>
      <c r="P137" s="210"/>
      <c r="Q137" s="438"/>
      <c r="R137" s="34"/>
      <c r="S137" s="415"/>
      <c r="T137" s="210"/>
      <c r="U137" s="415"/>
      <c r="V137" s="210"/>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row>
    <row r="138">
      <c r="A138" s="415"/>
      <c r="B138" s="210"/>
      <c r="C138" s="415"/>
      <c r="D138" s="210"/>
      <c r="E138" s="415"/>
      <c r="F138" s="210"/>
      <c r="G138" s="415"/>
      <c r="H138" s="210"/>
      <c r="I138" s="415"/>
      <c r="J138" s="210"/>
      <c r="K138" s="415"/>
      <c r="L138" s="210"/>
      <c r="M138" s="415"/>
      <c r="N138" s="210"/>
      <c r="O138" s="415"/>
      <c r="P138" s="210"/>
      <c r="Q138" s="438"/>
      <c r="R138" s="34"/>
      <c r="S138" s="415"/>
      <c r="T138" s="210"/>
      <c r="U138" s="415"/>
      <c r="V138" s="210"/>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row>
    <row r="139">
      <c r="A139" s="415"/>
      <c r="B139" s="210"/>
      <c r="C139" s="415"/>
      <c r="D139" s="210"/>
      <c r="E139" s="415"/>
      <c r="F139" s="210"/>
      <c r="G139" s="415"/>
      <c r="H139" s="210"/>
      <c r="I139" s="415"/>
      <c r="J139" s="210"/>
      <c r="K139" s="415"/>
      <c r="L139" s="210"/>
      <c r="M139" s="415"/>
      <c r="N139" s="210"/>
      <c r="O139" s="415"/>
      <c r="P139" s="210"/>
      <c r="Q139" s="438"/>
      <c r="R139" s="34"/>
      <c r="S139" s="415"/>
      <c r="T139" s="210"/>
      <c r="U139" s="415"/>
      <c r="V139" s="210"/>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row>
    <row r="140">
      <c r="A140" s="415"/>
      <c r="B140" s="210"/>
      <c r="C140" s="415"/>
      <c r="D140" s="210"/>
      <c r="E140" s="415"/>
      <c r="F140" s="210"/>
      <c r="G140" s="415"/>
      <c r="H140" s="210"/>
      <c r="I140" s="415"/>
      <c r="J140" s="210"/>
      <c r="K140" s="415"/>
      <c r="L140" s="210"/>
      <c r="M140" s="415"/>
      <c r="N140" s="210"/>
      <c r="O140" s="415"/>
      <c r="P140" s="210"/>
      <c r="Q140" s="438"/>
      <c r="R140" s="34"/>
      <c r="S140" s="415"/>
      <c r="T140" s="210"/>
      <c r="U140" s="415"/>
      <c r="V140" s="210"/>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row>
    <row r="141">
      <c r="A141" s="415"/>
      <c r="B141" s="210"/>
      <c r="C141" s="415"/>
      <c r="D141" s="210"/>
      <c r="E141" s="415"/>
      <c r="F141" s="210"/>
      <c r="G141" s="415"/>
      <c r="H141" s="210"/>
      <c r="I141" s="415"/>
      <c r="J141" s="210"/>
      <c r="K141" s="415"/>
      <c r="L141" s="210"/>
      <c r="M141" s="415"/>
      <c r="N141" s="210"/>
      <c r="O141" s="415"/>
      <c r="P141" s="210"/>
      <c r="Q141" s="438"/>
      <c r="R141" s="34"/>
      <c r="S141" s="415"/>
      <c r="T141" s="210"/>
      <c r="U141" s="415"/>
      <c r="V141" s="210"/>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row>
    <row r="142">
      <c r="A142" s="415"/>
      <c r="B142" s="210"/>
      <c r="C142" s="415"/>
      <c r="D142" s="210"/>
      <c r="E142" s="415"/>
      <c r="F142" s="210"/>
      <c r="G142" s="415"/>
      <c r="H142" s="210"/>
      <c r="I142" s="415"/>
      <c r="J142" s="210"/>
      <c r="K142" s="415"/>
      <c r="L142" s="210"/>
      <c r="M142" s="415"/>
      <c r="N142" s="210"/>
      <c r="O142" s="415"/>
      <c r="P142" s="210"/>
      <c r="Q142" s="438"/>
      <c r="R142" s="34"/>
      <c r="S142" s="415"/>
      <c r="T142" s="210"/>
      <c r="U142" s="415"/>
      <c r="V142" s="210"/>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row>
    <row r="143">
      <c r="A143" s="415"/>
      <c r="B143" s="210"/>
      <c r="C143" s="415"/>
      <c r="D143" s="210"/>
      <c r="E143" s="415"/>
      <c r="F143" s="210"/>
      <c r="G143" s="415"/>
      <c r="H143" s="210"/>
      <c r="I143" s="415"/>
      <c r="J143" s="210"/>
      <c r="K143" s="415"/>
      <c r="L143" s="210"/>
      <c r="M143" s="415"/>
      <c r="N143" s="210"/>
      <c r="O143" s="415"/>
      <c r="P143" s="210"/>
      <c r="Q143" s="438"/>
      <c r="R143" s="34"/>
      <c r="S143" s="415"/>
      <c r="T143" s="210"/>
      <c r="U143" s="415"/>
      <c r="V143" s="210"/>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row>
    <row r="144">
      <c r="A144" s="415"/>
      <c r="B144" s="210"/>
      <c r="C144" s="415"/>
      <c r="D144" s="210"/>
      <c r="E144" s="415"/>
      <c r="F144" s="210"/>
      <c r="G144" s="415"/>
      <c r="H144" s="210"/>
      <c r="I144" s="415"/>
      <c r="J144" s="210"/>
      <c r="K144" s="415"/>
      <c r="L144" s="210"/>
      <c r="M144" s="415"/>
      <c r="N144" s="210"/>
      <c r="O144" s="415"/>
      <c r="P144" s="210"/>
      <c r="Q144" s="438"/>
      <c r="R144" s="34"/>
      <c r="S144" s="415"/>
      <c r="T144" s="210"/>
      <c r="U144" s="415"/>
      <c r="V144" s="210"/>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row>
    <row r="145">
      <c r="A145" s="415"/>
      <c r="B145" s="210"/>
      <c r="C145" s="415"/>
      <c r="D145" s="210"/>
      <c r="E145" s="415"/>
      <c r="F145" s="210"/>
      <c r="G145" s="415"/>
      <c r="H145" s="210"/>
      <c r="I145" s="415"/>
      <c r="J145" s="210"/>
      <c r="K145" s="415"/>
      <c r="L145" s="210"/>
      <c r="M145" s="415"/>
      <c r="N145" s="210"/>
      <c r="O145" s="415"/>
      <c r="P145" s="210"/>
      <c r="Q145" s="438"/>
      <c r="R145" s="34"/>
      <c r="S145" s="415"/>
      <c r="T145" s="210"/>
      <c r="U145" s="415"/>
      <c r="V145" s="210"/>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row>
    <row r="146">
      <c r="A146" s="415"/>
      <c r="B146" s="210"/>
      <c r="C146" s="415"/>
      <c r="D146" s="210"/>
      <c r="E146" s="415"/>
      <c r="F146" s="210"/>
      <c r="G146" s="415"/>
      <c r="H146" s="210"/>
      <c r="I146" s="415"/>
      <c r="J146" s="210"/>
      <c r="K146" s="415"/>
      <c r="L146" s="210"/>
      <c r="M146" s="415"/>
      <c r="N146" s="210"/>
      <c r="O146" s="415"/>
      <c r="P146" s="210"/>
      <c r="Q146" s="438"/>
      <c r="R146" s="34"/>
      <c r="S146" s="415"/>
      <c r="T146" s="210"/>
      <c r="U146" s="415"/>
      <c r="V146" s="210"/>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row>
    <row r="147">
      <c r="A147" s="415"/>
      <c r="B147" s="210"/>
      <c r="C147" s="415"/>
      <c r="D147" s="210"/>
      <c r="E147" s="415"/>
      <c r="F147" s="210"/>
      <c r="G147" s="415"/>
      <c r="H147" s="210"/>
      <c r="I147" s="415"/>
      <c r="J147" s="210"/>
      <c r="K147" s="415"/>
      <c r="L147" s="210"/>
      <c r="M147" s="415"/>
      <c r="N147" s="210"/>
      <c r="O147" s="415"/>
      <c r="P147" s="210"/>
      <c r="Q147" s="438"/>
      <c r="R147" s="34"/>
      <c r="S147" s="415"/>
      <c r="T147" s="210"/>
      <c r="U147" s="415"/>
      <c r="V147" s="210"/>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row>
    <row r="148">
      <c r="A148" s="415"/>
      <c r="B148" s="210"/>
      <c r="C148" s="415"/>
      <c r="D148" s="210"/>
      <c r="E148" s="415"/>
      <c r="F148" s="210"/>
      <c r="G148" s="415"/>
      <c r="H148" s="210"/>
      <c r="I148" s="415"/>
      <c r="J148" s="210"/>
      <c r="K148" s="415"/>
      <c r="L148" s="210"/>
      <c r="M148" s="415"/>
      <c r="N148" s="210"/>
      <c r="O148" s="415"/>
      <c r="P148" s="210"/>
      <c r="Q148" s="438"/>
      <c r="R148" s="34"/>
      <c r="S148" s="415"/>
      <c r="T148" s="210"/>
      <c r="U148" s="415"/>
      <c r="V148" s="210"/>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row>
    <row r="149">
      <c r="A149" s="415"/>
      <c r="B149" s="210"/>
      <c r="C149" s="415"/>
      <c r="D149" s="210"/>
      <c r="E149" s="415"/>
      <c r="F149" s="210"/>
      <c r="G149" s="415"/>
      <c r="H149" s="210"/>
      <c r="I149" s="415"/>
      <c r="J149" s="210"/>
      <c r="K149" s="415"/>
      <c r="L149" s="210"/>
      <c r="M149" s="415"/>
      <c r="N149" s="210"/>
      <c r="O149" s="415"/>
      <c r="P149" s="210"/>
      <c r="Q149" s="438"/>
      <c r="R149" s="34"/>
      <c r="S149" s="415"/>
      <c r="T149" s="210"/>
      <c r="U149" s="415"/>
      <c r="V149" s="210"/>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row>
    <row r="150">
      <c r="A150" s="415"/>
      <c r="B150" s="210"/>
      <c r="C150" s="415"/>
      <c r="D150" s="210"/>
      <c r="E150" s="415"/>
      <c r="F150" s="210"/>
      <c r="G150" s="415"/>
      <c r="H150" s="210"/>
      <c r="I150" s="415"/>
      <c r="J150" s="210"/>
      <c r="K150" s="415"/>
      <c r="L150" s="210"/>
      <c r="M150" s="415"/>
      <c r="N150" s="210"/>
      <c r="O150" s="415"/>
      <c r="P150" s="210"/>
      <c r="Q150" s="438"/>
      <c r="R150" s="34"/>
      <c r="S150" s="415"/>
      <c r="T150" s="210"/>
      <c r="U150" s="415"/>
      <c r="V150" s="210"/>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row>
    <row r="151">
      <c r="A151" s="415"/>
      <c r="B151" s="210"/>
      <c r="C151" s="415"/>
      <c r="D151" s="210"/>
      <c r="E151" s="415"/>
      <c r="F151" s="210"/>
      <c r="G151" s="415"/>
      <c r="H151" s="210"/>
      <c r="I151" s="415"/>
      <c r="J151" s="210"/>
      <c r="K151" s="415"/>
      <c r="L151" s="210"/>
      <c r="M151" s="415"/>
      <c r="N151" s="210"/>
      <c r="O151" s="415"/>
      <c r="P151" s="210"/>
      <c r="Q151" s="438"/>
      <c r="R151" s="34"/>
      <c r="S151" s="415"/>
      <c r="T151" s="210"/>
      <c r="U151" s="415"/>
      <c r="V151" s="210"/>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row>
    <row r="152">
      <c r="A152" s="415"/>
      <c r="B152" s="210"/>
      <c r="C152" s="415"/>
      <c r="D152" s="210"/>
      <c r="E152" s="415"/>
      <c r="F152" s="210"/>
      <c r="G152" s="415"/>
      <c r="H152" s="210"/>
      <c r="I152" s="415"/>
      <c r="J152" s="210"/>
      <c r="K152" s="415"/>
      <c r="L152" s="210"/>
      <c r="M152" s="415"/>
      <c r="N152" s="210"/>
      <c r="O152" s="415"/>
      <c r="P152" s="210"/>
      <c r="Q152" s="438"/>
      <c r="R152" s="34"/>
      <c r="S152" s="415"/>
      <c r="T152" s="210"/>
      <c r="U152" s="415"/>
      <c r="V152" s="210"/>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row>
    <row r="153">
      <c r="A153" s="415"/>
      <c r="B153" s="210"/>
      <c r="C153" s="415"/>
      <c r="D153" s="210"/>
      <c r="E153" s="415"/>
      <c r="F153" s="210"/>
      <c r="G153" s="415"/>
      <c r="H153" s="210"/>
      <c r="I153" s="415"/>
      <c r="J153" s="210"/>
      <c r="K153" s="415"/>
      <c r="L153" s="210"/>
      <c r="M153" s="415"/>
      <c r="N153" s="210"/>
      <c r="O153" s="415"/>
      <c r="P153" s="210"/>
      <c r="Q153" s="438"/>
      <c r="R153" s="34"/>
      <c r="S153" s="415"/>
      <c r="T153" s="210"/>
      <c r="U153" s="415"/>
      <c r="V153" s="210"/>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row>
    <row r="154">
      <c r="A154" s="415"/>
      <c r="B154" s="210"/>
      <c r="C154" s="415"/>
      <c r="D154" s="210"/>
      <c r="E154" s="415"/>
      <c r="F154" s="210"/>
      <c r="G154" s="415"/>
      <c r="H154" s="210"/>
      <c r="I154" s="415"/>
      <c r="J154" s="210"/>
      <c r="K154" s="415"/>
      <c r="L154" s="210"/>
      <c r="M154" s="415"/>
      <c r="N154" s="210"/>
      <c r="O154" s="415"/>
      <c r="P154" s="210"/>
      <c r="Q154" s="438"/>
      <c r="R154" s="34"/>
      <c r="S154" s="415"/>
      <c r="T154" s="210"/>
      <c r="U154" s="415"/>
      <c r="V154" s="210"/>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row>
    <row r="155">
      <c r="A155" s="415"/>
      <c r="B155" s="210"/>
      <c r="C155" s="415"/>
      <c r="D155" s="210"/>
      <c r="E155" s="415"/>
      <c r="F155" s="210"/>
      <c r="G155" s="415"/>
      <c r="H155" s="210"/>
      <c r="I155" s="415"/>
      <c r="J155" s="210"/>
      <c r="K155" s="415"/>
      <c r="L155" s="210"/>
      <c r="M155" s="415"/>
      <c r="N155" s="210"/>
      <c r="O155" s="415"/>
      <c r="P155" s="210"/>
      <c r="Q155" s="438"/>
      <c r="R155" s="34"/>
      <c r="S155" s="415"/>
      <c r="T155" s="210"/>
      <c r="U155" s="415"/>
      <c r="V155" s="210"/>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row>
    <row r="156">
      <c r="A156" s="415"/>
      <c r="B156" s="210"/>
      <c r="C156" s="415"/>
      <c r="D156" s="210"/>
      <c r="E156" s="415"/>
      <c r="F156" s="210"/>
      <c r="G156" s="415"/>
      <c r="H156" s="210"/>
      <c r="I156" s="415"/>
      <c r="J156" s="210"/>
      <c r="K156" s="415"/>
      <c r="L156" s="210"/>
      <c r="M156" s="415"/>
      <c r="N156" s="210"/>
      <c r="O156" s="415"/>
      <c r="P156" s="210"/>
      <c r="Q156" s="438"/>
      <c r="R156" s="34"/>
      <c r="S156" s="415"/>
      <c r="T156" s="210"/>
      <c r="U156" s="415"/>
      <c r="V156" s="210"/>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row>
    <row r="157">
      <c r="A157" s="415"/>
      <c r="B157" s="210"/>
      <c r="C157" s="415"/>
      <c r="D157" s="210"/>
      <c r="E157" s="415"/>
      <c r="F157" s="210"/>
      <c r="G157" s="415"/>
      <c r="H157" s="210"/>
      <c r="I157" s="415"/>
      <c r="J157" s="210"/>
      <c r="K157" s="415"/>
      <c r="L157" s="210"/>
      <c r="M157" s="415"/>
      <c r="N157" s="210"/>
      <c r="O157" s="415"/>
      <c r="P157" s="210"/>
      <c r="Q157" s="438"/>
      <c r="R157" s="34"/>
      <c r="S157" s="415"/>
      <c r="T157" s="210"/>
      <c r="U157" s="415"/>
      <c r="V157" s="210"/>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row>
    <row r="158">
      <c r="A158" s="415"/>
      <c r="B158" s="210"/>
      <c r="C158" s="415"/>
      <c r="D158" s="210"/>
      <c r="E158" s="415"/>
      <c r="F158" s="210"/>
      <c r="G158" s="415"/>
      <c r="H158" s="210"/>
      <c r="I158" s="415"/>
      <c r="J158" s="210"/>
      <c r="K158" s="415"/>
      <c r="L158" s="210"/>
      <c r="M158" s="415"/>
      <c r="N158" s="210"/>
      <c r="O158" s="415"/>
      <c r="P158" s="210"/>
      <c r="Q158" s="438"/>
      <c r="R158" s="34"/>
      <c r="S158" s="415"/>
      <c r="T158" s="210"/>
      <c r="U158" s="415"/>
      <c r="V158" s="210"/>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row>
    <row r="159">
      <c r="A159" s="415"/>
      <c r="B159" s="210"/>
      <c r="C159" s="415"/>
      <c r="D159" s="210"/>
      <c r="E159" s="415"/>
      <c r="F159" s="210"/>
      <c r="G159" s="415"/>
      <c r="H159" s="210"/>
      <c r="I159" s="415"/>
      <c r="J159" s="210"/>
      <c r="K159" s="415"/>
      <c r="L159" s="210"/>
      <c r="M159" s="415"/>
      <c r="N159" s="210"/>
      <c r="O159" s="415"/>
      <c r="P159" s="210"/>
      <c r="Q159" s="438"/>
      <c r="R159" s="34"/>
      <c r="S159" s="415"/>
      <c r="T159" s="210"/>
      <c r="U159" s="415"/>
      <c r="V159" s="210"/>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row>
    <row r="160">
      <c r="A160" s="415"/>
      <c r="B160" s="210"/>
      <c r="C160" s="415"/>
      <c r="D160" s="210"/>
      <c r="E160" s="415"/>
      <c r="F160" s="210"/>
      <c r="G160" s="415"/>
      <c r="H160" s="210"/>
      <c r="I160" s="415"/>
      <c r="J160" s="210"/>
      <c r="K160" s="415"/>
      <c r="L160" s="210"/>
      <c r="M160" s="415"/>
      <c r="N160" s="210"/>
      <c r="O160" s="415"/>
      <c r="P160" s="210"/>
      <c r="Q160" s="438"/>
      <c r="R160" s="34"/>
      <c r="S160" s="415"/>
      <c r="T160" s="210"/>
      <c r="U160" s="415"/>
      <c r="V160" s="210"/>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row>
    <row r="161">
      <c r="A161" s="415"/>
      <c r="B161" s="210"/>
      <c r="C161" s="415"/>
      <c r="D161" s="210"/>
      <c r="E161" s="415"/>
      <c r="F161" s="210"/>
      <c r="G161" s="415"/>
      <c r="H161" s="210"/>
      <c r="I161" s="415"/>
      <c r="J161" s="210"/>
      <c r="K161" s="415"/>
      <c r="L161" s="210"/>
      <c r="M161" s="415"/>
      <c r="N161" s="210"/>
      <c r="O161" s="415"/>
      <c r="P161" s="210"/>
      <c r="Q161" s="438"/>
      <c r="R161" s="34"/>
      <c r="S161" s="415"/>
      <c r="T161" s="210"/>
      <c r="U161" s="415"/>
      <c r="V161" s="210"/>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row>
    <row r="162">
      <c r="A162" s="415"/>
      <c r="B162" s="210"/>
      <c r="C162" s="415"/>
      <c r="D162" s="210"/>
      <c r="E162" s="415"/>
      <c r="F162" s="210"/>
      <c r="G162" s="415"/>
      <c r="H162" s="210"/>
      <c r="I162" s="415"/>
      <c r="J162" s="210"/>
      <c r="K162" s="415"/>
      <c r="L162" s="210"/>
      <c r="M162" s="415"/>
      <c r="N162" s="210"/>
      <c r="O162" s="415"/>
      <c r="P162" s="210"/>
      <c r="Q162" s="438"/>
      <c r="R162" s="34"/>
      <c r="S162" s="415"/>
      <c r="T162" s="210"/>
      <c r="U162" s="415"/>
      <c r="V162" s="210"/>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row>
    <row r="163">
      <c r="A163" s="415"/>
      <c r="B163" s="210"/>
      <c r="C163" s="415"/>
      <c r="D163" s="210"/>
      <c r="E163" s="415"/>
      <c r="F163" s="210"/>
      <c r="G163" s="415"/>
      <c r="H163" s="210"/>
      <c r="I163" s="415"/>
      <c r="J163" s="210"/>
      <c r="K163" s="415"/>
      <c r="L163" s="210"/>
      <c r="M163" s="415"/>
      <c r="N163" s="210"/>
      <c r="O163" s="415"/>
      <c r="P163" s="210"/>
      <c r="Q163" s="438"/>
      <c r="R163" s="34"/>
      <c r="S163" s="415"/>
      <c r="T163" s="210"/>
      <c r="U163" s="415"/>
      <c r="V163" s="210"/>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row>
    <row r="164">
      <c r="A164" s="415"/>
      <c r="B164" s="210"/>
      <c r="C164" s="415"/>
      <c r="D164" s="210"/>
      <c r="E164" s="415"/>
      <c r="F164" s="210"/>
      <c r="G164" s="415"/>
      <c r="H164" s="210"/>
      <c r="I164" s="415"/>
      <c r="J164" s="210"/>
      <c r="K164" s="415"/>
      <c r="L164" s="210"/>
      <c r="M164" s="415"/>
      <c r="N164" s="210"/>
      <c r="O164" s="415"/>
      <c r="P164" s="210"/>
      <c r="Q164" s="438"/>
      <c r="R164" s="34"/>
      <c r="S164" s="415"/>
      <c r="T164" s="210"/>
      <c r="U164" s="415"/>
      <c r="V164" s="210"/>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row>
    <row r="165">
      <c r="A165" s="415"/>
      <c r="B165" s="210"/>
      <c r="C165" s="415"/>
      <c r="D165" s="210"/>
      <c r="E165" s="415"/>
      <c r="F165" s="210"/>
      <c r="G165" s="415"/>
      <c r="H165" s="210"/>
      <c r="I165" s="415"/>
      <c r="J165" s="210"/>
      <c r="K165" s="415"/>
      <c r="L165" s="210"/>
      <c r="M165" s="415"/>
      <c r="N165" s="210"/>
      <c r="O165" s="415"/>
      <c r="P165" s="210"/>
      <c r="Q165" s="438"/>
      <c r="R165" s="34"/>
      <c r="S165" s="415"/>
      <c r="T165" s="210"/>
      <c r="U165" s="415"/>
      <c r="V165" s="210"/>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row>
    <row r="166">
      <c r="A166" s="415"/>
      <c r="B166" s="210"/>
      <c r="C166" s="415"/>
      <c r="D166" s="210"/>
      <c r="E166" s="415"/>
      <c r="F166" s="210"/>
      <c r="G166" s="415"/>
      <c r="H166" s="210"/>
      <c r="I166" s="415"/>
      <c r="J166" s="210"/>
      <c r="K166" s="415"/>
      <c r="L166" s="210"/>
      <c r="M166" s="415"/>
      <c r="N166" s="210"/>
      <c r="O166" s="415"/>
      <c r="P166" s="210"/>
      <c r="Q166" s="438"/>
      <c r="R166" s="34"/>
      <c r="S166" s="415"/>
      <c r="T166" s="210"/>
      <c r="U166" s="415"/>
      <c r="V166" s="210"/>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row>
    <row r="167">
      <c r="A167" s="415"/>
      <c r="B167" s="210"/>
      <c r="C167" s="415"/>
      <c r="D167" s="210"/>
      <c r="E167" s="415"/>
      <c r="F167" s="210"/>
      <c r="G167" s="415"/>
      <c r="H167" s="210"/>
      <c r="I167" s="415"/>
      <c r="J167" s="210"/>
      <c r="K167" s="415"/>
      <c r="L167" s="210"/>
      <c r="M167" s="415"/>
      <c r="N167" s="210"/>
      <c r="O167" s="415"/>
      <c r="P167" s="210"/>
      <c r="Q167" s="438"/>
      <c r="R167" s="34"/>
      <c r="S167" s="415"/>
      <c r="T167" s="210"/>
      <c r="U167" s="415"/>
      <c r="V167" s="210"/>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row>
    <row r="168">
      <c r="A168" s="415"/>
      <c r="B168" s="210"/>
      <c r="C168" s="415"/>
      <c r="D168" s="210"/>
      <c r="E168" s="415"/>
      <c r="F168" s="210"/>
      <c r="G168" s="415"/>
      <c r="H168" s="210"/>
      <c r="I168" s="415"/>
      <c r="J168" s="210"/>
      <c r="K168" s="415"/>
      <c r="L168" s="210"/>
      <c r="M168" s="415"/>
      <c r="N168" s="210"/>
      <c r="O168" s="415"/>
      <c r="P168" s="210"/>
      <c r="Q168" s="438"/>
      <c r="R168" s="34"/>
      <c r="S168" s="415"/>
      <c r="T168" s="210"/>
      <c r="U168" s="415"/>
      <c r="V168" s="210"/>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row>
    <row r="169">
      <c r="A169" s="415"/>
      <c r="B169" s="210"/>
      <c r="C169" s="415"/>
      <c r="D169" s="210"/>
      <c r="E169" s="415"/>
      <c r="F169" s="210"/>
      <c r="G169" s="415"/>
      <c r="H169" s="210"/>
      <c r="I169" s="415"/>
      <c r="J169" s="210"/>
      <c r="K169" s="415"/>
      <c r="L169" s="210"/>
      <c r="M169" s="415"/>
      <c r="N169" s="210"/>
      <c r="O169" s="415"/>
      <c r="P169" s="210"/>
      <c r="Q169" s="438"/>
      <c r="R169" s="34"/>
      <c r="S169" s="415"/>
      <c r="T169" s="210"/>
      <c r="U169" s="415"/>
      <c r="V169" s="210"/>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row>
    <row r="170">
      <c r="A170" s="415"/>
      <c r="B170" s="210"/>
      <c r="C170" s="415"/>
      <c r="D170" s="210"/>
      <c r="E170" s="415"/>
      <c r="F170" s="210"/>
      <c r="G170" s="415"/>
      <c r="H170" s="210"/>
      <c r="I170" s="415"/>
      <c r="J170" s="210"/>
      <c r="K170" s="415"/>
      <c r="L170" s="210"/>
      <c r="M170" s="415"/>
      <c r="N170" s="210"/>
      <c r="O170" s="415"/>
      <c r="P170" s="210"/>
      <c r="Q170" s="438"/>
      <c r="R170" s="34"/>
      <c r="S170" s="415"/>
      <c r="T170" s="210"/>
      <c r="U170" s="415"/>
      <c r="V170" s="210"/>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row>
    <row r="171">
      <c r="A171" s="415"/>
      <c r="B171" s="210"/>
      <c r="C171" s="415"/>
      <c r="D171" s="210"/>
      <c r="E171" s="415"/>
      <c r="F171" s="210"/>
      <c r="G171" s="415"/>
      <c r="H171" s="210"/>
      <c r="I171" s="415"/>
      <c r="J171" s="210"/>
      <c r="K171" s="415"/>
      <c r="L171" s="210"/>
      <c r="M171" s="415"/>
      <c r="N171" s="210"/>
      <c r="O171" s="415"/>
      <c r="P171" s="210"/>
      <c r="Q171" s="438"/>
      <c r="R171" s="34"/>
      <c r="S171" s="415"/>
      <c r="T171" s="210"/>
      <c r="U171" s="415"/>
      <c r="V171" s="210"/>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row>
    <row r="172">
      <c r="A172" s="415"/>
      <c r="B172" s="210"/>
      <c r="C172" s="415"/>
      <c r="D172" s="210"/>
      <c r="E172" s="415"/>
      <c r="F172" s="210"/>
      <c r="G172" s="415"/>
      <c r="H172" s="210"/>
      <c r="I172" s="415"/>
      <c r="J172" s="210"/>
      <c r="K172" s="415"/>
      <c r="L172" s="210"/>
      <c r="M172" s="415"/>
      <c r="N172" s="210"/>
      <c r="O172" s="415"/>
      <c r="P172" s="210"/>
      <c r="Q172" s="438"/>
      <c r="R172" s="34"/>
      <c r="S172" s="415"/>
      <c r="T172" s="210"/>
      <c r="U172" s="415"/>
      <c r="V172" s="210"/>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row>
    <row r="173">
      <c r="A173" s="415"/>
      <c r="B173" s="210"/>
      <c r="C173" s="415"/>
      <c r="D173" s="210"/>
      <c r="E173" s="415"/>
      <c r="F173" s="210"/>
      <c r="G173" s="415"/>
      <c r="H173" s="210"/>
      <c r="I173" s="415"/>
      <c r="J173" s="210"/>
      <c r="K173" s="415"/>
      <c r="L173" s="210"/>
      <c r="M173" s="415"/>
      <c r="N173" s="210"/>
      <c r="O173" s="415"/>
      <c r="P173" s="210"/>
      <c r="Q173" s="438"/>
      <c r="R173" s="34"/>
      <c r="S173" s="415"/>
      <c r="T173" s="210"/>
      <c r="U173" s="415"/>
      <c r="V173" s="210"/>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row>
    <row r="174">
      <c r="A174" s="415"/>
      <c r="B174" s="210"/>
      <c r="C174" s="415"/>
      <c r="D174" s="210"/>
      <c r="E174" s="415"/>
      <c r="F174" s="210"/>
      <c r="G174" s="415"/>
      <c r="H174" s="210"/>
      <c r="I174" s="415"/>
      <c r="J174" s="210"/>
      <c r="K174" s="415"/>
      <c r="L174" s="210"/>
      <c r="M174" s="415"/>
      <c r="N174" s="210"/>
      <c r="O174" s="415"/>
      <c r="P174" s="210"/>
      <c r="Q174" s="438"/>
      <c r="R174" s="34"/>
      <c r="S174" s="415"/>
      <c r="T174" s="210"/>
      <c r="U174" s="415"/>
      <c r="V174" s="210"/>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row>
    <row r="175">
      <c r="A175" s="415"/>
      <c r="B175" s="210"/>
      <c r="C175" s="415"/>
      <c r="D175" s="210"/>
      <c r="E175" s="415"/>
      <c r="F175" s="210"/>
      <c r="G175" s="415"/>
      <c r="H175" s="210"/>
      <c r="I175" s="415"/>
      <c r="J175" s="210"/>
      <c r="K175" s="415"/>
      <c r="L175" s="210"/>
      <c r="M175" s="415"/>
      <c r="N175" s="210"/>
      <c r="O175" s="415"/>
      <c r="P175" s="210"/>
      <c r="Q175" s="438"/>
      <c r="R175" s="34"/>
      <c r="S175" s="415"/>
      <c r="T175" s="210"/>
      <c r="U175" s="415"/>
      <c r="V175" s="210"/>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row>
    <row r="176">
      <c r="A176" s="415"/>
      <c r="B176" s="210"/>
      <c r="C176" s="415"/>
      <c r="D176" s="210"/>
      <c r="E176" s="415"/>
      <c r="F176" s="210"/>
      <c r="G176" s="415"/>
      <c r="H176" s="210"/>
      <c r="I176" s="415"/>
      <c r="J176" s="210"/>
      <c r="K176" s="415"/>
      <c r="L176" s="210"/>
      <c r="M176" s="415"/>
      <c r="N176" s="210"/>
      <c r="O176" s="415"/>
      <c r="P176" s="210"/>
      <c r="Q176" s="438"/>
      <c r="R176" s="34"/>
      <c r="S176" s="415"/>
      <c r="T176" s="210"/>
      <c r="U176" s="415"/>
      <c r="V176" s="210"/>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row>
    <row r="177">
      <c r="A177" s="415"/>
      <c r="B177" s="210"/>
      <c r="C177" s="415"/>
      <c r="D177" s="210"/>
      <c r="E177" s="415"/>
      <c r="F177" s="210"/>
      <c r="G177" s="415"/>
      <c r="H177" s="210"/>
      <c r="I177" s="415"/>
      <c r="J177" s="210"/>
      <c r="K177" s="415"/>
      <c r="L177" s="210"/>
      <c r="M177" s="415"/>
      <c r="N177" s="210"/>
      <c r="O177" s="415"/>
      <c r="P177" s="210"/>
      <c r="Q177" s="438"/>
      <c r="R177" s="34"/>
      <c r="S177" s="415"/>
      <c r="T177" s="210"/>
      <c r="U177" s="415"/>
      <c r="V177" s="210"/>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row>
    <row r="178">
      <c r="A178" s="415"/>
      <c r="B178" s="210"/>
      <c r="C178" s="415"/>
      <c r="D178" s="210"/>
      <c r="E178" s="415"/>
      <c r="F178" s="210"/>
      <c r="G178" s="415"/>
      <c r="H178" s="210"/>
      <c r="I178" s="415"/>
      <c r="J178" s="210"/>
      <c r="K178" s="415"/>
      <c r="L178" s="210"/>
      <c r="M178" s="415"/>
      <c r="N178" s="210"/>
      <c r="O178" s="415"/>
      <c r="P178" s="210"/>
      <c r="Q178" s="438"/>
      <c r="R178" s="34"/>
      <c r="S178" s="415"/>
      <c r="T178" s="210"/>
      <c r="U178" s="415"/>
      <c r="V178" s="210"/>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row>
    <row r="179">
      <c r="A179" s="415"/>
      <c r="B179" s="210"/>
      <c r="C179" s="415"/>
      <c r="D179" s="210"/>
      <c r="E179" s="415"/>
      <c r="F179" s="210"/>
      <c r="G179" s="415"/>
      <c r="H179" s="210"/>
      <c r="I179" s="415"/>
      <c r="J179" s="210"/>
      <c r="K179" s="415"/>
      <c r="L179" s="210"/>
      <c r="M179" s="415"/>
      <c r="N179" s="210"/>
      <c r="O179" s="415"/>
      <c r="P179" s="210"/>
      <c r="Q179" s="438"/>
      <c r="R179" s="34"/>
      <c r="S179" s="415"/>
      <c r="T179" s="210"/>
      <c r="U179" s="415"/>
      <c r="V179" s="210"/>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row>
    <row r="180">
      <c r="A180" s="415"/>
      <c r="B180" s="210"/>
      <c r="C180" s="415"/>
      <c r="D180" s="210"/>
      <c r="E180" s="415"/>
      <c r="F180" s="210"/>
      <c r="G180" s="415"/>
      <c r="H180" s="210"/>
      <c r="I180" s="415"/>
      <c r="J180" s="210"/>
      <c r="K180" s="415"/>
      <c r="L180" s="210"/>
      <c r="M180" s="415"/>
      <c r="N180" s="210"/>
      <c r="O180" s="415"/>
      <c r="P180" s="210"/>
      <c r="Q180" s="438"/>
      <c r="R180" s="34"/>
      <c r="S180" s="415"/>
      <c r="T180" s="210"/>
      <c r="U180" s="415"/>
      <c r="V180" s="210"/>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row>
    <row r="181">
      <c r="A181" s="415"/>
      <c r="B181" s="210"/>
      <c r="C181" s="415"/>
      <c r="D181" s="210"/>
      <c r="E181" s="415"/>
      <c r="F181" s="210"/>
      <c r="G181" s="415"/>
      <c r="H181" s="210"/>
      <c r="I181" s="415"/>
      <c r="J181" s="210"/>
      <c r="K181" s="415"/>
      <c r="L181" s="210"/>
      <c r="M181" s="415"/>
      <c r="N181" s="210"/>
      <c r="O181" s="415"/>
      <c r="P181" s="210"/>
      <c r="Q181" s="438"/>
      <c r="R181" s="34"/>
      <c r="S181" s="415"/>
      <c r="T181" s="210"/>
      <c r="U181" s="415"/>
      <c r="V181" s="210"/>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row>
    <row r="182">
      <c r="A182" s="415"/>
      <c r="B182" s="210"/>
      <c r="C182" s="415"/>
      <c r="D182" s="210"/>
      <c r="E182" s="415"/>
      <c r="F182" s="210"/>
      <c r="G182" s="415"/>
      <c r="H182" s="210"/>
      <c r="I182" s="415"/>
      <c r="J182" s="210"/>
      <c r="K182" s="415"/>
      <c r="L182" s="210"/>
      <c r="M182" s="415"/>
      <c r="N182" s="210"/>
      <c r="O182" s="415"/>
      <c r="P182" s="210"/>
      <c r="Q182" s="438"/>
      <c r="R182" s="34"/>
      <c r="S182" s="415"/>
      <c r="T182" s="210"/>
      <c r="U182" s="415"/>
      <c r="V182" s="210"/>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row>
    <row r="183">
      <c r="A183" s="415"/>
      <c r="B183" s="210"/>
      <c r="C183" s="415"/>
      <c r="D183" s="210"/>
      <c r="E183" s="415"/>
      <c r="F183" s="210"/>
      <c r="G183" s="415"/>
      <c r="H183" s="210"/>
      <c r="I183" s="415"/>
      <c r="J183" s="210"/>
      <c r="K183" s="415"/>
      <c r="L183" s="210"/>
      <c r="M183" s="415"/>
      <c r="N183" s="210"/>
      <c r="O183" s="415"/>
      <c r="P183" s="210"/>
      <c r="Q183" s="438"/>
      <c r="R183" s="34"/>
      <c r="S183" s="415"/>
      <c r="T183" s="210"/>
      <c r="U183" s="415"/>
      <c r="V183" s="210"/>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row>
    <row r="184">
      <c r="A184" s="415"/>
      <c r="B184" s="210"/>
      <c r="C184" s="415"/>
      <c r="D184" s="210"/>
      <c r="E184" s="415"/>
      <c r="F184" s="210"/>
      <c r="G184" s="415"/>
      <c r="H184" s="210"/>
      <c r="I184" s="415"/>
      <c r="J184" s="210"/>
      <c r="K184" s="415"/>
      <c r="L184" s="210"/>
      <c r="M184" s="415"/>
      <c r="N184" s="210"/>
      <c r="O184" s="415"/>
      <c r="P184" s="210"/>
      <c r="Q184" s="438"/>
      <c r="R184" s="34"/>
      <c r="S184" s="415"/>
      <c r="T184" s="210"/>
      <c r="U184" s="415"/>
      <c r="V184" s="210"/>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row>
    <row r="185">
      <c r="A185" s="415"/>
      <c r="B185" s="210"/>
      <c r="C185" s="415"/>
      <c r="D185" s="210"/>
      <c r="E185" s="415"/>
      <c r="F185" s="210"/>
      <c r="G185" s="415"/>
      <c r="H185" s="210"/>
      <c r="I185" s="415"/>
      <c r="J185" s="210"/>
      <c r="K185" s="415"/>
      <c r="L185" s="210"/>
      <c r="M185" s="415"/>
      <c r="N185" s="210"/>
      <c r="O185" s="415"/>
      <c r="P185" s="210"/>
      <c r="Q185" s="438"/>
      <c r="R185" s="34"/>
      <c r="S185" s="415"/>
      <c r="T185" s="210"/>
      <c r="U185" s="415"/>
      <c r="V185" s="210"/>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row>
    <row r="186">
      <c r="A186" s="415"/>
      <c r="B186" s="210"/>
      <c r="C186" s="415"/>
      <c r="D186" s="210"/>
      <c r="E186" s="415"/>
      <c r="F186" s="210"/>
      <c r="G186" s="415"/>
      <c r="H186" s="210"/>
      <c r="I186" s="415"/>
      <c r="J186" s="210"/>
      <c r="K186" s="415"/>
      <c r="L186" s="210"/>
      <c r="M186" s="415"/>
      <c r="N186" s="210"/>
      <c r="O186" s="415"/>
      <c r="P186" s="210"/>
      <c r="Q186" s="438"/>
      <c r="R186" s="34"/>
      <c r="S186" s="415"/>
      <c r="T186" s="210"/>
      <c r="U186" s="415"/>
      <c r="V186" s="210"/>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row>
    <row r="187">
      <c r="A187" s="415"/>
      <c r="B187" s="210"/>
      <c r="C187" s="415"/>
      <c r="D187" s="210"/>
      <c r="E187" s="415"/>
      <c r="F187" s="210"/>
      <c r="G187" s="415"/>
      <c r="H187" s="210"/>
      <c r="I187" s="415"/>
      <c r="J187" s="210"/>
      <c r="K187" s="415"/>
      <c r="L187" s="210"/>
      <c r="M187" s="415"/>
      <c r="N187" s="210"/>
      <c r="O187" s="415"/>
      <c r="P187" s="210"/>
      <c r="Q187" s="438"/>
      <c r="R187" s="34"/>
      <c r="S187" s="415"/>
      <c r="T187" s="210"/>
      <c r="U187" s="415"/>
      <c r="V187" s="210"/>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row>
    <row r="188">
      <c r="A188" s="415"/>
      <c r="B188" s="210"/>
      <c r="C188" s="415"/>
      <c r="D188" s="210"/>
      <c r="E188" s="415"/>
      <c r="F188" s="210"/>
      <c r="G188" s="415"/>
      <c r="H188" s="210"/>
      <c r="I188" s="415"/>
      <c r="J188" s="210"/>
      <c r="K188" s="415"/>
      <c r="L188" s="210"/>
      <c r="M188" s="415"/>
      <c r="N188" s="210"/>
      <c r="O188" s="415"/>
      <c r="P188" s="210"/>
      <c r="Q188" s="438"/>
      <c r="R188" s="34"/>
      <c r="S188" s="415"/>
      <c r="T188" s="210"/>
      <c r="U188" s="415"/>
      <c r="V188" s="210"/>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row>
    <row r="189">
      <c r="A189" s="415"/>
      <c r="B189" s="210"/>
      <c r="C189" s="415"/>
      <c r="D189" s="210"/>
      <c r="E189" s="415"/>
      <c r="F189" s="210"/>
      <c r="G189" s="415"/>
      <c r="H189" s="210"/>
      <c r="I189" s="415"/>
      <c r="J189" s="210"/>
      <c r="K189" s="415"/>
      <c r="L189" s="210"/>
      <c r="M189" s="415"/>
      <c r="N189" s="210"/>
      <c r="O189" s="415"/>
      <c r="P189" s="210"/>
      <c r="Q189" s="438"/>
      <c r="R189" s="34"/>
      <c r="S189" s="415"/>
      <c r="T189" s="210"/>
      <c r="U189" s="415"/>
      <c r="V189" s="210"/>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row>
    <row r="190">
      <c r="A190" s="415"/>
      <c r="B190" s="210"/>
      <c r="C190" s="415"/>
      <c r="D190" s="210"/>
      <c r="E190" s="415"/>
      <c r="F190" s="210"/>
      <c r="G190" s="415"/>
      <c r="H190" s="210"/>
      <c r="I190" s="415"/>
      <c r="J190" s="210"/>
      <c r="K190" s="415"/>
      <c r="L190" s="210"/>
      <c r="M190" s="415"/>
      <c r="N190" s="210"/>
      <c r="O190" s="415"/>
      <c r="P190" s="210"/>
      <c r="Q190" s="438"/>
      <c r="R190" s="34"/>
      <c r="S190" s="415"/>
      <c r="T190" s="210"/>
      <c r="U190" s="415"/>
      <c r="V190" s="210"/>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row>
    <row r="191">
      <c r="A191" s="415"/>
      <c r="B191" s="210"/>
      <c r="C191" s="415"/>
      <c r="D191" s="210"/>
      <c r="E191" s="415"/>
      <c r="F191" s="210"/>
      <c r="G191" s="415"/>
      <c r="H191" s="210"/>
      <c r="I191" s="415"/>
      <c r="J191" s="210"/>
      <c r="K191" s="415"/>
      <c r="L191" s="210"/>
      <c r="M191" s="415"/>
      <c r="N191" s="210"/>
      <c r="O191" s="415"/>
      <c r="P191" s="210"/>
      <c r="Q191" s="438"/>
      <c r="R191" s="34"/>
      <c r="S191" s="415"/>
      <c r="T191" s="210"/>
      <c r="U191" s="415"/>
      <c r="V191" s="210"/>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row>
    <row r="192">
      <c r="A192" s="415"/>
      <c r="B192" s="210"/>
      <c r="C192" s="415"/>
      <c r="D192" s="210"/>
      <c r="E192" s="415"/>
      <c r="F192" s="210"/>
      <c r="G192" s="415"/>
      <c r="H192" s="210"/>
      <c r="I192" s="415"/>
      <c r="J192" s="210"/>
      <c r="K192" s="415"/>
      <c r="L192" s="210"/>
      <c r="M192" s="415"/>
      <c r="N192" s="210"/>
      <c r="O192" s="415"/>
      <c r="P192" s="210"/>
      <c r="Q192" s="438"/>
      <c r="R192" s="34"/>
      <c r="S192" s="415"/>
      <c r="T192" s="210"/>
      <c r="U192" s="415"/>
      <c r="V192" s="210"/>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row>
    <row r="193">
      <c r="A193" s="415"/>
      <c r="B193" s="210"/>
      <c r="C193" s="415"/>
      <c r="D193" s="210"/>
      <c r="E193" s="415"/>
      <c r="F193" s="210"/>
      <c r="G193" s="415"/>
      <c r="H193" s="210"/>
      <c r="I193" s="415"/>
      <c r="J193" s="210"/>
      <c r="K193" s="415"/>
      <c r="L193" s="210"/>
      <c r="M193" s="415"/>
      <c r="N193" s="210"/>
      <c r="O193" s="415"/>
      <c r="P193" s="210"/>
      <c r="Q193" s="438"/>
      <c r="R193" s="34"/>
      <c r="S193" s="415"/>
      <c r="T193" s="210"/>
      <c r="U193" s="415"/>
      <c r="V193" s="210"/>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row>
    <row r="194">
      <c r="A194" s="415"/>
      <c r="B194" s="210"/>
      <c r="C194" s="415"/>
      <c r="D194" s="210"/>
      <c r="E194" s="415"/>
      <c r="F194" s="210"/>
      <c r="G194" s="415"/>
      <c r="H194" s="210"/>
      <c r="I194" s="415"/>
      <c r="J194" s="210"/>
      <c r="K194" s="415"/>
      <c r="L194" s="210"/>
      <c r="M194" s="415"/>
      <c r="N194" s="210"/>
      <c r="O194" s="415"/>
      <c r="P194" s="210"/>
      <c r="Q194" s="438"/>
      <c r="R194" s="34"/>
      <c r="S194" s="415"/>
      <c r="T194" s="210"/>
      <c r="U194" s="415"/>
      <c r="V194" s="210"/>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row>
    <row r="195">
      <c r="A195" s="415"/>
      <c r="B195" s="210"/>
      <c r="C195" s="415"/>
      <c r="D195" s="210"/>
      <c r="E195" s="415"/>
      <c r="F195" s="210"/>
      <c r="G195" s="415"/>
      <c r="H195" s="210"/>
      <c r="I195" s="415"/>
      <c r="J195" s="210"/>
      <c r="K195" s="415"/>
      <c r="L195" s="210"/>
      <c r="M195" s="415"/>
      <c r="N195" s="210"/>
      <c r="O195" s="415"/>
      <c r="P195" s="210"/>
      <c r="Q195" s="438"/>
      <c r="R195" s="34"/>
      <c r="S195" s="415"/>
      <c r="T195" s="210"/>
      <c r="U195" s="415"/>
      <c r="V195" s="210"/>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row>
    <row r="196">
      <c r="A196" s="415"/>
      <c r="B196" s="210"/>
      <c r="C196" s="415"/>
      <c r="D196" s="210"/>
      <c r="E196" s="415"/>
      <c r="F196" s="210"/>
      <c r="G196" s="415"/>
      <c r="H196" s="210"/>
      <c r="I196" s="415"/>
      <c r="J196" s="210"/>
      <c r="K196" s="415"/>
      <c r="L196" s="210"/>
      <c r="M196" s="415"/>
      <c r="N196" s="210"/>
      <c r="O196" s="415"/>
      <c r="P196" s="210"/>
      <c r="Q196" s="438"/>
      <c r="R196" s="34"/>
      <c r="S196" s="415"/>
      <c r="T196" s="210"/>
      <c r="U196" s="415"/>
      <c r="V196" s="210"/>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row>
    <row r="197">
      <c r="A197" s="415"/>
      <c r="B197" s="210"/>
      <c r="C197" s="415"/>
      <c r="D197" s="210"/>
      <c r="E197" s="415"/>
      <c r="F197" s="210"/>
      <c r="G197" s="415"/>
      <c r="H197" s="210"/>
      <c r="I197" s="415"/>
      <c r="J197" s="210"/>
      <c r="K197" s="415"/>
      <c r="L197" s="210"/>
      <c r="M197" s="415"/>
      <c r="N197" s="210"/>
      <c r="O197" s="415"/>
      <c r="P197" s="210"/>
      <c r="Q197" s="438"/>
      <c r="R197" s="34"/>
      <c r="S197" s="415"/>
      <c r="T197" s="210"/>
      <c r="U197" s="415"/>
      <c r="V197" s="210"/>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row>
    <row r="198">
      <c r="A198" s="415"/>
      <c r="B198" s="210"/>
      <c r="C198" s="415"/>
      <c r="D198" s="210"/>
      <c r="E198" s="415"/>
      <c r="F198" s="210"/>
      <c r="G198" s="415"/>
      <c r="H198" s="210"/>
      <c r="I198" s="415"/>
      <c r="J198" s="210"/>
      <c r="K198" s="415"/>
      <c r="L198" s="210"/>
      <c r="M198" s="415"/>
      <c r="N198" s="210"/>
      <c r="O198" s="415"/>
      <c r="P198" s="210"/>
      <c r="Q198" s="438"/>
      <c r="R198" s="34"/>
      <c r="S198" s="415"/>
      <c r="T198" s="210"/>
      <c r="U198" s="415"/>
      <c r="V198" s="210"/>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row>
    <row r="199">
      <c r="A199" s="415"/>
      <c r="B199" s="210"/>
      <c r="C199" s="415"/>
      <c r="D199" s="210"/>
      <c r="E199" s="415"/>
      <c r="F199" s="210"/>
      <c r="G199" s="415"/>
      <c r="H199" s="210"/>
      <c r="I199" s="415"/>
      <c r="J199" s="210"/>
      <c r="K199" s="415"/>
      <c r="L199" s="210"/>
      <c r="M199" s="415"/>
      <c r="N199" s="210"/>
      <c r="O199" s="415"/>
      <c r="P199" s="210"/>
      <c r="Q199" s="438"/>
      <c r="R199" s="34"/>
      <c r="S199" s="415"/>
      <c r="T199" s="210"/>
      <c r="U199" s="415"/>
      <c r="V199" s="210"/>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row>
    <row r="200">
      <c r="A200" s="415"/>
      <c r="B200" s="210"/>
      <c r="C200" s="415"/>
      <c r="D200" s="210"/>
      <c r="E200" s="415"/>
      <c r="F200" s="210"/>
      <c r="G200" s="415"/>
      <c r="H200" s="210"/>
      <c r="I200" s="415"/>
      <c r="J200" s="210"/>
      <c r="K200" s="415"/>
      <c r="L200" s="210"/>
      <c r="M200" s="415"/>
      <c r="N200" s="210"/>
      <c r="O200" s="415"/>
      <c r="P200" s="210"/>
      <c r="Q200" s="438"/>
      <c r="R200" s="34"/>
      <c r="S200" s="415"/>
      <c r="T200" s="210"/>
      <c r="U200" s="415"/>
      <c r="V200" s="210"/>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row>
    <row r="201">
      <c r="A201" s="415"/>
      <c r="B201" s="210"/>
      <c r="C201" s="415"/>
      <c r="D201" s="210"/>
      <c r="E201" s="415"/>
      <c r="F201" s="210"/>
      <c r="G201" s="415"/>
      <c r="H201" s="210"/>
      <c r="I201" s="415"/>
      <c r="J201" s="210"/>
      <c r="K201" s="415"/>
      <c r="L201" s="210"/>
      <c r="M201" s="415"/>
      <c r="N201" s="210"/>
      <c r="O201" s="415"/>
      <c r="P201" s="210"/>
      <c r="Q201" s="438"/>
      <c r="R201" s="34"/>
      <c r="S201" s="415"/>
      <c r="T201" s="210"/>
      <c r="U201" s="415"/>
      <c r="V201" s="210"/>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row>
    <row r="202">
      <c r="A202" s="415"/>
      <c r="B202" s="210"/>
      <c r="C202" s="415"/>
      <c r="D202" s="210"/>
      <c r="E202" s="415"/>
      <c r="F202" s="210"/>
      <c r="G202" s="415"/>
      <c r="H202" s="210"/>
      <c r="I202" s="415"/>
      <c r="J202" s="210"/>
      <c r="K202" s="415"/>
      <c r="L202" s="210"/>
      <c r="M202" s="415"/>
      <c r="N202" s="210"/>
      <c r="O202" s="415"/>
      <c r="P202" s="210"/>
      <c r="Q202" s="438"/>
      <c r="R202" s="34"/>
      <c r="S202" s="415"/>
      <c r="T202" s="210"/>
      <c r="U202" s="415"/>
      <c r="V202" s="210"/>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row>
    <row r="203">
      <c r="A203" s="415"/>
      <c r="B203" s="210"/>
      <c r="C203" s="415"/>
      <c r="D203" s="210"/>
      <c r="E203" s="415"/>
      <c r="F203" s="210"/>
      <c r="G203" s="415"/>
      <c r="H203" s="210"/>
      <c r="I203" s="415"/>
      <c r="J203" s="210"/>
      <c r="K203" s="415"/>
      <c r="L203" s="210"/>
      <c r="M203" s="415"/>
      <c r="N203" s="210"/>
      <c r="O203" s="415"/>
      <c r="P203" s="210"/>
      <c r="Q203" s="438"/>
      <c r="R203" s="34"/>
      <c r="S203" s="415"/>
      <c r="T203" s="210"/>
      <c r="U203" s="415"/>
      <c r="V203" s="210"/>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row>
    <row r="204">
      <c r="A204" s="415"/>
      <c r="B204" s="210"/>
      <c r="C204" s="415"/>
      <c r="D204" s="210"/>
      <c r="E204" s="415"/>
      <c r="F204" s="210"/>
      <c r="G204" s="415"/>
      <c r="H204" s="210"/>
      <c r="I204" s="415"/>
      <c r="J204" s="210"/>
      <c r="K204" s="415"/>
      <c r="L204" s="210"/>
      <c r="M204" s="415"/>
      <c r="N204" s="210"/>
      <c r="O204" s="415"/>
      <c r="P204" s="210"/>
      <c r="Q204" s="438"/>
      <c r="R204" s="34"/>
      <c r="S204" s="415"/>
      <c r="T204" s="210"/>
      <c r="U204" s="415"/>
      <c r="V204" s="210"/>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row>
    <row r="205">
      <c r="A205" s="415"/>
      <c r="B205" s="210"/>
      <c r="C205" s="415"/>
      <c r="D205" s="210"/>
      <c r="E205" s="415"/>
      <c r="F205" s="210"/>
      <c r="G205" s="415"/>
      <c r="H205" s="210"/>
      <c r="I205" s="415"/>
      <c r="J205" s="210"/>
      <c r="K205" s="415"/>
      <c r="L205" s="210"/>
      <c r="M205" s="415"/>
      <c r="N205" s="210"/>
      <c r="O205" s="415"/>
      <c r="P205" s="210"/>
      <c r="Q205" s="438"/>
      <c r="R205" s="34"/>
      <c r="S205" s="415"/>
      <c r="T205" s="210"/>
      <c r="U205" s="415"/>
      <c r="V205" s="210"/>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row>
    <row r="206">
      <c r="A206" s="415"/>
      <c r="B206" s="210"/>
      <c r="C206" s="415"/>
      <c r="D206" s="210"/>
      <c r="E206" s="415"/>
      <c r="F206" s="210"/>
      <c r="G206" s="415"/>
      <c r="H206" s="210"/>
      <c r="I206" s="415"/>
      <c r="J206" s="210"/>
      <c r="K206" s="415"/>
      <c r="L206" s="210"/>
      <c r="M206" s="415"/>
      <c r="N206" s="210"/>
      <c r="O206" s="415"/>
      <c r="P206" s="210"/>
      <c r="Q206" s="438"/>
      <c r="R206" s="34"/>
      <c r="S206" s="415"/>
      <c r="T206" s="210"/>
      <c r="U206" s="415"/>
      <c r="V206" s="210"/>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row>
    <row r="207">
      <c r="A207" s="415"/>
      <c r="B207" s="210"/>
      <c r="C207" s="415"/>
      <c r="D207" s="210"/>
      <c r="E207" s="415"/>
      <c r="F207" s="210"/>
      <c r="G207" s="415"/>
      <c r="H207" s="210"/>
      <c r="I207" s="415"/>
      <c r="J207" s="210"/>
      <c r="K207" s="415"/>
      <c r="L207" s="210"/>
      <c r="M207" s="415"/>
      <c r="N207" s="210"/>
      <c r="O207" s="415"/>
      <c r="P207" s="210"/>
      <c r="Q207" s="438"/>
      <c r="R207" s="34"/>
      <c r="S207" s="415"/>
      <c r="T207" s="210"/>
      <c r="U207" s="415"/>
      <c r="V207" s="210"/>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row>
    <row r="208">
      <c r="A208" s="415"/>
      <c r="B208" s="210"/>
      <c r="C208" s="415"/>
      <c r="D208" s="210"/>
      <c r="E208" s="415"/>
      <c r="F208" s="210"/>
      <c r="G208" s="415"/>
      <c r="H208" s="210"/>
      <c r="I208" s="415"/>
      <c r="J208" s="210"/>
      <c r="K208" s="415"/>
      <c r="L208" s="210"/>
      <c r="M208" s="415"/>
      <c r="N208" s="210"/>
      <c r="O208" s="415"/>
      <c r="P208" s="210"/>
      <c r="Q208" s="438"/>
      <c r="R208" s="34"/>
      <c r="S208" s="415"/>
      <c r="T208" s="210"/>
      <c r="U208" s="415"/>
      <c r="V208" s="210"/>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row>
    <row r="209">
      <c r="A209" s="415"/>
      <c r="B209" s="210"/>
      <c r="C209" s="415"/>
      <c r="D209" s="210"/>
      <c r="E209" s="415"/>
      <c r="F209" s="210"/>
      <c r="G209" s="415"/>
      <c r="H209" s="210"/>
      <c r="I209" s="415"/>
      <c r="J209" s="210"/>
      <c r="K209" s="415"/>
      <c r="L209" s="210"/>
      <c r="M209" s="415"/>
      <c r="N209" s="210"/>
      <c r="O209" s="415"/>
      <c r="P209" s="210"/>
      <c r="Q209" s="438"/>
      <c r="R209" s="34"/>
      <c r="S209" s="415"/>
      <c r="T209" s="210"/>
      <c r="U209" s="415"/>
      <c r="V209" s="210"/>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row>
    <row r="210">
      <c r="A210" s="415"/>
      <c r="B210" s="210"/>
      <c r="C210" s="415"/>
      <c r="D210" s="210"/>
      <c r="E210" s="415"/>
      <c r="F210" s="210"/>
      <c r="G210" s="415"/>
      <c r="H210" s="210"/>
      <c r="I210" s="415"/>
      <c r="J210" s="210"/>
      <c r="K210" s="415"/>
      <c r="L210" s="210"/>
      <c r="M210" s="415"/>
      <c r="N210" s="210"/>
      <c r="O210" s="415"/>
      <c r="P210" s="210"/>
      <c r="Q210" s="438"/>
      <c r="R210" s="34"/>
      <c r="S210" s="415"/>
      <c r="T210" s="210"/>
      <c r="U210" s="415"/>
      <c r="V210" s="210"/>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row>
    <row r="211">
      <c r="A211" s="415"/>
      <c r="B211" s="210"/>
      <c r="C211" s="415"/>
      <c r="D211" s="210"/>
      <c r="E211" s="415"/>
      <c r="F211" s="210"/>
      <c r="G211" s="415"/>
      <c r="H211" s="210"/>
      <c r="I211" s="415"/>
      <c r="J211" s="210"/>
      <c r="K211" s="415"/>
      <c r="L211" s="210"/>
      <c r="M211" s="415"/>
      <c r="N211" s="210"/>
      <c r="O211" s="415"/>
      <c r="P211" s="210"/>
      <c r="Q211" s="438"/>
      <c r="R211" s="34"/>
      <c r="S211" s="415"/>
      <c r="T211" s="210"/>
      <c r="U211" s="415"/>
      <c r="V211" s="210"/>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row>
    <row r="212">
      <c r="A212" s="415"/>
      <c r="B212" s="210"/>
      <c r="C212" s="415"/>
      <c r="D212" s="210"/>
      <c r="E212" s="415"/>
      <c r="F212" s="210"/>
      <c r="G212" s="415"/>
      <c r="H212" s="210"/>
      <c r="I212" s="415"/>
      <c r="J212" s="210"/>
      <c r="K212" s="415"/>
      <c r="L212" s="210"/>
      <c r="M212" s="415"/>
      <c r="N212" s="210"/>
      <c r="O212" s="415"/>
      <c r="P212" s="210"/>
      <c r="Q212" s="438"/>
      <c r="R212" s="34"/>
      <c r="S212" s="415"/>
      <c r="T212" s="210"/>
      <c r="U212" s="415"/>
      <c r="V212" s="210"/>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row>
    <row r="213">
      <c r="A213" s="415"/>
      <c r="B213" s="210"/>
      <c r="C213" s="415"/>
      <c r="D213" s="210"/>
      <c r="E213" s="415"/>
      <c r="F213" s="210"/>
      <c r="G213" s="415"/>
      <c r="H213" s="210"/>
      <c r="I213" s="415"/>
      <c r="J213" s="210"/>
      <c r="K213" s="415"/>
      <c r="L213" s="210"/>
      <c r="M213" s="415"/>
      <c r="N213" s="210"/>
      <c r="O213" s="415"/>
      <c r="P213" s="210"/>
      <c r="Q213" s="438"/>
      <c r="R213" s="34"/>
      <c r="S213" s="415"/>
      <c r="T213" s="210"/>
      <c r="U213" s="415"/>
      <c r="V213" s="210"/>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row>
    <row r="214">
      <c r="A214" s="415"/>
      <c r="B214" s="210"/>
      <c r="C214" s="415"/>
      <c r="D214" s="210"/>
      <c r="E214" s="415"/>
      <c r="F214" s="210"/>
      <c r="G214" s="415"/>
      <c r="H214" s="210"/>
      <c r="I214" s="415"/>
      <c r="J214" s="210"/>
      <c r="K214" s="415"/>
      <c r="L214" s="210"/>
      <c r="M214" s="415"/>
      <c r="N214" s="210"/>
      <c r="O214" s="415"/>
      <c r="P214" s="210"/>
      <c r="Q214" s="438"/>
      <c r="R214" s="34"/>
      <c r="S214" s="415"/>
      <c r="T214" s="210"/>
      <c r="U214" s="415"/>
      <c r="V214" s="210"/>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row>
    <row r="215">
      <c r="A215" s="415"/>
      <c r="B215" s="210"/>
      <c r="C215" s="415"/>
      <c r="D215" s="210"/>
      <c r="E215" s="415"/>
      <c r="F215" s="210"/>
      <c r="G215" s="415"/>
      <c r="H215" s="210"/>
      <c r="I215" s="415"/>
      <c r="J215" s="210"/>
      <c r="K215" s="415"/>
      <c r="L215" s="210"/>
      <c r="M215" s="415"/>
      <c r="N215" s="210"/>
      <c r="O215" s="415"/>
      <c r="P215" s="210"/>
      <c r="Q215" s="438"/>
      <c r="R215" s="34"/>
      <c r="S215" s="415"/>
      <c r="T215" s="210"/>
      <c r="U215" s="415"/>
      <c r="V215" s="210"/>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row>
    <row r="216">
      <c r="A216" s="415"/>
      <c r="B216" s="210"/>
      <c r="C216" s="415"/>
      <c r="D216" s="210"/>
      <c r="E216" s="415"/>
      <c r="F216" s="210"/>
      <c r="G216" s="415"/>
      <c r="H216" s="210"/>
      <c r="I216" s="415"/>
      <c r="J216" s="210"/>
      <c r="K216" s="415"/>
      <c r="L216" s="210"/>
      <c r="M216" s="415"/>
      <c r="N216" s="210"/>
      <c r="O216" s="415"/>
      <c r="P216" s="210"/>
      <c r="Q216" s="438"/>
      <c r="R216" s="34"/>
      <c r="S216" s="415"/>
      <c r="T216" s="210"/>
      <c r="U216" s="415"/>
      <c r="V216" s="210"/>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row>
    <row r="217">
      <c r="A217" s="415"/>
      <c r="B217" s="210"/>
      <c r="C217" s="415"/>
      <c r="D217" s="210"/>
      <c r="E217" s="415"/>
      <c r="F217" s="210"/>
      <c r="G217" s="415"/>
      <c r="H217" s="210"/>
      <c r="I217" s="415"/>
      <c r="J217" s="210"/>
      <c r="K217" s="415"/>
      <c r="L217" s="210"/>
      <c r="M217" s="415"/>
      <c r="N217" s="210"/>
      <c r="O217" s="415"/>
      <c r="P217" s="210"/>
      <c r="Q217" s="438"/>
      <c r="R217" s="34"/>
      <c r="S217" s="415"/>
      <c r="T217" s="210"/>
      <c r="U217" s="415"/>
      <c r="V217" s="210"/>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row>
    <row r="218">
      <c r="A218" s="415"/>
      <c r="B218" s="210"/>
      <c r="C218" s="415"/>
      <c r="D218" s="210"/>
      <c r="E218" s="415"/>
      <c r="F218" s="210"/>
      <c r="G218" s="415"/>
      <c r="H218" s="210"/>
      <c r="I218" s="415"/>
      <c r="J218" s="210"/>
      <c r="K218" s="415"/>
      <c r="L218" s="210"/>
      <c r="M218" s="415"/>
      <c r="N218" s="210"/>
      <c r="O218" s="415"/>
      <c r="P218" s="210"/>
      <c r="Q218" s="438"/>
      <c r="R218" s="34"/>
      <c r="S218" s="415"/>
      <c r="T218" s="210"/>
      <c r="U218" s="415"/>
      <c r="V218" s="210"/>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row>
    <row r="219">
      <c r="A219" s="415"/>
      <c r="B219" s="210"/>
      <c r="C219" s="415"/>
      <c r="D219" s="210"/>
      <c r="E219" s="415"/>
      <c r="F219" s="210"/>
      <c r="G219" s="415"/>
      <c r="H219" s="210"/>
      <c r="I219" s="415"/>
      <c r="J219" s="210"/>
      <c r="K219" s="415"/>
      <c r="L219" s="210"/>
      <c r="M219" s="415"/>
      <c r="N219" s="210"/>
      <c r="O219" s="415"/>
      <c r="P219" s="210"/>
      <c r="Q219" s="438"/>
      <c r="R219" s="34"/>
      <c r="S219" s="415"/>
      <c r="T219" s="210"/>
      <c r="U219" s="415"/>
      <c r="V219" s="210"/>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row>
    <row r="220">
      <c r="A220" s="415"/>
      <c r="B220" s="210"/>
      <c r="C220" s="415"/>
      <c r="D220" s="210"/>
      <c r="E220" s="415"/>
      <c r="F220" s="210"/>
      <c r="G220" s="415"/>
      <c r="H220" s="210"/>
      <c r="I220" s="415"/>
      <c r="J220" s="210"/>
      <c r="K220" s="415"/>
      <c r="L220" s="210"/>
      <c r="M220" s="415"/>
      <c r="N220" s="210"/>
      <c r="O220" s="415"/>
      <c r="P220" s="210"/>
      <c r="Q220" s="438"/>
      <c r="R220" s="34"/>
      <c r="S220" s="415"/>
      <c r="T220" s="210"/>
      <c r="U220" s="415"/>
      <c r="V220" s="210"/>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row>
    <row r="221">
      <c r="A221" s="415"/>
      <c r="B221" s="210"/>
      <c r="C221" s="415"/>
      <c r="D221" s="210"/>
      <c r="E221" s="415"/>
      <c r="F221" s="210"/>
      <c r="G221" s="415"/>
      <c r="H221" s="210"/>
      <c r="I221" s="415"/>
      <c r="J221" s="210"/>
      <c r="K221" s="415"/>
      <c r="L221" s="210"/>
      <c r="M221" s="415"/>
      <c r="N221" s="210"/>
      <c r="O221" s="415"/>
      <c r="P221" s="210"/>
      <c r="Q221" s="438"/>
      <c r="R221" s="34"/>
      <c r="S221" s="415"/>
      <c r="T221" s="210"/>
      <c r="U221" s="415"/>
      <c r="V221" s="210"/>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row>
    <row r="222">
      <c r="A222" s="415"/>
      <c r="B222" s="210"/>
      <c r="C222" s="415"/>
      <c r="D222" s="210"/>
      <c r="E222" s="415"/>
      <c r="F222" s="210"/>
      <c r="G222" s="415"/>
      <c r="H222" s="210"/>
      <c r="I222" s="415"/>
      <c r="J222" s="210"/>
      <c r="K222" s="415"/>
      <c r="L222" s="210"/>
      <c r="M222" s="415"/>
      <c r="N222" s="210"/>
      <c r="O222" s="415"/>
      <c r="P222" s="210"/>
      <c r="Q222" s="438"/>
      <c r="R222" s="34"/>
      <c r="S222" s="415"/>
      <c r="T222" s="210"/>
      <c r="U222" s="415"/>
      <c r="V222" s="210"/>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row>
    <row r="223">
      <c r="A223" s="415"/>
      <c r="B223" s="210"/>
      <c r="C223" s="415"/>
      <c r="D223" s="210"/>
      <c r="E223" s="415"/>
      <c r="F223" s="210"/>
      <c r="G223" s="415"/>
      <c r="H223" s="210"/>
      <c r="I223" s="415"/>
      <c r="J223" s="210"/>
      <c r="K223" s="415"/>
      <c r="L223" s="210"/>
      <c r="M223" s="415"/>
      <c r="N223" s="210"/>
      <c r="O223" s="415"/>
      <c r="P223" s="210"/>
      <c r="Q223" s="438"/>
      <c r="R223" s="34"/>
      <c r="S223" s="415"/>
      <c r="T223" s="210"/>
      <c r="U223" s="415"/>
      <c r="V223" s="210"/>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row>
    <row r="224">
      <c r="A224" s="415"/>
      <c r="B224" s="210"/>
      <c r="C224" s="415"/>
      <c r="D224" s="210"/>
      <c r="E224" s="415"/>
      <c r="F224" s="210"/>
      <c r="G224" s="415"/>
      <c r="H224" s="210"/>
      <c r="I224" s="415"/>
      <c r="J224" s="210"/>
      <c r="K224" s="415"/>
      <c r="L224" s="210"/>
      <c r="M224" s="415"/>
      <c r="N224" s="210"/>
      <c r="O224" s="415"/>
      <c r="P224" s="210"/>
      <c r="Q224" s="438"/>
      <c r="R224" s="34"/>
      <c r="S224" s="415"/>
      <c r="T224" s="210"/>
      <c r="U224" s="415"/>
      <c r="V224" s="210"/>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row>
    <row r="225">
      <c r="A225" s="415"/>
      <c r="B225" s="210"/>
      <c r="C225" s="415"/>
      <c r="D225" s="210"/>
      <c r="E225" s="415"/>
      <c r="F225" s="210"/>
      <c r="G225" s="415"/>
      <c r="H225" s="210"/>
      <c r="I225" s="415"/>
      <c r="J225" s="210"/>
      <c r="K225" s="415"/>
      <c r="L225" s="210"/>
      <c r="M225" s="415"/>
      <c r="N225" s="210"/>
      <c r="O225" s="415"/>
      <c r="P225" s="210"/>
      <c r="Q225" s="438"/>
      <c r="R225" s="34"/>
      <c r="S225" s="415"/>
      <c r="T225" s="210"/>
      <c r="U225" s="415"/>
      <c r="V225" s="210"/>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row>
    <row r="226">
      <c r="A226" s="415"/>
      <c r="B226" s="210"/>
      <c r="C226" s="415"/>
      <c r="D226" s="210"/>
      <c r="E226" s="415"/>
      <c r="F226" s="210"/>
      <c r="G226" s="415"/>
      <c r="H226" s="210"/>
      <c r="I226" s="415"/>
      <c r="J226" s="210"/>
      <c r="K226" s="415"/>
      <c r="L226" s="210"/>
      <c r="M226" s="415"/>
      <c r="N226" s="210"/>
      <c r="O226" s="415"/>
      <c r="P226" s="210"/>
      <c r="Q226" s="438"/>
      <c r="R226" s="34"/>
      <c r="S226" s="415"/>
      <c r="T226" s="210"/>
      <c r="U226" s="415"/>
      <c r="V226" s="210"/>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row>
    <row r="227">
      <c r="A227" s="415"/>
      <c r="B227" s="210"/>
      <c r="C227" s="415"/>
      <c r="D227" s="210"/>
      <c r="E227" s="415"/>
      <c r="F227" s="210"/>
      <c r="G227" s="415"/>
      <c r="H227" s="210"/>
      <c r="I227" s="415"/>
      <c r="J227" s="210"/>
      <c r="K227" s="415"/>
      <c r="L227" s="210"/>
      <c r="M227" s="415"/>
      <c r="N227" s="210"/>
      <c r="O227" s="415"/>
      <c r="P227" s="210"/>
      <c r="Q227" s="438"/>
      <c r="R227" s="34"/>
      <c r="S227" s="415"/>
      <c r="T227" s="210"/>
      <c r="U227" s="415"/>
      <c r="V227" s="210"/>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row>
    <row r="228">
      <c r="A228" s="415"/>
      <c r="B228" s="210"/>
      <c r="C228" s="415"/>
      <c r="D228" s="210"/>
      <c r="E228" s="415"/>
      <c r="F228" s="210"/>
      <c r="G228" s="415"/>
      <c r="H228" s="210"/>
      <c r="I228" s="415"/>
      <c r="J228" s="210"/>
      <c r="K228" s="415"/>
      <c r="L228" s="210"/>
      <c r="M228" s="415"/>
      <c r="N228" s="210"/>
      <c r="O228" s="415"/>
      <c r="P228" s="210"/>
      <c r="Q228" s="438"/>
      <c r="R228" s="34"/>
      <c r="S228" s="415"/>
      <c r="T228" s="210"/>
      <c r="U228" s="415"/>
      <c r="V228" s="210"/>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row>
    <row r="229">
      <c r="A229" s="415"/>
      <c r="B229" s="210"/>
      <c r="C229" s="415"/>
      <c r="D229" s="210"/>
      <c r="E229" s="415"/>
      <c r="F229" s="210"/>
      <c r="G229" s="415"/>
      <c r="H229" s="210"/>
      <c r="I229" s="415"/>
      <c r="J229" s="210"/>
      <c r="K229" s="415"/>
      <c r="L229" s="210"/>
      <c r="M229" s="415"/>
      <c r="N229" s="210"/>
      <c r="O229" s="415"/>
      <c r="P229" s="210"/>
      <c r="Q229" s="438"/>
      <c r="R229" s="34"/>
      <c r="S229" s="415"/>
      <c r="T229" s="210"/>
      <c r="U229" s="415"/>
      <c r="V229" s="210"/>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row>
    <row r="230">
      <c r="A230" s="415"/>
      <c r="B230" s="210"/>
      <c r="C230" s="415"/>
      <c r="D230" s="210"/>
      <c r="E230" s="415"/>
      <c r="F230" s="210"/>
      <c r="G230" s="415"/>
      <c r="H230" s="210"/>
      <c r="I230" s="415"/>
      <c r="J230" s="210"/>
      <c r="K230" s="415"/>
      <c r="L230" s="210"/>
      <c r="M230" s="415"/>
      <c r="N230" s="210"/>
      <c r="O230" s="415"/>
      <c r="P230" s="210"/>
      <c r="Q230" s="438"/>
      <c r="R230" s="34"/>
      <c r="S230" s="415"/>
      <c r="T230" s="210"/>
      <c r="U230" s="415"/>
      <c r="V230" s="210"/>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row>
    <row r="231">
      <c r="A231" s="415"/>
      <c r="B231" s="210"/>
      <c r="C231" s="415"/>
      <c r="D231" s="210"/>
      <c r="E231" s="415"/>
      <c r="F231" s="210"/>
      <c r="G231" s="415"/>
      <c r="H231" s="210"/>
      <c r="I231" s="415"/>
      <c r="J231" s="210"/>
      <c r="K231" s="415"/>
      <c r="L231" s="210"/>
      <c r="M231" s="415"/>
      <c r="N231" s="210"/>
      <c r="O231" s="415"/>
      <c r="P231" s="210"/>
      <c r="Q231" s="438"/>
      <c r="R231" s="34"/>
      <c r="S231" s="415"/>
      <c r="T231" s="210"/>
      <c r="U231" s="415"/>
      <c r="V231" s="210"/>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row>
    <row r="232">
      <c r="A232" s="415"/>
      <c r="B232" s="210"/>
      <c r="C232" s="415"/>
      <c r="D232" s="210"/>
      <c r="E232" s="415"/>
      <c r="F232" s="210"/>
      <c r="G232" s="415"/>
      <c r="H232" s="210"/>
      <c r="I232" s="415"/>
      <c r="J232" s="210"/>
      <c r="K232" s="415"/>
      <c r="L232" s="210"/>
      <c r="M232" s="415"/>
      <c r="N232" s="210"/>
      <c r="O232" s="415"/>
      <c r="P232" s="210"/>
      <c r="Q232" s="438"/>
      <c r="R232" s="34"/>
      <c r="S232" s="415"/>
      <c r="T232" s="210"/>
      <c r="U232" s="415"/>
      <c r="V232" s="210"/>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row>
    <row r="233">
      <c r="A233" s="415"/>
      <c r="B233" s="210"/>
      <c r="C233" s="415"/>
      <c r="D233" s="210"/>
      <c r="E233" s="415"/>
      <c r="F233" s="210"/>
      <c r="G233" s="415"/>
      <c r="H233" s="210"/>
      <c r="I233" s="415"/>
      <c r="J233" s="210"/>
      <c r="K233" s="415"/>
      <c r="L233" s="210"/>
      <c r="M233" s="415"/>
      <c r="N233" s="210"/>
      <c r="O233" s="415"/>
      <c r="P233" s="210"/>
      <c r="Q233" s="438"/>
      <c r="R233" s="34"/>
      <c r="S233" s="415"/>
      <c r="T233" s="210"/>
      <c r="U233" s="415"/>
      <c r="V233" s="210"/>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row>
    <row r="234">
      <c r="A234" s="415"/>
      <c r="B234" s="210"/>
      <c r="C234" s="415"/>
      <c r="D234" s="210"/>
      <c r="E234" s="415"/>
      <c r="F234" s="210"/>
      <c r="G234" s="415"/>
      <c r="H234" s="210"/>
      <c r="I234" s="415"/>
      <c r="J234" s="210"/>
      <c r="K234" s="415"/>
      <c r="L234" s="210"/>
      <c r="M234" s="415"/>
      <c r="N234" s="210"/>
      <c r="O234" s="415"/>
      <c r="P234" s="210"/>
      <c r="Q234" s="438"/>
      <c r="R234" s="34"/>
      <c r="S234" s="415"/>
      <c r="T234" s="210"/>
      <c r="U234" s="415"/>
      <c r="V234" s="210"/>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row>
    <row r="235">
      <c r="A235" s="415"/>
      <c r="B235" s="210"/>
      <c r="C235" s="415"/>
      <c r="D235" s="210"/>
      <c r="E235" s="415"/>
      <c r="F235" s="210"/>
      <c r="G235" s="415"/>
      <c r="H235" s="210"/>
      <c r="I235" s="415"/>
      <c r="J235" s="210"/>
      <c r="K235" s="415"/>
      <c r="L235" s="210"/>
      <c r="M235" s="415"/>
      <c r="N235" s="210"/>
      <c r="O235" s="415"/>
      <c r="P235" s="210"/>
      <c r="Q235" s="438"/>
      <c r="R235" s="34"/>
      <c r="S235" s="415"/>
      <c r="T235" s="210"/>
      <c r="U235" s="415"/>
      <c r="V235" s="210"/>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row>
    <row r="236">
      <c r="A236" s="415"/>
      <c r="B236" s="210"/>
      <c r="C236" s="415"/>
      <c r="D236" s="210"/>
      <c r="E236" s="415"/>
      <c r="F236" s="210"/>
      <c r="G236" s="415"/>
      <c r="H236" s="210"/>
      <c r="I236" s="415"/>
      <c r="J236" s="210"/>
      <c r="K236" s="415"/>
      <c r="L236" s="210"/>
      <c r="M236" s="415"/>
      <c r="N236" s="210"/>
      <c r="O236" s="415"/>
      <c r="P236" s="210"/>
      <c r="Q236" s="438"/>
      <c r="R236" s="34"/>
      <c r="S236" s="415"/>
      <c r="T236" s="210"/>
      <c r="U236" s="415"/>
      <c r="V236" s="210"/>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row>
    <row r="237">
      <c r="A237" s="415"/>
      <c r="B237" s="210"/>
      <c r="C237" s="415"/>
      <c r="D237" s="210"/>
      <c r="E237" s="415"/>
      <c r="F237" s="210"/>
      <c r="G237" s="415"/>
      <c r="H237" s="210"/>
      <c r="I237" s="415"/>
      <c r="J237" s="210"/>
      <c r="K237" s="415"/>
      <c r="L237" s="210"/>
      <c r="M237" s="415"/>
      <c r="N237" s="210"/>
      <c r="O237" s="415"/>
      <c r="P237" s="210"/>
      <c r="Q237" s="438"/>
      <c r="R237" s="34"/>
      <c r="S237" s="415"/>
      <c r="T237" s="210"/>
      <c r="U237" s="415"/>
      <c r="V237" s="210"/>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row>
    <row r="238">
      <c r="A238" s="415"/>
      <c r="B238" s="210"/>
      <c r="C238" s="415"/>
      <c r="D238" s="210"/>
      <c r="E238" s="415"/>
      <c r="F238" s="210"/>
      <c r="G238" s="415"/>
      <c r="H238" s="210"/>
      <c r="I238" s="415"/>
      <c r="J238" s="210"/>
      <c r="K238" s="415"/>
      <c r="L238" s="210"/>
      <c r="M238" s="415"/>
      <c r="N238" s="210"/>
      <c r="O238" s="415"/>
      <c r="P238" s="210"/>
      <c r="Q238" s="438"/>
      <c r="R238" s="34"/>
      <c r="S238" s="415"/>
      <c r="T238" s="210"/>
      <c r="U238" s="415"/>
      <c r="V238" s="210"/>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row>
    <row r="239">
      <c r="A239" s="415"/>
      <c r="B239" s="210"/>
      <c r="C239" s="415"/>
      <c r="D239" s="210"/>
      <c r="E239" s="415"/>
      <c r="F239" s="210"/>
      <c r="G239" s="415"/>
      <c r="H239" s="210"/>
      <c r="I239" s="415"/>
      <c r="J239" s="210"/>
      <c r="K239" s="415"/>
      <c r="L239" s="210"/>
      <c r="M239" s="415"/>
      <c r="N239" s="210"/>
      <c r="O239" s="415"/>
      <c r="P239" s="210"/>
      <c r="Q239" s="438"/>
      <c r="R239" s="34"/>
      <c r="S239" s="415"/>
      <c r="T239" s="210"/>
      <c r="U239" s="415"/>
      <c r="V239" s="210"/>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row>
    <row r="240">
      <c r="A240" s="415"/>
      <c r="B240" s="210"/>
      <c r="C240" s="415"/>
      <c r="D240" s="210"/>
      <c r="E240" s="415"/>
      <c r="F240" s="210"/>
      <c r="G240" s="415"/>
      <c r="H240" s="210"/>
      <c r="I240" s="415"/>
      <c r="J240" s="210"/>
      <c r="K240" s="415"/>
      <c r="L240" s="210"/>
      <c r="M240" s="415"/>
      <c r="N240" s="210"/>
      <c r="O240" s="415"/>
      <c r="P240" s="210"/>
      <c r="Q240" s="438"/>
      <c r="R240" s="34"/>
      <c r="S240" s="415"/>
      <c r="T240" s="210"/>
      <c r="U240" s="415"/>
      <c r="V240" s="210"/>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row>
    <row r="241">
      <c r="A241" s="415"/>
      <c r="B241" s="210"/>
      <c r="C241" s="415"/>
      <c r="D241" s="210"/>
      <c r="E241" s="415"/>
      <c r="F241" s="210"/>
      <c r="G241" s="415"/>
      <c r="H241" s="210"/>
      <c r="I241" s="415"/>
      <c r="J241" s="210"/>
      <c r="K241" s="415"/>
      <c r="L241" s="210"/>
      <c r="M241" s="415"/>
      <c r="N241" s="210"/>
      <c r="O241" s="415"/>
      <c r="P241" s="210"/>
      <c r="Q241" s="438"/>
      <c r="R241" s="34"/>
      <c r="S241" s="415"/>
      <c r="T241" s="210"/>
      <c r="U241" s="415"/>
      <c r="V241" s="210"/>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row>
    <row r="242">
      <c r="A242" s="415"/>
      <c r="B242" s="210"/>
      <c r="C242" s="415"/>
      <c r="D242" s="210"/>
      <c r="E242" s="415"/>
      <c r="F242" s="210"/>
      <c r="G242" s="415"/>
      <c r="H242" s="210"/>
      <c r="I242" s="415"/>
      <c r="J242" s="210"/>
      <c r="K242" s="415"/>
      <c r="L242" s="210"/>
      <c r="M242" s="415"/>
      <c r="N242" s="210"/>
      <c r="O242" s="415"/>
      <c r="P242" s="210"/>
      <c r="Q242" s="438"/>
      <c r="R242" s="34"/>
      <c r="S242" s="415"/>
      <c r="T242" s="210"/>
      <c r="U242" s="415"/>
      <c r="V242" s="210"/>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row>
    <row r="243">
      <c r="A243" s="415"/>
      <c r="B243" s="210"/>
      <c r="C243" s="415"/>
      <c r="D243" s="210"/>
      <c r="E243" s="415"/>
      <c r="F243" s="210"/>
      <c r="G243" s="415"/>
      <c r="H243" s="210"/>
      <c r="I243" s="415"/>
      <c r="J243" s="210"/>
      <c r="K243" s="415"/>
      <c r="L243" s="210"/>
      <c r="M243" s="415"/>
      <c r="N243" s="210"/>
      <c r="O243" s="415"/>
      <c r="P243" s="210"/>
      <c r="Q243" s="438"/>
      <c r="R243" s="34"/>
      <c r="S243" s="415"/>
      <c r="T243" s="210"/>
      <c r="U243" s="415"/>
      <c r="V243" s="210"/>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row>
    <row r="244">
      <c r="A244" s="415"/>
      <c r="B244" s="210"/>
      <c r="C244" s="415"/>
      <c r="D244" s="210"/>
      <c r="E244" s="415"/>
      <c r="F244" s="210"/>
      <c r="G244" s="415"/>
      <c r="H244" s="210"/>
      <c r="I244" s="415"/>
      <c r="J244" s="210"/>
      <c r="K244" s="415"/>
      <c r="L244" s="210"/>
      <c r="M244" s="415"/>
      <c r="N244" s="210"/>
      <c r="O244" s="415"/>
      <c r="P244" s="210"/>
      <c r="Q244" s="438"/>
      <c r="R244" s="34"/>
      <c r="S244" s="415"/>
      <c r="T244" s="210"/>
      <c r="U244" s="415"/>
      <c r="V244" s="210"/>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row>
    <row r="245">
      <c r="A245" s="415"/>
      <c r="B245" s="210"/>
      <c r="C245" s="415"/>
      <c r="D245" s="210"/>
      <c r="E245" s="415"/>
      <c r="F245" s="210"/>
      <c r="G245" s="415"/>
      <c r="H245" s="210"/>
      <c r="I245" s="415"/>
      <c r="J245" s="210"/>
      <c r="K245" s="415"/>
      <c r="L245" s="210"/>
      <c r="M245" s="415"/>
      <c r="N245" s="210"/>
      <c r="O245" s="415"/>
      <c r="P245" s="210"/>
      <c r="Q245" s="438"/>
      <c r="R245" s="34"/>
      <c r="S245" s="415"/>
      <c r="T245" s="210"/>
      <c r="U245" s="415"/>
      <c r="V245" s="210"/>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row>
    <row r="246">
      <c r="A246" s="415"/>
      <c r="B246" s="210"/>
      <c r="C246" s="415"/>
      <c r="D246" s="210"/>
      <c r="E246" s="415"/>
      <c r="F246" s="210"/>
      <c r="G246" s="415"/>
      <c r="H246" s="210"/>
      <c r="I246" s="415"/>
      <c r="J246" s="210"/>
      <c r="K246" s="415"/>
      <c r="L246" s="210"/>
      <c r="M246" s="415"/>
      <c r="N246" s="210"/>
      <c r="O246" s="415"/>
      <c r="P246" s="210"/>
      <c r="Q246" s="438"/>
      <c r="R246" s="34"/>
      <c r="S246" s="415"/>
      <c r="T246" s="210"/>
      <c r="U246" s="415"/>
      <c r="V246" s="210"/>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row>
    <row r="247">
      <c r="A247" s="415"/>
      <c r="B247" s="210"/>
      <c r="C247" s="415"/>
      <c r="D247" s="210"/>
      <c r="E247" s="415"/>
      <c r="F247" s="210"/>
      <c r="G247" s="415"/>
      <c r="H247" s="210"/>
      <c r="I247" s="415"/>
      <c r="J247" s="210"/>
      <c r="K247" s="415"/>
      <c r="L247" s="210"/>
      <c r="M247" s="415"/>
      <c r="N247" s="210"/>
      <c r="O247" s="415"/>
      <c r="P247" s="210"/>
      <c r="Q247" s="438"/>
      <c r="R247" s="34"/>
      <c r="S247" s="415"/>
      <c r="T247" s="210"/>
      <c r="U247" s="415"/>
      <c r="V247" s="210"/>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row>
    <row r="248">
      <c r="A248" s="415"/>
      <c r="B248" s="210"/>
      <c r="C248" s="415"/>
      <c r="D248" s="210"/>
      <c r="E248" s="415"/>
      <c r="F248" s="210"/>
      <c r="G248" s="415"/>
      <c r="H248" s="210"/>
      <c r="I248" s="415"/>
      <c r="J248" s="210"/>
      <c r="K248" s="415"/>
      <c r="L248" s="210"/>
      <c r="M248" s="415"/>
      <c r="N248" s="210"/>
      <c r="O248" s="415"/>
      <c r="P248" s="210"/>
      <c r="Q248" s="438"/>
      <c r="R248" s="34"/>
      <c r="S248" s="415"/>
      <c r="T248" s="210"/>
      <c r="U248" s="415"/>
      <c r="V248" s="210"/>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row>
    <row r="249">
      <c r="A249" s="415"/>
      <c r="B249" s="210"/>
      <c r="C249" s="415"/>
      <c r="D249" s="210"/>
      <c r="E249" s="415"/>
      <c r="F249" s="210"/>
      <c r="G249" s="415"/>
      <c r="H249" s="210"/>
      <c r="I249" s="415"/>
      <c r="J249" s="210"/>
      <c r="K249" s="415"/>
      <c r="L249" s="210"/>
      <c r="M249" s="415"/>
      <c r="N249" s="210"/>
      <c r="O249" s="415"/>
      <c r="P249" s="210"/>
      <c r="Q249" s="438"/>
      <c r="R249" s="34"/>
      <c r="S249" s="415"/>
      <c r="T249" s="210"/>
      <c r="U249" s="415"/>
      <c r="V249" s="210"/>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row>
    <row r="250">
      <c r="A250" s="415"/>
      <c r="B250" s="210"/>
      <c r="C250" s="415"/>
      <c r="D250" s="210"/>
      <c r="E250" s="415"/>
      <c r="F250" s="210"/>
      <c r="G250" s="415"/>
      <c r="H250" s="210"/>
      <c r="I250" s="415"/>
      <c r="J250" s="210"/>
      <c r="K250" s="415"/>
      <c r="L250" s="210"/>
      <c r="M250" s="415"/>
      <c r="N250" s="210"/>
      <c r="O250" s="415"/>
      <c r="P250" s="210"/>
      <c r="Q250" s="438"/>
      <c r="R250" s="34"/>
      <c r="S250" s="415"/>
      <c r="T250" s="210"/>
      <c r="U250" s="415"/>
      <c r="V250" s="210"/>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row>
    <row r="251">
      <c r="A251" s="415"/>
      <c r="B251" s="210"/>
      <c r="C251" s="415"/>
      <c r="D251" s="210"/>
      <c r="E251" s="415"/>
      <c r="F251" s="210"/>
      <c r="G251" s="415"/>
      <c r="H251" s="210"/>
      <c r="I251" s="415"/>
      <c r="J251" s="210"/>
      <c r="K251" s="415"/>
      <c r="L251" s="210"/>
      <c r="M251" s="415"/>
      <c r="N251" s="210"/>
      <c r="O251" s="415"/>
      <c r="P251" s="210"/>
      <c r="Q251" s="438"/>
      <c r="R251" s="34"/>
      <c r="S251" s="415"/>
      <c r="T251" s="210"/>
      <c r="U251" s="415"/>
      <c r="V251" s="210"/>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row>
    <row r="252">
      <c r="A252" s="415"/>
      <c r="B252" s="210"/>
      <c r="C252" s="415"/>
      <c r="D252" s="210"/>
      <c r="E252" s="415"/>
      <c r="F252" s="210"/>
      <c r="G252" s="415"/>
      <c r="H252" s="210"/>
      <c r="I252" s="415"/>
      <c r="J252" s="210"/>
      <c r="K252" s="415"/>
      <c r="L252" s="210"/>
      <c r="M252" s="415"/>
      <c r="N252" s="210"/>
      <c r="O252" s="415"/>
      <c r="P252" s="210"/>
      <c r="Q252" s="438"/>
      <c r="R252" s="34"/>
      <c r="S252" s="415"/>
      <c r="T252" s="210"/>
      <c r="U252" s="415"/>
      <c r="V252" s="210"/>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row>
    <row r="253">
      <c r="A253" s="415"/>
      <c r="B253" s="210"/>
      <c r="C253" s="415"/>
      <c r="D253" s="210"/>
      <c r="E253" s="415"/>
      <c r="F253" s="210"/>
      <c r="G253" s="415"/>
      <c r="H253" s="210"/>
      <c r="I253" s="415"/>
      <c r="J253" s="210"/>
      <c r="K253" s="415"/>
      <c r="L253" s="210"/>
      <c r="M253" s="415"/>
      <c r="N253" s="210"/>
      <c r="O253" s="415"/>
      <c r="P253" s="210"/>
      <c r="Q253" s="438"/>
      <c r="R253" s="34"/>
      <c r="S253" s="415"/>
      <c r="T253" s="210"/>
      <c r="U253" s="415"/>
      <c r="V253" s="210"/>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row>
    <row r="254">
      <c r="A254" s="415"/>
      <c r="B254" s="210"/>
      <c r="C254" s="415"/>
      <c r="D254" s="210"/>
      <c r="E254" s="415"/>
      <c r="F254" s="210"/>
      <c r="G254" s="415"/>
      <c r="H254" s="210"/>
      <c r="I254" s="415"/>
      <c r="J254" s="210"/>
      <c r="K254" s="415"/>
      <c r="L254" s="210"/>
      <c r="M254" s="415"/>
      <c r="N254" s="210"/>
      <c r="O254" s="415"/>
      <c r="P254" s="210"/>
      <c r="Q254" s="438"/>
      <c r="R254" s="34"/>
      <c r="S254" s="415"/>
      <c r="T254" s="210"/>
      <c r="U254" s="415"/>
      <c r="V254" s="210"/>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row>
    <row r="255">
      <c r="A255" s="415"/>
      <c r="B255" s="210"/>
      <c r="C255" s="415"/>
      <c r="D255" s="210"/>
      <c r="E255" s="415"/>
      <c r="F255" s="210"/>
      <c r="G255" s="415"/>
      <c r="H255" s="210"/>
      <c r="I255" s="415"/>
      <c r="J255" s="210"/>
      <c r="K255" s="415"/>
      <c r="L255" s="210"/>
      <c r="M255" s="415"/>
      <c r="N255" s="210"/>
      <c r="O255" s="415"/>
      <c r="P255" s="210"/>
      <c r="Q255" s="438"/>
      <c r="R255" s="34"/>
      <c r="S255" s="415"/>
      <c r="T255" s="210"/>
      <c r="U255" s="415"/>
      <c r="V255" s="210"/>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row>
    <row r="256">
      <c r="A256" s="415"/>
      <c r="B256" s="210"/>
      <c r="C256" s="415"/>
      <c r="D256" s="210"/>
      <c r="E256" s="415"/>
      <c r="F256" s="210"/>
      <c r="G256" s="415"/>
      <c r="H256" s="210"/>
      <c r="I256" s="415"/>
      <c r="J256" s="210"/>
      <c r="K256" s="415"/>
      <c r="L256" s="210"/>
      <c r="M256" s="415"/>
      <c r="N256" s="210"/>
      <c r="O256" s="415"/>
      <c r="P256" s="210"/>
      <c r="Q256" s="438"/>
      <c r="R256" s="34"/>
      <c r="S256" s="415"/>
      <c r="T256" s="210"/>
      <c r="U256" s="415"/>
      <c r="V256" s="210"/>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row>
    <row r="257">
      <c r="A257" s="415"/>
      <c r="B257" s="210"/>
      <c r="C257" s="415"/>
      <c r="D257" s="210"/>
      <c r="E257" s="415"/>
      <c r="F257" s="210"/>
      <c r="G257" s="415"/>
      <c r="H257" s="210"/>
      <c r="I257" s="415"/>
      <c r="J257" s="210"/>
      <c r="K257" s="415"/>
      <c r="L257" s="210"/>
      <c r="M257" s="415"/>
      <c r="N257" s="210"/>
      <c r="O257" s="415"/>
      <c r="P257" s="210"/>
      <c r="Q257" s="438"/>
      <c r="R257" s="34"/>
      <c r="S257" s="415"/>
      <c r="T257" s="210"/>
      <c r="U257" s="415"/>
      <c r="V257" s="210"/>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row>
    <row r="258">
      <c r="A258" s="415"/>
      <c r="B258" s="210"/>
      <c r="C258" s="415"/>
      <c r="D258" s="210"/>
      <c r="E258" s="415"/>
      <c r="F258" s="210"/>
      <c r="G258" s="415"/>
      <c r="H258" s="210"/>
      <c r="I258" s="415"/>
      <c r="J258" s="210"/>
      <c r="K258" s="415"/>
      <c r="L258" s="210"/>
      <c r="M258" s="415"/>
      <c r="N258" s="210"/>
      <c r="O258" s="415"/>
      <c r="P258" s="210"/>
      <c r="Q258" s="438"/>
      <c r="R258" s="34"/>
      <c r="S258" s="415"/>
      <c r="T258" s="210"/>
      <c r="U258" s="415"/>
      <c r="V258" s="210"/>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row>
    <row r="259">
      <c r="A259" s="415"/>
      <c r="B259" s="210"/>
      <c r="C259" s="415"/>
      <c r="D259" s="210"/>
      <c r="E259" s="415"/>
      <c r="F259" s="210"/>
      <c r="G259" s="415"/>
      <c r="H259" s="210"/>
      <c r="I259" s="415"/>
      <c r="J259" s="210"/>
      <c r="K259" s="415"/>
      <c r="L259" s="210"/>
      <c r="M259" s="415"/>
      <c r="N259" s="210"/>
      <c r="O259" s="415"/>
      <c r="P259" s="210"/>
      <c r="Q259" s="438"/>
      <c r="R259" s="34"/>
      <c r="S259" s="415"/>
      <c r="T259" s="210"/>
      <c r="U259" s="415"/>
      <c r="V259" s="210"/>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row>
    <row r="260">
      <c r="A260" s="415"/>
      <c r="B260" s="210"/>
      <c r="C260" s="415"/>
      <c r="D260" s="210"/>
      <c r="E260" s="415"/>
      <c r="F260" s="210"/>
      <c r="G260" s="415"/>
      <c r="H260" s="210"/>
      <c r="I260" s="415"/>
      <c r="J260" s="210"/>
      <c r="K260" s="415"/>
      <c r="L260" s="210"/>
      <c r="M260" s="415"/>
      <c r="N260" s="210"/>
      <c r="O260" s="415"/>
      <c r="P260" s="210"/>
      <c r="Q260" s="438"/>
      <c r="R260" s="34"/>
      <c r="S260" s="415"/>
      <c r="T260" s="210"/>
      <c r="U260" s="415"/>
      <c r="V260" s="210"/>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row>
    <row r="261">
      <c r="A261" s="415"/>
      <c r="B261" s="210"/>
      <c r="C261" s="415"/>
      <c r="D261" s="210"/>
      <c r="E261" s="415"/>
      <c r="F261" s="210"/>
      <c r="G261" s="415"/>
      <c r="H261" s="210"/>
      <c r="I261" s="415"/>
      <c r="J261" s="210"/>
      <c r="K261" s="415"/>
      <c r="L261" s="210"/>
      <c r="M261" s="415"/>
      <c r="N261" s="210"/>
      <c r="O261" s="415"/>
      <c r="P261" s="210"/>
      <c r="Q261" s="438"/>
      <c r="R261" s="34"/>
      <c r="S261" s="415"/>
      <c r="T261" s="210"/>
      <c r="U261" s="415"/>
      <c r="V261" s="210"/>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row>
    <row r="262">
      <c r="A262" s="415"/>
      <c r="B262" s="210"/>
      <c r="C262" s="415"/>
      <c r="D262" s="210"/>
      <c r="E262" s="415"/>
      <c r="F262" s="210"/>
      <c r="G262" s="415"/>
      <c r="H262" s="210"/>
      <c r="I262" s="415"/>
      <c r="J262" s="210"/>
      <c r="K262" s="415"/>
      <c r="L262" s="210"/>
      <c r="M262" s="415"/>
      <c r="N262" s="210"/>
      <c r="O262" s="415"/>
      <c r="P262" s="210"/>
      <c r="Q262" s="438"/>
      <c r="R262" s="34"/>
      <c r="S262" s="415"/>
      <c r="T262" s="210"/>
      <c r="U262" s="415"/>
      <c r="V262" s="210"/>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row>
    <row r="263">
      <c r="A263" s="415"/>
      <c r="B263" s="210"/>
      <c r="C263" s="415"/>
      <c r="D263" s="210"/>
      <c r="E263" s="415"/>
      <c r="F263" s="210"/>
      <c r="G263" s="415"/>
      <c r="H263" s="210"/>
      <c r="I263" s="415"/>
      <c r="J263" s="210"/>
      <c r="K263" s="415"/>
      <c r="L263" s="210"/>
      <c r="M263" s="415"/>
      <c r="N263" s="210"/>
      <c r="O263" s="415"/>
      <c r="P263" s="210"/>
      <c r="Q263" s="438"/>
      <c r="R263" s="34"/>
      <c r="S263" s="415"/>
      <c r="T263" s="210"/>
      <c r="U263" s="415"/>
      <c r="V263" s="210"/>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row>
    <row r="264">
      <c r="A264" s="415"/>
      <c r="B264" s="210"/>
      <c r="C264" s="415"/>
      <c r="D264" s="210"/>
      <c r="E264" s="415"/>
      <c r="F264" s="210"/>
      <c r="G264" s="415"/>
      <c r="H264" s="210"/>
      <c r="I264" s="415"/>
      <c r="J264" s="210"/>
      <c r="K264" s="415"/>
      <c r="L264" s="210"/>
      <c r="M264" s="415"/>
      <c r="N264" s="210"/>
      <c r="O264" s="415"/>
      <c r="P264" s="210"/>
      <c r="Q264" s="438"/>
      <c r="R264" s="34"/>
      <c r="S264" s="415"/>
      <c r="T264" s="210"/>
      <c r="U264" s="415"/>
      <c r="V264" s="210"/>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row>
    <row r="265">
      <c r="A265" s="415"/>
      <c r="B265" s="210"/>
      <c r="C265" s="415"/>
      <c r="D265" s="210"/>
      <c r="E265" s="415"/>
      <c r="F265" s="210"/>
      <c r="G265" s="415"/>
      <c r="H265" s="210"/>
      <c r="I265" s="415"/>
      <c r="J265" s="210"/>
      <c r="K265" s="415"/>
      <c r="L265" s="210"/>
      <c r="M265" s="415"/>
      <c r="N265" s="210"/>
      <c r="O265" s="415"/>
      <c r="P265" s="210"/>
      <c r="Q265" s="438"/>
      <c r="R265" s="34"/>
      <c r="S265" s="415"/>
      <c r="T265" s="210"/>
      <c r="U265" s="415"/>
      <c r="V265" s="210"/>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row>
    <row r="266">
      <c r="A266" s="415"/>
      <c r="B266" s="210"/>
      <c r="C266" s="415"/>
      <c r="D266" s="210"/>
      <c r="E266" s="415"/>
      <c r="F266" s="210"/>
      <c r="G266" s="415"/>
      <c r="H266" s="210"/>
      <c r="I266" s="415"/>
      <c r="J266" s="210"/>
      <c r="K266" s="415"/>
      <c r="L266" s="210"/>
      <c r="M266" s="415"/>
      <c r="N266" s="210"/>
      <c r="O266" s="415"/>
      <c r="P266" s="210"/>
      <c r="Q266" s="438"/>
      <c r="R266" s="34"/>
      <c r="S266" s="415"/>
      <c r="T266" s="210"/>
      <c r="U266" s="415"/>
      <c r="V266" s="210"/>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row>
    <row r="267">
      <c r="A267" s="415"/>
      <c r="B267" s="210"/>
      <c r="C267" s="415"/>
      <c r="D267" s="210"/>
      <c r="E267" s="415"/>
      <c r="F267" s="210"/>
      <c r="G267" s="415"/>
      <c r="H267" s="210"/>
      <c r="I267" s="415"/>
      <c r="J267" s="210"/>
      <c r="K267" s="415"/>
      <c r="L267" s="210"/>
      <c r="M267" s="415"/>
      <c r="N267" s="210"/>
      <c r="O267" s="415"/>
      <c r="P267" s="210"/>
      <c r="Q267" s="438"/>
      <c r="R267" s="34"/>
      <c r="S267" s="415"/>
      <c r="T267" s="210"/>
      <c r="U267" s="415"/>
      <c r="V267" s="210"/>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row>
    <row r="268">
      <c r="A268" s="415"/>
      <c r="B268" s="210"/>
      <c r="C268" s="415"/>
      <c r="D268" s="210"/>
      <c r="E268" s="415"/>
      <c r="F268" s="210"/>
      <c r="G268" s="415"/>
      <c r="H268" s="210"/>
      <c r="I268" s="415"/>
      <c r="J268" s="210"/>
      <c r="K268" s="415"/>
      <c r="L268" s="210"/>
      <c r="M268" s="415"/>
      <c r="N268" s="210"/>
      <c r="O268" s="415"/>
      <c r="P268" s="210"/>
      <c r="Q268" s="438"/>
      <c r="R268" s="34"/>
      <c r="S268" s="415"/>
      <c r="T268" s="210"/>
      <c r="U268" s="415"/>
      <c r="V268" s="210"/>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row>
    <row r="269">
      <c r="A269" s="415"/>
      <c r="B269" s="210"/>
      <c r="C269" s="415"/>
      <c r="D269" s="210"/>
      <c r="E269" s="415"/>
      <c r="F269" s="210"/>
      <c r="G269" s="415"/>
      <c r="H269" s="210"/>
      <c r="I269" s="415"/>
      <c r="J269" s="210"/>
      <c r="K269" s="415"/>
      <c r="L269" s="210"/>
      <c r="M269" s="415"/>
      <c r="N269" s="210"/>
      <c r="O269" s="415"/>
      <c r="P269" s="210"/>
      <c r="Q269" s="438"/>
      <c r="R269" s="34"/>
      <c r="S269" s="415"/>
      <c r="T269" s="210"/>
      <c r="U269" s="415"/>
      <c r="V269" s="210"/>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row>
    <row r="270">
      <c r="A270" s="415"/>
      <c r="B270" s="210"/>
      <c r="C270" s="415"/>
      <c r="D270" s="210"/>
      <c r="E270" s="415"/>
      <c r="F270" s="210"/>
      <c r="G270" s="415"/>
      <c r="H270" s="210"/>
      <c r="I270" s="415"/>
      <c r="J270" s="210"/>
      <c r="K270" s="415"/>
      <c r="L270" s="210"/>
      <c r="M270" s="415"/>
      <c r="N270" s="210"/>
      <c r="O270" s="415"/>
      <c r="P270" s="210"/>
      <c r="Q270" s="438"/>
      <c r="R270" s="34"/>
      <c r="S270" s="415"/>
      <c r="T270" s="210"/>
      <c r="U270" s="415"/>
      <c r="V270" s="210"/>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row>
    <row r="271">
      <c r="A271" s="415"/>
      <c r="B271" s="210"/>
      <c r="C271" s="415"/>
      <c r="D271" s="210"/>
      <c r="E271" s="415"/>
      <c r="F271" s="210"/>
      <c r="G271" s="415"/>
      <c r="H271" s="210"/>
      <c r="I271" s="415"/>
      <c r="J271" s="210"/>
      <c r="K271" s="415"/>
      <c r="L271" s="210"/>
      <c r="M271" s="415"/>
      <c r="N271" s="210"/>
      <c r="O271" s="415"/>
      <c r="P271" s="210"/>
      <c r="Q271" s="438"/>
      <c r="R271" s="34"/>
      <c r="S271" s="415"/>
      <c r="T271" s="210"/>
      <c r="U271" s="415"/>
      <c r="V271" s="210"/>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row>
    <row r="272">
      <c r="A272" s="415"/>
      <c r="B272" s="210"/>
      <c r="C272" s="415"/>
      <c r="D272" s="210"/>
      <c r="E272" s="415"/>
      <c r="F272" s="210"/>
      <c r="G272" s="415"/>
      <c r="H272" s="210"/>
      <c r="I272" s="415"/>
      <c r="J272" s="210"/>
      <c r="K272" s="415"/>
      <c r="L272" s="210"/>
      <c r="M272" s="415"/>
      <c r="N272" s="210"/>
      <c r="O272" s="415"/>
      <c r="P272" s="210"/>
      <c r="Q272" s="438"/>
      <c r="R272" s="34"/>
      <c r="S272" s="415"/>
      <c r="T272" s="210"/>
      <c r="U272" s="415"/>
      <c r="V272" s="210"/>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row>
    <row r="273">
      <c r="A273" s="415"/>
      <c r="B273" s="210"/>
      <c r="C273" s="415"/>
      <c r="D273" s="210"/>
      <c r="E273" s="415"/>
      <c r="F273" s="210"/>
      <c r="G273" s="415"/>
      <c r="H273" s="210"/>
      <c r="I273" s="415"/>
      <c r="J273" s="210"/>
      <c r="K273" s="415"/>
      <c r="L273" s="210"/>
      <c r="M273" s="415"/>
      <c r="N273" s="210"/>
      <c r="O273" s="415"/>
      <c r="P273" s="210"/>
      <c r="Q273" s="438"/>
      <c r="R273" s="34"/>
      <c r="S273" s="415"/>
      <c r="T273" s="210"/>
      <c r="U273" s="415"/>
      <c r="V273" s="210"/>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row>
    <row r="274">
      <c r="A274" s="415"/>
      <c r="B274" s="210"/>
      <c r="C274" s="415"/>
      <c r="D274" s="210"/>
      <c r="E274" s="415"/>
      <c r="F274" s="210"/>
      <c r="G274" s="415"/>
      <c r="H274" s="210"/>
      <c r="I274" s="415"/>
      <c r="J274" s="210"/>
      <c r="K274" s="415"/>
      <c r="L274" s="210"/>
      <c r="M274" s="415"/>
      <c r="N274" s="210"/>
      <c r="O274" s="415"/>
      <c r="P274" s="210"/>
      <c r="Q274" s="438"/>
      <c r="R274" s="34"/>
      <c r="S274" s="415"/>
      <c r="T274" s="210"/>
      <c r="U274" s="415"/>
      <c r="V274" s="210"/>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row>
    <row r="275">
      <c r="A275" s="415"/>
      <c r="B275" s="210"/>
      <c r="C275" s="415"/>
      <c r="D275" s="210"/>
      <c r="E275" s="415"/>
      <c r="F275" s="210"/>
      <c r="G275" s="415"/>
      <c r="H275" s="210"/>
      <c r="I275" s="415"/>
      <c r="J275" s="210"/>
      <c r="K275" s="415"/>
      <c r="L275" s="210"/>
      <c r="M275" s="415"/>
      <c r="N275" s="210"/>
      <c r="O275" s="415"/>
      <c r="P275" s="210"/>
      <c r="Q275" s="438"/>
      <c r="R275" s="34"/>
      <c r="S275" s="415"/>
      <c r="T275" s="210"/>
      <c r="U275" s="415"/>
      <c r="V275" s="210"/>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row>
    <row r="276">
      <c r="A276" s="415"/>
      <c r="B276" s="210"/>
      <c r="C276" s="415"/>
      <c r="D276" s="210"/>
      <c r="E276" s="415"/>
      <c r="F276" s="210"/>
      <c r="G276" s="415"/>
      <c r="H276" s="210"/>
      <c r="I276" s="415"/>
      <c r="J276" s="210"/>
      <c r="K276" s="415"/>
      <c r="L276" s="210"/>
      <c r="M276" s="415"/>
      <c r="N276" s="210"/>
      <c r="O276" s="415"/>
      <c r="P276" s="210"/>
      <c r="Q276" s="438"/>
      <c r="R276" s="34"/>
      <c r="S276" s="415"/>
      <c r="T276" s="210"/>
      <c r="U276" s="415"/>
      <c r="V276" s="210"/>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row>
    <row r="277">
      <c r="A277" s="415"/>
      <c r="B277" s="210"/>
      <c r="C277" s="415"/>
      <c r="D277" s="210"/>
      <c r="E277" s="415"/>
      <c r="F277" s="210"/>
      <c r="G277" s="415"/>
      <c r="H277" s="210"/>
      <c r="I277" s="415"/>
      <c r="J277" s="210"/>
      <c r="K277" s="415"/>
      <c r="L277" s="210"/>
      <c r="M277" s="415"/>
      <c r="N277" s="210"/>
      <c r="O277" s="415"/>
      <c r="P277" s="210"/>
      <c r="Q277" s="438"/>
      <c r="R277" s="34"/>
      <c r="S277" s="415"/>
      <c r="T277" s="210"/>
      <c r="U277" s="415"/>
      <c r="V277" s="210"/>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row>
    <row r="278">
      <c r="A278" s="415"/>
      <c r="B278" s="210"/>
      <c r="C278" s="415"/>
      <c r="D278" s="210"/>
      <c r="E278" s="415"/>
      <c r="F278" s="210"/>
      <c r="G278" s="415"/>
      <c r="H278" s="210"/>
      <c r="I278" s="415"/>
      <c r="J278" s="210"/>
      <c r="K278" s="415"/>
      <c r="L278" s="210"/>
      <c r="M278" s="415"/>
      <c r="N278" s="210"/>
      <c r="O278" s="415"/>
      <c r="P278" s="210"/>
      <c r="Q278" s="438"/>
      <c r="R278" s="34"/>
      <c r="S278" s="415"/>
      <c r="T278" s="210"/>
      <c r="U278" s="415"/>
      <c r="V278" s="210"/>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row>
    <row r="279">
      <c r="A279" s="415"/>
      <c r="B279" s="210"/>
      <c r="C279" s="415"/>
      <c r="D279" s="210"/>
      <c r="E279" s="415"/>
      <c r="F279" s="210"/>
      <c r="G279" s="415"/>
      <c r="H279" s="210"/>
      <c r="I279" s="415"/>
      <c r="J279" s="210"/>
      <c r="K279" s="415"/>
      <c r="L279" s="210"/>
      <c r="M279" s="415"/>
      <c r="N279" s="210"/>
      <c r="O279" s="415"/>
      <c r="P279" s="210"/>
      <c r="Q279" s="438"/>
      <c r="R279" s="34"/>
      <c r="S279" s="415"/>
      <c r="T279" s="210"/>
      <c r="U279" s="415"/>
      <c r="V279" s="210"/>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row>
    <row r="280">
      <c r="A280" s="415"/>
      <c r="B280" s="210"/>
      <c r="C280" s="415"/>
      <c r="D280" s="210"/>
      <c r="E280" s="415"/>
      <c r="F280" s="210"/>
      <c r="G280" s="415"/>
      <c r="H280" s="210"/>
      <c r="I280" s="415"/>
      <c r="J280" s="210"/>
      <c r="K280" s="415"/>
      <c r="L280" s="210"/>
      <c r="M280" s="415"/>
      <c r="N280" s="210"/>
      <c r="O280" s="415"/>
      <c r="P280" s="210"/>
      <c r="Q280" s="438"/>
      <c r="R280" s="34"/>
      <c r="S280" s="415"/>
      <c r="T280" s="210"/>
      <c r="U280" s="415"/>
      <c r="V280" s="210"/>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row>
    <row r="281">
      <c r="A281" s="415"/>
      <c r="B281" s="210"/>
      <c r="C281" s="415"/>
      <c r="D281" s="210"/>
      <c r="E281" s="415"/>
      <c r="F281" s="210"/>
      <c r="G281" s="415"/>
      <c r="H281" s="210"/>
      <c r="I281" s="415"/>
      <c r="J281" s="210"/>
      <c r="K281" s="415"/>
      <c r="L281" s="210"/>
      <c r="M281" s="415"/>
      <c r="N281" s="210"/>
      <c r="O281" s="415"/>
      <c r="P281" s="210"/>
      <c r="Q281" s="438"/>
      <c r="R281" s="34"/>
      <c r="S281" s="415"/>
      <c r="T281" s="210"/>
      <c r="U281" s="415"/>
      <c r="V281" s="210"/>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row>
    <row r="282">
      <c r="A282" s="415"/>
      <c r="B282" s="210"/>
      <c r="C282" s="415"/>
      <c r="D282" s="210"/>
      <c r="E282" s="415"/>
      <c r="F282" s="210"/>
      <c r="G282" s="415"/>
      <c r="H282" s="210"/>
      <c r="I282" s="415"/>
      <c r="J282" s="210"/>
      <c r="K282" s="415"/>
      <c r="L282" s="210"/>
      <c r="M282" s="415"/>
      <c r="N282" s="210"/>
      <c r="O282" s="415"/>
      <c r="P282" s="210"/>
      <c r="Q282" s="438"/>
      <c r="R282" s="34"/>
      <c r="S282" s="415"/>
      <c r="T282" s="210"/>
      <c r="U282" s="415"/>
      <c r="V282" s="210"/>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row>
    <row r="283">
      <c r="A283" s="415"/>
      <c r="B283" s="210"/>
      <c r="C283" s="415"/>
      <c r="D283" s="210"/>
      <c r="E283" s="415"/>
      <c r="F283" s="210"/>
      <c r="G283" s="415"/>
      <c r="H283" s="210"/>
      <c r="I283" s="415"/>
      <c r="J283" s="210"/>
      <c r="K283" s="415"/>
      <c r="L283" s="210"/>
      <c r="M283" s="415"/>
      <c r="N283" s="210"/>
      <c r="O283" s="415"/>
      <c r="P283" s="210"/>
      <c r="Q283" s="438"/>
      <c r="R283" s="34"/>
      <c r="S283" s="415"/>
      <c r="T283" s="210"/>
      <c r="U283" s="415"/>
      <c r="V283" s="210"/>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row>
    <row r="284">
      <c r="A284" s="415"/>
      <c r="B284" s="210"/>
      <c r="C284" s="415"/>
      <c r="D284" s="210"/>
      <c r="E284" s="415"/>
      <c r="F284" s="210"/>
      <c r="G284" s="415"/>
      <c r="H284" s="210"/>
      <c r="I284" s="415"/>
      <c r="J284" s="210"/>
      <c r="K284" s="415"/>
      <c r="L284" s="210"/>
      <c r="M284" s="415"/>
      <c r="N284" s="210"/>
      <c r="O284" s="415"/>
      <c r="P284" s="210"/>
      <c r="Q284" s="438"/>
      <c r="R284" s="34"/>
      <c r="S284" s="415"/>
      <c r="T284" s="210"/>
      <c r="U284" s="415"/>
      <c r="V284" s="210"/>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row>
    <row r="285">
      <c r="A285" s="415"/>
      <c r="B285" s="210"/>
      <c r="C285" s="415"/>
      <c r="D285" s="210"/>
      <c r="E285" s="415"/>
      <c r="F285" s="210"/>
      <c r="G285" s="415"/>
      <c r="H285" s="210"/>
      <c r="I285" s="415"/>
      <c r="J285" s="210"/>
      <c r="K285" s="415"/>
      <c r="L285" s="210"/>
      <c r="M285" s="415"/>
      <c r="N285" s="210"/>
      <c r="O285" s="415"/>
      <c r="P285" s="210"/>
      <c r="Q285" s="438"/>
      <c r="R285" s="34"/>
      <c r="S285" s="415"/>
      <c r="T285" s="210"/>
      <c r="U285" s="415"/>
      <c r="V285" s="210"/>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row>
    <row r="286">
      <c r="A286" s="415"/>
      <c r="B286" s="210"/>
      <c r="C286" s="415"/>
      <c r="D286" s="210"/>
      <c r="E286" s="415"/>
      <c r="F286" s="210"/>
      <c r="G286" s="415"/>
      <c r="H286" s="210"/>
      <c r="I286" s="415"/>
      <c r="J286" s="210"/>
      <c r="K286" s="415"/>
      <c r="L286" s="210"/>
      <c r="M286" s="415"/>
      <c r="N286" s="210"/>
      <c r="O286" s="415"/>
      <c r="P286" s="210"/>
      <c r="Q286" s="438"/>
      <c r="R286" s="34"/>
      <c r="S286" s="415"/>
      <c r="T286" s="210"/>
      <c r="U286" s="415"/>
      <c r="V286" s="210"/>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row>
    <row r="287">
      <c r="A287" s="415"/>
      <c r="B287" s="210"/>
      <c r="C287" s="415"/>
      <c r="D287" s="210"/>
      <c r="E287" s="415"/>
      <c r="F287" s="210"/>
      <c r="G287" s="415"/>
      <c r="H287" s="210"/>
      <c r="I287" s="415"/>
      <c r="J287" s="210"/>
      <c r="K287" s="415"/>
      <c r="L287" s="210"/>
      <c r="M287" s="415"/>
      <c r="N287" s="210"/>
      <c r="O287" s="415"/>
      <c r="P287" s="210"/>
      <c r="Q287" s="438"/>
      <c r="R287" s="34"/>
      <c r="S287" s="415"/>
      <c r="T287" s="210"/>
      <c r="U287" s="415"/>
      <c r="V287" s="210"/>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row>
    <row r="288">
      <c r="A288" s="415"/>
      <c r="B288" s="210"/>
      <c r="C288" s="415"/>
      <c r="D288" s="210"/>
      <c r="E288" s="415"/>
      <c r="F288" s="210"/>
      <c r="G288" s="415"/>
      <c r="H288" s="210"/>
      <c r="I288" s="415"/>
      <c r="J288" s="210"/>
      <c r="K288" s="415"/>
      <c r="L288" s="210"/>
      <c r="M288" s="415"/>
      <c r="N288" s="210"/>
      <c r="O288" s="415"/>
      <c r="P288" s="210"/>
      <c r="Q288" s="438"/>
      <c r="R288" s="34"/>
      <c r="S288" s="415"/>
      <c r="T288" s="210"/>
      <c r="U288" s="415"/>
      <c r="V288" s="210"/>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row>
    <row r="289">
      <c r="A289" s="415"/>
      <c r="B289" s="210"/>
      <c r="C289" s="415"/>
      <c r="D289" s="210"/>
      <c r="E289" s="415"/>
      <c r="F289" s="210"/>
      <c r="G289" s="415"/>
      <c r="H289" s="210"/>
      <c r="I289" s="415"/>
      <c r="J289" s="210"/>
      <c r="K289" s="415"/>
      <c r="L289" s="210"/>
      <c r="M289" s="415"/>
      <c r="N289" s="210"/>
      <c r="O289" s="415"/>
      <c r="P289" s="210"/>
      <c r="Q289" s="438"/>
      <c r="R289" s="34"/>
      <c r="S289" s="415"/>
      <c r="T289" s="210"/>
      <c r="U289" s="415"/>
      <c r="V289" s="210"/>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row>
    <row r="290">
      <c r="A290" s="415"/>
      <c r="B290" s="210"/>
      <c r="C290" s="415"/>
      <c r="D290" s="210"/>
      <c r="E290" s="415"/>
      <c r="F290" s="210"/>
      <c r="G290" s="415"/>
      <c r="H290" s="210"/>
      <c r="I290" s="415"/>
      <c r="J290" s="210"/>
      <c r="K290" s="415"/>
      <c r="L290" s="210"/>
      <c r="M290" s="415"/>
      <c r="N290" s="210"/>
      <c r="O290" s="415"/>
      <c r="P290" s="210"/>
      <c r="Q290" s="438"/>
      <c r="R290" s="34"/>
      <c r="S290" s="415"/>
      <c r="T290" s="210"/>
      <c r="U290" s="415"/>
      <c r="V290" s="210"/>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row>
    <row r="291">
      <c r="A291" s="415"/>
      <c r="B291" s="210"/>
      <c r="C291" s="415"/>
      <c r="D291" s="210"/>
      <c r="E291" s="415"/>
      <c r="F291" s="210"/>
      <c r="G291" s="415"/>
      <c r="H291" s="210"/>
      <c r="I291" s="415"/>
      <c r="J291" s="210"/>
      <c r="K291" s="415"/>
      <c r="L291" s="210"/>
      <c r="M291" s="415"/>
      <c r="N291" s="210"/>
      <c r="O291" s="415"/>
      <c r="P291" s="210"/>
      <c r="Q291" s="438"/>
      <c r="R291" s="34"/>
      <c r="S291" s="415"/>
      <c r="T291" s="210"/>
      <c r="U291" s="415"/>
      <c r="V291" s="210"/>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row>
    <row r="292">
      <c r="A292" s="415"/>
      <c r="B292" s="210"/>
      <c r="C292" s="415"/>
      <c r="D292" s="210"/>
      <c r="E292" s="415"/>
      <c r="F292" s="210"/>
      <c r="G292" s="415"/>
      <c r="H292" s="210"/>
      <c r="I292" s="415"/>
      <c r="J292" s="210"/>
      <c r="K292" s="415"/>
      <c r="L292" s="210"/>
      <c r="M292" s="415"/>
      <c r="N292" s="210"/>
      <c r="O292" s="415"/>
      <c r="P292" s="210"/>
      <c r="Q292" s="438"/>
      <c r="R292" s="34"/>
      <c r="S292" s="415"/>
      <c r="T292" s="210"/>
      <c r="U292" s="415"/>
      <c r="V292" s="210"/>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row>
    <row r="293">
      <c r="A293" s="415"/>
      <c r="B293" s="210"/>
      <c r="C293" s="415"/>
      <c r="D293" s="210"/>
      <c r="E293" s="415"/>
      <c r="F293" s="210"/>
      <c r="G293" s="415"/>
      <c r="H293" s="210"/>
      <c r="I293" s="415"/>
      <c r="J293" s="210"/>
      <c r="K293" s="415"/>
      <c r="L293" s="210"/>
      <c r="M293" s="415"/>
      <c r="N293" s="210"/>
      <c r="O293" s="415"/>
      <c r="P293" s="210"/>
      <c r="Q293" s="438"/>
      <c r="R293" s="34"/>
      <c r="S293" s="415"/>
      <c r="T293" s="210"/>
      <c r="U293" s="415"/>
      <c r="V293" s="210"/>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row>
    <row r="294">
      <c r="A294" s="415"/>
      <c r="B294" s="210"/>
      <c r="C294" s="415"/>
      <c r="D294" s="210"/>
      <c r="E294" s="415"/>
      <c r="F294" s="210"/>
      <c r="G294" s="415"/>
      <c r="H294" s="210"/>
      <c r="I294" s="415"/>
      <c r="J294" s="210"/>
      <c r="K294" s="415"/>
      <c r="L294" s="210"/>
      <c r="M294" s="415"/>
      <c r="N294" s="210"/>
      <c r="O294" s="415"/>
      <c r="P294" s="210"/>
      <c r="Q294" s="438"/>
      <c r="R294" s="34"/>
      <c r="S294" s="415"/>
      <c r="T294" s="210"/>
      <c r="U294" s="415"/>
      <c r="V294" s="210"/>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row>
    <row r="295">
      <c r="A295" s="415"/>
      <c r="B295" s="210"/>
      <c r="C295" s="415"/>
      <c r="D295" s="210"/>
      <c r="E295" s="415"/>
      <c r="F295" s="210"/>
      <c r="G295" s="415"/>
      <c r="H295" s="210"/>
      <c r="I295" s="415"/>
      <c r="J295" s="210"/>
      <c r="K295" s="415"/>
      <c r="L295" s="210"/>
      <c r="M295" s="415"/>
      <c r="N295" s="210"/>
      <c r="O295" s="415"/>
      <c r="P295" s="210"/>
      <c r="Q295" s="438"/>
      <c r="R295" s="34"/>
      <c r="S295" s="415"/>
      <c r="T295" s="210"/>
      <c r="U295" s="415"/>
      <c r="V295" s="210"/>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row>
    <row r="296">
      <c r="A296" s="415"/>
      <c r="B296" s="210"/>
      <c r="C296" s="415"/>
      <c r="D296" s="210"/>
      <c r="E296" s="415"/>
      <c r="F296" s="210"/>
      <c r="G296" s="415"/>
      <c r="H296" s="210"/>
      <c r="I296" s="415"/>
      <c r="J296" s="210"/>
      <c r="K296" s="415"/>
      <c r="L296" s="210"/>
      <c r="M296" s="415"/>
      <c r="N296" s="210"/>
      <c r="O296" s="415"/>
      <c r="P296" s="210"/>
      <c r="Q296" s="438"/>
      <c r="R296" s="34"/>
      <c r="S296" s="415"/>
      <c r="T296" s="210"/>
      <c r="U296" s="415"/>
      <c r="V296" s="210"/>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row>
    <row r="297">
      <c r="A297" s="415"/>
      <c r="B297" s="210"/>
      <c r="C297" s="415"/>
      <c r="D297" s="210"/>
      <c r="E297" s="415"/>
      <c r="F297" s="210"/>
      <c r="G297" s="415"/>
      <c r="H297" s="210"/>
      <c r="I297" s="415"/>
      <c r="J297" s="210"/>
      <c r="K297" s="415"/>
      <c r="L297" s="210"/>
      <c r="M297" s="415"/>
      <c r="N297" s="210"/>
      <c r="O297" s="415"/>
      <c r="P297" s="210"/>
      <c r="Q297" s="438"/>
      <c r="R297" s="34"/>
      <c r="S297" s="415"/>
      <c r="T297" s="210"/>
      <c r="U297" s="415"/>
      <c r="V297" s="210"/>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row>
    <row r="298">
      <c r="A298" s="415"/>
      <c r="B298" s="210"/>
      <c r="C298" s="415"/>
      <c r="D298" s="210"/>
      <c r="E298" s="415"/>
      <c r="F298" s="210"/>
      <c r="G298" s="415"/>
      <c r="H298" s="210"/>
      <c r="I298" s="415"/>
      <c r="J298" s="210"/>
      <c r="K298" s="415"/>
      <c r="L298" s="210"/>
      <c r="M298" s="415"/>
      <c r="N298" s="210"/>
      <c r="O298" s="415"/>
      <c r="P298" s="210"/>
      <c r="Q298" s="438"/>
      <c r="R298" s="34"/>
      <c r="S298" s="415"/>
      <c r="T298" s="210"/>
      <c r="U298" s="415"/>
      <c r="V298" s="210"/>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row>
    <row r="299">
      <c r="A299" s="415"/>
      <c r="B299" s="210"/>
      <c r="C299" s="415"/>
      <c r="D299" s="210"/>
      <c r="E299" s="415"/>
      <c r="F299" s="210"/>
      <c r="G299" s="415"/>
      <c r="H299" s="210"/>
      <c r="I299" s="415"/>
      <c r="J299" s="210"/>
      <c r="K299" s="415"/>
      <c r="L299" s="210"/>
      <c r="M299" s="415"/>
      <c r="N299" s="210"/>
      <c r="O299" s="415"/>
      <c r="P299" s="210"/>
      <c r="Q299" s="438"/>
      <c r="R299" s="34"/>
      <c r="S299" s="415"/>
      <c r="T299" s="210"/>
      <c r="U299" s="415"/>
      <c r="V299" s="210"/>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row>
    <row r="300">
      <c r="A300" s="415"/>
      <c r="B300" s="210"/>
      <c r="C300" s="415"/>
      <c r="D300" s="210"/>
      <c r="E300" s="415"/>
      <c r="F300" s="210"/>
      <c r="G300" s="415"/>
      <c r="H300" s="210"/>
      <c r="I300" s="415"/>
      <c r="J300" s="210"/>
      <c r="K300" s="415"/>
      <c r="L300" s="210"/>
      <c r="M300" s="415"/>
      <c r="N300" s="210"/>
      <c r="O300" s="415"/>
      <c r="P300" s="210"/>
      <c r="Q300" s="438"/>
      <c r="R300" s="34"/>
      <c r="S300" s="415"/>
      <c r="T300" s="210"/>
      <c r="U300" s="415"/>
      <c r="V300" s="210"/>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row>
    <row r="301">
      <c r="A301" s="415"/>
      <c r="B301" s="210"/>
      <c r="C301" s="415"/>
      <c r="D301" s="210"/>
      <c r="E301" s="415"/>
      <c r="F301" s="210"/>
      <c r="G301" s="415"/>
      <c r="H301" s="210"/>
      <c r="I301" s="415"/>
      <c r="J301" s="210"/>
      <c r="K301" s="415"/>
      <c r="L301" s="210"/>
      <c r="M301" s="415"/>
      <c r="N301" s="210"/>
      <c r="O301" s="415"/>
      <c r="P301" s="210"/>
      <c r="Q301" s="438"/>
      <c r="R301" s="34"/>
      <c r="S301" s="415"/>
      <c r="T301" s="210"/>
      <c r="U301" s="415"/>
      <c r="V301" s="210"/>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row>
    <row r="302">
      <c r="A302" s="415"/>
      <c r="B302" s="210"/>
      <c r="C302" s="415"/>
      <c r="D302" s="210"/>
      <c r="E302" s="415"/>
      <c r="F302" s="210"/>
      <c r="G302" s="415"/>
      <c r="H302" s="210"/>
      <c r="I302" s="415"/>
      <c r="J302" s="210"/>
      <c r="K302" s="415"/>
      <c r="L302" s="210"/>
      <c r="M302" s="415"/>
      <c r="N302" s="210"/>
      <c r="O302" s="415"/>
      <c r="P302" s="210"/>
      <c r="Q302" s="438"/>
      <c r="R302" s="34"/>
      <c r="S302" s="415"/>
      <c r="T302" s="210"/>
      <c r="U302" s="415"/>
      <c r="V302" s="210"/>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row>
    <row r="303">
      <c r="A303" s="415"/>
      <c r="B303" s="210"/>
      <c r="C303" s="415"/>
      <c r="D303" s="210"/>
      <c r="E303" s="415"/>
      <c r="F303" s="210"/>
      <c r="G303" s="415"/>
      <c r="H303" s="210"/>
      <c r="I303" s="415"/>
      <c r="J303" s="210"/>
      <c r="K303" s="415"/>
      <c r="L303" s="210"/>
      <c r="M303" s="415"/>
      <c r="N303" s="210"/>
      <c r="O303" s="415"/>
      <c r="P303" s="210"/>
      <c r="Q303" s="438"/>
      <c r="R303" s="34"/>
      <c r="S303" s="415"/>
      <c r="T303" s="210"/>
      <c r="U303" s="415"/>
      <c r="V303" s="210"/>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row>
    <row r="304">
      <c r="A304" s="415"/>
      <c r="B304" s="210"/>
      <c r="C304" s="415"/>
      <c r="D304" s="210"/>
      <c r="E304" s="415"/>
      <c r="F304" s="210"/>
      <c r="G304" s="415"/>
      <c r="H304" s="210"/>
      <c r="I304" s="415"/>
      <c r="J304" s="210"/>
      <c r="K304" s="415"/>
      <c r="L304" s="210"/>
      <c r="M304" s="415"/>
      <c r="N304" s="210"/>
      <c r="O304" s="415"/>
      <c r="P304" s="210"/>
      <c r="Q304" s="438"/>
      <c r="R304" s="34"/>
      <c r="S304" s="415"/>
      <c r="T304" s="210"/>
      <c r="U304" s="415"/>
      <c r="V304" s="210"/>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row>
    <row r="305">
      <c r="A305" s="415"/>
      <c r="B305" s="210"/>
      <c r="C305" s="415"/>
      <c r="D305" s="210"/>
      <c r="E305" s="415"/>
      <c r="F305" s="210"/>
      <c r="G305" s="415"/>
      <c r="H305" s="210"/>
      <c r="I305" s="415"/>
      <c r="J305" s="210"/>
      <c r="K305" s="415"/>
      <c r="L305" s="210"/>
      <c r="M305" s="415"/>
      <c r="N305" s="210"/>
      <c r="O305" s="415"/>
      <c r="P305" s="210"/>
      <c r="Q305" s="438"/>
      <c r="R305" s="34"/>
      <c r="S305" s="415"/>
      <c r="T305" s="210"/>
      <c r="U305" s="415"/>
      <c r="V305" s="210"/>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row>
    <row r="306">
      <c r="A306" s="415"/>
      <c r="B306" s="210"/>
      <c r="C306" s="415"/>
      <c r="D306" s="210"/>
      <c r="E306" s="415"/>
      <c r="F306" s="210"/>
      <c r="G306" s="415"/>
      <c r="H306" s="210"/>
      <c r="I306" s="415"/>
      <c r="J306" s="210"/>
      <c r="K306" s="415"/>
      <c r="L306" s="210"/>
      <c r="M306" s="415"/>
      <c r="N306" s="210"/>
      <c r="O306" s="415"/>
      <c r="P306" s="210"/>
      <c r="Q306" s="438"/>
      <c r="R306" s="34"/>
      <c r="S306" s="415"/>
      <c r="T306" s="210"/>
      <c r="U306" s="415"/>
      <c r="V306" s="210"/>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row>
    <row r="307">
      <c r="A307" s="415"/>
      <c r="B307" s="210"/>
      <c r="C307" s="415"/>
      <c r="D307" s="210"/>
      <c r="E307" s="415"/>
      <c r="F307" s="210"/>
      <c r="G307" s="415"/>
      <c r="H307" s="210"/>
      <c r="I307" s="415"/>
      <c r="J307" s="210"/>
      <c r="K307" s="415"/>
      <c r="L307" s="210"/>
      <c r="M307" s="415"/>
      <c r="N307" s="210"/>
      <c r="O307" s="415"/>
      <c r="P307" s="210"/>
      <c r="Q307" s="438"/>
      <c r="R307" s="34"/>
      <c r="S307" s="415"/>
      <c r="T307" s="210"/>
      <c r="U307" s="415"/>
      <c r="V307" s="210"/>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row>
    <row r="308">
      <c r="A308" s="415"/>
      <c r="B308" s="210"/>
      <c r="C308" s="415"/>
      <c r="D308" s="210"/>
      <c r="E308" s="415"/>
      <c r="F308" s="210"/>
      <c r="G308" s="415"/>
      <c r="H308" s="210"/>
      <c r="I308" s="415"/>
      <c r="J308" s="210"/>
      <c r="K308" s="415"/>
      <c r="L308" s="210"/>
      <c r="M308" s="415"/>
      <c r="N308" s="210"/>
      <c r="O308" s="415"/>
      <c r="P308" s="210"/>
      <c r="Q308" s="438"/>
      <c r="R308" s="34"/>
      <c r="S308" s="415"/>
      <c r="T308" s="210"/>
      <c r="U308" s="415"/>
      <c r="V308" s="210"/>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row>
    <row r="309">
      <c r="A309" s="415"/>
      <c r="B309" s="210"/>
      <c r="C309" s="415"/>
      <c r="D309" s="210"/>
      <c r="E309" s="415"/>
      <c r="F309" s="210"/>
      <c r="G309" s="415"/>
      <c r="H309" s="210"/>
      <c r="I309" s="415"/>
      <c r="J309" s="210"/>
      <c r="K309" s="415"/>
      <c r="L309" s="210"/>
      <c r="M309" s="415"/>
      <c r="N309" s="210"/>
      <c r="O309" s="415"/>
      <c r="P309" s="210"/>
      <c r="Q309" s="438"/>
      <c r="R309" s="34"/>
      <c r="S309" s="415"/>
      <c r="T309" s="210"/>
      <c r="U309" s="415"/>
      <c r="V309" s="210"/>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row>
    <row r="310">
      <c r="A310" s="415"/>
      <c r="B310" s="210"/>
      <c r="C310" s="415"/>
      <c r="D310" s="210"/>
      <c r="E310" s="415"/>
      <c r="F310" s="210"/>
      <c r="G310" s="415"/>
      <c r="H310" s="210"/>
      <c r="I310" s="415"/>
      <c r="J310" s="210"/>
      <c r="K310" s="415"/>
      <c r="L310" s="210"/>
      <c r="M310" s="415"/>
      <c r="N310" s="210"/>
      <c r="O310" s="415"/>
      <c r="P310" s="210"/>
      <c r="Q310" s="438"/>
      <c r="R310" s="34"/>
      <c r="S310" s="415"/>
      <c r="T310" s="210"/>
      <c r="U310" s="415"/>
      <c r="V310" s="210"/>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row>
    <row r="311">
      <c r="A311" s="415"/>
      <c r="B311" s="210"/>
      <c r="C311" s="415"/>
      <c r="D311" s="210"/>
      <c r="E311" s="415"/>
      <c r="F311" s="210"/>
      <c r="G311" s="415"/>
      <c r="H311" s="210"/>
      <c r="I311" s="415"/>
      <c r="J311" s="210"/>
      <c r="K311" s="415"/>
      <c r="L311" s="210"/>
      <c r="M311" s="415"/>
      <c r="N311" s="210"/>
      <c r="O311" s="415"/>
      <c r="P311" s="210"/>
      <c r="Q311" s="438"/>
      <c r="R311" s="34"/>
      <c r="S311" s="415"/>
      <c r="T311" s="210"/>
      <c r="U311" s="415"/>
      <c r="V311" s="210"/>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row>
    <row r="312">
      <c r="A312" s="415"/>
      <c r="B312" s="210"/>
      <c r="C312" s="415"/>
      <c r="D312" s="210"/>
      <c r="E312" s="415"/>
      <c r="F312" s="210"/>
      <c r="G312" s="415"/>
      <c r="H312" s="210"/>
      <c r="I312" s="415"/>
      <c r="J312" s="210"/>
      <c r="K312" s="415"/>
      <c r="L312" s="210"/>
      <c r="M312" s="415"/>
      <c r="N312" s="210"/>
      <c r="O312" s="415"/>
      <c r="P312" s="210"/>
      <c r="Q312" s="438"/>
      <c r="R312" s="34"/>
      <c r="S312" s="415"/>
      <c r="T312" s="210"/>
      <c r="U312" s="415"/>
      <c r="V312" s="210"/>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row>
    <row r="313">
      <c r="A313" s="415"/>
      <c r="B313" s="210"/>
      <c r="C313" s="415"/>
      <c r="D313" s="210"/>
      <c r="E313" s="415"/>
      <c r="F313" s="210"/>
      <c r="G313" s="415"/>
      <c r="H313" s="210"/>
      <c r="I313" s="415"/>
      <c r="J313" s="210"/>
      <c r="K313" s="415"/>
      <c r="L313" s="210"/>
      <c r="M313" s="415"/>
      <c r="N313" s="210"/>
      <c r="O313" s="415"/>
      <c r="P313" s="210"/>
      <c r="Q313" s="438"/>
      <c r="R313" s="34"/>
      <c r="S313" s="415"/>
      <c r="T313" s="210"/>
      <c r="U313" s="415"/>
      <c r="V313" s="210"/>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row>
    <row r="314">
      <c r="A314" s="415"/>
      <c r="B314" s="210"/>
      <c r="C314" s="415"/>
      <c r="D314" s="210"/>
      <c r="E314" s="415"/>
      <c r="F314" s="210"/>
      <c r="G314" s="415"/>
      <c r="H314" s="210"/>
      <c r="I314" s="415"/>
      <c r="J314" s="210"/>
      <c r="K314" s="415"/>
      <c r="L314" s="210"/>
      <c r="M314" s="415"/>
      <c r="N314" s="210"/>
      <c r="O314" s="415"/>
      <c r="P314" s="210"/>
      <c r="Q314" s="438"/>
      <c r="R314" s="34"/>
      <c r="S314" s="415"/>
      <c r="T314" s="210"/>
      <c r="U314" s="415"/>
      <c r="V314" s="210"/>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row>
    <row r="315">
      <c r="A315" s="415"/>
      <c r="B315" s="210"/>
      <c r="C315" s="415"/>
      <c r="D315" s="210"/>
      <c r="E315" s="415"/>
      <c r="F315" s="210"/>
      <c r="G315" s="415"/>
      <c r="H315" s="210"/>
      <c r="I315" s="415"/>
      <c r="J315" s="210"/>
      <c r="K315" s="415"/>
      <c r="L315" s="210"/>
      <c r="M315" s="415"/>
      <c r="N315" s="210"/>
      <c r="O315" s="415"/>
      <c r="P315" s="210"/>
      <c r="Q315" s="438"/>
      <c r="R315" s="34"/>
      <c r="S315" s="415"/>
      <c r="T315" s="210"/>
      <c r="U315" s="415"/>
      <c r="V315" s="210"/>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row>
    <row r="316">
      <c r="A316" s="415"/>
      <c r="B316" s="210"/>
      <c r="C316" s="415"/>
      <c r="D316" s="210"/>
      <c r="E316" s="415"/>
      <c r="F316" s="210"/>
      <c r="G316" s="415"/>
      <c r="H316" s="210"/>
      <c r="I316" s="415"/>
      <c r="J316" s="210"/>
      <c r="K316" s="415"/>
      <c r="L316" s="210"/>
      <c r="M316" s="415"/>
      <c r="N316" s="210"/>
      <c r="O316" s="415"/>
      <c r="P316" s="210"/>
      <c r="Q316" s="438"/>
      <c r="R316" s="34"/>
      <c r="S316" s="415"/>
      <c r="T316" s="210"/>
      <c r="U316" s="415"/>
      <c r="V316" s="210"/>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row>
    <row r="317">
      <c r="A317" s="415"/>
      <c r="B317" s="210"/>
      <c r="C317" s="415"/>
      <c r="D317" s="210"/>
      <c r="E317" s="415"/>
      <c r="F317" s="210"/>
      <c r="G317" s="415"/>
      <c r="H317" s="210"/>
      <c r="I317" s="415"/>
      <c r="J317" s="210"/>
      <c r="K317" s="415"/>
      <c r="L317" s="210"/>
      <c r="M317" s="415"/>
      <c r="N317" s="210"/>
      <c r="O317" s="415"/>
      <c r="P317" s="210"/>
      <c r="Q317" s="438"/>
      <c r="R317" s="34"/>
      <c r="S317" s="415"/>
      <c r="T317" s="210"/>
      <c r="U317" s="415"/>
      <c r="V317" s="210"/>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row>
    <row r="318">
      <c r="A318" s="415"/>
      <c r="B318" s="210"/>
      <c r="C318" s="415"/>
      <c r="D318" s="210"/>
      <c r="E318" s="415"/>
      <c r="F318" s="210"/>
      <c r="G318" s="415"/>
      <c r="H318" s="210"/>
      <c r="I318" s="415"/>
      <c r="J318" s="210"/>
      <c r="K318" s="415"/>
      <c r="L318" s="210"/>
      <c r="M318" s="415"/>
      <c r="N318" s="210"/>
      <c r="O318" s="415"/>
      <c r="P318" s="210"/>
      <c r="Q318" s="438"/>
      <c r="R318" s="34"/>
      <c r="S318" s="415"/>
      <c r="T318" s="210"/>
      <c r="U318" s="415"/>
      <c r="V318" s="210"/>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row>
    <row r="319">
      <c r="A319" s="415"/>
      <c r="B319" s="210"/>
      <c r="C319" s="415"/>
      <c r="D319" s="210"/>
      <c r="E319" s="415"/>
      <c r="F319" s="210"/>
      <c r="G319" s="415"/>
      <c r="H319" s="210"/>
      <c r="I319" s="415"/>
      <c r="J319" s="210"/>
      <c r="K319" s="415"/>
      <c r="L319" s="210"/>
      <c r="M319" s="415"/>
      <c r="N319" s="210"/>
      <c r="O319" s="415"/>
      <c r="P319" s="210"/>
      <c r="Q319" s="438"/>
      <c r="R319" s="34"/>
      <c r="S319" s="415"/>
      <c r="T319" s="210"/>
      <c r="U319" s="415"/>
      <c r="V319" s="210"/>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row>
    <row r="320">
      <c r="A320" s="415"/>
      <c r="B320" s="210"/>
      <c r="C320" s="415"/>
      <c r="D320" s="210"/>
      <c r="E320" s="415"/>
      <c r="F320" s="210"/>
      <c r="G320" s="415"/>
      <c r="H320" s="210"/>
      <c r="I320" s="415"/>
      <c r="J320" s="210"/>
      <c r="K320" s="415"/>
      <c r="L320" s="210"/>
      <c r="M320" s="415"/>
      <c r="N320" s="210"/>
      <c r="O320" s="415"/>
      <c r="P320" s="210"/>
      <c r="Q320" s="438"/>
      <c r="R320" s="34"/>
      <c r="S320" s="415"/>
      <c r="T320" s="210"/>
      <c r="U320" s="415"/>
      <c r="V320" s="210"/>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row>
    <row r="321">
      <c r="A321" s="415"/>
      <c r="B321" s="210"/>
      <c r="C321" s="415"/>
      <c r="D321" s="210"/>
      <c r="E321" s="415"/>
      <c r="F321" s="210"/>
      <c r="G321" s="415"/>
      <c r="H321" s="210"/>
      <c r="I321" s="415"/>
      <c r="J321" s="210"/>
      <c r="K321" s="415"/>
      <c r="L321" s="210"/>
      <c r="M321" s="415"/>
      <c r="N321" s="210"/>
      <c r="O321" s="415"/>
      <c r="P321" s="210"/>
      <c r="Q321" s="438"/>
      <c r="R321" s="34"/>
      <c r="S321" s="415"/>
      <c r="T321" s="210"/>
      <c r="U321" s="415"/>
      <c r="V321" s="210"/>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row>
    <row r="322">
      <c r="A322" s="415"/>
      <c r="B322" s="210"/>
      <c r="C322" s="415"/>
      <c r="D322" s="210"/>
      <c r="E322" s="415"/>
      <c r="F322" s="210"/>
      <c r="G322" s="415"/>
      <c r="H322" s="210"/>
      <c r="I322" s="415"/>
      <c r="J322" s="210"/>
      <c r="K322" s="415"/>
      <c r="L322" s="210"/>
      <c r="M322" s="415"/>
      <c r="N322" s="210"/>
      <c r="O322" s="415"/>
      <c r="P322" s="210"/>
      <c r="Q322" s="438"/>
      <c r="R322" s="34"/>
      <c r="S322" s="415"/>
      <c r="T322" s="210"/>
      <c r="U322" s="415"/>
      <c r="V322" s="210"/>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row>
    <row r="323">
      <c r="A323" s="415"/>
      <c r="B323" s="210"/>
      <c r="C323" s="415"/>
      <c r="D323" s="210"/>
      <c r="E323" s="415"/>
      <c r="F323" s="210"/>
      <c r="G323" s="415"/>
      <c r="H323" s="210"/>
      <c r="I323" s="415"/>
      <c r="J323" s="210"/>
      <c r="K323" s="415"/>
      <c r="L323" s="210"/>
      <c r="M323" s="415"/>
      <c r="N323" s="210"/>
      <c r="O323" s="415"/>
      <c r="P323" s="210"/>
      <c r="Q323" s="438"/>
      <c r="R323" s="34"/>
      <c r="S323" s="415"/>
      <c r="T323" s="210"/>
      <c r="U323" s="415"/>
      <c r="V323" s="210"/>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row>
    <row r="324">
      <c r="A324" s="415"/>
      <c r="B324" s="210"/>
      <c r="C324" s="415"/>
      <c r="D324" s="210"/>
      <c r="E324" s="415"/>
      <c r="F324" s="210"/>
      <c r="G324" s="415"/>
      <c r="H324" s="210"/>
      <c r="I324" s="415"/>
      <c r="J324" s="210"/>
      <c r="K324" s="415"/>
      <c r="L324" s="210"/>
      <c r="M324" s="415"/>
      <c r="N324" s="210"/>
      <c r="O324" s="415"/>
      <c r="P324" s="210"/>
      <c r="Q324" s="438"/>
      <c r="R324" s="34"/>
      <c r="S324" s="415"/>
      <c r="T324" s="210"/>
      <c r="U324" s="415"/>
      <c r="V324" s="210"/>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row>
    <row r="325">
      <c r="A325" s="415"/>
      <c r="B325" s="210"/>
      <c r="C325" s="415"/>
      <c r="D325" s="210"/>
      <c r="E325" s="415"/>
      <c r="F325" s="210"/>
      <c r="G325" s="415"/>
      <c r="H325" s="210"/>
      <c r="I325" s="415"/>
      <c r="J325" s="210"/>
      <c r="K325" s="415"/>
      <c r="L325" s="210"/>
      <c r="M325" s="415"/>
      <c r="N325" s="210"/>
      <c r="O325" s="415"/>
      <c r="P325" s="210"/>
      <c r="Q325" s="438"/>
      <c r="R325" s="34"/>
      <c r="S325" s="415"/>
      <c r="T325" s="210"/>
      <c r="U325" s="415"/>
      <c r="V325" s="210"/>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row>
    <row r="326">
      <c r="A326" s="415"/>
      <c r="B326" s="210"/>
      <c r="C326" s="415"/>
      <c r="D326" s="210"/>
      <c r="E326" s="415"/>
      <c r="F326" s="210"/>
      <c r="G326" s="415"/>
      <c r="H326" s="210"/>
      <c r="I326" s="415"/>
      <c r="J326" s="210"/>
      <c r="K326" s="415"/>
      <c r="L326" s="210"/>
      <c r="M326" s="415"/>
      <c r="N326" s="210"/>
      <c r="O326" s="415"/>
      <c r="P326" s="210"/>
      <c r="Q326" s="438"/>
      <c r="R326" s="34"/>
      <c r="S326" s="415"/>
      <c r="T326" s="210"/>
      <c r="U326" s="415"/>
      <c r="V326" s="210"/>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row>
    <row r="327">
      <c r="A327" s="415"/>
      <c r="B327" s="210"/>
      <c r="C327" s="415"/>
      <c r="D327" s="210"/>
      <c r="E327" s="415"/>
      <c r="F327" s="210"/>
      <c r="G327" s="415"/>
      <c r="H327" s="210"/>
      <c r="I327" s="415"/>
      <c r="J327" s="210"/>
      <c r="K327" s="415"/>
      <c r="L327" s="210"/>
      <c r="M327" s="415"/>
      <c r="N327" s="210"/>
      <c r="O327" s="415"/>
      <c r="P327" s="210"/>
      <c r="Q327" s="438"/>
      <c r="R327" s="34"/>
      <c r="S327" s="415"/>
      <c r="T327" s="210"/>
      <c r="U327" s="415"/>
      <c r="V327" s="210"/>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row>
    <row r="328">
      <c r="A328" s="415"/>
      <c r="B328" s="210"/>
      <c r="C328" s="415"/>
      <c r="D328" s="210"/>
      <c r="E328" s="415"/>
      <c r="F328" s="210"/>
      <c r="G328" s="415"/>
      <c r="H328" s="210"/>
      <c r="I328" s="415"/>
      <c r="J328" s="210"/>
      <c r="K328" s="415"/>
      <c r="L328" s="210"/>
      <c r="M328" s="415"/>
      <c r="N328" s="210"/>
      <c r="O328" s="415"/>
      <c r="P328" s="210"/>
      <c r="Q328" s="438"/>
      <c r="R328" s="34"/>
      <c r="S328" s="415"/>
      <c r="T328" s="210"/>
      <c r="U328" s="415"/>
      <c r="V328" s="210"/>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row>
    <row r="329">
      <c r="A329" s="415"/>
      <c r="B329" s="210"/>
      <c r="C329" s="415"/>
      <c r="D329" s="210"/>
      <c r="E329" s="415"/>
      <c r="F329" s="210"/>
      <c r="G329" s="415"/>
      <c r="H329" s="210"/>
      <c r="I329" s="415"/>
      <c r="J329" s="210"/>
      <c r="K329" s="415"/>
      <c r="L329" s="210"/>
      <c r="M329" s="415"/>
      <c r="N329" s="210"/>
      <c r="O329" s="415"/>
      <c r="P329" s="210"/>
      <c r="Q329" s="438"/>
      <c r="R329" s="34"/>
      <c r="S329" s="415"/>
      <c r="T329" s="210"/>
      <c r="U329" s="415"/>
      <c r="V329" s="210"/>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row>
    <row r="330">
      <c r="A330" s="415"/>
      <c r="B330" s="210"/>
      <c r="C330" s="415"/>
      <c r="D330" s="210"/>
      <c r="E330" s="415"/>
      <c r="F330" s="210"/>
      <c r="G330" s="415"/>
      <c r="H330" s="210"/>
      <c r="I330" s="415"/>
      <c r="J330" s="210"/>
      <c r="K330" s="415"/>
      <c r="L330" s="210"/>
      <c r="M330" s="415"/>
      <c r="N330" s="210"/>
      <c r="O330" s="415"/>
      <c r="P330" s="210"/>
      <c r="Q330" s="438"/>
      <c r="R330" s="34"/>
      <c r="S330" s="415"/>
      <c r="T330" s="210"/>
      <c r="U330" s="415"/>
      <c r="V330" s="210"/>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row>
    <row r="331">
      <c r="A331" s="415"/>
      <c r="B331" s="210"/>
      <c r="C331" s="415"/>
      <c r="D331" s="210"/>
      <c r="E331" s="415"/>
      <c r="F331" s="210"/>
      <c r="G331" s="415"/>
      <c r="H331" s="210"/>
      <c r="I331" s="415"/>
      <c r="J331" s="210"/>
      <c r="K331" s="415"/>
      <c r="L331" s="210"/>
      <c r="M331" s="415"/>
      <c r="N331" s="210"/>
      <c r="O331" s="415"/>
      <c r="P331" s="210"/>
      <c r="Q331" s="438"/>
      <c r="R331" s="34"/>
      <c r="S331" s="415"/>
      <c r="T331" s="210"/>
      <c r="U331" s="415"/>
      <c r="V331" s="210"/>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row>
    <row r="332">
      <c r="A332" s="415"/>
      <c r="B332" s="210"/>
      <c r="C332" s="415"/>
      <c r="D332" s="210"/>
      <c r="E332" s="415"/>
      <c r="F332" s="210"/>
      <c r="G332" s="415"/>
      <c r="H332" s="210"/>
      <c r="I332" s="415"/>
      <c r="J332" s="210"/>
      <c r="K332" s="415"/>
      <c r="L332" s="210"/>
      <c r="M332" s="415"/>
      <c r="N332" s="210"/>
      <c r="O332" s="415"/>
      <c r="P332" s="210"/>
      <c r="Q332" s="438"/>
      <c r="R332" s="34"/>
      <c r="S332" s="415"/>
      <c r="T332" s="210"/>
      <c r="U332" s="415"/>
      <c r="V332" s="210"/>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row>
    <row r="333">
      <c r="A333" s="415"/>
      <c r="B333" s="210"/>
      <c r="C333" s="415"/>
      <c r="D333" s="210"/>
      <c r="E333" s="415"/>
      <c r="F333" s="210"/>
      <c r="G333" s="415"/>
      <c r="H333" s="210"/>
      <c r="I333" s="415"/>
      <c r="J333" s="210"/>
      <c r="K333" s="415"/>
      <c r="L333" s="210"/>
      <c r="M333" s="415"/>
      <c r="N333" s="210"/>
      <c r="O333" s="415"/>
      <c r="P333" s="210"/>
      <c r="Q333" s="438"/>
      <c r="R333" s="34"/>
      <c r="S333" s="415"/>
      <c r="T333" s="210"/>
      <c r="U333" s="415"/>
      <c r="V333" s="210"/>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row>
    <row r="334">
      <c r="A334" s="415"/>
      <c r="B334" s="210"/>
      <c r="C334" s="415"/>
      <c r="D334" s="210"/>
      <c r="E334" s="415"/>
      <c r="F334" s="210"/>
      <c r="G334" s="415"/>
      <c r="H334" s="210"/>
      <c r="I334" s="415"/>
      <c r="J334" s="210"/>
      <c r="K334" s="415"/>
      <c r="L334" s="210"/>
      <c r="M334" s="415"/>
      <c r="N334" s="210"/>
      <c r="O334" s="415"/>
      <c r="P334" s="210"/>
      <c r="Q334" s="438"/>
      <c r="R334" s="34"/>
      <c r="S334" s="415"/>
      <c r="T334" s="210"/>
      <c r="U334" s="415"/>
      <c r="V334" s="210"/>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row>
    <row r="335">
      <c r="A335" s="415"/>
      <c r="B335" s="210"/>
      <c r="C335" s="415"/>
      <c r="D335" s="210"/>
      <c r="E335" s="415"/>
      <c r="F335" s="210"/>
      <c r="G335" s="415"/>
      <c r="H335" s="210"/>
      <c r="I335" s="415"/>
      <c r="J335" s="210"/>
      <c r="K335" s="415"/>
      <c r="L335" s="210"/>
      <c r="M335" s="415"/>
      <c r="N335" s="210"/>
      <c r="O335" s="415"/>
      <c r="P335" s="210"/>
      <c r="Q335" s="438"/>
      <c r="R335" s="34"/>
      <c r="S335" s="415"/>
      <c r="T335" s="210"/>
      <c r="U335" s="415"/>
      <c r="V335" s="210"/>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row>
    <row r="336">
      <c r="A336" s="415"/>
      <c r="B336" s="210"/>
      <c r="C336" s="415"/>
      <c r="D336" s="210"/>
      <c r="E336" s="415"/>
      <c r="F336" s="210"/>
      <c r="G336" s="415"/>
      <c r="H336" s="210"/>
      <c r="I336" s="415"/>
      <c r="J336" s="210"/>
      <c r="K336" s="415"/>
      <c r="L336" s="210"/>
      <c r="M336" s="415"/>
      <c r="N336" s="210"/>
      <c r="O336" s="415"/>
      <c r="P336" s="210"/>
      <c r="Q336" s="438"/>
      <c r="R336" s="34"/>
      <c r="S336" s="415"/>
      <c r="T336" s="210"/>
      <c r="U336" s="415"/>
      <c r="V336" s="210"/>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row>
    <row r="337">
      <c r="A337" s="415"/>
      <c r="B337" s="210"/>
      <c r="C337" s="415"/>
      <c r="D337" s="210"/>
      <c r="E337" s="415"/>
      <c r="F337" s="210"/>
      <c r="G337" s="415"/>
      <c r="H337" s="210"/>
      <c r="I337" s="415"/>
      <c r="J337" s="210"/>
      <c r="K337" s="415"/>
      <c r="L337" s="210"/>
      <c r="M337" s="415"/>
      <c r="N337" s="210"/>
      <c r="O337" s="415"/>
      <c r="P337" s="210"/>
      <c r="Q337" s="438"/>
      <c r="R337" s="34"/>
      <c r="S337" s="415"/>
      <c r="T337" s="210"/>
      <c r="U337" s="415"/>
      <c r="V337" s="210"/>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row>
    <row r="338">
      <c r="A338" s="415"/>
      <c r="B338" s="210"/>
      <c r="C338" s="415"/>
      <c r="D338" s="210"/>
      <c r="E338" s="415"/>
      <c r="F338" s="210"/>
      <c r="G338" s="415"/>
      <c r="H338" s="210"/>
      <c r="I338" s="415"/>
      <c r="J338" s="210"/>
      <c r="K338" s="415"/>
      <c r="L338" s="210"/>
      <c r="M338" s="415"/>
      <c r="N338" s="210"/>
      <c r="O338" s="415"/>
      <c r="P338" s="210"/>
      <c r="Q338" s="438"/>
      <c r="R338" s="34"/>
      <c r="S338" s="415"/>
      <c r="T338" s="210"/>
      <c r="U338" s="415"/>
      <c r="V338" s="210"/>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row>
    <row r="339">
      <c r="A339" s="415"/>
      <c r="B339" s="210"/>
      <c r="C339" s="415"/>
      <c r="D339" s="210"/>
      <c r="E339" s="415"/>
      <c r="F339" s="210"/>
      <c r="G339" s="415"/>
      <c r="H339" s="210"/>
      <c r="I339" s="415"/>
      <c r="J339" s="210"/>
      <c r="K339" s="415"/>
      <c r="L339" s="210"/>
      <c r="M339" s="415"/>
      <c r="N339" s="210"/>
      <c r="O339" s="415"/>
      <c r="P339" s="210"/>
      <c r="Q339" s="438"/>
      <c r="R339" s="34"/>
      <c r="S339" s="415"/>
      <c r="T339" s="210"/>
      <c r="U339" s="415"/>
      <c r="V339" s="210"/>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row>
    <row r="340">
      <c r="A340" s="415"/>
      <c r="B340" s="210"/>
      <c r="C340" s="415"/>
      <c r="D340" s="210"/>
      <c r="E340" s="415"/>
      <c r="F340" s="210"/>
      <c r="G340" s="415"/>
      <c r="H340" s="210"/>
      <c r="I340" s="415"/>
      <c r="J340" s="210"/>
      <c r="K340" s="415"/>
      <c r="L340" s="210"/>
      <c r="M340" s="415"/>
      <c r="N340" s="210"/>
      <c r="O340" s="415"/>
      <c r="P340" s="210"/>
      <c r="Q340" s="438"/>
      <c r="R340" s="34"/>
      <c r="S340" s="415"/>
      <c r="T340" s="210"/>
      <c r="U340" s="415"/>
      <c r="V340" s="210"/>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row>
    <row r="341">
      <c r="A341" s="415"/>
      <c r="B341" s="210"/>
      <c r="C341" s="415"/>
      <c r="D341" s="210"/>
      <c r="E341" s="415"/>
      <c r="F341" s="210"/>
      <c r="G341" s="415"/>
      <c r="H341" s="210"/>
      <c r="I341" s="415"/>
      <c r="J341" s="210"/>
      <c r="K341" s="415"/>
      <c r="L341" s="210"/>
      <c r="M341" s="415"/>
      <c r="N341" s="210"/>
      <c r="O341" s="415"/>
      <c r="P341" s="210"/>
      <c r="Q341" s="438"/>
      <c r="R341" s="34"/>
      <c r="S341" s="415"/>
      <c r="T341" s="210"/>
      <c r="U341" s="415"/>
      <c r="V341" s="210"/>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row>
    <row r="342">
      <c r="A342" s="415"/>
      <c r="B342" s="210"/>
      <c r="C342" s="415"/>
      <c r="D342" s="210"/>
      <c r="E342" s="415"/>
      <c r="F342" s="210"/>
      <c r="G342" s="415"/>
      <c r="H342" s="210"/>
      <c r="I342" s="415"/>
      <c r="J342" s="210"/>
      <c r="K342" s="415"/>
      <c r="L342" s="210"/>
      <c r="M342" s="415"/>
      <c r="N342" s="210"/>
      <c r="O342" s="415"/>
      <c r="P342" s="210"/>
      <c r="Q342" s="438"/>
      <c r="R342" s="34"/>
      <c r="S342" s="415"/>
      <c r="T342" s="210"/>
      <c r="U342" s="415"/>
      <c r="V342" s="210"/>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row>
    <row r="343">
      <c r="A343" s="415"/>
      <c r="B343" s="210"/>
      <c r="C343" s="415"/>
      <c r="D343" s="210"/>
      <c r="E343" s="415"/>
      <c r="F343" s="210"/>
      <c r="G343" s="415"/>
      <c r="H343" s="210"/>
      <c r="I343" s="415"/>
      <c r="J343" s="210"/>
      <c r="K343" s="415"/>
      <c r="L343" s="210"/>
      <c r="M343" s="415"/>
      <c r="N343" s="210"/>
      <c r="O343" s="415"/>
      <c r="P343" s="210"/>
      <c r="Q343" s="438"/>
      <c r="R343" s="34"/>
      <c r="S343" s="415"/>
      <c r="T343" s="210"/>
      <c r="U343" s="415"/>
      <c r="V343" s="210"/>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row>
    <row r="344">
      <c r="A344" s="415"/>
      <c r="B344" s="210"/>
      <c r="C344" s="415"/>
      <c r="D344" s="210"/>
      <c r="E344" s="415"/>
      <c r="F344" s="210"/>
      <c r="G344" s="415"/>
      <c r="H344" s="210"/>
      <c r="I344" s="415"/>
      <c r="J344" s="210"/>
      <c r="K344" s="415"/>
      <c r="L344" s="210"/>
      <c r="M344" s="415"/>
      <c r="N344" s="210"/>
      <c r="O344" s="415"/>
      <c r="P344" s="210"/>
      <c r="Q344" s="438"/>
      <c r="R344" s="34"/>
      <c r="S344" s="415"/>
      <c r="T344" s="210"/>
      <c r="U344" s="415"/>
      <c r="V344" s="210"/>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row>
    <row r="345">
      <c r="A345" s="415"/>
      <c r="B345" s="210"/>
      <c r="C345" s="415"/>
      <c r="D345" s="210"/>
      <c r="E345" s="415"/>
      <c r="F345" s="210"/>
      <c r="G345" s="415"/>
      <c r="H345" s="210"/>
      <c r="I345" s="415"/>
      <c r="J345" s="210"/>
      <c r="K345" s="415"/>
      <c r="L345" s="210"/>
      <c r="M345" s="415"/>
      <c r="N345" s="210"/>
      <c r="O345" s="415"/>
      <c r="P345" s="210"/>
      <c r="Q345" s="438"/>
      <c r="R345" s="34"/>
      <c r="S345" s="415"/>
      <c r="T345" s="210"/>
      <c r="U345" s="415"/>
      <c r="V345" s="210"/>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row>
    <row r="346">
      <c r="A346" s="415"/>
      <c r="B346" s="210"/>
      <c r="C346" s="415"/>
      <c r="D346" s="210"/>
      <c r="E346" s="415"/>
      <c r="F346" s="210"/>
      <c r="G346" s="415"/>
      <c r="H346" s="210"/>
      <c r="I346" s="415"/>
      <c r="J346" s="210"/>
      <c r="K346" s="415"/>
      <c r="L346" s="210"/>
      <c r="M346" s="415"/>
      <c r="N346" s="210"/>
      <c r="O346" s="415"/>
      <c r="P346" s="210"/>
      <c r="Q346" s="438"/>
      <c r="R346" s="34"/>
      <c r="S346" s="415"/>
      <c r="T346" s="210"/>
      <c r="U346" s="415"/>
      <c r="V346" s="210"/>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row>
    <row r="347">
      <c r="A347" s="415"/>
      <c r="B347" s="210"/>
      <c r="C347" s="415"/>
      <c r="D347" s="210"/>
      <c r="E347" s="415"/>
      <c r="F347" s="210"/>
      <c r="G347" s="415"/>
      <c r="H347" s="210"/>
      <c r="I347" s="415"/>
      <c r="J347" s="210"/>
      <c r="K347" s="415"/>
      <c r="L347" s="210"/>
      <c r="M347" s="415"/>
      <c r="N347" s="210"/>
      <c r="O347" s="415"/>
      <c r="P347" s="210"/>
      <c r="Q347" s="438"/>
      <c r="R347" s="34"/>
      <c r="S347" s="415"/>
      <c r="T347" s="210"/>
      <c r="U347" s="415"/>
      <c r="V347" s="210"/>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row>
    <row r="348">
      <c r="A348" s="415"/>
      <c r="B348" s="210"/>
      <c r="C348" s="415"/>
      <c r="D348" s="210"/>
      <c r="E348" s="415"/>
      <c r="F348" s="210"/>
      <c r="G348" s="415"/>
      <c r="H348" s="210"/>
      <c r="I348" s="415"/>
      <c r="J348" s="210"/>
      <c r="K348" s="415"/>
      <c r="L348" s="210"/>
      <c r="M348" s="415"/>
      <c r="N348" s="210"/>
      <c r="O348" s="415"/>
      <c r="P348" s="210"/>
      <c r="Q348" s="438"/>
      <c r="R348" s="34"/>
      <c r="S348" s="415"/>
      <c r="T348" s="210"/>
      <c r="U348" s="415"/>
      <c r="V348" s="210"/>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row>
    <row r="349">
      <c r="A349" s="415"/>
      <c r="B349" s="210"/>
      <c r="C349" s="415"/>
      <c r="D349" s="210"/>
      <c r="E349" s="415"/>
      <c r="F349" s="210"/>
      <c r="G349" s="415"/>
      <c r="H349" s="210"/>
      <c r="I349" s="415"/>
      <c r="J349" s="210"/>
      <c r="K349" s="415"/>
      <c r="L349" s="210"/>
      <c r="M349" s="415"/>
      <c r="N349" s="210"/>
      <c r="O349" s="415"/>
      <c r="P349" s="210"/>
      <c r="Q349" s="438"/>
      <c r="R349" s="34"/>
      <c r="S349" s="415"/>
      <c r="T349" s="210"/>
      <c r="U349" s="415"/>
      <c r="V349" s="210"/>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row>
    <row r="350">
      <c r="A350" s="415"/>
      <c r="B350" s="210"/>
      <c r="C350" s="415"/>
      <c r="D350" s="210"/>
      <c r="E350" s="415"/>
      <c r="F350" s="210"/>
      <c r="G350" s="415"/>
      <c r="H350" s="210"/>
      <c r="I350" s="415"/>
      <c r="J350" s="210"/>
      <c r="K350" s="415"/>
      <c r="L350" s="210"/>
      <c r="M350" s="415"/>
      <c r="N350" s="210"/>
      <c r="O350" s="415"/>
      <c r="P350" s="210"/>
      <c r="Q350" s="438"/>
      <c r="R350" s="34"/>
      <c r="S350" s="415"/>
      <c r="T350" s="210"/>
      <c r="U350" s="415"/>
      <c r="V350" s="210"/>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row>
    <row r="351">
      <c r="A351" s="415"/>
      <c r="B351" s="210"/>
      <c r="C351" s="415"/>
      <c r="D351" s="210"/>
      <c r="E351" s="415"/>
      <c r="F351" s="210"/>
      <c r="G351" s="415"/>
      <c r="H351" s="210"/>
      <c r="I351" s="415"/>
      <c r="J351" s="210"/>
      <c r="K351" s="415"/>
      <c r="L351" s="210"/>
      <c r="M351" s="415"/>
      <c r="N351" s="210"/>
      <c r="O351" s="415"/>
      <c r="P351" s="210"/>
      <c r="Q351" s="438"/>
      <c r="R351" s="34"/>
      <c r="S351" s="415"/>
      <c r="T351" s="210"/>
      <c r="U351" s="415"/>
      <c r="V351" s="210"/>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row>
    <row r="352">
      <c r="A352" s="415"/>
      <c r="B352" s="210"/>
      <c r="C352" s="415"/>
      <c r="D352" s="210"/>
      <c r="E352" s="415"/>
      <c r="F352" s="210"/>
      <c r="G352" s="415"/>
      <c r="H352" s="210"/>
      <c r="I352" s="415"/>
      <c r="J352" s="210"/>
      <c r="K352" s="415"/>
      <c r="L352" s="210"/>
      <c r="M352" s="415"/>
      <c r="N352" s="210"/>
      <c r="O352" s="415"/>
      <c r="P352" s="210"/>
      <c r="Q352" s="438"/>
      <c r="R352" s="34"/>
      <c r="S352" s="415"/>
      <c r="T352" s="210"/>
      <c r="U352" s="415"/>
      <c r="V352" s="210"/>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row>
    <row r="353">
      <c r="A353" s="415"/>
      <c r="B353" s="210"/>
      <c r="C353" s="415"/>
      <c r="D353" s="210"/>
      <c r="E353" s="415"/>
      <c r="F353" s="210"/>
      <c r="G353" s="415"/>
      <c r="H353" s="210"/>
      <c r="I353" s="415"/>
      <c r="J353" s="210"/>
      <c r="K353" s="415"/>
      <c r="L353" s="210"/>
      <c r="M353" s="415"/>
      <c r="N353" s="210"/>
      <c r="O353" s="415"/>
      <c r="P353" s="210"/>
      <c r="Q353" s="438"/>
      <c r="R353" s="34"/>
      <c r="S353" s="415"/>
      <c r="T353" s="210"/>
      <c r="U353" s="415"/>
      <c r="V353" s="210"/>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row>
    <row r="354">
      <c r="A354" s="415"/>
      <c r="B354" s="210"/>
      <c r="C354" s="415"/>
      <c r="D354" s="210"/>
      <c r="E354" s="415"/>
      <c r="F354" s="210"/>
      <c r="G354" s="415"/>
      <c r="H354" s="210"/>
      <c r="I354" s="415"/>
      <c r="J354" s="210"/>
      <c r="K354" s="415"/>
      <c r="L354" s="210"/>
      <c r="M354" s="415"/>
      <c r="N354" s="210"/>
      <c r="O354" s="415"/>
      <c r="P354" s="210"/>
      <c r="Q354" s="438"/>
      <c r="R354" s="34"/>
      <c r="S354" s="415"/>
      <c r="T354" s="210"/>
      <c r="U354" s="415"/>
      <c r="V354" s="210"/>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row>
    <row r="355">
      <c r="A355" s="415"/>
      <c r="B355" s="210"/>
      <c r="C355" s="415"/>
      <c r="D355" s="210"/>
      <c r="E355" s="415"/>
      <c r="F355" s="210"/>
      <c r="G355" s="415"/>
      <c r="H355" s="210"/>
      <c r="I355" s="415"/>
      <c r="J355" s="210"/>
      <c r="K355" s="415"/>
      <c r="L355" s="210"/>
      <c r="M355" s="415"/>
      <c r="N355" s="210"/>
      <c r="O355" s="415"/>
      <c r="P355" s="210"/>
      <c r="Q355" s="438"/>
      <c r="R355" s="34"/>
      <c r="S355" s="415"/>
      <c r="T355" s="210"/>
      <c r="U355" s="415"/>
      <c r="V355" s="210"/>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row>
    <row r="356">
      <c r="A356" s="415"/>
      <c r="B356" s="210"/>
      <c r="C356" s="415"/>
      <c r="D356" s="210"/>
      <c r="E356" s="415"/>
      <c r="F356" s="210"/>
      <c r="G356" s="415"/>
      <c r="H356" s="210"/>
      <c r="I356" s="415"/>
      <c r="J356" s="210"/>
      <c r="K356" s="415"/>
      <c r="L356" s="210"/>
      <c r="M356" s="415"/>
      <c r="N356" s="210"/>
      <c r="O356" s="415"/>
      <c r="P356" s="210"/>
      <c r="Q356" s="438"/>
      <c r="R356" s="34"/>
      <c r="S356" s="415"/>
      <c r="T356" s="210"/>
      <c r="U356" s="415"/>
      <c r="V356" s="210"/>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row>
    <row r="357">
      <c r="A357" s="415"/>
      <c r="B357" s="210"/>
      <c r="C357" s="415"/>
      <c r="D357" s="210"/>
      <c r="E357" s="415"/>
      <c r="F357" s="210"/>
      <c r="G357" s="415"/>
      <c r="H357" s="210"/>
      <c r="I357" s="415"/>
      <c r="J357" s="210"/>
      <c r="K357" s="415"/>
      <c r="L357" s="210"/>
      <c r="M357" s="415"/>
      <c r="N357" s="210"/>
      <c r="O357" s="415"/>
      <c r="P357" s="210"/>
      <c r="Q357" s="438"/>
      <c r="R357" s="34"/>
      <c r="S357" s="415"/>
      <c r="T357" s="210"/>
      <c r="U357" s="415"/>
      <c r="V357" s="210"/>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row>
    <row r="358">
      <c r="A358" s="415"/>
      <c r="B358" s="210"/>
      <c r="C358" s="415"/>
      <c r="D358" s="210"/>
      <c r="E358" s="415"/>
      <c r="F358" s="210"/>
      <c r="G358" s="415"/>
      <c r="H358" s="210"/>
      <c r="I358" s="415"/>
      <c r="J358" s="210"/>
      <c r="K358" s="415"/>
      <c r="L358" s="210"/>
      <c r="M358" s="415"/>
      <c r="N358" s="210"/>
      <c r="O358" s="415"/>
      <c r="P358" s="210"/>
      <c r="Q358" s="438"/>
      <c r="R358" s="34"/>
      <c r="S358" s="415"/>
      <c r="T358" s="210"/>
      <c r="U358" s="415"/>
      <c r="V358" s="210"/>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row>
    <row r="359">
      <c r="A359" s="415"/>
      <c r="B359" s="210"/>
      <c r="C359" s="415"/>
      <c r="D359" s="210"/>
      <c r="E359" s="415"/>
      <c r="F359" s="210"/>
      <c r="G359" s="415"/>
      <c r="H359" s="210"/>
      <c r="I359" s="415"/>
      <c r="J359" s="210"/>
      <c r="K359" s="415"/>
      <c r="L359" s="210"/>
      <c r="M359" s="415"/>
      <c r="N359" s="210"/>
      <c r="O359" s="415"/>
      <c r="P359" s="210"/>
      <c r="Q359" s="438"/>
      <c r="R359" s="34"/>
      <c r="S359" s="415"/>
      <c r="T359" s="210"/>
      <c r="U359" s="415"/>
      <c r="V359" s="210"/>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row>
    <row r="360">
      <c r="A360" s="415"/>
      <c r="B360" s="210"/>
      <c r="C360" s="415"/>
      <c r="D360" s="210"/>
      <c r="E360" s="415"/>
      <c r="F360" s="210"/>
      <c r="G360" s="415"/>
      <c r="H360" s="210"/>
      <c r="I360" s="415"/>
      <c r="J360" s="210"/>
      <c r="K360" s="415"/>
      <c r="L360" s="210"/>
      <c r="M360" s="415"/>
      <c r="N360" s="210"/>
      <c r="O360" s="415"/>
      <c r="P360" s="210"/>
      <c r="Q360" s="438"/>
      <c r="R360" s="34"/>
      <c r="S360" s="415"/>
      <c r="T360" s="210"/>
      <c r="U360" s="415"/>
      <c r="V360" s="210"/>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row>
    <row r="361">
      <c r="A361" s="415"/>
      <c r="B361" s="210"/>
      <c r="C361" s="415"/>
      <c r="D361" s="210"/>
      <c r="E361" s="415"/>
      <c r="F361" s="210"/>
      <c r="G361" s="415"/>
      <c r="H361" s="210"/>
      <c r="I361" s="415"/>
      <c r="J361" s="210"/>
      <c r="K361" s="415"/>
      <c r="L361" s="210"/>
      <c r="M361" s="415"/>
      <c r="N361" s="210"/>
      <c r="O361" s="415"/>
      <c r="P361" s="210"/>
      <c r="Q361" s="438"/>
      <c r="R361" s="34"/>
      <c r="S361" s="415"/>
      <c r="T361" s="210"/>
      <c r="U361" s="415"/>
      <c r="V361" s="210"/>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row>
    <row r="362">
      <c r="A362" s="415"/>
      <c r="B362" s="210"/>
      <c r="C362" s="415"/>
      <c r="D362" s="210"/>
      <c r="E362" s="415"/>
      <c r="F362" s="210"/>
      <c r="G362" s="415"/>
      <c r="H362" s="210"/>
      <c r="I362" s="415"/>
      <c r="J362" s="210"/>
      <c r="K362" s="415"/>
      <c r="L362" s="210"/>
      <c r="M362" s="415"/>
      <c r="N362" s="210"/>
      <c r="O362" s="415"/>
      <c r="P362" s="210"/>
      <c r="Q362" s="438"/>
      <c r="R362" s="34"/>
      <c r="S362" s="415"/>
      <c r="T362" s="210"/>
      <c r="U362" s="415"/>
      <c r="V362" s="210"/>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row>
    <row r="363">
      <c r="A363" s="415"/>
      <c r="B363" s="210"/>
      <c r="C363" s="415"/>
      <c r="D363" s="210"/>
      <c r="E363" s="415"/>
      <c r="F363" s="210"/>
      <c r="G363" s="415"/>
      <c r="H363" s="210"/>
      <c r="I363" s="415"/>
      <c r="J363" s="210"/>
      <c r="K363" s="415"/>
      <c r="L363" s="210"/>
      <c r="M363" s="415"/>
      <c r="N363" s="210"/>
      <c r="O363" s="415"/>
      <c r="P363" s="210"/>
      <c r="Q363" s="438"/>
      <c r="R363" s="34"/>
      <c r="S363" s="415"/>
      <c r="T363" s="210"/>
      <c r="U363" s="415"/>
      <c r="V363" s="210"/>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row>
    <row r="364">
      <c r="A364" s="415"/>
      <c r="B364" s="210"/>
      <c r="C364" s="415"/>
      <c r="D364" s="210"/>
      <c r="E364" s="415"/>
      <c r="F364" s="210"/>
      <c r="G364" s="415"/>
      <c r="H364" s="210"/>
      <c r="I364" s="415"/>
      <c r="J364" s="210"/>
      <c r="K364" s="415"/>
      <c r="L364" s="210"/>
      <c r="M364" s="415"/>
      <c r="N364" s="210"/>
      <c r="O364" s="415"/>
      <c r="P364" s="210"/>
      <c r="Q364" s="438"/>
      <c r="R364" s="34"/>
      <c r="S364" s="415"/>
      <c r="T364" s="210"/>
      <c r="U364" s="415"/>
      <c r="V364" s="210"/>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row>
    <row r="365">
      <c r="A365" s="415"/>
      <c r="B365" s="210"/>
      <c r="C365" s="415"/>
      <c r="D365" s="210"/>
      <c r="E365" s="415"/>
      <c r="F365" s="210"/>
      <c r="G365" s="415"/>
      <c r="H365" s="210"/>
      <c r="I365" s="415"/>
      <c r="J365" s="210"/>
      <c r="K365" s="415"/>
      <c r="L365" s="210"/>
      <c r="M365" s="415"/>
      <c r="N365" s="210"/>
      <c r="O365" s="415"/>
      <c r="P365" s="210"/>
      <c r="Q365" s="438"/>
      <c r="R365" s="34"/>
      <c r="S365" s="415"/>
      <c r="T365" s="210"/>
      <c r="U365" s="415"/>
      <c r="V365" s="210"/>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row>
    <row r="366">
      <c r="A366" s="415"/>
      <c r="B366" s="210"/>
      <c r="C366" s="415"/>
      <c r="D366" s="210"/>
      <c r="E366" s="415"/>
      <c r="F366" s="210"/>
      <c r="G366" s="415"/>
      <c r="H366" s="210"/>
      <c r="I366" s="415"/>
      <c r="J366" s="210"/>
      <c r="K366" s="415"/>
      <c r="L366" s="210"/>
      <c r="M366" s="415"/>
      <c r="N366" s="210"/>
      <c r="O366" s="415"/>
      <c r="P366" s="210"/>
      <c r="Q366" s="438"/>
      <c r="R366" s="34"/>
      <c r="S366" s="415"/>
      <c r="T366" s="210"/>
      <c r="U366" s="415"/>
      <c r="V366" s="210"/>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row>
    <row r="367">
      <c r="A367" s="415"/>
      <c r="B367" s="210"/>
      <c r="C367" s="415"/>
      <c r="D367" s="210"/>
      <c r="E367" s="415"/>
      <c r="F367" s="210"/>
      <c r="G367" s="415"/>
      <c r="H367" s="210"/>
      <c r="I367" s="415"/>
      <c r="J367" s="210"/>
      <c r="K367" s="415"/>
      <c r="L367" s="210"/>
      <c r="M367" s="415"/>
      <c r="N367" s="210"/>
      <c r="O367" s="415"/>
      <c r="P367" s="210"/>
      <c r="Q367" s="438"/>
      <c r="R367" s="34"/>
      <c r="S367" s="415"/>
      <c r="T367" s="210"/>
      <c r="U367" s="415"/>
      <c r="V367" s="210"/>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row>
    <row r="368">
      <c r="A368" s="415"/>
      <c r="B368" s="210"/>
      <c r="C368" s="415"/>
      <c r="D368" s="210"/>
      <c r="E368" s="415"/>
      <c r="F368" s="210"/>
      <c r="G368" s="415"/>
      <c r="H368" s="210"/>
      <c r="I368" s="415"/>
      <c r="J368" s="210"/>
      <c r="K368" s="415"/>
      <c r="L368" s="210"/>
      <c r="M368" s="415"/>
      <c r="N368" s="210"/>
      <c r="O368" s="415"/>
      <c r="P368" s="210"/>
      <c r="Q368" s="438"/>
      <c r="R368" s="34"/>
      <c r="S368" s="415"/>
      <c r="T368" s="210"/>
      <c r="U368" s="415"/>
      <c r="V368" s="210"/>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row>
    <row r="369">
      <c r="A369" s="415"/>
      <c r="B369" s="210"/>
      <c r="C369" s="415"/>
      <c r="D369" s="210"/>
      <c r="E369" s="415"/>
      <c r="F369" s="210"/>
      <c r="G369" s="415"/>
      <c r="H369" s="210"/>
      <c r="I369" s="415"/>
      <c r="J369" s="210"/>
      <c r="K369" s="415"/>
      <c r="L369" s="210"/>
      <c r="M369" s="415"/>
      <c r="N369" s="210"/>
      <c r="O369" s="415"/>
      <c r="P369" s="210"/>
      <c r="Q369" s="438"/>
      <c r="R369" s="34"/>
      <c r="S369" s="415"/>
      <c r="T369" s="210"/>
      <c r="U369" s="415"/>
      <c r="V369" s="210"/>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row>
    <row r="370">
      <c r="A370" s="415"/>
      <c r="B370" s="210"/>
      <c r="C370" s="415"/>
      <c r="D370" s="210"/>
      <c r="E370" s="415"/>
      <c r="F370" s="210"/>
      <c r="G370" s="415"/>
      <c r="H370" s="210"/>
      <c r="I370" s="415"/>
      <c r="J370" s="210"/>
      <c r="K370" s="415"/>
      <c r="L370" s="210"/>
      <c r="M370" s="415"/>
      <c r="N370" s="210"/>
      <c r="O370" s="415"/>
      <c r="P370" s="210"/>
      <c r="Q370" s="438"/>
      <c r="R370" s="34"/>
      <c r="S370" s="415"/>
      <c r="T370" s="210"/>
      <c r="U370" s="415"/>
      <c r="V370" s="210"/>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row>
    <row r="371">
      <c r="A371" s="415"/>
      <c r="B371" s="210"/>
      <c r="C371" s="415"/>
      <c r="D371" s="210"/>
      <c r="E371" s="415"/>
      <c r="F371" s="210"/>
      <c r="G371" s="415"/>
      <c r="H371" s="210"/>
      <c r="I371" s="415"/>
      <c r="J371" s="210"/>
      <c r="K371" s="415"/>
      <c r="L371" s="210"/>
      <c r="M371" s="415"/>
      <c r="N371" s="210"/>
      <c r="O371" s="415"/>
      <c r="P371" s="210"/>
      <c r="Q371" s="438"/>
      <c r="R371" s="34"/>
      <c r="S371" s="415"/>
      <c r="T371" s="210"/>
      <c r="U371" s="415"/>
      <c r="V371" s="210"/>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row>
    <row r="372">
      <c r="A372" s="415"/>
      <c r="B372" s="210"/>
      <c r="C372" s="415"/>
      <c r="D372" s="210"/>
      <c r="E372" s="415"/>
      <c r="F372" s="210"/>
      <c r="G372" s="415"/>
      <c r="H372" s="210"/>
      <c r="I372" s="415"/>
      <c r="J372" s="210"/>
      <c r="K372" s="415"/>
      <c r="L372" s="210"/>
      <c r="M372" s="415"/>
      <c r="N372" s="210"/>
      <c r="O372" s="415"/>
      <c r="P372" s="210"/>
      <c r="Q372" s="438"/>
      <c r="R372" s="34"/>
      <c r="S372" s="415"/>
      <c r="T372" s="210"/>
      <c r="U372" s="415"/>
      <c r="V372" s="210"/>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row>
    <row r="373">
      <c r="A373" s="415"/>
      <c r="B373" s="210"/>
      <c r="C373" s="415"/>
      <c r="D373" s="210"/>
      <c r="E373" s="415"/>
      <c r="F373" s="210"/>
      <c r="G373" s="415"/>
      <c r="H373" s="210"/>
      <c r="I373" s="415"/>
      <c r="J373" s="210"/>
      <c r="K373" s="415"/>
      <c r="L373" s="210"/>
      <c r="M373" s="415"/>
      <c r="N373" s="210"/>
      <c r="O373" s="415"/>
      <c r="P373" s="210"/>
      <c r="Q373" s="438"/>
      <c r="R373" s="34"/>
      <c r="S373" s="415"/>
      <c r="T373" s="210"/>
      <c r="U373" s="415"/>
      <c r="V373" s="210"/>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row>
    <row r="374">
      <c r="A374" s="415"/>
      <c r="B374" s="210"/>
      <c r="C374" s="415"/>
      <c r="D374" s="210"/>
      <c r="E374" s="415"/>
      <c r="F374" s="210"/>
      <c r="G374" s="415"/>
      <c r="H374" s="210"/>
      <c r="I374" s="415"/>
      <c r="J374" s="210"/>
      <c r="K374" s="415"/>
      <c r="L374" s="210"/>
      <c r="M374" s="415"/>
      <c r="N374" s="210"/>
      <c r="O374" s="415"/>
      <c r="P374" s="210"/>
      <c r="Q374" s="438"/>
      <c r="R374" s="34"/>
      <c r="S374" s="415"/>
      <c r="T374" s="210"/>
      <c r="U374" s="415"/>
      <c r="V374" s="210"/>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row>
    <row r="375">
      <c r="A375" s="415"/>
      <c r="B375" s="210"/>
      <c r="C375" s="415"/>
      <c r="D375" s="210"/>
      <c r="E375" s="415"/>
      <c r="F375" s="210"/>
      <c r="G375" s="415"/>
      <c r="H375" s="210"/>
      <c r="I375" s="415"/>
      <c r="J375" s="210"/>
      <c r="K375" s="415"/>
      <c r="L375" s="210"/>
      <c r="M375" s="415"/>
      <c r="N375" s="210"/>
      <c r="O375" s="415"/>
      <c r="P375" s="210"/>
      <c r="Q375" s="438"/>
      <c r="R375" s="34"/>
      <c r="S375" s="415"/>
      <c r="T375" s="210"/>
      <c r="U375" s="415"/>
      <c r="V375" s="210"/>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row>
    <row r="376">
      <c r="A376" s="415"/>
      <c r="B376" s="210"/>
      <c r="C376" s="415"/>
      <c r="D376" s="210"/>
      <c r="E376" s="415"/>
      <c r="F376" s="210"/>
      <c r="G376" s="415"/>
      <c r="H376" s="210"/>
      <c r="I376" s="415"/>
      <c r="J376" s="210"/>
      <c r="K376" s="415"/>
      <c r="L376" s="210"/>
      <c r="M376" s="415"/>
      <c r="N376" s="210"/>
      <c r="O376" s="415"/>
      <c r="P376" s="210"/>
      <c r="Q376" s="438"/>
      <c r="R376" s="34"/>
      <c r="S376" s="415"/>
      <c r="T376" s="210"/>
      <c r="U376" s="415"/>
      <c r="V376" s="210"/>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row>
    <row r="377">
      <c r="A377" s="415"/>
      <c r="B377" s="210"/>
      <c r="C377" s="415"/>
      <c r="D377" s="210"/>
      <c r="E377" s="415"/>
      <c r="F377" s="210"/>
      <c r="G377" s="415"/>
      <c r="H377" s="210"/>
      <c r="I377" s="415"/>
      <c r="J377" s="210"/>
      <c r="K377" s="415"/>
      <c r="L377" s="210"/>
      <c r="M377" s="415"/>
      <c r="N377" s="210"/>
      <c r="O377" s="415"/>
      <c r="P377" s="210"/>
      <c r="Q377" s="438"/>
      <c r="R377" s="34"/>
      <c r="S377" s="415"/>
      <c r="T377" s="210"/>
      <c r="U377" s="415"/>
      <c r="V377" s="210"/>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row>
    <row r="378">
      <c r="A378" s="415"/>
      <c r="B378" s="210"/>
      <c r="C378" s="415"/>
      <c r="D378" s="210"/>
      <c r="E378" s="415"/>
      <c r="F378" s="210"/>
      <c r="G378" s="415"/>
      <c r="H378" s="210"/>
      <c r="I378" s="415"/>
      <c r="J378" s="210"/>
      <c r="K378" s="415"/>
      <c r="L378" s="210"/>
      <c r="M378" s="415"/>
      <c r="N378" s="210"/>
      <c r="O378" s="415"/>
      <c r="P378" s="210"/>
      <c r="Q378" s="438"/>
      <c r="R378" s="34"/>
      <c r="S378" s="415"/>
      <c r="T378" s="210"/>
      <c r="U378" s="415"/>
      <c r="V378" s="210"/>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row>
    <row r="379">
      <c r="A379" s="415"/>
      <c r="B379" s="210"/>
      <c r="C379" s="415"/>
      <c r="D379" s="210"/>
      <c r="E379" s="415"/>
      <c r="F379" s="210"/>
      <c r="G379" s="415"/>
      <c r="H379" s="210"/>
      <c r="I379" s="415"/>
      <c r="J379" s="210"/>
      <c r="K379" s="415"/>
      <c r="L379" s="210"/>
      <c r="M379" s="415"/>
      <c r="N379" s="210"/>
      <c r="O379" s="415"/>
      <c r="P379" s="210"/>
      <c r="Q379" s="438"/>
      <c r="R379" s="34"/>
      <c r="S379" s="415"/>
      <c r="T379" s="210"/>
      <c r="U379" s="415"/>
      <c r="V379" s="210"/>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row>
    <row r="380">
      <c r="A380" s="415"/>
      <c r="B380" s="210"/>
      <c r="C380" s="415"/>
      <c r="D380" s="210"/>
      <c r="E380" s="415"/>
      <c r="F380" s="210"/>
      <c r="G380" s="415"/>
      <c r="H380" s="210"/>
      <c r="I380" s="415"/>
      <c r="J380" s="210"/>
      <c r="K380" s="415"/>
      <c r="L380" s="210"/>
      <c r="M380" s="415"/>
      <c r="N380" s="210"/>
      <c r="O380" s="415"/>
      <c r="P380" s="210"/>
      <c r="Q380" s="438"/>
      <c r="R380" s="34"/>
      <c r="S380" s="415"/>
      <c r="T380" s="210"/>
      <c r="U380" s="415"/>
      <c r="V380" s="210"/>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row>
    <row r="381">
      <c r="A381" s="415"/>
      <c r="B381" s="210"/>
      <c r="C381" s="415"/>
      <c r="D381" s="210"/>
      <c r="E381" s="415"/>
      <c r="F381" s="210"/>
      <c r="G381" s="415"/>
      <c r="H381" s="210"/>
      <c r="I381" s="415"/>
      <c r="J381" s="210"/>
      <c r="K381" s="415"/>
      <c r="L381" s="210"/>
      <c r="M381" s="415"/>
      <c r="N381" s="210"/>
      <c r="O381" s="415"/>
      <c r="P381" s="210"/>
      <c r="Q381" s="438"/>
      <c r="R381" s="34"/>
      <c r="S381" s="415"/>
      <c r="T381" s="210"/>
      <c r="U381" s="415"/>
      <c r="V381" s="210"/>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row>
    <row r="382">
      <c r="A382" s="415"/>
      <c r="B382" s="210"/>
      <c r="C382" s="415"/>
      <c r="D382" s="210"/>
      <c r="E382" s="415"/>
      <c r="F382" s="210"/>
      <c r="G382" s="415"/>
      <c r="H382" s="210"/>
      <c r="I382" s="415"/>
      <c r="J382" s="210"/>
      <c r="K382" s="415"/>
      <c r="L382" s="210"/>
      <c r="M382" s="415"/>
      <c r="N382" s="210"/>
      <c r="O382" s="415"/>
      <c r="P382" s="210"/>
      <c r="Q382" s="438"/>
      <c r="R382" s="34"/>
      <c r="S382" s="415"/>
      <c r="T382" s="210"/>
      <c r="U382" s="415"/>
      <c r="V382" s="210"/>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row>
    <row r="383">
      <c r="A383" s="415"/>
      <c r="B383" s="210"/>
      <c r="C383" s="415"/>
      <c r="D383" s="210"/>
      <c r="E383" s="415"/>
      <c r="F383" s="210"/>
      <c r="G383" s="415"/>
      <c r="H383" s="210"/>
      <c r="I383" s="415"/>
      <c r="J383" s="210"/>
      <c r="K383" s="415"/>
      <c r="L383" s="210"/>
      <c r="M383" s="415"/>
      <c r="N383" s="210"/>
      <c r="O383" s="415"/>
      <c r="P383" s="210"/>
      <c r="Q383" s="438"/>
      <c r="R383" s="34"/>
      <c r="S383" s="415"/>
      <c r="T383" s="210"/>
      <c r="U383" s="415"/>
      <c r="V383" s="210"/>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row>
    <row r="384">
      <c r="A384" s="415"/>
      <c r="B384" s="210"/>
      <c r="C384" s="415"/>
      <c r="D384" s="210"/>
      <c r="E384" s="415"/>
      <c r="F384" s="210"/>
      <c r="G384" s="415"/>
      <c r="H384" s="210"/>
      <c r="I384" s="415"/>
      <c r="J384" s="210"/>
      <c r="K384" s="415"/>
      <c r="L384" s="210"/>
      <c r="M384" s="415"/>
      <c r="N384" s="210"/>
      <c r="O384" s="415"/>
      <c r="P384" s="210"/>
      <c r="Q384" s="438"/>
      <c r="R384" s="34"/>
      <c r="S384" s="415"/>
      <c r="T384" s="210"/>
      <c r="U384" s="415"/>
      <c r="V384" s="210"/>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row>
    <row r="385">
      <c r="A385" s="415"/>
      <c r="B385" s="210"/>
      <c r="C385" s="415"/>
      <c r="D385" s="210"/>
      <c r="E385" s="415"/>
      <c r="F385" s="210"/>
      <c r="G385" s="415"/>
      <c r="H385" s="210"/>
      <c r="I385" s="415"/>
      <c r="J385" s="210"/>
      <c r="K385" s="415"/>
      <c r="L385" s="210"/>
      <c r="M385" s="415"/>
      <c r="N385" s="210"/>
      <c r="O385" s="415"/>
      <c r="P385" s="210"/>
      <c r="Q385" s="438"/>
      <c r="R385" s="34"/>
      <c r="S385" s="415"/>
      <c r="T385" s="210"/>
      <c r="U385" s="415"/>
      <c r="V385" s="210"/>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row>
    <row r="386">
      <c r="A386" s="415"/>
      <c r="B386" s="210"/>
      <c r="C386" s="415"/>
      <c r="D386" s="210"/>
      <c r="E386" s="415"/>
      <c r="F386" s="210"/>
      <c r="G386" s="415"/>
      <c r="H386" s="210"/>
      <c r="I386" s="415"/>
      <c r="J386" s="210"/>
      <c r="K386" s="415"/>
      <c r="L386" s="210"/>
      <c r="M386" s="415"/>
      <c r="N386" s="210"/>
      <c r="O386" s="415"/>
      <c r="P386" s="210"/>
      <c r="Q386" s="438"/>
      <c r="R386" s="34"/>
      <c r="S386" s="415"/>
      <c r="T386" s="210"/>
      <c r="U386" s="415"/>
      <c r="V386" s="210"/>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row>
    <row r="387">
      <c r="A387" s="415"/>
      <c r="B387" s="210"/>
      <c r="C387" s="415"/>
      <c r="D387" s="210"/>
      <c r="E387" s="415"/>
      <c r="F387" s="210"/>
      <c r="G387" s="415"/>
      <c r="H387" s="210"/>
      <c r="I387" s="415"/>
      <c r="J387" s="210"/>
      <c r="K387" s="415"/>
      <c r="L387" s="210"/>
      <c r="M387" s="415"/>
      <c r="N387" s="210"/>
      <c r="O387" s="415"/>
      <c r="P387" s="210"/>
      <c r="Q387" s="438"/>
      <c r="R387" s="34"/>
      <c r="S387" s="415"/>
      <c r="T387" s="210"/>
      <c r="U387" s="415"/>
      <c r="V387" s="210"/>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row>
    <row r="388">
      <c r="A388" s="415"/>
      <c r="B388" s="210"/>
      <c r="C388" s="415"/>
      <c r="D388" s="210"/>
      <c r="E388" s="415"/>
      <c r="F388" s="210"/>
      <c r="G388" s="415"/>
      <c r="H388" s="210"/>
      <c r="I388" s="415"/>
      <c r="J388" s="210"/>
      <c r="K388" s="415"/>
      <c r="L388" s="210"/>
      <c r="M388" s="415"/>
      <c r="N388" s="210"/>
      <c r="O388" s="415"/>
      <c r="P388" s="210"/>
      <c r="Q388" s="438"/>
      <c r="R388" s="34"/>
      <c r="S388" s="415"/>
      <c r="T388" s="210"/>
      <c r="U388" s="415"/>
      <c r="V388" s="210"/>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row>
    <row r="389">
      <c r="A389" s="415"/>
      <c r="B389" s="210"/>
      <c r="C389" s="415"/>
      <c r="D389" s="210"/>
      <c r="E389" s="415"/>
      <c r="F389" s="210"/>
      <c r="G389" s="415"/>
      <c r="H389" s="210"/>
      <c r="I389" s="415"/>
      <c r="J389" s="210"/>
      <c r="K389" s="415"/>
      <c r="L389" s="210"/>
      <c r="M389" s="415"/>
      <c r="N389" s="210"/>
      <c r="O389" s="415"/>
      <c r="P389" s="210"/>
      <c r="Q389" s="438"/>
      <c r="R389" s="34"/>
      <c r="S389" s="415"/>
      <c r="T389" s="210"/>
      <c r="U389" s="415"/>
      <c r="V389" s="210"/>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row>
    <row r="390">
      <c r="A390" s="415"/>
      <c r="B390" s="210"/>
      <c r="C390" s="415"/>
      <c r="D390" s="210"/>
      <c r="E390" s="415"/>
      <c r="F390" s="210"/>
      <c r="G390" s="415"/>
      <c r="H390" s="210"/>
      <c r="I390" s="415"/>
      <c r="J390" s="210"/>
      <c r="K390" s="415"/>
      <c r="L390" s="210"/>
      <c r="M390" s="415"/>
      <c r="N390" s="210"/>
      <c r="O390" s="415"/>
      <c r="P390" s="210"/>
      <c r="Q390" s="438"/>
      <c r="R390" s="34"/>
      <c r="S390" s="415"/>
      <c r="T390" s="210"/>
      <c r="U390" s="415"/>
      <c r="V390" s="210"/>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row>
    <row r="391">
      <c r="A391" s="415"/>
      <c r="B391" s="210"/>
      <c r="C391" s="415"/>
      <c r="D391" s="210"/>
      <c r="E391" s="415"/>
      <c r="F391" s="210"/>
      <c r="G391" s="415"/>
      <c r="H391" s="210"/>
      <c r="I391" s="415"/>
      <c r="J391" s="210"/>
      <c r="K391" s="415"/>
      <c r="L391" s="210"/>
      <c r="M391" s="415"/>
      <c r="N391" s="210"/>
      <c r="O391" s="415"/>
      <c r="P391" s="210"/>
      <c r="Q391" s="438"/>
      <c r="R391" s="34"/>
      <c r="S391" s="415"/>
      <c r="T391" s="210"/>
      <c r="U391" s="415"/>
      <c r="V391" s="210"/>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row>
    <row r="392">
      <c r="A392" s="415"/>
      <c r="B392" s="210"/>
      <c r="C392" s="415"/>
      <c r="D392" s="210"/>
      <c r="E392" s="415"/>
      <c r="F392" s="210"/>
      <c r="G392" s="415"/>
      <c r="H392" s="210"/>
      <c r="I392" s="415"/>
      <c r="J392" s="210"/>
      <c r="K392" s="415"/>
      <c r="L392" s="210"/>
      <c r="M392" s="415"/>
      <c r="N392" s="210"/>
      <c r="O392" s="415"/>
      <c r="P392" s="210"/>
      <c r="Q392" s="438"/>
      <c r="R392" s="34"/>
      <c r="S392" s="415"/>
      <c r="T392" s="210"/>
      <c r="U392" s="415"/>
      <c r="V392" s="210"/>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row>
    <row r="393">
      <c r="A393" s="415"/>
      <c r="B393" s="210"/>
      <c r="C393" s="415"/>
      <c r="D393" s="210"/>
      <c r="E393" s="415"/>
      <c r="F393" s="210"/>
      <c r="G393" s="415"/>
      <c r="H393" s="210"/>
      <c r="I393" s="415"/>
      <c r="J393" s="210"/>
      <c r="K393" s="415"/>
      <c r="L393" s="210"/>
      <c r="M393" s="415"/>
      <c r="N393" s="210"/>
      <c r="O393" s="415"/>
      <c r="P393" s="210"/>
      <c r="Q393" s="438"/>
      <c r="R393" s="34"/>
      <c r="S393" s="415"/>
      <c r="T393" s="210"/>
      <c r="U393" s="415"/>
      <c r="V393" s="210"/>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row>
    <row r="394">
      <c r="A394" s="415"/>
      <c r="B394" s="210"/>
      <c r="C394" s="415"/>
      <c r="D394" s="210"/>
      <c r="E394" s="415"/>
      <c r="F394" s="210"/>
      <c r="G394" s="415"/>
      <c r="H394" s="210"/>
      <c r="I394" s="415"/>
      <c r="J394" s="210"/>
      <c r="K394" s="415"/>
      <c r="L394" s="210"/>
      <c r="M394" s="415"/>
      <c r="N394" s="210"/>
      <c r="O394" s="415"/>
      <c r="P394" s="210"/>
      <c r="Q394" s="438"/>
      <c r="R394" s="34"/>
      <c r="S394" s="415"/>
      <c r="T394" s="210"/>
      <c r="U394" s="415"/>
      <c r="V394" s="210"/>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row>
    <row r="395">
      <c r="A395" s="415"/>
      <c r="B395" s="210"/>
      <c r="C395" s="415"/>
      <c r="D395" s="210"/>
      <c r="E395" s="415"/>
      <c r="F395" s="210"/>
      <c r="G395" s="415"/>
      <c r="H395" s="210"/>
      <c r="I395" s="415"/>
      <c r="J395" s="210"/>
      <c r="K395" s="415"/>
      <c r="L395" s="210"/>
      <c r="M395" s="415"/>
      <c r="N395" s="210"/>
      <c r="O395" s="415"/>
      <c r="P395" s="210"/>
      <c r="Q395" s="438"/>
      <c r="R395" s="34"/>
      <c r="S395" s="415"/>
      <c r="T395" s="210"/>
      <c r="U395" s="415"/>
      <c r="V395" s="210"/>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row>
    <row r="396">
      <c r="A396" s="415"/>
      <c r="B396" s="210"/>
      <c r="C396" s="415"/>
      <c r="D396" s="210"/>
      <c r="E396" s="415"/>
      <c r="F396" s="210"/>
      <c r="G396" s="415"/>
      <c r="H396" s="210"/>
      <c r="I396" s="415"/>
      <c r="J396" s="210"/>
      <c r="K396" s="415"/>
      <c r="L396" s="210"/>
      <c r="M396" s="415"/>
      <c r="N396" s="210"/>
      <c r="O396" s="415"/>
      <c r="P396" s="210"/>
      <c r="Q396" s="438"/>
      <c r="R396" s="34"/>
      <c r="S396" s="415"/>
      <c r="T396" s="210"/>
      <c r="U396" s="415"/>
      <c r="V396" s="210"/>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row>
    <row r="397">
      <c r="A397" s="415"/>
      <c r="B397" s="210"/>
      <c r="C397" s="415"/>
      <c r="D397" s="210"/>
      <c r="E397" s="415"/>
      <c r="F397" s="210"/>
      <c r="G397" s="415"/>
      <c r="H397" s="210"/>
      <c r="I397" s="415"/>
      <c r="J397" s="210"/>
      <c r="K397" s="415"/>
      <c r="L397" s="210"/>
      <c r="M397" s="415"/>
      <c r="N397" s="210"/>
      <c r="O397" s="415"/>
      <c r="P397" s="210"/>
      <c r="Q397" s="438"/>
      <c r="R397" s="34"/>
      <c r="S397" s="415"/>
      <c r="T397" s="210"/>
      <c r="U397" s="415"/>
      <c r="V397" s="210"/>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row>
    <row r="398">
      <c r="A398" s="415"/>
      <c r="B398" s="210"/>
      <c r="C398" s="415"/>
      <c r="D398" s="210"/>
      <c r="E398" s="415"/>
      <c r="F398" s="210"/>
      <c r="G398" s="415"/>
      <c r="H398" s="210"/>
      <c r="I398" s="415"/>
      <c r="J398" s="210"/>
      <c r="K398" s="415"/>
      <c r="L398" s="210"/>
      <c r="M398" s="415"/>
      <c r="N398" s="210"/>
      <c r="O398" s="415"/>
      <c r="P398" s="210"/>
      <c r="Q398" s="438"/>
      <c r="R398" s="34"/>
      <c r="S398" s="415"/>
      <c r="T398" s="210"/>
      <c r="U398" s="415"/>
      <c r="V398" s="210"/>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row>
    <row r="399">
      <c r="A399" s="415"/>
      <c r="B399" s="210"/>
      <c r="C399" s="415"/>
      <c r="D399" s="210"/>
      <c r="E399" s="415"/>
      <c r="F399" s="210"/>
      <c r="G399" s="415"/>
      <c r="H399" s="210"/>
      <c r="I399" s="415"/>
      <c r="J399" s="210"/>
      <c r="K399" s="415"/>
      <c r="L399" s="210"/>
      <c r="M399" s="415"/>
      <c r="N399" s="210"/>
      <c r="O399" s="415"/>
      <c r="P399" s="210"/>
      <c r="Q399" s="438"/>
      <c r="R399" s="34"/>
      <c r="S399" s="415"/>
      <c r="T399" s="210"/>
      <c r="U399" s="415"/>
      <c r="V399" s="210"/>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row>
    <row r="400">
      <c r="A400" s="415"/>
      <c r="B400" s="210"/>
      <c r="C400" s="415"/>
      <c r="D400" s="210"/>
      <c r="E400" s="415"/>
      <c r="F400" s="210"/>
      <c r="G400" s="415"/>
      <c r="H400" s="210"/>
      <c r="I400" s="415"/>
      <c r="J400" s="210"/>
      <c r="K400" s="415"/>
      <c r="L400" s="210"/>
      <c r="M400" s="415"/>
      <c r="N400" s="210"/>
      <c r="O400" s="415"/>
      <c r="P400" s="210"/>
      <c r="Q400" s="438"/>
      <c r="R400" s="34"/>
      <c r="S400" s="415"/>
      <c r="T400" s="210"/>
      <c r="U400" s="415"/>
      <c r="V400" s="210"/>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row>
    <row r="401">
      <c r="A401" s="415"/>
      <c r="B401" s="210"/>
      <c r="C401" s="415"/>
      <c r="D401" s="210"/>
      <c r="E401" s="415"/>
      <c r="F401" s="210"/>
      <c r="G401" s="415"/>
      <c r="H401" s="210"/>
      <c r="I401" s="415"/>
      <c r="J401" s="210"/>
      <c r="K401" s="415"/>
      <c r="L401" s="210"/>
      <c r="M401" s="415"/>
      <c r="N401" s="210"/>
      <c r="O401" s="415"/>
      <c r="P401" s="210"/>
      <c r="Q401" s="438"/>
      <c r="R401" s="34"/>
      <c r="S401" s="415"/>
      <c r="T401" s="210"/>
      <c r="U401" s="415"/>
      <c r="V401" s="210"/>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row>
    <row r="402">
      <c r="A402" s="415"/>
      <c r="B402" s="210"/>
      <c r="C402" s="415"/>
      <c r="D402" s="210"/>
      <c r="E402" s="415"/>
      <c r="F402" s="210"/>
      <c r="G402" s="415"/>
      <c r="H402" s="210"/>
      <c r="I402" s="415"/>
      <c r="J402" s="210"/>
      <c r="K402" s="415"/>
      <c r="L402" s="210"/>
      <c r="M402" s="415"/>
      <c r="N402" s="210"/>
      <c r="O402" s="415"/>
      <c r="P402" s="210"/>
      <c r="Q402" s="438"/>
      <c r="R402" s="34"/>
      <c r="S402" s="415"/>
      <c r="T402" s="210"/>
      <c r="U402" s="415"/>
      <c r="V402" s="210"/>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row>
    <row r="403">
      <c r="A403" s="415"/>
      <c r="B403" s="210"/>
      <c r="C403" s="415"/>
      <c r="D403" s="210"/>
      <c r="E403" s="415"/>
      <c r="F403" s="210"/>
      <c r="G403" s="415"/>
      <c r="H403" s="210"/>
      <c r="I403" s="415"/>
      <c r="J403" s="210"/>
      <c r="K403" s="415"/>
      <c r="L403" s="210"/>
      <c r="M403" s="415"/>
      <c r="N403" s="210"/>
      <c r="O403" s="415"/>
      <c r="P403" s="210"/>
      <c r="Q403" s="438"/>
      <c r="R403" s="34"/>
      <c r="S403" s="415"/>
      <c r="T403" s="210"/>
      <c r="U403" s="415"/>
      <c r="V403" s="210"/>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row>
    <row r="404">
      <c r="A404" s="415"/>
      <c r="B404" s="210"/>
      <c r="C404" s="415"/>
      <c r="D404" s="210"/>
      <c r="E404" s="415"/>
      <c r="F404" s="210"/>
      <c r="G404" s="415"/>
      <c r="H404" s="210"/>
      <c r="I404" s="415"/>
      <c r="J404" s="210"/>
      <c r="K404" s="415"/>
      <c r="L404" s="210"/>
      <c r="M404" s="415"/>
      <c r="N404" s="210"/>
      <c r="O404" s="415"/>
      <c r="P404" s="210"/>
      <c r="Q404" s="438"/>
      <c r="R404" s="34"/>
      <c r="S404" s="415"/>
      <c r="T404" s="210"/>
      <c r="U404" s="415"/>
      <c r="V404" s="210"/>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row>
    <row r="405">
      <c r="A405" s="415"/>
      <c r="B405" s="210"/>
      <c r="C405" s="415"/>
      <c r="D405" s="210"/>
      <c r="E405" s="415"/>
      <c r="F405" s="210"/>
      <c r="G405" s="415"/>
      <c r="H405" s="210"/>
      <c r="I405" s="415"/>
      <c r="J405" s="210"/>
      <c r="K405" s="415"/>
      <c r="L405" s="210"/>
      <c r="M405" s="415"/>
      <c r="N405" s="210"/>
      <c r="O405" s="415"/>
      <c r="P405" s="210"/>
      <c r="Q405" s="438"/>
      <c r="R405" s="34"/>
      <c r="S405" s="415"/>
      <c r="T405" s="210"/>
      <c r="U405" s="415"/>
      <c r="V405" s="210"/>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row>
    <row r="406">
      <c r="A406" s="415"/>
      <c r="B406" s="210"/>
      <c r="C406" s="415"/>
      <c r="D406" s="210"/>
      <c r="E406" s="415"/>
      <c r="F406" s="210"/>
      <c r="G406" s="415"/>
      <c r="H406" s="210"/>
      <c r="I406" s="415"/>
      <c r="J406" s="210"/>
      <c r="K406" s="415"/>
      <c r="L406" s="210"/>
      <c r="M406" s="415"/>
      <c r="N406" s="210"/>
      <c r="O406" s="415"/>
      <c r="P406" s="210"/>
      <c r="Q406" s="438"/>
      <c r="R406" s="34"/>
      <c r="S406" s="415"/>
      <c r="T406" s="210"/>
      <c r="U406" s="415"/>
      <c r="V406" s="210"/>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row>
    <row r="407">
      <c r="A407" s="415"/>
      <c r="B407" s="210"/>
      <c r="C407" s="415"/>
      <c r="D407" s="210"/>
      <c r="E407" s="415"/>
      <c r="F407" s="210"/>
      <c r="G407" s="415"/>
      <c r="H407" s="210"/>
      <c r="I407" s="415"/>
      <c r="J407" s="210"/>
      <c r="K407" s="415"/>
      <c r="L407" s="210"/>
      <c r="M407" s="415"/>
      <c r="N407" s="210"/>
      <c r="O407" s="415"/>
      <c r="P407" s="210"/>
      <c r="Q407" s="438"/>
      <c r="R407" s="34"/>
      <c r="S407" s="415"/>
      <c r="T407" s="210"/>
      <c r="U407" s="415"/>
      <c r="V407" s="210"/>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row>
    <row r="408">
      <c r="A408" s="415"/>
      <c r="B408" s="210"/>
      <c r="C408" s="415"/>
      <c r="D408" s="210"/>
      <c r="E408" s="415"/>
      <c r="F408" s="210"/>
      <c r="G408" s="415"/>
      <c r="H408" s="210"/>
      <c r="I408" s="415"/>
      <c r="J408" s="210"/>
      <c r="K408" s="415"/>
      <c r="L408" s="210"/>
      <c r="M408" s="415"/>
      <c r="N408" s="210"/>
      <c r="O408" s="415"/>
      <c r="P408" s="210"/>
      <c r="Q408" s="438"/>
      <c r="R408" s="34"/>
      <c r="S408" s="415"/>
      <c r="T408" s="210"/>
      <c r="U408" s="415"/>
      <c r="V408" s="210"/>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row>
    <row r="409">
      <c r="A409" s="415"/>
      <c r="B409" s="210"/>
      <c r="C409" s="415"/>
      <c r="D409" s="210"/>
      <c r="E409" s="415"/>
      <c r="F409" s="210"/>
      <c r="G409" s="415"/>
      <c r="H409" s="210"/>
      <c r="I409" s="415"/>
      <c r="J409" s="210"/>
      <c r="K409" s="415"/>
      <c r="L409" s="210"/>
      <c r="M409" s="415"/>
      <c r="N409" s="210"/>
      <c r="O409" s="415"/>
      <c r="P409" s="210"/>
      <c r="Q409" s="438"/>
      <c r="R409" s="34"/>
      <c r="S409" s="415"/>
      <c r="T409" s="210"/>
      <c r="U409" s="415"/>
      <c r="V409" s="210"/>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row>
    <row r="410">
      <c r="A410" s="415"/>
      <c r="B410" s="210"/>
      <c r="C410" s="415"/>
      <c r="D410" s="210"/>
      <c r="E410" s="415"/>
      <c r="F410" s="210"/>
      <c r="G410" s="415"/>
      <c r="H410" s="210"/>
      <c r="I410" s="415"/>
      <c r="J410" s="210"/>
      <c r="K410" s="415"/>
      <c r="L410" s="210"/>
      <c r="M410" s="415"/>
      <c r="N410" s="210"/>
      <c r="O410" s="415"/>
      <c r="P410" s="210"/>
      <c r="Q410" s="438"/>
      <c r="R410" s="34"/>
      <c r="S410" s="415"/>
      <c r="T410" s="210"/>
      <c r="U410" s="415"/>
      <c r="V410" s="210"/>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row>
    <row r="411">
      <c r="A411" s="415"/>
      <c r="B411" s="210"/>
      <c r="C411" s="415"/>
      <c r="D411" s="210"/>
      <c r="E411" s="415"/>
      <c r="F411" s="210"/>
      <c r="G411" s="415"/>
      <c r="H411" s="210"/>
      <c r="I411" s="415"/>
      <c r="J411" s="210"/>
      <c r="K411" s="415"/>
      <c r="L411" s="210"/>
      <c r="M411" s="415"/>
      <c r="N411" s="210"/>
      <c r="O411" s="415"/>
      <c r="P411" s="210"/>
      <c r="Q411" s="438"/>
      <c r="R411" s="34"/>
      <c r="S411" s="415"/>
      <c r="T411" s="210"/>
      <c r="U411" s="415"/>
      <c r="V411" s="210"/>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row>
    <row r="412">
      <c r="A412" s="415"/>
      <c r="B412" s="210"/>
      <c r="C412" s="415"/>
      <c r="D412" s="210"/>
      <c r="E412" s="415"/>
      <c r="F412" s="210"/>
      <c r="G412" s="415"/>
      <c r="H412" s="210"/>
      <c r="I412" s="415"/>
      <c r="J412" s="210"/>
      <c r="K412" s="415"/>
      <c r="L412" s="210"/>
      <c r="M412" s="415"/>
      <c r="N412" s="210"/>
      <c r="O412" s="415"/>
      <c r="P412" s="210"/>
      <c r="Q412" s="438"/>
      <c r="R412" s="34"/>
      <c r="S412" s="415"/>
      <c r="T412" s="210"/>
      <c r="U412" s="415"/>
      <c r="V412" s="210"/>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row>
    <row r="413">
      <c r="A413" s="415"/>
      <c r="B413" s="210"/>
      <c r="C413" s="415"/>
      <c r="D413" s="210"/>
      <c r="E413" s="415"/>
      <c r="F413" s="210"/>
      <c r="G413" s="415"/>
      <c r="H413" s="210"/>
      <c r="I413" s="415"/>
      <c r="J413" s="210"/>
      <c r="K413" s="415"/>
      <c r="L413" s="210"/>
      <c r="M413" s="415"/>
      <c r="N413" s="210"/>
      <c r="O413" s="415"/>
      <c r="P413" s="210"/>
      <c r="Q413" s="438"/>
      <c r="R413" s="34"/>
      <c r="S413" s="415"/>
      <c r="T413" s="210"/>
      <c r="U413" s="415"/>
      <c r="V413" s="210"/>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row>
    <row r="414">
      <c r="A414" s="415"/>
      <c r="B414" s="210"/>
      <c r="C414" s="415"/>
      <c r="D414" s="210"/>
      <c r="E414" s="415"/>
      <c r="F414" s="210"/>
      <c r="G414" s="415"/>
      <c r="H414" s="210"/>
      <c r="I414" s="415"/>
      <c r="J414" s="210"/>
      <c r="K414" s="415"/>
      <c r="L414" s="210"/>
      <c r="M414" s="415"/>
      <c r="N414" s="210"/>
      <c r="O414" s="415"/>
      <c r="P414" s="210"/>
      <c r="Q414" s="438"/>
      <c r="R414" s="34"/>
      <c r="S414" s="415"/>
      <c r="T414" s="210"/>
      <c r="U414" s="415"/>
      <c r="V414" s="210"/>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row>
    <row r="415">
      <c r="A415" s="415"/>
      <c r="B415" s="210"/>
      <c r="C415" s="415"/>
      <c r="D415" s="210"/>
      <c r="E415" s="415"/>
      <c r="F415" s="210"/>
      <c r="G415" s="415"/>
      <c r="H415" s="210"/>
      <c r="I415" s="415"/>
      <c r="J415" s="210"/>
      <c r="K415" s="415"/>
      <c r="L415" s="210"/>
      <c r="M415" s="415"/>
      <c r="N415" s="210"/>
      <c r="O415" s="415"/>
      <c r="P415" s="210"/>
      <c r="Q415" s="438"/>
      <c r="R415" s="34"/>
      <c r="S415" s="415"/>
      <c r="T415" s="210"/>
      <c r="U415" s="415"/>
      <c r="V415" s="210"/>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row>
    <row r="416">
      <c r="A416" s="415"/>
      <c r="B416" s="210"/>
      <c r="C416" s="415"/>
      <c r="D416" s="210"/>
      <c r="E416" s="415"/>
      <c r="F416" s="210"/>
      <c r="G416" s="415"/>
      <c r="H416" s="210"/>
      <c r="I416" s="415"/>
      <c r="J416" s="210"/>
      <c r="K416" s="415"/>
      <c r="L416" s="210"/>
      <c r="M416" s="415"/>
      <c r="N416" s="210"/>
      <c r="O416" s="415"/>
      <c r="P416" s="210"/>
      <c r="Q416" s="438"/>
      <c r="R416" s="34"/>
      <c r="S416" s="415"/>
      <c r="T416" s="210"/>
      <c r="U416" s="415"/>
      <c r="V416" s="210"/>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row>
    <row r="417">
      <c r="A417" s="415"/>
      <c r="B417" s="210"/>
      <c r="C417" s="415"/>
      <c r="D417" s="210"/>
      <c r="E417" s="415"/>
      <c r="F417" s="210"/>
      <c r="G417" s="415"/>
      <c r="H417" s="210"/>
      <c r="I417" s="415"/>
      <c r="J417" s="210"/>
      <c r="K417" s="415"/>
      <c r="L417" s="210"/>
      <c r="M417" s="415"/>
      <c r="N417" s="210"/>
      <c r="O417" s="415"/>
      <c r="P417" s="210"/>
      <c r="Q417" s="438"/>
      <c r="R417" s="34"/>
      <c r="S417" s="415"/>
      <c r="T417" s="210"/>
      <c r="U417" s="415"/>
      <c r="V417" s="210"/>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row>
    <row r="418">
      <c r="A418" s="415"/>
      <c r="B418" s="210"/>
      <c r="C418" s="415"/>
      <c r="D418" s="210"/>
      <c r="E418" s="415"/>
      <c r="F418" s="210"/>
      <c r="G418" s="415"/>
      <c r="H418" s="210"/>
      <c r="I418" s="415"/>
      <c r="J418" s="210"/>
      <c r="K418" s="415"/>
      <c r="L418" s="210"/>
      <c r="M418" s="415"/>
      <c r="N418" s="210"/>
      <c r="O418" s="415"/>
      <c r="P418" s="210"/>
      <c r="Q418" s="438"/>
      <c r="R418" s="34"/>
      <c r="S418" s="415"/>
      <c r="T418" s="210"/>
      <c r="U418" s="415"/>
      <c r="V418" s="210"/>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row>
    <row r="419">
      <c r="A419" s="415"/>
      <c r="B419" s="210"/>
      <c r="C419" s="415"/>
      <c r="D419" s="210"/>
      <c r="E419" s="415"/>
      <c r="F419" s="210"/>
      <c r="G419" s="415"/>
      <c r="H419" s="210"/>
      <c r="I419" s="415"/>
      <c r="J419" s="210"/>
      <c r="K419" s="415"/>
      <c r="L419" s="210"/>
      <c r="M419" s="415"/>
      <c r="N419" s="210"/>
      <c r="O419" s="415"/>
      <c r="P419" s="210"/>
      <c r="Q419" s="438"/>
      <c r="R419" s="34"/>
      <c r="S419" s="415"/>
      <c r="T419" s="210"/>
      <c r="U419" s="415"/>
      <c r="V419" s="210"/>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row>
    <row r="420">
      <c r="A420" s="415"/>
      <c r="B420" s="210"/>
      <c r="C420" s="415"/>
      <c r="D420" s="210"/>
      <c r="E420" s="415"/>
      <c r="F420" s="210"/>
      <c r="G420" s="415"/>
      <c r="H420" s="210"/>
      <c r="I420" s="415"/>
      <c r="J420" s="210"/>
      <c r="K420" s="415"/>
      <c r="L420" s="210"/>
      <c r="M420" s="415"/>
      <c r="N420" s="210"/>
      <c r="O420" s="415"/>
      <c r="P420" s="210"/>
      <c r="Q420" s="438"/>
      <c r="R420" s="34"/>
      <c r="S420" s="415"/>
      <c r="T420" s="210"/>
      <c r="U420" s="415"/>
      <c r="V420" s="210"/>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row>
    <row r="421">
      <c r="A421" s="415"/>
      <c r="B421" s="210"/>
      <c r="C421" s="415"/>
      <c r="D421" s="210"/>
      <c r="E421" s="415"/>
      <c r="F421" s="210"/>
      <c r="G421" s="415"/>
      <c r="H421" s="210"/>
      <c r="I421" s="415"/>
      <c r="J421" s="210"/>
      <c r="K421" s="415"/>
      <c r="L421" s="210"/>
      <c r="M421" s="415"/>
      <c r="N421" s="210"/>
      <c r="O421" s="415"/>
      <c r="P421" s="210"/>
      <c r="Q421" s="438"/>
      <c r="R421" s="34"/>
      <c r="S421" s="415"/>
      <c r="T421" s="210"/>
      <c r="U421" s="415"/>
      <c r="V421" s="210"/>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row>
    <row r="422">
      <c r="A422" s="415"/>
      <c r="B422" s="210"/>
      <c r="C422" s="415"/>
      <c r="D422" s="210"/>
      <c r="E422" s="415"/>
      <c r="F422" s="210"/>
      <c r="G422" s="415"/>
      <c r="H422" s="210"/>
      <c r="I422" s="415"/>
      <c r="J422" s="210"/>
      <c r="K422" s="415"/>
      <c r="L422" s="210"/>
      <c r="M422" s="415"/>
      <c r="N422" s="210"/>
      <c r="O422" s="415"/>
      <c r="P422" s="210"/>
      <c r="Q422" s="438"/>
      <c r="R422" s="34"/>
      <c r="S422" s="415"/>
      <c r="T422" s="210"/>
      <c r="U422" s="415"/>
      <c r="V422" s="210"/>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row>
    <row r="423">
      <c r="A423" s="415"/>
      <c r="B423" s="210"/>
      <c r="C423" s="415"/>
      <c r="D423" s="210"/>
      <c r="E423" s="415"/>
      <c r="F423" s="210"/>
      <c r="G423" s="415"/>
      <c r="H423" s="210"/>
      <c r="I423" s="415"/>
      <c r="J423" s="210"/>
      <c r="K423" s="415"/>
      <c r="L423" s="210"/>
      <c r="M423" s="415"/>
      <c r="N423" s="210"/>
      <c r="O423" s="415"/>
      <c r="P423" s="210"/>
      <c r="Q423" s="438"/>
      <c r="R423" s="34"/>
      <c r="S423" s="415"/>
      <c r="T423" s="210"/>
      <c r="U423" s="415"/>
      <c r="V423" s="210"/>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row>
    <row r="424">
      <c r="A424" s="415"/>
      <c r="B424" s="210"/>
      <c r="C424" s="415"/>
      <c r="D424" s="210"/>
      <c r="E424" s="415"/>
      <c r="F424" s="210"/>
      <c r="G424" s="415"/>
      <c r="H424" s="210"/>
      <c r="I424" s="415"/>
      <c r="J424" s="210"/>
      <c r="K424" s="415"/>
      <c r="L424" s="210"/>
      <c r="M424" s="415"/>
      <c r="N424" s="210"/>
      <c r="O424" s="415"/>
      <c r="P424" s="210"/>
      <c r="Q424" s="438"/>
      <c r="R424" s="34"/>
      <c r="S424" s="415"/>
      <c r="T424" s="210"/>
      <c r="U424" s="415"/>
      <c r="V424" s="210"/>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row>
    <row r="425">
      <c r="A425" s="415"/>
      <c r="B425" s="210"/>
      <c r="C425" s="415"/>
      <c r="D425" s="210"/>
      <c r="E425" s="415"/>
      <c r="F425" s="210"/>
      <c r="G425" s="415"/>
      <c r="H425" s="210"/>
      <c r="I425" s="415"/>
      <c r="J425" s="210"/>
      <c r="K425" s="415"/>
      <c r="L425" s="210"/>
      <c r="M425" s="415"/>
      <c r="N425" s="210"/>
      <c r="O425" s="415"/>
      <c r="P425" s="210"/>
      <c r="Q425" s="438"/>
      <c r="R425" s="34"/>
      <c r="S425" s="415"/>
      <c r="T425" s="210"/>
      <c r="U425" s="415"/>
      <c r="V425" s="210"/>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row>
    <row r="426">
      <c r="A426" s="415"/>
      <c r="B426" s="210"/>
      <c r="C426" s="415"/>
      <c r="D426" s="210"/>
      <c r="E426" s="415"/>
      <c r="F426" s="210"/>
      <c r="G426" s="415"/>
      <c r="H426" s="210"/>
      <c r="I426" s="415"/>
      <c r="J426" s="210"/>
      <c r="K426" s="415"/>
      <c r="L426" s="210"/>
      <c r="M426" s="415"/>
      <c r="N426" s="210"/>
      <c r="O426" s="415"/>
      <c r="P426" s="210"/>
      <c r="Q426" s="438"/>
      <c r="R426" s="34"/>
      <c r="S426" s="415"/>
      <c r="T426" s="210"/>
      <c r="U426" s="415"/>
      <c r="V426" s="210"/>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row>
    <row r="427">
      <c r="A427" s="415"/>
      <c r="B427" s="210"/>
      <c r="C427" s="415"/>
      <c r="D427" s="210"/>
      <c r="E427" s="415"/>
      <c r="F427" s="210"/>
      <c r="G427" s="415"/>
      <c r="H427" s="210"/>
      <c r="I427" s="415"/>
      <c r="J427" s="210"/>
      <c r="K427" s="415"/>
      <c r="L427" s="210"/>
      <c r="M427" s="415"/>
      <c r="N427" s="210"/>
      <c r="O427" s="415"/>
      <c r="P427" s="210"/>
      <c r="Q427" s="438"/>
      <c r="R427" s="34"/>
      <c r="S427" s="415"/>
      <c r="T427" s="210"/>
      <c r="U427" s="415"/>
      <c r="V427" s="210"/>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row>
    <row r="428">
      <c r="A428" s="415"/>
      <c r="B428" s="210"/>
      <c r="C428" s="415"/>
      <c r="D428" s="210"/>
      <c r="E428" s="415"/>
      <c r="F428" s="210"/>
      <c r="G428" s="415"/>
      <c r="H428" s="210"/>
      <c r="I428" s="415"/>
      <c r="J428" s="210"/>
      <c r="K428" s="415"/>
      <c r="L428" s="210"/>
      <c r="M428" s="415"/>
      <c r="N428" s="210"/>
      <c r="O428" s="415"/>
      <c r="P428" s="210"/>
      <c r="Q428" s="438"/>
      <c r="R428" s="34"/>
      <c r="S428" s="415"/>
      <c r="T428" s="210"/>
      <c r="U428" s="415"/>
      <c r="V428" s="210"/>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row>
    <row r="429">
      <c r="A429" s="415"/>
      <c r="B429" s="210"/>
      <c r="C429" s="415"/>
      <c r="D429" s="210"/>
      <c r="E429" s="415"/>
      <c r="F429" s="210"/>
      <c r="G429" s="415"/>
      <c r="H429" s="210"/>
      <c r="I429" s="415"/>
      <c r="J429" s="210"/>
      <c r="K429" s="415"/>
      <c r="L429" s="210"/>
      <c r="M429" s="415"/>
      <c r="N429" s="210"/>
      <c r="O429" s="415"/>
      <c r="P429" s="210"/>
      <c r="Q429" s="438"/>
      <c r="R429" s="34"/>
      <c r="S429" s="415"/>
      <c r="T429" s="210"/>
      <c r="U429" s="415"/>
      <c r="V429" s="210"/>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row>
    <row r="430">
      <c r="A430" s="415"/>
      <c r="B430" s="210"/>
      <c r="C430" s="415"/>
      <c r="D430" s="210"/>
      <c r="E430" s="415"/>
      <c r="F430" s="210"/>
      <c r="G430" s="415"/>
      <c r="H430" s="210"/>
      <c r="I430" s="415"/>
      <c r="J430" s="210"/>
      <c r="K430" s="415"/>
      <c r="L430" s="210"/>
      <c r="M430" s="415"/>
      <c r="N430" s="210"/>
      <c r="O430" s="415"/>
      <c r="P430" s="210"/>
      <c r="Q430" s="438"/>
      <c r="R430" s="34"/>
      <c r="S430" s="415"/>
      <c r="T430" s="210"/>
      <c r="U430" s="415"/>
      <c r="V430" s="210"/>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row>
    <row r="431">
      <c r="A431" s="415"/>
      <c r="B431" s="210"/>
      <c r="C431" s="415"/>
      <c r="D431" s="210"/>
      <c r="E431" s="415"/>
      <c r="F431" s="210"/>
      <c r="G431" s="415"/>
      <c r="H431" s="210"/>
      <c r="I431" s="415"/>
      <c r="J431" s="210"/>
      <c r="K431" s="415"/>
      <c r="L431" s="210"/>
      <c r="M431" s="415"/>
      <c r="N431" s="210"/>
      <c r="O431" s="415"/>
      <c r="P431" s="210"/>
      <c r="Q431" s="438"/>
      <c r="R431" s="34"/>
      <c r="S431" s="415"/>
      <c r="T431" s="210"/>
      <c r="U431" s="415"/>
      <c r="V431" s="210"/>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row>
    <row r="432">
      <c r="A432" s="415"/>
      <c r="B432" s="210"/>
      <c r="C432" s="415"/>
      <c r="D432" s="210"/>
      <c r="E432" s="415"/>
      <c r="F432" s="210"/>
      <c r="G432" s="415"/>
      <c r="H432" s="210"/>
      <c r="I432" s="415"/>
      <c r="J432" s="210"/>
      <c r="K432" s="415"/>
      <c r="L432" s="210"/>
      <c r="M432" s="415"/>
      <c r="N432" s="210"/>
      <c r="O432" s="415"/>
      <c r="P432" s="210"/>
      <c r="Q432" s="438"/>
      <c r="R432" s="34"/>
      <c r="S432" s="415"/>
      <c r="T432" s="210"/>
      <c r="U432" s="415"/>
      <c r="V432" s="210"/>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row>
    <row r="433">
      <c r="A433" s="415"/>
      <c r="B433" s="210"/>
      <c r="C433" s="415"/>
      <c r="D433" s="210"/>
      <c r="E433" s="415"/>
      <c r="F433" s="210"/>
      <c r="G433" s="415"/>
      <c r="H433" s="210"/>
      <c r="I433" s="415"/>
      <c r="J433" s="210"/>
      <c r="K433" s="415"/>
      <c r="L433" s="210"/>
      <c r="M433" s="415"/>
      <c r="N433" s="210"/>
      <c r="O433" s="415"/>
      <c r="P433" s="210"/>
      <c r="Q433" s="438"/>
      <c r="R433" s="34"/>
      <c r="S433" s="415"/>
      <c r="T433" s="210"/>
      <c r="U433" s="415"/>
      <c r="V433" s="210"/>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row>
    <row r="434">
      <c r="A434" s="415"/>
      <c r="B434" s="210"/>
      <c r="C434" s="415"/>
      <c r="D434" s="210"/>
      <c r="E434" s="415"/>
      <c r="F434" s="210"/>
      <c r="G434" s="415"/>
      <c r="H434" s="210"/>
      <c r="I434" s="415"/>
      <c r="J434" s="210"/>
      <c r="K434" s="415"/>
      <c r="L434" s="210"/>
      <c r="M434" s="415"/>
      <c r="N434" s="210"/>
      <c r="O434" s="415"/>
      <c r="P434" s="210"/>
      <c r="Q434" s="438"/>
      <c r="R434" s="34"/>
      <c r="S434" s="415"/>
      <c r="T434" s="210"/>
      <c r="U434" s="415"/>
      <c r="V434" s="210"/>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row>
    <row r="435">
      <c r="A435" s="415"/>
      <c r="B435" s="210"/>
      <c r="C435" s="415"/>
      <c r="D435" s="210"/>
      <c r="E435" s="415"/>
      <c r="F435" s="210"/>
      <c r="G435" s="415"/>
      <c r="H435" s="210"/>
      <c r="I435" s="415"/>
      <c r="J435" s="210"/>
      <c r="K435" s="415"/>
      <c r="L435" s="210"/>
      <c r="M435" s="415"/>
      <c r="N435" s="210"/>
      <c r="O435" s="415"/>
      <c r="P435" s="210"/>
      <c r="Q435" s="438"/>
      <c r="R435" s="34"/>
      <c r="S435" s="415"/>
      <c r="T435" s="210"/>
      <c r="U435" s="415"/>
      <c r="V435" s="210"/>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row>
    <row r="436">
      <c r="A436" s="415"/>
      <c r="B436" s="210"/>
      <c r="C436" s="415"/>
      <c r="D436" s="210"/>
      <c r="E436" s="415"/>
      <c r="F436" s="210"/>
      <c r="G436" s="415"/>
      <c r="H436" s="210"/>
      <c r="I436" s="415"/>
      <c r="J436" s="210"/>
      <c r="K436" s="415"/>
      <c r="L436" s="210"/>
      <c r="M436" s="415"/>
      <c r="N436" s="210"/>
      <c r="O436" s="415"/>
      <c r="P436" s="210"/>
      <c r="Q436" s="438"/>
      <c r="R436" s="34"/>
      <c r="S436" s="415"/>
      <c r="T436" s="210"/>
      <c r="U436" s="415"/>
      <c r="V436" s="210"/>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row>
    <row r="437">
      <c r="A437" s="415"/>
      <c r="B437" s="210"/>
      <c r="C437" s="415"/>
      <c r="D437" s="210"/>
      <c r="E437" s="415"/>
      <c r="F437" s="210"/>
      <c r="G437" s="415"/>
      <c r="H437" s="210"/>
      <c r="I437" s="415"/>
      <c r="J437" s="210"/>
      <c r="K437" s="415"/>
      <c r="L437" s="210"/>
      <c r="M437" s="415"/>
      <c r="N437" s="210"/>
      <c r="O437" s="415"/>
      <c r="P437" s="210"/>
      <c r="Q437" s="438"/>
      <c r="R437" s="34"/>
      <c r="S437" s="415"/>
      <c r="T437" s="210"/>
      <c r="U437" s="415"/>
      <c r="V437" s="210"/>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row>
    <row r="438">
      <c r="A438" s="415"/>
      <c r="B438" s="210"/>
      <c r="C438" s="415"/>
      <c r="D438" s="210"/>
      <c r="E438" s="415"/>
      <c r="F438" s="210"/>
      <c r="G438" s="415"/>
      <c r="H438" s="210"/>
      <c r="I438" s="415"/>
      <c r="J438" s="210"/>
      <c r="K438" s="415"/>
      <c r="L438" s="210"/>
      <c r="M438" s="415"/>
      <c r="N438" s="210"/>
      <c r="O438" s="415"/>
      <c r="P438" s="210"/>
      <c r="Q438" s="438"/>
      <c r="R438" s="34"/>
      <c r="S438" s="415"/>
      <c r="T438" s="210"/>
      <c r="U438" s="415"/>
      <c r="V438" s="210"/>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row>
    <row r="439">
      <c r="A439" s="415"/>
      <c r="B439" s="210"/>
      <c r="C439" s="415"/>
      <c r="D439" s="210"/>
      <c r="E439" s="415"/>
      <c r="F439" s="210"/>
      <c r="G439" s="415"/>
      <c r="H439" s="210"/>
      <c r="I439" s="415"/>
      <c r="J439" s="210"/>
      <c r="K439" s="415"/>
      <c r="L439" s="210"/>
      <c r="M439" s="415"/>
      <c r="N439" s="210"/>
      <c r="O439" s="415"/>
      <c r="P439" s="210"/>
      <c r="Q439" s="438"/>
      <c r="R439" s="34"/>
      <c r="S439" s="415"/>
      <c r="T439" s="210"/>
      <c r="U439" s="415"/>
      <c r="V439" s="210"/>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row>
    <row r="440">
      <c r="A440" s="415"/>
      <c r="B440" s="210"/>
      <c r="C440" s="415"/>
      <c r="D440" s="210"/>
      <c r="E440" s="415"/>
      <c r="F440" s="210"/>
      <c r="G440" s="415"/>
      <c r="H440" s="210"/>
      <c r="I440" s="415"/>
      <c r="J440" s="210"/>
      <c r="K440" s="415"/>
      <c r="L440" s="210"/>
      <c r="M440" s="415"/>
      <c r="N440" s="210"/>
      <c r="O440" s="415"/>
      <c r="P440" s="210"/>
      <c r="Q440" s="438"/>
      <c r="R440" s="34"/>
      <c r="S440" s="415"/>
      <c r="T440" s="210"/>
      <c r="U440" s="415"/>
      <c r="V440" s="210"/>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row>
    <row r="441">
      <c r="A441" s="415"/>
      <c r="B441" s="210"/>
      <c r="C441" s="415"/>
      <c r="D441" s="210"/>
      <c r="E441" s="415"/>
      <c r="F441" s="210"/>
      <c r="G441" s="415"/>
      <c r="H441" s="210"/>
      <c r="I441" s="415"/>
      <c r="J441" s="210"/>
      <c r="K441" s="415"/>
      <c r="L441" s="210"/>
      <c r="M441" s="415"/>
      <c r="N441" s="210"/>
      <c r="O441" s="415"/>
      <c r="P441" s="210"/>
      <c r="Q441" s="438"/>
      <c r="R441" s="34"/>
      <c r="S441" s="415"/>
      <c r="T441" s="210"/>
      <c r="U441" s="415"/>
      <c r="V441" s="210"/>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row>
    <row r="442">
      <c r="A442" s="415"/>
      <c r="B442" s="210"/>
      <c r="C442" s="415"/>
      <c r="D442" s="210"/>
      <c r="E442" s="415"/>
      <c r="F442" s="210"/>
      <c r="G442" s="415"/>
      <c r="H442" s="210"/>
      <c r="I442" s="415"/>
      <c r="J442" s="210"/>
      <c r="K442" s="415"/>
      <c r="L442" s="210"/>
      <c r="M442" s="415"/>
      <c r="N442" s="210"/>
      <c r="O442" s="415"/>
      <c r="P442" s="210"/>
      <c r="Q442" s="438"/>
      <c r="R442" s="34"/>
      <c r="S442" s="415"/>
      <c r="T442" s="210"/>
      <c r="U442" s="415"/>
      <c r="V442" s="210"/>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row>
    <row r="443">
      <c r="A443" s="415"/>
      <c r="B443" s="210"/>
      <c r="C443" s="415"/>
      <c r="D443" s="210"/>
      <c r="E443" s="415"/>
      <c r="F443" s="210"/>
      <c r="G443" s="415"/>
      <c r="H443" s="210"/>
      <c r="I443" s="415"/>
      <c r="J443" s="210"/>
      <c r="K443" s="415"/>
      <c r="L443" s="210"/>
      <c r="M443" s="415"/>
      <c r="N443" s="210"/>
      <c r="O443" s="415"/>
      <c r="P443" s="210"/>
      <c r="Q443" s="438"/>
      <c r="R443" s="34"/>
      <c r="S443" s="415"/>
      <c r="T443" s="210"/>
      <c r="U443" s="415"/>
      <c r="V443" s="210"/>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row>
    <row r="444">
      <c r="A444" s="415"/>
      <c r="B444" s="210"/>
      <c r="C444" s="415"/>
      <c r="D444" s="210"/>
      <c r="E444" s="415"/>
      <c r="F444" s="210"/>
      <c r="G444" s="415"/>
      <c r="H444" s="210"/>
      <c r="I444" s="415"/>
      <c r="J444" s="210"/>
      <c r="K444" s="415"/>
      <c r="L444" s="210"/>
      <c r="M444" s="415"/>
      <c r="N444" s="210"/>
      <c r="O444" s="415"/>
      <c r="P444" s="210"/>
      <c r="Q444" s="438"/>
      <c r="R444" s="34"/>
      <c r="S444" s="415"/>
      <c r="T444" s="210"/>
      <c r="U444" s="415"/>
      <c r="V444" s="210"/>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row>
    <row r="445">
      <c r="A445" s="415"/>
      <c r="B445" s="210"/>
      <c r="C445" s="415"/>
      <c r="D445" s="210"/>
      <c r="E445" s="415"/>
      <c r="F445" s="210"/>
      <c r="G445" s="415"/>
      <c r="H445" s="210"/>
      <c r="I445" s="415"/>
      <c r="J445" s="210"/>
      <c r="K445" s="415"/>
      <c r="L445" s="210"/>
      <c r="M445" s="415"/>
      <c r="N445" s="210"/>
      <c r="O445" s="415"/>
      <c r="P445" s="210"/>
      <c r="Q445" s="438"/>
      <c r="R445" s="34"/>
      <c r="S445" s="415"/>
      <c r="T445" s="210"/>
      <c r="U445" s="415"/>
      <c r="V445" s="210"/>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row>
    <row r="446">
      <c r="A446" s="415"/>
      <c r="B446" s="210"/>
      <c r="C446" s="415"/>
      <c r="D446" s="210"/>
      <c r="E446" s="415"/>
      <c r="F446" s="210"/>
      <c r="G446" s="415"/>
      <c r="H446" s="210"/>
      <c r="I446" s="415"/>
      <c r="J446" s="210"/>
      <c r="K446" s="415"/>
      <c r="L446" s="210"/>
      <c r="M446" s="415"/>
      <c r="N446" s="210"/>
      <c r="O446" s="415"/>
      <c r="P446" s="210"/>
      <c r="Q446" s="438"/>
      <c r="R446" s="34"/>
      <c r="S446" s="415"/>
      <c r="T446" s="210"/>
      <c r="U446" s="415"/>
      <c r="V446" s="210"/>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row>
    <row r="447">
      <c r="A447" s="415"/>
      <c r="B447" s="210"/>
      <c r="C447" s="415"/>
      <c r="D447" s="210"/>
      <c r="E447" s="415"/>
      <c r="F447" s="210"/>
      <c r="G447" s="415"/>
      <c r="H447" s="210"/>
      <c r="I447" s="415"/>
      <c r="J447" s="210"/>
      <c r="K447" s="415"/>
      <c r="L447" s="210"/>
      <c r="M447" s="415"/>
      <c r="N447" s="210"/>
      <c r="O447" s="415"/>
      <c r="P447" s="210"/>
      <c r="Q447" s="438"/>
      <c r="R447" s="34"/>
      <c r="S447" s="415"/>
      <c r="T447" s="210"/>
      <c r="U447" s="415"/>
      <c r="V447" s="210"/>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row>
    <row r="448">
      <c r="A448" s="415"/>
      <c r="B448" s="210"/>
      <c r="C448" s="415"/>
      <c r="D448" s="210"/>
      <c r="E448" s="415"/>
      <c r="F448" s="210"/>
      <c r="G448" s="415"/>
      <c r="H448" s="210"/>
      <c r="I448" s="415"/>
      <c r="J448" s="210"/>
      <c r="K448" s="415"/>
      <c r="L448" s="210"/>
      <c r="M448" s="415"/>
      <c r="N448" s="210"/>
      <c r="O448" s="415"/>
      <c r="P448" s="210"/>
      <c r="Q448" s="438"/>
      <c r="R448" s="34"/>
      <c r="S448" s="415"/>
      <c r="T448" s="210"/>
      <c r="U448" s="415"/>
      <c r="V448" s="210"/>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row>
    <row r="449">
      <c r="A449" s="415"/>
      <c r="B449" s="210"/>
      <c r="C449" s="415"/>
      <c r="D449" s="210"/>
      <c r="E449" s="415"/>
      <c r="F449" s="210"/>
      <c r="G449" s="415"/>
      <c r="H449" s="210"/>
      <c r="I449" s="415"/>
      <c r="J449" s="210"/>
      <c r="K449" s="415"/>
      <c r="L449" s="210"/>
      <c r="M449" s="415"/>
      <c r="N449" s="210"/>
      <c r="O449" s="415"/>
      <c r="P449" s="210"/>
      <c r="Q449" s="438"/>
      <c r="R449" s="34"/>
      <c r="S449" s="415"/>
      <c r="T449" s="210"/>
      <c r="U449" s="415"/>
      <c r="V449" s="210"/>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row>
    <row r="450">
      <c r="A450" s="415"/>
      <c r="B450" s="210"/>
      <c r="C450" s="415"/>
      <c r="D450" s="210"/>
      <c r="E450" s="415"/>
      <c r="F450" s="210"/>
      <c r="G450" s="415"/>
      <c r="H450" s="210"/>
      <c r="I450" s="415"/>
      <c r="J450" s="210"/>
      <c r="K450" s="415"/>
      <c r="L450" s="210"/>
      <c r="M450" s="415"/>
      <c r="N450" s="210"/>
      <c r="O450" s="415"/>
      <c r="P450" s="210"/>
      <c r="Q450" s="438"/>
      <c r="R450" s="34"/>
      <c r="S450" s="415"/>
      <c r="T450" s="210"/>
      <c r="U450" s="415"/>
      <c r="V450" s="210"/>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row>
    <row r="451">
      <c r="A451" s="415"/>
      <c r="B451" s="210"/>
      <c r="C451" s="415"/>
      <c r="D451" s="210"/>
      <c r="E451" s="415"/>
      <c r="F451" s="210"/>
      <c r="G451" s="415"/>
      <c r="H451" s="210"/>
      <c r="I451" s="415"/>
      <c r="J451" s="210"/>
      <c r="K451" s="415"/>
      <c r="L451" s="210"/>
      <c r="M451" s="415"/>
      <c r="N451" s="210"/>
      <c r="O451" s="415"/>
      <c r="P451" s="210"/>
      <c r="Q451" s="438"/>
      <c r="R451" s="34"/>
      <c r="S451" s="415"/>
      <c r="T451" s="210"/>
      <c r="U451" s="415"/>
      <c r="V451" s="210"/>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row>
    <row r="452">
      <c r="A452" s="415"/>
      <c r="B452" s="210"/>
      <c r="C452" s="415"/>
      <c r="D452" s="210"/>
      <c r="E452" s="415"/>
      <c r="F452" s="210"/>
      <c r="G452" s="415"/>
      <c r="H452" s="210"/>
      <c r="I452" s="415"/>
      <c r="J452" s="210"/>
      <c r="K452" s="415"/>
      <c r="L452" s="210"/>
      <c r="M452" s="415"/>
      <c r="N452" s="210"/>
      <c r="O452" s="415"/>
      <c r="P452" s="210"/>
      <c r="Q452" s="438"/>
      <c r="R452" s="34"/>
      <c r="S452" s="415"/>
      <c r="T452" s="210"/>
      <c r="U452" s="415"/>
      <c r="V452" s="210"/>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row>
    <row r="453">
      <c r="A453" s="415"/>
      <c r="B453" s="210"/>
      <c r="C453" s="415"/>
      <c r="D453" s="210"/>
      <c r="E453" s="415"/>
      <c r="F453" s="210"/>
      <c r="G453" s="415"/>
      <c r="H453" s="210"/>
      <c r="I453" s="415"/>
      <c r="J453" s="210"/>
      <c r="K453" s="415"/>
      <c r="L453" s="210"/>
      <c r="M453" s="415"/>
      <c r="N453" s="210"/>
      <c r="O453" s="415"/>
      <c r="P453" s="210"/>
      <c r="Q453" s="438"/>
      <c r="R453" s="34"/>
      <c r="S453" s="415"/>
      <c r="T453" s="210"/>
      <c r="U453" s="415"/>
      <c r="V453" s="210"/>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row>
    <row r="454">
      <c r="A454" s="415"/>
      <c r="B454" s="210"/>
      <c r="C454" s="415"/>
      <c r="D454" s="210"/>
      <c r="E454" s="415"/>
      <c r="F454" s="210"/>
      <c r="G454" s="415"/>
      <c r="H454" s="210"/>
      <c r="I454" s="415"/>
      <c r="J454" s="210"/>
      <c r="K454" s="415"/>
      <c r="L454" s="210"/>
      <c r="M454" s="415"/>
      <c r="N454" s="210"/>
      <c r="O454" s="415"/>
      <c r="P454" s="210"/>
      <c r="Q454" s="438"/>
      <c r="R454" s="34"/>
      <c r="S454" s="415"/>
      <c r="T454" s="210"/>
      <c r="U454" s="415"/>
      <c r="V454" s="210"/>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row>
    <row r="455">
      <c r="A455" s="415"/>
      <c r="B455" s="210"/>
      <c r="C455" s="415"/>
      <c r="D455" s="210"/>
      <c r="E455" s="415"/>
      <c r="F455" s="210"/>
      <c r="G455" s="415"/>
      <c r="H455" s="210"/>
      <c r="I455" s="415"/>
      <c r="J455" s="210"/>
      <c r="K455" s="415"/>
      <c r="L455" s="210"/>
      <c r="M455" s="415"/>
      <c r="N455" s="210"/>
      <c r="O455" s="415"/>
      <c r="P455" s="210"/>
      <c r="Q455" s="438"/>
      <c r="R455" s="34"/>
      <c r="S455" s="415"/>
      <c r="T455" s="210"/>
      <c r="U455" s="415"/>
      <c r="V455" s="210"/>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row>
    <row r="456">
      <c r="A456" s="415"/>
      <c r="B456" s="210"/>
      <c r="C456" s="415"/>
      <c r="D456" s="210"/>
      <c r="E456" s="415"/>
      <c r="F456" s="210"/>
      <c r="G456" s="415"/>
      <c r="H456" s="210"/>
      <c r="I456" s="415"/>
      <c r="J456" s="210"/>
      <c r="K456" s="415"/>
      <c r="L456" s="210"/>
      <c r="M456" s="415"/>
      <c r="N456" s="210"/>
      <c r="O456" s="415"/>
      <c r="P456" s="210"/>
      <c r="Q456" s="438"/>
      <c r="R456" s="34"/>
      <c r="S456" s="415"/>
      <c r="T456" s="210"/>
      <c r="U456" s="415"/>
      <c r="V456" s="210"/>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row>
    <row r="457">
      <c r="A457" s="415"/>
      <c r="B457" s="210"/>
      <c r="C457" s="415"/>
      <c r="D457" s="210"/>
      <c r="E457" s="415"/>
      <c r="F457" s="210"/>
      <c r="G457" s="415"/>
      <c r="H457" s="210"/>
      <c r="I457" s="415"/>
      <c r="J457" s="210"/>
      <c r="K457" s="415"/>
      <c r="L457" s="210"/>
      <c r="M457" s="415"/>
      <c r="N457" s="210"/>
      <c r="O457" s="415"/>
      <c r="P457" s="210"/>
      <c r="Q457" s="438"/>
      <c r="R457" s="34"/>
      <c r="S457" s="415"/>
      <c r="T457" s="210"/>
      <c r="U457" s="415"/>
      <c r="V457" s="210"/>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row>
    <row r="458">
      <c r="A458" s="415"/>
      <c r="B458" s="210"/>
      <c r="C458" s="415"/>
      <c r="D458" s="210"/>
      <c r="E458" s="415"/>
      <c r="F458" s="210"/>
      <c r="G458" s="415"/>
      <c r="H458" s="210"/>
      <c r="I458" s="415"/>
      <c r="J458" s="210"/>
      <c r="K458" s="415"/>
      <c r="L458" s="210"/>
      <c r="M458" s="415"/>
      <c r="N458" s="210"/>
      <c r="O458" s="415"/>
      <c r="P458" s="210"/>
      <c r="Q458" s="438"/>
      <c r="R458" s="34"/>
      <c r="S458" s="415"/>
      <c r="T458" s="210"/>
      <c r="U458" s="415"/>
      <c r="V458" s="210"/>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row>
    <row r="459">
      <c r="A459" s="415"/>
      <c r="B459" s="210"/>
      <c r="C459" s="415"/>
      <c r="D459" s="210"/>
      <c r="E459" s="415"/>
      <c r="F459" s="210"/>
      <c r="G459" s="415"/>
      <c r="H459" s="210"/>
      <c r="I459" s="415"/>
      <c r="J459" s="210"/>
      <c r="K459" s="415"/>
      <c r="L459" s="210"/>
      <c r="M459" s="415"/>
      <c r="N459" s="210"/>
      <c r="O459" s="415"/>
      <c r="P459" s="210"/>
      <c r="Q459" s="438"/>
      <c r="R459" s="34"/>
      <c r="S459" s="415"/>
      <c r="T459" s="210"/>
      <c r="U459" s="415"/>
      <c r="V459" s="210"/>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row>
    <row r="460">
      <c r="A460" s="415"/>
      <c r="B460" s="210"/>
      <c r="C460" s="415"/>
      <c r="D460" s="210"/>
      <c r="E460" s="415"/>
      <c r="F460" s="210"/>
      <c r="G460" s="415"/>
      <c r="H460" s="210"/>
      <c r="I460" s="415"/>
      <c r="J460" s="210"/>
      <c r="K460" s="415"/>
      <c r="L460" s="210"/>
      <c r="M460" s="415"/>
      <c r="N460" s="210"/>
      <c r="O460" s="415"/>
      <c r="P460" s="210"/>
      <c r="Q460" s="438"/>
      <c r="R460" s="34"/>
      <c r="S460" s="415"/>
      <c r="T460" s="210"/>
      <c r="U460" s="415"/>
      <c r="V460" s="210"/>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row>
    <row r="461">
      <c r="A461" s="415"/>
      <c r="B461" s="210"/>
      <c r="C461" s="415"/>
      <c r="D461" s="210"/>
      <c r="E461" s="415"/>
      <c r="F461" s="210"/>
      <c r="G461" s="415"/>
      <c r="H461" s="210"/>
      <c r="I461" s="415"/>
      <c r="J461" s="210"/>
      <c r="K461" s="415"/>
      <c r="L461" s="210"/>
      <c r="M461" s="415"/>
      <c r="N461" s="210"/>
      <c r="O461" s="415"/>
      <c r="P461" s="210"/>
      <c r="Q461" s="438"/>
      <c r="R461" s="34"/>
      <c r="S461" s="415"/>
      <c r="T461" s="210"/>
      <c r="U461" s="415"/>
      <c r="V461" s="210"/>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row>
    <row r="462">
      <c r="A462" s="415"/>
      <c r="B462" s="210"/>
      <c r="C462" s="415"/>
      <c r="D462" s="210"/>
      <c r="E462" s="415"/>
      <c r="F462" s="210"/>
      <c r="G462" s="415"/>
      <c r="H462" s="210"/>
      <c r="I462" s="415"/>
      <c r="J462" s="210"/>
      <c r="K462" s="415"/>
      <c r="L462" s="210"/>
      <c r="M462" s="415"/>
      <c r="N462" s="210"/>
      <c r="O462" s="415"/>
      <c r="P462" s="210"/>
      <c r="Q462" s="438"/>
      <c r="R462" s="34"/>
      <c r="S462" s="415"/>
      <c r="T462" s="210"/>
      <c r="U462" s="415"/>
      <c r="V462" s="210"/>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row>
    <row r="463">
      <c r="A463" s="415"/>
      <c r="B463" s="210"/>
      <c r="C463" s="415"/>
      <c r="D463" s="210"/>
      <c r="E463" s="415"/>
      <c r="F463" s="210"/>
      <c r="G463" s="415"/>
      <c r="H463" s="210"/>
      <c r="I463" s="415"/>
      <c r="J463" s="210"/>
      <c r="K463" s="415"/>
      <c r="L463" s="210"/>
      <c r="M463" s="415"/>
      <c r="N463" s="210"/>
      <c r="O463" s="415"/>
      <c r="P463" s="210"/>
      <c r="Q463" s="438"/>
      <c r="R463" s="34"/>
      <c r="S463" s="415"/>
      <c r="T463" s="210"/>
      <c r="U463" s="415"/>
      <c r="V463" s="210"/>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row>
    <row r="464">
      <c r="A464" s="415"/>
      <c r="B464" s="210"/>
      <c r="C464" s="415"/>
      <c r="D464" s="210"/>
      <c r="E464" s="415"/>
      <c r="F464" s="210"/>
      <c r="G464" s="415"/>
      <c r="H464" s="210"/>
      <c r="I464" s="415"/>
      <c r="J464" s="210"/>
      <c r="K464" s="415"/>
      <c r="L464" s="210"/>
      <c r="M464" s="415"/>
      <c r="N464" s="210"/>
      <c r="O464" s="415"/>
      <c r="P464" s="210"/>
      <c r="Q464" s="438"/>
      <c r="R464" s="34"/>
      <c r="S464" s="415"/>
      <c r="T464" s="210"/>
      <c r="U464" s="415"/>
      <c r="V464" s="210"/>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row>
    <row r="465">
      <c r="A465" s="415"/>
      <c r="B465" s="210"/>
      <c r="C465" s="415"/>
      <c r="D465" s="210"/>
      <c r="E465" s="415"/>
      <c r="F465" s="210"/>
      <c r="G465" s="415"/>
      <c r="H465" s="210"/>
      <c r="I465" s="415"/>
      <c r="J465" s="210"/>
      <c r="K465" s="415"/>
      <c r="L465" s="210"/>
      <c r="M465" s="415"/>
      <c r="N465" s="210"/>
      <c r="O465" s="415"/>
      <c r="P465" s="210"/>
      <c r="Q465" s="438"/>
      <c r="R465" s="34"/>
      <c r="S465" s="415"/>
      <c r="T465" s="210"/>
      <c r="U465" s="415"/>
      <c r="V465" s="210"/>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row>
    <row r="466">
      <c r="A466" s="415"/>
      <c r="B466" s="210"/>
      <c r="C466" s="415"/>
      <c r="D466" s="210"/>
      <c r="E466" s="415"/>
      <c r="F466" s="210"/>
      <c r="G466" s="415"/>
      <c r="H466" s="210"/>
      <c r="I466" s="415"/>
      <c r="J466" s="210"/>
      <c r="K466" s="415"/>
      <c r="L466" s="210"/>
      <c r="M466" s="415"/>
      <c r="N466" s="210"/>
      <c r="O466" s="415"/>
      <c r="P466" s="210"/>
      <c r="Q466" s="438"/>
      <c r="R466" s="34"/>
      <c r="S466" s="415"/>
      <c r="T466" s="210"/>
      <c r="U466" s="415"/>
      <c r="V466" s="210"/>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row>
    <row r="467">
      <c r="A467" s="415"/>
      <c r="B467" s="210"/>
      <c r="C467" s="415"/>
      <c r="D467" s="210"/>
      <c r="E467" s="415"/>
      <c r="F467" s="210"/>
      <c r="G467" s="415"/>
      <c r="H467" s="210"/>
      <c r="I467" s="415"/>
      <c r="J467" s="210"/>
      <c r="K467" s="415"/>
      <c r="L467" s="210"/>
      <c r="M467" s="415"/>
      <c r="N467" s="210"/>
      <c r="O467" s="415"/>
      <c r="P467" s="210"/>
      <c r="Q467" s="438"/>
      <c r="R467" s="34"/>
      <c r="S467" s="415"/>
      <c r="T467" s="210"/>
      <c r="U467" s="415"/>
      <c r="V467" s="210"/>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row>
    <row r="468">
      <c r="A468" s="415"/>
      <c r="B468" s="210"/>
      <c r="C468" s="415"/>
      <c r="D468" s="210"/>
      <c r="E468" s="415"/>
      <c r="F468" s="210"/>
      <c r="G468" s="415"/>
      <c r="H468" s="210"/>
      <c r="I468" s="415"/>
      <c r="J468" s="210"/>
      <c r="K468" s="415"/>
      <c r="L468" s="210"/>
      <c r="M468" s="415"/>
      <c r="N468" s="210"/>
      <c r="O468" s="415"/>
      <c r="P468" s="210"/>
      <c r="Q468" s="438"/>
      <c r="R468" s="34"/>
      <c r="S468" s="415"/>
      <c r="T468" s="210"/>
      <c r="U468" s="415"/>
      <c r="V468" s="210"/>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row>
    <row r="469">
      <c r="A469" s="415"/>
      <c r="B469" s="210"/>
      <c r="C469" s="415"/>
      <c r="D469" s="210"/>
      <c r="E469" s="415"/>
      <c r="F469" s="210"/>
      <c r="G469" s="415"/>
      <c r="H469" s="210"/>
      <c r="I469" s="415"/>
      <c r="J469" s="210"/>
      <c r="K469" s="415"/>
      <c r="L469" s="210"/>
      <c r="M469" s="415"/>
      <c r="N469" s="210"/>
      <c r="O469" s="415"/>
      <c r="P469" s="210"/>
      <c r="Q469" s="438"/>
      <c r="R469" s="34"/>
      <c r="S469" s="415"/>
      <c r="T469" s="210"/>
      <c r="U469" s="415"/>
      <c r="V469" s="210"/>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row>
    <row r="470">
      <c r="A470" s="415"/>
      <c r="B470" s="210"/>
      <c r="C470" s="415"/>
      <c r="D470" s="210"/>
      <c r="E470" s="415"/>
      <c r="F470" s="210"/>
      <c r="G470" s="415"/>
      <c r="H470" s="210"/>
      <c r="I470" s="415"/>
      <c r="J470" s="210"/>
      <c r="K470" s="415"/>
      <c r="L470" s="210"/>
      <c r="M470" s="415"/>
      <c r="N470" s="210"/>
      <c r="O470" s="415"/>
      <c r="P470" s="210"/>
      <c r="Q470" s="438"/>
      <c r="R470" s="34"/>
      <c r="S470" s="415"/>
      <c r="T470" s="210"/>
      <c r="U470" s="415"/>
      <c r="V470" s="210"/>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row>
    <row r="471">
      <c r="A471" s="415"/>
      <c r="B471" s="210"/>
      <c r="C471" s="415"/>
      <c r="D471" s="210"/>
      <c r="E471" s="415"/>
      <c r="F471" s="210"/>
      <c r="G471" s="415"/>
      <c r="H471" s="210"/>
      <c r="I471" s="415"/>
      <c r="J471" s="210"/>
      <c r="K471" s="415"/>
      <c r="L471" s="210"/>
      <c r="M471" s="415"/>
      <c r="N471" s="210"/>
      <c r="O471" s="415"/>
      <c r="P471" s="210"/>
      <c r="Q471" s="438"/>
      <c r="R471" s="34"/>
      <c r="S471" s="415"/>
      <c r="T471" s="210"/>
      <c r="U471" s="415"/>
      <c r="V471" s="210"/>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row>
    <row r="472">
      <c r="A472" s="415"/>
      <c r="B472" s="210"/>
      <c r="C472" s="415"/>
      <c r="D472" s="210"/>
      <c r="E472" s="415"/>
      <c r="F472" s="210"/>
      <c r="G472" s="415"/>
      <c r="H472" s="210"/>
      <c r="I472" s="415"/>
      <c r="J472" s="210"/>
      <c r="K472" s="415"/>
      <c r="L472" s="210"/>
      <c r="M472" s="415"/>
      <c r="N472" s="210"/>
      <c r="O472" s="415"/>
      <c r="P472" s="210"/>
      <c r="Q472" s="438"/>
      <c r="R472" s="34"/>
      <c r="S472" s="415"/>
      <c r="T472" s="210"/>
      <c r="U472" s="415"/>
      <c r="V472" s="210"/>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row>
    <row r="473">
      <c r="A473" s="415"/>
      <c r="B473" s="210"/>
      <c r="C473" s="415"/>
      <c r="D473" s="210"/>
      <c r="E473" s="415"/>
      <c r="F473" s="210"/>
      <c r="G473" s="415"/>
      <c r="H473" s="210"/>
      <c r="I473" s="415"/>
      <c r="J473" s="210"/>
      <c r="K473" s="415"/>
      <c r="L473" s="210"/>
      <c r="M473" s="415"/>
      <c r="N473" s="210"/>
      <c r="O473" s="415"/>
      <c r="P473" s="210"/>
      <c r="Q473" s="438"/>
      <c r="R473" s="34"/>
      <c r="S473" s="415"/>
      <c r="T473" s="210"/>
      <c r="U473" s="415"/>
      <c r="V473" s="210"/>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row>
    <row r="474">
      <c r="A474" s="415"/>
      <c r="B474" s="210"/>
      <c r="C474" s="415"/>
      <c r="D474" s="210"/>
      <c r="E474" s="415"/>
      <c r="F474" s="210"/>
      <c r="G474" s="415"/>
      <c r="H474" s="210"/>
      <c r="I474" s="415"/>
      <c r="J474" s="210"/>
      <c r="K474" s="415"/>
      <c r="L474" s="210"/>
      <c r="M474" s="415"/>
      <c r="N474" s="210"/>
      <c r="O474" s="415"/>
      <c r="P474" s="210"/>
      <c r="Q474" s="438"/>
      <c r="R474" s="34"/>
      <c r="S474" s="415"/>
      <c r="T474" s="210"/>
      <c r="U474" s="415"/>
      <c r="V474" s="210"/>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row>
    <row r="475">
      <c r="A475" s="415"/>
      <c r="B475" s="210"/>
      <c r="C475" s="415"/>
      <c r="D475" s="210"/>
      <c r="E475" s="415"/>
      <c r="F475" s="210"/>
      <c r="G475" s="415"/>
      <c r="H475" s="210"/>
      <c r="I475" s="415"/>
      <c r="J475" s="210"/>
      <c r="K475" s="415"/>
      <c r="L475" s="210"/>
      <c r="M475" s="415"/>
      <c r="N475" s="210"/>
      <c r="O475" s="415"/>
      <c r="P475" s="210"/>
      <c r="Q475" s="438"/>
      <c r="R475" s="34"/>
      <c r="S475" s="415"/>
      <c r="T475" s="210"/>
      <c r="U475" s="415"/>
      <c r="V475" s="210"/>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row>
    <row r="476">
      <c r="A476" s="415"/>
      <c r="B476" s="210"/>
      <c r="C476" s="415"/>
      <c r="D476" s="210"/>
      <c r="E476" s="415"/>
      <c r="F476" s="210"/>
      <c r="G476" s="415"/>
      <c r="H476" s="210"/>
      <c r="I476" s="415"/>
      <c r="J476" s="210"/>
      <c r="K476" s="415"/>
      <c r="L476" s="210"/>
      <c r="M476" s="415"/>
      <c r="N476" s="210"/>
      <c r="O476" s="415"/>
      <c r="P476" s="210"/>
      <c r="Q476" s="438"/>
      <c r="R476" s="34"/>
      <c r="S476" s="415"/>
      <c r="T476" s="210"/>
      <c r="U476" s="415"/>
      <c r="V476" s="210"/>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row>
    <row r="477">
      <c r="A477" s="415"/>
      <c r="B477" s="210"/>
      <c r="C477" s="415"/>
      <c r="D477" s="210"/>
      <c r="E477" s="415"/>
      <c r="F477" s="210"/>
      <c r="G477" s="415"/>
      <c r="H477" s="210"/>
      <c r="I477" s="415"/>
      <c r="J477" s="210"/>
      <c r="K477" s="415"/>
      <c r="L477" s="210"/>
      <c r="M477" s="415"/>
      <c r="N477" s="210"/>
      <c r="O477" s="415"/>
      <c r="P477" s="210"/>
      <c r="Q477" s="438"/>
      <c r="R477" s="34"/>
      <c r="S477" s="415"/>
      <c r="T477" s="210"/>
      <c r="U477" s="415"/>
      <c r="V477" s="210"/>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row>
    <row r="478">
      <c r="A478" s="415"/>
      <c r="B478" s="210"/>
      <c r="C478" s="415"/>
      <c r="D478" s="210"/>
      <c r="E478" s="415"/>
      <c r="F478" s="210"/>
      <c r="G478" s="415"/>
      <c r="H478" s="210"/>
      <c r="I478" s="415"/>
      <c r="J478" s="210"/>
      <c r="K478" s="415"/>
      <c r="L478" s="210"/>
      <c r="M478" s="415"/>
      <c r="N478" s="210"/>
      <c r="O478" s="415"/>
      <c r="P478" s="210"/>
      <c r="Q478" s="438"/>
      <c r="R478" s="34"/>
      <c r="S478" s="415"/>
      <c r="T478" s="210"/>
      <c r="U478" s="415"/>
      <c r="V478" s="210"/>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row>
    <row r="479">
      <c r="A479" s="415"/>
      <c r="B479" s="210"/>
      <c r="C479" s="415"/>
      <c r="D479" s="210"/>
      <c r="E479" s="415"/>
      <c r="F479" s="210"/>
      <c r="G479" s="415"/>
      <c r="H479" s="210"/>
      <c r="I479" s="415"/>
      <c r="J479" s="210"/>
      <c r="K479" s="415"/>
      <c r="L479" s="210"/>
      <c r="M479" s="415"/>
      <c r="N479" s="210"/>
      <c r="O479" s="415"/>
      <c r="P479" s="210"/>
      <c r="Q479" s="438"/>
      <c r="R479" s="34"/>
      <c r="S479" s="415"/>
      <c r="T479" s="210"/>
      <c r="U479" s="415"/>
      <c r="V479" s="210"/>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row>
    <row r="480">
      <c r="A480" s="415"/>
      <c r="B480" s="210"/>
      <c r="C480" s="415"/>
      <c r="D480" s="210"/>
      <c r="E480" s="415"/>
      <c r="F480" s="210"/>
      <c r="G480" s="415"/>
      <c r="H480" s="210"/>
      <c r="I480" s="415"/>
      <c r="J480" s="210"/>
      <c r="K480" s="415"/>
      <c r="L480" s="210"/>
      <c r="M480" s="415"/>
      <c r="N480" s="210"/>
      <c r="O480" s="415"/>
      <c r="P480" s="210"/>
      <c r="Q480" s="438"/>
      <c r="R480" s="34"/>
      <c r="S480" s="415"/>
      <c r="T480" s="210"/>
      <c r="U480" s="415"/>
      <c r="V480" s="210"/>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row>
    <row r="481">
      <c r="A481" s="415"/>
      <c r="B481" s="210"/>
      <c r="C481" s="415"/>
      <c r="D481" s="210"/>
      <c r="E481" s="415"/>
      <c r="F481" s="210"/>
      <c r="G481" s="415"/>
      <c r="H481" s="210"/>
      <c r="I481" s="415"/>
      <c r="J481" s="210"/>
      <c r="K481" s="415"/>
      <c r="L481" s="210"/>
      <c r="M481" s="415"/>
      <c r="N481" s="210"/>
      <c r="O481" s="415"/>
      <c r="P481" s="210"/>
      <c r="Q481" s="438"/>
      <c r="R481" s="34"/>
      <c r="S481" s="415"/>
      <c r="T481" s="210"/>
      <c r="U481" s="415"/>
      <c r="V481" s="210"/>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row>
    <row r="482">
      <c r="A482" s="415"/>
      <c r="B482" s="210"/>
      <c r="C482" s="415"/>
      <c r="D482" s="210"/>
      <c r="E482" s="415"/>
      <c r="F482" s="210"/>
      <c r="G482" s="415"/>
      <c r="H482" s="210"/>
      <c r="I482" s="415"/>
      <c r="J482" s="210"/>
      <c r="K482" s="415"/>
      <c r="L482" s="210"/>
      <c r="M482" s="415"/>
      <c r="N482" s="210"/>
      <c r="O482" s="415"/>
      <c r="P482" s="210"/>
      <c r="Q482" s="438"/>
      <c r="R482" s="34"/>
      <c r="S482" s="415"/>
      <c r="T482" s="210"/>
      <c r="U482" s="415"/>
      <c r="V482" s="210"/>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row>
    <row r="483">
      <c r="A483" s="415"/>
      <c r="B483" s="210"/>
      <c r="C483" s="415"/>
      <c r="D483" s="210"/>
      <c r="E483" s="415"/>
      <c r="F483" s="210"/>
      <c r="G483" s="415"/>
      <c r="H483" s="210"/>
      <c r="I483" s="415"/>
      <c r="J483" s="210"/>
      <c r="K483" s="415"/>
      <c r="L483" s="210"/>
      <c r="M483" s="415"/>
      <c r="N483" s="210"/>
      <c r="O483" s="415"/>
      <c r="P483" s="210"/>
      <c r="Q483" s="438"/>
      <c r="R483" s="34"/>
      <c r="S483" s="415"/>
      <c r="T483" s="210"/>
      <c r="U483" s="415"/>
      <c r="V483" s="210"/>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row>
    <row r="484">
      <c r="A484" s="415"/>
      <c r="B484" s="210"/>
      <c r="C484" s="415"/>
      <c r="D484" s="210"/>
      <c r="E484" s="415"/>
      <c r="F484" s="210"/>
      <c r="G484" s="415"/>
      <c r="H484" s="210"/>
      <c r="I484" s="415"/>
      <c r="J484" s="210"/>
      <c r="K484" s="415"/>
      <c r="L484" s="210"/>
      <c r="M484" s="415"/>
      <c r="N484" s="210"/>
      <c r="O484" s="415"/>
      <c r="P484" s="210"/>
      <c r="Q484" s="438"/>
      <c r="R484" s="34"/>
      <c r="S484" s="415"/>
      <c r="T484" s="210"/>
      <c r="U484" s="415"/>
      <c r="V484" s="210"/>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row>
    <row r="485">
      <c r="A485" s="415"/>
      <c r="B485" s="210"/>
      <c r="C485" s="415"/>
      <c r="D485" s="210"/>
      <c r="E485" s="415"/>
      <c r="F485" s="210"/>
      <c r="G485" s="415"/>
      <c r="H485" s="210"/>
      <c r="I485" s="415"/>
      <c r="J485" s="210"/>
      <c r="K485" s="415"/>
      <c r="L485" s="210"/>
      <c r="M485" s="415"/>
      <c r="N485" s="210"/>
      <c r="O485" s="415"/>
      <c r="P485" s="210"/>
      <c r="Q485" s="438"/>
      <c r="R485" s="34"/>
      <c r="S485" s="415"/>
      <c r="T485" s="210"/>
      <c r="U485" s="415"/>
      <c r="V485" s="210"/>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row>
    <row r="486">
      <c r="A486" s="415"/>
      <c r="B486" s="210"/>
      <c r="C486" s="415"/>
      <c r="D486" s="210"/>
      <c r="E486" s="415"/>
      <c r="F486" s="210"/>
      <c r="G486" s="415"/>
      <c r="H486" s="210"/>
      <c r="I486" s="415"/>
      <c r="J486" s="210"/>
      <c r="K486" s="415"/>
      <c r="L486" s="210"/>
      <c r="M486" s="415"/>
      <c r="N486" s="210"/>
      <c r="O486" s="415"/>
      <c r="P486" s="210"/>
      <c r="Q486" s="438"/>
      <c r="R486" s="34"/>
      <c r="S486" s="415"/>
      <c r="T486" s="210"/>
      <c r="U486" s="415"/>
      <c r="V486" s="210"/>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row>
    <row r="487">
      <c r="A487" s="415"/>
      <c r="B487" s="210"/>
      <c r="C487" s="415"/>
      <c r="D487" s="210"/>
      <c r="E487" s="415"/>
      <c r="F487" s="210"/>
      <c r="G487" s="415"/>
      <c r="H487" s="210"/>
      <c r="I487" s="415"/>
      <c r="J487" s="210"/>
      <c r="K487" s="415"/>
      <c r="L487" s="210"/>
      <c r="M487" s="415"/>
      <c r="N487" s="210"/>
      <c r="O487" s="415"/>
      <c r="P487" s="210"/>
      <c r="Q487" s="438"/>
      <c r="R487" s="34"/>
      <c r="S487" s="415"/>
      <c r="T487" s="210"/>
      <c r="U487" s="415"/>
      <c r="V487" s="210"/>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row>
    <row r="488">
      <c r="A488" s="415"/>
      <c r="B488" s="210"/>
      <c r="C488" s="415"/>
      <c r="D488" s="210"/>
      <c r="E488" s="415"/>
      <c r="F488" s="210"/>
      <c r="G488" s="415"/>
      <c r="H488" s="210"/>
      <c r="I488" s="415"/>
      <c r="J488" s="210"/>
      <c r="K488" s="415"/>
      <c r="L488" s="210"/>
      <c r="M488" s="415"/>
      <c r="N488" s="210"/>
      <c r="O488" s="415"/>
      <c r="P488" s="210"/>
      <c r="Q488" s="438"/>
      <c r="R488" s="34"/>
      <c r="S488" s="415"/>
      <c r="T488" s="210"/>
      <c r="U488" s="415"/>
      <c r="V488" s="210"/>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row>
    <row r="489">
      <c r="A489" s="415"/>
      <c r="B489" s="210"/>
      <c r="C489" s="415"/>
      <c r="D489" s="210"/>
      <c r="E489" s="415"/>
      <c r="F489" s="210"/>
      <c r="G489" s="415"/>
      <c r="H489" s="210"/>
      <c r="I489" s="415"/>
      <c r="J489" s="210"/>
      <c r="K489" s="415"/>
      <c r="L489" s="210"/>
      <c r="M489" s="415"/>
      <c r="N489" s="210"/>
      <c r="O489" s="415"/>
      <c r="P489" s="210"/>
      <c r="Q489" s="438"/>
      <c r="R489" s="34"/>
      <c r="S489" s="415"/>
      <c r="T489" s="210"/>
      <c r="U489" s="415"/>
      <c r="V489" s="210"/>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row>
    <row r="490">
      <c r="A490" s="415"/>
      <c r="B490" s="210"/>
      <c r="C490" s="415"/>
      <c r="D490" s="210"/>
      <c r="E490" s="415"/>
      <c r="F490" s="210"/>
      <c r="G490" s="415"/>
      <c r="H490" s="210"/>
      <c r="I490" s="415"/>
      <c r="J490" s="210"/>
      <c r="K490" s="415"/>
      <c r="L490" s="210"/>
      <c r="M490" s="415"/>
      <c r="N490" s="210"/>
      <c r="O490" s="415"/>
      <c r="P490" s="210"/>
      <c r="Q490" s="438"/>
      <c r="R490" s="34"/>
      <c r="S490" s="415"/>
      <c r="T490" s="210"/>
      <c r="U490" s="415"/>
      <c r="V490" s="210"/>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row>
    <row r="491">
      <c r="A491" s="415"/>
      <c r="B491" s="210"/>
      <c r="C491" s="415"/>
      <c r="D491" s="210"/>
      <c r="E491" s="415"/>
      <c r="F491" s="210"/>
      <c r="G491" s="415"/>
      <c r="H491" s="210"/>
      <c r="I491" s="415"/>
      <c r="J491" s="210"/>
      <c r="K491" s="415"/>
      <c r="L491" s="210"/>
      <c r="M491" s="415"/>
      <c r="N491" s="210"/>
      <c r="O491" s="415"/>
      <c r="P491" s="210"/>
      <c r="Q491" s="438"/>
      <c r="R491" s="34"/>
      <c r="S491" s="415"/>
      <c r="T491" s="210"/>
      <c r="U491" s="415"/>
      <c r="V491" s="210"/>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row>
    <row r="492">
      <c r="A492" s="415"/>
      <c r="B492" s="210"/>
      <c r="C492" s="415"/>
      <c r="D492" s="210"/>
      <c r="E492" s="415"/>
      <c r="F492" s="210"/>
      <c r="G492" s="415"/>
      <c r="H492" s="210"/>
      <c r="I492" s="415"/>
      <c r="J492" s="210"/>
      <c r="K492" s="415"/>
      <c r="L492" s="210"/>
      <c r="M492" s="415"/>
      <c r="N492" s="210"/>
      <c r="O492" s="415"/>
      <c r="P492" s="210"/>
      <c r="Q492" s="438"/>
      <c r="R492" s="34"/>
      <c r="S492" s="415"/>
      <c r="T492" s="210"/>
      <c r="U492" s="415"/>
      <c r="V492" s="210"/>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row>
    <row r="493">
      <c r="A493" s="415"/>
      <c r="B493" s="210"/>
      <c r="C493" s="415"/>
      <c r="D493" s="210"/>
      <c r="E493" s="415"/>
      <c r="F493" s="210"/>
      <c r="G493" s="415"/>
      <c r="H493" s="210"/>
      <c r="I493" s="415"/>
      <c r="J493" s="210"/>
      <c r="K493" s="415"/>
      <c r="L493" s="210"/>
      <c r="M493" s="415"/>
      <c r="N493" s="210"/>
      <c r="O493" s="415"/>
      <c r="P493" s="210"/>
      <c r="Q493" s="438"/>
      <c r="R493" s="34"/>
      <c r="S493" s="415"/>
      <c r="T493" s="210"/>
      <c r="U493" s="415"/>
      <c r="V493" s="210"/>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row>
    <row r="494">
      <c r="A494" s="415"/>
      <c r="B494" s="210"/>
      <c r="C494" s="415"/>
      <c r="D494" s="210"/>
      <c r="E494" s="415"/>
      <c r="F494" s="210"/>
      <c r="G494" s="415"/>
      <c r="H494" s="210"/>
      <c r="I494" s="415"/>
      <c r="J494" s="210"/>
      <c r="K494" s="415"/>
      <c r="L494" s="210"/>
      <c r="M494" s="415"/>
      <c r="N494" s="210"/>
      <c r="O494" s="415"/>
      <c r="P494" s="210"/>
      <c r="Q494" s="438"/>
      <c r="R494" s="34"/>
      <c r="S494" s="415"/>
      <c r="T494" s="210"/>
      <c r="U494" s="415"/>
      <c r="V494" s="210"/>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row>
    <row r="495">
      <c r="A495" s="415"/>
      <c r="B495" s="210"/>
      <c r="C495" s="415"/>
      <c r="D495" s="210"/>
      <c r="E495" s="415"/>
      <c r="F495" s="210"/>
      <c r="G495" s="415"/>
      <c r="H495" s="210"/>
      <c r="I495" s="415"/>
      <c r="J495" s="210"/>
      <c r="K495" s="415"/>
      <c r="L495" s="210"/>
      <c r="M495" s="415"/>
      <c r="N495" s="210"/>
      <c r="O495" s="415"/>
      <c r="P495" s="210"/>
      <c r="Q495" s="438"/>
      <c r="R495" s="34"/>
      <c r="S495" s="415"/>
      <c r="T495" s="210"/>
      <c r="U495" s="415"/>
      <c r="V495" s="210"/>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row>
    <row r="496">
      <c r="A496" s="415"/>
      <c r="B496" s="210"/>
      <c r="C496" s="415"/>
      <c r="D496" s="210"/>
      <c r="E496" s="415"/>
      <c r="F496" s="210"/>
      <c r="G496" s="415"/>
      <c r="H496" s="210"/>
      <c r="I496" s="415"/>
      <c r="J496" s="210"/>
      <c r="K496" s="415"/>
      <c r="L496" s="210"/>
      <c r="M496" s="415"/>
      <c r="N496" s="210"/>
      <c r="O496" s="415"/>
      <c r="P496" s="210"/>
      <c r="Q496" s="438"/>
      <c r="R496" s="34"/>
      <c r="S496" s="415"/>
      <c r="T496" s="210"/>
      <c r="U496" s="415"/>
      <c r="V496" s="210"/>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row>
    <row r="497">
      <c r="A497" s="415"/>
      <c r="B497" s="210"/>
      <c r="C497" s="415"/>
      <c r="D497" s="210"/>
      <c r="E497" s="415"/>
      <c r="F497" s="210"/>
      <c r="G497" s="415"/>
      <c r="H497" s="210"/>
      <c r="I497" s="415"/>
      <c r="J497" s="210"/>
      <c r="K497" s="415"/>
      <c r="L497" s="210"/>
      <c r="M497" s="415"/>
      <c r="N497" s="210"/>
      <c r="O497" s="415"/>
      <c r="P497" s="210"/>
      <c r="Q497" s="438"/>
      <c r="R497" s="34"/>
      <c r="S497" s="415"/>
      <c r="T497" s="210"/>
      <c r="U497" s="415"/>
      <c r="V497" s="210"/>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row>
    <row r="498">
      <c r="A498" s="415"/>
      <c r="B498" s="210"/>
      <c r="C498" s="415"/>
      <c r="D498" s="210"/>
      <c r="E498" s="415"/>
      <c r="F498" s="210"/>
      <c r="G498" s="415"/>
      <c r="H498" s="210"/>
      <c r="I498" s="415"/>
      <c r="J498" s="210"/>
      <c r="K498" s="415"/>
      <c r="L498" s="210"/>
      <c r="M498" s="415"/>
      <c r="N498" s="210"/>
      <c r="O498" s="415"/>
      <c r="P498" s="210"/>
      <c r="Q498" s="438"/>
      <c r="R498" s="34"/>
      <c r="S498" s="415"/>
      <c r="T498" s="210"/>
      <c r="U498" s="415"/>
      <c r="V498" s="210"/>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row>
    <row r="499">
      <c r="A499" s="415"/>
      <c r="B499" s="210"/>
      <c r="C499" s="415"/>
      <c r="D499" s="210"/>
      <c r="E499" s="415"/>
      <c r="F499" s="210"/>
      <c r="G499" s="415"/>
      <c r="H499" s="210"/>
      <c r="I499" s="415"/>
      <c r="J499" s="210"/>
      <c r="K499" s="415"/>
      <c r="L499" s="210"/>
      <c r="M499" s="415"/>
      <c r="N499" s="210"/>
      <c r="O499" s="415"/>
      <c r="P499" s="210"/>
      <c r="Q499" s="438"/>
      <c r="R499" s="34"/>
      <c r="S499" s="415"/>
      <c r="T499" s="210"/>
      <c r="U499" s="415"/>
      <c r="V499" s="210"/>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row>
    <row r="500">
      <c r="A500" s="415"/>
      <c r="B500" s="210"/>
      <c r="C500" s="415"/>
      <c r="D500" s="210"/>
      <c r="E500" s="415"/>
      <c r="F500" s="210"/>
      <c r="G500" s="415"/>
      <c r="H500" s="210"/>
      <c r="I500" s="415"/>
      <c r="J500" s="210"/>
      <c r="K500" s="415"/>
      <c r="L500" s="210"/>
      <c r="M500" s="415"/>
      <c r="N500" s="210"/>
      <c r="O500" s="415"/>
      <c r="P500" s="210"/>
      <c r="Q500" s="438"/>
      <c r="R500" s="34"/>
      <c r="S500" s="415"/>
      <c r="T500" s="210"/>
      <c r="U500" s="415"/>
      <c r="V500" s="210"/>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row>
    <row r="501">
      <c r="A501" s="415"/>
      <c r="B501" s="210"/>
      <c r="C501" s="415"/>
      <c r="D501" s="210"/>
      <c r="E501" s="415"/>
      <c r="F501" s="210"/>
      <c r="G501" s="415"/>
      <c r="H501" s="210"/>
      <c r="I501" s="415"/>
      <c r="J501" s="210"/>
      <c r="K501" s="415"/>
      <c r="L501" s="210"/>
      <c r="M501" s="415"/>
      <c r="N501" s="210"/>
      <c r="O501" s="415"/>
      <c r="P501" s="210"/>
      <c r="Q501" s="438"/>
      <c r="R501" s="34"/>
      <c r="S501" s="415"/>
      <c r="T501" s="210"/>
      <c r="U501" s="415"/>
      <c r="V501" s="210"/>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row>
    <row r="502">
      <c r="A502" s="415"/>
      <c r="B502" s="210"/>
      <c r="C502" s="415"/>
      <c r="D502" s="210"/>
      <c r="E502" s="415"/>
      <c r="F502" s="210"/>
      <c r="G502" s="415"/>
      <c r="H502" s="210"/>
      <c r="I502" s="415"/>
      <c r="J502" s="210"/>
      <c r="K502" s="415"/>
      <c r="L502" s="210"/>
      <c r="M502" s="415"/>
      <c r="N502" s="210"/>
      <c r="O502" s="415"/>
      <c r="P502" s="210"/>
      <c r="Q502" s="438"/>
      <c r="R502" s="34"/>
      <c r="S502" s="415"/>
      <c r="T502" s="210"/>
      <c r="U502" s="415"/>
      <c r="V502" s="210"/>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row>
    <row r="503">
      <c r="A503" s="415"/>
      <c r="B503" s="210"/>
      <c r="C503" s="415"/>
      <c r="D503" s="210"/>
      <c r="E503" s="415"/>
      <c r="F503" s="210"/>
      <c r="G503" s="415"/>
      <c r="H503" s="210"/>
      <c r="I503" s="415"/>
      <c r="J503" s="210"/>
      <c r="K503" s="415"/>
      <c r="L503" s="210"/>
      <c r="M503" s="415"/>
      <c r="N503" s="210"/>
      <c r="O503" s="415"/>
      <c r="P503" s="210"/>
      <c r="Q503" s="438"/>
      <c r="R503" s="34"/>
      <c r="S503" s="415"/>
      <c r="T503" s="210"/>
      <c r="U503" s="415"/>
      <c r="V503" s="210"/>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row>
    <row r="504">
      <c r="A504" s="415"/>
      <c r="B504" s="210"/>
      <c r="C504" s="415"/>
      <c r="D504" s="210"/>
      <c r="E504" s="415"/>
      <c r="F504" s="210"/>
      <c r="G504" s="415"/>
      <c r="H504" s="210"/>
      <c r="I504" s="415"/>
      <c r="J504" s="210"/>
      <c r="K504" s="415"/>
      <c r="L504" s="210"/>
      <c r="M504" s="415"/>
      <c r="N504" s="210"/>
      <c r="O504" s="415"/>
      <c r="P504" s="210"/>
      <c r="Q504" s="438"/>
      <c r="R504" s="34"/>
      <c r="S504" s="415"/>
      <c r="T504" s="210"/>
      <c r="U504" s="415"/>
      <c r="V504" s="210"/>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row>
    <row r="505">
      <c r="A505" s="415"/>
      <c r="B505" s="210"/>
      <c r="C505" s="415"/>
      <c r="D505" s="210"/>
      <c r="E505" s="415"/>
      <c r="F505" s="210"/>
      <c r="G505" s="415"/>
      <c r="H505" s="210"/>
      <c r="I505" s="415"/>
      <c r="J505" s="210"/>
      <c r="K505" s="415"/>
      <c r="L505" s="210"/>
      <c r="M505" s="415"/>
      <c r="N505" s="210"/>
      <c r="O505" s="415"/>
      <c r="P505" s="210"/>
      <c r="Q505" s="438"/>
      <c r="R505" s="34"/>
      <c r="S505" s="415"/>
      <c r="T505" s="210"/>
      <c r="U505" s="415"/>
      <c r="V505" s="210"/>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row>
    <row r="506">
      <c r="A506" s="415"/>
      <c r="B506" s="210"/>
      <c r="C506" s="415"/>
      <c r="D506" s="210"/>
      <c r="E506" s="415"/>
      <c r="F506" s="210"/>
      <c r="G506" s="415"/>
      <c r="H506" s="210"/>
      <c r="I506" s="415"/>
      <c r="J506" s="210"/>
      <c r="K506" s="415"/>
      <c r="L506" s="210"/>
      <c r="M506" s="415"/>
      <c r="N506" s="210"/>
      <c r="O506" s="415"/>
      <c r="P506" s="210"/>
      <c r="Q506" s="438"/>
      <c r="R506" s="34"/>
      <c r="S506" s="415"/>
      <c r="T506" s="210"/>
      <c r="U506" s="415"/>
      <c r="V506" s="210"/>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row>
    <row r="507">
      <c r="A507" s="415"/>
      <c r="B507" s="210"/>
      <c r="C507" s="415"/>
      <c r="D507" s="210"/>
      <c r="E507" s="415"/>
      <c r="F507" s="210"/>
      <c r="G507" s="415"/>
      <c r="H507" s="210"/>
      <c r="I507" s="415"/>
      <c r="J507" s="210"/>
      <c r="K507" s="415"/>
      <c r="L507" s="210"/>
      <c r="M507" s="415"/>
      <c r="N507" s="210"/>
      <c r="O507" s="415"/>
      <c r="P507" s="210"/>
      <c r="Q507" s="438"/>
      <c r="R507" s="34"/>
      <c r="S507" s="415"/>
      <c r="T507" s="210"/>
      <c r="U507" s="415"/>
      <c r="V507" s="210"/>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row>
    <row r="508">
      <c r="A508" s="415"/>
      <c r="B508" s="210"/>
      <c r="C508" s="415"/>
      <c r="D508" s="210"/>
      <c r="E508" s="415"/>
      <c r="F508" s="210"/>
      <c r="G508" s="415"/>
      <c r="H508" s="210"/>
      <c r="I508" s="415"/>
      <c r="J508" s="210"/>
      <c r="K508" s="415"/>
      <c r="L508" s="210"/>
      <c r="M508" s="415"/>
      <c r="N508" s="210"/>
      <c r="O508" s="415"/>
      <c r="P508" s="210"/>
      <c r="Q508" s="438"/>
      <c r="R508" s="34"/>
      <c r="S508" s="415"/>
      <c r="T508" s="210"/>
      <c r="U508" s="415"/>
      <c r="V508" s="210"/>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row>
    <row r="509">
      <c r="A509" s="415"/>
      <c r="B509" s="210"/>
      <c r="C509" s="415"/>
      <c r="D509" s="210"/>
      <c r="E509" s="415"/>
      <c r="F509" s="210"/>
      <c r="G509" s="415"/>
      <c r="H509" s="210"/>
      <c r="I509" s="415"/>
      <c r="J509" s="210"/>
      <c r="K509" s="415"/>
      <c r="L509" s="210"/>
      <c r="M509" s="415"/>
      <c r="N509" s="210"/>
      <c r="O509" s="415"/>
      <c r="P509" s="210"/>
      <c r="Q509" s="438"/>
      <c r="R509" s="34"/>
      <c r="S509" s="415"/>
      <c r="T509" s="210"/>
      <c r="U509" s="415"/>
      <c r="V509" s="210"/>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row>
    <row r="510">
      <c r="A510" s="415"/>
      <c r="B510" s="210"/>
      <c r="C510" s="415"/>
      <c r="D510" s="210"/>
      <c r="E510" s="415"/>
      <c r="F510" s="210"/>
      <c r="G510" s="415"/>
      <c r="H510" s="210"/>
      <c r="I510" s="415"/>
      <c r="J510" s="210"/>
      <c r="K510" s="415"/>
      <c r="L510" s="210"/>
      <c r="M510" s="415"/>
      <c r="N510" s="210"/>
      <c r="O510" s="415"/>
      <c r="P510" s="210"/>
      <c r="Q510" s="438"/>
      <c r="R510" s="34"/>
      <c r="S510" s="415"/>
      <c r="T510" s="210"/>
      <c r="U510" s="415"/>
      <c r="V510" s="210"/>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row>
    <row r="511">
      <c r="A511" s="415"/>
      <c r="B511" s="210"/>
      <c r="C511" s="415"/>
      <c r="D511" s="210"/>
      <c r="E511" s="415"/>
      <c r="F511" s="210"/>
      <c r="G511" s="415"/>
      <c r="H511" s="210"/>
      <c r="I511" s="415"/>
      <c r="J511" s="210"/>
      <c r="K511" s="415"/>
      <c r="L511" s="210"/>
      <c r="M511" s="415"/>
      <c r="N511" s="210"/>
      <c r="O511" s="415"/>
      <c r="P511" s="210"/>
      <c r="Q511" s="438"/>
      <c r="R511" s="34"/>
      <c r="S511" s="415"/>
      <c r="T511" s="210"/>
      <c r="U511" s="415"/>
      <c r="V511" s="210"/>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row>
    <row r="512">
      <c r="A512" s="415"/>
      <c r="B512" s="210"/>
      <c r="C512" s="415"/>
      <c r="D512" s="210"/>
      <c r="E512" s="415"/>
      <c r="F512" s="210"/>
      <c r="G512" s="415"/>
      <c r="H512" s="210"/>
      <c r="I512" s="415"/>
      <c r="J512" s="210"/>
      <c r="K512" s="415"/>
      <c r="L512" s="210"/>
      <c r="M512" s="415"/>
      <c r="N512" s="210"/>
      <c r="O512" s="415"/>
      <c r="P512" s="210"/>
      <c r="Q512" s="438"/>
      <c r="R512" s="34"/>
      <c r="S512" s="415"/>
      <c r="T512" s="210"/>
      <c r="U512" s="415"/>
      <c r="V512" s="210"/>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row>
    <row r="513">
      <c r="A513" s="415"/>
      <c r="B513" s="210"/>
      <c r="C513" s="415"/>
      <c r="D513" s="210"/>
      <c r="E513" s="415"/>
      <c r="F513" s="210"/>
      <c r="G513" s="415"/>
      <c r="H513" s="210"/>
      <c r="I513" s="415"/>
      <c r="J513" s="210"/>
      <c r="K513" s="415"/>
      <c r="L513" s="210"/>
      <c r="M513" s="415"/>
      <c r="N513" s="210"/>
      <c r="O513" s="415"/>
      <c r="P513" s="210"/>
      <c r="Q513" s="438"/>
      <c r="R513" s="34"/>
      <c r="S513" s="415"/>
      <c r="T513" s="210"/>
      <c r="U513" s="415"/>
      <c r="V513" s="210"/>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row>
    <row r="514">
      <c r="A514" s="415"/>
      <c r="B514" s="210"/>
      <c r="C514" s="415"/>
      <c r="D514" s="210"/>
      <c r="E514" s="415"/>
      <c r="F514" s="210"/>
      <c r="G514" s="415"/>
      <c r="H514" s="210"/>
      <c r="I514" s="415"/>
      <c r="J514" s="210"/>
      <c r="K514" s="415"/>
      <c r="L514" s="210"/>
      <c r="M514" s="415"/>
      <c r="N514" s="210"/>
      <c r="O514" s="415"/>
      <c r="P514" s="210"/>
      <c r="Q514" s="438"/>
      <c r="R514" s="34"/>
      <c r="S514" s="415"/>
      <c r="T514" s="210"/>
      <c r="U514" s="415"/>
      <c r="V514" s="210"/>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row>
    <row r="515">
      <c r="A515" s="415"/>
      <c r="B515" s="210"/>
      <c r="C515" s="415"/>
      <c r="D515" s="210"/>
      <c r="E515" s="415"/>
      <c r="F515" s="210"/>
      <c r="G515" s="415"/>
      <c r="H515" s="210"/>
      <c r="I515" s="415"/>
      <c r="J515" s="210"/>
      <c r="K515" s="415"/>
      <c r="L515" s="210"/>
      <c r="M515" s="415"/>
      <c r="N515" s="210"/>
      <c r="O515" s="415"/>
      <c r="P515" s="210"/>
      <c r="Q515" s="438"/>
      <c r="R515" s="34"/>
      <c r="S515" s="415"/>
      <c r="T515" s="210"/>
      <c r="U515" s="415"/>
      <c r="V515" s="210"/>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row>
    <row r="516">
      <c r="A516" s="415"/>
      <c r="B516" s="210"/>
      <c r="C516" s="415"/>
      <c r="D516" s="210"/>
      <c r="E516" s="415"/>
      <c r="F516" s="210"/>
      <c r="G516" s="415"/>
      <c r="H516" s="210"/>
      <c r="I516" s="415"/>
      <c r="J516" s="210"/>
      <c r="K516" s="415"/>
      <c r="L516" s="210"/>
      <c r="M516" s="415"/>
      <c r="N516" s="210"/>
      <c r="O516" s="415"/>
      <c r="P516" s="210"/>
      <c r="Q516" s="439"/>
      <c r="R516" s="34"/>
      <c r="S516" s="415"/>
      <c r="T516" s="210"/>
      <c r="U516" s="415"/>
      <c r="V516" s="210"/>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row>
    <row r="517">
      <c r="A517" s="415"/>
      <c r="B517" s="210"/>
      <c r="C517" s="415"/>
      <c r="D517" s="210"/>
      <c r="E517" s="415"/>
      <c r="F517" s="210"/>
      <c r="G517" s="415"/>
      <c r="H517" s="210"/>
      <c r="I517" s="415"/>
      <c r="J517" s="210"/>
      <c r="K517" s="415"/>
      <c r="L517" s="210"/>
      <c r="M517" s="415"/>
      <c r="N517" s="210"/>
      <c r="O517" s="415"/>
      <c r="P517" s="210"/>
      <c r="Q517" s="439"/>
      <c r="R517" s="34"/>
      <c r="S517" s="415"/>
      <c r="T517" s="210"/>
      <c r="U517" s="415"/>
      <c r="V517" s="210"/>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row>
    <row r="518">
      <c r="A518" s="415"/>
      <c r="B518" s="210"/>
      <c r="C518" s="415"/>
      <c r="D518" s="210"/>
      <c r="E518" s="415"/>
      <c r="F518" s="210"/>
      <c r="G518" s="415"/>
      <c r="H518" s="210"/>
      <c r="I518" s="415"/>
      <c r="J518" s="210"/>
      <c r="K518" s="415"/>
      <c r="L518" s="210"/>
      <c r="M518" s="415"/>
      <c r="N518" s="210"/>
      <c r="O518" s="415"/>
      <c r="P518" s="210"/>
      <c r="Q518" s="439"/>
      <c r="R518" s="34"/>
      <c r="S518" s="415"/>
      <c r="T518" s="210"/>
      <c r="U518" s="415"/>
      <c r="V518" s="210"/>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row>
    <row r="519">
      <c r="A519" s="415"/>
      <c r="B519" s="210"/>
      <c r="C519" s="415"/>
      <c r="D519" s="210"/>
      <c r="E519" s="415"/>
      <c r="F519" s="210"/>
      <c r="G519" s="415"/>
      <c r="H519" s="210"/>
      <c r="I519" s="415"/>
      <c r="J519" s="210"/>
      <c r="K519" s="415"/>
      <c r="L519" s="210"/>
      <c r="M519" s="415"/>
      <c r="N519" s="210"/>
      <c r="O519" s="415"/>
      <c r="P519" s="210"/>
      <c r="Q519" s="439"/>
      <c r="R519" s="34"/>
      <c r="S519" s="415"/>
      <c r="T519" s="210"/>
      <c r="U519" s="415"/>
      <c r="V519" s="210"/>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row>
    <row r="520">
      <c r="A520" s="415"/>
      <c r="B520" s="210"/>
      <c r="C520" s="415"/>
      <c r="D520" s="210"/>
      <c r="E520" s="415"/>
      <c r="F520" s="210"/>
      <c r="G520" s="415"/>
      <c r="H520" s="210"/>
      <c r="I520" s="415"/>
      <c r="J520" s="210"/>
      <c r="K520" s="415"/>
      <c r="L520" s="210"/>
      <c r="M520" s="415"/>
      <c r="N520" s="210"/>
      <c r="O520" s="415"/>
      <c r="P520" s="210"/>
      <c r="Q520" s="439"/>
      <c r="R520" s="34"/>
      <c r="S520" s="415"/>
      <c r="T520" s="210"/>
      <c r="U520" s="415"/>
      <c r="V520" s="210"/>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row>
    <row r="521">
      <c r="A521" s="415"/>
      <c r="B521" s="210"/>
      <c r="C521" s="415"/>
      <c r="D521" s="210"/>
      <c r="E521" s="415"/>
      <c r="F521" s="210"/>
      <c r="G521" s="415"/>
      <c r="H521" s="210"/>
      <c r="I521" s="415"/>
      <c r="J521" s="210"/>
      <c r="K521" s="415"/>
      <c r="L521" s="210"/>
      <c r="M521" s="415"/>
      <c r="N521" s="210"/>
      <c r="O521" s="415"/>
      <c r="P521" s="210"/>
      <c r="Q521" s="439"/>
      <c r="R521" s="34"/>
      <c r="S521" s="415"/>
      <c r="T521" s="210"/>
      <c r="U521" s="415"/>
      <c r="V521" s="210"/>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row>
    <row r="522">
      <c r="A522" s="415"/>
      <c r="B522" s="210"/>
      <c r="C522" s="415"/>
      <c r="D522" s="210"/>
      <c r="E522" s="415"/>
      <c r="F522" s="210"/>
      <c r="G522" s="415"/>
      <c r="H522" s="210"/>
      <c r="I522" s="415"/>
      <c r="J522" s="210"/>
      <c r="K522" s="415"/>
      <c r="L522" s="210"/>
      <c r="M522" s="415"/>
      <c r="N522" s="210"/>
      <c r="O522" s="415"/>
      <c r="P522" s="210"/>
      <c r="Q522" s="439"/>
      <c r="R522" s="34"/>
      <c r="S522" s="415"/>
      <c r="T522" s="210"/>
      <c r="U522" s="415"/>
      <c r="V522" s="210"/>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row>
    <row r="523">
      <c r="A523" s="415"/>
      <c r="B523" s="210"/>
      <c r="C523" s="415"/>
      <c r="D523" s="210"/>
      <c r="E523" s="415"/>
      <c r="F523" s="210"/>
      <c r="G523" s="415"/>
      <c r="H523" s="210"/>
      <c r="I523" s="415"/>
      <c r="J523" s="210"/>
      <c r="K523" s="415"/>
      <c r="L523" s="210"/>
      <c r="M523" s="415"/>
      <c r="N523" s="210"/>
      <c r="O523" s="415"/>
      <c r="P523" s="210"/>
      <c r="Q523" s="439"/>
      <c r="R523" s="34"/>
      <c r="S523" s="415"/>
      <c r="T523" s="210"/>
      <c r="U523" s="415"/>
      <c r="V523" s="210"/>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row>
    <row r="524">
      <c r="A524" s="415"/>
      <c r="B524" s="210"/>
      <c r="C524" s="415"/>
      <c r="D524" s="210"/>
      <c r="E524" s="415"/>
      <c r="F524" s="210"/>
      <c r="G524" s="415"/>
      <c r="H524" s="210"/>
      <c r="I524" s="415"/>
      <c r="J524" s="210"/>
      <c r="K524" s="415"/>
      <c r="L524" s="210"/>
      <c r="M524" s="415"/>
      <c r="N524" s="210"/>
      <c r="O524" s="415"/>
      <c r="P524" s="210"/>
      <c r="Q524" s="439"/>
      <c r="R524" s="34"/>
      <c r="S524" s="415"/>
      <c r="T524" s="210"/>
      <c r="U524" s="415"/>
      <c r="V524" s="210"/>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row>
    <row r="525">
      <c r="A525" s="415"/>
      <c r="B525" s="210"/>
      <c r="C525" s="415"/>
      <c r="D525" s="210"/>
      <c r="E525" s="415"/>
      <c r="F525" s="210"/>
      <c r="G525" s="415"/>
      <c r="H525" s="210"/>
      <c r="I525" s="415"/>
      <c r="J525" s="210"/>
      <c r="K525" s="415"/>
      <c r="L525" s="210"/>
      <c r="M525" s="415"/>
      <c r="N525" s="210"/>
      <c r="O525" s="415"/>
      <c r="P525" s="210"/>
      <c r="Q525" s="439"/>
      <c r="R525" s="34"/>
      <c r="S525" s="415"/>
      <c r="T525" s="210"/>
      <c r="U525" s="415"/>
      <c r="V525" s="210"/>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row>
    <row r="526">
      <c r="A526" s="415"/>
      <c r="B526" s="210"/>
      <c r="C526" s="415"/>
      <c r="D526" s="210"/>
      <c r="E526" s="415"/>
      <c r="F526" s="210"/>
      <c r="G526" s="415"/>
      <c r="H526" s="210"/>
      <c r="I526" s="415"/>
      <c r="J526" s="210"/>
      <c r="K526" s="415"/>
      <c r="L526" s="210"/>
      <c r="M526" s="415"/>
      <c r="N526" s="210"/>
      <c r="O526" s="415"/>
      <c r="P526" s="210"/>
      <c r="Q526" s="439"/>
      <c r="R526" s="34"/>
      <c r="S526" s="415"/>
      <c r="T526" s="210"/>
      <c r="U526" s="415"/>
      <c r="V526" s="210"/>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row>
    <row r="527">
      <c r="A527" s="415"/>
      <c r="B527" s="210"/>
      <c r="C527" s="415"/>
      <c r="D527" s="210"/>
      <c r="E527" s="415"/>
      <c r="F527" s="210"/>
      <c r="G527" s="415"/>
      <c r="H527" s="210"/>
      <c r="I527" s="415"/>
      <c r="J527" s="210"/>
      <c r="K527" s="415"/>
      <c r="L527" s="210"/>
      <c r="M527" s="415"/>
      <c r="N527" s="210"/>
      <c r="O527" s="415"/>
      <c r="P527" s="210"/>
      <c r="Q527" s="439"/>
      <c r="R527" s="34"/>
      <c r="S527" s="415"/>
      <c r="T527" s="210"/>
      <c r="U527" s="415"/>
      <c r="V527" s="210"/>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row>
    <row r="528">
      <c r="A528" s="415"/>
      <c r="B528" s="210"/>
      <c r="C528" s="415"/>
      <c r="D528" s="210"/>
      <c r="E528" s="415"/>
      <c r="F528" s="210"/>
      <c r="G528" s="415"/>
      <c r="H528" s="210"/>
      <c r="I528" s="415"/>
      <c r="J528" s="210"/>
      <c r="K528" s="415"/>
      <c r="L528" s="210"/>
      <c r="M528" s="415"/>
      <c r="N528" s="210"/>
      <c r="O528" s="415"/>
      <c r="P528" s="210"/>
      <c r="Q528" s="439"/>
      <c r="R528" s="34"/>
      <c r="S528" s="415"/>
      <c r="T528" s="210"/>
      <c r="U528" s="415"/>
      <c r="V528" s="210"/>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row>
    <row r="529">
      <c r="A529" s="415"/>
      <c r="B529" s="210"/>
      <c r="C529" s="415"/>
      <c r="D529" s="210"/>
      <c r="E529" s="415"/>
      <c r="F529" s="210"/>
      <c r="G529" s="415"/>
      <c r="H529" s="210"/>
      <c r="I529" s="415"/>
      <c r="J529" s="210"/>
      <c r="K529" s="415"/>
      <c r="L529" s="210"/>
      <c r="M529" s="415"/>
      <c r="N529" s="210"/>
      <c r="O529" s="415"/>
      <c r="P529" s="210"/>
      <c r="Q529" s="439"/>
      <c r="R529" s="34"/>
      <c r="S529" s="415"/>
      <c r="T529" s="210"/>
      <c r="U529" s="415"/>
      <c r="V529" s="210"/>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row>
    <row r="530">
      <c r="A530" s="415"/>
      <c r="B530" s="210"/>
      <c r="C530" s="415"/>
      <c r="D530" s="210"/>
      <c r="E530" s="415"/>
      <c r="F530" s="210"/>
      <c r="G530" s="415"/>
      <c r="H530" s="210"/>
      <c r="I530" s="415"/>
      <c r="J530" s="210"/>
      <c r="K530" s="415"/>
      <c r="L530" s="210"/>
      <c r="M530" s="415"/>
      <c r="N530" s="210"/>
      <c r="O530" s="415"/>
      <c r="P530" s="210"/>
      <c r="Q530" s="439"/>
      <c r="R530" s="34"/>
      <c r="S530" s="415"/>
      <c r="T530" s="210"/>
      <c r="U530" s="415"/>
      <c r="V530" s="210"/>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row>
    <row r="531">
      <c r="A531" s="415"/>
      <c r="B531" s="210"/>
      <c r="C531" s="415"/>
      <c r="D531" s="210"/>
      <c r="E531" s="415"/>
      <c r="F531" s="210"/>
      <c r="G531" s="415"/>
      <c r="H531" s="210"/>
      <c r="I531" s="415"/>
      <c r="J531" s="210"/>
      <c r="K531" s="415"/>
      <c r="L531" s="210"/>
      <c r="M531" s="415"/>
      <c r="N531" s="210"/>
      <c r="O531" s="415"/>
      <c r="P531" s="210"/>
      <c r="Q531" s="439"/>
      <c r="R531" s="34"/>
      <c r="S531" s="415"/>
      <c r="T531" s="210"/>
      <c r="U531" s="415"/>
      <c r="V531" s="210"/>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row>
    <row r="532">
      <c r="A532" s="415"/>
      <c r="B532" s="210"/>
      <c r="C532" s="415"/>
      <c r="D532" s="210"/>
      <c r="E532" s="415"/>
      <c r="F532" s="210"/>
      <c r="G532" s="415"/>
      <c r="H532" s="210"/>
      <c r="I532" s="415"/>
      <c r="J532" s="210"/>
      <c r="K532" s="415"/>
      <c r="L532" s="210"/>
      <c r="M532" s="415"/>
      <c r="N532" s="210"/>
      <c r="O532" s="415"/>
      <c r="P532" s="210"/>
      <c r="Q532" s="439"/>
      <c r="R532" s="34"/>
      <c r="S532" s="415"/>
      <c r="T532" s="210"/>
      <c r="U532" s="415"/>
      <c r="V532" s="210"/>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row>
    <row r="533">
      <c r="A533" s="415"/>
      <c r="B533" s="210"/>
      <c r="C533" s="415"/>
      <c r="D533" s="210"/>
      <c r="E533" s="415"/>
      <c r="F533" s="210"/>
      <c r="G533" s="415"/>
      <c r="H533" s="210"/>
      <c r="I533" s="415"/>
      <c r="J533" s="210"/>
      <c r="K533" s="415"/>
      <c r="L533" s="210"/>
      <c r="M533" s="415"/>
      <c r="N533" s="210"/>
      <c r="O533" s="415"/>
      <c r="P533" s="210"/>
      <c r="Q533" s="439"/>
      <c r="R533" s="34"/>
      <c r="S533" s="415"/>
      <c r="T533" s="210"/>
      <c r="U533" s="415"/>
      <c r="V533" s="210"/>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row>
    <row r="534">
      <c r="A534" s="415"/>
      <c r="B534" s="210"/>
      <c r="C534" s="415"/>
      <c r="D534" s="210"/>
      <c r="E534" s="415"/>
      <c r="F534" s="210"/>
      <c r="G534" s="415"/>
      <c r="H534" s="210"/>
      <c r="I534" s="415"/>
      <c r="J534" s="210"/>
      <c r="K534" s="415"/>
      <c r="L534" s="210"/>
      <c r="M534" s="415"/>
      <c r="N534" s="210"/>
      <c r="O534" s="415"/>
      <c r="P534" s="210"/>
      <c r="Q534" s="439"/>
      <c r="R534" s="439"/>
      <c r="S534" s="415"/>
      <c r="T534" s="210"/>
      <c r="U534" s="415"/>
      <c r="V534" s="210"/>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row>
    <row r="535">
      <c r="A535" s="415"/>
      <c r="B535" s="210"/>
      <c r="C535" s="415"/>
      <c r="D535" s="210"/>
      <c r="E535" s="415"/>
      <c r="F535" s="210"/>
      <c r="G535" s="415"/>
      <c r="H535" s="210"/>
      <c r="I535" s="415"/>
      <c r="J535" s="210"/>
      <c r="K535" s="415"/>
      <c r="L535" s="210"/>
      <c r="M535" s="415"/>
      <c r="N535" s="210"/>
      <c r="O535" s="415"/>
      <c r="P535" s="210"/>
      <c r="Q535" s="439"/>
      <c r="R535" s="439"/>
      <c r="S535" s="415"/>
      <c r="T535" s="210"/>
      <c r="U535" s="415"/>
      <c r="V535" s="210"/>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row>
    <row r="536">
      <c r="A536" s="415"/>
      <c r="B536" s="210"/>
      <c r="C536" s="415"/>
      <c r="D536" s="210"/>
      <c r="E536" s="415"/>
      <c r="F536" s="210"/>
      <c r="G536" s="415"/>
      <c r="H536" s="210"/>
      <c r="I536" s="415"/>
      <c r="J536" s="210"/>
      <c r="K536" s="415"/>
      <c r="L536" s="210"/>
      <c r="M536" s="415"/>
      <c r="N536" s="210"/>
      <c r="O536" s="415"/>
      <c r="P536" s="210"/>
      <c r="Q536" s="439"/>
      <c r="R536" s="439"/>
      <c r="S536" s="415"/>
      <c r="T536" s="210"/>
      <c r="U536" s="415"/>
      <c r="V536" s="210"/>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row>
    <row r="537">
      <c r="A537" s="415"/>
      <c r="B537" s="210"/>
      <c r="C537" s="415"/>
      <c r="D537" s="210"/>
      <c r="E537" s="415"/>
      <c r="F537" s="210"/>
      <c r="G537" s="415"/>
      <c r="H537" s="210"/>
      <c r="I537" s="415"/>
      <c r="J537" s="210"/>
      <c r="K537" s="415"/>
      <c r="L537" s="210"/>
      <c r="M537" s="415"/>
      <c r="N537" s="210"/>
      <c r="O537" s="415"/>
      <c r="P537" s="210"/>
      <c r="Q537" s="439"/>
      <c r="R537" s="439"/>
      <c r="S537" s="415"/>
      <c r="T537" s="210"/>
      <c r="U537" s="415"/>
      <c r="V537" s="210"/>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row>
    <row r="538">
      <c r="A538" s="415"/>
      <c r="B538" s="210"/>
      <c r="C538" s="415"/>
      <c r="D538" s="210"/>
      <c r="E538" s="415"/>
      <c r="F538" s="210"/>
      <c r="G538" s="415"/>
      <c r="H538" s="210"/>
      <c r="I538" s="415"/>
      <c r="J538" s="210"/>
      <c r="K538" s="415"/>
      <c r="L538" s="210"/>
      <c r="M538" s="415"/>
      <c r="N538" s="210"/>
      <c r="O538" s="415"/>
      <c r="P538" s="210"/>
      <c r="Q538" s="439"/>
      <c r="R538" s="439"/>
      <c r="S538" s="415"/>
      <c r="T538" s="210"/>
      <c r="U538" s="415"/>
      <c r="V538" s="210"/>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row>
    <row r="539">
      <c r="A539" s="415"/>
      <c r="B539" s="210"/>
      <c r="C539" s="415"/>
      <c r="D539" s="210"/>
      <c r="E539" s="415"/>
      <c r="F539" s="210"/>
      <c r="G539" s="415"/>
      <c r="H539" s="210"/>
      <c r="I539" s="415"/>
      <c r="J539" s="210"/>
      <c r="K539" s="415"/>
      <c r="L539" s="210"/>
      <c r="M539" s="415"/>
      <c r="N539" s="210"/>
      <c r="O539" s="415"/>
      <c r="P539" s="210"/>
      <c r="Q539" s="439"/>
      <c r="R539" s="439"/>
      <c r="S539" s="415"/>
      <c r="T539" s="210"/>
      <c r="U539" s="415"/>
      <c r="V539" s="210"/>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row>
    <row r="540">
      <c r="A540" s="415"/>
      <c r="B540" s="210"/>
      <c r="C540" s="415"/>
      <c r="D540" s="210"/>
      <c r="E540" s="415"/>
      <c r="F540" s="210"/>
      <c r="G540" s="415"/>
      <c r="H540" s="210"/>
      <c r="I540" s="415"/>
      <c r="J540" s="210"/>
      <c r="K540" s="415"/>
      <c r="L540" s="210"/>
      <c r="M540" s="415"/>
      <c r="N540" s="210"/>
      <c r="O540" s="415"/>
      <c r="P540" s="210"/>
      <c r="Q540" s="439"/>
      <c r="R540" s="439"/>
      <c r="S540" s="415"/>
      <c r="T540" s="210"/>
      <c r="U540" s="415"/>
      <c r="V540" s="210"/>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row>
    <row r="541">
      <c r="A541" s="415"/>
      <c r="B541" s="210"/>
      <c r="C541" s="415"/>
      <c r="D541" s="210"/>
      <c r="E541" s="415"/>
      <c r="F541" s="210"/>
      <c r="G541" s="415"/>
      <c r="H541" s="210"/>
      <c r="I541" s="415"/>
      <c r="J541" s="210"/>
      <c r="K541" s="415"/>
      <c r="L541" s="210"/>
      <c r="M541" s="415"/>
      <c r="N541" s="210"/>
      <c r="O541" s="415"/>
      <c r="P541" s="210"/>
      <c r="Q541" s="439"/>
      <c r="R541" s="439"/>
      <c r="S541" s="415"/>
      <c r="T541" s="210"/>
      <c r="U541" s="415"/>
      <c r="V541" s="210"/>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row>
    <row r="542">
      <c r="A542" s="415"/>
      <c r="B542" s="210"/>
      <c r="C542" s="415"/>
      <c r="D542" s="210"/>
      <c r="E542" s="415"/>
      <c r="F542" s="210"/>
      <c r="G542" s="415"/>
      <c r="H542" s="210"/>
      <c r="I542" s="415"/>
      <c r="J542" s="210"/>
      <c r="K542" s="415"/>
      <c r="L542" s="210"/>
      <c r="M542" s="415"/>
      <c r="N542" s="210"/>
      <c r="O542" s="415"/>
      <c r="P542" s="210"/>
      <c r="Q542" s="439"/>
      <c r="R542" s="439"/>
      <c r="S542" s="415"/>
      <c r="T542" s="210"/>
      <c r="U542" s="415"/>
      <c r="V542" s="210"/>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row>
    <row r="543">
      <c r="A543" s="415"/>
      <c r="B543" s="210"/>
      <c r="C543" s="415"/>
      <c r="D543" s="210"/>
      <c r="E543" s="415"/>
      <c r="F543" s="210"/>
      <c r="G543" s="415"/>
      <c r="H543" s="210"/>
      <c r="I543" s="415"/>
      <c r="J543" s="210"/>
      <c r="K543" s="415"/>
      <c r="L543" s="210"/>
      <c r="M543" s="415"/>
      <c r="N543" s="210"/>
      <c r="O543" s="415"/>
      <c r="P543" s="210"/>
      <c r="Q543" s="439"/>
      <c r="R543" s="439"/>
      <c r="S543" s="415"/>
      <c r="T543" s="210"/>
      <c r="U543" s="415"/>
      <c r="V543" s="210"/>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row>
    <row r="544">
      <c r="A544" s="415"/>
      <c r="B544" s="210"/>
      <c r="C544" s="415"/>
      <c r="D544" s="210"/>
      <c r="E544" s="415"/>
      <c r="F544" s="210"/>
      <c r="G544" s="415"/>
      <c r="H544" s="210"/>
      <c r="I544" s="415"/>
      <c r="J544" s="210"/>
      <c r="K544" s="415"/>
      <c r="L544" s="210"/>
      <c r="M544" s="415"/>
      <c r="N544" s="210"/>
      <c r="O544" s="415"/>
      <c r="P544" s="210"/>
      <c r="Q544" s="439"/>
      <c r="R544" s="439"/>
      <c r="S544" s="415"/>
      <c r="T544" s="210"/>
      <c r="U544" s="415"/>
      <c r="V544" s="210"/>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row>
    <row r="545">
      <c r="A545" s="415"/>
      <c r="B545" s="210"/>
      <c r="C545" s="415"/>
      <c r="D545" s="210"/>
      <c r="E545" s="415"/>
      <c r="F545" s="210"/>
      <c r="G545" s="415"/>
      <c r="H545" s="210"/>
      <c r="I545" s="415"/>
      <c r="J545" s="210"/>
      <c r="K545" s="415"/>
      <c r="L545" s="210"/>
      <c r="M545" s="415"/>
      <c r="N545" s="210"/>
      <c r="O545" s="415"/>
      <c r="P545" s="210"/>
      <c r="Q545" s="439"/>
      <c r="R545" s="439"/>
      <c r="S545" s="415"/>
      <c r="T545" s="210"/>
      <c r="U545" s="415"/>
      <c r="V545" s="210"/>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row>
    <row r="546">
      <c r="A546" s="415"/>
      <c r="B546" s="210"/>
      <c r="C546" s="415"/>
      <c r="D546" s="210"/>
      <c r="E546" s="415"/>
      <c r="F546" s="210"/>
      <c r="G546" s="415"/>
      <c r="H546" s="210"/>
      <c r="I546" s="415"/>
      <c r="J546" s="210"/>
      <c r="K546" s="415"/>
      <c r="L546" s="210"/>
      <c r="M546" s="415"/>
      <c r="N546" s="210"/>
      <c r="O546" s="415"/>
      <c r="P546" s="210"/>
      <c r="Q546" s="439"/>
      <c r="R546" s="439"/>
      <c r="S546" s="415"/>
      <c r="T546" s="210"/>
      <c r="U546" s="415"/>
      <c r="V546" s="210"/>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row>
    <row r="547">
      <c r="A547" s="415"/>
      <c r="B547" s="210"/>
      <c r="C547" s="415"/>
      <c r="D547" s="210"/>
      <c r="E547" s="415"/>
      <c r="F547" s="210"/>
      <c r="G547" s="415"/>
      <c r="H547" s="210"/>
      <c r="I547" s="415"/>
      <c r="J547" s="210"/>
      <c r="K547" s="415"/>
      <c r="L547" s="210"/>
      <c r="M547" s="415"/>
      <c r="N547" s="210"/>
      <c r="O547" s="415"/>
      <c r="P547" s="210"/>
      <c r="Q547" s="439"/>
      <c r="R547" s="439"/>
      <c r="S547" s="415"/>
      <c r="T547" s="210"/>
      <c r="U547" s="415"/>
      <c r="V547" s="210"/>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row>
    <row r="548">
      <c r="A548" s="415"/>
      <c r="B548" s="210"/>
      <c r="C548" s="415"/>
      <c r="D548" s="210"/>
      <c r="E548" s="415"/>
      <c r="F548" s="210"/>
      <c r="G548" s="415"/>
      <c r="H548" s="210"/>
      <c r="I548" s="415"/>
      <c r="J548" s="210"/>
      <c r="K548" s="415"/>
      <c r="L548" s="210"/>
      <c r="M548" s="415"/>
      <c r="N548" s="210"/>
      <c r="O548" s="415"/>
      <c r="P548" s="210"/>
      <c r="Q548" s="439"/>
      <c r="R548" s="439"/>
      <c r="S548" s="415"/>
      <c r="T548" s="210"/>
      <c r="U548" s="415"/>
      <c r="V548" s="210"/>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row>
    <row r="549">
      <c r="A549" s="415"/>
      <c r="B549" s="210"/>
      <c r="C549" s="415"/>
      <c r="D549" s="210"/>
      <c r="E549" s="415"/>
      <c r="F549" s="210"/>
      <c r="G549" s="415"/>
      <c r="H549" s="210"/>
      <c r="I549" s="415"/>
      <c r="J549" s="210"/>
      <c r="K549" s="415"/>
      <c r="L549" s="210"/>
      <c r="M549" s="415"/>
      <c r="N549" s="210"/>
      <c r="O549" s="415"/>
      <c r="P549" s="210"/>
      <c r="Q549" s="439"/>
      <c r="R549" s="439"/>
      <c r="S549" s="415"/>
      <c r="T549" s="210"/>
      <c r="U549" s="415"/>
      <c r="V549" s="210"/>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row>
    <row r="550">
      <c r="A550" s="415"/>
      <c r="B550" s="210"/>
      <c r="C550" s="415"/>
      <c r="D550" s="210"/>
      <c r="E550" s="415"/>
      <c r="F550" s="210"/>
      <c r="G550" s="415"/>
      <c r="H550" s="210"/>
      <c r="I550" s="415"/>
      <c r="J550" s="210"/>
      <c r="K550" s="415"/>
      <c r="L550" s="210"/>
      <c r="M550" s="415"/>
      <c r="N550" s="210"/>
      <c r="O550" s="415"/>
      <c r="P550" s="210"/>
      <c r="Q550" s="439"/>
      <c r="R550" s="439"/>
      <c r="S550" s="415"/>
      <c r="T550" s="210"/>
      <c r="U550" s="415"/>
      <c r="V550" s="210"/>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row>
    <row r="551">
      <c r="A551" s="415"/>
      <c r="B551" s="210"/>
      <c r="C551" s="415"/>
      <c r="D551" s="210"/>
      <c r="E551" s="415"/>
      <c r="F551" s="210"/>
      <c r="G551" s="415"/>
      <c r="H551" s="210"/>
      <c r="I551" s="415"/>
      <c r="J551" s="210"/>
      <c r="K551" s="415"/>
      <c r="L551" s="210"/>
      <c r="M551" s="415"/>
      <c r="N551" s="210"/>
      <c r="O551" s="415"/>
      <c r="P551" s="210"/>
      <c r="Q551" s="439"/>
      <c r="R551" s="439"/>
      <c r="S551" s="415"/>
      <c r="T551" s="210"/>
      <c r="U551" s="415"/>
      <c r="V551" s="210"/>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row>
    <row r="552">
      <c r="A552" s="415"/>
      <c r="B552" s="210"/>
      <c r="C552" s="415"/>
      <c r="D552" s="210"/>
      <c r="E552" s="415"/>
      <c r="F552" s="210"/>
      <c r="G552" s="415"/>
      <c r="H552" s="210"/>
      <c r="I552" s="415"/>
      <c r="J552" s="210"/>
      <c r="K552" s="415"/>
      <c r="L552" s="210"/>
      <c r="M552" s="415"/>
      <c r="N552" s="210"/>
      <c r="O552" s="415"/>
      <c r="P552" s="210"/>
      <c r="Q552" s="439"/>
      <c r="R552" s="439"/>
      <c r="S552" s="415"/>
      <c r="T552" s="210"/>
      <c r="U552" s="415"/>
      <c r="V552" s="210"/>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row>
    <row r="553">
      <c r="A553" s="415"/>
      <c r="B553" s="210"/>
      <c r="C553" s="415"/>
      <c r="D553" s="210"/>
      <c r="E553" s="415"/>
      <c r="F553" s="210"/>
      <c r="G553" s="415"/>
      <c r="H553" s="210"/>
      <c r="I553" s="415"/>
      <c r="J553" s="210"/>
      <c r="K553" s="415"/>
      <c r="L553" s="210"/>
      <c r="M553" s="415"/>
      <c r="N553" s="210"/>
      <c r="O553" s="415"/>
      <c r="P553" s="210"/>
      <c r="Q553" s="439"/>
      <c r="R553" s="439"/>
      <c r="S553" s="415"/>
      <c r="T553" s="210"/>
      <c r="U553" s="415"/>
      <c r="V553" s="210"/>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row>
    <row r="554">
      <c r="A554" s="415"/>
      <c r="B554" s="210"/>
      <c r="C554" s="415"/>
      <c r="D554" s="210"/>
      <c r="E554" s="415"/>
      <c r="F554" s="210"/>
      <c r="G554" s="415"/>
      <c r="H554" s="210"/>
      <c r="I554" s="415"/>
      <c r="J554" s="210"/>
      <c r="K554" s="415"/>
      <c r="L554" s="210"/>
      <c r="M554" s="415"/>
      <c r="N554" s="210"/>
      <c r="O554" s="415"/>
      <c r="P554" s="210"/>
      <c r="Q554" s="439"/>
      <c r="R554" s="439"/>
      <c r="S554" s="415"/>
      <c r="T554" s="210"/>
      <c r="U554" s="415"/>
      <c r="V554" s="210"/>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row>
    <row r="555">
      <c r="A555" s="415"/>
      <c r="B555" s="210"/>
      <c r="C555" s="415"/>
      <c r="D555" s="210"/>
      <c r="E555" s="415"/>
      <c r="F555" s="210"/>
      <c r="G555" s="415"/>
      <c r="H555" s="210"/>
      <c r="I555" s="415"/>
      <c r="J555" s="210"/>
      <c r="K555" s="415"/>
      <c r="L555" s="210"/>
      <c r="M555" s="415"/>
      <c r="N555" s="210"/>
      <c r="O555" s="415"/>
      <c r="P555" s="210"/>
      <c r="Q555" s="439"/>
      <c r="R555" s="439"/>
      <c r="S555" s="415"/>
      <c r="T555" s="210"/>
      <c r="U555" s="415"/>
      <c r="V555" s="210"/>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row>
    <row r="556">
      <c r="A556" s="415"/>
      <c r="B556" s="210"/>
      <c r="C556" s="415"/>
      <c r="D556" s="210"/>
      <c r="E556" s="415"/>
      <c r="F556" s="210"/>
      <c r="G556" s="415"/>
      <c r="H556" s="210"/>
      <c r="I556" s="415"/>
      <c r="J556" s="210"/>
      <c r="K556" s="415"/>
      <c r="L556" s="210"/>
      <c r="M556" s="415"/>
      <c r="N556" s="210"/>
      <c r="O556" s="415"/>
      <c r="P556" s="210"/>
      <c r="Q556" s="439"/>
      <c r="R556" s="439"/>
      <c r="S556" s="415"/>
      <c r="T556" s="210"/>
      <c r="U556" s="415"/>
      <c r="V556" s="210"/>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row>
    <row r="557">
      <c r="A557" s="415"/>
      <c r="B557" s="210"/>
      <c r="C557" s="415"/>
      <c r="D557" s="210"/>
      <c r="E557" s="415"/>
      <c r="F557" s="210"/>
      <c r="G557" s="415"/>
      <c r="H557" s="210"/>
      <c r="I557" s="415"/>
      <c r="J557" s="210"/>
      <c r="K557" s="415"/>
      <c r="L557" s="210"/>
      <c r="M557" s="415"/>
      <c r="N557" s="210"/>
      <c r="O557" s="415"/>
      <c r="P557" s="210"/>
      <c r="Q557" s="439"/>
      <c r="R557" s="439"/>
      <c r="S557" s="415"/>
      <c r="T557" s="210"/>
      <c r="U557" s="415"/>
      <c r="V557" s="210"/>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row>
    <row r="558">
      <c r="A558" s="415"/>
      <c r="B558" s="210"/>
      <c r="C558" s="415"/>
      <c r="D558" s="210"/>
      <c r="E558" s="415"/>
      <c r="F558" s="210"/>
      <c r="G558" s="415"/>
      <c r="H558" s="210"/>
      <c r="I558" s="415"/>
      <c r="J558" s="210"/>
      <c r="K558" s="415"/>
      <c r="L558" s="210"/>
      <c r="M558" s="415"/>
      <c r="N558" s="210"/>
      <c r="O558" s="415"/>
      <c r="P558" s="210"/>
      <c r="Q558" s="439"/>
      <c r="R558" s="439"/>
      <c r="S558" s="415"/>
      <c r="T558" s="210"/>
      <c r="U558" s="415"/>
      <c r="V558" s="210"/>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row>
    <row r="559">
      <c r="A559" s="415"/>
      <c r="B559" s="210"/>
      <c r="C559" s="415"/>
      <c r="D559" s="210"/>
      <c r="E559" s="415"/>
      <c r="F559" s="210"/>
      <c r="G559" s="415"/>
      <c r="H559" s="210"/>
      <c r="I559" s="415"/>
      <c r="J559" s="210"/>
      <c r="K559" s="415"/>
      <c r="L559" s="210"/>
      <c r="M559" s="415"/>
      <c r="N559" s="210"/>
      <c r="O559" s="415"/>
      <c r="P559" s="210"/>
      <c r="Q559" s="439"/>
      <c r="R559" s="439"/>
      <c r="S559" s="415"/>
      <c r="T559" s="210"/>
      <c r="U559" s="415"/>
      <c r="V559" s="210"/>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row>
    <row r="560">
      <c r="A560" s="415"/>
      <c r="B560" s="210"/>
      <c r="C560" s="415"/>
      <c r="D560" s="210"/>
      <c r="E560" s="415"/>
      <c r="F560" s="210"/>
      <c r="G560" s="415"/>
      <c r="H560" s="210"/>
      <c r="I560" s="415"/>
      <c r="J560" s="210"/>
      <c r="K560" s="415"/>
      <c r="L560" s="210"/>
      <c r="M560" s="415"/>
      <c r="N560" s="210"/>
      <c r="O560" s="415"/>
      <c r="P560" s="210"/>
      <c r="Q560" s="439"/>
      <c r="R560" s="439"/>
      <c r="S560" s="415"/>
      <c r="T560" s="210"/>
      <c r="U560" s="415"/>
      <c r="V560" s="210"/>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row>
    <row r="561">
      <c r="A561" s="415"/>
      <c r="B561" s="210"/>
      <c r="C561" s="415"/>
      <c r="D561" s="210"/>
      <c r="E561" s="415"/>
      <c r="F561" s="210"/>
      <c r="G561" s="415"/>
      <c r="H561" s="210"/>
      <c r="I561" s="415"/>
      <c r="J561" s="210"/>
      <c r="K561" s="415"/>
      <c r="L561" s="210"/>
      <c r="M561" s="415"/>
      <c r="N561" s="210"/>
      <c r="O561" s="415"/>
      <c r="P561" s="210"/>
      <c r="Q561" s="439"/>
      <c r="R561" s="439"/>
      <c r="S561" s="415"/>
      <c r="T561" s="210"/>
      <c r="U561" s="415"/>
      <c r="V561" s="210"/>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row>
    <row r="562">
      <c r="A562" s="415"/>
      <c r="B562" s="210"/>
      <c r="C562" s="415"/>
      <c r="D562" s="210"/>
      <c r="E562" s="415"/>
      <c r="F562" s="210"/>
      <c r="G562" s="415"/>
      <c r="H562" s="210"/>
      <c r="I562" s="415"/>
      <c r="J562" s="210"/>
      <c r="K562" s="415"/>
      <c r="L562" s="210"/>
      <c r="M562" s="415"/>
      <c r="N562" s="210"/>
      <c r="O562" s="415"/>
      <c r="P562" s="210"/>
      <c r="Q562" s="439"/>
      <c r="R562" s="439"/>
      <c r="S562" s="415"/>
      <c r="T562" s="210"/>
      <c r="U562" s="415"/>
      <c r="V562" s="210"/>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row>
    <row r="563">
      <c r="A563" s="415"/>
      <c r="B563" s="210"/>
      <c r="C563" s="415"/>
      <c r="D563" s="210"/>
      <c r="E563" s="415"/>
      <c r="F563" s="210"/>
      <c r="G563" s="415"/>
      <c r="H563" s="210"/>
      <c r="I563" s="415"/>
      <c r="J563" s="210"/>
      <c r="K563" s="415"/>
      <c r="L563" s="210"/>
      <c r="M563" s="415"/>
      <c r="N563" s="210"/>
      <c r="O563" s="415"/>
      <c r="P563" s="210"/>
      <c r="Q563" s="439"/>
      <c r="R563" s="439"/>
      <c r="S563" s="415"/>
      <c r="T563" s="210"/>
      <c r="U563" s="415"/>
      <c r="V563" s="210"/>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row>
    <row r="564">
      <c r="A564" s="415"/>
      <c r="B564" s="210"/>
      <c r="C564" s="415"/>
      <c r="D564" s="210"/>
      <c r="E564" s="415"/>
      <c r="F564" s="210"/>
      <c r="G564" s="415"/>
      <c r="H564" s="210"/>
      <c r="I564" s="415"/>
      <c r="J564" s="210"/>
      <c r="K564" s="415"/>
      <c r="L564" s="210"/>
      <c r="M564" s="415"/>
      <c r="N564" s="210"/>
      <c r="O564" s="415"/>
      <c r="P564" s="210"/>
      <c r="Q564" s="439"/>
      <c r="R564" s="439"/>
      <c r="S564" s="415"/>
      <c r="T564" s="210"/>
      <c r="U564" s="415"/>
      <c r="V564" s="210"/>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row>
    <row r="565">
      <c r="A565" s="415"/>
      <c r="B565" s="210"/>
      <c r="C565" s="415"/>
      <c r="D565" s="210"/>
      <c r="E565" s="415"/>
      <c r="F565" s="210"/>
      <c r="G565" s="415"/>
      <c r="H565" s="210"/>
      <c r="I565" s="415"/>
      <c r="J565" s="210"/>
      <c r="K565" s="415"/>
      <c r="L565" s="210"/>
      <c r="M565" s="415"/>
      <c r="N565" s="210"/>
      <c r="O565" s="415"/>
      <c r="P565" s="210"/>
      <c r="Q565" s="439"/>
      <c r="R565" s="439"/>
      <c r="S565" s="415"/>
      <c r="T565" s="210"/>
      <c r="U565" s="415"/>
      <c r="V565" s="210"/>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row>
    <row r="566">
      <c r="A566" s="415"/>
      <c r="B566" s="210"/>
      <c r="C566" s="415"/>
      <c r="D566" s="210"/>
      <c r="E566" s="415"/>
      <c r="F566" s="210"/>
      <c r="G566" s="415"/>
      <c r="H566" s="210"/>
      <c r="I566" s="415"/>
      <c r="J566" s="210"/>
      <c r="K566" s="415"/>
      <c r="L566" s="210"/>
      <c r="M566" s="415"/>
      <c r="N566" s="210"/>
      <c r="O566" s="415"/>
      <c r="P566" s="210"/>
      <c r="Q566" s="439"/>
      <c r="R566" s="439"/>
      <c r="S566" s="415"/>
      <c r="T566" s="210"/>
      <c r="U566" s="415"/>
      <c r="V566" s="210"/>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row>
    <row r="567">
      <c r="A567" s="415"/>
      <c r="B567" s="210"/>
      <c r="C567" s="415"/>
      <c r="D567" s="210"/>
      <c r="E567" s="415"/>
      <c r="F567" s="210"/>
      <c r="G567" s="415"/>
      <c r="H567" s="210"/>
      <c r="I567" s="415"/>
      <c r="J567" s="210"/>
      <c r="K567" s="415"/>
      <c r="L567" s="210"/>
      <c r="M567" s="415"/>
      <c r="N567" s="210"/>
      <c r="O567" s="415"/>
      <c r="P567" s="210"/>
      <c r="Q567" s="439"/>
      <c r="R567" s="439"/>
      <c r="S567" s="415"/>
      <c r="T567" s="210"/>
      <c r="U567" s="415"/>
      <c r="V567" s="210"/>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row>
    <row r="568">
      <c r="A568" s="415"/>
      <c r="B568" s="210"/>
      <c r="C568" s="415"/>
      <c r="D568" s="210"/>
      <c r="E568" s="415"/>
      <c r="F568" s="210"/>
      <c r="G568" s="415"/>
      <c r="H568" s="210"/>
      <c r="I568" s="415"/>
      <c r="J568" s="210"/>
      <c r="K568" s="415"/>
      <c r="L568" s="210"/>
      <c r="M568" s="415"/>
      <c r="N568" s="210"/>
      <c r="O568" s="415"/>
      <c r="P568" s="210"/>
      <c r="Q568" s="439"/>
      <c r="R568" s="439"/>
      <c r="S568" s="415"/>
      <c r="T568" s="210"/>
      <c r="U568" s="415"/>
      <c r="V568" s="210"/>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row>
    <row r="569">
      <c r="A569" s="415"/>
      <c r="B569" s="210"/>
      <c r="C569" s="415"/>
      <c r="D569" s="210"/>
      <c r="E569" s="415"/>
      <c r="F569" s="210"/>
      <c r="G569" s="415"/>
      <c r="H569" s="210"/>
      <c r="I569" s="415"/>
      <c r="J569" s="210"/>
      <c r="K569" s="415"/>
      <c r="L569" s="210"/>
      <c r="M569" s="415"/>
      <c r="N569" s="210"/>
      <c r="O569" s="415"/>
      <c r="P569" s="210"/>
      <c r="Q569" s="439"/>
      <c r="R569" s="439"/>
      <c r="S569" s="415"/>
      <c r="T569" s="210"/>
      <c r="U569" s="415"/>
      <c r="V569" s="210"/>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row>
    <row r="570">
      <c r="A570" s="415"/>
      <c r="B570" s="210"/>
      <c r="C570" s="415"/>
      <c r="D570" s="210"/>
      <c r="E570" s="415"/>
      <c r="F570" s="210"/>
      <c r="G570" s="415"/>
      <c r="H570" s="210"/>
      <c r="I570" s="415"/>
      <c r="J570" s="210"/>
      <c r="K570" s="415"/>
      <c r="L570" s="210"/>
      <c r="M570" s="415"/>
      <c r="N570" s="210"/>
      <c r="O570" s="415"/>
      <c r="P570" s="210"/>
      <c r="Q570" s="439"/>
      <c r="R570" s="439"/>
      <c r="S570" s="415"/>
      <c r="T570" s="210"/>
      <c r="U570" s="415"/>
      <c r="V570" s="210"/>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row>
    <row r="571">
      <c r="A571" s="415"/>
      <c r="B571" s="210"/>
      <c r="C571" s="415"/>
      <c r="D571" s="210"/>
      <c r="E571" s="415"/>
      <c r="F571" s="210"/>
      <c r="G571" s="415"/>
      <c r="H571" s="210"/>
      <c r="I571" s="415"/>
      <c r="J571" s="210"/>
      <c r="K571" s="415"/>
      <c r="L571" s="210"/>
      <c r="M571" s="415"/>
      <c r="N571" s="210"/>
      <c r="O571" s="415"/>
      <c r="P571" s="210"/>
      <c r="Q571" s="439"/>
      <c r="R571" s="439"/>
      <c r="S571" s="415"/>
      <c r="T571" s="210"/>
      <c r="U571" s="415"/>
      <c r="V571" s="210"/>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row>
    <row r="572">
      <c r="A572" s="415"/>
      <c r="B572" s="210"/>
      <c r="C572" s="415"/>
      <c r="D572" s="210"/>
      <c r="E572" s="415"/>
      <c r="F572" s="210"/>
      <c r="G572" s="415"/>
      <c r="H572" s="210"/>
      <c r="I572" s="415"/>
      <c r="J572" s="210"/>
      <c r="K572" s="415"/>
      <c r="L572" s="210"/>
      <c r="M572" s="415"/>
      <c r="N572" s="210"/>
      <c r="O572" s="415"/>
      <c r="P572" s="210"/>
      <c r="Q572" s="439"/>
      <c r="R572" s="439"/>
      <c r="S572" s="415"/>
      <c r="T572" s="210"/>
      <c r="U572" s="415"/>
      <c r="V572" s="210"/>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row>
    <row r="573">
      <c r="A573" s="415"/>
      <c r="B573" s="210"/>
      <c r="C573" s="415"/>
      <c r="D573" s="210"/>
      <c r="E573" s="415"/>
      <c r="F573" s="210"/>
      <c r="G573" s="415"/>
      <c r="H573" s="210"/>
      <c r="I573" s="415"/>
      <c r="J573" s="210"/>
      <c r="K573" s="415"/>
      <c r="L573" s="210"/>
      <c r="M573" s="415"/>
      <c r="N573" s="210"/>
      <c r="O573" s="415"/>
      <c r="P573" s="210"/>
      <c r="Q573" s="439"/>
      <c r="R573" s="439"/>
      <c r="S573" s="415"/>
      <c r="T573" s="210"/>
      <c r="U573" s="415"/>
      <c r="V573" s="210"/>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row>
    <row r="574">
      <c r="A574" s="415"/>
      <c r="B574" s="210"/>
      <c r="C574" s="415"/>
      <c r="D574" s="210"/>
      <c r="E574" s="415"/>
      <c r="F574" s="210"/>
      <c r="G574" s="415"/>
      <c r="H574" s="210"/>
      <c r="I574" s="415"/>
      <c r="J574" s="210"/>
      <c r="K574" s="415"/>
      <c r="L574" s="210"/>
      <c r="M574" s="415"/>
      <c r="N574" s="210"/>
      <c r="O574" s="415"/>
      <c r="P574" s="210"/>
      <c r="Q574" s="439"/>
      <c r="R574" s="439"/>
      <c r="S574" s="415"/>
      <c r="T574" s="210"/>
      <c r="U574" s="415"/>
      <c r="V574" s="210"/>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row>
    <row r="575">
      <c r="A575" s="415"/>
      <c r="B575" s="210"/>
      <c r="C575" s="415"/>
      <c r="D575" s="210"/>
      <c r="E575" s="415"/>
      <c r="F575" s="210"/>
      <c r="G575" s="415"/>
      <c r="H575" s="210"/>
      <c r="I575" s="415"/>
      <c r="J575" s="210"/>
      <c r="K575" s="415"/>
      <c r="L575" s="210"/>
      <c r="M575" s="415"/>
      <c r="N575" s="210"/>
      <c r="O575" s="415"/>
      <c r="P575" s="210"/>
      <c r="Q575" s="439"/>
      <c r="R575" s="439"/>
      <c r="S575" s="415"/>
      <c r="T575" s="210"/>
      <c r="U575" s="415"/>
      <c r="V575" s="210"/>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row>
    <row r="576">
      <c r="A576" s="415"/>
      <c r="B576" s="210"/>
      <c r="C576" s="415"/>
      <c r="D576" s="210"/>
      <c r="E576" s="415"/>
      <c r="F576" s="210"/>
      <c r="G576" s="415"/>
      <c r="H576" s="210"/>
      <c r="I576" s="415"/>
      <c r="J576" s="210"/>
      <c r="K576" s="415"/>
      <c r="L576" s="210"/>
      <c r="M576" s="415"/>
      <c r="N576" s="210"/>
      <c r="O576" s="415"/>
      <c r="P576" s="210"/>
      <c r="Q576" s="439"/>
      <c r="R576" s="439"/>
      <c r="S576" s="415"/>
      <c r="T576" s="210"/>
      <c r="U576" s="415"/>
      <c r="V576" s="210"/>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row>
    <row r="577">
      <c r="A577" s="415"/>
      <c r="B577" s="210"/>
      <c r="C577" s="415"/>
      <c r="D577" s="210"/>
      <c r="E577" s="415"/>
      <c r="F577" s="210"/>
      <c r="G577" s="415"/>
      <c r="H577" s="210"/>
      <c r="I577" s="415"/>
      <c r="J577" s="210"/>
      <c r="K577" s="415"/>
      <c r="L577" s="210"/>
      <c r="M577" s="415"/>
      <c r="N577" s="210"/>
      <c r="O577" s="415"/>
      <c r="P577" s="210"/>
      <c r="Q577" s="439"/>
      <c r="R577" s="439"/>
      <c r="S577" s="415"/>
      <c r="T577" s="210"/>
      <c r="U577" s="415"/>
      <c r="V577" s="210"/>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row>
    <row r="578">
      <c r="A578" s="415"/>
      <c r="B578" s="210"/>
      <c r="C578" s="415"/>
      <c r="D578" s="210"/>
      <c r="E578" s="415"/>
      <c r="F578" s="210"/>
      <c r="G578" s="415"/>
      <c r="H578" s="210"/>
      <c r="I578" s="415"/>
      <c r="J578" s="210"/>
      <c r="K578" s="415"/>
      <c r="L578" s="210"/>
      <c r="M578" s="415"/>
      <c r="N578" s="210"/>
      <c r="O578" s="415"/>
      <c r="P578" s="210"/>
      <c r="Q578" s="439"/>
      <c r="R578" s="439"/>
      <c r="S578" s="415"/>
      <c r="T578" s="210"/>
      <c r="U578" s="415"/>
      <c r="V578" s="210"/>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row>
    <row r="579">
      <c r="A579" s="415"/>
      <c r="B579" s="210"/>
      <c r="C579" s="415"/>
      <c r="D579" s="210"/>
      <c r="E579" s="415"/>
      <c r="F579" s="210"/>
      <c r="G579" s="415"/>
      <c r="H579" s="210"/>
      <c r="I579" s="415"/>
      <c r="J579" s="210"/>
      <c r="K579" s="415"/>
      <c r="L579" s="210"/>
      <c r="M579" s="415"/>
      <c r="N579" s="210"/>
      <c r="O579" s="415"/>
      <c r="P579" s="210"/>
      <c r="Q579" s="439"/>
      <c r="R579" s="439"/>
      <c r="S579" s="415"/>
      <c r="T579" s="210"/>
      <c r="U579" s="415"/>
      <c r="V579" s="210"/>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row>
    <row r="580">
      <c r="A580" s="415"/>
      <c r="B580" s="210"/>
      <c r="C580" s="415"/>
      <c r="D580" s="210"/>
      <c r="E580" s="415"/>
      <c r="F580" s="210"/>
      <c r="G580" s="415"/>
      <c r="H580" s="210"/>
      <c r="I580" s="415"/>
      <c r="J580" s="210"/>
      <c r="K580" s="415"/>
      <c r="L580" s="210"/>
      <c r="M580" s="415"/>
      <c r="N580" s="210"/>
      <c r="O580" s="415"/>
      <c r="P580" s="210"/>
      <c r="Q580" s="439"/>
      <c r="R580" s="439"/>
      <c r="S580" s="415"/>
      <c r="T580" s="210"/>
      <c r="U580" s="415"/>
      <c r="V580" s="210"/>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row>
    <row r="581">
      <c r="A581" s="415"/>
      <c r="B581" s="210"/>
      <c r="C581" s="415"/>
      <c r="D581" s="210"/>
      <c r="E581" s="415"/>
      <c r="F581" s="210"/>
      <c r="G581" s="415"/>
      <c r="H581" s="210"/>
      <c r="I581" s="415"/>
      <c r="J581" s="210"/>
      <c r="K581" s="415"/>
      <c r="L581" s="210"/>
      <c r="M581" s="415"/>
      <c r="N581" s="210"/>
      <c r="O581" s="415"/>
      <c r="P581" s="210"/>
      <c r="Q581" s="439"/>
      <c r="R581" s="439"/>
      <c r="S581" s="415"/>
      <c r="T581" s="210"/>
      <c r="U581" s="415"/>
      <c r="V581" s="210"/>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row>
    <row r="582">
      <c r="A582" s="415"/>
      <c r="B582" s="210"/>
      <c r="C582" s="415"/>
      <c r="D582" s="210"/>
      <c r="E582" s="415"/>
      <c r="F582" s="210"/>
      <c r="G582" s="415"/>
      <c r="H582" s="210"/>
      <c r="I582" s="415"/>
      <c r="J582" s="210"/>
      <c r="K582" s="415"/>
      <c r="L582" s="210"/>
      <c r="M582" s="415"/>
      <c r="N582" s="210"/>
      <c r="O582" s="415"/>
      <c r="P582" s="210"/>
      <c r="Q582" s="439"/>
      <c r="R582" s="439"/>
      <c r="S582" s="415"/>
      <c r="T582" s="210"/>
      <c r="U582" s="415"/>
      <c r="V582" s="210"/>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row>
    <row r="583">
      <c r="A583" s="415"/>
      <c r="B583" s="210"/>
      <c r="C583" s="415"/>
      <c r="D583" s="210"/>
      <c r="E583" s="415"/>
      <c r="F583" s="210"/>
      <c r="G583" s="415"/>
      <c r="H583" s="210"/>
      <c r="I583" s="415"/>
      <c r="J583" s="210"/>
      <c r="K583" s="415"/>
      <c r="L583" s="210"/>
      <c r="M583" s="415"/>
      <c r="N583" s="210"/>
      <c r="O583" s="415"/>
      <c r="P583" s="210"/>
      <c r="Q583" s="439"/>
      <c r="R583" s="439"/>
      <c r="S583" s="415"/>
      <c r="T583" s="210"/>
      <c r="U583" s="415"/>
      <c r="V583" s="210"/>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row>
    <row r="584">
      <c r="A584" s="415"/>
      <c r="B584" s="210"/>
      <c r="C584" s="415"/>
      <c r="D584" s="210"/>
      <c r="E584" s="415"/>
      <c r="F584" s="210"/>
      <c r="G584" s="415"/>
      <c r="H584" s="210"/>
      <c r="I584" s="415"/>
      <c r="J584" s="210"/>
      <c r="K584" s="415"/>
      <c r="L584" s="210"/>
      <c r="M584" s="415"/>
      <c r="N584" s="210"/>
      <c r="O584" s="415"/>
      <c r="P584" s="210"/>
      <c r="Q584" s="439"/>
      <c r="R584" s="439"/>
      <c r="S584" s="415"/>
      <c r="T584" s="210"/>
      <c r="U584" s="415"/>
      <c r="V584" s="210"/>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row>
    <row r="585">
      <c r="A585" s="415"/>
      <c r="B585" s="210"/>
      <c r="C585" s="415"/>
      <c r="D585" s="210"/>
      <c r="E585" s="415"/>
      <c r="F585" s="210"/>
      <c r="G585" s="415"/>
      <c r="H585" s="210"/>
      <c r="I585" s="415"/>
      <c r="J585" s="210"/>
      <c r="K585" s="415"/>
      <c r="L585" s="210"/>
      <c r="M585" s="415"/>
      <c r="N585" s="210"/>
      <c r="O585" s="415"/>
      <c r="P585" s="210"/>
      <c r="Q585" s="439"/>
      <c r="R585" s="439"/>
      <c r="S585" s="415"/>
      <c r="T585" s="210"/>
      <c r="U585" s="415"/>
      <c r="V585" s="210"/>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row>
    <row r="586">
      <c r="A586" s="415"/>
      <c r="B586" s="210"/>
      <c r="C586" s="415"/>
      <c r="D586" s="210"/>
      <c r="E586" s="415"/>
      <c r="F586" s="210"/>
      <c r="G586" s="415"/>
      <c r="H586" s="210"/>
      <c r="I586" s="415"/>
      <c r="J586" s="210"/>
      <c r="K586" s="415"/>
      <c r="L586" s="210"/>
      <c r="M586" s="415"/>
      <c r="N586" s="210"/>
      <c r="O586" s="415"/>
      <c r="P586" s="210"/>
      <c r="Q586" s="439"/>
      <c r="R586" s="439"/>
      <c r="S586" s="415"/>
      <c r="T586" s="210"/>
      <c r="U586" s="415"/>
      <c r="V586" s="210"/>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row>
    <row r="587">
      <c r="A587" s="415"/>
      <c r="B587" s="210"/>
      <c r="C587" s="415"/>
      <c r="D587" s="210"/>
      <c r="E587" s="415"/>
      <c r="F587" s="210"/>
      <c r="G587" s="415"/>
      <c r="H587" s="210"/>
      <c r="I587" s="415"/>
      <c r="J587" s="210"/>
      <c r="K587" s="415"/>
      <c r="L587" s="210"/>
      <c r="M587" s="415"/>
      <c r="N587" s="210"/>
      <c r="O587" s="415"/>
      <c r="P587" s="210"/>
      <c r="Q587" s="439"/>
      <c r="R587" s="439"/>
      <c r="S587" s="415"/>
      <c r="T587" s="210"/>
      <c r="U587" s="415"/>
      <c r="V587" s="210"/>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row>
    <row r="588">
      <c r="A588" s="415"/>
      <c r="B588" s="210"/>
      <c r="C588" s="415"/>
      <c r="D588" s="210"/>
      <c r="E588" s="415"/>
      <c r="F588" s="210"/>
      <c r="G588" s="415"/>
      <c r="H588" s="210"/>
      <c r="I588" s="415"/>
      <c r="J588" s="210"/>
      <c r="K588" s="415"/>
      <c r="L588" s="210"/>
      <c r="M588" s="415"/>
      <c r="N588" s="210"/>
      <c r="O588" s="415"/>
      <c r="P588" s="210"/>
      <c r="Q588" s="439"/>
      <c r="R588" s="439"/>
      <c r="S588" s="415"/>
      <c r="T588" s="210"/>
      <c r="U588" s="415"/>
      <c r="V588" s="210"/>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row>
    <row r="589">
      <c r="A589" s="415"/>
      <c r="B589" s="210"/>
      <c r="C589" s="415"/>
      <c r="D589" s="210"/>
      <c r="E589" s="415"/>
      <c r="F589" s="210"/>
      <c r="G589" s="415"/>
      <c r="H589" s="210"/>
      <c r="I589" s="415"/>
      <c r="J589" s="210"/>
      <c r="K589" s="415"/>
      <c r="L589" s="210"/>
      <c r="M589" s="415"/>
      <c r="N589" s="210"/>
      <c r="O589" s="415"/>
      <c r="P589" s="210"/>
      <c r="Q589" s="439"/>
      <c r="R589" s="439"/>
      <c r="S589" s="415"/>
      <c r="T589" s="210"/>
      <c r="U589" s="415"/>
      <c r="V589" s="210"/>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row>
    <row r="590">
      <c r="A590" s="415"/>
      <c r="B590" s="210"/>
      <c r="C590" s="415"/>
      <c r="D590" s="210"/>
      <c r="E590" s="415"/>
      <c r="F590" s="210"/>
      <c r="G590" s="415"/>
      <c r="H590" s="210"/>
      <c r="I590" s="415"/>
      <c r="J590" s="210"/>
      <c r="K590" s="415"/>
      <c r="L590" s="210"/>
      <c r="M590" s="415"/>
      <c r="N590" s="210"/>
      <c r="O590" s="415"/>
      <c r="P590" s="210"/>
      <c r="Q590" s="439"/>
      <c r="R590" s="439"/>
      <c r="S590" s="415"/>
      <c r="T590" s="210"/>
      <c r="U590" s="415"/>
      <c r="V590" s="210"/>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row>
    <row r="591">
      <c r="A591" s="415"/>
      <c r="B591" s="210"/>
      <c r="C591" s="415"/>
      <c r="D591" s="210"/>
      <c r="E591" s="415"/>
      <c r="F591" s="210"/>
      <c r="G591" s="415"/>
      <c r="H591" s="210"/>
      <c r="I591" s="415"/>
      <c r="J591" s="210"/>
      <c r="K591" s="415"/>
      <c r="L591" s="210"/>
      <c r="M591" s="415"/>
      <c r="N591" s="210"/>
      <c r="O591" s="415"/>
      <c r="P591" s="210"/>
      <c r="Q591" s="439"/>
      <c r="R591" s="439"/>
      <c r="S591" s="415"/>
      <c r="T591" s="210"/>
      <c r="U591" s="415"/>
      <c r="V591" s="210"/>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row>
    <row r="592">
      <c r="A592" s="415"/>
      <c r="B592" s="210"/>
      <c r="C592" s="415"/>
      <c r="D592" s="210"/>
      <c r="E592" s="415"/>
      <c r="F592" s="210"/>
      <c r="G592" s="415"/>
      <c r="H592" s="210"/>
      <c r="I592" s="415"/>
      <c r="J592" s="210"/>
      <c r="K592" s="415"/>
      <c r="L592" s="210"/>
      <c r="M592" s="415"/>
      <c r="N592" s="210"/>
      <c r="O592" s="415"/>
      <c r="P592" s="210"/>
      <c r="Q592" s="439"/>
      <c r="R592" s="439"/>
      <c r="S592" s="415"/>
      <c r="T592" s="210"/>
      <c r="U592" s="415"/>
      <c r="V592" s="210"/>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row>
    <row r="593">
      <c r="A593" s="415"/>
      <c r="B593" s="210"/>
      <c r="C593" s="415"/>
      <c r="D593" s="210"/>
      <c r="E593" s="415"/>
      <c r="F593" s="210"/>
      <c r="G593" s="415"/>
      <c r="H593" s="210"/>
      <c r="I593" s="415"/>
      <c r="J593" s="210"/>
      <c r="K593" s="415"/>
      <c r="L593" s="210"/>
      <c r="M593" s="415"/>
      <c r="N593" s="210"/>
      <c r="O593" s="415"/>
      <c r="P593" s="210"/>
      <c r="Q593" s="439"/>
      <c r="R593" s="439"/>
      <c r="S593" s="415"/>
      <c r="T593" s="210"/>
      <c r="U593" s="415"/>
      <c r="V593" s="210"/>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row>
    <row r="594">
      <c r="A594" s="415"/>
      <c r="B594" s="210"/>
      <c r="C594" s="415"/>
      <c r="D594" s="210"/>
      <c r="E594" s="415"/>
      <c r="F594" s="210"/>
      <c r="G594" s="415"/>
      <c r="H594" s="210"/>
      <c r="I594" s="415"/>
      <c r="J594" s="210"/>
      <c r="K594" s="415"/>
      <c r="L594" s="210"/>
      <c r="M594" s="415"/>
      <c r="N594" s="210"/>
      <c r="O594" s="415"/>
      <c r="P594" s="210"/>
      <c r="Q594" s="439"/>
      <c r="R594" s="439"/>
      <c r="S594" s="415"/>
      <c r="T594" s="210"/>
      <c r="U594" s="415"/>
      <c r="V594" s="210"/>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row>
    <row r="595">
      <c r="A595" s="415"/>
      <c r="B595" s="210"/>
      <c r="C595" s="415"/>
      <c r="D595" s="210"/>
      <c r="E595" s="415"/>
      <c r="F595" s="210"/>
      <c r="G595" s="415"/>
      <c r="H595" s="210"/>
      <c r="I595" s="415"/>
      <c r="J595" s="210"/>
      <c r="K595" s="415"/>
      <c r="L595" s="210"/>
      <c r="M595" s="415"/>
      <c r="N595" s="210"/>
      <c r="O595" s="415"/>
      <c r="P595" s="210"/>
      <c r="Q595" s="439"/>
      <c r="R595" s="439"/>
      <c r="S595" s="415"/>
      <c r="T595" s="210"/>
      <c r="U595" s="415"/>
      <c r="V595" s="210"/>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row>
    <row r="596">
      <c r="A596" s="415"/>
      <c r="B596" s="210"/>
      <c r="C596" s="415"/>
      <c r="D596" s="210"/>
      <c r="E596" s="415"/>
      <c r="F596" s="210"/>
      <c r="G596" s="415"/>
      <c r="H596" s="210"/>
      <c r="I596" s="415"/>
      <c r="J596" s="210"/>
      <c r="K596" s="415"/>
      <c r="L596" s="210"/>
      <c r="M596" s="415"/>
      <c r="N596" s="210"/>
      <c r="O596" s="415"/>
      <c r="P596" s="210"/>
      <c r="Q596" s="439"/>
      <c r="R596" s="439"/>
      <c r="S596" s="415"/>
      <c r="T596" s="210"/>
      <c r="U596" s="415"/>
      <c r="V596" s="210"/>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row>
    <row r="597">
      <c r="A597" s="415"/>
      <c r="B597" s="210"/>
      <c r="C597" s="415"/>
      <c r="D597" s="210"/>
      <c r="E597" s="415"/>
      <c r="F597" s="210"/>
      <c r="G597" s="415"/>
      <c r="H597" s="210"/>
      <c r="I597" s="415"/>
      <c r="J597" s="210"/>
      <c r="K597" s="415"/>
      <c r="L597" s="210"/>
      <c r="M597" s="415"/>
      <c r="N597" s="210"/>
      <c r="O597" s="415"/>
      <c r="P597" s="210"/>
      <c r="Q597" s="439"/>
      <c r="R597" s="439"/>
      <c r="S597" s="415"/>
      <c r="T597" s="210"/>
      <c r="U597" s="415"/>
      <c r="V597" s="210"/>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row>
    <row r="598">
      <c r="A598" s="415"/>
      <c r="B598" s="210"/>
      <c r="C598" s="415"/>
      <c r="D598" s="210"/>
      <c r="E598" s="415"/>
      <c r="F598" s="210"/>
      <c r="G598" s="415"/>
      <c r="H598" s="210"/>
      <c r="I598" s="415"/>
      <c r="J598" s="210"/>
      <c r="K598" s="415"/>
      <c r="L598" s="210"/>
      <c r="M598" s="415"/>
      <c r="N598" s="210"/>
      <c r="O598" s="415"/>
      <c r="P598" s="210"/>
      <c r="Q598" s="439"/>
      <c r="R598" s="439"/>
      <c r="S598" s="415"/>
      <c r="T598" s="210"/>
      <c r="U598" s="415"/>
      <c r="V598" s="210"/>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row>
    <row r="599">
      <c r="A599" s="415"/>
      <c r="B599" s="210"/>
      <c r="C599" s="415"/>
      <c r="D599" s="210"/>
      <c r="E599" s="415"/>
      <c r="F599" s="210"/>
      <c r="G599" s="415"/>
      <c r="H599" s="210"/>
      <c r="I599" s="415"/>
      <c r="J599" s="210"/>
      <c r="K599" s="415"/>
      <c r="L599" s="210"/>
      <c r="M599" s="415"/>
      <c r="N599" s="210"/>
      <c r="O599" s="415"/>
      <c r="P599" s="210"/>
      <c r="Q599" s="439"/>
      <c r="R599" s="439"/>
      <c r="S599" s="415"/>
      <c r="T599" s="210"/>
      <c r="U599" s="415"/>
      <c r="V599" s="210"/>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row>
    <row r="600">
      <c r="A600" s="415"/>
      <c r="B600" s="210"/>
      <c r="C600" s="415"/>
      <c r="D600" s="210"/>
      <c r="E600" s="415"/>
      <c r="F600" s="210"/>
      <c r="G600" s="415"/>
      <c r="H600" s="210"/>
      <c r="I600" s="415"/>
      <c r="J600" s="210"/>
      <c r="K600" s="415"/>
      <c r="L600" s="210"/>
      <c r="M600" s="415"/>
      <c r="N600" s="210"/>
      <c r="O600" s="415"/>
      <c r="P600" s="210"/>
      <c r="Q600" s="439"/>
      <c r="R600" s="439"/>
      <c r="S600" s="415"/>
      <c r="T600" s="210"/>
      <c r="U600" s="415"/>
      <c r="V600" s="210"/>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row>
    <row r="601">
      <c r="A601" s="415"/>
      <c r="B601" s="210"/>
      <c r="C601" s="415"/>
      <c r="D601" s="210"/>
      <c r="E601" s="415"/>
      <c r="F601" s="210"/>
      <c r="G601" s="415"/>
      <c r="H601" s="210"/>
      <c r="I601" s="415"/>
      <c r="J601" s="210"/>
      <c r="K601" s="415"/>
      <c r="L601" s="210"/>
      <c r="M601" s="415"/>
      <c r="N601" s="210"/>
      <c r="O601" s="415"/>
      <c r="P601" s="210"/>
      <c r="Q601" s="439"/>
      <c r="R601" s="439"/>
      <c r="S601" s="415"/>
      <c r="T601" s="210"/>
      <c r="U601" s="415"/>
      <c r="V601" s="210"/>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row>
    <row r="602">
      <c r="A602" s="415"/>
      <c r="B602" s="210"/>
      <c r="C602" s="415"/>
      <c r="D602" s="210"/>
      <c r="E602" s="415"/>
      <c r="F602" s="210"/>
      <c r="G602" s="415"/>
      <c r="H602" s="210"/>
      <c r="I602" s="415"/>
      <c r="J602" s="210"/>
      <c r="K602" s="415"/>
      <c r="L602" s="210"/>
      <c r="M602" s="415"/>
      <c r="N602" s="210"/>
      <c r="O602" s="415"/>
      <c r="P602" s="210"/>
      <c r="Q602" s="439"/>
      <c r="R602" s="439"/>
      <c r="S602" s="415"/>
      <c r="T602" s="210"/>
      <c r="U602" s="415"/>
      <c r="V602" s="210"/>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row>
    <row r="603">
      <c r="A603" s="415"/>
      <c r="B603" s="210"/>
      <c r="C603" s="415"/>
      <c r="D603" s="210"/>
      <c r="E603" s="415"/>
      <c r="F603" s="210"/>
      <c r="G603" s="415"/>
      <c r="H603" s="210"/>
      <c r="I603" s="415"/>
      <c r="J603" s="210"/>
      <c r="K603" s="415"/>
      <c r="L603" s="210"/>
      <c r="M603" s="415"/>
      <c r="N603" s="210"/>
      <c r="O603" s="415"/>
      <c r="P603" s="210"/>
      <c r="Q603" s="439"/>
      <c r="R603" s="439"/>
      <c r="S603" s="415"/>
      <c r="T603" s="210"/>
      <c r="U603" s="415"/>
      <c r="V603" s="210"/>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row>
    <row r="604">
      <c r="A604" s="415"/>
      <c r="B604" s="210"/>
      <c r="C604" s="415"/>
      <c r="D604" s="210"/>
      <c r="E604" s="415"/>
      <c r="F604" s="210"/>
      <c r="G604" s="415"/>
      <c r="H604" s="210"/>
      <c r="I604" s="415"/>
      <c r="J604" s="210"/>
      <c r="K604" s="415"/>
      <c r="L604" s="210"/>
      <c r="M604" s="415"/>
      <c r="N604" s="210"/>
      <c r="O604" s="415"/>
      <c r="P604" s="210"/>
      <c r="Q604" s="439"/>
      <c r="R604" s="439"/>
      <c r="S604" s="415"/>
      <c r="T604" s="210"/>
      <c r="U604" s="415"/>
      <c r="V604" s="210"/>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row>
    <row r="605">
      <c r="A605" s="415"/>
      <c r="B605" s="210"/>
      <c r="C605" s="415"/>
      <c r="D605" s="210"/>
      <c r="E605" s="415"/>
      <c r="F605" s="210"/>
      <c r="G605" s="415"/>
      <c r="H605" s="210"/>
      <c r="I605" s="415"/>
      <c r="J605" s="210"/>
      <c r="K605" s="415"/>
      <c r="L605" s="210"/>
      <c r="M605" s="415"/>
      <c r="N605" s="210"/>
      <c r="O605" s="415"/>
      <c r="P605" s="210"/>
      <c r="Q605" s="439"/>
      <c r="R605" s="439"/>
      <c r="S605" s="415"/>
      <c r="T605" s="210"/>
      <c r="U605" s="415"/>
      <c r="V605" s="210"/>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row>
    <row r="606">
      <c r="A606" s="415"/>
      <c r="B606" s="210"/>
      <c r="C606" s="415"/>
      <c r="D606" s="210"/>
      <c r="E606" s="415"/>
      <c r="F606" s="210"/>
      <c r="G606" s="415"/>
      <c r="H606" s="210"/>
      <c r="I606" s="415"/>
      <c r="J606" s="210"/>
      <c r="K606" s="415"/>
      <c r="L606" s="210"/>
      <c r="M606" s="415"/>
      <c r="N606" s="210"/>
      <c r="O606" s="415"/>
      <c r="P606" s="210"/>
      <c r="Q606" s="439"/>
      <c r="R606" s="439"/>
      <c r="S606" s="415"/>
      <c r="T606" s="210"/>
      <c r="U606" s="415"/>
      <c r="V606" s="210"/>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row>
    <row r="607">
      <c r="A607" s="415"/>
      <c r="B607" s="210"/>
      <c r="C607" s="415"/>
      <c r="D607" s="210"/>
      <c r="E607" s="415"/>
      <c r="F607" s="210"/>
      <c r="G607" s="415"/>
      <c r="H607" s="210"/>
      <c r="I607" s="415"/>
      <c r="J607" s="210"/>
      <c r="K607" s="415"/>
      <c r="L607" s="210"/>
      <c r="M607" s="415"/>
      <c r="N607" s="210"/>
      <c r="O607" s="415"/>
      <c r="P607" s="210"/>
      <c r="Q607" s="439"/>
      <c r="R607" s="439"/>
      <c r="S607" s="415"/>
      <c r="T607" s="210"/>
      <c r="U607" s="415"/>
      <c r="V607" s="210"/>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row>
    <row r="608">
      <c r="A608" s="415"/>
      <c r="B608" s="210"/>
      <c r="C608" s="415"/>
      <c r="D608" s="210"/>
      <c r="E608" s="415"/>
      <c r="F608" s="210"/>
      <c r="G608" s="415"/>
      <c r="H608" s="210"/>
      <c r="I608" s="415"/>
      <c r="J608" s="210"/>
      <c r="K608" s="415"/>
      <c r="L608" s="210"/>
      <c r="M608" s="415"/>
      <c r="N608" s="210"/>
      <c r="O608" s="415"/>
      <c r="P608" s="210"/>
      <c r="Q608" s="439"/>
      <c r="R608" s="439"/>
      <c r="S608" s="415"/>
      <c r="T608" s="210"/>
      <c r="U608" s="415"/>
      <c r="V608" s="210"/>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row>
    <row r="609">
      <c r="A609" s="415"/>
      <c r="B609" s="210"/>
      <c r="C609" s="415"/>
      <c r="D609" s="210"/>
      <c r="E609" s="415"/>
      <c r="F609" s="210"/>
      <c r="G609" s="415"/>
      <c r="H609" s="210"/>
      <c r="I609" s="415"/>
      <c r="J609" s="210"/>
      <c r="K609" s="415"/>
      <c r="L609" s="210"/>
      <c r="M609" s="415"/>
      <c r="N609" s="210"/>
      <c r="O609" s="415"/>
      <c r="P609" s="210"/>
      <c r="Q609" s="439"/>
      <c r="R609" s="439"/>
      <c r="S609" s="415"/>
      <c r="T609" s="210"/>
      <c r="U609" s="415"/>
      <c r="V609" s="210"/>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row>
    <row r="610">
      <c r="A610" s="415"/>
      <c r="B610" s="210"/>
      <c r="C610" s="415"/>
      <c r="D610" s="210"/>
      <c r="E610" s="415"/>
      <c r="F610" s="210"/>
      <c r="G610" s="415"/>
      <c r="H610" s="210"/>
      <c r="I610" s="415"/>
      <c r="J610" s="210"/>
      <c r="K610" s="415"/>
      <c r="L610" s="210"/>
      <c r="M610" s="415"/>
      <c r="N610" s="210"/>
      <c r="O610" s="415"/>
      <c r="P610" s="210"/>
      <c r="Q610" s="439"/>
      <c r="R610" s="439"/>
      <c r="S610" s="415"/>
      <c r="T610" s="210"/>
      <c r="U610" s="415"/>
      <c r="V610" s="210"/>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row>
    <row r="611">
      <c r="A611" s="415"/>
      <c r="B611" s="210"/>
      <c r="C611" s="415"/>
      <c r="D611" s="210"/>
      <c r="E611" s="415"/>
      <c r="F611" s="210"/>
      <c r="G611" s="415"/>
      <c r="H611" s="210"/>
      <c r="I611" s="415"/>
      <c r="J611" s="210"/>
      <c r="K611" s="415"/>
      <c r="L611" s="210"/>
      <c r="M611" s="415"/>
      <c r="N611" s="210"/>
      <c r="O611" s="415"/>
      <c r="P611" s="210"/>
      <c r="Q611" s="439"/>
      <c r="R611" s="439"/>
      <c r="S611" s="415"/>
      <c r="T611" s="210"/>
      <c r="U611" s="415"/>
      <c r="V611" s="210"/>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row>
    <row r="612">
      <c r="A612" s="415"/>
      <c r="B612" s="210"/>
      <c r="C612" s="415"/>
      <c r="D612" s="210"/>
      <c r="E612" s="415"/>
      <c r="F612" s="210"/>
      <c r="G612" s="415"/>
      <c r="H612" s="210"/>
      <c r="I612" s="415"/>
      <c r="J612" s="210"/>
      <c r="K612" s="415"/>
      <c r="L612" s="210"/>
      <c r="M612" s="415"/>
      <c r="N612" s="210"/>
      <c r="O612" s="415"/>
      <c r="P612" s="210"/>
      <c r="Q612" s="439"/>
      <c r="R612" s="439"/>
      <c r="S612" s="415"/>
      <c r="T612" s="210"/>
      <c r="U612" s="415"/>
      <c r="V612" s="210"/>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row>
    <row r="613">
      <c r="A613" s="415"/>
      <c r="B613" s="210"/>
      <c r="C613" s="415"/>
      <c r="D613" s="210"/>
      <c r="E613" s="415"/>
      <c r="F613" s="210"/>
      <c r="G613" s="415"/>
      <c r="H613" s="210"/>
      <c r="I613" s="415"/>
      <c r="J613" s="210"/>
      <c r="K613" s="415"/>
      <c r="L613" s="210"/>
      <c r="M613" s="415"/>
      <c r="N613" s="210"/>
      <c r="O613" s="415"/>
      <c r="P613" s="210"/>
      <c r="Q613" s="439"/>
      <c r="R613" s="439"/>
      <c r="S613" s="415"/>
      <c r="T613" s="210"/>
      <c r="U613" s="415"/>
      <c r="V613" s="210"/>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row>
    <row r="614">
      <c r="A614" s="415"/>
      <c r="B614" s="210"/>
      <c r="C614" s="415"/>
      <c r="D614" s="210"/>
      <c r="E614" s="415"/>
      <c r="F614" s="210"/>
      <c r="G614" s="415"/>
      <c r="H614" s="210"/>
      <c r="I614" s="415"/>
      <c r="J614" s="210"/>
      <c r="K614" s="415"/>
      <c r="L614" s="210"/>
      <c r="M614" s="415"/>
      <c r="N614" s="210"/>
      <c r="O614" s="415"/>
      <c r="P614" s="210"/>
      <c r="Q614" s="439"/>
      <c r="R614" s="439"/>
      <c r="S614" s="415"/>
      <c r="T614" s="210"/>
      <c r="U614" s="415"/>
      <c r="V614" s="210"/>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row>
    <row r="615">
      <c r="A615" s="415"/>
      <c r="B615" s="210"/>
      <c r="C615" s="415"/>
      <c r="D615" s="210"/>
      <c r="E615" s="415"/>
      <c r="F615" s="210"/>
      <c r="G615" s="415"/>
      <c r="H615" s="210"/>
      <c r="I615" s="415"/>
      <c r="J615" s="210"/>
      <c r="K615" s="415"/>
      <c r="L615" s="210"/>
      <c r="M615" s="415"/>
      <c r="N615" s="210"/>
      <c r="O615" s="415"/>
      <c r="P615" s="210"/>
      <c r="Q615" s="439"/>
      <c r="R615" s="439"/>
      <c r="S615" s="415"/>
      <c r="T615" s="210"/>
      <c r="U615" s="415"/>
      <c r="V615" s="210"/>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row>
    <row r="616">
      <c r="A616" s="415"/>
      <c r="B616" s="210"/>
      <c r="C616" s="415"/>
      <c r="D616" s="210"/>
      <c r="E616" s="415"/>
      <c r="F616" s="210"/>
      <c r="G616" s="415"/>
      <c r="H616" s="210"/>
      <c r="I616" s="415"/>
      <c r="J616" s="210"/>
      <c r="K616" s="415"/>
      <c r="L616" s="210"/>
      <c r="M616" s="415"/>
      <c r="N616" s="210"/>
      <c r="O616" s="415"/>
      <c r="P616" s="210"/>
      <c r="Q616" s="439"/>
      <c r="R616" s="439"/>
      <c r="S616" s="415"/>
      <c r="T616" s="210"/>
      <c r="U616" s="415"/>
      <c r="V616" s="210"/>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row>
    <row r="617">
      <c r="A617" s="415"/>
      <c r="B617" s="210"/>
      <c r="C617" s="415"/>
      <c r="D617" s="210"/>
      <c r="E617" s="415"/>
      <c r="F617" s="210"/>
      <c r="G617" s="415"/>
      <c r="H617" s="210"/>
      <c r="I617" s="415"/>
      <c r="J617" s="210"/>
      <c r="K617" s="415"/>
      <c r="L617" s="210"/>
      <c r="M617" s="415"/>
      <c r="N617" s="210"/>
      <c r="O617" s="415"/>
      <c r="P617" s="210"/>
      <c r="Q617" s="439"/>
      <c r="R617" s="439"/>
      <c r="S617" s="415"/>
      <c r="T617" s="210"/>
      <c r="U617" s="415"/>
      <c r="V617" s="210"/>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row>
    <row r="618">
      <c r="A618" s="415"/>
      <c r="B618" s="210"/>
      <c r="C618" s="415"/>
      <c r="D618" s="210"/>
      <c r="E618" s="415"/>
      <c r="F618" s="210"/>
      <c r="G618" s="415"/>
      <c r="H618" s="210"/>
      <c r="I618" s="415"/>
      <c r="J618" s="210"/>
      <c r="K618" s="415"/>
      <c r="L618" s="210"/>
      <c r="M618" s="415"/>
      <c r="N618" s="210"/>
      <c r="O618" s="415"/>
      <c r="P618" s="210"/>
      <c r="Q618" s="439"/>
      <c r="R618" s="439"/>
      <c r="S618" s="415"/>
      <c r="T618" s="210"/>
      <c r="U618" s="415"/>
      <c r="V618" s="210"/>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row>
    <row r="619">
      <c r="A619" s="415"/>
      <c r="B619" s="210"/>
      <c r="C619" s="415"/>
      <c r="D619" s="210"/>
      <c r="E619" s="415"/>
      <c r="F619" s="210"/>
      <c r="G619" s="415"/>
      <c r="H619" s="210"/>
      <c r="I619" s="415"/>
      <c r="J619" s="210"/>
      <c r="K619" s="415"/>
      <c r="L619" s="210"/>
      <c r="M619" s="415"/>
      <c r="N619" s="210"/>
      <c r="O619" s="415"/>
      <c r="P619" s="210"/>
      <c r="Q619" s="439"/>
      <c r="R619" s="439"/>
      <c r="S619" s="415"/>
      <c r="T619" s="210"/>
      <c r="U619" s="415"/>
      <c r="V619" s="210"/>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row>
    <row r="620">
      <c r="A620" s="415"/>
      <c r="B620" s="210"/>
      <c r="C620" s="415"/>
      <c r="D620" s="210"/>
      <c r="E620" s="415"/>
      <c r="F620" s="210"/>
      <c r="G620" s="415"/>
      <c r="H620" s="210"/>
      <c r="I620" s="415"/>
      <c r="J620" s="210"/>
      <c r="K620" s="415"/>
      <c r="L620" s="210"/>
      <c r="M620" s="415"/>
      <c r="N620" s="210"/>
      <c r="O620" s="415"/>
      <c r="P620" s="210"/>
      <c r="Q620" s="439"/>
      <c r="R620" s="439"/>
      <c r="S620" s="415"/>
      <c r="T620" s="210"/>
      <c r="U620" s="415"/>
      <c r="V620" s="210"/>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row>
    <row r="621">
      <c r="A621" s="415"/>
      <c r="B621" s="210"/>
      <c r="C621" s="415"/>
      <c r="D621" s="210"/>
      <c r="E621" s="415"/>
      <c r="F621" s="210"/>
      <c r="G621" s="415"/>
      <c r="H621" s="210"/>
      <c r="I621" s="415"/>
      <c r="J621" s="210"/>
      <c r="K621" s="415"/>
      <c r="L621" s="210"/>
      <c r="M621" s="415"/>
      <c r="N621" s="210"/>
      <c r="O621" s="415"/>
      <c r="P621" s="210"/>
      <c r="Q621" s="439"/>
      <c r="R621" s="439"/>
      <c r="S621" s="415"/>
      <c r="T621" s="210"/>
      <c r="U621" s="415"/>
      <c r="V621" s="210"/>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row>
    <row r="622">
      <c r="A622" s="415"/>
      <c r="B622" s="210"/>
      <c r="C622" s="415"/>
      <c r="D622" s="210"/>
      <c r="E622" s="415"/>
      <c r="F622" s="210"/>
      <c r="G622" s="415"/>
      <c r="H622" s="210"/>
      <c r="I622" s="415"/>
      <c r="J622" s="210"/>
      <c r="K622" s="415"/>
      <c r="L622" s="210"/>
      <c r="M622" s="415"/>
      <c r="N622" s="210"/>
      <c r="O622" s="415"/>
      <c r="P622" s="210"/>
      <c r="Q622" s="439"/>
      <c r="R622" s="439"/>
      <c r="S622" s="415"/>
      <c r="T622" s="210"/>
      <c r="U622" s="415"/>
      <c r="V622" s="210"/>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row>
    <row r="623">
      <c r="A623" s="415"/>
      <c r="B623" s="210"/>
      <c r="C623" s="415"/>
      <c r="D623" s="210"/>
      <c r="E623" s="415"/>
      <c r="F623" s="210"/>
      <c r="G623" s="415"/>
      <c r="H623" s="210"/>
      <c r="I623" s="415"/>
      <c r="J623" s="210"/>
      <c r="K623" s="415"/>
      <c r="L623" s="210"/>
      <c r="M623" s="415"/>
      <c r="N623" s="210"/>
      <c r="O623" s="415"/>
      <c r="P623" s="210"/>
      <c r="Q623" s="439"/>
      <c r="R623" s="439"/>
      <c r="S623" s="415"/>
      <c r="T623" s="210"/>
      <c r="U623" s="415"/>
      <c r="V623" s="210"/>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row>
    <row r="624">
      <c r="A624" s="415"/>
      <c r="B624" s="210"/>
      <c r="C624" s="415"/>
      <c r="D624" s="210"/>
      <c r="E624" s="415"/>
      <c r="F624" s="210"/>
      <c r="G624" s="415"/>
      <c r="H624" s="210"/>
      <c r="I624" s="415"/>
      <c r="J624" s="210"/>
      <c r="K624" s="415"/>
      <c r="L624" s="210"/>
      <c r="M624" s="415"/>
      <c r="N624" s="210"/>
      <c r="O624" s="415"/>
      <c r="P624" s="210"/>
      <c r="Q624" s="439"/>
      <c r="R624" s="439"/>
      <c r="S624" s="415"/>
      <c r="T624" s="210"/>
      <c r="U624" s="415"/>
      <c r="V624" s="210"/>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row>
    <row r="625">
      <c r="A625" s="415"/>
      <c r="B625" s="210"/>
      <c r="C625" s="415"/>
      <c r="D625" s="210"/>
      <c r="E625" s="415"/>
      <c r="F625" s="210"/>
      <c r="G625" s="415"/>
      <c r="H625" s="210"/>
      <c r="I625" s="415"/>
      <c r="J625" s="210"/>
      <c r="K625" s="415"/>
      <c r="L625" s="210"/>
      <c r="M625" s="415"/>
      <c r="N625" s="210"/>
      <c r="O625" s="415"/>
      <c r="P625" s="210"/>
      <c r="Q625" s="439"/>
      <c r="R625" s="439"/>
      <c r="S625" s="415"/>
      <c r="T625" s="210"/>
      <c r="U625" s="415"/>
      <c r="V625" s="210"/>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row>
    <row r="626">
      <c r="A626" s="415"/>
      <c r="B626" s="210"/>
      <c r="C626" s="415"/>
      <c r="D626" s="210"/>
      <c r="E626" s="415"/>
      <c r="F626" s="210"/>
      <c r="G626" s="415"/>
      <c r="H626" s="210"/>
      <c r="I626" s="415"/>
      <c r="J626" s="210"/>
      <c r="K626" s="415"/>
      <c r="L626" s="210"/>
      <c r="M626" s="415"/>
      <c r="N626" s="210"/>
      <c r="O626" s="415"/>
      <c r="P626" s="210"/>
      <c r="Q626" s="439"/>
      <c r="R626" s="439"/>
      <c r="S626" s="415"/>
      <c r="T626" s="210"/>
      <c r="U626" s="415"/>
      <c r="V626" s="210"/>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row>
    <row r="627">
      <c r="A627" s="415"/>
      <c r="B627" s="210"/>
      <c r="C627" s="415"/>
      <c r="D627" s="210"/>
      <c r="E627" s="415"/>
      <c r="F627" s="210"/>
      <c r="G627" s="415"/>
      <c r="H627" s="210"/>
      <c r="I627" s="415"/>
      <c r="J627" s="210"/>
      <c r="K627" s="415"/>
      <c r="L627" s="210"/>
      <c r="M627" s="415"/>
      <c r="N627" s="210"/>
      <c r="O627" s="415"/>
      <c r="P627" s="210"/>
      <c r="Q627" s="439"/>
      <c r="R627" s="439"/>
      <c r="S627" s="415"/>
      <c r="T627" s="210"/>
      <c r="U627" s="415"/>
      <c r="V627" s="210"/>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row>
    <row r="628">
      <c r="A628" s="415"/>
      <c r="B628" s="210"/>
      <c r="C628" s="415"/>
      <c r="D628" s="210"/>
      <c r="E628" s="415"/>
      <c r="F628" s="210"/>
      <c r="G628" s="415"/>
      <c r="H628" s="210"/>
      <c r="I628" s="415"/>
      <c r="J628" s="210"/>
      <c r="K628" s="415"/>
      <c r="L628" s="210"/>
      <c r="M628" s="415"/>
      <c r="N628" s="210"/>
      <c r="O628" s="415"/>
      <c r="P628" s="210"/>
      <c r="Q628" s="439"/>
      <c r="R628" s="439"/>
      <c r="S628" s="415"/>
      <c r="T628" s="210"/>
      <c r="U628" s="415"/>
      <c r="V628" s="210"/>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row>
    <row r="629">
      <c r="A629" s="415"/>
      <c r="B629" s="210"/>
      <c r="C629" s="415"/>
      <c r="D629" s="210"/>
      <c r="E629" s="415"/>
      <c r="F629" s="210"/>
      <c r="G629" s="415"/>
      <c r="H629" s="210"/>
      <c r="I629" s="415"/>
      <c r="J629" s="210"/>
      <c r="K629" s="415"/>
      <c r="L629" s="210"/>
      <c r="M629" s="415"/>
      <c r="N629" s="210"/>
      <c r="O629" s="415"/>
      <c r="P629" s="210"/>
      <c r="Q629" s="439"/>
      <c r="R629" s="439"/>
      <c r="S629" s="415"/>
      <c r="T629" s="210"/>
      <c r="U629" s="415"/>
      <c r="V629" s="210"/>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row>
    <row r="630">
      <c r="A630" s="415"/>
      <c r="B630" s="210"/>
      <c r="C630" s="415"/>
      <c r="D630" s="210"/>
      <c r="E630" s="415"/>
      <c r="F630" s="210"/>
      <c r="G630" s="415"/>
      <c r="H630" s="210"/>
      <c r="I630" s="415"/>
      <c r="J630" s="210"/>
      <c r="K630" s="415"/>
      <c r="L630" s="210"/>
      <c r="M630" s="415"/>
      <c r="N630" s="210"/>
      <c r="O630" s="415"/>
      <c r="P630" s="210"/>
      <c r="Q630" s="439"/>
      <c r="R630" s="439"/>
      <c r="S630" s="415"/>
      <c r="T630" s="210"/>
      <c r="U630" s="415"/>
      <c r="V630" s="210"/>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row>
    <row r="631">
      <c r="A631" s="415"/>
      <c r="B631" s="210"/>
      <c r="C631" s="415"/>
      <c r="D631" s="210"/>
      <c r="E631" s="415"/>
      <c r="F631" s="210"/>
      <c r="G631" s="415"/>
      <c r="H631" s="210"/>
      <c r="I631" s="415"/>
      <c r="J631" s="210"/>
      <c r="K631" s="415"/>
      <c r="L631" s="210"/>
      <c r="M631" s="415"/>
      <c r="N631" s="210"/>
      <c r="O631" s="415"/>
      <c r="P631" s="210"/>
      <c r="Q631" s="439"/>
      <c r="R631" s="439"/>
      <c r="S631" s="415"/>
      <c r="T631" s="210"/>
      <c r="U631" s="415"/>
      <c r="V631" s="210"/>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row>
    <row r="632">
      <c r="A632" s="415"/>
      <c r="B632" s="210"/>
      <c r="C632" s="415"/>
      <c r="D632" s="210"/>
      <c r="E632" s="415"/>
      <c r="F632" s="210"/>
      <c r="G632" s="415"/>
      <c r="H632" s="210"/>
      <c r="I632" s="415"/>
      <c r="J632" s="210"/>
      <c r="K632" s="415"/>
      <c r="L632" s="210"/>
      <c r="M632" s="415"/>
      <c r="N632" s="210"/>
      <c r="O632" s="415"/>
      <c r="P632" s="210"/>
      <c r="Q632" s="439"/>
      <c r="R632" s="439"/>
      <c r="S632" s="415"/>
      <c r="T632" s="210"/>
      <c r="U632" s="415"/>
      <c r="V632" s="210"/>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row>
    <row r="633">
      <c r="A633" s="415"/>
      <c r="B633" s="210"/>
      <c r="C633" s="415"/>
      <c r="D633" s="210"/>
      <c r="E633" s="415"/>
      <c r="F633" s="210"/>
      <c r="G633" s="415"/>
      <c r="H633" s="210"/>
      <c r="I633" s="415"/>
      <c r="J633" s="210"/>
      <c r="K633" s="415"/>
      <c r="L633" s="210"/>
      <c r="M633" s="415"/>
      <c r="N633" s="210"/>
      <c r="O633" s="415"/>
      <c r="P633" s="210"/>
      <c r="Q633" s="439"/>
      <c r="R633" s="439"/>
      <c r="S633" s="415"/>
      <c r="T633" s="210"/>
      <c r="U633" s="415"/>
      <c r="V633" s="210"/>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row>
    <row r="634">
      <c r="A634" s="415"/>
      <c r="B634" s="210"/>
      <c r="C634" s="415"/>
      <c r="D634" s="210"/>
      <c r="E634" s="415"/>
      <c r="F634" s="210"/>
      <c r="G634" s="415"/>
      <c r="H634" s="210"/>
      <c r="I634" s="415"/>
      <c r="J634" s="210"/>
      <c r="K634" s="415"/>
      <c r="L634" s="210"/>
      <c r="M634" s="415"/>
      <c r="N634" s="210"/>
      <c r="O634" s="415"/>
      <c r="P634" s="210"/>
      <c r="Q634" s="439"/>
      <c r="R634" s="439"/>
      <c r="S634" s="415"/>
      <c r="T634" s="210"/>
      <c r="U634" s="415"/>
      <c r="V634" s="210"/>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row>
    <row r="635">
      <c r="A635" s="415"/>
      <c r="B635" s="210"/>
      <c r="C635" s="415"/>
      <c r="D635" s="210"/>
      <c r="E635" s="415"/>
      <c r="F635" s="210"/>
      <c r="G635" s="415"/>
      <c r="H635" s="210"/>
      <c r="I635" s="415"/>
      <c r="J635" s="210"/>
      <c r="K635" s="415"/>
      <c r="L635" s="210"/>
      <c r="M635" s="415"/>
      <c r="N635" s="210"/>
      <c r="O635" s="415"/>
      <c r="P635" s="210"/>
      <c r="Q635" s="439"/>
      <c r="R635" s="439"/>
      <c r="S635" s="415"/>
      <c r="T635" s="210"/>
      <c r="U635" s="415"/>
      <c r="V635" s="210"/>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row>
    <row r="636">
      <c r="A636" s="415"/>
      <c r="B636" s="210"/>
      <c r="C636" s="415"/>
      <c r="D636" s="210"/>
      <c r="E636" s="415"/>
      <c r="F636" s="210"/>
      <c r="G636" s="415"/>
      <c r="H636" s="210"/>
      <c r="I636" s="415"/>
      <c r="J636" s="210"/>
      <c r="K636" s="415"/>
      <c r="L636" s="210"/>
      <c r="M636" s="415"/>
      <c r="N636" s="210"/>
      <c r="O636" s="415"/>
      <c r="P636" s="210"/>
      <c r="Q636" s="439"/>
      <c r="R636" s="439"/>
      <c r="S636" s="415"/>
      <c r="T636" s="210"/>
      <c r="U636" s="415"/>
      <c r="V636" s="210"/>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row>
    <row r="637">
      <c r="A637" s="415"/>
      <c r="B637" s="210"/>
      <c r="C637" s="415"/>
      <c r="D637" s="210"/>
      <c r="E637" s="415"/>
      <c r="F637" s="210"/>
      <c r="G637" s="415"/>
      <c r="H637" s="210"/>
      <c r="I637" s="415"/>
      <c r="J637" s="210"/>
      <c r="K637" s="415"/>
      <c r="L637" s="210"/>
      <c r="M637" s="415"/>
      <c r="N637" s="210"/>
      <c r="O637" s="415"/>
      <c r="P637" s="210"/>
      <c r="Q637" s="439"/>
      <c r="R637" s="439"/>
      <c r="S637" s="415"/>
      <c r="T637" s="210"/>
      <c r="U637" s="415"/>
      <c r="V637" s="210"/>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row>
    <row r="638">
      <c r="A638" s="415"/>
      <c r="B638" s="210"/>
      <c r="C638" s="415"/>
      <c r="D638" s="210"/>
      <c r="E638" s="415"/>
      <c r="F638" s="210"/>
      <c r="G638" s="415"/>
      <c r="H638" s="210"/>
      <c r="I638" s="415"/>
      <c r="J638" s="210"/>
      <c r="K638" s="415"/>
      <c r="L638" s="210"/>
      <c r="M638" s="415"/>
      <c r="N638" s="210"/>
      <c r="O638" s="415"/>
      <c r="P638" s="210"/>
      <c r="Q638" s="439"/>
      <c r="R638" s="439"/>
      <c r="S638" s="415"/>
      <c r="T638" s="210"/>
      <c r="U638" s="415"/>
      <c r="V638" s="210"/>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row>
    <row r="639">
      <c r="A639" s="415"/>
      <c r="B639" s="210"/>
      <c r="C639" s="415"/>
      <c r="D639" s="210"/>
      <c r="E639" s="415"/>
      <c r="F639" s="210"/>
      <c r="G639" s="415"/>
      <c r="H639" s="210"/>
      <c r="I639" s="415"/>
      <c r="J639" s="210"/>
      <c r="K639" s="415"/>
      <c r="L639" s="210"/>
      <c r="M639" s="415"/>
      <c r="N639" s="210"/>
      <c r="O639" s="415"/>
      <c r="P639" s="210"/>
      <c r="Q639" s="439"/>
      <c r="R639" s="439"/>
      <c r="S639" s="415"/>
      <c r="T639" s="210"/>
      <c r="U639" s="415"/>
      <c r="V639" s="210"/>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row>
    <row r="640">
      <c r="A640" s="415"/>
      <c r="B640" s="210"/>
      <c r="C640" s="415"/>
      <c r="D640" s="210"/>
      <c r="E640" s="415"/>
      <c r="F640" s="210"/>
      <c r="G640" s="415"/>
      <c r="H640" s="210"/>
      <c r="I640" s="415"/>
      <c r="J640" s="210"/>
      <c r="K640" s="415"/>
      <c r="L640" s="210"/>
      <c r="M640" s="415"/>
      <c r="N640" s="210"/>
      <c r="O640" s="415"/>
      <c r="P640" s="210"/>
      <c r="Q640" s="439"/>
      <c r="R640" s="439"/>
      <c r="S640" s="415"/>
      <c r="T640" s="210"/>
      <c r="U640" s="415"/>
      <c r="V640" s="210"/>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row>
    <row r="641">
      <c r="A641" s="415"/>
      <c r="B641" s="210"/>
      <c r="C641" s="415"/>
      <c r="D641" s="210"/>
      <c r="E641" s="415"/>
      <c r="F641" s="210"/>
      <c r="G641" s="415"/>
      <c r="H641" s="210"/>
      <c r="I641" s="415"/>
      <c r="J641" s="210"/>
      <c r="K641" s="415"/>
      <c r="L641" s="210"/>
      <c r="M641" s="415"/>
      <c r="N641" s="210"/>
      <c r="O641" s="415"/>
      <c r="P641" s="210"/>
      <c r="Q641" s="439"/>
      <c r="R641" s="439"/>
      <c r="S641" s="415"/>
      <c r="T641" s="210"/>
      <c r="U641" s="415"/>
      <c r="V641" s="210"/>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row>
    <row r="642">
      <c r="A642" s="415"/>
      <c r="B642" s="210"/>
      <c r="C642" s="415"/>
      <c r="D642" s="210"/>
      <c r="E642" s="415"/>
      <c r="F642" s="210"/>
      <c r="G642" s="415"/>
      <c r="H642" s="210"/>
      <c r="I642" s="415"/>
      <c r="J642" s="210"/>
      <c r="K642" s="415"/>
      <c r="L642" s="210"/>
      <c r="M642" s="415"/>
      <c r="N642" s="210"/>
      <c r="O642" s="415"/>
      <c r="P642" s="210"/>
      <c r="Q642" s="439"/>
      <c r="R642" s="439"/>
      <c r="S642" s="415"/>
      <c r="T642" s="210"/>
      <c r="U642" s="415"/>
      <c r="V642" s="210"/>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row>
    <row r="643">
      <c r="A643" s="415"/>
      <c r="B643" s="210"/>
      <c r="C643" s="415"/>
      <c r="D643" s="210"/>
      <c r="E643" s="415"/>
      <c r="F643" s="210"/>
      <c r="G643" s="415"/>
      <c r="H643" s="210"/>
      <c r="I643" s="415"/>
      <c r="J643" s="210"/>
      <c r="K643" s="415"/>
      <c r="L643" s="210"/>
      <c r="M643" s="415"/>
      <c r="N643" s="210"/>
      <c r="O643" s="415"/>
      <c r="P643" s="210"/>
      <c r="Q643" s="439"/>
      <c r="R643" s="439"/>
      <c r="S643" s="415"/>
      <c r="T643" s="210"/>
      <c r="U643" s="415"/>
      <c r="V643" s="210"/>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row>
    <row r="644">
      <c r="A644" s="415"/>
      <c r="B644" s="210"/>
      <c r="C644" s="415"/>
      <c r="D644" s="210"/>
      <c r="E644" s="415"/>
      <c r="F644" s="210"/>
      <c r="G644" s="415"/>
      <c r="H644" s="210"/>
      <c r="I644" s="415"/>
      <c r="J644" s="210"/>
      <c r="K644" s="415"/>
      <c r="L644" s="210"/>
      <c r="M644" s="415"/>
      <c r="N644" s="210"/>
      <c r="O644" s="415"/>
      <c r="P644" s="210"/>
      <c r="Q644" s="439"/>
      <c r="R644" s="439"/>
      <c r="S644" s="415"/>
      <c r="T644" s="210"/>
      <c r="U644" s="415"/>
      <c r="V644" s="210"/>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row>
    <row r="645">
      <c r="A645" s="415"/>
      <c r="B645" s="210"/>
      <c r="C645" s="415"/>
      <c r="D645" s="210"/>
      <c r="E645" s="415"/>
      <c r="F645" s="210"/>
      <c r="G645" s="415"/>
      <c r="H645" s="210"/>
      <c r="I645" s="415"/>
      <c r="J645" s="210"/>
      <c r="K645" s="415"/>
      <c r="L645" s="210"/>
      <c r="M645" s="415"/>
      <c r="N645" s="210"/>
      <c r="O645" s="415"/>
      <c r="P645" s="210"/>
      <c r="Q645" s="439"/>
      <c r="R645" s="439"/>
      <c r="S645" s="415"/>
      <c r="T645" s="210"/>
      <c r="U645" s="415"/>
      <c r="V645" s="210"/>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row>
    <row r="646">
      <c r="A646" s="415"/>
      <c r="B646" s="210"/>
      <c r="C646" s="415"/>
      <c r="D646" s="210"/>
      <c r="E646" s="415"/>
      <c r="F646" s="210"/>
      <c r="G646" s="415"/>
      <c r="H646" s="210"/>
      <c r="I646" s="415"/>
      <c r="J646" s="210"/>
      <c r="K646" s="415"/>
      <c r="L646" s="210"/>
      <c r="M646" s="415"/>
      <c r="N646" s="210"/>
      <c r="O646" s="415"/>
      <c r="P646" s="210"/>
      <c r="Q646" s="439"/>
      <c r="R646" s="439"/>
      <c r="S646" s="415"/>
      <c r="T646" s="210"/>
      <c r="U646" s="415"/>
      <c r="V646" s="210"/>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row>
    <row r="647">
      <c r="A647" s="415"/>
      <c r="B647" s="210"/>
      <c r="C647" s="415"/>
      <c r="D647" s="210"/>
      <c r="E647" s="415"/>
      <c r="F647" s="210"/>
      <c r="G647" s="415"/>
      <c r="H647" s="210"/>
      <c r="I647" s="415"/>
      <c r="J647" s="210"/>
      <c r="K647" s="415"/>
      <c r="L647" s="210"/>
      <c r="M647" s="415"/>
      <c r="N647" s="210"/>
      <c r="O647" s="415"/>
      <c r="P647" s="210"/>
      <c r="Q647" s="439"/>
      <c r="R647" s="439"/>
      <c r="S647" s="415"/>
      <c r="T647" s="210"/>
      <c r="U647" s="415"/>
      <c r="V647" s="210"/>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row>
    <row r="648">
      <c r="A648" s="415"/>
      <c r="B648" s="210"/>
      <c r="C648" s="415"/>
      <c r="D648" s="210"/>
      <c r="E648" s="415"/>
      <c r="F648" s="210"/>
      <c r="G648" s="415"/>
      <c r="H648" s="210"/>
      <c r="I648" s="415"/>
      <c r="J648" s="210"/>
      <c r="K648" s="415"/>
      <c r="L648" s="210"/>
      <c r="M648" s="415"/>
      <c r="N648" s="210"/>
      <c r="O648" s="415"/>
      <c r="P648" s="210"/>
      <c r="Q648" s="439"/>
      <c r="R648" s="439"/>
      <c r="S648" s="415"/>
      <c r="T648" s="210"/>
      <c r="U648" s="415"/>
      <c r="V648" s="210"/>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row>
    <row r="649">
      <c r="A649" s="415"/>
      <c r="B649" s="210"/>
      <c r="C649" s="415"/>
      <c r="D649" s="210"/>
      <c r="E649" s="415"/>
      <c r="F649" s="210"/>
      <c r="G649" s="415"/>
      <c r="H649" s="210"/>
      <c r="I649" s="415"/>
      <c r="J649" s="210"/>
      <c r="K649" s="415"/>
      <c r="L649" s="210"/>
      <c r="M649" s="415"/>
      <c r="N649" s="210"/>
      <c r="O649" s="415"/>
      <c r="P649" s="210"/>
      <c r="Q649" s="439"/>
      <c r="R649" s="439"/>
      <c r="S649" s="415"/>
      <c r="T649" s="210"/>
      <c r="U649" s="415"/>
      <c r="V649" s="210"/>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row>
    <row r="650">
      <c r="A650" s="415"/>
      <c r="B650" s="210"/>
      <c r="C650" s="415"/>
      <c r="D650" s="210"/>
      <c r="E650" s="415"/>
      <c r="F650" s="210"/>
      <c r="G650" s="415"/>
      <c r="H650" s="210"/>
      <c r="I650" s="415"/>
      <c r="J650" s="210"/>
      <c r="K650" s="415"/>
      <c r="L650" s="210"/>
      <c r="M650" s="415"/>
      <c r="N650" s="210"/>
      <c r="O650" s="415"/>
      <c r="P650" s="210"/>
      <c r="Q650" s="439"/>
      <c r="R650" s="439"/>
      <c r="S650" s="415"/>
      <c r="T650" s="210"/>
      <c r="U650" s="415"/>
      <c r="V650" s="210"/>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row>
    <row r="651">
      <c r="A651" s="415"/>
      <c r="B651" s="210"/>
      <c r="C651" s="415"/>
      <c r="D651" s="210"/>
      <c r="E651" s="415"/>
      <c r="F651" s="210"/>
      <c r="G651" s="415"/>
      <c r="H651" s="210"/>
      <c r="I651" s="415"/>
      <c r="J651" s="210"/>
      <c r="K651" s="415"/>
      <c r="L651" s="210"/>
      <c r="M651" s="415"/>
      <c r="N651" s="210"/>
      <c r="O651" s="415"/>
      <c r="P651" s="210"/>
      <c r="Q651" s="439"/>
      <c r="R651" s="439"/>
      <c r="S651" s="415"/>
      <c r="T651" s="210"/>
      <c r="U651" s="415"/>
      <c r="V651" s="210"/>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row>
    <row r="652">
      <c r="A652" s="415"/>
      <c r="B652" s="210"/>
      <c r="C652" s="415"/>
      <c r="D652" s="210"/>
      <c r="E652" s="415"/>
      <c r="F652" s="210"/>
      <c r="G652" s="415"/>
      <c r="H652" s="210"/>
      <c r="I652" s="415"/>
      <c r="J652" s="210"/>
      <c r="K652" s="415"/>
      <c r="L652" s="210"/>
      <c r="M652" s="415"/>
      <c r="N652" s="210"/>
      <c r="O652" s="415"/>
      <c r="P652" s="210"/>
      <c r="Q652" s="439"/>
      <c r="R652" s="439"/>
      <c r="S652" s="415"/>
      <c r="T652" s="210"/>
      <c r="U652" s="415"/>
      <c r="V652" s="210"/>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row>
    <row r="653">
      <c r="A653" s="415"/>
      <c r="B653" s="210"/>
      <c r="C653" s="415"/>
      <c r="D653" s="210"/>
      <c r="E653" s="415"/>
      <c r="F653" s="210"/>
      <c r="G653" s="415"/>
      <c r="H653" s="210"/>
      <c r="I653" s="415"/>
      <c r="J653" s="210"/>
      <c r="K653" s="415"/>
      <c r="L653" s="210"/>
      <c r="M653" s="415"/>
      <c r="N653" s="210"/>
      <c r="O653" s="415"/>
      <c r="P653" s="210"/>
      <c r="Q653" s="439"/>
      <c r="R653" s="439"/>
      <c r="S653" s="415"/>
      <c r="T653" s="210"/>
      <c r="U653" s="415"/>
      <c r="V653" s="210"/>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row>
    <row r="654">
      <c r="A654" s="415"/>
      <c r="B654" s="210"/>
      <c r="C654" s="415"/>
      <c r="D654" s="210"/>
      <c r="E654" s="415"/>
      <c r="F654" s="210"/>
      <c r="G654" s="415"/>
      <c r="H654" s="210"/>
      <c r="I654" s="415"/>
      <c r="J654" s="210"/>
      <c r="K654" s="415"/>
      <c r="L654" s="210"/>
      <c r="M654" s="415"/>
      <c r="N654" s="210"/>
      <c r="O654" s="415"/>
      <c r="P654" s="210"/>
      <c r="Q654" s="439"/>
      <c r="R654" s="439"/>
      <c r="S654" s="415"/>
      <c r="T654" s="210"/>
      <c r="U654" s="415"/>
      <c r="V654" s="210"/>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row>
    <row r="655">
      <c r="A655" s="415"/>
      <c r="B655" s="210"/>
      <c r="C655" s="415"/>
      <c r="D655" s="210"/>
      <c r="E655" s="415"/>
      <c r="F655" s="210"/>
      <c r="G655" s="415"/>
      <c r="H655" s="210"/>
      <c r="I655" s="415"/>
      <c r="J655" s="210"/>
      <c r="K655" s="415"/>
      <c r="L655" s="210"/>
      <c r="M655" s="415"/>
      <c r="N655" s="210"/>
      <c r="O655" s="415"/>
      <c r="P655" s="210"/>
      <c r="Q655" s="439"/>
      <c r="R655" s="439"/>
      <c r="S655" s="415"/>
      <c r="T655" s="210"/>
      <c r="U655" s="415"/>
      <c r="V655" s="210"/>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row>
    <row r="656">
      <c r="A656" s="415"/>
      <c r="B656" s="210"/>
      <c r="C656" s="415"/>
      <c r="D656" s="210"/>
      <c r="E656" s="415"/>
      <c r="F656" s="210"/>
      <c r="G656" s="415"/>
      <c r="H656" s="210"/>
      <c r="I656" s="415"/>
      <c r="J656" s="210"/>
      <c r="K656" s="415"/>
      <c r="L656" s="210"/>
      <c r="M656" s="415"/>
      <c r="N656" s="210"/>
      <c r="O656" s="415"/>
      <c r="P656" s="210"/>
      <c r="Q656" s="439"/>
      <c r="R656" s="439"/>
      <c r="S656" s="415"/>
      <c r="T656" s="210"/>
      <c r="U656" s="415"/>
      <c r="V656" s="210"/>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row>
    <row r="657">
      <c r="A657" s="415"/>
      <c r="B657" s="210"/>
      <c r="C657" s="415"/>
      <c r="D657" s="210"/>
      <c r="E657" s="415"/>
      <c r="F657" s="210"/>
      <c r="G657" s="415"/>
      <c r="H657" s="210"/>
      <c r="I657" s="415"/>
      <c r="J657" s="210"/>
      <c r="K657" s="415"/>
      <c r="L657" s="210"/>
      <c r="M657" s="415"/>
      <c r="N657" s="210"/>
      <c r="O657" s="415"/>
      <c r="P657" s="210"/>
      <c r="Q657" s="439"/>
      <c r="R657" s="439"/>
      <c r="S657" s="415"/>
      <c r="T657" s="210"/>
      <c r="U657" s="415"/>
      <c r="V657" s="210"/>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row>
    <row r="658">
      <c r="A658" s="415"/>
      <c r="B658" s="210"/>
      <c r="C658" s="415"/>
      <c r="D658" s="210"/>
      <c r="E658" s="415"/>
      <c r="F658" s="210"/>
      <c r="G658" s="415"/>
      <c r="H658" s="210"/>
      <c r="I658" s="415"/>
      <c r="J658" s="210"/>
      <c r="K658" s="415"/>
      <c r="L658" s="210"/>
      <c r="M658" s="415"/>
      <c r="N658" s="210"/>
      <c r="O658" s="415"/>
      <c r="P658" s="210"/>
      <c r="Q658" s="439"/>
      <c r="R658" s="439"/>
      <c r="S658" s="415"/>
      <c r="T658" s="210"/>
      <c r="U658" s="415"/>
      <c r="V658" s="210"/>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row>
    <row r="659">
      <c r="A659" s="415"/>
      <c r="B659" s="210"/>
      <c r="C659" s="415"/>
      <c r="D659" s="210"/>
      <c r="E659" s="415"/>
      <c r="F659" s="210"/>
      <c r="G659" s="415"/>
      <c r="H659" s="210"/>
      <c r="I659" s="415"/>
      <c r="J659" s="210"/>
      <c r="K659" s="415"/>
      <c r="L659" s="210"/>
      <c r="M659" s="415"/>
      <c r="N659" s="210"/>
      <c r="O659" s="415"/>
      <c r="P659" s="210"/>
      <c r="Q659" s="439"/>
      <c r="R659" s="439"/>
      <c r="S659" s="415"/>
      <c r="T659" s="210"/>
      <c r="U659" s="415"/>
      <c r="V659" s="210"/>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row>
    <row r="660">
      <c r="A660" s="415"/>
      <c r="B660" s="210"/>
      <c r="C660" s="415"/>
      <c r="D660" s="210"/>
      <c r="E660" s="415"/>
      <c r="F660" s="210"/>
      <c r="G660" s="415"/>
      <c r="H660" s="210"/>
      <c r="I660" s="415"/>
      <c r="J660" s="210"/>
      <c r="K660" s="415"/>
      <c r="L660" s="210"/>
      <c r="M660" s="415"/>
      <c r="N660" s="210"/>
      <c r="O660" s="415"/>
      <c r="P660" s="210"/>
      <c r="Q660" s="439"/>
      <c r="R660" s="439"/>
      <c r="S660" s="415"/>
      <c r="T660" s="210"/>
      <c r="U660" s="415"/>
      <c r="V660" s="210"/>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row>
    <row r="661">
      <c r="A661" s="415"/>
      <c r="B661" s="210"/>
      <c r="C661" s="415"/>
      <c r="D661" s="210"/>
      <c r="E661" s="415"/>
      <c r="F661" s="210"/>
      <c r="G661" s="415"/>
      <c r="H661" s="210"/>
      <c r="I661" s="415"/>
      <c r="J661" s="210"/>
      <c r="K661" s="415"/>
      <c r="L661" s="210"/>
      <c r="M661" s="415"/>
      <c r="N661" s="210"/>
      <c r="O661" s="415"/>
      <c r="P661" s="210"/>
      <c r="Q661" s="439"/>
      <c r="R661" s="439"/>
      <c r="S661" s="415"/>
      <c r="T661" s="210"/>
      <c r="U661" s="415"/>
      <c r="V661" s="210"/>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row>
    <row r="662">
      <c r="A662" s="415"/>
      <c r="B662" s="210"/>
      <c r="C662" s="415"/>
      <c r="D662" s="210"/>
      <c r="E662" s="415"/>
      <c r="F662" s="210"/>
      <c r="G662" s="415"/>
      <c r="H662" s="210"/>
      <c r="I662" s="415"/>
      <c r="J662" s="210"/>
      <c r="K662" s="415"/>
      <c r="L662" s="210"/>
      <c r="M662" s="415"/>
      <c r="N662" s="210"/>
      <c r="O662" s="415"/>
      <c r="P662" s="210"/>
      <c r="Q662" s="439"/>
      <c r="R662" s="439"/>
      <c r="S662" s="415"/>
      <c r="T662" s="210"/>
      <c r="U662" s="415"/>
      <c r="V662" s="210"/>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row>
    <row r="663">
      <c r="A663" s="415"/>
      <c r="B663" s="210"/>
      <c r="C663" s="415"/>
      <c r="D663" s="210"/>
      <c r="E663" s="415"/>
      <c r="F663" s="210"/>
      <c r="G663" s="415"/>
      <c r="H663" s="210"/>
      <c r="I663" s="415"/>
      <c r="J663" s="210"/>
      <c r="K663" s="415"/>
      <c r="L663" s="210"/>
      <c r="M663" s="415"/>
      <c r="N663" s="210"/>
      <c r="O663" s="415"/>
      <c r="P663" s="210"/>
      <c r="Q663" s="439"/>
      <c r="R663" s="439"/>
      <c r="S663" s="415"/>
      <c r="T663" s="210"/>
      <c r="U663" s="415"/>
      <c r="V663" s="210"/>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row>
    <row r="664">
      <c r="A664" s="415"/>
      <c r="B664" s="210"/>
      <c r="C664" s="415"/>
      <c r="D664" s="210"/>
      <c r="E664" s="415"/>
      <c r="F664" s="210"/>
      <c r="G664" s="415"/>
      <c r="H664" s="210"/>
      <c r="I664" s="415"/>
      <c r="J664" s="210"/>
      <c r="K664" s="415"/>
      <c r="L664" s="210"/>
      <c r="M664" s="415"/>
      <c r="N664" s="210"/>
      <c r="O664" s="415"/>
      <c r="P664" s="210"/>
      <c r="Q664" s="439"/>
      <c r="R664" s="439"/>
      <c r="S664" s="415"/>
      <c r="T664" s="210"/>
      <c r="U664" s="415"/>
      <c r="V664" s="210"/>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row>
    <row r="665">
      <c r="A665" s="415"/>
      <c r="B665" s="210"/>
      <c r="C665" s="415"/>
      <c r="D665" s="210"/>
      <c r="E665" s="415"/>
      <c r="F665" s="210"/>
      <c r="G665" s="415"/>
      <c r="H665" s="210"/>
      <c r="I665" s="415"/>
      <c r="J665" s="210"/>
      <c r="K665" s="415"/>
      <c r="L665" s="210"/>
      <c r="M665" s="415"/>
      <c r="N665" s="210"/>
      <c r="O665" s="415"/>
      <c r="P665" s="210"/>
      <c r="Q665" s="439"/>
      <c r="R665" s="439"/>
      <c r="S665" s="415"/>
      <c r="T665" s="210"/>
      <c r="U665" s="415"/>
      <c r="V665" s="210"/>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row>
    <row r="666">
      <c r="A666" s="415"/>
      <c r="B666" s="210"/>
      <c r="C666" s="415"/>
      <c r="D666" s="210"/>
      <c r="E666" s="415"/>
      <c r="F666" s="210"/>
      <c r="G666" s="415"/>
      <c r="H666" s="210"/>
      <c r="I666" s="415"/>
      <c r="J666" s="210"/>
      <c r="K666" s="415"/>
      <c r="L666" s="210"/>
      <c r="M666" s="415"/>
      <c r="N666" s="210"/>
      <c r="O666" s="415"/>
      <c r="P666" s="210"/>
      <c r="Q666" s="439"/>
      <c r="R666" s="439"/>
      <c r="S666" s="415"/>
      <c r="T666" s="210"/>
      <c r="U666" s="415"/>
      <c r="V666" s="210"/>
      <c r="W666" s="8"/>
      <c r="X666" s="8"/>
      <c r="Y666" s="8"/>
      <c r="Z666" s="8"/>
      <c r="AA666" s="8"/>
      <c r="AB666" s="8"/>
      <c r="AC666" s="8"/>
      <c r="AD666" s="8"/>
      <c r="AE666" s="8"/>
      <c r="AF666" s="8"/>
      <c r="AG666" s="8"/>
      <c r="AH666" s="8"/>
      <c r="AI666" s="8"/>
      <c r="AJ666" s="8"/>
      <c r="AK666" s="8"/>
      <c r="AL666" s="8"/>
      <c r="AM666" s="8"/>
      <c r="AN666" s="8"/>
      <c r="AO666" s="8"/>
      <c r="AP666" s="8"/>
      <c r="AQ666" s="8"/>
      <c r="AR666" s="8"/>
      <c r="AS666" s="8"/>
      <c r="AT666" s="8"/>
    </row>
    <row r="667">
      <c r="A667" s="415"/>
      <c r="B667" s="210"/>
      <c r="C667" s="415"/>
      <c r="D667" s="210"/>
      <c r="E667" s="415"/>
      <c r="F667" s="210"/>
      <c r="G667" s="415"/>
      <c r="H667" s="210"/>
      <c r="I667" s="415"/>
      <c r="J667" s="210"/>
      <c r="K667" s="415"/>
      <c r="L667" s="210"/>
      <c r="M667" s="415"/>
      <c r="N667" s="210"/>
      <c r="O667" s="415"/>
      <c r="P667" s="210"/>
      <c r="Q667" s="439"/>
      <c r="R667" s="439"/>
      <c r="S667" s="415"/>
      <c r="T667" s="210"/>
      <c r="U667" s="415"/>
      <c r="V667" s="210"/>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row>
    <row r="668">
      <c r="A668" s="415"/>
      <c r="B668" s="210"/>
      <c r="C668" s="415"/>
      <c r="D668" s="210"/>
      <c r="E668" s="415"/>
      <c r="F668" s="210"/>
      <c r="G668" s="415"/>
      <c r="H668" s="210"/>
      <c r="I668" s="415"/>
      <c r="J668" s="210"/>
      <c r="K668" s="415"/>
      <c r="L668" s="210"/>
      <c r="M668" s="415"/>
      <c r="N668" s="210"/>
      <c r="O668" s="415"/>
      <c r="P668" s="210"/>
      <c r="Q668" s="439"/>
      <c r="R668" s="439"/>
      <c r="S668" s="415"/>
      <c r="T668" s="210"/>
      <c r="U668" s="415"/>
      <c r="V668" s="210"/>
      <c r="W668" s="8"/>
      <c r="X668" s="8"/>
      <c r="Y668" s="8"/>
      <c r="Z668" s="8"/>
      <c r="AA668" s="8"/>
      <c r="AB668" s="8"/>
      <c r="AC668" s="8"/>
      <c r="AD668" s="8"/>
      <c r="AE668" s="8"/>
      <c r="AF668" s="8"/>
      <c r="AG668" s="8"/>
      <c r="AH668" s="8"/>
      <c r="AI668" s="8"/>
      <c r="AJ668" s="8"/>
      <c r="AK668" s="8"/>
      <c r="AL668" s="8"/>
      <c r="AM668" s="8"/>
      <c r="AN668" s="8"/>
      <c r="AO668" s="8"/>
      <c r="AP668" s="8"/>
      <c r="AQ668" s="8"/>
      <c r="AR668" s="8"/>
      <c r="AS668" s="8"/>
      <c r="AT668" s="8"/>
    </row>
    <row r="669">
      <c r="A669" s="415"/>
      <c r="B669" s="210"/>
      <c r="C669" s="415"/>
      <c r="D669" s="210"/>
      <c r="E669" s="415"/>
      <c r="F669" s="210"/>
      <c r="G669" s="415"/>
      <c r="H669" s="210"/>
      <c r="I669" s="415"/>
      <c r="J669" s="210"/>
      <c r="K669" s="415"/>
      <c r="L669" s="210"/>
      <c r="M669" s="415"/>
      <c r="N669" s="210"/>
      <c r="O669" s="415"/>
      <c r="P669" s="210"/>
      <c r="Q669" s="439"/>
      <c r="R669" s="439"/>
      <c r="S669" s="415"/>
      <c r="T669" s="210"/>
      <c r="U669" s="415"/>
      <c r="V669" s="210"/>
      <c r="W669" s="8"/>
      <c r="X669" s="8"/>
      <c r="Y669" s="8"/>
      <c r="Z669" s="8"/>
      <c r="AA669" s="8"/>
      <c r="AB669" s="8"/>
      <c r="AC669" s="8"/>
      <c r="AD669" s="8"/>
      <c r="AE669" s="8"/>
      <c r="AF669" s="8"/>
      <c r="AG669" s="8"/>
      <c r="AH669" s="8"/>
      <c r="AI669" s="8"/>
      <c r="AJ669" s="8"/>
      <c r="AK669" s="8"/>
      <c r="AL669" s="8"/>
      <c r="AM669" s="8"/>
      <c r="AN669" s="8"/>
      <c r="AO669" s="8"/>
      <c r="AP669" s="8"/>
      <c r="AQ669" s="8"/>
      <c r="AR669" s="8"/>
      <c r="AS669" s="8"/>
      <c r="AT669" s="8"/>
    </row>
    <row r="670">
      <c r="A670" s="415"/>
      <c r="B670" s="210"/>
      <c r="C670" s="415"/>
      <c r="D670" s="210"/>
      <c r="E670" s="415"/>
      <c r="F670" s="210"/>
      <c r="G670" s="415"/>
      <c r="H670" s="210"/>
      <c r="I670" s="415"/>
      <c r="J670" s="210"/>
      <c r="K670" s="415"/>
      <c r="L670" s="210"/>
      <c r="M670" s="415"/>
      <c r="N670" s="210"/>
      <c r="O670" s="415"/>
      <c r="P670" s="210"/>
      <c r="Q670" s="439"/>
      <c r="R670" s="439"/>
      <c r="S670" s="415"/>
      <c r="T670" s="210"/>
      <c r="U670" s="415"/>
      <c r="V670" s="210"/>
      <c r="W670" s="8"/>
      <c r="X670" s="8"/>
      <c r="Y670" s="8"/>
      <c r="Z670" s="8"/>
      <c r="AA670" s="8"/>
      <c r="AB670" s="8"/>
      <c r="AC670" s="8"/>
      <c r="AD670" s="8"/>
      <c r="AE670" s="8"/>
      <c r="AF670" s="8"/>
      <c r="AG670" s="8"/>
      <c r="AH670" s="8"/>
      <c r="AI670" s="8"/>
      <c r="AJ670" s="8"/>
      <c r="AK670" s="8"/>
      <c r="AL670" s="8"/>
      <c r="AM670" s="8"/>
      <c r="AN670" s="8"/>
      <c r="AO670" s="8"/>
      <c r="AP670" s="8"/>
      <c r="AQ670" s="8"/>
      <c r="AR670" s="8"/>
      <c r="AS670" s="8"/>
      <c r="AT670" s="8"/>
    </row>
    <row r="671">
      <c r="A671" s="415"/>
      <c r="B671" s="210"/>
      <c r="C671" s="415"/>
      <c r="D671" s="210"/>
      <c r="E671" s="415"/>
      <c r="F671" s="210"/>
      <c r="G671" s="415"/>
      <c r="H671" s="210"/>
      <c r="I671" s="415"/>
      <c r="J671" s="210"/>
      <c r="K671" s="415"/>
      <c r="L671" s="210"/>
      <c r="M671" s="415"/>
      <c r="N671" s="210"/>
      <c r="O671" s="415"/>
      <c r="P671" s="210"/>
      <c r="Q671" s="439"/>
      <c r="R671" s="439"/>
      <c r="S671" s="415"/>
      <c r="T671" s="210"/>
      <c r="U671" s="415"/>
      <c r="V671" s="210"/>
      <c r="W671" s="8"/>
      <c r="X671" s="8"/>
      <c r="Y671" s="8"/>
      <c r="Z671" s="8"/>
      <c r="AA671" s="8"/>
      <c r="AB671" s="8"/>
      <c r="AC671" s="8"/>
      <c r="AD671" s="8"/>
      <c r="AE671" s="8"/>
      <c r="AF671" s="8"/>
      <c r="AG671" s="8"/>
      <c r="AH671" s="8"/>
      <c r="AI671" s="8"/>
      <c r="AJ671" s="8"/>
      <c r="AK671" s="8"/>
      <c r="AL671" s="8"/>
      <c r="AM671" s="8"/>
      <c r="AN671" s="8"/>
      <c r="AO671" s="8"/>
      <c r="AP671" s="8"/>
      <c r="AQ671" s="8"/>
      <c r="AR671" s="8"/>
      <c r="AS671" s="8"/>
      <c r="AT671" s="8"/>
    </row>
    <row r="672">
      <c r="A672" s="415"/>
      <c r="B672" s="210"/>
      <c r="C672" s="415"/>
      <c r="D672" s="210"/>
      <c r="E672" s="415"/>
      <c r="F672" s="210"/>
      <c r="G672" s="415"/>
      <c r="H672" s="210"/>
      <c r="I672" s="415"/>
      <c r="J672" s="210"/>
      <c r="K672" s="415"/>
      <c r="L672" s="210"/>
      <c r="M672" s="415"/>
      <c r="N672" s="210"/>
      <c r="O672" s="415"/>
      <c r="P672" s="210"/>
      <c r="Q672" s="439"/>
      <c r="R672" s="439"/>
      <c r="S672" s="415"/>
      <c r="T672" s="210"/>
      <c r="U672" s="415"/>
      <c r="V672" s="210"/>
      <c r="W672" s="8"/>
      <c r="X672" s="8"/>
      <c r="Y672" s="8"/>
      <c r="Z672" s="8"/>
      <c r="AA672" s="8"/>
      <c r="AB672" s="8"/>
      <c r="AC672" s="8"/>
      <c r="AD672" s="8"/>
      <c r="AE672" s="8"/>
      <c r="AF672" s="8"/>
      <c r="AG672" s="8"/>
      <c r="AH672" s="8"/>
      <c r="AI672" s="8"/>
      <c r="AJ672" s="8"/>
      <c r="AK672" s="8"/>
      <c r="AL672" s="8"/>
      <c r="AM672" s="8"/>
      <c r="AN672" s="8"/>
      <c r="AO672" s="8"/>
      <c r="AP672" s="8"/>
      <c r="AQ672" s="8"/>
      <c r="AR672" s="8"/>
      <c r="AS672" s="8"/>
      <c r="AT672" s="8"/>
    </row>
    <row r="673">
      <c r="A673" s="415"/>
      <c r="B673" s="210"/>
      <c r="C673" s="415"/>
      <c r="D673" s="210"/>
      <c r="E673" s="415"/>
      <c r="F673" s="210"/>
      <c r="G673" s="415"/>
      <c r="H673" s="210"/>
      <c r="I673" s="415"/>
      <c r="J673" s="210"/>
      <c r="K673" s="415"/>
      <c r="L673" s="210"/>
      <c r="M673" s="415"/>
      <c r="N673" s="210"/>
      <c r="O673" s="415"/>
      <c r="P673" s="210"/>
      <c r="Q673" s="439"/>
      <c r="R673" s="439"/>
      <c r="S673" s="415"/>
      <c r="T673" s="210"/>
      <c r="U673" s="415"/>
      <c r="V673" s="210"/>
      <c r="W673" s="8"/>
      <c r="X673" s="8"/>
      <c r="Y673" s="8"/>
      <c r="Z673" s="8"/>
      <c r="AA673" s="8"/>
      <c r="AB673" s="8"/>
      <c r="AC673" s="8"/>
      <c r="AD673" s="8"/>
      <c r="AE673" s="8"/>
      <c r="AF673" s="8"/>
      <c r="AG673" s="8"/>
      <c r="AH673" s="8"/>
      <c r="AI673" s="8"/>
      <c r="AJ673" s="8"/>
      <c r="AK673" s="8"/>
      <c r="AL673" s="8"/>
      <c r="AM673" s="8"/>
      <c r="AN673" s="8"/>
      <c r="AO673" s="8"/>
      <c r="AP673" s="8"/>
      <c r="AQ673" s="8"/>
      <c r="AR673" s="8"/>
      <c r="AS673" s="8"/>
      <c r="AT673" s="8"/>
    </row>
    <row r="674">
      <c r="A674" s="415"/>
      <c r="B674" s="210"/>
      <c r="C674" s="415"/>
      <c r="D674" s="210"/>
      <c r="E674" s="415"/>
      <c r="F674" s="210"/>
      <c r="G674" s="415"/>
      <c r="H674" s="210"/>
      <c r="I674" s="415"/>
      <c r="J674" s="210"/>
      <c r="K674" s="415"/>
      <c r="L674" s="210"/>
      <c r="M674" s="415"/>
      <c r="N674" s="210"/>
      <c r="O674" s="415"/>
      <c r="P674" s="210"/>
      <c r="Q674" s="439"/>
      <c r="R674" s="439"/>
      <c r="S674" s="415"/>
      <c r="T674" s="210"/>
      <c r="U674" s="415"/>
      <c r="V674" s="210"/>
      <c r="W674" s="8"/>
      <c r="X674" s="8"/>
      <c r="Y674" s="8"/>
      <c r="Z674" s="8"/>
      <c r="AA674" s="8"/>
      <c r="AB674" s="8"/>
      <c r="AC674" s="8"/>
      <c r="AD674" s="8"/>
      <c r="AE674" s="8"/>
      <c r="AF674" s="8"/>
      <c r="AG674" s="8"/>
      <c r="AH674" s="8"/>
      <c r="AI674" s="8"/>
      <c r="AJ674" s="8"/>
      <c r="AK674" s="8"/>
      <c r="AL674" s="8"/>
      <c r="AM674" s="8"/>
      <c r="AN674" s="8"/>
      <c r="AO674" s="8"/>
      <c r="AP674" s="8"/>
      <c r="AQ674" s="8"/>
      <c r="AR674" s="8"/>
      <c r="AS674" s="8"/>
      <c r="AT674" s="8"/>
    </row>
    <row r="675">
      <c r="A675" s="415"/>
      <c r="B675" s="210"/>
      <c r="C675" s="415"/>
      <c r="D675" s="210"/>
      <c r="E675" s="415"/>
      <c r="F675" s="210"/>
      <c r="G675" s="415"/>
      <c r="H675" s="210"/>
      <c r="I675" s="415"/>
      <c r="J675" s="210"/>
      <c r="K675" s="415"/>
      <c r="L675" s="210"/>
      <c r="M675" s="415"/>
      <c r="N675" s="210"/>
      <c r="O675" s="415"/>
      <c r="P675" s="210"/>
      <c r="Q675" s="439"/>
      <c r="R675" s="439"/>
      <c r="S675" s="415"/>
      <c r="T675" s="210"/>
      <c r="U675" s="415"/>
      <c r="V675" s="210"/>
      <c r="W675" s="8"/>
      <c r="X675" s="8"/>
      <c r="Y675" s="8"/>
      <c r="Z675" s="8"/>
      <c r="AA675" s="8"/>
      <c r="AB675" s="8"/>
      <c r="AC675" s="8"/>
      <c r="AD675" s="8"/>
      <c r="AE675" s="8"/>
      <c r="AF675" s="8"/>
      <c r="AG675" s="8"/>
      <c r="AH675" s="8"/>
      <c r="AI675" s="8"/>
      <c r="AJ675" s="8"/>
      <c r="AK675" s="8"/>
      <c r="AL675" s="8"/>
      <c r="AM675" s="8"/>
      <c r="AN675" s="8"/>
      <c r="AO675" s="8"/>
      <c r="AP675" s="8"/>
      <c r="AQ675" s="8"/>
      <c r="AR675" s="8"/>
      <c r="AS675" s="8"/>
      <c r="AT675" s="8"/>
    </row>
    <row r="676">
      <c r="A676" s="415"/>
      <c r="B676" s="210"/>
      <c r="C676" s="415"/>
      <c r="D676" s="210"/>
      <c r="E676" s="415"/>
      <c r="F676" s="210"/>
      <c r="G676" s="415"/>
      <c r="H676" s="210"/>
      <c r="I676" s="415"/>
      <c r="J676" s="210"/>
      <c r="K676" s="415"/>
      <c r="L676" s="210"/>
      <c r="M676" s="415"/>
      <c r="N676" s="210"/>
      <c r="O676" s="415"/>
      <c r="P676" s="210"/>
      <c r="Q676" s="439"/>
      <c r="R676" s="439"/>
      <c r="S676" s="415"/>
      <c r="T676" s="210"/>
      <c r="U676" s="415"/>
      <c r="V676" s="210"/>
      <c r="W676" s="8"/>
      <c r="X676" s="8"/>
      <c r="Y676" s="8"/>
      <c r="Z676" s="8"/>
      <c r="AA676" s="8"/>
      <c r="AB676" s="8"/>
      <c r="AC676" s="8"/>
      <c r="AD676" s="8"/>
      <c r="AE676" s="8"/>
      <c r="AF676" s="8"/>
      <c r="AG676" s="8"/>
      <c r="AH676" s="8"/>
      <c r="AI676" s="8"/>
      <c r="AJ676" s="8"/>
      <c r="AK676" s="8"/>
      <c r="AL676" s="8"/>
      <c r="AM676" s="8"/>
      <c r="AN676" s="8"/>
      <c r="AO676" s="8"/>
      <c r="AP676" s="8"/>
      <c r="AQ676" s="8"/>
      <c r="AR676" s="8"/>
      <c r="AS676" s="8"/>
      <c r="AT676" s="8"/>
    </row>
    <row r="677">
      <c r="A677" s="415"/>
      <c r="B677" s="210"/>
      <c r="C677" s="415"/>
      <c r="D677" s="210"/>
      <c r="E677" s="415"/>
      <c r="F677" s="210"/>
      <c r="G677" s="415"/>
      <c r="H677" s="210"/>
      <c r="I677" s="415"/>
      <c r="J677" s="210"/>
      <c r="K677" s="415"/>
      <c r="L677" s="210"/>
      <c r="M677" s="415"/>
      <c r="N677" s="210"/>
      <c r="O677" s="415"/>
      <c r="P677" s="210"/>
      <c r="Q677" s="439"/>
      <c r="R677" s="439"/>
      <c r="S677" s="415"/>
      <c r="T677" s="210"/>
      <c r="U677" s="415"/>
      <c r="V677" s="210"/>
      <c r="W677" s="8"/>
      <c r="X677" s="8"/>
      <c r="Y677" s="8"/>
      <c r="Z677" s="8"/>
      <c r="AA677" s="8"/>
      <c r="AB677" s="8"/>
      <c r="AC677" s="8"/>
      <c r="AD677" s="8"/>
      <c r="AE677" s="8"/>
      <c r="AF677" s="8"/>
      <c r="AG677" s="8"/>
      <c r="AH677" s="8"/>
      <c r="AI677" s="8"/>
      <c r="AJ677" s="8"/>
      <c r="AK677" s="8"/>
      <c r="AL677" s="8"/>
      <c r="AM677" s="8"/>
      <c r="AN677" s="8"/>
      <c r="AO677" s="8"/>
      <c r="AP677" s="8"/>
      <c r="AQ677" s="8"/>
      <c r="AR677" s="8"/>
      <c r="AS677" s="8"/>
      <c r="AT677" s="8"/>
    </row>
    <row r="678">
      <c r="A678" s="415"/>
      <c r="B678" s="210"/>
      <c r="C678" s="415"/>
      <c r="D678" s="210"/>
      <c r="E678" s="415"/>
      <c r="F678" s="210"/>
      <c r="G678" s="415"/>
      <c r="H678" s="210"/>
      <c r="I678" s="415"/>
      <c r="J678" s="210"/>
      <c r="K678" s="415"/>
      <c r="L678" s="210"/>
      <c r="M678" s="415"/>
      <c r="N678" s="210"/>
      <c r="O678" s="415"/>
      <c r="P678" s="210"/>
      <c r="Q678" s="439"/>
      <c r="R678" s="439"/>
      <c r="S678" s="415"/>
      <c r="T678" s="210"/>
      <c r="U678" s="415"/>
      <c r="V678" s="210"/>
      <c r="W678" s="8"/>
      <c r="X678" s="8"/>
      <c r="Y678" s="8"/>
      <c r="Z678" s="8"/>
      <c r="AA678" s="8"/>
      <c r="AB678" s="8"/>
      <c r="AC678" s="8"/>
      <c r="AD678" s="8"/>
      <c r="AE678" s="8"/>
      <c r="AF678" s="8"/>
      <c r="AG678" s="8"/>
      <c r="AH678" s="8"/>
      <c r="AI678" s="8"/>
      <c r="AJ678" s="8"/>
      <c r="AK678" s="8"/>
      <c r="AL678" s="8"/>
      <c r="AM678" s="8"/>
      <c r="AN678" s="8"/>
      <c r="AO678" s="8"/>
      <c r="AP678" s="8"/>
      <c r="AQ678" s="8"/>
      <c r="AR678" s="8"/>
      <c r="AS678" s="8"/>
      <c r="AT678" s="8"/>
    </row>
    <row r="679">
      <c r="A679" s="415"/>
      <c r="B679" s="210"/>
      <c r="C679" s="415"/>
      <c r="D679" s="210"/>
      <c r="E679" s="415"/>
      <c r="F679" s="210"/>
      <c r="G679" s="415"/>
      <c r="H679" s="210"/>
      <c r="I679" s="415"/>
      <c r="J679" s="210"/>
      <c r="K679" s="415"/>
      <c r="L679" s="210"/>
      <c r="M679" s="415"/>
      <c r="N679" s="210"/>
      <c r="O679" s="415"/>
      <c r="P679" s="210"/>
      <c r="Q679" s="439"/>
      <c r="R679" s="439"/>
      <c r="S679" s="415"/>
      <c r="T679" s="210"/>
      <c r="U679" s="415"/>
      <c r="V679" s="210"/>
      <c r="W679" s="8"/>
      <c r="X679" s="8"/>
      <c r="Y679" s="8"/>
      <c r="Z679" s="8"/>
      <c r="AA679" s="8"/>
      <c r="AB679" s="8"/>
      <c r="AC679" s="8"/>
      <c r="AD679" s="8"/>
      <c r="AE679" s="8"/>
      <c r="AF679" s="8"/>
      <c r="AG679" s="8"/>
      <c r="AH679" s="8"/>
      <c r="AI679" s="8"/>
      <c r="AJ679" s="8"/>
      <c r="AK679" s="8"/>
      <c r="AL679" s="8"/>
      <c r="AM679" s="8"/>
      <c r="AN679" s="8"/>
      <c r="AO679" s="8"/>
      <c r="AP679" s="8"/>
      <c r="AQ679" s="8"/>
      <c r="AR679" s="8"/>
      <c r="AS679" s="8"/>
      <c r="AT679" s="8"/>
    </row>
    <row r="680">
      <c r="A680" s="415"/>
      <c r="B680" s="210"/>
      <c r="C680" s="415"/>
      <c r="D680" s="210"/>
      <c r="E680" s="415"/>
      <c r="F680" s="210"/>
      <c r="G680" s="415"/>
      <c r="H680" s="210"/>
      <c r="I680" s="415"/>
      <c r="J680" s="210"/>
      <c r="K680" s="415"/>
      <c r="L680" s="210"/>
      <c r="M680" s="415"/>
      <c r="N680" s="210"/>
      <c r="O680" s="415"/>
      <c r="P680" s="210"/>
      <c r="Q680" s="439"/>
      <c r="R680" s="439"/>
      <c r="S680" s="415"/>
      <c r="T680" s="210"/>
      <c r="U680" s="415"/>
      <c r="V680" s="210"/>
      <c r="W680" s="8"/>
      <c r="X680" s="8"/>
      <c r="Y680" s="8"/>
      <c r="Z680" s="8"/>
      <c r="AA680" s="8"/>
      <c r="AB680" s="8"/>
      <c r="AC680" s="8"/>
      <c r="AD680" s="8"/>
      <c r="AE680" s="8"/>
      <c r="AF680" s="8"/>
      <c r="AG680" s="8"/>
      <c r="AH680" s="8"/>
      <c r="AI680" s="8"/>
      <c r="AJ680" s="8"/>
      <c r="AK680" s="8"/>
      <c r="AL680" s="8"/>
      <c r="AM680" s="8"/>
      <c r="AN680" s="8"/>
      <c r="AO680" s="8"/>
      <c r="AP680" s="8"/>
      <c r="AQ680" s="8"/>
      <c r="AR680" s="8"/>
      <c r="AS680" s="8"/>
      <c r="AT680" s="8"/>
    </row>
    <row r="681">
      <c r="A681" s="415"/>
      <c r="B681" s="210"/>
      <c r="C681" s="415"/>
      <c r="D681" s="210"/>
      <c r="E681" s="415"/>
      <c r="F681" s="210"/>
      <c r="G681" s="415"/>
      <c r="H681" s="210"/>
      <c r="I681" s="415"/>
      <c r="J681" s="210"/>
      <c r="K681" s="415"/>
      <c r="L681" s="210"/>
      <c r="M681" s="415"/>
      <c r="N681" s="210"/>
      <c r="O681" s="415"/>
      <c r="P681" s="210"/>
      <c r="Q681" s="439"/>
      <c r="R681" s="439"/>
      <c r="S681" s="415"/>
      <c r="T681" s="210"/>
      <c r="U681" s="415"/>
      <c r="V681" s="210"/>
      <c r="W681" s="8"/>
      <c r="X681" s="8"/>
      <c r="Y681" s="8"/>
      <c r="Z681" s="8"/>
      <c r="AA681" s="8"/>
      <c r="AB681" s="8"/>
      <c r="AC681" s="8"/>
      <c r="AD681" s="8"/>
      <c r="AE681" s="8"/>
      <c r="AF681" s="8"/>
      <c r="AG681" s="8"/>
      <c r="AH681" s="8"/>
      <c r="AI681" s="8"/>
      <c r="AJ681" s="8"/>
      <c r="AK681" s="8"/>
      <c r="AL681" s="8"/>
      <c r="AM681" s="8"/>
      <c r="AN681" s="8"/>
      <c r="AO681" s="8"/>
      <c r="AP681" s="8"/>
      <c r="AQ681" s="8"/>
      <c r="AR681" s="8"/>
      <c r="AS681" s="8"/>
      <c r="AT681" s="8"/>
    </row>
    <row r="682">
      <c r="A682" s="415"/>
      <c r="B682" s="210"/>
      <c r="C682" s="415"/>
      <c r="D682" s="210"/>
      <c r="E682" s="415"/>
      <c r="F682" s="210"/>
      <c r="G682" s="415"/>
      <c r="H682" s="210"/>
      <c r="I682" s="415"/>
      <c r="J682" s="210"/>
      <c r="K682" s="415"/>
      <c r="L682" s="210"/>
      <c r="M682" s="415"/>
      <c r="N682" s="210"/>
      <c r="O682" s="415"/>
      <c r="P682" s="210"/>
      <c r="Q682" s="439"/>
      <c r="R682" s="439"/>
      <c r="S682" s="415"/>
      <c r="T682" s="210"/>
      <c r="U682" s="415"/>
      <c r="V682" s="210"/>
      <c r="W682" s="8"/>
      <c r="X682" s="8"/>
      <c r="Y682" s="8"/>
      <c r="Z682" s="8"/>
      <c r="AA682" s="8"/>
      <c r="AB682" s="8"/>
      <c r="AC682" s="8"/>
      <c r="AD682" s="8"/>
      <c r="AE682" s="8"/>
      <c r="AF682" s="8"/>
      <c r="AG682" s="8"/>
      <c r="AH682" s="8"/>
      <c r="AI682" s="8"/>
      <c r="AJ682" s="8"/>
      <c r="AK682" s="8"/>
      <c r="AL682" s="8"/>
      <c r="AM682" s="8"/>
      <c r="AN682" s="8"/>
      <c r="AO682" s="8"/>
      <c r="AP682" s="8"/>
      <c r="AQ682" s="8"/>
      <c r="AR682" s="8"/>
      <c r="AS682" s="8"/>
      <c r="AT682" s="8"/>
    </row>
    <row r="683">
      <c r="A683" s="415"/>
      <c r="B683" s="210"/>
      <c r="C683" s="415"/>
      <c r="D683" s="210"/>
      <c r="E683" s="415"/>
      <c r="F683" s="210"/>
      <c r="G683" s="415"/>
      <c r="H683" s="210"/>
      <c r="I683" s="415"/>
      <c r="J683" s="210"/>
      <c r="K683" s="415"/>
      <c r="L683" s="210"/>
      <c r="M683" s="415"/>
      <c r="N683" s="210"/>
      <c r="O683" s="415"/>
      <c r="P683" s="210"/>
      <c r="Q683" s="439"/>
      <c r="R683" s="439"/>
      <c r="S683" s="415"/>
      <c r="T683" s="210"/>
      <c r="U683" s="415"/>
      <c r="V683" s="210"/>
      <c r="W683" s="8"/>
      <c r="X683" s="8"/>
      <c r="Y683" s="8"/>
      <c r="Z683" s="8"/>
      <c r="AA683" s="8"/>
      <c r="AB683" s="8"/>
      <c r="AC683" s="8"/>
      <c r="AD683" s="8"/>
      <c r="AE683" s="8"/>
      <c r="AF683" s="8"/>
      <c r="AG683" s="8"/>
      <c r="AH683" s="8"/>
      <c r="AI683" s="8"/>
      <c r="AJ683" s="8"/>
      <c r="AK683" s="8"/>
      <c r="AL683" s="8"/>
      <c r="AM683" s="8"/>
      <c r="AN683" s="8"/>
      <c r="AO683" s="8"/>
      <c r="AP683" s="8"/>
      <c r="AQ683" s="8"/>
      <c r="AR683" s="8"/>
      <c r="AS683" s="8"/>
      <c r="AT683" s="8"/>
    </row>
    <row r="684">
      <c r="A684" s="415"/>
      <c r="B684" s="210"/>
      <c r="C684" s="415"/>
      <c r="D684" s="210"/>
      <c r="E684" s="415"/>
      <c r="F684" s="210"/>
      <c r="G684" s="415"/>
      <c r="H684" s="210"/>
      <c r="I684" s="415"/>
      <c r="J684" s="210"/>
      <c r="K684" s="415"/>
      <c r="L684" s="210"/>
      <c r="M684" s="415"/>
      <c r="N684" s="210"/>
      <c r="O684" s="415"/>
      <c r="P684" s="210"/>
      <c r="Q684" s="439"/>
      <c r="R684" s="439"/>
      <c r="S684" s="415"/>
      <c r="T684" s="210"/>
      <c r="U684" s="415"/>
      <c r="V684" s="210"/>
      <c r="W684" s="8"/>
      <c r="X684" s="8"/>
      <c r="Y684" s="8"/>
      <c r="Z684" s="8"/>
      <c r="AA684" s="8"/>
      <c r="AB684" s="8"/>
      <c r="AC684" s="8"/>
      <c r="AD684" s="8"/>
      <c r="AE684" s="8"/>
      <c r="AF684" s="8"/>
      <c r="AG684" s="8"/>
      <c r="AH684" s="8"/>
      <c r="AI684" s="8"/>
      <c r="AJ684" s="8"/>
      <c r="AK684" s="8"/>
      <c r="AL684" s="8"/>
      <c r="AM684" s="8"/>
      <c r="AN684" s="8"/>
      <c r="AO684" s="8"/>
      <c r="AP684" s="8"/>
      <c r="AQ684" s="8"/>
      <c r="AR684" s="8"/>
      <c r="AS684" s="8"/>
      <c r="AT684" s="8"/>
    </row>
    <row r="685">
      <c r="A685" s="415"/>
      <c r="B685" s="210"/>
      <c r="C685" s="415"/>
      <c r="D685" s="210"/>
      <c r="E685" s="415"/>
      <c r="F685" s="210"/>
      <c r="G685" s="415"/>
      <c r="H685" s="210"/>
      <c r="I685" s="415"/>
      <c r="J685" s="210"/>
      <c r="K685" s="415"/>
      <c r="L685" s="210"/>
      <c r="M685" s="415"/>
      <c r="N685" s="210"/>
      <c r="O685" s="415"/>
      <c r="P685" s="210"/>
      <c r="Q685" s="439"/>
      <c r="R685" s="439"/>
      <c r="S685" s="415"/>
      <c r="T685" s="210"/>
      <c r="U685" s="415"/>
      <c r="V685" s="210"/>
      <c r="W685" s="8"/>
      <c r="X685" s="8"/>
      <c r="Y685" s="8"/>
      <c r="Z685" s="8"/>
      <c r="AA685" s="8"/>
      <c r="AB685" s="8"/>
      <c r="AC685" s="8"/>
      <c r="AD685" s="8"/>
      <c r="AE685" s="8"/>
      <c r="AF685" s="8"/>
      <c r="AG685" s="8"/>
      <c r="AH685" s="8"/>
      <c r="AI685" s="8"/>
      <c r="AJ685" s="8"/>
      <c r="AK685" s="8"/>
      <c r="AL685" s="8"/>
      <c r="AM685" s="8"/>
      <c r="AN685" s="8"/>
      <c r="AO685" s="8"/>
      <c r="AP685" s="8"/>
      <c r="AQ685" s="8"/>
      <c r="AR685" s="8"/>
      <c r="AS685" s="8"/>
      <c r="AT685" s="8"/>
    </row>
    <row r="686">
      <c r="A686" s="415"/>
      <c r="B686" s="210"/>
      <c r="C686" s="415"/>
      <c r="D686" s="210"/>
      <c r="E686" s="415"/>
      <c r="F686" s="210"/>
      <c r="G686" s="415"/>
      <c r="H686" s="210"/>
      <c r="I686" s="415"/>
      <c r="J686" s="210"/>
      <c r="K686" s="415"/>
      <c r="L686" s="210"/>
      <c r="M686" s="415"/>
      <c r="N686" s="210"/>
      <c r="O686" s="415"/>
      <c r="P686" s="210"/>
      <c r="Q686" s="439"/>
      <c r="R686" s="439"/>
      <c r="S686" s="415"/>
      <c r="T686" s="210"/>
      <c r="U686" s="415"/>
      <c r="V686" s="210"/>
      <c r="W686" s="8"/>
      <c r="X686" s="8"/>
      <c r="Y686" s="8"/>
      <c r="Z686" s="8"/>
      <c r="AA686" s="8"/>
      <c r="AB686" s="8"/>
      <c r="AC686" s="8"/>
      <c r="AD686" s="8"/>
      <c r="AE686" s="8"/>
      <c r="AF686" s="8"/>
      <c r="AG686" s="8"/>
      <c r="AH686" s="8"/>
      <c r="AI686" s="8"/>
      <c r="AJ686" s="8"/>
      <c r="AK686" s="8"/>
      <c r="AL686" s="8"/>
      <c r="AM686" s="8"/>
      <c r="AN686" s="8"/>
      <c r="AO686" s="8"/>
      <c r="AP686" s="8"/>
      <c r="AQ686" s="8"/>
      <c r="AR686" s="8"/>
      <c r="AS686" s="8"/>
      <c r="AT686" s="8"/>
    </row>
    <row r="687">
      <c r="A687" s="415"/>
      <c r="B687" s="210"/>
      <c r="C687" s="415"/>
      <c r="D687" s="210"/>
      <c r="E687" s="415"/>
      <c r="F687" s="210"/>
      <c r="G687" s="415"/>
      <c r="H687" s="210"/>
      <c r="I687" s="415"/>
      <c r="J687" s="210"/>
      <c r="K687" s="415"/>
      <c r="L687" s="210"/>
      <c r="M687" s="415"/>
      <c r="N687" s="210"/>
      <c r="O687" s="415"/>
      <c r="P687" s="210"/>
      <c r="Q687" s="439"/>
      <c r="R687" s="439"/>
      <c r="S687" s="415"/>
      <c r="T687" s="210"/>
      <c r="U687" s="415"/>
      <c r="V687" s="210"/>
      <c r="W687" s="8"/>
      <c r="X687" s="8"/>
      <c r="Y687" s="8"/>
      <c r="Z687" s="8"/>
      <c r="AA687" s="8"/>
      <c r="AB687" s="8"/>
      <c r="AC687" s="8"/>
      <c r="AD687" s="8"/>
      <c r="AE687" s="8"/>
      <c r="AF687" s="8"/>
      <c r="AG687" s="8"/>
      <c r="AH687" s="8"/>
      <c r="AI687" s="8"/>
      <c r="AJ687" s="8"/>
      <c r="AK687" s="8"/>
      <c r="AL687" s="8"/>
      <c r="AM687" s="8"/>
      <c r="AN687" s="8"/>
      <c r="AO687" s="8"/>
      <c r="AP687" s="8"/>
      <c r="AQ687" s="8"/>
      <c r="AR687" s="8"/>
      <c r="AS687" s="8"/>
      <c r="AT687" s="8"/>
    </row>
    <row r="688">
      <c r="A688" s="415"/>
      <c r="B688" s="210"/>
      <c r="C688" s="415"/>
      <c r="D688" s="210"/>
      <c r="E688" s="415"/>
      <c r="F688" s="210"/>
      <c r="G688" s="415"/>
      <c r="H688" s="210"/>
      <c r="I688" s="415"/>
      <c r="J688" s="210"/>
      <c r="K688" s="415"/>
      <c r="L688" s="210"/>
      <c r="M688" s="415"/>
      <c r="N688" s="210"/>
      <c r="O688" s="415"/>
      <c r="P688" s="210"/>
      <c r="Q688" s="439"/>
      <c r="R688" s="439"/>
      <c r="S688" s="415"/>
      <c r="T688" s="210"/>
      <c r="U688" s="415"/>
      <c r="V688" s="210"/>
      <c r="W688" s="8"/>
      <c r="X688" s="8"/>
      <c r="Y688" s="8"/>
      <c r="Z688" s="8"/>
      <c r="AA688" s="8"/>
      <c r="AB688" s="8"/>
      <c r="AC688" s="8"/>
      <c r="AD688" s="8"/>
      <c r="AE688" s="8"/>
      <c r="AF688" s="8"/>
      <c r="AG688" s="8"/>
      <c r="AH688" s="8"/>
      <c r="AI688" s="8"/>
      <c r="AJ688" s="8"/>
      <c r="AK688" s="8"/>
      <c r="AL688" s="8"/>
      <c r="AM688" s="8"/>
      <c r="AN688" s="8"/>
      <c r="AO688" s="8"/>
      <c r="AP688" s="8"/>
      <c r="AQ688" s="8"/>
      <c r="AR688" s="8"/>
      <c r="AS688" s="8"/>
      <c r="AT688" s="8"/>
    </row>
    <row r="689">
      <c r="A689" s="415"/>
      <c r="B689" s="210"/>
      <c r="C689" s="415"/>
      <c r="D689" s="210"/>
      <c r="E689" s="415"/>
      <c r="F689" s="210"/>
      <c r="G689" s="415"/>
      <c r="H689" s="210"/>
      <c r="I689" s="415"/>
      <c r="J689" s="210"/>
      <c r="K689" s="415"/>
      <c r="L689" s="210"/>
      <c r="M689" s="415"/>
      <c r="N689" s="210"/>
      <c r="O689" s="415"/>
      <c r="P689" s="210"/>
      <c r="Q689" s="439"/>
      <c r="R689" s="439"/>
      <c r="S689" s="415"/>
      <c r="T689" s="210"/>
      <c r="U689" s="415"/>
      <c r="V689" s="210"/>
      <c r="W689" s="8"/>
      <c r="X689" s="8"/>
      <c r="Y689" s="8"/>
      <c r="Z689" s="8"/>
      <c r="AA689" s="8"/>
      <c r="AB689" s="8"/>
      <c r="AC689" s="8"/>
      <c r="AD689" s="8"/>
      <c r="AE689" s="8"/>
      <c r="AF689" s="8"/>
      <c r="AG689" s="8"/>
      <c r="AH689" s="8"/>
      <c r="AI689" s="8"/>
      <c r="AJ689" s="8"/>
      <c r="AK689" s="8"/>
      <c r="AL689" s="8"/>
      <c r="AM689" s="8"/>
      <c r="AN689" s="8"/>
      <c r="AO689" s="8"/>
      <c r="AP689" s="8"/>
      <c r="AQ689" s="8"/>
      <c r="AR689" s="8"/>
      <c r="AS689" s="8"/>
      <c r="AT689" s="8"/>
    </row>
    <row r="690">
      <c r="A690" s="415"/>
      <c r="B690" s="210"/>
      <c r="C690" s="415"/>
      <c r="D690" s="210"/>
      <c r="E690" s="415"/>
      <c r="F690" s="210"/>
      <c r="G690" s="415"/>
      <c r="H690" s="210"/>
      <c r="I690" s="415"/>
      <c r="J690" s="210"/>
      <c r="K690" s="415"/>
      <c r="L690" s="210"/>
      <c r="M690" s="415"/>
      <c r="N690" s="210"/>
      <c r="O690" s="415"/>
      <c r="P690" s="210"/>
      <c r="Q690" s="439"/>
      <c r="R690" s="439"/>
      <c r="S690" s="415"/>
      <c r="T690" s="210"/>
      <c r="U690" s="415"/>
      <c r="V690" s="210"/>
      <c r="W690" s="8"/>
      <c r="X690" s="8"/>
      <c r="Y690" s="8"/>
      <c r="Z690" s="8"/>
      <c r="AA690" s="8"/>
      <c r="AB690" s="8"/>
      <c r="AC690" s="8"/>
      <c r="AD690" s="8"/>
      <c r="AE690" s="8"/>
      <c r="AF690" s="8"/>
      <c r="AG690" s="8"/>
      <c r="AH690" s="8"/>
      <c r="AI690" s="8"/>
      <c r="AJ690" s="8"/>
      <c r="AK690" s="8"/>
      <c r="AL690" s="8"/>
      <c r="AM690" s="8"/>
      <c r="AN690" s="8"/>
      <c r="AO690" s="8"/>
      <c r="AP690" s="8"/>
      <c r="AQ690" s="8"/>
      <c r="AR690" s="8"/>
      <c r="AS690" s="8"/>
      <c r="AT690" s="8"/>
    </row>
    <row r="691">
      <c r="A691" s="415"/>
      <c r="B691" s="210"/>
      <c r="C691" s="415"/>
      <c r="D691" s="210"/>
      <c r="E691" s="415"/>
      <c r="F691" s="210"/>
      <c r="G691" s="415"/>
      <c r="H691" s="210"/>
      <c r="I691" s="415"/>
      <c r="J691" s="210"/>
      <c r="K691" s="415"/>
      <c r="L691" s="210"/>
      <c r="M691" s="415"/>
      <c r="N691" s="210"/>
      <c r="O691" s="415"/>
      <c r="P691" s="210"/>
      <c r="Q691" s="439"/>
      <c r="R691" s="439"/>
      <c r="S691" s="415"/>
      <c r="T691" s="210"/>
      <c r="U691" s="415"/>
      <c r="V691" s="210"/>
      <c r="W691" s="8"/>
      <c r="X691" s="8"/>
      <c r="Y691" s="8"/>
      <c r="Z691" s="8"/>
      <c r="AA691" s="8"/>
      <c r="AB691" s="8"/>
      <c r="AC691" s="8"/>
      <c r="AD691" s="8"/>
      <c r="AE691" s="8"/>
      <c r="AF691" s="8"/>
      <c r="AG691" s="8"/>
      <c r="AH691" s="8"/>
      <c r="AI691" s="8"/>
      <c r="AJ691" s="8"/>
      <c r="AK691" s="8"/>
      <c r="AL691" s="8"/>
      <c r="AM691" s="8"/>
      <c r="AN691" s="8"/>
      <c r="AO691" s="8"/>
      <c r="AP691" s="8"/>
      <c r="AQ691" s="8"/>
      <c r="AR691" s="8"/>
      <c r="AS691" s="8"/>
      <c r="AT691" s="8"/>
    </row>
    <row r="692">
      <c r="A692" s="415"/>
      <c r="B692" s="210"/>
      <c r="C692" s="415"/>
      <c r="D692" s="210"/>
      <c r="E692" s="415"/>
      <c r="F692" s="210"/>
      <c r="G692" s="415"/>
      <c r="H692" s="210"/>
      <c r="I692" s="415"/>
      <c r="J692" s="210"/>
      <c r="K692" s="415"/>
      <c r="L692" s="210"/>
      <c r="M692" s="415"/>
      <c r="N692" s="210"/>
      <c r="O692" s="415"/>
      <c r="P692" s="210"/>
      <c r="Q692" s="439"/>
      <c r="R692" s="439"/>
      <c r="S692" s="415"/>
      <c r="T692" s="210"/>
      <c r="U692" s="415"/>
      <c r="V692" s="210"/>
      <c r="W692" s="8"/>
      <c r="X692" s="8"/>
      <c r="Y692" s="8"/>
      <c r="Z692" s="8"/>
      <c r="AA692" s="8"/>
      <c r="AB692" s="8"/>
      <c r="AC692" s="8"/>
      <c r="AD692" s="8"/>
      <c r="AE692" s="8"/>
      <c r="AF692" s="8"/>
      <c r="AG692" s="8"/>
      <c r="AH692" s="8"/>
      <c r="AI692" s="8"/>
      <c r="AJ692" s="8"/>
      <c r="AK692" s="8"/>
      <c r="AL692" s="8"/>
      <c r="AM692" s="8"/>
      <c r="AN692" s="8"/>
      <c r="AO692" s="8"/>
      <c r="AP692" s="8"/>
      <c r="AQ692" s="8"/>
      <c r="AR692" s="8"/>
      <c r="AS692" s="8"/>
      <c r="AT692" s="8"/>
    </row>
    <row r="693">
      <c r="A693" s="415"/>
      <c r="B693" s="210"/>
      <c r="C693" s="415"/>
      <c r="D693" s="210"/>
      <c r="E693" s="415"/>
      <c r="F693" s="210"/>
      <c r="G693" s="415"/>
      <c r="H693" s="210"/>
      <c r="I693" s="415"/>
      <c r="J693" s="210"/>
      <c r="K693" s="415"/>
      <c r="L693" s="210"/>
      <c r="M693" s="415"/>
      <c r="N693" s="210"/>
      <c r="O693" s="415"/>
      <c r="P693" s="210"/>
      <c r="Q693" s="439"/>
      <c r="R693" s="439"/>
      <c r="S693" s="415"/>
      <c r="T693" s="210"/>
      <c r="U693" s="415"/>
      <c r="V693" s="210"/>
      <c r="W693" s="8"/>
      <c r="X693" s="8"/>
      <c r="Y693" s="8"/>
      <c r="Z693" s="8"/>
      <c r="AA693" s="8"/>
      <c r="AB693" s="8"/>
      <c r="AC693" s="8"/>
      <c r="AD693" s="8"/>
      <c r="AE693" s="8"/>
      <c r="AF693" s="8"/>
      <c r="AG693" s="8"/>
      <c r="AH693" s="8"/>
      <c r="AI693" s="8"/>
      <c r="AJ693" s="8"/>
      <c r="AK693" s="8"/>
      <c r="AL693" s="8"/>
      <c r="AM693" s="8"/>
      <c r="AN693" s="8"/>
      <c r="AO693" s="8"/>
      <c r="AP693" s="8"/>
      <c r="AQ693" s="8"/>
      <c r="AR693" s="8"/>
      <c r="AS693" s="8"/>
      <c r="AT693" s="8"/>
    </row>
    <row r="694">
      <c r="A694" s="415"/>
      <c r="B694" s="210"/>
      <c r="C694" s="415"/>
      <c r="D694" s="210"/>
      <c r="E694" s="415"/>
      <c r="F694" s="210"/>
      <c r="G694" s="415"/>
      <c r="H694" s="210"/>
      <c r="I694" s="415"/>
      <c r="J694" s="210"/>
      <c r="K694" s="415"/>
      <c r="L694" s="210"/>
      <c r="M694" s="415"/>
      <c r="N694" s="210"/>
      <c r="O694" s="415"/>
      <c r="P694" s="210"/>
      <c r="Q694" s="439"/>
      <c r="R694" s="439"/>
      <c r="S694" s="415"/>
      <c r="T694" s="210"/>
      <c r="U694" s="415"/>
      <c r="V694" s="210"/>
      <c r="W694" s="8"/>
      <c r="X694" s="8"/>
      <c r="Y694" s="8"/>
      <c r="Z694" s="8"/>
      <c r="AA694" s="8"/>
      <c r="AB694" s="8"/>
      <c r="AC694" s="8"/>
      <c r="AD694" s="8"/>
      <c r="AE694" s="8"/>
      <c r="AF694" s="8"/>
      <c r="AG694" s="8"/>
      <c r="AH694" s="8"/>
      <c r="AI694" s="8"/>
      <c r="AJ694" s="8"/>
      <c r="AK694" s="8"/>
      <c r="AL694" s="8"/>
      <c r="AM694" s="8"/>
      <c r="AN694" s="8"/>
      <c r="AO694" s="8"/>
      <c r="AP694" s="8"/>
      <c r="AQ694" s="8"/>
      <c r="AR694" s="8"/>
      <c r="AS694" s="8"/>
      <c r="AT694" s="8"/>
    </row>
    <row r="695">
      <c r="A695" s="415"/>
      <c r="B695" s="210"/>
      <c r="C695" s="415"/>
      <c r="D695" s="210"/>
      <c r="E695" s="415"/>
      <c r="F695" s="210"/>
      <c r="G695" s="415"/>
      <c r="H695" s="210"/>
      <c r="I695" s="415"/>
      <c r="J695" s="210"/>
      <c r="K695" s="415"/>
      <c r="L695" s="210"/>
      <c r="M695" s="415"/>
      <c r="N695" s="210"/>
      <c r="O695" s="415"/>
      <c r="P695" s="210"/>
      <c r="Q695" s="439"/>
      <c r="R695" s="439"/>
      <c r="S695" s="415"/>
      <c r="T695" s="210"/>
      <c r="U695" s="415"/>
      <c r="V695" s="210"/>
      <c r="W695" s="8"/>
      <c r="X695" s="8"/>
      <c r="Y695" s="8"/>
      <c r="Z695" s="8"/>
      <c r="AA695" s="8"/>
      <c r="AB695" s="8"/>
      <c r="AC695" s="8"/>
      <c r="AD695" s="8"/>
      <c r="AE695" s="8"/>
      <c r="AF695" s="8"/>
      <c r="AG695" s="8"/>
      <c r="AH695" s="8"/>
      <c r="AI695" s="8"/>
      <c r="AJ695" s="8"/>
      <c r="AK695" s="8"/>
      <c r="AL695" s="8"/>
      <c r="AM695" s="8"/>
      <c r="AN695" s="8"/>
      <c r="AO695" s="8"/>
      <c r="AP695" s="8"/>
      <c r="AQ695" s="8"/>
      <c r="AR695" s="8"/>
      <c r="AS695" s="8"/>
      <c r="AT695" s="8"/>
    </row>
    <row r="696">
      <c r="A696" s="415"/>
      <c r="B696" s="210"/>
      <c r="C696" s="415"/>
      <c r="D696" s="210"/>
      <c r="E696" s="415"/>
      <c r="F696" s="210"/>
      <c r="G696" s="415"/>
      <c r="H696" s="210"/>
      <c r="I696" s="415"/>
      <c r="J696" s="210"/>
      <c r="K696" s="415"/>
      <c r="L696" s="210"/>
      <c r="M696" s="415"/>
      <c r="N696" s="210"/>
      <c r="O696" s="415"/>
      <c r="P696" s="210"/>
      <c r="Q696" s="439"/>
      <c r="R696" s="439"/>
      <c r="S696" s="415"/>
      <c r="T696" s="210"/>
      <c r="U696" s="415"/>
      <c r="V696" s="210"/>
      <c r="W696" s="8"/>
      <c r="X696" s="8"/>
      <c r="Y696" s="8"/>
      <c r="Z696" s="8"/>
      <c r="AA696" s="8"/>
      <c r="AB696" s="8"/>
      <c r="AC696" s="8"/>
      <c r="AD696" s="8"/>
      <c r="AE696" s="8"/>
      <c r="AF696" s="8"/>
      <c r="AG696" s="8"/>
      <c r="AH696" s="8"/>
      <c r="AI696" s="8"/>
      <c r="AJ696" s="8"/>
      <c r="AK696" s="8"/>
      <c r="AL696" s="8"/>
      <c r="AM696" s="8"/>
      <c r="AN696" s="8"/>
      <c r="AO696" s="8"/>
      <c r="AP696" s="8"/>
      <c r="AQ696" s="8"/>
      <c r="AR696" s="8"/>
      <c r="AS696" s="8"/>
      <c r="AT696" s="8"/>
    </row>
    <row r="697">
      <c r="A697" s="415"/>
      <c r="B697" s="210"/>
      <c r="C697" s="415"/>
      <c r="D697" s="210"/>
      <c r="E697" s="415"/>
      <c r="F697" s="210"/>
      <c r="G697" s="415"/>
      <c r="H697" s="210"/>
      <c r="I697" s="415"/>
      <c r="J697" s="210"/>
      <c r="K697" s="415"/>
      <c r="L697" s="210"/>
      <c r="M697" s="415"/>
      <c r="N697" s="210"/>
      <c r="O697" s="415"/>
      <c r="P697" s="210"/>
      <c r="Q697" s="439"/>
      <c r="R697" s="439"/>
      <c r="S697" s="415"/>
      <c r="T697" s="210"/>
      <c r="U697" s="415"/>
      <c r="V697" s="210"/>
      <c r="W697" s="8"/>
      <c r="X697" s="8"/>
      <c r="Y697" s="8"/>
      <c r="Z697" s="8"/>
      <c r="AA697" s="8"/>
      <c r="AB697" s="8"/>
      <c r="AC697" s="8"/>
      <c r="AD697" s="8"/>
      <c r="AE697" s="8"/>
      <c r="AF697" s="8"/>
      <c r="AG697" s="8"/>
      <c r="AH697" s="8"/>
      <c r="AI697" s="8"/>
      <c r="AJ697" s="8"/>
      <c r="AK697" s="8"/>
      <c r="AL697" s="8"/>
      <c r="AM697" s="8"/>
      <c r="AN697" s="8"/>
      <c r="AO697" s="8"/>
      <c r="AP697" s="8"/>
      <c r="AQ697" s="8"/>
      <c r="AR697" s="8"/>
      <c r="AS697" s="8"/>
      <c r="AT697" s="8"/>
    </row>
    <row r="698">
      <c r="A698" s="415"/>
      <c r="B698" s="210"/>
      <c r="C698" s="415"/>
      <c r="D698" s="210"/>
      <c r="E698" s="415"/>
      <c r="F698" s="210"/>
      <c r="G698" s="415"/>
      <c r="H698" s="210"/>
      <c r="I698" s="415"/>
      <c r="J698" s="210"/>
      <c r="K698" s="415"/>
      <c r="L698" s="210"/>
      <c r="M698" s="415"/>
      <c r="N698" s="210"/>
      <c r="O698" s="415"/>
      <c r="P698" s="210"/>
      <c r="Q698" s="439"/>
      <c r="R698" s="439"/>
      <c r="S698" s="415"/>
      <c r="T698" s="210"/>
      <c r="U698" s="415"/>
      <c r="V698" s="210"/>
      <c r="W698" s="8"/>
      <c r="X698" s="8"/>
      <c r="Y698" s="8"/>
      <c r="Z698" s="8"/>
      <c r="AA698" s="8"/>
      <c r="AB698" s="8"/>
      <c r="AC698" s="8"/>
      <c r="AD698" s="8"/>
      <c r="AE698" s="8"/>
      <c r="AF698" s="8"/>
      <c r="AG698" s="8"/>
      <c r="AH698" s="8"/>
      <c r="AI698" s="8"/>
      <c r="AJ698" s="8"/>
      <c r="AK698" s="8"/>
      <c r="AL698" s="8"/>
      <c r="AM698" s="8"/>
      <c r="AN698" s="8"/>
      <c r="AO698" s="8"/>
      <c r="AP698" s="8"/>
      <c r="AQ698" s="8"/>
      <c r="AR698" s="8"/>
      <c r="AS698" s="8"/>
      <c r="AT698" s="8"/>
    </row>
    <row r="699">
      <c r="A699" s="415"/>
      <c r="B699" s="210"/>
      <c r="C699" s="415"/>
      <c r="D699" s="210"/>
      <c r="E699" s="415"/>
      <c r="F699" s="210"/>
      <c r="G699" s="415"/>
      <c r="H699" s="210"/>
      <c r="I699" s="415"/>
      <c r="J699" s="210"/>
      <c r="K699" s="415"/>
      <c r="L699" s="210"/>
      <c r="M699" s="415"/>
      <c r="N699" s="210"/>
      <c r="O699" s="415"/>
      <c r="P699" s="210"/>
      <c r="Q699" s="439"/>
      <c r="R699" s="439"/>
      <c r="S699" s="415"/>
      <c r="T699" s="210"/>
      <c r="U699" s="415"/>
      <c r="V699" s="210"/>
      <c r="W699" s="8"/>
      <c r="X699" s="8"/>
      <c r="Y699" s="8"/>
      <c r="Z699" s="8"/>
      <c r="AA699" s="8"/>
      <c r="AB699" s="8"/>
      <c r="AC699" s="8"/>
      <c r="AD699" s="8"/>
      <c r="AE699" s="8"/>
      <c r="AF699" s="8"/>
      <c r="AG699" s="8"/>
      <c r="AH699" s="8"/>
      <c r="AI699" s="8"/>
      <c r="AJ699" s="8"/>
      <c r="AK699" s="8"/>
      <c r="AL699" s="8"/>
      <c r="AM699" s="8"/>
      <c r="AN699" s="8"/>
      <c r="AO699" s="8"/>
      <c r="AP699" s="8"/>
      <c r="AQ699" s="8"/>
      <c r="AR699" s="8"/>
      <c r="AS699" s="8"/>
      <c r="AT699" s="8"/>
    </row>
    <row r="700">
      <c r="A700" s="415"/>
      <c r="B700" s="210"/>
      <c r="C700" s="415"/>
      <c r="D700" s="210"/>
      <c r="E700" s="415"/>
      <c r="F700" s="210"/>
      <c r="G700" s="415"/>
      <c r="H700" s="210"/>
      <c r="I700" s="415"/>
      <c r="J700" s="210"/>
      <c r="K700" s="415"/>
      <c r="L700" s="210"/>
      <c r="M700" s="415"/>
      <c r="N700" s="210"/>
      <c r="O700" s="415"/>
      <c r="P700" s="210"/>
      <c r="Q700" s="439"/>
      <c r="R700" s="439"/>
      <c r="S700" s="415"/>
      <c r="T700" s="210"/>
      <c r="U700" s="415"/>
      <c r="V700" s="210"/>
      <c r="W700" s="8"/>
      <c r="X700" s="8"/>
      <c r="Y700" s="8"/>
      <c r="Z700" s="8"/>
      <c r="AA700" s="8"/>
      <c r="AB700" s="8"/>
      <c r="AC700" s="8"/>
      <c r="AD700" s="8"/>
      <c r="AE700" s="8"/>
      <c r="AF700" s="8"/>
      <c r="AG700" s="8"/>
      <c r="AH700" s="8"/>
      <c r="AI700" s="8"/>
      <c r="AJ700" s="8"/>
      <c r="AK700" s="8"/>
      <c r="AL700" s="8"/>
      <c r="AM700" s="8"/>
      <c r="AN700" s="8"/>
      <c r="AO700" s="8"/>
      <c r="AP700" s="8"/>
      <c r="AQ700" s="8"/>
      <c r="AR700" s="8"/>
      <c r="AS700" s="8"/>
      <c r="AT700" s="8"/>
    </row>
    <row r="701">
      <c r="A701" s="415"/>
      <c r="B701" s="210"/>
      <c r="C701" s="415"/>
      <c r="D701" s="210"/>
      <c r="E701" s="415"/>
      <c r="F701" s="210"/>
      <c r="G701" s="415"/>
      <c r="H701" s="210"/>
      <c r="I701" s="415"/>
      <c r="J701" s="210"/>
      <c r="K701" s="415"/>
      <c r="L701" s="210"/>
      <c r="M701" s="415"/>
      <c r="N701" s="210"/>
      <c r="O701" s="415"/>
      <c r="P701" s="210"/>
      <c r="Q701" s="439"/>
      <c r="R701" s="439"/>
      <c r="S701" s="415"/>
      <c r="T701" s="210"/>
      <c r="U701" s="415"/>
      <c r="V701" s="210"/>
      <c r="W701" s="8"/>
      <c r="X701" s="8"/>
      <c r="Y701" s="8"/>
      <c r="Z701" s="8"/>
      <c r="AA701" s="8"/>
      <c r="AB701" s="8"/>
      <c r="AC701" s="8"/>
      <c r="AD701" s="8"/>
      <c r="AE701" s="8"/>
      <c r="AF701" s="8"/>
      <c r="AG701" s="8"/>
      <c r="AH701" s="8"/>
      <c r="AI701" s="8"/>
      <c r="AJ701" s="8"/>
      <c r="AK701" s="8"/>
      <c r="AL701" s="8"/>
      <c r="AM701" s="8"/>
      <c r="AN701" s="8"/>
      <c r="AO701" s="8"/>
      <c r="AP701" s="8"/>
      <c r="AQ701" s="8"/>
      <c r="AR701" s="8"/>
      <c r="AS701" s="8"/>
      <c r="AT701" s="8"/>
    </row>
    <row r="702">
      <c r="A702" s="415"/>
      <c r="B702" s="210"/>
      <c r="C702" s="415"/>
      <c r="D702" s="210"/>
      <c r="E702" s="415"/>
      <c r="F702" s="210"/>
      <c r="G702" s="415"/>
      <c r="H702" s="210"/>
      <c r="I702" s="415"/>
      <c r="J702" s="210"/>
      <c r="K702" s="415"/>
      <c r="L702" s="210"/>
      <c r="M702" s="415"/>
      <c r="N702" s="210"/>
      <c r="O702" s="415"/>
      <c r="P702" s="210"/>
      <c r="Q702" s="439"/>
      <c r="R702" s="439"/>
      <c r="S702" s="415"/>
      <c r="T702" s="210"/>
      <c r="U702" s="415"/>
      <c r="V702" s="210"/>
      <c r="W702" s="8"/>
      <c r="X702" s="8"/>
      <c r="Y702" s="8"/>
      <c r="Z702" s="8"/>
      <c r="AA702" s="8"/>
      <c r="AB702" s="8"/>
      <c r="AC702" s="8"/>
      <c r="AD702" s="8"/>
      <c r="AE702" s="8"/>
      <c r="AF702" s="8"/>
      <c r="AG702" s="8"/>
      <c r="AH702" s="8"/>
      <c r="AI702" s="8"/>
      <c r="AJ702" s="8"/>
      <c r="AK702" s="8"/>
      <c r="AL702" s="8"/>
      <c r="AM702" s="8"/>
      <c r="AN702" s="8"/>
      <c r="AO702" s="8"/>
      <c r="AP702" s="8"/>
      <c r="AQ702" s="8"/>
      <c r="AR702" s="8"/>
      <c r="AS702" s="8"/>
      <c r="AT702" s="8"/>
    </row>
    <row r="703">
      <c r="A703" s="415"/>
      <c r="B703" s="210"/>
      <c r="C703" s="415"/>
      <c r="D703" s="210"/>
      <c r="E703" s="415"/>
      <c r="F703" s="210"/>
      <c r="G703" s="415"/>
      <c r="H703" s="210"/>
      <c r="I703" s="415"/>
      <c r="J703" s="210"/>
      <c r="K703" s="415"/>
      <c r="L703" s="210"/>
      <c r="M703" s="415"/>
      <c r="N703" s="210"/>
      <c r="O703" s="415"/>
      <c r="P703" s="210"/>
      <c r="Q703" s="439"/>
      <c r="R703" s="439"/>
      <c r="S703" s="415"/>
      <c r="T703" s="210"/>
      <c r="U703" s="415"/>
      <c r="V703" s="210"/>
      <c r="W703" s="8"/>
      <c r="X703" s="8"/>
      <c r="Y703" s="8"/>
      <c r="Z703" s="8"/>
      <c r="AA703" s="8"/>
      <c r="AB703" s="8"/>
      <c r="AC703" s="8"/>
      <c r="AD703" s="8"/>
      <c r="AE703" s="8"/>
      <c r="AF703" s="8"/>
      <c r="AG703" s="8"/>
      <c r="AH703" s="8"/>
      <c r="AI703" s="8"/>
      <c r="AJ703" s="8"/>
      <c r="AK703" s="8"/>
      <c r="AL703" s="8"/>
      <c r="AM703" s="8"/>
      <c r="AN703" s="8"/>
      <c r="AO703" s="8"/>
      <c r="AP703" s="8"/>
      <c r="AQ703" s="8"/>
      <c r="AR703" s="8"/>
      <c r="AS703" s="8"/>
      <c r="AT703" s="8"/>
    </row>
    <row r="704">
      <c r="A704" s="415"/>
      <c r="B704" s="210"/>
      <c r="C704" s="415"/>
      <c r="D704" s="210"/>
      <c r="E704" s="415"/>
      <c r="F704" s="210"/>
      <c r="G704" s="415"/>
      <c r="H704" s="210"/>
      <c r="I704" s="415"/>
      <c r="J704" s="210"/>
      <c r="K704" s="415"/>
      <c r="L704" s="210"/>
      <c r="M704" s="415"/>
      <c r="N704" s="210"/>
      <c r="O704" s="415"/>
      <c r="P704" s="210"/>
      <c r="Q704" s="439"/>
      <c r="R704" s="439"/>
      <c r="S704" s="415"/>
      <c r="T704" s="210"/>
      <c r="U704" s="415"/>
      <c r="V704" s="210"/>
      <c r="W704" s="8"/>
      <c r="X704" s="8"/>
      <c r="Y704" s="8"/>
      <c r="Z704" s="8"/>
      <c r="AA704" s="8"/>
      <c r="AB704" s="8"/>
      <c r="AC704" s="8"/>
      <c r="AD704" s="8"/>
      <c r="AE704" s="8"/>
      <c r="AF704" s="8"/>
      <c r="AG704" s="8"/>
      <c r="AH704" s="8"/>
      <c r="AI704" s="8"/>
      <c r="AJ704" s="8"/>
      <c r="AK704" s="8"/>
      <c r="AL704" s="8"/>
      <c r="AM704" s="8"/>
      <c r="AN704" s="8"/>
      <c r="AO704" s="8"/>
      <c r="AP704" s="8"/>
      <c r="AQ704" s="8"/>
      <c r="AR704" s="8"/>
      <c r="AS704" s="8"/>
      <c r="AT704" s="8"/>
    </row>
    <row r="705">
      <c r="A705" s="415"/>
      <c r="B705" s="210"/>
      <c r="C705" s="415"/>
      <c r="D705" s="210"/>
      <c r="E705" s="415"/>
      <c r="F705" s="210"/>
      <c r="G705" s="415"/>
      <c r="H705" s="210"/>
      <c r="I705" s="415"/>
      <c r="J705" s="210"/>
      <c r="K705" s="415"/>
      <c r="L705" s="210"/>
      <c r="M705" s="415"/>
      <c r="N705" s="210"/>
      <c r="O705" s="415"/>
      <c r="P705" s="210"/>
      <c r="Q705" s="439"/>
      <c r="R705" s="439"/>
      <c r="S705" s="415"/>
      <c r="T705" s="210"/>
      <c r="U705" s="415"/>
      <c r="V705" s="210"/>
      <c r="W705" s="8"/>
      <c r="X705" s="8"/>
      <c r="Y705" s="8"/>
      <c r="Z705" s="8"/>
      <c r="AA705" s="8"/>
      <c r="AB705" s="8"/>
      <c r="AC705" s="8"/>
      <c r="AD705" s="8"/>
      <c r="AE705" s="8"/>
      <c r="AF705" s="8"/>
      <c r="AG705" s="8"/>
      <c r="AH705" s="8"/>
      <c r="AI705" s="8"/>
      <c r="AJ705" s="8"/>
      <c r="AK705" s="8"/>
      <c r="AL705" s="8"/>
      <c r="AM705" s="8"/>
      <c r="AN705" s="8"/>
      <c r="AO705" s="8"/>
      <c r="AP705" s="8"/>
      <c r="AQ705" s="8"/>
      <c r="AR705" s="8"/>
      <c r="AS705" s="8"/>
      <c r="AT705" s="8"/>
    </row>
    <row r="706">
      <c r="A706" s="415"/>
      <c r="B706" s="210"/>
      <c r="C706" s="415"/>
      <c r="D706" s="210"/>
      <c r="E706" s="415"/>
      <c r="F706" s="210"/>
      <c r="G706" s="415"/>
      <c r="H706" s="210"/>
      <c r="I706" s="415"/>
      <c r="J706" s="210"/>
      <c r="K706" s="415"/>
      <c r="L706" s="210"/>
      <c r="M706" s="415"/>
      <c r="N706" s="210"/>
      <c r="O706" s="415"/>
      <c r="P706" s="210"/>
      <c r="Q706" s="439"/>
      <c r="R706" s="439"/>
      <c r="S706" s="415"/>
      <c r="T706" s="210"/>
      <c r="U706" s="415"/>
      <c r="V706" s="210"/>
      <c r="W706" s="8"/>
      <c r="X706" s="8"/>
      <c r="Y706" s="8"/>
      <c r="Z706" s="8"/>
      <c r="AA706" s="8"/>
      <c r="AB706" s="8"/>
      <c r="AC706" s="8"/>
      <c r="AD706" s="8"/>
      <c r="AE706" s="8"/>
      <c r="AF706" s="8"/>
      <c r="AG706" s="8"/>
      <c r="AH706" s="8"/>
      <c r="AI706" s="8"/>
      <c r="AJ706" s="8"/>
      <c r="AK706" s="8"/>
      <c r="AL706" s="8"/>
      <c r="AM706" s="8"/>
      <c r="AN706" s="8"/>
      <c r="AO706" s="8"/>
      <c r="AP706" s="8"/>
      <c r="AQ706" s="8"/>
      <c r="AR706" s="8"/>
      <c r="AS706" s="8"/>
      <c r="AT706" s="8"/>
    </row>
    <row r="707">
      <c r="A707" s="415"/>
      <c r="B707" s="210"/>
      <c r="C707" s="415"/>
      <c r="D707" s="210"/>
      <c r="E707" s="415"/>
      <c r="F707" s="210"/>
      <c r="G707" s="415"/>
      <c r="H707" s="210"/>
      <c r="I707" s="415"/>
      <c r="J707" s="210"/>
      <c r="K707" s="415"/>
      <c r="L707" s="210"/>
      <c r="M707" s="415"/>
      <c r="N707" s="210"/>
      <c r="O707" s="415"/>
      <c r="P707" s="210"/>
      <c r="Q707" s="439"/>
      <c r="R707" s="439"/>
      <c r="S707" s="415"/>
      <c r="T707" s="210"/>
      <c r="U707" s="415"/>
      <c r="V707" s="210"/>
      <c r="W707" s="8"/>
      <c r="X707" s="8"/>
      <c r="Y707" s="8"/>
      <c r="Z707" s="8"/>
      <c r="AA707" s="8"/>
      <c r="AB707" s="8"/>
      <c r="AC707" s="8"/>
      <c r="AD707" s="8"/>
      <c r="AE707" s="8"/>
      <c r="AF707" s="8"/>
      <c r="AG707" s="8"/>
      <c r="AH707" s="8"/>
      <c r="AI707" s="8"/>
      <c r="AJ707" s="8"/>
      <c r="AK707" s="8"/>
      <c r="AL707" s="8"/>
      <c r="AM707" s="8"/>
      <c r="AN707" s="8"/>
      <c r="AO707" s="8"/>
      <c r="AP707" s="8"/>
      <c r="AQ707" s="8"/>
      <c r="AR707" s="8"/>
      <c r="AS707" s="8"/>
      <c r="AT707" s="8"/>
    </row>
    <row r="708">
      <c r="A708" s="415"/>
      <c r="B708" s="210"/>
      <c r="C708" s="415"/>
      <c r="D708" s="210"/>
      <c r="E708" s="415"/>
      <c r="F708" s="210"/>
      <c r="G708" s="415"/>
      <c r="H708" s="210"/>
      <c r="I708" s="415"/>
      <c r="J708" s="210"/>
      <c r="K708" s="415"/>
      <c r="L708" s="210"/>
      <c r="M708" s="415"/>
      <c r="N708" s="210"/>
      <c r="O708" s="415"/>
      <c r="P708" s="210"/>
      <c r="Q708" s="439"/>
      <c r="R708" s="439"/>
      <c r="S708" s="415"/>
      <c r="T708" s="210"/>
      <c r="U708" s="415"/>
      <c r="V708" s="210"/>
      <c r="W708" s="8"/>
      <c r="X708" s="8"/>
      <c r="Y708" s="8"/>
      <c r="Z708" s="8"/>
      <c r="AA708" s="8"/>
      <c r="AB708" s="8"/>
      <c r="AC708" s="8"/>
      <c r="AD708" s="8"/>
      <c r="AE708" s="8"/>
      <c r="AF708" s="8"/>
      <c r="AG708" s="8"/>
      <c r="AH708" s="8"/>
      <c r="AI708" s="8"/>
      <c r="AJ708" s="8"/>
      <c r="AK708" s="8"/>
      <c r="AL708" s="8"/>
      <c r="AM708" s="8"/>
      <c r="AN708" s="8"/>
      <c r="AO708" s="8"/>
      <c r="AP708" s="8"/>
      <c r="AQ708" s="8"/>
      <c r="AR708" s="8"/>
      <c r="AS708" s="8"/>
      <c r="AT708" s="8"/>
    </row>
    <row r="709">
      <c r="A709" s="415"/>
      <c r="B709" s="210"/>
      <c r="C709" s="415"/>
      <c r="D709" s="210"/>
      <c r="E709" s="415"/>
      <c r="F709" s="210"/>
      <c r="G709" s="415"/>
      <c r="H709" s="210"/>
      <c r="I709" s="415"/>
      <c r="J709" s="210"/>
      <c r="K709" s="415"/>
      <c r="L709" s="210"/>
      <c r="M709" s="415"/>
      <c r="N709" s="210"/>
      <c r="O709" s="415"/>
      <c r="P709" s="210"/>
      <c r="Q709" s="439"/>
      <c r="R709" s="439"/>
      <c r="S709" s="415"/>
      <c r="T709" s="210"/>
      <c r="U709" s="415"/>
      <c r="V709" s="210"/>
      <c r="W709" s="8"/>
      <c r="X709" s="8"/>
      <c r="Y709" s="8"/>
      <c r="Z709" s="8"/>
      <c r="AA709" s="8"/>
      <c r="AB709" s="8"/>
      <c r="AC709" s="8"/>
      <c r="AD709" s="8"/>
      <c r="AE709" s="8"/>
      <c r="AF709" s="8"/>
      <c r="AG709" s="8"/>
      <c r="AH709" s="8"/>
      <c r="AI709" s="8"/>
      <c r="AJ709" s="8"/>
      <c r="AK709" s="8"/>
      <c r="AL709" s="8"/>
      <c r="AM709" s="8"/>
      <c r="AN709" s="8"/>
      <c r="AO709" s="8"/>
      <c r="AP709" s="8"/>
      <c r="AQ709" s="8"/>
      <c r="AR709" s="8"/>
      <c r="AS709" s="8"/>
      <c r="AT709" s="8"/>
    </row>
    <row r="710">
      <c r="A710" s="415"/>
      <c r="B710" s="210"/>
      <c r="C710" s="415"/>
      <c r="D710" s="210"/>
      <c r="E710" s="415"/>
      <c r="F710" s="210"/>
      <c r="G710" s="415"/>
      <c r="H710" s="210"/>
      <c r="I710" s="415"/>
      <c r="J710" s="210"/>
      <c r="K710" s="415"/>
      <c r="L710" s="210"/>
      <c r="M710" s="415"/>
      <c r="N710" s="210"/>
      <c r="O710" s="415"/>
      <c r="P710" s="210"/>
      <c r="Q710" s="439"/>
      <c r="R710" s="439"/>
      <c r="S710" s="415"/>
      <c r="T710" s="210"/>
      <c r="U710" s="415"/>
      <c r="V710" s="210"/>
      <c r="W710" s="8"/>
      <c r="X710" s="8"/>
      <c r="Y710" s="8"/>
      <c r="Z710" s="8"/>
      <c r="AA710" s="8"/>
      <c r="AB710" s="8"/>
      <c r="AC710" s="8"/>
      <c r="AD710" s="8"/>
      <c r="AE710" s="8"/>
      <c r="AF710" s="8"/>
      <c r="AG710" s="8"/>
      <c r="AH710" s="8"/>
      <c r="AI710" s="8"/>
      <c r="AJ710" s="8"/>
      <c r="AK710" s="8"/>
      <c r="AL710" s="8"/>
      <c r="AM710" s="8"/>
      <c r="AN710" s="8"/>
      <c r="AO710" s="8"/>
      <c r="AP710" s="8"/>
      <c r="AQ710" s="8"/>
      <c r="AR710" s="8"/>
      <c r="AS710" s="8"/>
      <c r="AT710" s="8"/>
    </row>
    <row r="711">
      <c r="A711" s="415"/>
      <c r="B711" s="210"/>
      <c r="C711" s="415"/>
      <c r="D711" s="210"/>
      <c r="E711" s="415"/>
      <c r="F711" s="210"/>
      <c r="G711" s="415"/>
      <c r="H711" s="210"/>
      <c r="I711" s="415"/>
      <c r="J711" s="210"/>
      <c r="K711" s="415"/>
      <c r="L711" s="210"/>
      <c r="M711" s="415"/>
      <c r="N711" s="210"/>
      <c r="O711" s="415"/>
      <c r="P711" s="210"/>
      <c r="Q711" s="439"/>
      <c r="R711" s="439"/>
      <c r="S711" s="415"/>
      <c r="T711" s="210"/>
      <c r="U711" s="415"/>
      <c r="V711" s="210"/>
      <c r="W711" s="8"/>
      <c r="X711" s="8"/>
      <c r="Y711" s="8"/>
      <c r="Z711" s="8"/>
      <c r="AA711" s="8"/>
      <c r="AB711" s="8"/>
      <c r="AC711" s="8"/>
      <c r="AD711" s="8"/>
      <c r="AE711" s="8"/>
      <c r="AF711" s="8"/>
      <c r="AG711" s="8"/>
      <c r="AH711" s="8"/>
      <c r="AI711" s="8"/>
      <c r="AJ711" s="8"/>
      <c r="AK711" s="8"/>
      <c r="AL711" s="8"/>
      <c r="AM711" s="8"/>
      <c r="AN711" s="8"/>
      <c r="AO711" s="8"/>
      <c r="AP711" s="8"/>
      <c r="AQ711" s="8"/>
      <c r="AR711" s="8"/>
      <c r="AS711" s="8"/>
      <c r="AT711" s="8"/>
    </row>
    <row r="712">
      <c r="A712" s="415"/>
      <c r="B712" s="210"/>
      <c r="C712" s="415"/>
      <c r="D712" s="210"/>
      <c r="E712" s="415"/>
      <c r="F712" s="210"/>
      <c r="G712" s="415"/>
      <c r="H712" s="210"/>
      <c r="I712" s="415"/>
      <c r="J712" s="210"/>
      <c r="K712" s="415"/>
      <c r="L712" s="210"/>
      <c r="M712" s="415"/>
      <c r="N712" s="210"/>
      <c r="O712" s="415"/>
      <c r="P712" s="210"/>
      <c r="Q712" s="439"/>
      <c r="R712" s="439"/>
      <c r="S712" s="415"/>
      <c r="T712" s="210"/>
      <c r="U712" s="415"/>
      <c r="V712" s="210"/>
      <c r="W712" s="8"/>
      <c r="X712" s="8"/>
      <c r="Y712" s="8"/>
      <c r="Z712" s="8"/>
      <c r="AA712" s="8"/>
      <c r="AB712" s="8"/>
      <c r="AC712" s="8"/>
      <c r="AD712" s="8"/>
      <c r="AE712" s="8"/>
      <c r="AF712" s="8"/>
      <c r="AG712" s="8"/>
      <c r="AH712" s="8"/>
      <c r="AI712" s="8"/>
      <c r="AJ712" s="8"/>
      <c r="AK712" s="8"/>
      <c r="AL712" s="8"/>
      <c r="AM712" s="8"/>
      <c r="AN712" s="8"/>
      <c r="AO712" s="8"/>
      <c r="AP712" s="8"/>
      <c r="AQ712" s="8"/>
      <c r="AR712" s="8"/>
      <c r="AS712" s="8"/>
      <c r="AT712" s="8"/>
    </row>
    <row r="713">
      <c r="A713" s="415"/>
      <c r="B713" s="210"/>
      <c r="C713" s="415"/>
      <c r="D713" s="210"/>
      <c r="E713" s="415"/>
      <c r="F713" s="210"/>
      <c r="G713" s="415"/>
      <c r="H713" s="210"/>
      <c r="I713" s="415"/>
      <c r="J713" s="210"/>
      <c r="K713" s="415"/>
      <c r="L713" s="210"/>
      <c r="M713" s="415"/>
      <c r="N713" s="210"/>
      <c r="O713" s="415"/>
      <c r="P713" s="210"/>
      <c r="Q713" s="439"/>
      <c r="R713" s="439"/>
      <c r="S713" s="415"/>
      <c r="T713" s="210"/>
      <c r="U713" s="415"/>
      <c r="V713" s="210"/>
      <c r="W713" s="8"/>
      <c r="X713" s="8"/>
      <c r="Y713" s="8"/>
      <c r="Z713" s="8"/>
      <c r="AA713" s="8"/>
      <c r="AB713" s="8"/>
      <c r="AC713" s="8"/>
      <c r="AD713" s="8"/>
      <c r="AE713" s="8"/>
      <c r="AF713" s="8"/>
      <c r="AG713" s="8"/>
      <c r="AH713" s="8"/>
      <c r="AI713" s="8"/>
      <c r="AJ713" s="8"/>
      <c r="AK713" s="8"/>
      <c r="AL713" s="8"/>
      <c r="AM713" s="8"/>
      <c r="AN713" s="8"/>
      <c r="AO713" s="8"/>
      <c r="AP713" s="8"/>
      <c r="AQ713" s="8"/>
      <c r="AR713" s="8"/>
      <c r="AS713" s="8"/>
      <c r="AT713" s="8"/>
    </row>
    <row r="714">
      <c r="A714" s="415"/>
      <c r="B714" s="210"/>
      <c r="C714" s="415"/>
      <c r="D714" s="210"/>
      <c r="E714" s="415"/>
      <c r="F714" s="210"/>
      <c r="G714" s="415"/>
      <c r="H714" s="210"/>
      <c r="I714" s="415"/>
      <c r="J714" s="210"/>
      <c r="K714" s="415"/>
      <c r="L714" s="210"/>
      <c r="M714" s="415"/>
      <c r="N714" s="210"/>
      <c r="O714" s="415"/>
      <c r="P714" s="210"/>
      <c r="Q714" s="439"/>
      <c r="R714" s="439"/>
      <c r="S714" s="415"/>
      <c r="T714" s="210"/>
      <c r="U714" s="415"/>
      <c r="V714" s="210"/>
      <c r="W714" s="8"/>
      <c r="X714" s="8"/>
      <c r="Y714" s="8"/>
      <c r="Z714" s="8"/>
      <c r="AA714" s="8"/>
      <c r="AB714" s="8"/>
      <c r="AC714" s="8"/>
      <c r="AD714" s="8"/>
      <c r="AE714" s="8"/>
      <c r="AF714" s="8"/>
      <c r="AG714" s="8"/>
      <c r="AH714" s="8"/>
      <c r="AI714" s="8"/>
      <c r="AJ714" s="8"/>
      <c r="AK714" s="8"/>
      <c r="AL714" s="8"/>
      <c r="AM714" s="8"/>
      <c r="AN714" s="8"/>
      <c r="AO714" s="8"/>
      <c r="AP714" s="8"/>
      <c r="AQ714" s="8"/>
      <c r="AR714" s="8"/>
      <c r="AS714" s="8"/>
      <c r="AT714" s="8"/>
    </row>
    <row r="715">
      <c r="A715" s="415"/>
      <c r="B715" s="210"/>
      <c r="C715" s="415"/>
      <c r="D715" s="210"/>
      <c r="E715" s="415"/>
      <c r="F715" s="210"/>
      <c r="G715" s="415"/>
      <c r="H715" s="210"/>
      <c r="I715" s="415"/>
      <c r="J715" s="210"/>
      <c r="K715" s="415"/>
      <c r="L715" s="210"/>
      <c r="M715" s="415"/>
      <c r="N715" s="210"/>
      <c r="O715" s="415"/>
      <c r="P715" s="210"/>
      <c r="Q715" s="439"/>
      <c r="R715" s="439"/>
      <c r="S715" s="415"/>
      <c r="T715" s="210"/>
      <c r="U715" s="415"/>
      <c r="V715" s="210"/>
      <c r="W715" s="8"/>
      <c r="X715" s="8"/>
      <c r="Y715" s="8"/>
      <c r="Z715" s="8"/>
      <c r="AA715" s="8"/>
      <c r="AB715" s="8"/>
      <c r="AC715" s="8"/>
      <c r="AD715" s="8"/>
      <c r="AE715" s="8"/>
      <c r="AF715" s="8"/>
      <c r="AG715" s="8"/>
      <c r="AH715" s="8"/>
      <c r="AI715" s="8"/>
      <c r="AJ715" s="8"/>
      <c r="AK715" s="8"/>
      <c r="AL715" s="8"/>
      <c r="AM715" s="8"/>
      <c r="AN715" s="8"/>
      <c r="AO715" s="8"/>
      <c r="AP715" s="8"/>
      <c r="AQ715" s="8"/>
      <c r="AR715" s="8"/>
      <c r="AS715" s="8"/>
      <c r="AT715" s="8"/>
    </row>
    <row r="716">
      <c r="A716" s="415"/>
      <c r="B716" s="210"/>
      <c r="C716" s="415"/>
      <c r="D716" s="210"/>
      <c r="E716" s="415"/>
      <c r="F716" s="210"/>
      <c r="G716" s="415"/>
      <c r="H716" s="210"/>
      <c r="I716" s="415"/>
      <c r="J716" s="210"/>
      <c r="K716" s="415"/>
      <c r="L716" s="210"/>
      <c r="M716" s="415"/>
      <c r="N716" s="210"/>
      <c r="O716" s="415"/>
      <c r="P716" s="210"/>
      <c r="Q716" s="439"/>
      <c r="R716" s="439"/>
      <c r="S716" s="415"/>
      <c r="T716" s="210"/>
      <c r="U716" s="415"/>
      <c r="V716" s="210"/>
      <c r="W716" s="8"/>
      <c r="X716" s="8"/>
      <c r="Y716" s="8"/>
      <c r="Z716" s="8"/>
      <c r="AA716" s="8"/>
      <c r="AB716" s="8"/>
      <c r="AC716" s="8"/>
      <c r="AD716" s="8"/>
      <c r="AE716" s="8"/>
      <c r="AF716" s="8"/>
      <c r="AG716" s="8"/>
      <c r="AH716" s="8"/>
      <c r="AI716" s="8"/>
      <c r="AJ716" s="8"/>
      <c r="AK716" s="8"/>
      <c r="AL716" s="8"/>
      <c r="AM716" s="8"/>
      <c r="AN716" s="8"/>
      <c r="AO716" s="8"/>
      <c r="AP716" s="8"/>
      <c r="AQ716" s="8"/>
      <c r="AR716" s="8"/>
      <c r="AS716" s="8"/>
      <c r="AT716" s="8"/>
    </row>
    <row r="717">
      <c r="A717" s="415"/>
      <c r="B717" s="210"/>
      <c r="C717" s="415"/>
      <c r="D717" s="210"/>
      <c r="E717" s="415"/>
      <c r="F717" s="210"/>
      <c r="G717" s="415"/>
      <c r="H717" s="210"/>
      <c r="I717" s="415"/>
      <c r="J717" s="210"/>
      <c r="K717" s="415"/>
      <c r="L717" s="210"/>
      <c r="M717" s="415"/>
      <c r="N717" s="210"/>
      <c r="O717" s="415"/>
      <c r="P717" s="210"/>
      <c r="Q717" s="439"/>
      <c r="R717" s="439"/>
      <c r="S717" s="415"/>
      <c r="T717" s="210"/>
      <c r="U717" s="415"/>
      <c r="V717" s="210"/>
      <c r="W717" s="8"/>
      <c r="X717" s="8"/>
      <c r="Y717" s="8"/>
      <c r="Z717" s="8"/>
      <c r="AA717" s="8"/>
      <c r="AB717" s="8"/>
      <c r="AC717" s="8"/>
      <c r="AD717" s="8"/>
      <c r="AE717" s="8"/>
      <c r="AF717" s="8"/>
      <c r="AG717" s="8"/>
      <c r="AH717" s="8"/>
      <c r="AI717" s="8"/>
      <c r="AJ717" s="8"/>
      <c r="AK717" s="8"/>
      <c r="AL717" s="8"/>
      <c r="AM717" s="8"/>
      <c r="AN717" s="8"/>
      <c r="AO717" s="8"/>
      <c r="AP717" s="8"/>
      <c r="AQ717" s="8"/>
      <c r="AR717" s="8"/>
      <c r="AS717" s="8"/>
      <c r="AT717" s="8"/>
    </row>
    <row r="718">
      <c r="A718" s="415"/>
      <c r="B718" s="210"/>
      <c r="C718" s="415"/>
      <c r="D718" s="210"/>
      <c r="E718" s="415"/>
      <c r="F718" s="210"/>
      <c r="G718" s="415"/>
      <c r="H718" s="210"/>
      <c r="I718" s="415"/>
      <c r="J718" s="210"/>
      <c r="K718" s="415"/>
      <c r="L718" s="210"/>
      <c r="M718" s="415"/>
      <c r="N718" s="210"/>
      <c r="O718" s="415"/>
      <c r="P718" s="210"/>
      <c r="Q718" s="439"/>
      <c r="R718" s="439"/>
      <c r="S718" s="415"/>
      <c r="T718" s="210"/>
      <c r="U718" s="415"/>
      <c r="V718" s="210"/>
      <c r="W718" s="8"/>
      <c r="X718" s="8"/>
      <c r="Y718" s="8"/>
      <c r="Z718" s="8"/>
      <c r="AA718" s="8"/>
      <c r="AB718" s="8"/>
      <c r="AC718" s="8"/>
      <c r="AD718" s="8"/>
      <c r="AE718" s="8"/>
      <c r="AF718" s="8"/>
      <c r="AG718" s="8"/>
      <c r="AH718" s="8"/>
      <c r="AI718" s="8"/>
      <c r="AJ718" s="8"/>
      <c r="AK718" s="8"/>
      <c r="AL718" s="8"/>
      <c r="AM718" s="8"/>
      <c r="AN718" s="8"/>
      <c r="AO718" s="8"/>
      <c r="AP718" s="8"/>
      <c r="AQ718" s="8"/>
      <c r="AR718" s="8"/>
      <c r="AS718" s="8"/>
      <c r="AT718" s="8"/>
    </row>
    <row r="719">
      <c r="A719" s="415"/>
      <c r="B719" s="210"/>
      <c r="C719" s="415"/>
      <c r="D719" s="210"/>
      <c r="E719" s="415"/>
      <c r="F719" s="210"/>
      <c r="G719" s="415"/>
      <c r="H719" s="210"/>
      <c r="I719" s="415"/>
      <c r="J719" s="210"/>
      <c r="K719" s="415"/>
      <c r="L719" s="210"/>
      <c r="M719" s="415"/>
      <c r="N719" s="210"/>
      <c r="O719" s="415"/>
      <c r="P719" s="210"/>
      <c r="Q719" s="439"/>
      <c r="R719" s="439"/>
      <c r="S719" s="415"/>
      <c r="T719" s="210"/>
      <c r="U719" s="415"/>
      <c r="V719" s="210"/>
      <c r="W719" s="8"/>
      <c r="X719" s="8"/>
      <c r="Y719" s="8"/>
      <c r="Z719" s="8"/>
      <c r="AA719" s="8"/>
      <c r="AB719" s="8"/>
      <c r="AC719" s="8"/>
      <c r="AD719" s="8"/>
      <c r="AE719" s="8"/>
      <c r="AF719" s="8"/>
      <c r="AG719" s="8"/>
      <c r="AH719" s="8"/>
      <c r="AI719" s="8"/>
      <c r="AJ719" s="8"/>
      <c r="AK719" s="8"/>
      <c r="AL719" s="8"/>
      <c r="AM719" s="8"/>
      <c r="AN719" s="8"/>
      <c r="AO719" s="8"/>
      <c r="AP719" s="8"/>
      <c r="AQ719" s="8"/>
      <c r="AR719" s="8"/>
      <c r="AS719" s="8"/>
      <c r="AT719" s="8"/>
    </row>
    <row r="720">
      <c r="A720" s="415"/>
      <c r="B720" s="210"/>
      <c r="C720" s="415"/>
      <c r="D720" s="210"/>
      <c r="E720" s="415"/>
      <c r="F720" s="210"/>
      <c r="G720" s="415"/>
      <c r="H720" s="210"/>
      <c r="I720" s="415"/>
      <c r="J720" s="210"/>
      <c r="K720" s="415"/>
      <c r="L720" s="210"/>
      <c r="M720" s="415"/>
      <c r="N720" s="210"/>
      <c r="O720" s="415"/>
      <c r="P720" s="210"/>
      <c r="Q720" s="439"/>
      <c r="R720" s="439"/>
      <c r="S720" s="415"/>
      <c r="T720" s="210"/>
      <c r="U720" s="415"/>
      <c r="V720" s="210"/>
      <c r="W720" s="8"/>
      <c r="X720" s="8"/>
      <c r="Y720" s="8"/>
      <c r="Z720" s="8"/>
      <c r="AA720" s="8"/>
      <c r="AB720" s="8"/>
      <c r="AC720" s="8"/>
      <c r="AD720" s="8"/>
      <c r="AE720" s="8"/>
      <c r="AF720" s="8"/>
      <c r="AG720" s="8"/>
      <c r="AH720" s="8"/>
      <c r="AI720" s="8"/>
      <c r="AJ720" s="8"/>
      <c r="AK720" s="8"/>
      <c r="AL720" s="8"/>
      <c r="AM720" s="8"/>
      <c r="AN720" s="8"/>
      <c r="AO720" s="8"/>
      <c r="AP720" s="8"/>
      <c r="AQ720" s="8"/>
      <c r="AR720" s="8"/>
      <c r="AS720" s="8"/>
      <c r="AT720" s="8"/>
    </row>
    <row r="721">
      <c r="A721" s="415"/>
      <c r="B721" s="210"/>
      <c r="C721" s="415"/>
      <c r="D721" s="210"/>
      <c r="E721" s="415"/>
      <c r="F721" s="210"/>
      <c r="G721" s="415"/>
      <c r="H721" s="210"/>
      <c r="I721" s="415"/>
      <c r="J721" s="210"/>
      <c r="K721" s="415"/>
      <c r="L721" s="210"/>
      <c r="M721" s="415"/>
      <c r="N721" s="210"/>
      <c r="O721" s="415"/>
      <c r="P721" s="210"/>
      <c r="Q721" s="439"/>
      <c r="R721" s="439"/>
      <c r="S721" s="415"/>
      <c r="T721" s="210"/>
      <c r="U721" s="415"/>
      <c r="V721" s="210"/>
      <c r="W721" s="8"/>
      <c r="X721" s="8"/>
      <c r="Y721" s="8"/>
      <c r="Z721" s="8"/>
      <c r="AA721" s="8"/>
      <c r="AB721" s="8"/>
      <c r="AC721" s="8"/>
      <c r="AD721" s="8"/>
      <c r="AE721" s="8"/>
      <c r="AF721" s="8"/>
      <c r="AG721" s="8"/>
      <c r="AH721" s="8"/>
      <c r="AI721" s="8"/>
      <c r="AJ721" s="8"/>
      <c r="AK721" s="8"/>
      <c r="AL721" s="8"/>
      <c r="AM721" s="8"/>
      <c r="AN721" s="8"/>
      <c r="AO721" s="8"/>
      <c r="AP721" s="8"/>
      <c r="AQ721" s="8"/>
      <c r="AR721" s="8"/>
      <c r="AS721" s="8"/>
      <c r="AT721" s="8"/>
    </row>
    <row r="722">
      <c r="A722" s="415"/>
      <c r="B722" s="210"/>
      <c r="C722" s="415"/>
      <c r="D722" s="210"/>
      <c r="E722" s="415"/>
      <c r="F722" s="210"/>
      <c r="G722" s="415"/>
      <c r="H722" s="210"/>
      <c r="I722" s="415"/>
      <c r="J722" s="210"/>
      <c r="K722" s="415"/>
      <c r="L722" s="210"/>
      <c r="M722" s="415"/>
      <c r="N722" s="210"/>
      <c r="O722" s="415"/>
      <c r="P722" s="210"/>
      <c r="Q722" s="439"/>
      <c r="R722" s="439"/>
      <c r="S722" s="415"/>
      <c r="T722" s="210"/>
      <c r="U722" s="415"/>
      <c r="V722" s="210"/>
      <c r="W722" s="8"/>
      <c r="X722" s="8"/>
      <c r="Y722" s="8"/>
      <c r="Z722" s="8"/>
      <c r="AA722" s="8"/>
      <c r="AB722" s="8"/>
      <c r="AC722" s="8"/>
      <c r="AD722" s="8"/>
      <c r="AE722" s="8"/>
      <c r="AF722" s="8"/>
      <c r="AG722" s="8"/>
      <c r="AH722" s="8"/>
      <c r="AI722" s="8"/>
      <c r="AJ722" s="8"/>
      <c r="AK722" s="8"/>
      <c r="AL722" s="8"/>
      <c r="AM722" s="8"/>
      <c r="AN722" s="8"/>
      <c r="AO722" s="8"/>
      <c r="AP722" s="8"/>
      <c r="AQ722" s="8"/>
      <c r="AR722" s="8"/>
      <c r="AS722" s="8"/>
      <c r="AT722" s="8"/>
    </row>
    <row r="723">
      <c r="A723" s="415"/>
      <c r="B723" s="210"/>
      <c r="C723" s="415"/>
      <c r="D723" s="210"/>
      <c r="E723" s="415"/>
      <c r="F723" s="210"/>
      <c r="G723" s="415"/>
      <c r="H723" s="210"/>
      <c r="I723" s="415"/>
      <c r="J723" s="210"/>
      <c r="K723" s="415"/>
      <c r="L723" s="210"/>
      <c r="M723" s="415"/>
      <c r="N723" s="210"/>
      <c r="O723" s="415"/>
      <c r="P723" s="210"/>
      <c r="Q723" s="439"/>
      <c r="R723" s="439"/>
      <c r="S723" s="415"/>
      <c r="T723" s="210"/>
      <c r="U723" s="415"/>
      <c r="V723" s="210"/>
      <c r="W723" s="8"/>
      <c r="X723" s="8"/>
      <c r="Y723" s="8"/>
      <c r="Z723" s="8"/>
      <c r="AA723" s="8"/>
      <c r="AB723" s="8"/>
      <c r="AC723" s="8"/>
      <c r="AD723" s="8"/>
      <c r="AE723" s="8"/>
      <c r="AF723" s="8"/>
      <c r="AG723" s="8"/>
      <c r="AH723" s="8"/>
      <c r="AI723" s="8"/>
      <c r="AJ723" s="8"/>
      <c r="AK723" s="8"/>
      <c r="AL723" s="8"/>
      <c r="AM723" s="8"/>
      <c r="AN723" s="8"/>
      <c r="AO723" s="8"/>
      <c r="AP723" s="8"/>
      <c r="AQ723" s="8"/>
      <c r="AR723" s="8"/>
      <c r="AS723" s="8"/>
      <c r="AT723" s="8"/>
    </row>
    <row r="724">
      <c r="A724" s="415"/>
      <c r="B724" s="210"/>
      <c r="C724" s="415"/>
      <c r="D724" s="210"/>
      <c r="E724" s="415"/>
      <c r="F724" s="210"/>
      <c r="G724" s="415"/>
      <c r="H724" s="210"/>
      <c r="I724" s="415"/>
      <c r="J724" s="210"/>
      <c r="K724" s="415"/>
      <c r="L724" s="210"/>
      <c r="M724" s="415"/>
      <c r="N724" s="210"/>
      <c r="O724" s="415"/>
      <c r="P724" s="210"/>
      <c r="Q724" s="439"/>
      <c r="R724" s="439"/>
      <c r="S724" s="415"/>
      <c r="T724" s="210"/>
      <c r="U724" s="415"/>
      <c r="V724" s="210"/>
      <c r="W724" s="8"/>
      <c r="X724" s="8"/>
      <c r="Y724" s="8"/>
      <c r="Z724" s="8"/>
      <c r="AA724" s="8"/>
      <c r="AB724" s="8"/>
      <c r="AC724" s="8"/>
      <c r="AD724" s="8"/>
      <c r="AE724" s="8"/>
      <c r="AF724" s="8"/>
      <c r="AG724" s="8"/>
      <c r="AH724" s="8"/>
      <c r="AI724" s="8"/>
      <c r="AJ724" s="8"/>
      <c r="AK724" s="8"/>
      <c r="AL724" s="8"/>
      <c r="AM724" s="8"/>
      <c r="AN724" s="8"/>
      <c r="AO724" s="8"/>
      <c r="AP724" s="8"/>
      <c r="AQ724" s="8"/>
      <c r="AR724" s="8"/>
      <c r="AS724" s="8"/>
      <c r="AT724" s="8"/>
    </row>
    <row r="725">
      <c r="A725" s="415"/>
      <c r="B725" s="210"/>
      <c r="C725" s="415"/>
      <c r="D725" s="210"/>
      <c r="E725" s="415"/>
      <c r="F725" s="210"/>
      <c r="G725" s="415"/>
      <c r="H725" s="210"/>
      <c r="I725" s="415"/>
      <c r="J725" s="210"/>
      <c r="K725" s="415"/>
      <c r="L725" s="210"/>
      <c r="M725" s="415"/>
      <c r="N725" s="210"/>
      <c r="O725" s="415"/>
      <c r="P725" s="210"/>
      <c r="Q725" s="439"/>
      <c r="R725" s="439"/>
      <c r="S725" s="415"/>
      <c r="T725" s="210"/>
      <c r="U725" s="415"/>
      <c r="V725" s="210"/>
      <c r="W725" s="8"/>
      <c r="X725" s="8"/>
      <c r="Y725" s="8"/>
      <c r="Z725" s="8"/>
      <c r="AA725" s="8"/>
      <c r="AB725" s="8"/>
      <c r="AC725" s="8"/>
      <c r="AD725" s="8"/>
      <c r="AE725" s="8"/>
      <c r="AF725" s="8"/>
      <c r="AG725" s="8"/>
      <c r="AH725" s="8"/>
      <c r="AI725" s="8"/>
      <c r="AJ725" s="8"/>
      <c r="AK725" s="8"/>
      <c r="AL725" s="8"/>
      <c r="AM725" s="8"/>
      <c r="AN725" s="8"/>
      <c r="AO725" s="8"/>
      <c r="AP725" s="8"/>
      <c r="AQ725" s="8"/>
      <c r="AR725" s="8"/>
      <c r="AS725" s="8"/>
      <c r="AT725" s="8"/>
    </row>
    <row r="726">
      <c r="A726" s="415"/>
      <c r="B726" s="210"/>
      <c r="C726" s="415"/>
      <c r="D726" s="210"/>
      <c r="E726" s="415"/>
      <c r="F726" s="210"/>
      <c r="G726" s="415"/>
      <c r="H726" s="210"/>
      <c r="I726" s="415"/>
      <c r="J726" s="210"/>
      <c r="K726" s="415"/>
      <c r="L726" s="210"/>
      <c r="M726" s="415"/>
      <c r="N726" s="210"/>
      <c r="O726" s="415"/>
      <c r="P726" s="210"/>
      <c r="Q726" s="439"/>
      <c r="R726" s="439"/>
      <c r="S726" s="415"/>
      <c r="T726" s="210"/>
      <c r="U726" s="415"/>
      <c r="V726" s="210"/>
      <c r="W726" s="8"/>
      <c r="X726" s="8"/>
      <c r="Y726" s="8"/>
      <c r="Z726" s="8"/>
      <c r="AA726" s="8"/>
      <c r="AB726" s="8"/>
      <c r="AC726" s="8"/>
      <c r="AD726" s="8"/>
      <c r="AE726" s="8"/>
      <c r="AF726" s="8"/>
      <c r="AG726" s="8"/>
      <c r="AH726" s="8"/>
      <c r="AI726" s="8"/>
      <c r="AJ726" s="8"/>
      <c r="AK726" s="8"/>
      <c r="AL726" s="8"/>
      <c r="AM726" s="8"/>
      <c r="AN726" s="8"/>
      <c r="AO726" s="8"/>
      <c r="AP726" s="8"/>
      <c r="AQ726" s="8"/>
      <c r="AR726" s="8"/>
      <c r="AS726" s="8"/>
      <c r="AT726" s="8"/>
    </row>
    <row r="727">
      <c r="A727" s="415"/>
      <c r="B727" s="210"/>
      <c r="C727" s="415"/>
      <c r="D727" s="210"/>
      <c r="E727" s="415"/>
      <c r="F727" s="210"/>
      <c r="G727" s="415"/>
      <c r="H727" s="210"/>
      <c r="I727" s="415"/>
      <c r="J727" s="210"/>
      <c r="K727" s="415"/>
      <c r="L727" s="210"/>
      <c r="M727" s="415"/>
      <c r="N727" s="210"/>
      <c r="O727" s="415"/>
      <c r="P727" s="210"/>
      <c r="Q727" s="439"/>
      <c r="R727" s="439"/>
      <c r="S727" s="415"/>
      <c r="T727" s="210"/>
      <c r="U727" s="415"/>
      <c r="V727" s="210"/>
      <c r="W727" s="8"/>
      <c r="X727" s="8"/>
      <c r="Y727" s="8"/>
      <c r="Z727" s="8"/>
      <c r="AA727" s="8"/>
      <c r="AB727" s="8"/>
      <c r="AC727" s="8"/>
      <c r="AD727" s="8"/>
      <c r="AE727" s="8"/>
      <c r="AF727" s="8"/>
      <c r="AG727" s="8"/>
      <c r="AH727" s="8"/>
      <c r="AI727" s="8"/>
      <c r="AJ727" s="8"/>
      <c r="AK727" s="8"/>
      <c r="AL727" s="8"/>
      <c r="AM727" s="8"/>
      <c r="AN727" s="8"/>
      <c r="AO727" s="8"/>
      <c r="AP727" s="8"/>
      <c r="AQ727" s="8"/>
      <c r="AR727" s="8"/>
      <c r="AS727" s="8"/>
      <c r="AT727" s="8"/>
    </row>
    <row r="728">
      <c r="A728" s="415"/>
      <c r="B728" s="210"/>
      <c r="C728" s="415"/>
      <c r="D728" s="210"/>
      <c r="E728" s="415"/>
      <c r="F728" s="210"/>
      <c r="G728" s="415"/>
      <c r="H728" s="210"/>
      <c r="I728" s="415"/>
      <c r="J728" s="210"/>
      <c r="K728" s="415"/>
      <c r="L728" s="210"/>
      <c r="M728" s="415"/>
      <c r="N728" s="210"/>
      <c r="O728" s="415"/>
      <c r="P728" s="210"/>
      <c r="Q728" s="439"/>
      <c r="R728" s="439"/>
      <c r="S728" s="415"/>
      <c r="T728" s="210"/>
      <c r="U728" s="415"/>
      <c r="V728" s="210"/>
      <c r="W728" s="8"/>
      <c r="X728" s="8"/>
      <c r="Y728" s="8"/>
      <c r="Z728" s="8"/>
      <c r="AA728" s="8"/>
      <c r="AB728" s="8"/>
      <c r="AC728" s="8"/>
      <c r="AD728" s="8"/>
      <c r="AE728" s="8"/>
      <c r="AF728" s="8"/>
      <c r="AG728" s="8"/>
      <c r="AH728" s="8"/>
      <c r="AI728" s="8"/>
      <c r="AJ728" s="8"/>
      <c r="AK728" s="8"/>
      <c r="AL728" s="8"/>
      <c r="AM728" s="8"/>
      <c r="AN728" s="8"/>
      <c r="AO728" s="8"/>
      <c r="AP728" s="8"/>
      <c r="AQ728" s="8"/>
      <c r="AR728" s="8"/>
      <c r="AS728" s="8"/>
      <c r="AT728" s="8"/>
    </row>
    <row r="729">
      <c r="A729" s="415"/>
      <c r="B729" s="210"/>
      <c r="C729" s="415"/>
      <c r="D729" s="210"/>
      <c r="E729" s="415"/>
      <c r="F729" s="210"/>
      <c r="G729" s="415"/>
      <c r="H729" s="210"/>
      <c r="I729" s="415"/>
      <c r="J729" s="210"/>
      <c r="K729" s="415"/>
      <c r="L729" s="210"/>
      <c r="M729" s="415"/>
      <c r="N729" s="210"/>
      <c r="O729" s="415"/>
      <c r="P729" s="210"/>
      <c r="Q729" s="439"/>
      <c r="R729" s="439"/>
      <c r="S729" s="415"/>
      <c r="T729" s="210"/>
      <c r="U729" s="415"/>
      <c r="V729" s="210"/>
      <c r="W729" s="8"/>
      <c r="X729" s="8"/>
      <c r="Y729" s="8"/>
      <c r="Z729" s="8"/>
      <c r="AA729" s="8"/>
      <c r="AB729" s="8"/>
      <c r="AC729" s="8"/>
      <c r="AD729" s="8"/>
      <c r="AE729" s="8"/>
      <c r="AF729" s="8"/>
      <c r="AG729" s="8"/>
      <c r="AH729" s="8"/>
      <c r="AI729" s="8"/>
      <c r="AJ729" s="8"/>
      <c r="AK729" s="8"/>
      <c r="AL729" s="8"/>
      <c r="AM729" s="8"/>
      <c r="AN729" s="8"/>
      <c r="AO729" s="8"/>
      <c r="AP729" s="8"/>
      <c r="AQ729" s="8"/>
      <c r="AR729" s="8"/>
      <c r="AS729" s="8"/>
      <c r="AT729" s="8"/>
    </row>
    <row r="730">
      <c r="A730" s="415"/>
      <c r="B730" s="210"/>
      <c r="C730" s="415"/>
      <c r="D730" s="210"/>
      <c r="E730" s="415"/>
      <c r="F730" s="210"/>
      <c r="G730" s="415"/>
      <c r="H730" s="210"/>
      <c r="I730" s="415"/>
      <c r="J730" s="210"/>
      <c r="K730" s="415"/>
      <c r="L730" s="210"/>
      <c r="M730" s="415"/>
      <c r="N730" s="210"/>
      <c r="O730" s="415"/>
      <c r="P730" s="210"/>
      <c r="Q730" s="439"/>
      <c r="R730" s="439"/>
      <c r="S730" s="415"/>
      <c r="T730" s="210"/>
      <c r="U730" s="415"/>
      <c r="V730" s="210"/>
      <c r="W730" s="8"/>
      <c r="X730" s="8"/>
      <c r="Y730" s="8"/>
      <c r="Z730" s="8"/>
      <c r="AA730" s="8"/>
      <c r="AB730" s="8"/>
      <c r="AC730" s="8"/>
      <c r="AD730" s="8"/>
      <c r="AE730" s="8"/>
      <c r="AF730" s="8"/>
      <c r="AG730" s="8"/>
      <c r="AH730" s="8"/>
      <c r="AI730" s="8"/>
      <c r="AJ730" s="8"/>
      <c r="AK730" s="8"/>
      <c r="AL730" s="8"/>
      <c r="AM730" s="8"/>
      <c r="AN730" s="8"/>
      <c r="AO730" s="8"/>
      <c r="AP730" s="8"/>
      <c r="AQ730" s="8"/>
      <c r="AR730" s="8"/>
      <c r="AS730" s="8"/>
      <c r="AT730" s="8"/>
    </row>
    <row r="731">
      <c r="A731" s="415"/>
      <c r="B731" s="210"/>
      <c r="C731" s="415"/>
      <c r="D731" s="210"/>
      <c r="E731" s="415"/>
      <c r="F731" s="210"/>
      <c r="G731" s="415"/>
      <c r="H731" s="210"/>
      <c r="I731" s="415"/>
      <c r="J731" s="210"/>
      <c r="K731" s="415"/>
      <c r="L731" s="210"/>
      <c r="M731" s="415"/>
      <c r="N731" s="210"/>
      <c r="O731" s="415"/>
      <c r="P731" s="210"/>
      <c r="Q731" s="439"/>
      <c r="R731" s="439"/>
      <c r="S731" s="415"/>
      <c r="T731" s="210"/>
      <c r="U731" s="415"/>
      <c r="V731" s="210"/>
      <c r="W731" s="8"/>
      <c r="X731" s="8"/>
      <c r="Y731" s="8"/>
      <c r="Z731" s="8"/>
      <c r="AA731" s="8"/>
      <c r="AB731" s="8"/>
      <c r="AC731" s="8"/>
      <c r="AD731" s="8"/>
      <c r="AE731" s="8"/>
      <c r="AF731" s="8"/>
      <c r="AG731" s="8"/>
      <c r="AH731" s="8"/>
      <c r="AI731" s="8"/>
      <c r="AJ731" s="8"/>
      <c r="AK731" s="8"/>
      <c r="AL731" s="8"/>
      <c r="AM731" s="8"/>
      <c r="AN731" s="8"/>
      <c r="AO731" s="8"/>
      <c r="AP731" s="8"/>
      <c r="AQ731" s="8"/>
      <c r="AR731" s="8"/>
      <c r="AS731" s="8"/>
      <c r="AT731" s="8"/>
    </row>
    <row r="732">
      <c r="A732" s="415"/>
      <c r="B732" s="210"/>
      <c r="C732" s="415"/>
      <c r="D732" s="210"/>
      <c r="E732" s="415"/>
      <c r="F732" s="210"/>
      <c r="G732" s="415"/>
      <c r="H732" s="210"/>
      <c r="I732" s="415"/>
      <c r="J732" s="210"/>
      <c r="K732" s="415"/>
      <c r="L732" s="210"/>
      <c r="M732" s="415"/>
      <c r="N732" s="210"/>
      <c r="O732" s="415"/>
      <c r="P732" s="210"/>
      <c r="Q732" s="439"/>
      <c r="R732" s="439"/>
      <c r="S732" s="415"/>
      <c r="T732" s="210"/>
      <c r="U732" s="415"/>
      <c r="V732" s="210"/>
      <c r="W732" s="8"/>
      <c r="X732" s="8"/>
      <c r="Y732" s="8"/>
      <c r="Z732" s="8"/>
      <c r="AA732" s="8"/>
      <c r="AB732" s="8"/>
      <c r="AC732" s="8"/>
      <c r="AD732" s="8"/>
      <c r="AE732" s="8"/>
      <c r="AF732" s="8"/>
      <c r="AG732" s="8"/>
      <c r="AH732" s="8"/>
      <c r="AI732" s="8"/>
      <c r="AJ732" s="8"/>
      <c r="AK732" s="8"/>
      <c r="AL732" s="8"/>
      <c r="AM732" s="8"/>
      <c r="AN732" s="8"/>
      <c r="AO732" s="8"/>
      <c r="AP732" s="8"/>
      <c r="AQ732" s="8"/>
      <c r="AR732" s="8"/>
      <c r="AS732" s="8"/>
      <c r="AT732" s="8"/>
    </row>
    <row r="733">
      <c r="A733" s="415"/>
      <c r="B733" s="210"/>
      <c r="C733" s="415"/>
      <c r="D733" s="210"/>
      <c r="E733" s="415"/>
      <c r="F733" s="210"/>
      <c r="G733" s="415"/>
      <c r="H733" s="210"/>
      <c r="I733" s="415"/>
      <c r="J733" s="210"/>
      <c r="K733" s="415"/>
      <c r="L733" s="210"/>
      <c r="M733" s="415"/>
      <c r="N733" s="210"/>
      <c r="O733" s="415"/>
      <c r="P733" s="210"/>
      <c r="Q733" s="439"/>
      <c r="R733" s="439"/>
      <c r="S733" s="415"/>
      <c r="T733" s="210"/>
      <c r="U733" s="415"/>
      <c r="V733" s="210"/>
      <c r="W733" s="8"/>
      <c r="X733" s="8"/>
      <c r="Y733" s="8"/>
      <c r="Z733" s="8"/>
      <c r="AA733" s="8"/>
      <c r="AB733" s="8"/>
      <c r="AC733" s="8"/>
      <c r="AD733" s="8"/>
      <c r="AE733" s="8"/>
      <c r="AF733" s="8"/>
      <c r="AG733" s="8"/>
      <c r="AH733" s="8"/>
      <c r="AI733" s="8"/>
      <c r="AJ733" s="8"/>
      <c r="AK733" s="8"/>
      <c r="AL733" s="8"/>
      <c r="AM733" s="8"/>
      <c r="AN733" s="8"/>
      <c r="AO733" s="8"/>
      <c r="AP733" s="8"/>
      <c r="AQ733" s="8"/>
      <c r="AR733" s="8"/>
      <c r="AS733" s="8"/>
      <c r="AT733" s="8"/>
    </row>
    <row r="734">
      <c r="A734" s="415"/>
      <c r="B734" s="210"/>
      <c r="C734" s="415"/>
      <c r="D734" s="210"/>
      <c r="E734" s="415"/>
      <c r="F734" s="210"/>
      <c r="G734" s="415"/>
      <c r="H734" s="210"/>
      <c r="I734" s="415"/>
      <c r="J734" s="210"/>
      <c r="K734" s="415"/>
      <c r="L734" s="210"/>
      <c r="M734" s="415"/>
      <c r="N734" s="210"/>
      <c r="O734" s="415"/>
      <c r="P734" s="210"/>
      <c r="Q734" s="439"/>
      <c r="R734" s="439"/>
      <c r="S734" s="415"/>
      <c r="T734" s="210"/>
      <c r="U734" s="415"/>
      <c r="V734" s="210"/>
      <c r="W734" s="8"/>
      <c r="X734" s="8"/>
      <c r="Y734" s="8"/>
      <c r="Z734" s="8"/>
      <c r="AA734" s="8"/>
      <c r="AB734" s="8"/>
      <c r="AC734" s="8"/>
      <c r="AD734" s="8"/>
      <c r="AE734" s="8"/>
      <c r="AF734" s="8"/>
      <c r="AG734" s="8"/>
      <c r="AH734" s="8"/>
      <c r="AI734" s="8"/>
      <c r="AJ734" s="8"/>
      <c r="AK734" s="8"/>
      <c r="AL734" s="8"/>
      <c r="AM734" s="8"/>
      <c r="AN734" s="8"/>
      <c r="AO734" s="8"/>
      <c r="AP734" s="8"/>
      <c r="AQ734" s="8"/>
      <c r="AR734" s="8"/>
      <c r="AS734" s="8"/>
      <c r="AT734" s="8"/>
    </row>
    <row r="735">
      <c r="A735" s="415"/>
      <c r="B735" s="210"/>
      <c r="C735" s="415"/>
      <c r="D735" s="210"/>
      <c r="E735" s="415"/>
      <c r="F735" s="210"/>
      <c r="G735" s="415"/>
      <c r="H735" s="210"/>
      <c r="I735" s="415"/>
      <c r="J735" s="210"/>
      <c r="K735" s="415"/>
      <c r="L735" s="210"/>
      <c r="M735" s="415"/>
      <c r="N735" s="210"/>
      <c r="O735" s="415"/>
      <c r="P735" s="210"/>
      <c r="Q735" s="439"/>
      <c r="R735" s="439"/>
      <c r="S735" s="415"/>
      <c r="T735" s="210"/>
      <c r="U735" s="415"/>
      <c r="V735" s="210"/>
      <c r="W735" s="8"/>
      <c r="X735" s="8"/>
      <c r="Y735" s="8"/>
      <c r="Z735" s="8"/>
      <c r="AA735" s="8"/>
      <c r="AB735" s="8"/>
      <c r="AC735" s="8"/>
      <c r="AD735" s="8"/>
      <c r="AE735" s="8"/>
      <c r="AF735" s="8"/>
      <c r="AG735" s="8"/>
      <c r="AH735" s="8"/>
      <c r="AI735" s="8"/>
      <c r="AJ735" s="8"/>
      <c r="AK735" s="8"/>
      <c r="AL735" s="8"/>
      <c r="AM735" s="8"/>
      <c r="AN735" s="8"/>
      <c r="AO735" s="8"/>
      <c r="AP735" s="8"/>
      <c r="AQ735" s="8"/>
      <c r="AR735" s="8"/>
      <c r="AS735" s="8"/>
      <c r="AT735" s="8"/>
    </row>
    <row r="736">
      <c r="A736" s="415"/>
      <c r="B736" s="210"/>
      <c r="C736" s="415"/>
      <c r="D736" s="210"/>
      <c r="E736" s="415"/>
      <c r="F736" s="210"/>
      <c r="G736" s="415"/>
      <c r="H736" s="210"/>
      <c r="I736" s="415"/>
      <c r="J736" s="210"/>
      <c r="K736" s="415"/>
      <c r="L736" s="210"/>
      <c r="M736" s="415"/>
      <c r="N736" s="210"/>
      <c r="O736" s="415"/>
      <c r="P736" s="210"/>
      <c r="Q736" s="439"/>
      <c r="R736" s="439"/>
      <c r="S736" s="415"/>
      <c r="T736" s="210"/>
      <c r="U736" s="415"/>
      <c r="V736" s="210"/>
      <c r="W736" s="8"/>
      <c r="X736" s="8"/>
      <c r="Y736" s="8"/>
      <c r="Z736" s="8"/>
      <c r="AA736" s="8"/>
      <c r="AB736" s="8"/>
      <c r="AC736" s="8"/>
      <c r="AD736" s="8"/>
      <c r="AE736" s="8"/>
      <c r="AF736" s="8"/>
      <c r="AG736" s="8"/>
      <c r="AH736" s="8"/>
      <c r="AI736" s="8"/>
      <c r="AJ736" s="8"/>
      <c r="AK736" s="8"/>
      <c r="AL736" s="8"/>
      <c r="AM736" s="8"/>
      <c r="AN736" s="8"/>
      <c r="AO736" s="8"/>
      <c r="AP736" s="8"/>
      <c r="AQ736" s="8"/>
      <c r="AR736" s="8"/>
      <c r="AS736" s="8"/>
      <c r="AT736" s="8"/>
    </row>
    <row r="737">
      <c r="A737" s="415"/>
      <c r="B737" s="210"/>
      <c r="C737" s="415"/>
      <c r="D737" s="210"/>
      <c r="E737" s="415"/>
      <c r="F737" s="210"/>
      <c r="G737" s="415"/>
      <c r="H737" s="210"/>
      <c r="I737" s="415"/>
      <c r="J737" s="210"/>
      <c r="K737" s="415"/>
      <c r="L737" s="210"/>
      <c r="M737" s="415"/>
      <c r="N737" s="210"/>
      <c r="O737" s="415"/>
      <c r="P737" s="210"/>
      <c r="Q737" s="439"/>
      <c r="R737" s="439"/>
      <c r="S737" s="415"/>
      <c r="T737" s="210"/>
      <c r="U737" s="415"/>
      <c r="V737" s="210"/>
      <c r="W737" s="8"/>
      <c r="X737" s="8"/>
      <c r="Y737" s="8"/>
      <c r="Z737" s="8"/>
      <c r="AA737" s="8"/>
      <c r="AB737" s="8"/>
      <c r="AC737" s="8"/>
      <c r="AD737" s="8"/>
      <c r="AE737" s="8"/>
      <c r="AF737" s="8"/>
      <c r="AG737" s="8"/>
      <c r="AH737" s="8"/>
      <c r="AI737" s="8"/>
      <c r="AJ737" s="8"/>
      <c r="AK737" s="8"/>
      <c r="AL737" s="8"/>
      <c r="AM737" s="8"/>
      <c r="AN737" s="8"/>
      <c r="AO737" s="8"/>
      <c r="AP737" s="8"/>
      <c r="AQ737" s="8"/>
      <c r="AR737" s="8"/>
      <c r="AS737" s="8"/>
      <c r="AT737" s="8"/>
    </row>
    <row r="738">
      <c r="A738" s="415"/>
      <c r="B738" s="210"/>
      <c r="C738" s="415"/>
      <c r="D738" s="210"/>
      <c r="E738" s="415"/>
      <c r="F738" s="210"/>
      <c r="G738" s="415"/>
      <c r="H738" s="210"/>
      <c r="I738" s="415"/>
      <c r="J738" s="210"/>
      <c r="K738" s="415"/>
      <c r="L738" s="210"/>
      <c r="M738" s="415"/>
      <c r="N738" s="210"/>
      <c r="O738" s="415"/>
      <c r="P738" s="210"/>
      <c r="Q738" s="439"/>
      <c r="R738" s="439"/>
      <c r="S738" s="415"/>
      <c r="T738" s="210"/>
      <c r="U738" s="415"/>
      <c r="V738" s="210"/>
      <c r="W738" s="8"/>
      <c r="X738" s="8"/>
      <c r="Y738" s="8"/>
      <c r="Z738" s="8"/>
      <c r="AA738" s="8"/>
      <c r="AB738" s="8"/>
      <c r="AC738" s="8"/>
      <c r="AD738" s="8"/>
      <c r="AE738" s="8"/>
      <c r="AF738" s="8"/>
      <c r="AG738" s="8"/>
      <c r="AH738" s="8"/>
      <c r="AI738" s="8"/>
      <c r="AJ738" s="8"/>
      <c r="AK738" s="8"/>
      <c r="AL738" s="8"/>
      <c r="AM738" s="8"/>
      <c r="AN738" s="8"/>
      <c r="AO738" s="8"/>
      <c r="AP738" s="8"/>
      <c r="AQ738" s="8"/>
      <c r="AR738" s="8"/>
      <c r="AS738" s="8"/>
      <c r="AT738" s="8"/>
    </row>
    <row r="739">
      <c r="A739" s="415"/>
      <c r="B739" s="210"/>
      <c r="C739" s="415"/>
      <c r="D739" s="210"/>
      <c r="E739" s="415"/>
      <c r="F739" s="210"/>
      <c r="G739" s="415"/>
      <c r="H739" s="210"/>
      <c r="I739" s="415"/>
      <c r="J739" s="210"/>
      <c r="K739" s="415"/>
      <c r="L739" s="210"/>
      <c r="M739" s="415"/>
      <c r="N739" s="210"/>
      <c r="O739" s="415"/>
      <c r="P739" s="210"/>
      <c r="Q739" s="439"/>
      <c r="R739" s="439"/>
      <c r="S739" s="415"/>
      <c r="T739" s="210"/>
      <c r="U739" s="415"/>
      <c r="V739" s="210"/>
      <c r="W739" s="8"/>
      <c r="X739" s="8"/>
      <c r="Y739" s="8"/>
      <c r="Z739" s="8"/>
      <c r="AA739" s="8"/>
      <c r="AB739" s="8"/>
      <c r="AC739" s="8"/>
      <c r="AD739" s="8"/>
      <c r="AE739" s="8"/>
      <c r="AF739" s="8"/>
      <c r="AG739" s="8"/>
      <c r="AH739" s="8"/>
      <c r="AI739" s="8"/>
      <c r="AJ739" s="8"/>
      <c r="AK739" s="8"/>
      <c r="AL739" s="8"/>
      <c r="AM739" s="8"/>
      <c r="AN739" s="8"/>
      <c r="AO739" s="8"/>
      <c r="AP739" s="8"/>
      <c r="AQ739" s="8"/>
      <c r="AR739" s="8"/>
      <c r="AS739" s="8"/>
      <c r="AT739" s="8"/>
    </row>
    <row r="740">
      <c r="A740" s="415"/>
      <c r="B740" s="210"/>
      <c r="C740" s="415"/>
      <c r="D740" s="210"/>
      <c r="E740" s="415"/>
      <c r="F740" s="210"/>
      <c r="G740" s="415"/>
      <c r="H740" s="210"/>
      <c r="I740" s="415"/>
      <c r="J740" s="210"/>
      <c r="K740" s="415"/>
      <c r="L740" s="210"/>
      <c r="M740" s="415"/>
      <c r="N740" s="210"/>
      <c r="O740" s="415"/>
      <c r="P740" s="210"/>
      <c r="Q740" s="439"/>
      <c r="R740" s="439"/>
      <c r="S740" s="415"/>
      <c r="T740" s="210"/>
      <c r="U740" s="415"/>
      <c r="V740" s="210"/>
      <c r="W740" s="8"/>
      <c r="X740" s="8"/>
      <c r="Y740" s="8"/>
      <c r="Z740" s="8"/>
      <c r="AA740" s="8"/>
      <c r="AB740" s="8"/>
      <c r="AC740" s="8"/>
      <c r="AD740" s="8"/>
      <c r="AE740" s="8"/>
      <c r="AF740" s="8"/>
      <c r="AG740" s="8"/>
      <c r="AH740" s="8"/>
      <c r="AI740" s="8"/>
      <c r="AJ740" s="8"/>
      <c r="AK740" s="8"/>
      <c r="AL740" s="8"/>
      <c r="AM740" s="8"/>
      <c r="AN740" s="8"/>
      <c r="AO740" s="8"/>
      <c r="AP740" s="8"/>
      <c r="AQ740" s="8"/>
      <c r="AR740" s="8"/>
      <c r="AS740" s="8"/>
      <c r="AT740" s="8"/>
    </row>
    <row r="741">
      <c r="A741" s="415"/>
      <c r="B741" s="210"/>
      <c r="C741" s="415"/>
      <c r="D741" s="210"/>
      <c r="E741" s="415"/>
      <c r="F741" s="210"/>
      <c r="G741" s="415"/>
      <c r="H741" s="210"/>
      <c r="I741" s="415"/>
      <c r="J741" s="210"/>
      <c r="K741" s="415"/>
      <c r="L741" s="210"/>
      <c r="M741" s="415"/>
      <c r="N741" s="210"/>
      <c r="O741" s="415"/>
      <c r="P741" s="210"/>
      <c r="Q741" s="439"/>
      <c r="R741" s="439"/>
      <c r="S741" s="415"/>
      <c r="T741" s="210"/>
      <c r="U741" s="415"/>
      <c r="V741" s="210"/>
      <c r="W741" s="8"/>
      <c r="X741" s="8"/>
      <c r="Y741" s="8"/>
      <c r="Z741" s="8"/>
      <c r="AA741" s="8"/>
      <c r="AB741" s="8"/>
      <c r="AC741" s="8"/>
      <c r="AD741" s="8"/>
      <c r="AE741" s="8"/>
      <c r="AF741" s="8"/>
      <c r="AG741" s="8"/>
      <c r="AH741" s="8"/>
      <c r="AI741" s="8"/>
      <c r="AJ741" s="8"/>
      <c r="AK741" s="8"/>
      <c r="AL741" s="8"/>
      <c r="AM741" s="8"/>
      <c r="AN741" s="8"/>
      <c r="AO741" s="8"/>
      <c r="AP741" s="8"/>
      <c r="AQ741" s="8"/>
      <c r="AR741" s="8"/>
      <c r="AS741" s="8"/>
      <c r="AT741" s="8"/>
    </row>
    <row r="742">
      <c r="A742" s="415"/>
      <c r="B742" s="210"/>
      <c r="C742" s="415"/>
      <c r="D742" s="210"/>
      <c r="E742" s="415"/>
      <c r="F742" s="210"/>
      <c r="G742" s="415"/>
      <c r="H742" s="210"/>
      <c r="I742" s="415"/>
      <c r="J742" s="210"/>
      <c r="K742" s="415"/>
      <c r="L742" s="210"/>
      <c r="M742" s="415"/>
      <c r="N742" s="210"/>
      <c r="O742" s="415"/>
      <c r="P742" s="210"/>
      <c r="Q742" s="439"/>
      <c r="R742" s="439"/>
      <c r="S742" s="415"/>
      <c r="T742" s="210"/>
      <c r="U742" s="415"/>
      <c r="V742" s="210"/>
      <c r="W742" s="8"/>
      <c r="X742" s="8"/>
      <c r="Y742" s="8"/>
      <c r="Z742" s="8"/>
      <c r="AA742" s="8"/>
      <c r="AB742" s="8"/>
      <c r="AC742" s="8"/>
      <c r="AD742" s="8"/>
      <c r="AE742" s="8"/>
      <c r="AF742" s="8"/>
      <c r="AG742" s="8"/>
      <c r="AH742" s="8"/>
      <c r="AI742" s="8"/>
      <c r="AJ742" s="8"/>
      <c r="AK742" s="8"/>
      <c r="AL742" s="8"/>
      <c r="AM742" s="8"/>
      <c r="AN742" s="8"/>
      <c r="AO742" s="8"/>
      <c r="AP742" s="8"/>
      <c r="AQ742" s="8"/>
      <c r="AR742" s="8"/>
      <c r="AS742" s="8"/>
      <c r="AT742" s="8"/>
    </row>
    <row r="743">
      <c r="A743" s="415"/>
      <c r="B743" s="210"/>
      <c r="C743" s="415"/>
      <c r="D743" s="210"/>
      <c r="E743" s="415"/>
      <c r="F743" s="210"/>
      <c r="G743" s="415"/>
      <c r="H743" s="210"/>
      <c r="I743" s="415"/>
      <c r="J743" s="210"/>
      <c r="K743" s="415"/>
      <c r="L743" s="210"/>
      <c r="M743" s="415"/>
      <c r="N743" s="210"/>
      <c r="O743" s="415"/>
      <c r="P743" s="210"/>
      <c r="Q743" s="439"/>
      <c r="R743" s="439"/>
      <c r="S743" s="415"/>
      <c r="T743" s="210"/>
      <c r="U743" s="415"/>
      <c r="V743" s="210"/>
      <c r="W743" s="8"/>
      <c r="X743" s="8"/>
      <c r="Y743" s="8"/>
      <c r="Z743" s="8"/>
      <c r="AA743" s="8"/>
      <c r="AB743" s="8"/>
      <c r="AC743" s="8"/>
      <c r="AD743" s="8"/>
      <c r="AE743" s="8"/>
      <c r="AF743" s="8"/>
      <c r="AG743" s="8"/>
      <c r="AH743" s="8"/>
      <c r="AI743" s="8"/>
      <c r="AJ743" s="8"/>
      <c r="AK743" s="8"/>
      <c r="AL743" s="8"/>
      <c r="AM743" s="8"/>
      <c r="AN743" s="8"/>
      <c r="AO743" s="8"/>
      <c r="AP743" s="8"/>
      <c r="AQ743" s="8"/>
      <c r="AR743" s="8"/>
      <c r="AS743" s="8"/>
      <c r="AT743" s="8"/>
    </row>
    <row r="744">
      <c r="A744" s="415"/>
      <c r="B744" s="210"/>
      <c r="C744" s="415"/>
      <c r="D744" s="210"/>
      <c r="E744" s="415"/>
      <c r="F744" s="210"/>
      <c r="G744" s="415"/>
      <c r="H744" s="210"/>
      <c r="I744" s="415"/>
      <c r="J744" s="210"/>
      <c r="K744" s="415"/>
      <c r="L744" s="210"/>
      <c r="M744" s="415"/>
      <c r="N744" s="210"/>
      <c r="O744" s="415"/>
      <c r="P744" s="210"/>
      <c r="Q744" s="439"/>
      <c r="R744" s="439"/>
      <c r="S744" s="415"/>
      <c r="T744" s="210"/>
      <c r="U744" s="415"/>
      <c r="V744" s="210"/>
      <c r="W744" s="8"/>
      <c r="X744" s="8"/>
      <c r="Y744" s="8"/>
      <c r="Z744" s="8"/>
      <c r="AA744" s="8"/>
      <c r="AB744" s="8"/>
      <c r="AC744" s="8"/>
      <c r="AD744" s="8"/>
      <c r="AE744" s="8"/>
      <c r="AF744" s="8"/>
      <c r="AG744" s="8"/>
      <c r="AH744" s="8"/>
      <c r="AI744" s="8"/>
      <c r="AJ744" s="8"/>
      <c r="AK744" s="8"/>
      <c r="AL744" s="8"/>
      <c r="AM744" s="8"/>
      <c r="AN744" s="8"/>
      <c r="AO744" s="8"/>
      <c r="AP744" s="8"/>
      <c r="AQ744" s="8"/>
      <c r="AR744" s="8"/>
      <c r="AS744" s="8"/>
      <c r="AT744" s="8"/>
    </row>
    <row r="745">
      <c r="A745" s="415"/>
      <c r="B745" s="210"/>
      <c r="C745" s="415"/>
      <c r="D745" s="210"/>
      <c r="E745" s="415"/>
      <c r="F745" s="210"/>
      <c r="G745" s="415"/>
      <c r="H745" s="210"/>
      <c r="I745" s="415"/>
      <c r="J745" s="210"/>
      <c r="K745" s="415"/>
      <c r="L745" s="210"/>
      <c r="M745" s="415"/>
      <c r="N745" s="210"/>
      <c r="O745" s="415"/>
      <c r="P745" s="210"/>
      <c r="Q745" s="439"/>
      <c r="R745" s="439"/>
      <c r="S745" s="415"/>
      <c r="T745" s="210"/>
      <c r="U745" s="415"/>
      <c r="V745" s="210"/>
      <c r="W745" s="8"/>
      <c r="X745" s="8"/>
      <c r="Y745" s="8"/>
      <c r="Z745" s="8"/>
      <c r="AA745" s="8"/>
      <c r="AB745" s="8"/>
      <c r="AC745" s="8"/>
      <c r="AD745" s="8"/>
      <c r="AE745" s="8"/>
      <c r="AF745" s="8"/>
      <c r="AG745" s="8"/>
      <c r="AH745" s="8"/>
      <c r="AI745" s="8"/>
      <c r="AJ745" s="8"/>
      <c r="AK745" s="8"/>
      <c r="AL745" s="8"/>
      <c r="AM745" s="8"/>
      <c r="AN745" s="8"/>
      <c r="AO745" s="8"/>
      <c r="AP745" s="8"/>
      <c r="AQ745" s="8"/>
      <c r="AR745" s="8"/>
      <c r="AS745" s="8"/>
      <c r="AT745" s="8"/>
    </row>
    <row r="746">
      <c r="A746" s="415"/>
      <c r="B746" s="210"/>
      <c r="C746" s="415"/>
      <c r="D746" s="210"/>
      <c r="E746" s="415"/>
      <c r="F746" s="210"/>
      <c r="G746" s="415"/>
      <c r="H746" s="210"/>
      <c r="I746" s="415"/>
      <c r="J746" s="210"/>
      <c r="K746" s="415"/>
      <c r="L746" s="210"/>
      <c r="M746" s="415"/>
      <c r="N746" s="210"/>
      <c r="O746" s="415"/>
      <c r="P746" s="210"/>
      <c r="Q746" s="439"/>
      <c r="R746" s="439"/>
      <c r="S746" s="415"/>
      <c r="T746" s="210"/>
      <c r="U746" s="415"/>
      <c r="V746" s="210"/>
      <c r="W746" s="8"/>
      <c r="X746" s="8"/>
      <c r="Y746" s="8"/>
      <c r="Z746" s="8"/>
      <c r="AA746" s="8"/>
      <c r="AB746" s="8"/>
      <c r="AC746" s="8"/>
      <c r="AD746" s="8"/>
      <c r="AE746" s="8"/>
      <c r="AF746" s="8"/>
      <c r="AG746" s="8"/>
      <c r="AH746" s="8"/>
      <c r="AI746" s="8"/>
      <c r="AJ746" s="8"/>
      <c r="AK746" s="8"/>
      <c r="AL746" s="8"/>
      <c r="AM746" s="8"/>
      <c r="AN746" s="8"/>
      <c r="AO746" s="8"/>
      <c r="AP746" s="8"/>
      <c r="AQ746" s="8"/>
      <c r="AR746" s="8"/>
      <c r="AS746" s="8"/>
      <c r="AT746" s="8"/>
    </row>
    <row r="747">
      <c r="A747" s="415"/>
      <c r="B747" s="210"/>
      <c r="C747" s="415"/>
      <c r="D747" s="210"/>
      <c r="E747" s="415"/>
      <c r="F747" s="210"/>
      <c r="G747" s="415"/>
      <c r="H747" s="210"/>
      <c r="I747" s="415"/>
      <c r="J747" s="210"/>
      <c r="K747" s="415"/>
      <c r="L747" s="210"/>
      <c r="M747" s="415"/>
      <c r="N747" s="210"/>
      <c r="O747" s="415"/>
      <c r="P747" s="210"/>
      <c r="Q747" s="439"/>
      <c r="R747" s="439"/>
      <c r="S747" s="415"/>
      <c r="T747" s="210"/>
      <c r="U747" s="415"/>
      <c r="V747" s="210"/>
      <c r="W747" s="8"/>
      <c r="X747" s="8"/>
      <c r="Y747" s="8"/>
      <c r="Z747" s="8"/>
      <c r="AA747" s="8"/>
      <c r="AB747" s="8"/>
      <c r="AC747" s="8"/>
      <c r="AD747" s="8"/>
      <c r="AE747" s="8"/>
      <c r="AF747" s="8"/>
      <c r="AG747" s="8"/>
      <c r="AH747" s="8"/>
      <c r="AI747" s="8"/>
      <c r="AJ747" s="8"/>
      <c r="AK747" s="8"/>
      <c r="AL747" s="8"/>
      <c r="AM747" s="8"/>
      <c r="AN747" s="8"/>
      <c r="AO747" s="8"/>
      <c r="AP747" s="8"/>
      <c r="AQ747" s="8"/>
      <c r="AR747" s="8"/>
      <c r="AS747" s="8"/>
      <c r="AT747" s="8"/>
    </row>
    <row r="748">
      <c r="A748" s="415"/>
      <c r="B748" s="210"/>
      <c r="C748" s="415"/>
      <c r="D748" s="210"/>
      <c r="E748" s="415"/>
      <c r="F748" s="210"/>
      <c r="G748" s="415"/>
      <c r="H748" s="210"/>
      <c r="I748" s="415"/>
      <c r="J748" s="210"/>
      <c r="K748" s="415"/>
      <c r="L748" s="210"/>
      <c r="M748" s="415"/>
      <c r="N748" s="210"/>
      <c r="O748" s="415"/>
      <c r="P748" s="210"/>
      <c r="Q748" s="439"/>
      <c r="R748" s="439"/>
      <c r="S748" s="415"/>
      <c r="T748" s="210"/>
      <c r="U748" s="415"/>
      <c r="V748" s="210"/>
      <c r="W748" s="8"/>
      <c r="X748" s="8"/>
      <c r="Y748" s="8"/>
      <c r="Z748" s="8"/>
      <c r="AA748" s="8"/>
      <c r="AB748" s="8"/>
      <c r="AC748" s="8"/>
      <c r="AD748" s="8"/>
      <c r="AE748" s="8"/>
      <c r="AF748" s="8"/>
      <c r="AG748" s="8"/>
      <c r="AH748" s="8"/>
      <c r="AI748" s="8"/>
      <c r="AJ748" s="8"/>
      <c r="AK748" s="8"/>
      <c r="AL748" s="8"/>
      <c r="AM748" s="8"/>
      <c r="AN748" s="8"/>
      <c r="AO748" s="8"/>
      <c r="AP748" s="8"/>
      <c r="AQ748" s="8"/>
      <c r="AR748" s="8"/>
      <c r="AS748" s="8"/>
      <c r="AT748" s="8"/>
    </row>
    <row r="749">
      <c r="A749" s="415"/>
      <c r="B749" s="210"/>
      <c r="C749" s="415"/>
      <c r="D749" s="210"/>
      <c r="E749" s="415"/>
      <c r="F749" s="210"/>
      <c r="G749" s="415"/>
      <c r="H749" s="210"/>
      <c r="I749" s="415"/>
      <c r="J749" s="210"/>
      <c r="K749" s="415"/>
      <c r="L749" s="210"/>
      <c r="M749" s="415"/>
      <c r="N749" s="210"/>
      <c r="O749" s="415"/>
      <c r="P749" s="210"/>
      <c r="Q749" s="439"/>
      <c r="R749" s="439"/>
      <c r="S749" s="415"/>
      <c r="T749" s="210"/>
      <c r="U749" s="415"/>
      <c r="V749" s="210"/>
      <c r="W749" s="8"/>
      <c r="X749" s="8"/>
      <c r="Y749" s="8"/>
      <c r="Z749" s="8"/>
      <c r="AA749" s="8"/>
      <c r="AB749" s="8"/>
      <c r="AC749" s="8"/>
      <c r="AD749" s="8"/>
      <c r="AE749" s="8"/>
      <c r="AF749" s="8"/>
      <c r="AG749" s="8"/>
      <c r="AH749" s="8"/>
      <c r="AI749" s="8"/>
      <c r="AJ749" s="8"/>
      <c r="AK749" s="8"/>
      <c r="AL749" s="8"/>
      <c r="AM749" s="8"/>
      <c r="AN749" s="8"/>
      <c r="AO749" s="8"/>
      <c r="AP749" s="8"/>
      <c r="AQ749" s="8"/>
      <c r="AR749" s="8"/>
      <c r="AS749" s="8"/>
      <c r="AT749" s="8"/>
    </row>
    <row r="750">
      <c r="A750" s="415"/>
      <c r="B750" s="210"/>
      <c r="C750" s="415"/>
      <c r="D750" s="210"/>
      <c r="E750" s="415"/>
      <c r="F750" s="210"/>
      <c r="G750" s="415"/>
      <c r="H750" s="210"/>
      <c r="I750" s="415"/>
      <c r="J750" s="210"/>
      <c r="K750" s="415"/>
      <c r="L750" s="210"/>
      <c r="M750" s="415"/>
      <c r="N750" s="210"/>
      <c r="O750" s="415"/>
      <c r="P750" s="210"/>
      <c r="Q750" s="439"/>
      <c r="R750" s="439"/>
      <c r="S750" s="415"/>
      <c r="T750" s="210"/>
      <c r="U750" s="415"/>
      <c r="V750" s="210"/>
      <c r="W750" s="8"/>
      <c r="X750" s="8"/>
      <c r="Y750" s="8"/>
      <c r="Z750" s="8"/>
      <c r="AA750" s="8"/>
      <c r="AB750" s="8"/>
      <c r="AC750" s="8"/>
      <c r="AD750" s="8"/>
      <c r="AE750" s="8"/>
      <c r="AF750" s="8"/>
      <c r="AG750" s="8"/>
      <c r="AH750" s="8"/>
      <c r="AI750" s="8"/>
      <c r="AJ750" s="8"/>
      <c r="AK750" s="8"/>
      <c r="AL750" s="8"/>
      <c r="AM750" s="8"/>
      <c r="AN750" s="8"/>
      <c r="AO750" s="8"/>
      <c r="AP750" s="8"/>
      <c r="AQ750" s="8"/>
      <c r="AR750" s="8"/>
      <c r="AS750" s="8"/>
      <c r="AT750" s="8"/>
    </row>
    <row r="751">
      <c r="A751" s="415"/>
      <c r="B751" s="210"/>
      <c r="C751" s="415"/>
      <c r="D751" s="210"/>
      <c r="E751" s="415"/>
      <c r="F751" s="210"/>
      <c r="G751" s="415"/>
      <c r="H751" s="210"/>
      <c r="I751" s="415"/>
      <c r="J751" s="210"/>
      <c r="K751" s="415"/>
      <c r="L751" s="210"/>
      <c r="M751" s="415"/>
      <c r="N751" s="210"/>
      <c r="O751" s="415"/>
      <c r="P751" s="210"/>
      <c r="Q751" s="439"/>
      <c r="R751" s="439"/>
      <c r="S751" s="415"/>
      <c r="T751" s="210"/>
      <c r="U751" s="415"/>
      <c r="V751" s="210"/>
      <c r="W751" s="8"/>
      <c r="X751" s="8"/>
      <c r="Y751" s="8"/>
      <c r="Z751" s="8"/>
      <c r="AA751" s="8"/>
      <c r="AB751" s="8"/>
      <c r="AC751" s="8"/>
      <c r="AD751" s="8"/>
      <c r="AE751" s="8"/>
      <c r="AF751" s="8"/>
      <c r="AG751" s="8"/>
      <c r="AH751" s="8"/>
      <c r="AI751" s="8"/>
      <c r="AJ751" s="8"/>
      <c r="AK751" s="8"/>
      <c r="AL751" s="8"/>
      <c r="AM751" s="8"/>
      <c r="AN751" s="8"/>
      <c r="AO751" s="8"/>
      <c r="AP751" s="8"/>
      <c r="AQ751" s="8"/>
      <c r="AR751" s="8"/>
      <c r="AS751" s="8"/>
      <c r="AT751" s="8"/>
    </row>
    <row r="752">
      <c r="A752" s="415"/>
      <c r="B752" s="210"/>
      <c r="C752" s="415"/>
      <c r="D752" s="210"/>
      <c r="E752" s="415"/>
      <c r="F752" s="210"/>
      <c r="G752" s="415"/>
      <c r="H752" s="210"/>
      <c r="I752" s="415"/>
      <c r="J752" s="210"/>
      <c r="K752" s="415"/>
      <c r="L752" s="210"/>
      <c r="M752" s="415"/>
      <c r="N752" s="210"/>
      <c r="O752" s="415"/>
      <c r="P752" s="210"/>
      <c r="Q752" s="439"/>
      <c r="R752" s="439"/>
      <c r="S752" s="415"/>
      <c r="T752" s="210"/>
      <c r="U752" s="415"/>
      <c r="V752" s="210"/>
      <c r="W752" s="8"/>
      <c r="X752" s="8"/>
      <c r="Y752" s="8"/>
      <c r="Z752" s="8"/>
      <c r="AA752" s="8"/>
      <c r="AB752" s="8"/>
      <c r="AC752" s="8"/>
      <c r="AD752" s="8"/>
      <c r="AE752" s="8"/>
      <c r="AF752" s="8"/>
      <c r="AG752" s="8"/>
      <c r="AH752" s="8"/>
      <c r="AI752" s="8"/>
      <c r="AJ752" s="8"/>
      <c r="AK752" s="8"/>
      <c r="AL752" s="8"/>
      <c r="AM752" s="8"/>
      <c r="AN752" s="8"/>
      <c r="AO752" s="8"/>
      <c r="AP752" s="8"/>
      <c r="AQ752" s="8"/>
      <c r="AR752" s="8"/>
      <c r="AS752" s="8"/>
      <c r="AT752" s="8"/>
    </row>
    <row r="753">
      <c r="A753" s="415"/>
      <c r="B753" s="210"/>
      <c r="C753" s="415"/>
      <c r="D753" s="210"/>
      <c r="E753" s="415"/>
      <c r="F753" s="210"/>
      <c r="G753" s="415"/>
      <c r="H753" s="210"/>
      <c r="I753" s="415"/>
      <c r="J753" s="210"/>
      <c r="K753" s="415"/>
      <c r="L753" s="210"/>
      <c r="M753" s="415"/>
      <c r="N753" s="210"/>
      <c r="O753" s="415"/>
      <c r="P753" s="210"/>
      <c r="Q753" s="439"/>
      <c r="R753" s="439"/>
      <c r="S753" s="415"/>
      <c r="T753" s="210"/>
      <c r="U753" s="415"/>
      <c r="V753" s="210"/>
      <c r="W753" s="8"/>
      <c r="X753" s="8"/>
      <c r="Y753" s="8"/>
      <c r="Z753" s="8"/>
      <c r="AA753" s="8"/>
      <c r="AB753" s="8"/>
      <c r="AC753" s="8"/>
      <c r="AD753" s="8"/>
      <c r="AE753" s="8"/>
      <c r="AF753" s="8"/>
      <c r="AG753" s="8"/>
      <c r="AH753" s="8"/>
      <c r="AI753" s="8"/>
      <c r="AJ753" s="8"/>
      <c r="AK753" s="8"/>
      <c r="AL753" s="8"/>
      <c r="AM753" s="8"/>
      <c r="AN753" s="8"/>
      <c r="AO753" s="8"/>
      <c r="AP753" s="8"/>
      <c r="AQ753" s="8"/>
      <c r="AR753" s="8"/>
      <c r="AS753" s="8"/>
      <c r="AT753" s="8"/>
    </row>
    <row r="754">
      <c r="A754" s="415"/>
      <c r="B754" s="210"/>
      <c r="C754" s="415"/>
      <c r="D754" s="210"/>
      <c r="E754" s="415"/>
      <c r="F754" s="210"/>
      <c r="G754" s="415"/>
      <c r="H754" s="210"/>
      <c r="I754" s="415"/>
      <c r="J754" s="210"/>
      <c r="K754" s="415"/>
      <c r="L754" s="210"/>
      <c r="M754" s="415"/>
      <c r="N754" s="210"/>
      <c r="O754" s="415"/>
      <c r="P754" s="210"/>
      <c r="Q754" s="439"/>
      <c r="R754" s="439"/>
      <c r="S754" s="415"/>
      <c r="T754" s="210"/>
      <c r="U754" s="415"/>
      <c r="V754" s="210"/>
      <c r="W754" s="8"/>
      <c r="X754" s="8"/>
      <c r="Y754" s="8"/>
      <c r="Z754" s="8"/>
      <c r="AA754" s="8"/>
      <c r="AB754" s="8"/>
      <c r="AC754" s="8"/>
      <c r="AD754" s="8"/>
      <c r="AE754" s="8"/>
      <c r="AF754" s="8"/>
      <c r="AG754" s="8"/>
      <c r="AH754" s="8"/>
      <c r="AI754" s="8"/>
      <c r="AJ754" s="8"/>
      <c r="AK754" s="8"/>
      <c r="AL754" s="8"/>
      <c r="AM754" s="8"/>
      <c r="AN754" s="8"/>
      <c r="AO754" s="8"/>
      <c r="AP754" s="8"/>
      <c r="AQ754" s="8"/>
      <c r="AR754" s="8"/>
      <c r="AS754" s="8"/>
      <c r="AT754" s="8"/>
    </row>
    <row r="755">
      <c r="A755" s="415"/>
      <c r="B755" s="210"/>
      <c r="C755" s="415"/>
      <c r="D755" s="210"/>
      <c r="E755" s="415"/>
      <c r="F755" s="210"/>
      <c r="G755" s="415"/>
      <c r="H755" s="210"/>
      <c r="I755" s="415"/>
      <c r="J755" s="210"/>
      <c r="K755" s="415"/>
      <c r="L755" s="210"/>
      <c r="M755" s="415"/>
      <c r="N755" s="210"/>
      <c r="O755" s="415"/>
      <c r="P755" s="210"/>
      <c r="Q755" s="439"/>
      <c r="R755" s="439"/>
      <c r="S755" s="415"/>
      <c r="T755" s="210"/>
      <c r="U755" s="415"/>
      <c r="V755" s="210"/>
      <c r="W755" s="8"/>
      <c r="X755" s="8"/>
      <c r="Y755" s="8"/>
      <c r="Z755" s="8"/>
      <c r="AA755" s="8"/>
      <c r="AB755" s="8"/>
      <c r="AC755" s="8"/>
      <c r="AD755" s="8"/>
      <c r="AE755" s="8"/>
      <c r="AF755" s="8"/>
      <c r="AG755" s="8"/>
      <c r="AH755" s="8"/>
      <c r="AI755" s="8"/>
      <c r="AJ755" s="8"/>
      <c r="AK755" s="8"/>
      <c r="AL755" s="8"/>
      <c r="AM755" s="8"/>
      <c r="AN755" s="8"/>
      <c r="AO755" s="8"/>
      <c r="AP755" s="8"/>
      <c r="AQ755" s="8"/>
      <c r="AR755" s="8"/>
      <c r="AS755" s="8"/>
      <c r="AT755" s="8"/>
    </row>
    <row r="756">
      <c r="A756" s="415"/>
      <c r="B756" s="210"/>
      <c r="C756" s="415"/>
      <c r="D756" s="210"/>
      <c r="E756" s="415"/>
      <c r="F756" s="210"/>
      <c r="G756" s="415"/>
      <c r="H756" s="210"/>
      <c r="I756" s="415"/>
      <c r="J756" s="210"/>
      <c r="K756" s="415"/>
      <c r="L756" s="210"/>
      <c r="M756" s="415"/>
      <c r="N756" s="210"/>
      <c r="O756" s="415"/>
      <c r="P756" s="210"/>
      <c r="Q756" s="439"/>
      <c r="R756" s="439"/>
      <c r="S756" s="415"/>
      <c r="T756" s="210"/>
      <c r="U756" s="415"/>
      <c r="V756" s="210"/>
      <c r="W756" s="8"/>
      <c r="X756" s="8"/>
      <c r="Y756" s="8"/>
      <c r="Z756" s="8"/>
      <c r="AA756" s="8"/>
      <c r="AB756" s="8"/>
      <c r="AC756" s="8"/>
      <c r="AD756" s="8"/>
      <c r="AE756" s="8"/>
      <c r="AF756" s="8"/>
      <c r="AG756" s="8"/>
      <c r="AH756" s="8"/>
      <c r="AI756" s="8"/>
      <c r="AJ756" s="8"/>
      <c r="AK756" s="8"/>
      <c r="AL756" s="8"/>
      <c r="AM756" s="8"/>
      <c r="AN756" s="8"/>
      <c r="AO756" s="8"/>
      <c r="AP756" s="8"/>
      <c r="AQ756" s="8"/>
      <c r="AR756" s="8"/>
      <c r="AS756" s="8"/>
      <c r="AT756" s="8"/>
    </row>
    <row r="757">
      <c r="A757" s="415"/>
      <c r="B757" s="210"/>
      <c r="C757" s="415"/>
      <c r="D757" s="210"/>
      <c r="E757" s="415"/>
      <c r="F757" s="210"/>
      <c r="G757" s="415"/>
      <c r="H757" s="210"/>
      <c r="I757" s="415"/>
      <c r="J757" s="210"/>
      <c r="K757" s="415"/>
      <c r="L757" s="210"/>
      <c r="M757" s="415"/>
      <c r="N757" s="210"/>
      <c r="O757" s="415"/>
      <c r="P757" s="210"/>
      <c r="Q757" s="439"/>
      <c r="R757" s="439"/>
      <c r="S757" s="415"/>
      <c r="T757" s="210"/>
      <c r="U757" s="415"/>
      <c r="V757" s="210"/>
      <c r="W757" s="8"/>
      <c r="X757" s="8"/>
      <c r="Y757" s="8"/>
      <c r="Z757" s="8"/>
      <c r="AA757" s="8"/>
      <c r="AB757" s="8"/>
      <c r="AC757" s="8"/>
      <c r="AD757" s="8"/>
      <c r="AE757" s="8"/>
      <c r="AF757" s="8"/>
      <c r="AG757" s="8"/>
      <c r="AH757" s="8"/>
      <c r="AI757" s="8"/>
      <c r="AJ757" s="8"/>
      <c r="AK757" s="8"/>
      <c r="AL757" s="8"/>
      <c r="AM757" s="8"/>
      <c r="AN757" s="8"/>
      <c r="AO757" s="8"/>
      <c r="AP757" s="8"/>
      <c r="AQ757" s="8"/>
      <c r="AR757" s="8"/>
      <c r="AS757" s="8"/>
      <c r="AT757" s="8"/>
    </row>
    <row r="758">
      <c r="A758" s="415"/>
      <c r="B758" s="210"/>
      <c r="C758" s="415"/>
      <c r="D758" s="210"/>
      <c r="E758" s="415"/>
      <c r="F758" s="210"/>
      <c r="G758" s="415"/>
      <c r="H758" s="210"/>
      <c r="I758" s="415"/>
      <c r="J758" s="210"/>
      <c r="K758" s="415"/>
      <c r="L758" s="210"/>
      <c r="M758" s="415"/>
      <c r="N758" s="210"/>
      <c r="O758" s="415"/>
      <c r="P758" s="210"/>
      <c r="Q758" s="439"/>
      <c r="R758" s="439"/>
      <c r="S758" s="415"/>
      <c r="T758" s="210"/>
      <c r="U758" s="415"/>
      <c r="V758" s="210"/>
      <c r="W758" s="8"/>
      <c r="X758" s="8"/>
      <c r="Y758" s="8"/>
      <c r="Z758" s="8"/>
      <c r="AA758" s="8"/>
      <c r="AB758" s="8"/>
      <c r="AC758" s="8"/>
      <c r="AD758" s="8"/>
      <c r="AE758" s="8"/>
      <c r="AF758" s="8"/>
      <c r="AG758" s="8"/>
      <c r="AH758" s="8"/>
      <c r="AI758" s="8"/>
      <c r="AJ758" s="8"/>
      <c r="AK758" s="8"/>
      <c r="AL758" s="8"/>
      <c r="AM758" s="8"/>
      <c r="AN758" s="8"/>
      <c r="AO758" s="8"/>
      <c r="AP758" s="8"/>
      <c r="AQ758" s="8"/>
      <c r="AR758" s="8"/>
      <c r="AS758" s="8"/>
      <c r="AT758" s="8"/>
    </row>
    <row r="759">
      <c r="A759" s="415"/>
      <c r="B759" s="210"/>
      <c r="C759" s="415"/>
      <c r="D759" s="210"/>
      <c r="E759" s="415"/>
      <c r="F759" s="210"/>
      <c r="G759" s="415"/>
      <c r="H759" s="210"/>
      <c r="I759" s="415"/>
      <c r="J759" s="210"/>
      <c r="K759" s="415"/>
      <c r="L759" s="210"/>
      <c r="M759" s="415"/>
      <c r="N759" s="210"/>
      <c r="O759" s="415"/>
      <c r="P759" s="210"/>
      <c r="Q759" s="439"/>
      <c r="R759" s="439"/>
      <c r="S759" s="415"/>
      <c r="T759" s="210"/>
      <c r="U759" s="415"/>
      <c r="V759" s="210"/>
      <c r="W759" s="8"/>
      <c r="X759" s="8"/>
      <c r="Y759" s="8"/>
      <c r="Z759" s="8"/>
      <c r="AA759" s="8"/>
      <c r="AB759" s="8"/>
      <c r="AC759" s="8"/>
      <c r="AD759" s="8"/>
      <c r="AE759" s="8"/>
      <c r="AF759" s="8"/>
      <c r="AG759" s="8"/>
      <c r="AH759" s="8"/>
      <c r="AI759" s="8"/>
      <c r="AJ759" s="8"/>
      <c r="AK759" s="8"/>
      <c r="AL759" s="8"/>
      <c r="AM759" s="8"/>
      <c r="AN759" s="8"/>
      <c r="AO759" s="8"/>
      <c r="AP759" s="8"/>
      <c r="AQ759" s="8"/>
      <c r="AR759" s="8"/>
      <c r="AS759" s="8"/>
      <c r="AT759" s="8"/>
    </row>
    <row r="760">
      <c r="A760" s="415"/>
      <c r="B760" s="210"/>
      <c r="C760" s="415"/>
      <c r="D760" s="210"/>
      <c r="E760" s="415"/>
      <c r="F760" s="210"/>
      <c r="G760" s="415"/>
      <c r="H760" s="210"/>
      <c r="I760" s="415"/>
      <c r="J760" s="210"/>
      <c r="K760" s="415"/>
      <c r="L760" s="210"/>
      <c r="M760" s="415"/>
      <c r="N760" s="210"/>
      <c r="O760" s="415"/>
      <c r="P760" s="210"/>
      <c r="Q760" s="439"/>
      <c r="R760" s="439"/>
      <c r="S760" s="415"/>
      <c r="T760" s="210"/>
      <c r="U760" s="415"/>
      <c r="V760" s="210"/>
      <c r="W760" s="8"/>
      <c r="X760" s="8"/>
      <c r="Y760" s="8"/>
      <c r="Z760" s="8"/>
      <c r="AA760" s="8"/>
      <c r="AB760" s="8"/>
      <c r="AC760" s="8"/>
      <c r="AD760" s="8"/>
      <c r="AE760" s="8"/>
      <c r="AF760" s="8"/>
      <c r="AG760" s="8"/>
      <c r="AH760" s="8"/>
      <c r="AI760" s="8"/>
      <c r="AJ760" s="8"/>
      <c r="AK760" s="8"/>
      <c r="AL760" s="8"/>
      <c r="AM760" s="8"/>
      <c r="AN760" s="8"/>
      <c r="AO760" s="8"/>
      <c r="AP760" s="8"/>
      <c r="AQ760" s="8"/>
      <c r="AR760" s="8"/>
      <c r="AS760" s="8"/>
      <c r="AT760" s="8"/>
    </row>
    <row r="761">
      <c r="A761" s="415"/>
      <c r="B761" s="210"/>
      <c r="C761" s="415"/>
      <c r="D761" s="210"/>
      <c r="E761" s="415"/>
      <c r="F761" s="210"/>
      <c r="G761" s="415"/>
      <c r="H761" s="210"/>
      <c r="I761" s="415"/>
      <c r="J761" s="210"/>
      <c r="K761" s="415"/>
      <c r="L761" s="210"/>
      <c r="M761" s="415"/>
      <c r="N761" s="210"/>
      <c r="O761" s="415"/>
      <c r="P761" s="210"/>
      <c r="Q761" s="439"/>
      <c r="R761" s="439"/>
      <c r="S761" s="415"/>
      <c r="T761" s="210"/>
      <c r="U761" s="415"/>
      <c r="V761" s="210"/>
      <c r="W761" s="8"/>
      <c r="X761" s="8"/>
      <c r="Y761" s="8"/>
      <c r="Z761" s="8"/>
      <c r="AA761" s="8"/>
      <c r="AB761" s="8"/>
      <c r="AC761" s="8"/>
      <c r="AD761" s="8"/>
      <c r="AE761" s="8"/>
      <c r="AF761" s="8"/>
      <c r="AG761" s="8"/>
      <c r="AH761" s="8"/>
      <c r="AI761" s="8"/>
      <c r="AJ761" s="8"/>
      <c r="AK761" s="8"/>
      <c r="AL761" s="8"/>
      <c r="AM761" s="8"/>
      <c r="AN761" s="8"/>
      <c r="AO761" s="8"/>
      <c r="AP761" s="8"/>
      <c r="AQ761" s="8"/>
      <c r="AR761" s="8"/>
      <c r="AS761" s="8"/>
      <c r="AT761" s="8"/>
    </row>
    <row r="762">
      <c r="A762" s="415"/>
      <c r="B762" s="210"/>
      <c r="C762" s="415"/>
      <c r="D762" s="210"/>
      <c r="E762" s="415"/>
      <c r="F762" s="210"/>
      <c r="G762" s="415"/>
      <c r="H762" s="210"/>
      <c r="I762" s="415"/>
      <c r="J762" s="210"/>
      <c r="K762" s="415"/>
      <c r="L762" s="210"/>
      <c r="M762" s="415"/>
      <c r="N762" s="210"/>
      <c r="O762" s="415"/>
      <c r="P762" s="210"/>
      <c r="Q762" s="439"/>
      <c r="R762" s="439"/>
      <c r="S762" s="415"/>
      <c r="T762" s="210"/>
      <c r="U762" s="415"/>
      <c r="V762" s="210"/>
      <c r="W762" s="8"/>
      <c r="X762" s="8"/>
      <c r="Y762" s="8"/>
      <c r="Z762" s="8"/>
      <c r="AA762" s="8"/>
      <c r="AB762" s="8"/>
      <c r="AC762" s="8"/>
      <c r="AD762" s="8"/>
      <c r="AE762" s="8"/>
      <c r="AF762" s="8"/>
      <c r="AG762" s="8"/>
      <c r="AH762" s="8"/>
      <c r="AI762" s="8"/>
      <c r="AJ762" s="8"/>
      <c r="AK762" s="8"/>
      <c r="AL762" s="8"/>
      <c r="AM762" s="8"/>
      <c r="AN762" s="8"/>
      <c r="AO762" s="8"/>
      <c r="AP762" s="8"/>
      <c r="AQ762" s="8"/>
      <c r="AR762" s="8"/>
      <c r="AS762" s="8"/>
      <c r="AT762" s="8"/>
    </row>
    <row r="763">
      <c r="A763" s="415"/>
      <c r="B763" s="210"/>
      <c r="C763" s="415"/>
      <c r="D763" s="210"/>
      <c r="E763" s="415"/>
      <c r="F763" s="210"/>
      <c r="G763" s="415"/>
      <c r="H763" s="210"/>
      <c r="I763" s="415"/>
      <c r="J763" s="210"/>
      <c r="K763" s="415"/>
      <c r="L763" s="210"/>
      <c r="M763" s="415"/>
      <c r="N763" s="210"/>
      <c r="O763" s="415"/>
      <c r="P763" s="210"/>
      <c r="Q763" s="439"/>
      <c r="R763" s="439"/>
      <c r="S763" s="415"/>
      <c r="T763" s="210"/>
      <c r="U763" s="415"/>
      <c r="V763" s="210"/>
      <c r="W763" s="8"/>
      <c r="X763" s="8"/>
      <c r="Y763" s="8"/>
      <c r="Z763" s="8"/>
      <c r="AA763" s="8"/>
      <c r="AB763" s="8"/>
      <c r="AC763" s="8"/>
      <c r="AD763" s="8"/>
      <c r="AE763" s="8"/>
      <c r="AF763" s="8"/>
      <c r="AG763" s="8"/>
      <c r="AH763" s="8"/>
      <c r="AI763" s="8"/>
      <c r="AJ763" s="8"/>
      <c r="AK763" s="8"/>
      <c r="AL763" s="8"/>
      <c r="AM763" s="8"/>
      <c r="AN763" s="8"/>
      <c r="AO763" s="8"/>
      <c r="AP763" s="8"/>
      <c r="AQ763" s="8"/>
      <c r="AR763" s="8"/>
      <c r="AS763" s="8"/>
      <c r="AT763" s="8"/>
    </row>
    <row r="764">
      <c r="A764" s="415"/>
      <c r="B764" s="210"/>
      <c r="C764" s="415"/>
      <c r="D764" s="210"/>
      <c r="E764" s="415"/>
      <c r="F764" s="210"/>
      <c r="G764" s="415"/>
      <c r="H764" s="210"/>
      <c r="I764" s="415"/>
      <c r="J764" s="210"/>
      <c r="K764" s="415"/>
      <c r="L764" s="210"/>
      <c r="M764" s="415"/>
      <c r="N764" s="210"/>
      <c r="O764" s="415"/>
      <c r="P764" s="210"/>
      <c r="Q764" s="439"/>
      <c r="R764" s="439"/>
      <c r="S764" s="415"/>
      <c r="T764" s="210"/>
      <c r="U764" s="415"/>
      <c r="V764" s="210"/>
      <c r="W764" s="8"/>
      <c r="X764" s="8"/>
      <c r="Y764" s="8"/>
      <c r="Z764" s="8"/>
      <c r="AA764" s="8"/>
      <c r="AB764" s="8"/>
      <c r="AC764" s="8"/>
      <c r="AD764" s="8"/>
      <c r="AE764" s="8"/>
      <c r="AF764" s="8"/>
      <c r="AG764" s="8"/>
      <c r="AH764" s="8"/>
      <c r="AI764" s="8"/>
      <c r="AJ764" s="8"/>
      <c r="AK764" s="8"/>
      <c r="AL764" s="8"/>
      <c r="AM764" s="8"/>
      <c r="AN764" s="8"/>
      <c r="AO764" s="8"/>
      <c r="AP764" s="8"/>
      <c r="AQ764" s="8"/>
      <c r="AR764" s="8"/>
      <c r="AS764" s="8"/>
      <c r="AT764" s="8"/>
    </row>
    <row r="765">
      <c r="A765" s="415"/>
      <c r="B765" s="210"/>
      <c r="C765" s="415"/>
      <c r="D765" s="210"/>
      <c r="E765" s="415"/>
      <c r="F765" s="210"/>
      <c r="G765" s="415"/>
      <c r="H765" s="210"/>
      <c r="I765" s="415"/>
      <c r="J765" s="210"/>
      <c r="K765" s="415"/>
      <c r="L765" s="210"/>
      <c r="M765" s="415"/>
      <c r="N765" s="210"/>
      <c r="O765" s="415"/>
      <c r="P765" s="210"/>
      <c r="Q765" s="439"/>
      <c r="R765" s="439"/>
      <c r="S765" s="415"/>
      <c r="T765" s="210"/>
      <c r="U765" s="415"/>
      <c r="V765" s="210"/>
      <c r="W765" s="8"/>
      <c r="X765" s="8"/>
      <c r="Y765" s="8"/>
      <c r="Z765" s="8"/>
      <c r="AA765" s="8"/>
      <c r="AB765" s="8"/>
      <c r="AC765" s="8"/>
      <c r="AD765" s="8"/>
      <c r="AE765" s="8"/>
      <c r="AF765" s="8"/>
      <c r="AG765" s="8"/>
      <c r="AH765" s="8"/>
      <c r="AI765" s="8"/>
      <c r="AJ765" s="8"/>
      <c r="AK765" s="8"/>
      <c r="AL765" s="8"/>
      <c r="AM765" s="8"/>
      <c r="AN765" s="8"/>
      <c r="AO765" s="8"/>
      <c r="AP765" s="8"/>
      <c r="AQ765" s="8"/>
      <c r="AR765" s="8"/>
      <c r="AS765" s="8"/>
      <c r="AT765" s="8"/>
    </row>
    <row r="766">
      <c r="A766" s="415"/>
      <c r="B766" s="210"/>
      <c r="C766" s="415"/>
      <c r="D766" s="210"/>
      <c r="E766" s="415"/>
      <c r="F766" s="210"/>
      <c r="G766" s="415"/>
      <c r="H766" s="210"/>
      <c r="I766" s="415"/>
      <c r="J766" s="210"/>
      <c r="K766" s="415"/>
      <c r="L766" s="210"/>
      <c r="M766" s="415"/>
      <c r="N766" s="210"/>
      <c r="O766" s="415"/>
      <c r="P766" s="210"/>
      <c r="Q766" s="439"/>
      <c r="R766" s="439"/>
      <c r="S766" s="415"/>
      <c r="T766" s="210"/>
      <c r="U766" s="415"/>
      <c r="V766" s="210"/>
      <c r="W766" s="8"/>
      <c r="X766" s="8"/>
      <c r="Y766" s="8"/>
      <c r="Z766" s="8"/>
      <c r="AA766" s="8"/>
      <c r="AB766" s="8"/>
      <c r="AC766" s="8"/>
      <c r="AD766" s="8"/>
      <c r="AE766" s="8"/>
      <c r="AF766" s="8"/>
      <c r="AG766" s="8"/>
      <c r="AH766" s="8"/>
      <c r="AI766" s="8"/>
      <c r="AJ766" s="8"/>
      <c r="AK766" s="8"/>
      <c r="AL766" s="8"/>
      <c r="AM766" s="8"/>
      <c r="AN766" s="8"/>
      <c r="AO766" s="8"/>
      <c r="AP766" s="8"/>
      <c r="AQ766" s="8"/>
      <c r="AR766" s="8"/>
      <c r="AS766" s="8"/>
      <c r="AT766" s="8"/>
    </row>
    <row r="767">
      <c r="A767" s="415"/>
      <c r="B767" s="210"/>
      <c r="C767" s="415"/>
      <c r="D767" s="210"/>
      <c r="E767" s="415"/>
      <c r="F767" s="210"/>
      <c r="G767" s="415"/>
      <c r="H767" s="210"/>
      <c r="I767" s="415"/>
      <c r="J767" s="210"/>
      <c r="K767" s="415"/>
      <c r="L767" s="210"/>
      <c r="M767" s="415"/>
      <c r="N767" s="210"/>
      <c r="O767" s="415"/>
      <c r="P767" s="210"/>
      <c r="Q767" s="439"/>
      <c r="R767" s="439"/>
      <c r="S767" s="415"/>
      <c r="T767" s="210"/>
      <c r="U767" s="415"/>
      <c r="V767" s="210"/>
      <c r="W767" s="8"/>
      <c r="X767" s="8"/>
      <c r="Y767" s="8"/>
      <c r="Z767" s="8"/>
      <c r="AA767" s="8"/>
      <c r="AB767" s="8"/>
      <c r="AC767" s="8"/>
      <c r="AD767" s="8"/>
      <c r="AE767" s="8"/>
      <c r="AF767" s="8"/>
      <c r="AG767" s="8"/>
      <c r="AH767" s="8"/>
      <c r="AI767" s="8"/>
      <c r="AJ767" s="8"/>
      <c r="AK767" s="8"/>
      <c r="AL767" s="8"/>
      <c r="AM767" s="8"/>
      <c r="AN767" s="8"/>
      <c r="AO767" s="8"/>
      <c r="AP767" s="8"/>
      <c r="AQ767" s="8"/>
      <c r="AR767" s="8"/>
      <c r="AS767" s="8"/>
      <c r="AT767" s="8"/>
    </row>
    <row r="768">
      <c r="A768" s="415"/>
      <c r="B768" s="210"/>
      <c r="C768" s="415"/>
      <c r="D768" s="210"/>
      <c r="E768" s="415"/>
      <c r="F768" s="210"/>
      <c r="G768" s="415"/>
      <c r="H768" s="210"/>
      <c r="I768" s="415"/>
      <c r="J768" s="210"/>
      <c r="K768" s="415"/>
      <c r="L768" s="210"/>
      <c r="M768" s="415"/>
      <c r="N768" s="210"/>
      <c r="O768" s="415"/>
      <c r="P768" s="210"/>
      <c r="Q768" s="439"/>
      <c r="R768" s="439"/>
      <c r="S768" s="415"/>
      <c r="T768" s="210"/>
      <c r="U768" s="415"/>
      <c r="V768" s="210"/>
      <c r="W768" s="8"/>
      <c r="X768" s="8"/>
      <c r="Y768" s="8"/>
      <c r="Z768" s="8"/>
      <c r="AA768" s="8"/>
      <c r="AB768" s="8"/>
      <c r="AC768" s="8"/>
      <c r="AD768" s="8"/>
      <c r="AE768" s="8"/>
      <c r="AF768" s="8"/>
      <c r="AG768" s="8"/>
      <c r="AH768" s="8"/>
      <c r="AI768" s="8"/>
      <c r="AJ768" s="8"/>
      <c r="AK768" s="8"/>
      <c r="AL768" s="8"/>
      <c r="AM768" s="8"/>
      <c r="AN768" s="8"/>
      <c r="AO768" s="8"/>
      <c r="AP768" s="8"/>
      <c r="AQ768" s="8"/>
      <c r="AR768" s="8"/>
      <c r="AS768" s="8"/>
      <c r="AT768" s="8"/>
    </row>
    <row r="769">
      <c r="A769" s="415"/>
      <c r="B769" s="210"/>
      <c r="C769" s="415"/>
      <c r="D769" s="210"/>
      <c r="E769" s="415"/>
      <c r="F769" s="210"/>
      <c r="G769" s="415"/>
      <c r="H769" s="210"/>
      <c r="I769" s="415"/>
      <c r="J769" s="210"/>
      <c r="K769" s="415"/>
      <c r="L769" s="210"/>
      <c r="M769" s="415"/>
      <c r="N769" s="210"/>
      <c r="O769" s="415"/>
      <c r="P769" s="210"/>
      <c r="Q769" s="439"/>
      <c r="R769" s="439"/>
      <c r="S769" s="415"/>
      <c r="T769" s="210"/>
      <c r="U769" s="415"/>
      <c r="V769" s="210"/>
      <c r="W769" s="8"/>
      <c r="X769" s="8"/>
      <c r="Y769" s="8"/>
      <c r="Z769" s="8"/>
      <c r="AA769" s="8"/>
      <c r="AB769" s="8"/>
      <c r="AC769" s="8"/>
      <c r="AD769" s="8"/>
      <c r="AE769" s="8"/>
      <c r="AF769" s="8"/>
      <c r="AG769" s="8"/>
      <c r="AH769" s="8"/>
      <c r="AI769" s="8"/>
      <c r="AJ769" s="8"/>
      <c r="AK769" s="8"/>
      <c r="AL769" s="8"/>
      <c r="AM769" s="8"/>
      <c r="AN769" s="8"/>
      <c r="AO769" s="8"/>
      <c r="AP769" s="8"/>
      <c r="AQ769" s="8"/>
      <c r="AR769" s="8"/>
      <c r="AS769" s="8"/>
      <c r="AT769" s="8"/>
    </row>
    <row r="770">
      <c r="A770" s="415"/>
      <c r="B770" s="210"/>
      <c r="C770" s="415"/>
      <c r="D770" s="210"/>
      <c r="E770" s="415"/>
      <c r="F770" s="210"/>
      <c r="G770" s="415"/>
      <c r="H770" s="210"/>
      <c r="I770" s="415"/>
      <c r="J770" s="210"/>
      <c r="K770" s="415"/>
      <c r="L770" s="210"/>
      <c r="M770" s="415"/>
      <c r="N770" s="210"/>
      <c r="O770" s="415"/>
      <c r="P770" s="210"/>
      <c r="Q770" s="439"/>
      <c r="R770" s="439"/>
      <c r="S770" s="415"/>
      <c r="T770" s="210"/>
      <c r="U770" s="415"/>
      <c r="V770" s="210"/>
      <c r="W770" s="8"/>
      <c r="X770" s="8"/>
      <c r="Y770" s="8"/>
      <c r="Z770" s="8"/>
      <c r="AA770" s="8"/>
      <c r="AB770" s="8"/>
      <c r="AC770" s="8"/>
      <c r="AD770" s="8"/>
      <c r="AE770" s="8"/>
      <c r="AF770" s="8"/>
      <c r="AG770" s="8"/>
      <c r="AH770" s="8"/>
      <c r="AI770" s="8"/>
      <c r="AJ770" s="8"/>
      <c r="AK770" s="8"/>
      <c r="AL770" s="8"/>
      <c r="AM770" s="8"/>
      <c r="AN770" s="8"/>
      <c r="AO770" s="8"/>
      <c r="AP770" s="8"/>
      <c r="AQ770" s="8"/>
      <c r="AR770" s="8"/>
      <c r="AS770" s="8"/>
      <c r="AT770" s="8"/>
    </row>
    <row r="771">
      <c r="A771" s="415"/>
      <c r="B771" s="210"/>
      <c r="C771" s="415"/>
      <c r="D771" s="210"/>
      <c r="E771" s="415"/>
      <c r="F771" s="210"/>
      <c r="G771" s="415"/>
      <c r="H771" s="210"/>
      <c r="I771" s="415"/>
      <c r="J771" s="210"/>
      <c r="K771" s="415"/>
      <c r="L771" s="210"/>
      <c r="M771" s="415"/>
      <c r="N771" s="210"/>
      <c r="O771" s="415"/>
      <c r="P771" s="210"/>
      <c r="Q771" s="439"/>
      <c r="R771" s="439"/>
      <c r="S771" s="415"/>
      <c r="T771" s="210"/>
      <c r="U771" s="415"/>
      <c r="V771" s="210"/>
      <c r="W771" s="8"/>
      <c r="X771" s="8"/>
      <c r="Y771" s="8"/>
      <c r="Z771" s="8"/>
      <c r="AA771" s="8"/>
      <c r="AB771" s="8"/>
      <c r="AC771" s="8"/>
      <c r="AD771" s="8"/>
      <c r="AE771" s="8"/>
      <c r="AF771" s="8"/>
      <c r="AG771" s="8"/>
      <c r="AH771" s="8"/>
      <c r="AI771" s="8"/>
      <c r="AJ771" s="8"/>
      <c r="AK771" s="8"/>
      <c r="AL771" s="8"/>
      <c r="AM771" s="8"/>
      <c r="AN771" s="8"/>
      <c r="AO771" s="8"/>
      <c r="AP771" s="8"/>
      <c r="AQ771" s="8"/>
      <c r="AR771" s="8"/>
      <c r="AS771" s="8"/>
      <c r="AT771" s="8"/>
    </row>
    <row r="772">
      <c r="A772" s="415"/>
      <c r="B772" s="210"/>
      <c r="C772" s="415"/>
      <c r="D772" s="210"/>
      <c r="E772" s="415"/>
      <c r="F772" s="210"/>
      <c r="G772" s="415"/>
      <c r="H772" s="210"/>
      <c r="I772" s="415"/>
      <c r="J772" s="210"/>
      <c r="K772" s="415"/>
      <c r="L772" s="210"/>
      <c r="M772" s="415"/>
      <c r="N772" s="210"/>
      <c r="O772" s="415"/>
      <c r="P772" s="210"/>
      <c r="Q772" s="439"/>
      <c r="R772" s="439"/>
      <c r="S772" s="415"/>
      <c r="T772" s="210"/>
      <c r="U772" s="415"/>
      <c r="V772" s="210"/>
      <c r="W772" s="8"/>
      <c r="X772" s="8"/>
      <c r="Y772" s="8"/>
      <c r="Z772" s="8"/>
      <c r="AA772" s="8"/>
      <c r="AB772" s="8"/>
      <c r="AC772" s="8"/>
      <c r="AD772" s="8"/>
      <c r="AE772" s="8"/>
      <c r="AF772" s="8"/>
      <c r="AG772" s="8"/>
      <c r="AH772" s="8"/>
      <c r="AI772" s="8"/>
      <c r="AJ772" s="8"/>
      <c r="AK772" s="8"/>
      <c r="AL772" s="8"/>
      <c r="AM772" s="8"/>
      <c r="AN772" s="8"/>
      <c r="AO772" s="8"/>
      <c r="AP772" s="8"/>
      <c r="AQ772" s="8"/>
      <c r="AR772" s="8"/>
      <c r="AS772" s="8"/>
      <c r="AT772" s="8"/>
    </row>
    <row r="773">
      <c r="A773" s="415"/>
      <c r="B773" s="210"/>
      <c r="C773" s="415"/>
      <c r="D773" s="210"/>
      <c r="E773" s="415"/>
      <c r="F773" s="210"/>
      <c r="G773" s="415"/>
      <c r="H773" s="210"/>
      <c r="I773" s="415"/>
      <c r="J773" s="210"/>
      <c r="K773" s="415"/>
      <c r="L773" s="210"/>
      <c r="M773" s="415"/>
      <c r="N773" s="210"/>
      <c r="O773" s="415"/>
      <c r="P773" s="210"/>
      <c r="Q773" s="439"/>
      <c r="R773" s="439"/>
      <c r="S773" s="415"/>
      <c r="T773" s="210"/>
      <c r="U773" s="415"/>
      <c r="V773" s="210"/>
      <c r="W773" s="8"/>
      <c r="X773" s="8"/>
      <c r="Y773" s="8"/>
      <c r="Z773" s="8"/>
      <c r="AA773" s="8"/>
      <c r="AB773" s="8"/>
      <c r="AC773" s="8"/>
      <c r="AD773" s="8"/>
      <c r="AE773" s="8"/>
      <c r="AF773" s="8"/>
      <c r="AG773" s="8"/>
      <c r="AH773" s="8"/>
      <c r="AI773" s="8"/>
      <c r="AJ773" s="8"/>
      <c r="AK773" s="8"/>
      <c r="AL773" s="8"/>
      <c r="AM773" s="8"/>
      <c r="AN773" s="8"/>
      <c r="AO773" s="8"/>
      <c r="AP773" s="8"/>
      <c r="AQ773" s="8"/>
      <c r="AR773" s="8"/>
      <c r="AS773" s="8"/>
      <c r="AT773" s="8"/>
    </row>
    <row r="774">
      <c r="A774" s="415"/>
      <c r="B774" s="210"/>
      <c r="C774" s="415"/>
      <c r="D774" s="210"/>
      <c r="E774" s="415"/>
      <c r="F774" s="210"/>
      <c r="G774" s="415"/>
      <c r="H774" s="210"/>
      <c r="I774" s="415"/>
      <c r="J774" s="210"/>
      <c r="K774" s="415"/>
      <c r="L774" s="210"/>
      <c r="M774" s="415"/>
      <c r="N774" s="210"/>
      <c r="O774" s="415"/>
      <c r="P774" s="210"/>
      <c r="Q774" s="439"/>
      <c r="R774" s="439"/>
      <c r="S774" s="415"/>
      <c r="T774" s="210"/>
      <c r="U774" s="415"/>
      <c r="V774" s="210"/>
      <c r="W774" s="8"/>
      <c r="X774" s="8"/>
      <c r="Y774" s="8"/>
      <c r="Z774" s="8"/>
      <c r="AA774" s="8"/>
      <c r="AB774" s="8"/>
      <c r="AC774" s="8"/>
      <c r="AD774" s="8"/>
      <c r="AE774" s="8"/>
      <c r="AF774" s="8"/>
      <c r="AG774" s="8"/>
      <c r="AH774" s="8"/>
      <c r="AI774" s="8"/>
      <c r="AJ774" s="8"/>
      <c r="AK774" s="8"/>
      <c r="AL774" s="8"/>
      <c r="AM774" s="8"/>
      <c r="AN774" s="8"/>
      <c r="AO774" s="8"/>
      <c r="AP774" s="8"/>
      <c r="AQ774" s="8"/>
      <c r="AR774" s="8"/>
      <c r="AS774" s="8"/>
      <c r="AT774" s="8"/>
    </row>
    <row r="775">
      <c r="A775" s="415"/>
      <c r="B775" s="210"/>
      <c r="C775" s="415"/>
      <c r="D775" s="210"/>
      <c r="E775" s="415"/>
      <c r="F775" s="210"/>
      <c r="G775" s="415"/>
      <c r="H775" s="210"/>
      <c r="I775" s="415"/>
      <c r="J775" s="210"/>
      <c r="K775" s="415"/>
      <c r="L775" s="210"/>
      <c r="M775" s="415"/>
      <c r="N775" s="210"/>
      <c r="O775" s="415"/>
      <c r="P775" s="210"/>
      <c r="Q775" s="439"/>
      <c r="R775" s="439"/>
      <c r="S775" s="415"/>
      <c r="T775" s="210"/>
      <c r="U775" s="415"/>
      <c r="V775" s="210"/>
      <c r="W775" s="8"/>
      <c r="X775" s="8"/>
      <c r="Y775" s="8"/>
      <c r="Z775" s="8"/>
      <c r="AA775" s="8"/>
      <c r="AB775" s="8"/>
      <c r="AC775" s="8"/>
      <c r="AD775" s="8"/>
      <c r="AE775" s="8"/>
      <c r="AF775" s="8"/>
      <c r="AG775" s="8"/>
      <c r="AH775" s="8"/>
      <c r="AI775" s="8"/>
      <c r="AJ775" s="8"/>
      <c r="AK775" s="8"/>
      <c r="AL775" s="8"/>
      <c r="AM775" s="8"/>
      <c r="AN775" s="8"/>
      <c r="AO775" s="8"/>
      <c r="AP775" s="8"/>
      <c r="AQ775" s="8"/>
      <c r="AR775" s="8"/>
      <c r="AS775" s="8"/>
      <c r="AT775" s="8"/>
    </row>
    <row r="776">
      <c r="A776" s="415"/>
      <c r="B776" s="210"/>
      <c r="C776" s="415"/>
      <c r="D776" s="210"/>
      <c r="E776" s="415"/>
      <c r="F776" s="210"/>
      <c r="G776" s="415"/>
      <c r="H776" s="210"/>
      <c r="I776" s="415"/>
      <c r="J776" s="210"/>
      <c r="K776" s="415"/>
      <c r="L776" s="210"/>
      <c r="M776" s="415"/>
      <c r="N776" s="210"/>
      <c r="O776" s="415"/>
      <c r="P776" s="210"/>
      <c r="Q776" s="439"/>
      <c r="R776" s="439"/>
      <c r="S776" s="415"/>
      <c r="T776" s="210"/>
      <c r="U776" s="415"/>
      <c r="V776" s="210"/>
      <c r="W776" s="8"/>
      <c r="X776" s="8"/>
      <c r="Y776" s="8"/>
      <c r="Z776" s="8"/>
      <c r="AA776" s="8"/>
      <c r="AB776" s="8"/>
      <c r="AC776" s="8"/>
      <c r="AD776" s="8"/>
      <c r="AE776" s="8"/>
      <c r="AF776" s="8"/>
      <c r="AG776" s="8"/>
      <c r="AH776" s="8"/>
      <c r="AI776" s="8"/>
      <c r="AJ776" s="8"/>
      <c r="AK776" s="8"/>
      <c r="AL776" s="8"/>
      <c r="AM776" s="8"/>
      <c r="AN776" s="8"/>
      <c r="AO776" s="8"/>
      <c r="AP776" s="8"/>
      <c r="AQ776" s="8"/>
      <c r="AR776" s="8"/>
      <c r="AS776" s="8"/>
      <c r="AT776" s="8"/>
    </row>
    <row r="777">
      <c r="A777" s="415"/>
      <c r="B777" s="210"/>
      <c r="C777" s="415"/>
      <c r="D777" s="210"/>
      <c r="E777" s="415"/>
      <c r="F777" s="210"/>
      <c r="G777" s="415"/>
      <c r="H777" s="210"/>
      <c r="I777" s="415"/>
      <c r="J777" s="210"/>
      <c r="K777" s="415"/>
      <c r="L777" s="210"/>
      <c r="M777" s="415"/>
      <c r="N777" s="210"/>
      <c r="O777" s="415"/>
      <c r="P777" s="210"/>
      <c r="Q777" s="439"/>
      <c r="R777" s="439"/>
      <c r="S777" s="415"/>
      <c r="T777" s="210"/>
      <c r="U777" s="415"/>
      <c r="V777" s="210"/>
      <c r="W777" s="8"/>
      <c r="X777" s="8"/>
      <c r="Y777" s="8"/>
      <c r="Z777" s="8"/>
      <c r="AA777" s="8"/>
      <c r="AB777" s="8"/>
      <c r="AC777" s="8"/>
      <c r="AD777" s="8"/>
      <c r="AE777" s="8"/>
      <c r="AF777" s="8"/>
      <c r="AG777" s="8"/>
      <c r="AH777" s="8"/>
      <c r="AI777" s="8"/>
      <c r="AJ777" s="8"/>
      <c r="AK777" s="8"/>
      <c r="AL777" s="8"/>
      <c r="AM777" s="8"/>
      <c r="AN777" s="8"/>
      <c r="AO777" s="8"/>
      <c r="AP777" s="8"/>
      <c r="AQ777" s="8"/>
      <c r="AR777" s="8"/>
      <c r="AS777" s="8"/>
      <c r="AT777" s="8"/>
    </row>
    <row r="778">
      <c r="A778" s="415"/>
      <c r="B778" s="210"/>
      <c r="C778" s="415"/>
      <c r="D778" s="210"/>
      <c r="E778" s="415"/>
      <c r="F778" s="210"/>
      <c r="G778" s="415"/>
      <c r="H778" s="210"/>
      <c r="I778" s="415"/>
      <c r="J778" s="210"/>
      <c r="K778" s="415"/>
      <c r="L778" s="210"/>
      <c r="M778" s="415"/>
      <c r="N778" s="210"/>
      <c r="O778" s="415"/>
      <c r="P778" s="210"/>
      <c r="Q778" s="439"/>
      <c r="R778" s="439"/>
      <c r="S778" s="415"/>
      <c r="T778" s="210"/>
      <c r="U778" s="415"/>
      <c r="V778" s="210"/>
      <c r="W778" s="8"/>
      <c r="X778" s="8"/>
      <c r="Y778" s="8"/>
      <c r="Z778" s="8"/>
      <c r="AA778" s="8"/>
      <c r="AB778" s="8"/>
      <c r="AC778" s="8"/>
      <c r="AD778" s="8"/>
      <c r="AE778" s="8"/>
      <c r="AF778" s="8"/>
      <c r="AG778" s="8"/>
      <c r="AH778" s="8"/>
      <c r="AI778" s="8"/>
      <c r="AJ778" s="8"/>
      <c r="AK778" s="8"/>
      <c r="AL778" s="8"/>
      <c r="AM778" s="8"/>
      <c r="AN778" s="8"/>
      <c r="AO778" s="8"/>
      <c r="AP778" s="8"/>
      <c r="AQ778" s="8"/>
      <c r="AR778" s="8"/>
      <c r="AS778" s="8"/>
      <c r="AT778" s="8"/>
    </row>
    <row r="779">
      <c r="A779" s="415"/>
      <c r="B779" s="210"/>
      <c r="C779" s="415"/>
      <c r="D779" s="210"/>
      <c r="E779" s="415"/>
      <c r="F779" s="210"/>
      <c r="G779" s="415"/>
      <c r="H779" s="210"/>
      <c r="I779" s="415"/>
      <c r="J779" s="210"/>
      <c r="K779" s="415"/>
      <c r="L779" s="210"/>
      <c r="M779" s="415"/>
      <c r="N779" s="210"/>
      <c r="O779" s="415"/>
      <c r="P779" s="210"/>
      <c r="Q779" s="439"/>
      <c r="R779" s="439"/>
      <c r="S779" s="415"/>
      <c r="T779" s="210"/>
      <c r="U779" s="415"/>
      <c r="V779" s="210"/>
      <c r="W779" s="8"/>
      <c r="X779" s="8"/>
      <c r="Y779" s="8"/>
      <c r="Z779" s="8"/>
      <c r="AA779" s="8"/>
      <c r="AB779" s="8"/>
      <c r="AC779" s="8"/>
      <c r="AD779" s="8"/>
      <c r="AE779" s="8"/>
      <c r="AF779" s="8"/>
      <c r="AG779" s="8"/>
      <c r="AH779" s="8"/>
      <c r="AI779" s="8"/>
      <c r="AJ779" s="8"/>
      <c r="AK779" s="8"/>
      <c r="AL779" s="8"/>
      <c r="AM779" s="8"/>
      <c r="AN779" s="8"/>
      <c r="AO779" s="8"/>
      <c r="AP779" s="8"/>
      <c r="AQ779" s="8"/>
      <c r="AR779" s="8"/>
      <c r="AS779" s="8"/>
      <c r="AT779" s="8"/>
    </row>
    <row r="780">
      <c r="A780" s="415"/>
      <c r="B780" s="210"/>
      <c r="C780" s="415"/>
      <c r="D780" s="210"/>
      <c r="E780" s="415"/>
      <c r="F780" s="210"/>
      <c r="G780" s="415"/>
      <c r="H780" s="210"/>
      <c r="I780" s="415"/>
      <c r="J780" s="210"/>
      <c r="K780" s="415"/>
      <c r="L780" s="210"/>
      <c r="M780" s="415"/>
      <c r="N780" s="210"/>
      <c r="O780" s="415"/>
      <c r="P780" s="210"/>
      <c r="Q780" s="439"/>
      <c r="R780" s="439"/>
      <c r="S780" s="415"/>
      <c r="T780" s="210"/>
      <c r="U780" s="415"/>
      <c r="V780" s="210"/>
      <c r="W780" s="8"/>
      <c r="X780" s="8"/>
      <c r="Y780" s="8"/>
      <c r="Z780" s="8"/>
      <c r="AA780" s="8"/>
      <c r="AB780" s="8"/>
      <c r="AC780" s="8"/>
      <c r="AD780" s="8"/>
      <c r="AE780" s="8"/>
      <c r="AF780" s="8"/>
      <c r="AG780" s="8"/>
      <c r="AH780" s="8"/>
      <c r="AI780" s="8"/>
      <c r="AJ780" s="8"/>
      <c r="AK780" s="8"/>
      <c r="AL780" s="8"/>
      <c r="AM780" s="8"/>
      <c r="AN780" s="8"/>
      <c r="AO780" s="8"/>
      <c r="AP780" s="8"/>
      <c r="AQ780" s="8"/>
      <c r="AR780" s="8"/>
      <c r="AS780" s="8"/>
      <c r="AT780" s="8"/>
    </row>
    <row r="781">
      <c r="A781" s="415"/>
      <c r="B781" s="210"/>
      <c r="C781" s="415"/>
      <c r="D781" s="210"/>
      <c r="E781" s="415"/>
      <c r="F781" s="210"/>
      <c r="G781" s="415"/>
      <c r="H781" s="210"/>
      <c r="I781" s="415"/>
      <c r="J781" s="210"/>
      <c r="K781" s="415"/>
      <c r="L781" s="210"/>
      <c r="M781" s="415"/>
      <c r="N781" s="210"/>
      <c r="O781" s="415"/>
      <c r="P781" s="210"/>
      <c r="Q781" s="439"/>
      <c r="R781" s="439"/>
      <c r="S781" s="415"/>
      <c r="T781" s="210"/>
      <c r="U781" s="415"/>
      <c r="V781" s="210"/>
      <c r="W781" s="8"/>
      <c r="X781" s="8"/>
      <c r="Y781" s="8"/>
      <c r="Z781" s="8"/>
      <c r="AA781" s="8"/>
      <c r="AB781" s="8"/>
      <c r="AC781" s="8"/>
      <c r="AD781" s="8"/>
      <c r="AE781" s="8"/>
      <c r="AF781" s="8"/>
      <c r="AG781" s="8"/>
      <c r="AH781" s="8"/>
      <c r="AI781" s="8"/>
      <c r="AJ781" s="8"/>
      <c r="AK781" s="8"/>
      <c r="AL781" s="8"/>
      <c r="AM781" s="8"/>
      <c r="AN781" s="8"/>
      <c r="AO781" s="8"/>
      <c r="AP781" s="8"/>
      <c r="AQ781" s="8"/>
      <c r="AR781" s="8"/>
      <c r="AS781" s="8"/>
      <c r="AT781" s="8"/>
    </row>
    <row r="782">
      <c r="A782" s="415"/>
      <c r="B782" s="210"/>
      <c r="C782" s="415"/>
      <c r="D782" s="210"/>
      <c r="E782" s="415"/>
      <c r="F782" s="210"/>
      <c r="G782" s="415"/>
      <c r="H782" s="210"/>
      <c r="I782" s="415"/>
      <c r="J782" s="210"/>
      <c r="K782" s="415"/>
      <c r="L782" s="210"/>
      <c r="M782" s="415"/>
      <c r="N782" s="210"/>
      <c r="O782" s="415"/>
      <c r="P782" s="210"/>
      <c r="Q782" s="439"/>
      <c r="R782" s="439"/>
      <c r="S782" s="415"/>
      <c r="T782" s="210"/>
      <c r="U782" s="415"/>
      <c r="V782" s="210"/>
      <c r="W782" s="8"/>
      <c r="X782" s="8"/>
      <c r="Y782" s="8"/>
      <c r="Z782" s="8"/>
      <c r="AA782" s="8"/>
      <c r="AB782" s="8"/>
      <c r="AC782" s="8"/>
      <c r="AD782" s="8"/>
      <c r="AE782" s="8"/>
      <c r="AF782" s="8"/>
      <c r="AG782" s="8"/>
      <c r="AH782" s="8"/>
      <c r="AI782" s="8"/>
      <c r="AJ782" s="8"/>
      <c r="AK782" s="8"/>
      <c r="AL782" s="8"/>
      <c r="AM782" s="8"/>
      <c r="AN782" s="8"/>
      <c r="AO782" s="8"/>
      <c r="AP782" s="8"/>
      <c r="AQ782" s="8"/>
      <c r="AR782" s="8"/>
      <c r="AS782" s="8"/>
      <c r="AT782" s="8"/>
    </row>
    <row r="783">
      <c r="A783" s="415"/>
      <c r="B783" s="210"/>
      <c r="C783" s="415"/>
      <c r="D783" s="210"/>
      <c r="E783" s="415"/>
      <c r="F783" s="210"/>
      <c r="G783" s="415"/>
      <c r="H783" s="210"/>
      <c r="I783" s="415"/>
      <c r="J783" s="210"/>
      <c r="K783" s="415"/>
      <c r="L783" s="210"/>
      <c r="M783" s="415"/>
      <c r="N783" s="210"/>
      <c r="O783" s="415"/>
      <c r="P783" s="210"/>
      <c r="Q783" s="439"/>
      <c r="R783" s="439"/>
      <c r="S783" s="415"/>
      <c r="T783" s="210"/>
      <c r="U783" s="415"/>
      <c r="V783" s="210"/>
      <c r="W783" s="8"/>
      <c r="X783" s="8"/>
      <c r="Y783" s="8"/>
      <c r="Z783" s="8"/>
      <c r="AA783" s="8"/>
      <c r="AB783" s="8"/>
      <c r="AC783" s="8"/>
      <c r="AD783" s="8"/>
      <c r="AE783" s="8"/>
      <c r="AF783" s="8"/>
      <c r="AG783" s="8"/>
      <c r="AH783" s="8"/>
      <c r="AI783" s="8"/>
      <c r="AJ783" s="8"/>
      <c r="AK783" s="8"/>
      <c r="AL783" s="8"/>
      <c r="AM783" s="8"/>
      <c r="AN783" s="8"/>
      <c r="AO783" s="8"/>
      <c r="AP783" s="8"/>
      <c r="AQ783" s="8"/>
      <c r="AR783" s="8"/>
      <c r="AS783" s="8"/>
      <c r="AT783" s="8"/>
    </row>
    <row r="784">
      <c r="A784" s="415"/>
      <c r="B784" s="210"/>
      <c r="C784" s="415"/>
      <c r="D784" s="210"/>
      <c r="E784" s="415"/>
      <c r="F784" s="210"/>
      <c r="G784" s="415"/>
      <c r="H784" s="210"/>
      <c r="I784" s="415"/>
      <c r="J784" s="210"/>
      <c r="K784" s="415"/>
      <c r="L784" s="210"/>
      <c r="M784" s="415"/>
      <c r="N784" s="210"/>
      <c r="O784" s="415"/>
      <c r="P784" s="210"/>
      <c r="Q784" s="439"/>
      <c r="R784" s="439"/>
      <c r="S784" s="415"/>
      <c r="T784" s="210"/>
      <c r="U784" s="415"/>
      <c r="V784" s="210"/>
      <c r="W784" s="8"/>
      <c r="X784" s="8"/>
      <c r="Y784" s="8"/>
      <c r="Z784" s="8"/>
      <c r="AA784" s="8"/>
      <c r="AB784" s="8"/>
      <c r="AC784" s="8"/>
      <c r="AD784" s="8"/>
      <c r="AE784" s="8"/>
      <c r="AF784" s="8"/>
      <c r="AG784" s="8"/>
      <c r="AH784" s="8"/>
      <c r="AI784" s="8"/>
      <c r="AJ784" s="8"/>
      <c r="AK784" s="8"/>
      <c r="AL784" s="8"/>
      <c r="AM784" s="8"/>
      <c r="AN784" s="8"/>
      <c r="AO784" s="8"/>
      <c r="AP784" s="8"/>
      <c r="AQ784" s="8"/>
      <c r="AR784" s="8"/>
      <c r="AS784" s="8"/>
      <c r="AT784" s="8"/>
    </row>
    <row r="785">
      <c r="A785" s="415"/>
      <c r="B785" s="210"/>
      <c r="C785" s="415"/>
      <c r="D785" s="210"/>
      <c r="E785" s="415"/>
      <c r="F785" s="210"/>
      <c r="G785" s="415"/>
      <c r="H785" s="210"/>
      <c r="I785" s="415"/>
      <c r="J785" s="210"/>
      <c r="K785" s="415"/>
      <c r="L785" s="210"/>
      <c r="M785" s="415"/>
      <c r="N785" s="210"/>
      <c r="O785" s="415"/>
      <c r="P785" s="210"/>
      <c r="Q785" s="439"/>
      <c r="R785" s="439"/>
      <c r="S785" s="415"/>
      <c r="T785" s="210"/>
      <c r="U785" s="415"/>
      <c r="V785" s="210"/>
      <c r="W785" s="8"/>
      <c r="X785" s="8"/>
      <c r="Y785" s="8"/>
      <c r="Z785" s="8"/>
      <c r="AA785" s="8"/>
      <c r="AB785" s="8"/>
      <c r="AC785" s="8"/>
      <c r="AD785" s="8"/>
      <c r="AE785" s="8"/>
      <c r="AF785" s="8"/>
      <c r="AG785" s="8"/>
      <c r="AH785" s="8"/>
      <c r="AI785" s="8"/>
      <c r="AJ785" s="8"/>
      <c r="AK785" s="8"/>
      <c r="AL785" s="8"/>
      <c r="AM785" s="8"/>
      <c r="AN785" s="8"/>
      <c r="AO785" s="8"/>
      <c r="AP785" s="8"/>
      <c r="AQ785" s="8"/>
      <c r="AR785" s="8"/>
      <c r="AS785" s="8"/>
      <c r="AT785" s="8"/>
    </row>
    <row r="786">
      <c r="A786" s="415"/>
      <c r="B786" s="210"/>
      <c r="C786" s="415"/>
      <c r="D786" s="210"/>
      <c r="E786" s="415"/>
      <c r="F786" s="210"/>
      <c r="G786" s="415"/>
      <c r="H786" s="210"/>
      <c r="I786" s="415"/>
      <c r="J786" s="210"/>
      <c r="K786" s="415"/>
      <c r="L786" s="210"/>
      <c r="M786" s="415"/>
      <c r="N786" s="210"/>
      <c r="O786" s="415"/>
      <c r="P786" s="210"/>
      <c r="Q786" s="439"/>
      <c r="R786" s="439"/>
      <c r="S786" s="415"/>
      <c r="T786" s="210"/>
      <c r="U786" s="415"/>
      <c r="V786" s="210"/>
      <c r="W786" s="8"/>
      <c r="X786" s="8"/>
      <c r="Y786" s="8"/>
      <c r="Z786" s="8"/>
      <c r="AA786" s="8"/>
      <c r="AB786" s="8"/>
      <c r="AC786" s="8"/>
      <c r="AD786" s="8"/>
      <c r="AE786" s="8"/>
      <c r="AF786" s="8"/>
      <c r="AG786" s="8"/>
      <c r="AH786" s="8"/>
      <c r="AI786" s="8"/>
      <c r="AJ786" s="8"/>
      <c r="AK786" s="8"/>
      <c r="AL786" s="8"/>
      <c r="AM786" s="8"/>
      <c r="AN786" s="8"/>
      <c r="AO786" s="8"/>
      <c r="AP786" s="8"/>
      <c r="AQ786" s="8"/>
      <c r="AR786" s="8"/>
      <c r="AS786" s="8"/>
      <c r="AT786" s="8"/>
    </row>
    <row r="787">
      <c r="A787" s="415"/>
      <c r="B787" s="210"/>
      <c r="C787" s="415"/>
      <c r="D787" s="210"/>
      <c r="E787" s="415"/>
      <c r="F787" s="210"/>
      <c r="G787" s="415"/>
      <c r="H787" s="210"/>
      <c r="I787" s="415"/>
      <c r="J787" s="210"/>
      <c r="K787" s="415"/>
      <c r="L787" s="210"/>
      <c r="M787" s="415"/>
      <c r="N787" s="210"/>
      <c r="O787" s="415"/>
      <c r="P787" s="210"/>
      <c r="Q787" s="439"/>
      <c r="R787" s="439"/>
      <c r="S787" s="415"/>
      <c r="T787" s="210"/>
      <c r="U787" s="415"/>
      <c r="V787" s="210"/>
      <c r="W787" s="8"/>
      <c r="X787" s="8"/>
      <c r="Y787" s="8"/>
      <c r="Z787" s="8"/>
      <c r="AA787" s="8"/>
      <c r="AB787" s="8"/>
      <c r="AC787" s="8"/>
      <c r="AD787" s="8"/>
      <c r="AE787" s="8"/>
      <c r="AF787" s="8"/>
      <c r="AG787" s="8"/>
      <c r="AH787" s="8"/>
      <c r="AI787" s="8"/>
      <c r="AJ787" s="8"/>
      <c r="AK787" s="8"/>
      <c r="AL787" s="8"/>
      <c r="AM787" s="8"/>
      <c r="AN787" s="8"/>
      <c r="AO787" s="8"/>
      <c r="AP787" s="8"/>
      <c r="AQ787" s="8"/>
      <c r="AR787" s="8"/>
      <c r="AS787" s="8"/>
      <c r="AT787" s="8"/>
    </row>
    <row r="788">
      <c r="A788" s="415"/>
      <c r="B788" s="210"/>
      <c r="C788" s="415"/>
      <c r="D788" s="210"/>
      <c r="E788" s="415"/>
      <c r="F788" s="210"/>
      <c r="G788" s="415"/>
      <c r="H788" s="210"/>
      <c r="I788" s="415"/>
      <c r="J788" s="210"/>
      <c r="K788" s="415"/>
      <c r="L788" s="210"/>
      <c r="M788" s="415"/>
      <c r="N788" s="210"/>
      <c r="O788" s="415"/>
      <c r="P788" s="210"/>
      <c r="Q788" s="439"/>
      <c r="R788" s="439"/>
      <c r="S788" s="415"/>
      <c r="T788" s="210"/>
      <c r="U788" s="415"/>
      <c r="V788" s="210"/>
      <c r="W788" s="8"/>
      <c r="X788" s="8"/>
      <c r="Y788" s="8"/>
      <c r="Z788" s="8"/>
      <c r="AA788" s="8"/>
      <c r="AB788" s="8"/>
      <c r="AC788" s="8"/>
      <c r="AD788" s="8"/>
      <c r="AE788" s="8"/>
      <c r="AF788" s="8"/>
      <c r="AG788" s="8"/>
      <c r="AH788" s="8"/>
      <c r="AI788" s="8"/>
      <c r="AJ788" s="8"/>
      <c r="AK788" s="8"/>
      <c r="AL788" s="8"/>
      <c r="AM788" s="8"/>
      <c r="AN788" s="8"/>
      <c r="AO788" s="8"/>
      <c r="AP788" s="8"/>
      <c r="AQ788" s="8"/>
      <c r="AR788" s="8"/>
      <c r="AS788" s="8"/>
      <c r="AT788" s="8"/>
    </row>
    <row r="789">
      <c r="A789" s="415"/>
      <c r="B789" s="210"/>
      <c r="C789" s="415"/>
      <c r="D789" s="210"/>
      <c r="E789" s="415"/>
      <c r="F789" s="210"/>
      <c r="G789" s="415"/>
      <c r="H789" s="210"/>
      <c r="I789" s="415"/>
      <c r="J789" s="210"/>
      <c r="K789" s="415"/>
      <c r="L789" s="210"/>
      <c r="M789" s="415"/>
      <c r="N789" s="210"/>
      <c r="O789" s="415"/>
      <c r="P789" s="210"/>
      <c r="Q789" s="439"/>
      <c r="R789" s="439"/>
      <c r="S789" s="415"/>
      <c r="T789" s="210"/>
      <c r="U789" s="415"/>
      <c r="V789" s="210"/>
      <c r="W789" s="8"/>
      <c r="X789" s="8"/>
      <c r="Y789" s="8"/>
      <c r="Z789" s="8"/>
      <c r="AA789" s="8"/>
      <c r="AB789" s="8"/>
      <c r="AC789" s="8"/>
      <c r="AD789" s="8"/>
      <c r="AE789" s="8"/>
      <c r="AF789" s="8"/>
      <c r="AG789" s="8"/>
      <c r="AH789" s="8"/>
      <c r="AI789" s="8"/>
      <c r="AJ789" s="8"/>
      <c r="AK789" s="8"/>
      <c r="AL789" s="8"/>
      <c r="AM789" s="8"/>
      <c r="AN789" s="8"/>
      <c r="AO789" s="8"/>
      <c r="AP789" s="8"/>
      <c r="AQ789" s="8"/>
      <c r="AR789" s="8"/>
      <c r="AS789" s="8"/>
      <c r="AT789" s="8"/>
    </row>
    <row r="790">
      <c r="A790" s="415"/>
      <c r="B790" s="210"/>
      <c r="C790" s="415"/>
      <c r="D790" s="210"/>
      <c r="E790" s="415"/>
      <c r="F790" s="210"/>
      <c r="G790" s="415"/>
      <c r="H790" s="210"/>
      <c r="I790" s="415"/>
      <c r="J790" s="210"/>
      <c r="K790" s="415"/>
      <c r="L790" s="210"/>
      <c r="M790" s="415"/>
      <c r="N790" s="210"/>
      <c r="O790" s="415"/>
      <c r="P790" s="210"/>
      <c r="Q790" s="439"/>
      <c r="R790" s="439"/>
      <c r="S790" s="415"/>
      <c r="T790" s="210"/>
      <c r="U790" s="415"/>
      <c r="V790" s="210"/>
      <c r="W790" s="8"/>
      <c r="X790" s="8"/>
      <c r="Y790" s="8"/>
      <c r="Z790" s="8"/>
      <c r="AA790" s="8"/>
      <c r="AB790" s="8"/>
      <c r="AC790" s="8"/>
      <c r="AD790" s="8"/>
      <c r="AE790" s="8"/>
      <c r="AF790" s="8"/>
      <c r="AG790" s="8"/>
      <c r="AH790" s="8"/>
      <c r="AI790" s="8"/>
      <c r="AJ790" s="8"/>
      <c r="AK790" s="8"/>
      <c r="AL790" s="8"/>
      <c r="AM790" s="8"/>
      <c r="AN790" s="8"/>
      <c r="AO790" s="8"/>
      <c r="AP790" s="8"/>
      <c r="AQ790" s="8"/>
      <c r="AR790" s="8"/>
      <c r="AS790" s="8"/>
      <c r="AT790" s="8"/>
    </row>
    <row r="791">
      <c r="A791" s="415"/>
      <c r="B791" s="210"/>
      <c r="C791" s="415"/>
      <c r="D791" s="210"/>
      <c r="E791" s="415"/>
      <c r="F791" s="210"/>
      <c r="G791" s="415"/>
      <c r="H791" s="210"/>
      <c r="I791" s="415"/>
      <c r="J791" s="210"/>
      <c r="K791" s="415"/>
      <c r="L791" s="210"/>
      <c r="M791" s="415"/>
      <c r="N791" s="210"/>
      <c r="O791" s="415"/>
      <c r="P791" s="210"/>
      <c r="Q791" s="439"/>
      <c r="R791" s="439"/>
      <c r="S791" s="415"/>
      <c r="T791" s="210"/>
      <c r="U791" s="415"/>
      <c r="V791" s="210"/>
      <c r="W791" s="8"/>
      <c r="X791" s="8"/>
      <c r="Y791" s="8"/>
      <c r="Z791" s="8"/>
      <c r="AA791" s="8"/>
      <c r="AB791" s="8"/>
      <c r="AC791" s="8"/>
      <c r="AD791" s="8"/>
      <c r="AE791" s="8"/>
      <c r="AF791" s="8"/>
      <c r="AG791" s="8"/>
      <c r="AH791" s="8"/>
      <c r="AI791" s="8"/>
      <c r="AJ791" s="8"/>
      <c r="AK791" s="8"/>
      <c r="AL791" s="8"/>
      <c r="AM791" s="8"/>
      <c r="AN791" s="8"/>
      <c r="AO791" s="8"/>
      <c r="AP791" s="8"/>
      <c r="AQ791" s="8"/>
      <c r="AR791" s="8"/>
      <c r="AS791" s="8"/>
      <c r="AT791" s="8"/>
    </row>
    <row r="792">
      <c r="A792" s="415"/>
      <c r="B792" s="210"/>
      <c r="C792" s="415"/>
      <c r="D792" s="210"/>
      <c r="E792" s="415"/>
      <c r="F792" s="210"/>
      <c r="G792" s="415"/>
      <c r="H792" s="210"/>
      <c r="I792" s="415"/>
      <c r="J792" s="210"/>
      <c r="K792" s="415"/>
      <c r="L792" s="210"/>
      <c r="M792" s="415"/>
      <c r="N792" s="210"/>
      <c r="O792" s="415"/>
      <c r="P792" s="210"/>
      <c r="Q792" s="439"/>
      <c r="R792" s="439"/>
      <c r="S792" s="415"/>
      <c r="T792" s="210"/>
      <c r="U792" s="415"/>
      <c r="V792" s="210"/>
      <c r="W792" s="8"/>
      <c r="X792" s="8"/>
      <c r="Y792" s="8"/>
      <c r="Z792" s="8"/>
      <c r="AA792" s="8"/>
      <c r="AB792" s="8"/>
      <c r="AC792" s="8"/>
      <c r="AD792" s="8"/>
      <c r="AE792" s="8"/>
      <c r="AF792" s="8"/>
      <c r="AG792" s="8"/>
      <c r="AH792" s="8"/>
      <c r="AI792" s="8"/>
      <c r="AJ792" s="8"/>
      <c r="AK792" s="8"/>
      <c r="AL792" s="8"/>
      <c r="AM792" s="8"/>
      <c r="AN792" s="8"/>
      <c r="AO792" s="8"/>
      <c r="AP792" s="8"/>
      <c r="AQ792" s="8"/>
      <c r="AR792" s="8"/>
      <c r="AS792" s="8"/>
      <c r="AT792" s="8"/>
    </row>
    <row r="793">
      <c r="A793" s="415"/>
      <c r="B793" s="210"/>
      <c r="C793" s="415"/>
      <c r="D793" s="210"/>
      <c r="E793" s="415"/>
      <c r="F793" s="210"/>
      <c r="G793" s="415"/>
      <c r="H793" s="210"/>
      <c r="I793" s="415"/>
      <c r="J793" s="210"/>
      <c r="K793" s="415"/>
      <c r="L793" s="210"/>
      <c r="M793" s="415"/>
      <c r="N793" s="210"/>
      <c r="O793" s="415"/>
      <c r="P793" s="210"/>
      <c r="Q793" s="439"/>
      <c r="R793" s="439"/>
      <c r="S793" s="415"/>
      <c r="T793" s="210"/>
      <c r="U793" s="415"/>
      <c r="V793" s="210"/>
      <c r="W793" s="8"/>
      <c r="X793" s="8"/>
      <c r="Y793" s="8"/>
      <c r="Z793" s="8"/>
      <c r="AA793" s="8"/>
      <c r="AB793" s="8"/>
      <c r="AC793" s="8"/>
      <c r="AD793" s="8"/>
      <c r="AE793" s="8"/>
      <c r="AF793" s="8"/>
      <c r="AG793" s="8"/>
      <c r="AH793" s="8"/>
      <c r="AI793" s="8"/>
      <c r="AJ793" s="8"/>
      <c r="AK793" s="8"/>
      <c r="AL793" s="8"/>
      <c r="AM793" s="8"/>
      <c r="AN793" s="8"/>
      <c r="AO793" s="8"/>
      <c r="AP793" s="8"/>
      <c r="AQ793" s="8"/>
      <c r="AR793" s="8"/>
      <c r="AS793" s="8"/>
      <c r="AT793" s="8"/>
    </row>
    <row r="794">
      <c r="A794" s="415"/>
      <c r="B794" s="210"/>
      <c r="C794" s="415"/>
      <c r="D794" s="210"/>
      <c r="E794" s="415"/>
      <c r="F794" s="210"/>
      <c r="G794" s="415"/>
      <c r="H794" s="210"/>
      <c r="I794" s="415"/>
      <c r="J794" s="210"/>
      <c r="K794" s="415"/>
      <c r="L794" s="210"/>
      <c r="M794" s="415"/>
      <c r="N794" s="210"/>
      <c r="O794" s="415"/>
      <c r="P794" s="210"/>
      <c r="Q794" s="439"/>
      <c r="R794" s="439"/>
      <c r="S794" s="415"/>
      <c r="T794" s="210"/>
      <c r="U794" s="415"/>
      <c r="V794" s="210"/>
      <c r="W794" s="8"/>
      <c r="X794" s="8"/>
      <c r="Y794" s="8"/>
      <c r="Z794" s="8"/>
      <c r="AA794" s="8"/>
      <c r="AB794" s="8"/>
      <c r="AC794" s="8"/>
      <c r="AD794" s="8"/>
      <c r="AE794" s="8"/>
      <c r="AF794" s="8"/>
      <c r="AG794" s="8"/>
      <c r="AH794" s="8"/>
      <c r="AI794" s="8"/>
      <c r="AJ794" s="8"/>
      <c r="AK794" s="8"/>
      <c r="AL794" s="8"/>
      <c r="AM794" s="8"/>
      <c r="AN794" s="8"/>
      <c r="AO794" s="8"/>
      <c r="AP794" s="8"/>
      <c r="AQ794" s="8"/>
      <c r="AR794" s="8"/>
      <c r="AS794" s="8"/>
      <c r="AT794" s="8"/>
    </row>
    <row r="795">
      <c r="A795" s="415"/>
      <c r="B795" s="210"/>
      <c r="C795" s="415"/>
      <c r="D795" s="210"/>
      <c r="E795" s="415"/>
      <c r="F795" s="210"/>
      <c r="G795" s="415"/>
      <c r="H795" s="210"/>
      <c r="I795" s="415"/>
      <c r="J795" s="210"/>
      <c r="K795" s="415"/>
      <c r="L795" s="210"/>
      <c r="M795" s="415"/>
      <c r="N795" s="210"/>
      <c r="O795" s="415"/>
      <c r="P795" s="210"/>
      <c r="Q795" s="439"/>
      <c r="R795" s="439"/>
      <c r="S795" s="415"/>
      <c r="T795" s="210"/>
      <c r="U795" s="415"/>
      <c r="V795" s="210"/>
      <c r="W795" s="8"/>
      <c r="X795" s="8"/>
      <c r="Y795" s="8"/>
      <c r="Z795" s="8"/>
      <c r="AA795" s="8"/>
      <c r="AB795" s="8"/>
      <c r="AC795" s="8"/>
      <c r="AD795" s="8"/>
      <c r="AE795" s="8"/>
      <c r="AF795" s="8"/>
      <c r="AG795" s="8"/>
      <c r="AH795" s="8"/>
      <c r="AI795" s="8"/>
      <c r="AJ795" s="8"/>
      <c r="AK795" s="8"/>
      <c r="AL795" s="8"/>
      <c r="AM795" s="8"/>
      <c r="AN795" s="8"/>
      <c r="AO795" s="8"/>
      <c r="AP795" s="8"/>
      <c r="AQ795" s="8"/>
      <c r="AR795" s="8"/>
      <c r="AS795" s="8"/>
      <c r="AT795" s="8"/>
    </row>
    <row r="796">
      <c r="A796" s="415"/>
      <c r="B796" s="210"/>
      <c r="C796" s="415"/>
      <c r="D796" s="210"/>
      <c r="E796" s="415"/>
      <c r="F796" s="210"/>
      <c r="G796" s="415"/>
      <c r="H796" s="210"/>
      <c r="I796" s="415"/>
      <c r="J796" s="210"/>
      <c r="K796" s="415"/>
      <c r="L796" s="210"/>
      <c r="M796" s="415"/>
      <c r="N796" s="210"/>
      <c r="O796" s="415"/>
      <c r="P796" s="210"/>
      <c r="Q796" s="439"/>
      <c r="R796" s="439"/>
      <c r="S796" s="415"/>
      <c r="T796" s="210"/>
      <c r="U796" s="415"/>
      <c r="V796" s="210"/>
      <c r="W796" s="8"/>
      <c r="X796" s="8"/>
      <c r="Y796" s="8"/>
      <c r="Z796" s="8"/>
      <c r="AA796" s="8"/>
      <c r="AB796" s="8"/>
      <c r="AC796" s="8"/>
      <c r="AD796" s="8"/>
      <c r="AE796" s="8"/>
      <c r="AF796" s="8"/>
      <c r="AG796" s="8"/>
      <c r="AH796" s="8"/>
      <c r="AI796" s="8"/>
      <c r="AJ796" s="8"/>
      <c r="AK796" s="8"/>
      <c r="AL796" s="8"/>
      <c r="AM796" s="8"/>
      <c r="AN796" s="8"/>
      <c r="AO796" s="8"/>
      <c r="AP796" s="8"/>
      <c r="AQ796" s="8"/>
      <c r="AR796" s="8"/>
      <c r="AS796" s="8"/>
      <c r="AT796" s="8"/>
    </row>
    <row r="797">
      <c r="A797" s="415"/>
      <c r="B797" s="210"/>
      <c r="C797" s="415"/>
      <c r="D797" s="210"/>
      <c r="E797" s="415"/>
      <c r="F797" s="210"/>
      <c r="G797" s="415"/>
      <c r="H797" s="210"/>
      <c r="I797" s="415"/>
      <c r="J797" s="210"/>
      <c r="K797" s="415"/>
      <c r="L797" s="210"/>
      <c r="M797" s="415"/>
      <c r="N797" s="210"/>
      <c r="O797" s="415"/>
      <c r="P797" s="210"/>
      <c r="Q797" s="439"/>
      <c r="R797" s="439"/>
      <c r="S797" s="415"/>
      <c r="T797" s="210"/>
      <c r="U797" s="415"/>
      <c r="V797" s="210"/>
      <c r="W797" s="8"/>
      <c r="X797" s="8"/>
      <c r="Y797" s="8"/>
      <c r="Z797" s="8"/>
      <c r="AA797" s="8"/>
      <c r="AB797" s="8"/>
      <c r="AC797" s="8"/>
      <c r="AD797" s="8"/>
      <c r="AE797" s="8"/>
      <c r="AF797" s="8"/>
      <c r="AG797" s="8"/>
      <c r="AH797" s="8"/>
      <c r="AI797" s="8"/>
      <c r="AJ797" s="8"/>
      <c r="AK797" s="8"/>
      <c r="AL797" s="8"/>
      <c r="AM797" s="8"/>
      <c r="AN797" s="8"/>
      <c r="AO797" s="8"/>
      <c r="AP797" s="8"/>
      <c r="AQ797" s="8"/>
      <c r="AR797" s="8"/>
      <c r="AS797" s="8"/>
      <c r="AT797" s="8"/>
    </row>
    <row r="798">
      <c r="A798" s="415"/>
      <c r="B798" s="210"/>
      <c r="C798" s="415"/>
      <c r="D798" s="210"/>
      <c r="E798" s="415"/>
      <c r="F798" s="210"/>
      <c r="G798" s="415"/>
      <c r="H798" s="210"/>
      <c r="I798" s="415"/>
      <c r="J798" s="210"/>
      <c r="K798" s="415"/>
      <c r="L798" s="210"/>
      <c r="M798" s="415"/>
      <c r="N798" s="210"/>
      <c r="O798" s="415"/>
      <c r="P798" s="210"/>
      <c r="Q798" s="439"/>
      <c r="R798" s="439"/>
      <c r="S798" s="415"/>
      <c r="T798" s="210"/>
      <c r="U798" s="415"/>
      <c r="V798" s="210"/>
      <c r="W798" s="8"/>
      <c r="X798" s="8"/>
      <c r="Y798" s="8"/>
      <c r="Z798" s="8"/>
      <c r="AA798" s="8"/>
      <c r="AB798" s="8"/>
      <c r="AC798" s="8"/>
      <c r="AD798" s="8"/>
      <c r="AE798" s="8"/>
      <c r="AF798" s="8"/>
      <c r="AG798" s="8"/>
      <c r="AH798" s="8"/>
      <c r="AI798" s="8"/>
      <c r="AJ798" s="8"/>
      <c r="AK798" s="8"/>
      <c r="AL798" s="8"/>
      <c r="AM798" s="8"/>
      <c r="AN798" s="8"/>
      <c r="AO798" s="8"/>
      <c r="AP798" s="8"/>
      <c r="AQ798" s="8"/>
      <c r="AR798" s="8"/>
      <c r="AS798" s="8"/>
      <c r="AT798" s="8"/>
    </row>
    <row r="799">
      <c r="A799" s="415"/>
      <c r="B799" s="210"/>
      <c r="C799" s="415"/>
      <c r="D799" s="210"/>
      <c r="E799" s="415"/>
      <c r="F799" s="210"/>
      <c r="G799" s="415"/>
      <c r="H799" s="210"/>
      <c r="I799" s="415"/>
      <c r="J799" s="210"/>
      <c r="K799" s="415"/>
      <c r="L799" s="210"/>
      <c r="M799" s="415"/>
      <c r="N799" s="210"/>
      <c r="O799" s="415"/>
      <c r="P799" s="210"/>
      <c r="Q799" s="439"/>
      <c r="R799" s="439"/>
      <c r="S799" s="415"/>
      <c r="T799" s="210"/>
      <c r="U799" s="415"/>
      <c r="V799" s="210"/>
      <c r="W799" s="8"/>
      <c r="X799" s="8"/>
      <c r="Y799" s="8"/>
      <c r="Z799" s="8"/>
      <c r="AA799" s="8"/>
      <c r="AB799" s="8"/>
      <c r="AC799" s="8"/>
      <c r="AD799" s="8"/>
      <c r="AE799" s="8"/>
      <c r="AF799" s="8"/>
      <c r="AG799" s="8"/>
      <c r="AH799" s="8"/>
      <c r="AI799" s="8"/>
      <c r="AJ799" s="8"/>
      <c r="AK799" s="8"/>
      <c r="AL799" s="8"/>
      <c r="AM799" s="8"/>
      <c r="AN799" s="8"/>
      <c r="AO799" s="8"/>
      <c r="AP799" s="8"/>
      <c r="AQ799" s="8"/>
      <c r="AR799" s="8"/>
      <c r="AS799" s="8"/>
      <c r="AT799" s="8"/>
    </row>
    <row r="800">
      <c r="A800" s="415"/>
      <c r="B800" s="210"/>
      <c r="C800" s="415"/>
      <c r="D800" s="210"/>
      <c r="E800" s="415"/>
      <c r="F800" s="210"/>
      <c r="G800" s="415"/>
      <c r="H800" s="210"/>
      <c r="I800" s="415"/>
      <c r="J800" s="210"/>
      <c r="K800" s="415"/>
      <c r="L800" s="210"/>
      <c r="M800" s="415"/>
      <c r="N800" s="210"/>
      <c r="O800" s="415"/>
      <c r="P800" s="210"/>
      <c r="Q800" s="439"/>
      <c r="R800" s="439"/>
      <c r="S800" s="415"/>
      <c r="T800" s="210"/>
      <c r="U800" s="415"/>
      <c r="V800" s="210"/>
      <c r="W800" s="8"/>
      <c r="X800" s="8"/>
      <c r="Y800" s="8"/>
      <c r="Z800" s="8"/>
      <c r="AA800" s="8"/>
      <c r="AB800" s="8"/>
      <c r="AC800" s="8"/>
      <c r="AD800" s="8"/>
      <c r="AE800" s="8"/>
      <c r="AF800" s="8"/>
      <c r="AG800" s="8"/>
      <c r="AH800" s="8"/>
      <c r="AI800" s="8"/>
      <c r="AJ800" s="8"/>
      <c r="AK800" s="8"/>
      <c r="AL800" s="8"/>
      <c r="AM800" s="8"/>
      <c r="AN800" s="8"/>
      <c r="AO800" s="8"/>
      <c r="AP800" s="8"/>
      <c r="AQ800" s="8"/>
      <c r="AR800" s="8"/>
      <c r="AS800" s="8"/>
      <c r="AT800" s="8"/>
    </row>
    <row r="801">
      <c r="A801" s="415"/>
      <c r="B801" s="210"/>
      <c r="C801" s="415"/>
      <c r="D801" s="210"/>
      <c r="E801" s="415"/>
      <c r="F801" s="210"/>
      <c r="G801" s="415"/>
      <c r="H801" s="210"/>
      <c r="I801" s="415"/>
      <c r="J801" s="210"/>
      <c r="K801" s="415"/>
      <c r="L801" s="210"/>
      <c r="M801" s="415"/>
      <c r="N801" s="210"/>
      <c r="O801" s="415"/>
      <c r="P801" s="210"/>
      <c r="Q801" s="439"/>
      <c r="R801" s="439"/>
      <c r="S801" s="415"/>
      <c r="T801" s="210"/>
      <c r="U801" s="415"/>
      <c r="V801" s="210"/>
      <c r="W801" s="8"/>
      <c r="X801" s="8"/>
      <c r="Y801" s="8"/>
      <c r="Z801" s="8"/>
      <c r="AA801" s="8"/>
      <c r="AB801" s="8"/>
      <c r="AC801" s="8"/>
      <c r="AD801" s="8"/>
      <c r="AE801" s="8"/>
      <c r="AF801" s="8"/>
      <c r="AG801" s="8"/>
      <c r="AH801" s="8"/>
      <c r="AI801" s="8"/>
      <c r="AJ801" s="8"/>
      <c r="AK801" s="8"/>
      <c r="AL801" s="8"/>
      <c r="AM801" s="8"/>
      <c r="AN801" s="8"/>
      <c r="AO801" s="8"/>
      <c r="AP801" s="8"/>
      <c r="AQ801" s="8"/>
      <c r="AR801" s="8"/>
      <c r="AS801" s="8"/>
      <c r="AT801" s="8"/>
    </row>
    <row r="802">
      <c r="A802" s="415"/>
      <c r="B802" s="210"/>
      <c r="C802" s="415"/>
      <c r="D802" s="210"/>
      <c r="E802" s="415"/>
      <c r="F802" s="210"/>
      <c r="G802" s="415"/>
      <c r="H802" s="210"/>
      <c r="I802" s="415"/>
      <c r="J802" s="210"/>
      <c r="K802" s="415"/>
      <c r="L802" s="210"/>
      <c r="M802" s="415"/>
      <c r="N802" s="210"/>
      <c r="O802" s="415"/>
      <c r="P802" s="210"/>
      <c r="Q802" s="439"/>
      <c r="R802" s="439"/>
      <c r="S802" s="415"/>
      <c r="T802" s="210"/>
      <c r="U802" s="415"/>
      <c r="V802" s="210"/>
      <c r="W802" s="8"/>
      <c r="X802" s="8"/>
      <c r="Y802" s="8"/>
      <c r="Z802" s="8"/>
      <c r="AA802" s="8"/>
      <c r="AB802" s="8"/>
      <c r="AC802" s="8"/>
      <c r="AD802" s="8"/>
      <c r="AE802" s="8"/>
      <c r="AF802" s="8"/>
      <c r="AG802" s="8"/>
      <c r="AH802" s="8"/>
      <c r="AI802" s="8"/>
      <c r="AJ802" s="8"/>
      <c r="AK802" s="8"/>
      <c r="AL802" s="8"/>
      <c r="AM802" s="8"/>
      <c r="AN802" s="8"/>
      <c r="AO802" s="8"/>
      <c r="AP802" s="8"/>
      <c r="AQ802" s="8"/>
      <c r="AR802" s="8"/>
      <c r="AS802" s="8"/>
      <c r="AT802" s="8"/>
    </row>
    <row r="803">
      <c r="A803" s="415"/>
      <c r="B803" s="210"/>
      <c r="C803" s="415"/>
      <c r="D803" s="210"/>
      <c r="E803" s="415"/>
      <c r="F803" s="210"/>
      <c r="G803" s="415"/>
      <c r="H803" s="210"/>
      <c r="I803" s="415"/>
      <c r="J803" s="210"/>
      <c r="K803" s="415"/>
      <c r="L803" s="210"/>
      <c r="M803" s="415"/>
      <c r="N803" s="210"/>
      <c r="O803" s="415"/>
      <c r="P803" s="210"/>
      <c r="Q803" s="439"/>
      <c r="R803" s="439"/>
      <c r="S803" s="415"/>
      <c r="T803" s="210"/>
      <c r="U803" s="415"/>
      <c r="V803" s="210"/>
      <c r="W803" s="8"/>
      <c r="X803" s="8"/>
      <c r="Y803" s="8"/>
      <c r="Z803" s="8"/>
      <c r="AA803" s="8"/>
      <c r="AB803" s="8"/>
      <c r="AC803" s="8"/>
      <c r="AD803" s="8"/>
      <c r="AE803" s="8"/>
      <c r="AF803" s="8"/>
      <c r="AG803" s="8"/>
      <c r="AH803" s="8"/>
      <c r="AI803" s="8"/>
      <c r="AJ803" s="8"/>
      <c r="AK803" s="8"/>
      <c r="AL803" s="8"/>
      <c r="AM803" s="8"/>
      <c r="AN803" s="8"/>
      <c r="AO803" s="8"/>
      <c r="AP803" s="8"/>
      <c r="AQ803" s="8"/>
      <c r="AR803" s="8"/>
      <c r="AS803" s="8"/>
      <c r="AT803" s="8"/>
    </row>
    <row r="804">
      <c r="A804" s="415"/>
      <c r="B804" s="210"/>
      <c r="C804" s="415"/>
      <c r="D804" s="210"/>
      <c r="E804" s="415"/>
      <c r="F804" s="210"/>
      <c r="G804" s="415"/>
      <c r="H804" s="210"/>
      <c r="I804" s="415"/>
      <c r="J804" s="210"/>
      <c r="K804" s="415"/>
      <c r="L804" s="210"/>
      <c r="M804" s="415"/>
      <c r="N804" s="210"/>
      <c r="O804" s="415"/>
      <c r="P804" s="210"/>
      <c r="Q804" s="439"/>
      <c r="R804" s="439"/>
      <c r="S804" s="415"/>
      <c r="T804" s="210"/>
      <c r="U804" s="415"/>
      <c r="V804" s="210"/>
      <c r="W804" s="8"/>
      <c r="X804" s="8"/>
      <c r="Y804" s="8"/>
      <c r="Z804" s="8"/>
      <c r="AA804" s="8"/>
      <c r="AB804" s="8"/>
      <c r="AC804" s="8"/>
      <c r="AD804" s="8"/>
      <c r="AE804" s="8"/>
      <c r="AF804" s="8"/>
      <c r="AG804" s="8"/>
      <c r="AH804" s="8"/>
      <c r="AI804" s="8"/>
      <c r="AJ804" s="8"/>
      <c r="AK804" s="8"/>
      <c r="AL804" s="8"/>
      <c r="AM804" s="8"/>
      <c r="AN804" s="8"/>
      <c r="AO804" s="8"/>
      <c r="AP804" s="8"/>
      <c r="AQ804" s="8"/>
      <c r="AR804" s="8"/>
      <c r="AS804" s="8"/>
      <c r="AT804" s="8"/>
    </row>
    <row r="805">
      <c r="A805" s="415"/>
      <c r="B805" s="210"/>
      <c r="C805" s="415"/>
      <c r="D805" s="210"/>
      <c r="E805" s="415"/>
      <c r="F805" s="210"/>
      <c r="G805" s="415"/>
      <c r="H805" s="210"/>
      <c r="I805" s="415"/>
      <c r="J805" s="210"/>
      <c r="K805" s="415"/>
      <c r="L805" s="210"/>
      <c r="M805" s="415"/>
      <c r="N805" s="210"/>
      <c r="O805" s="415"/>
      <c r="P805" s="210"/>
      <c r="Q805" s="439"/>
      <c r="R805" s="439"/>
      <c r="S805" s="415"/>
      <c r="T805" s="210"/>
      <c r="U805" s="415"/>
      <c r="V805" s="210"/>
      <c r="W805" s="8"/>
      <c r="X805" s="8"/>
      <c r="Y805" s="8"/>
      <c r="Z805" s="8"/>
      <c r="AA805" s="8"/>
      <c r="AB805" s="8"/>
      <c r="AC805" s="8"/>
      <c r="AD805" s="8"/>
      <c r="AE805" s="8"/>
      <c r="AF805" s="8"/>
      <c r="AG805" s="8"/>
      <c r="AH805" s="8"/>
      <c r="AI805" s="8"/>
      <c r="AJ805" s="8"/>
      <c r="AK805" s="8"/>
      <c r="AL805" s="8"/>
      <c r="AM805" s="8"/>
      <c r="AN805" s="8"/>
      <c r="AO805" s="8"/>
      <c r="AP805" s="8"/>
      <c r="AQ805" s="8"/>
      <c r="AR805" s="8"/>
      <c r="AS805" s="8"/>
      <c r="AT805" s="8"/>
    </row>
    <row r="806">
      <c r="A806" s="415"/>
      <c r="B806" s="210"/>
      <c r="C806" s="415"/>
      <c r="D806" s="210"/>
      <c r="E806" s="415"/>
      <c r="F806" s="210"/>
      <c r="G806" s="415"/>
      <c r="H806" s="210"/>
      <c r="I806" s="415"/>
      <c r="J806" s="210"/>
      <c r="K806" s="415"/>
      <c r="L806" s="210"/>
      <c r="M806" s="415"/>
      <c r="N806" s="210"/>
      <c r="O806" s="415"/>
      <c r="P806" s="210"/>
      <c r="Q806" s="439"/>
      <c r="R806" s="439"/>
      <c r="S806" s="415"/>
      <c r="T806" s="210"/>
      <c r="U806" s="415"/>
      <c r="V806" s="210"/>
      <c r="W806" s="8"/>
      <c r="X806" s="8"/>
      <c r="Y806" s="8"/>
      <c r="Z806" s="8"/>
      <c r="AA806" s="8"/>
      <c r="AB806" s="8"/>
      <c r="AC806" s="8"/>
      <c r="AD806" s="8"/>
      <c r="AE806" s="8"/>
      <c r="AF806" s="8"/>
      <c r="AG806" s="8"/>
      <c r="AH806" s="8"/>
      <c r="AI806" s="8"/>
      <c r="AJ806" s="8"/>
      <c r="AK806" s="8"/>
      <c r="AL806" s="8"/>
      <c r="AM806" s="8"/>
      <c r="AN806" s="8"/>
      <c r="AO806" s="8"/>
      <c r="AP806" s="8"/>
      <c r="AQ806" s="8"/>
      <c r="AR806" s="8"/>
      <c r="AS806" s="8"/>
      <c r="AT806" s="8"/>
    </row>
    <row r="807">
      <c r="A807" s="415"/>
      <c r="B807" s="210"/>
      <c r="C807" s="415"/>
      <c r="D807" s="210"/>
      <c r="E807" s="415"/>
      <c r="F807" s="210"/>
      <c r="G807" s="415"/>
      <c r="H807" s="210"/>
      <c r="I807" s="415"/>
      <c r="J807" s="210"/>
      <c r="K807" s="415"/>
      <c r="L807" s="210"/>
      <c r="M807" s="415"/>
      <c r="N807" s="210"/>
      <c r="O807" s="415"/>
      <c r="P807" s="210"/>
      <c r="Q807" s="439"/>
      <c r="R807" s="439"/>
      <c r="S807" s="415"/>
      <c r="T807" s="210"/>
      <c r="U807" s="415"/>
      <c r="V807" s="210"/>
      <c r="W807" s="8"/>
      <c r="X807" s="8"/>
      <c r="Y807" s="8"/>
      <c r="Z807" s="8"/>
      <c r="AA807" s="8"/>
      <c r="AB807" s="8"/>
      <c r="AC807" s="8"/>
      <c r="AD807" s="8"/>
      <c r="AE807" s="8"/>
      <c r="AF807" s="8"/>
      <c r="AG807" s="8"/>
      <c r="AH807" s="8"/>
      <c r="AI807" s="8"/>
      <c r="AJ807" s="8"/>
      <c r="AK807" s="8"/>
      <c r="AL807" s="8"/>
      <c r="AM807" s="8"/>
      <c r="AN807" s="8"/>
      <c r="AO807" s="8"/>
      <c r="AP807" s="8"/>
      <c r="AQ807" s="8"/>
      <c r="AR807" s="8"/>
      <c r="AS807" s="8"/>
      <c r="AT807" s="8"/>
    </row>
    <row r="808">
      <c r="A808" s="415"/>
      <c r="B808" s="210"/>
      <c r="C808" s="415"/>
      <c r="D808" s="210"/>
      <c r="E808" s="415"/>
      <c r="F808" s="210"/>
      <c r="G808" s="415"/>
      <c r="H808" s="210"/>
      <c r="I808" s="415"/>
      <c r="J808" s="210"/>
      <c r="K808" s="415"/>
      <c r="L808" s="210"/>
      <c r="M808" s="415"/>
      <c r="N808" s="210"/>
      <c r="O808" s="415"/>
      <c r="P808" s="210"/>
      <c r="Q808" s="439"/>
      <c r="R808" s="439"/>
      <c r="S808" s="415"/>
      <c r="T808" s="210"/>
      <c r="U808" s="415"/>
      <c r="V808" s="210"/>
      <c r="W808" s="8"/>
      <c r="X808" s="8"/>
      <c r="Y808" s="8"/>
      <c r="Z808" s="8"/>
      <c r="AA808" s="8"/>
      <c r="AB808" s="8"/>
      <c r="AC808" s="8"/>
      <c r="AD808" s="8"/>
      <c r="AE808" s="8"/>
      <c r="AF808" s="8"/>
      <c r="AG808" s="8"/>
      <c r="AH808" s="8"/>
      <c r="AI808" s="8"/>
      <c r="AJ808" s="8"/>
      <c r="AK808" s="8"/>
      <c r="AL808" s="8"/>
      <c r="AM808" s="8"/>
      <c r="AN808" s="8"/>
      <c r="AO808" s="8"/>
      <c r="AP808" s="8"/>
      <c r="AQ808" s="8"/>
      <c r="AR808" s="8"/>
      <c r="AS808" s="8"/>
      <c r="AT808" s="8"/>
    </row>
    <row r="809">
      <c r="A809" s="415"/>
      <c r="B809" s="210"/>
      <c r="C809" s="415"/>
      <c r="D809" s="210"/>
      <c r="E809" s="415"/>
      <c r="F809" s="210"/>
      <c r="G809" s="415"/>
      <c r="H809" s="210"/>
      <c r="I809" s="415"/>
      <c r="J809" s="210"/>
      <c r="K809" s="415"/>
      <c r="L809" s="210"/>
      <c r="M809" s="415"/>
      <c r="N809" s="210"/>
      <c r="O809" s="415"/>
      <c r="P809" s="210"/>
      <c r="Q809" s="439"/>
      <c r="R809" s="439"/>
      <c r="S809" s="415"/>
      <c r="T809" s="210"/>
      <c r="U809" s="415"/>
      <c r="V809" s="210"/>
      <c r="W809" s="8"/>
      <c r="X809" s="8"/>
      <c r="Y809" s="8"/>
      <c r="Z809" s="8"/>
      <c r="AA809" s="8"/>
      <c r="AB809" s="8"/>
      <c r="AC809" s="8"/>
      <c r="AD809" s="8"/>
      <c r="AE809" s="8"/>
      <c r="AF809" s="8"/>
      <c r="AG809" s="8"/>
      <c r="AH809" s="8"/>
      <c r="AI809" s="8"/>
      <c r="AJ809" s="8"/>
      <c r="AK809" s="8"/>
      <c r="AL809" s="8"/>
      <c r="AM809" s="8"/>
      <c r="AN809" s="8"/>
      <c r="AO809" s="8"/>
      <c r="AP809" s="8"/>
      <c r="AQ809" s="8"/>
      <c r="AR809" s="8"/>
      <c r="AS809" s="8"/>
      <c r="AT809" s="8"/>
    </row>
    <row r="810">
      <c r="A810" s="415"/>
      <c r="B810" s="210"/>
      <c r="C810" s="415"/>
      <c r="D810" s="210"/>
      <c r="E810" s="415"/>
      <c r="F810" s="210"/>
      <c r="G810" s="415"/>
      <c r="H810" s="210"/>
      <c r="I810" s="415"/>
      <c r="J810" s="210"/>
      <c r="K810" s="415"/>
      <c r="L810" s="210"/>
      <c r="M810" s="415"/>
      <c r="N810" s="210"/>
      <c r="O810" s="415"/>
      <c r="P810" s="210"/>
      <c r="Q810" s="439"/>
      <c r="R810" s="439"/>
      <c r="S810" s="415"/>
      <c r="T810" s="210"/>
      <c r="U810" s="415"/>
      <c r="V810" s="210"/>
      <c r="W810" s="8"/>
      <c r="X810" s="8"/>
      <c r="Y810" s="8"/>
      <c r="Z810" s="8"/>
      <c r="AA810" s="8"/>
      <c r="AB810" s="8"/>
      <c r="AC810" s="8"/>
      <c r="AD810" s="8"/>
      <c r="AE810" s="8"/>
      <c r="AF810" s="8"/>
      <c r="AG810" s="8"/>
      <c r="AH810" s="8"/>
      <c r="AI810" s="8"/>
      <c r="AJ810" s="8"/>
      <c r="AK810" s="8"/>
      <c r="AL810" s="8"/>
      <c r="AM810" s="8"/>
      <c r="AN810" s="8"/>
      <c r="AO810" s="8"/>
      <c r="AP810" s="8"/>
      <c r="AQ810" s="8"/>
      <c r="AR810" s="8"/>
      <c r="AS810" s="8"/>
      <c r="AT810" s="8"/>
    </row>
    <row r="811">
      <c r="A811" s="415"/>
      <c r="B811" s="210"/>
      <c r="C811" s="415"/>
      <c r="D811" s="210"/>
      <c r="E811" s="415"/>
      <c r="F811" s="210"/>
      <c r="G811" s="415"/>
      <c r="H811" s="210"/>
      <c r="I811" s="415"/>
      <c r="J811" s="210"/>
      <c r="K811" s="415"/>
      <c r="L811" s="210"/>
      <c r="M811" s="415"/>
      <c r="N811" s="210"/>
      <c r="O811" s="415"/>
      <c r="P811" s="210"/>
      <c r="Q811" s="439"/>
      <c r="R811" s="439"/>
      <c r="S811" s="415"/>
      <c r="T811" s="210"/>
      <c r="U811" s="415"/>
      <c r="V811" s="210"/>
      <c r="W811" s="8"/>
      <c r="X811" s="8"/>
      <c r="Y811" s="8"/>
      <c r="Z811" s="8"/>
      <c r="AA811" s="8"/>
      <c r="AB811" s="8"/>
      <c r="AC811" s="8"/>
      <c r="AD811" s="8"/>
      <c r="AE811" s="8"/>
      <c r="AF811" s="8"/>
      <c r="AG811" s="8"/>
      <c r="AH811" s="8"/>
      <c r="AI811" s="8"/>
      <c r="AJ811" s="8"/>
      <c r="AK811" s="8"/>
      <c r="AL811" s="8"/>
      <c r="AM811" s="8"/>
      <c r="AN811" s="8"/>
      <c r="AO811" s="8"/>
      <c r="AP811" s="8"/>
      <c r="AQ811" s="8"/>
      <c r="AR811" s="8"/>
      <c r="AS811" s="8"/>
      <c r="AT811" s="8"/>
    </row>
    <row r="812">
      <c r="A812" s="415"/>
      <c r="B812" s="210"/>
      <c r="C812" s="415"/>
      <c r="D812" s="210"/>
      <c r="E812" s="415"/>
      <c r="F812" s="210"/>
      <c r="G812" s="415"/>
      <c r="H812" s="210"/>
      <c r="I812" s="415"/>
      <c r="J812" s="210"/>
      <c r="K812" s="415"/>
      <c r="L812" s="210"/>
      <c r="M812" s="415"/>
      <c r="N812" s="210"/>
      <c r="O812" s="415"/>
      <c r="P812" s="210"/>
      <c r="Q812" s="439"/>
      <c r="R812" s="439"/>
      <c r="S812" s="415"/>
      <c r="T812" s="210"/>
      <c r="U812" s="415"/>
      <c r="V812" s="210"/>
      <c r="W812" s="8"/>
      <c r="X812" s="8"/>
      <c r="Y812" s="8"/>
      <c r="Z812" s="8"/>
      <c r="AA812" s="8"/>
      <c r="AB812" s="8"/>
      <c r="AC812" s="8"/>
      <c r="AD812" s="8"/>
      <c r="AE812" s="8"/>
      <c r="AF812" s="8"/>
      <c r="AG812" s="8"/>
      <c r="AH812" s="8"/>
      <c r="AI812" s="8"/>
      <c r="AJ812" s="8"/>
      <c r="AK812" s="8"/>
      <c r="AL812" s="8"/>
      <c r="AM812" s="8"/>
      <c r="AN812" s="8"/>
      <c r="AO812" s="8"/>
      <c r="AP812" s="8"/>
      <c r="AQ812" s="8"/>
      <c r="AR812" s="8"/>
      <c r="AS812" s="8"/>
      <c r="AT812" s="8"/>
    </row>
    <row r="813">
      <c r="A813" s="415"/>
      <c r="B813" s="210"/>
      <c r="C813" s="415"/>
      <c r="D813" s="210"/>
      <c r="E813" s="415"/>
      <c r="F813" s="210"/>
      <c r="G813" s="415"/>
      <c r="H813" s="210"/>
      <c r="I813" s="415"/>
      <c r="J813" s="210"/>
      <c r="K813" s="415"/>
      <c r="L813" s="210"/>
      <c r="M813" s="415"/>
      <c r="N813" s="210"/>
      <c r="O813" s="415"/>
      <c r="P813" s="210"/>
      <c r="Q813" s="439"/>
      <c r="R813" s="439"/>
      <c r="S813" s="415"/>
      <c r="T813" s="210"/>
      <c r="U813" s="415"/>
      <c r="V813" s="210"/>
      <c r="W813" s="8"/>
      <c r="X813" s="8"/>
      <c r="Y813" s="8"/>
      <c r="Z813" s="8"/>
      <c r="AA813" s="8"/>
      <c r="AB813" s="8"/>
      <c r="AC813" s="8"/>
      <c r="AD813" s="8"/>
      <c r="AE813" s="8"/>
      <c r="AF813" s="8"/>
      <c r="AG813" s="8"/>
      <c r="AH813" s="8"/>
      <c r="AI813" s="8"/>
      <c r="AJ813" s="8"/>
      <c r="AK813" s="8"/>
      <c r="AL813" s="8"/>
      <c r="AM813" s="8"/>
      <c r="AN813" s="8"/>
      <c r="AO813" s="8"/>
      <c r="AP813" s="8"/>
      <c r="AQ813" s="8"/>
      <c r="AR813" s="8"/>
      <c r="AS813" s="8"/>
      <c r="AT813" s="8"/>
    </row>
    <row r="814">
      <c r="A814" s="415"/>
      <c r="B814" s="210"/>
      <c r="C814" s="415"/>
      <c r="D814" s="210"/>
      <c r="E814" s="415"/>
      <c r="F814" s="210"/>
      <c r="G814" s="415"/>
      <c r="H814" s="210"/>
      <c r="I814" s="415"/>
      <c r="J814" s="210"/>
      <c r="K814" s="415"/>
      <c r="L814" s="210"/>
      <c r="M814" s="415"/>
      <c r="N814" s="210"/>
      <c r="O814" s="415"/>
      <c r="P814" s="210"/>
      <c r="Q814" s="439"/>
      <c r="R814" s="439"/>
      <c r="S814" s="415"/>
      <c r="T814" s="210"/>
      <c r="U814" s="415"/>
      <c r="V814" s="210"/>
      <c r="W814" s="8"/>
      <c r="X814" s="8"/>
      <c r="Y814" s="8"/>
      <c r="Z814" s="8"/>
      <c r="AA814" s="8"/>
      <c r="AB814" s="8"/>
      <c r="AC814" s="8"/>
      <c r="AD814" s="8"/>
      <c r="AE814" s="8"/>
      <c r="AF814" s="8"/>
      <c r="AG814" s="8"/>
      <c r="AH814" s="8"/>
      <c r="AI814" s="8"/>
      <c r="AJ814" s="8"/>
      <c r="AK814" s="8"/>
      <c r="AL814" s="8"/>
      <c r="AM814" s="8"/>
      <c r="AN814" s="8"/>
      <c r="AO814" s="8"/>
      <c r="AP814" s="8"/>
      <c r="AQ814" s="8"/>
      <c r="AR814" s="8"/>
      <c r="AS814" s="8"/>
      <c r="AT814" s="8"/>
    </row>
    <row r="815">
      <c r="A815" s="415"/>
      <c r="B815" s="210"/>
      <c r="C815" s="415"/>
      <c r="D815" s="210"/>
      <c r="E815" s="415"/>
      <c r="F815" s="210"/>
      <c r="G815" s="415"/>
      <c r="H815" s="210"/>
      <c r="I815" s="415"/>
      <c r="J815" s="210"/>
      <c r="K815" s="415"/>
      <c r="L815" s="210"/>
      <c r="M815" s="415"/>
      <c r="N815" s="210"/>
      <c r="O815" s="415"/>
      <c r="P815" s="210"/>
      <c r="Q815" s="439"/>
      <c r="R815" s="439"/>
      <c r="S815" s="415"/>
      <c r="T815" s="210"/>
      <c r="U815" s="415"/>
      <c r="V815" s="210"/>
      <c r="W815" s="8"/>
      <c r="X815" s="8"/>
      <c r="Y815" s="8"/>
      <c r="Z815" s="8"/>
      <c r="AA815" s="8"/>
      <c r="AB815" s="8"/>
      <c r="AC815" s="8"/>
      <c r="AD815" s="8"/>
      <c r="AE815" s="8"/>
      <c r="AF815" s="8"/>
      <c r="AG815" s="8"/>
      <c r="AH815" s="8"/>
      <c r="AI815" s="8"/>
      <c r="AJ815" s="8"/>
      <c r="AK815" s="8"/>
      <c r="AL815" s="8"/>
      <c r="AM815" s="8"/>
      <c r="AN815" s="8"/>
      <c r="AO815" s="8"/>
      <c r="AP815" s="8"/>
      <c r="AQ815" s="8"/>
      <c r="AR815" s="8"/>
      <c r="AS815" s="8"/>
      <c r="AT815" s="8"/>
    </row>
    <row r="816">
      <c r="A816" s="415"/>
      <c r="B816" s="210"/>
      <c r="C816" s="415"/>
      <c r="D816" s="210"/>
      <c r="E816" s="415"/>
      <c r="F816" s="210"/>
      <c r="G816" s="415"/>
      <c r="H816" s="210"/>
      <c r="I816" s="415"/>
      <c r="J816" s="210"/>
      <c r="K816" s="415"/>
      <c r="L816" s="210"/>
      <c r="M816" s="415"/>
      <c r="N816" s="210"/>
      <c r="O816" s="415"/>
      <c r="P816" s="210"/>
      <c r="Q816" s="439"/>
      <c r="R816" s="439"/>
      <c r="S816" s="415"/>
      <c r="T816" s="210"/>
      <c r="U816" s="415"/>
      <c r="V816" s="210"/>
      <c r="W816" s="8"/>
      <c r="X816" s="8"/>
      <c r="Y816" s="8"/>
      <c r="Z816" s="8"/>
      <c r="AA816" s="8"/>
      <c r="AB816" s="8"/>
      <c r="AC816" s="8"/>
      <c r="AD816" s="8"/>
      <c r="AE816" s="8"/>
      <c r="AF816" s="8"/>
      <c r="AG816" s="8"/>
      <c r="AH816" s="8"/>
      <c r="AI816" s="8"/>
      <c r="AJ816" s="8"/>
      <c r="AK816" s="8"/>
      <c r="AL816" s="8"/>
      <c r="AM816" s="8"/>
      <c r="AN816" s="8"/>
      <c r="AO816" s="8"/>
      <c r="AP816" s="8"/>
      <c r="AQ816" s="8"/>
      <c r="AR816" s="8"/>
      <c r="AS816" s="8"/>
      <c r="AT816" s="8"/>
    </row>
    <row r="817">
      <c r="A817" s="415"/>
      <c r="B817" s="210"/>
      <c r="C817" s="415"/>
      <c r="D817" s="210"/>
      <c r="E817" s="415"/>
      <c r="F817" s="210"/>
      <c r="G817" s="415"/>
      <c r="H817" s="210"/>
      <c r="I817" s="415"/>
      <c r="J817" s="210"/>
      <c r="K817" s="415"/>
      <c r="L817" s="210"/>
      <c r="M817" s="415"/>
      <c r="N817" s="210"/>
      <c r="O817" s="415"/>
      <c r="P817" s="210"/>
      <c r="Q817" s="439"/>
      <c r="R817" s="439"/>
      <c r="S817" s="415"/>
      <c r="T817" s="210"/>
      <c r="U817" s="415"/>
      <c r="V817" s="210"/>
      <c r="W817" s="8"/>
      <c r="X817" s="8"/>
      <c r="Y817" s="8"/>
      <c r="Z817" s="8"/>
      <c r="AA817" s="8"/>
      <c r="AB817" s="8"/>
      <c r="AC817" s="8"/>
      <c r="AD817" s="8"/>
      <c r="AE817" s="8"/>
      <c r="AF817" s="8"/>
      <c r="AG817" s="8"/>
      <c r="AH817" s="8"/>
      <c r="AI817" s="8"/>
      <c r="AJ817" s="8"/>
      <c r="AK817" s="8"/>
      <c r="AL817" s="8"/>
      <c r="AM817" s="8"/>
      <c r="AN817" s="8"/>
      <c r="AO817" s="8"/>
      <c r="AP817" s="8"/>
      <c r="AQ817" s="8"/>
      <c r="AR817" s="8"/>
      <c r="AS817" s="8"/>
      <c r="AT817" s="8"/>
    </row>
    <row r="818">
      <c r="A818" s="415"/>
      <c r="B818" s="210"/>
      <c r="C818" s="415"/>
      <c r="D818" s="210"/>
      <c r="E818" s="415"/>
      <c r="F818" s="210"/>
      <c r="G818" s="415"/>
      <c r="H818" s="210"/>
      <c r="I818" s="415"/>
      <c r="J818" s="210"/>
      <c r="K818" s="415"/>
      <c r="L818" s="210"/>
      <c r="M818" s="415"/>
      <c r="N818" s="210"/>
      <c r="O818" s="415"/>
      <c r="P818" s="210"/>
      <c r="Q818" s="439"/>
      <c r="R818" s="439"/>
      <c r="S818" s="415"/>
      <c r="T818" s="210"/>
      <c r="U818" s="415"/>
      <c r="V818" s="210"/>
      <c r="W818" s="8"/>
      <c r="X818" s="8"/>
      <c r="Y818" s="8"/>
      <c r="Z818" s="8"/>
      <c r="AA818" s="8"/>
      <c r="AB818" s="8"/>
      <c r="AC818" s="8"/>
      <c r="AD818" s="8"/>
      <c r="AE818" s="8"/>
      <c r="AF818" s="8"/>
      <c r="AG818" s="8"/>
      <c r="AH818" s="8"/>
      <c r="AI818" s="8"/>
      <c r="AJ818" s="8"/>
      <c r="AK818" s="8"/>
      <c r="AL818" s="8"/>
      <c r="AM818" s="8"/>
      <c r="AN818" s="8"/>
      <c r="AO818" s="8"/>
      <c r="AP818" s="8"/>
      <c r="AQ818" s="8"/>
      <c r="AR818" s="8"/>
      <c r="AS818" s="8"/>
      <c r="AT818" s="8"/>
    </row>
    <row r="819">
      <c r="A819" s="415"/>
      <c r="B819" s="210"/>
      <c r="C819" s="415"/>
      <c r="D819" s="210"/>
      <c r="E819" s="415"/>
      <c r="F819" s="210"/>
      <c r="G819" s="415"/>
      <c r="H819" s="210"/>
      <c r="I819" s="415"/>
      <c r="J819" s="210"/>
      <c r="K819" s="415"/>
      <c r="L819" s="210"/>
      <c r="M819" s="415"/>
      <c r="N819" s="210"/>
      <c r="O819" s="415"/>
      <c r="P819" s="210"/>
      <c r="Q819" s="439"/>
      <c r="R819" s="439"/>
      <c r="S819" s="415"/>
      <c r="T819" s="210"/>
      <c r="U819" s="415"/>
      <c r="V819" s="210"/>
      <c r="W819" s="8"/>
      <c r="X819" s="8"/>
      <c r="Y819" s="8"/>
      <c r="Z819" s="8"/>
      <c r="AA819" s="8"/>
      <c r="AB819" s="8"/>
      <c r="AC819" s="8"/>
      <c r="AD819" s="8"/>
      <c r="AE819" s="8"/>
      <c r="AF819" s="8"/>
      <c r="AG819" s="8"/>
      <c r="AH819" s="8"/>
      <c r="AI819" s="8"/>
      <c r="AJ819" s="8"/>
      <c r="AK819" s="8"/>
      <c r="AL819" s="8"/>
      <c r="AM819" s="8"/>
      <c r="AN819" s="8"/>
      <c r="AO819" s="8"/>
      <c r="AP819" s="8"/>
      <c r="AQ819" s="8"/>
      <c r="AR819" s="8"/>
      <c r="AS819" s="8"/>
      <c r="AT819" s="8"/>
    </row>
    <row r="820">
      <c r="A820" s="415"/>
      <c r="B820" s="210"/>
      <c r="C820" s="415"/>
      <c r="D820" s="210"/>
      <c r="E820" s="415"/>
      <c r="F820" s="210"/>
      <c r="G820" s="415"/>
      <c r="H820" s="210"/>
      <c r="I820" s="415"/>
      <c r="J820" s="210"/>
      <c r="K820" s="415"/>
      <c r="L820" s="210"/>
      <c r="M820" s="415"/>
      <c r="N820" s="210"/>
      <c r="O820" s="415"/>
      <c r="P820" s="210"/>
      <c r="Q820" s="439"/>
      <c r="R820" s="439"/>
      <c r="S820" s="415"/>
      <c r="T820" s="210"/>
      <c r="U820" s="415"/>
      <c r="V820" s="210"/>
      <c r="W820" s="8"/>
      <c r="X820" s="8"/>
      <c r="Y820" s="8"/>
      <c r="Z820" s="8"/>
      <c r="AA820" s="8"/>
      <c r="AB820" s="8"/>
      <c r="AC820" s="8"/>
      <c r="AD820" s="8"/>
      <c r="AE820" s="8"/>
      <c r="AF820" s="8"/>
      <c r="AG820" s="8"/>
      <c r="AH820" s="8"/>
      <c r="AI820" s="8"/>
      <c r="AJ820" s="8"/>
      <c r="AK820" s="8"/>
      <c r="AL820" s="8"/>
      <c r="AM820" s="8"/>
      <c r="AN820" s="8"/>
      <c r="AO820" s="8"/>
      <c r="AP820" s="8"/>
      <c r="AQ820" s="8"/>
      <c r="AR820" s="8"/>
      <c r="AS820" s="8"/>
      <c r="AT820" s="8"/>
    </row>
    <row r="821">
      <c r="A821" s="415"/>
      <c r="B821" s="210"/>
      <c r="C821" s="415"/>
      <c r="D821" s="210"/>
      <c r="E821" s="415"/>
      <c r="F821" s="210"/>
      <c r="G821" s="415"/>
      <c r="H821" s="210"/>
      <c r="I821" s="415"/>
      <c r="J821" s="210"/>
      <c r="K821" s="415"/>
      <c r="L821" s="210"/>
      <c r="M821" s="415"/>
      <c r="N821" s="210"/>
      <c r="O821" s="415"/>
      <c r="P821" s="210"/>
      <c r="Q821" s="439"/>
      <c r="R821" s="439"/>
      <c r="S821" s="415"/>
      <c r="T821" s="210"/>
      <c r="U821" s="415"/>
      <c r="V821" s="210"/>
      <c r="W821" s="8"/>
      <c r="X821" s="8"/>
      <c r="Y821" s="8"/>
      <c r="Z821" s="8"/>
      <c r="AA821" s="8"/>
      <c r="AB821" s="8"/>
      <c r="AC821" s="8"/>
      <c r="AD821" s="8"/>
      <c r="AE821" s="8"/>
      <c r="AF821" s="8"/>
      <c r="AG821" s="8"/>
      <c r="AH821" s="8"/>
      <c r="AI821" s="8"/>
      <c r="AJ821" s="8"/>
      <c r="AK821" s="8"/>
      <c r="AL821" s="8"/>
      <c r="AM821" s="8"/>
      <c r="AN821" s="8"/>
      <c r="AO821" s="8"/>
      <c r="AP821" s="8"/>
      <c r="AQ821" s="8"/>
      <c r="AR821" s="8"/>
      <c r="AS821" s="8"/>
      <c r="AT821" s="8"/>
    </row>
    <row r="822">
      <c r="A822" s="415"/>
      <c r="B822" s="210"/>
      <c r="C822" s="415"/>
      <c r="D822" s="210"/>
      <c r="E822" s="415"/>
      <c r="F822" s="210"/>
      <c r="G822" s="415"/>
      <c r="H822" s="210"/>
      <c r="I822" s="415"/>
      <c r="J822" s="210"/>
      <c r="K822" s="415"/>
      <c r="L822" s="210"/>
      <c r="M822" s="415"/>
      <c r="N822" s="210"/>
      <c r="O822" s="415"/>
      <c r="P822" s="210"/>
      <c r="Q822" s="439"/>
      <c r="R822" s="439"/>
      <c r="S822" s="415"/>
      <c r="T822" s="210"/>
      <c r="U822" s="415"/>
      <c r="V822" s="210"/>
      <c r="W822" s="8"/>
      <c r="X822" s="8"/>
      <c r="Y822" s="8"/>
      <c r="Z822" s="8"/>
      <c r="AA822" s="8"/>
      <c r="AB822" s="8"/>
      <c r="AC822" s="8"/>
      <c r="AD822" s="8"/>
      <c r="AE822" s="8"/>
      <c r="AF822" s="8"/>
      <c r="AG822" s="8"/>
      <c r="AH822" s="8"/>
      <c r="AI822" s="8"/>
      <c r="AJ822" s="8"/>
      <c r="AK822" s="8"/>
      <c r="AL822" s="8"/>
      <c r="AM822" s="8"/>
      <c r="AN822" s="8"/>
      <c r="AO822" s="8"/>
      <c r="AP822" s="8"/>
      <c r="AQ822" s="8"/>
      <c r="AR822" s="8"/>
      <c r="AS822" s="8"/>
      <c r="AT822" s="8"/>
    </row>
    <row r="823">
      <c r="A823" s="415"/>
      <c r="B823" s="210"/>
      <c r="C823" s="415"/>
      <c r="D823" s="210"/>
      <c r="E823" s="415"/>
      <c r="F823" s="210"/>
      <c r="G823" s="415"/>
      <c r="H823" s="210"/>
      <c r="I823" s="415"/>
      <c r="J823" s="210"/>
      <c r="K823" s="415"/>
      <c r="L823" s="210"/>
      <c r="M823" s="415"/>
      <c r="N823" s="210"/>
      <c r="O823" s="415"/>
      <c r="P823" s="210"/>
      <c r="Q823" s="439"/>
      <c r="R823" s="439"/>
      <c r="S823" s="415"/>
      <c r="T823" s="210"/>
      <c r="U823" s="415"/>
      <c r="V823" s="210"/>
      <c r="W823" s="8"/>
      <c r="X823" s="8"/>
      <c r="Y823" s="8"/>
      <c r="Z823" s="8"/>
      <c r="AA823" s="8"/>
      <c r="AB823" s="8"/>
      <c r="AC823" s="8"/>
      <c r="AD823" s="8"/>
      <c r="AE823" s="8"/>
      <c r="AF823" s="8"/>
      <c r="AG823" s="8"/>
      <c r="AH823" s="8"/>
      <c r="AI823" s="8"/>
      <c r="AJ823" s="8"/>
      <c r="AK823" s="8"/>
      <c r="AL823" s="8"/>
      <c r="AM823" s="8"/>
      <c r="AN823" s="8"/>
      <c r="AO823" s="8"/>
      <c r="AP823" s="8"/>
      <c r="AQ823" s="8"/>
      <c r="AR823" s="8"/>
      <c r="AS823" s="8"/>
      <c r="AT823" s="8"/>
    </row>
    <row r="824">
      <c r="A824" s="415"/>
      <c r="B824" s="210"/>
      <c r="C824" s="415"/>
      <c r="D824" s="210"/>
      <c r="E824" s="415"/>
      <c r="F824" s="210"/>
      <c r="G824" s="415"/>
      <c r="H824" s="210"/>
      <c r="I824" s="415"/>
      <c r="J824" s="210"/>
      <c r="K824" s="415"/>
      <c r="L824" s="210"/>
      <c r="M824" s="415"/>
      <c r="N824" s="210"/>
      <c r="O824" s="415"/>
      <c r="P824" s="210"/>
      <c r="Q824" s="439"/>
      <c r="R824" s="439"/>
      <c r="S824" s="415"/>
      <c r="T824" s="210"/>
      <c r="U824" s="415"/>
      <c r="V824" s="210"/>
      <c r="W824" s="8"/>
      <c r="X824" s="8"/>
      <c r="Y824" s="8"/>
      <c r="Z824" s="8"/>
      <c r="AA824" s="8"/>
      <c r="AB824" s="8"/>
      <c r="AC824" s="8"/>
      <c r="AD824" s="8"/>
      <c r="AE824" s="8"/>
      <c r="AF824" s="8"/>
      <c r="AG824" s="8"/>
      <c r="AH824" s="8"/>
      <c r="AI824" s="8"/>
      <c r="AJ824" s="8"/>
      <c r="AK824" s="8"/>
      <c r="AL824" s="8"/>
      <c r="AM824" s="8"/>
      <c r="AN824" s="8"/>
      <c r="AO824" s="8"/>
      <c r="AP824" s="8"/>
      <c r="AQ824" s="8"/>
      <c r="AR824" s="8"/>
      <c r="AS824" s="8"/>
      <c r="AT824" s="8"/>
    </row>
    <row r="825">
      <c r="A825" s="415"/>
      <c r="B825" s="210"/>
      <c r="C825" s="415"/>
      <c r="D825" s="210"/>
      <c r="E825" s="415"/>
      <c r="F825" s="210"/>
      <c r="G825" s="415"/>
      <c r="H825" s="210"/>
      <c r="I825" s="415"/>
      <c r="J825" s="210"/>
      <c r="K825" s="415"/>
      <c r="L825" s="210"/>
      <c r="M825" s="415"/>
      <c r="N825" s="210"/>
      <c r="O825" s="415"/>
      <c r="P825" s="210"/>
      <c r="Q825" s="439"/>
      <c r="R825" s="439"/>
      <c r="S825" s="415"/>
      <c r="T825" s="210"/>
      <c r="U825" s="415"/>
      <c r="V825" s="210"/>
      <c r="W825" s="8"/>
      <c r="X825" s="8"/>
      <c r="Y825" s="8"/>
      <c r="Z825" s="8"/>
      <c r="AA825" s="8"/>
      <c r="AB825" s="8"/>
      <c r="AC825" s="8"/>
      <c r="AD825" s="8"/>
      <c r="AE825" s="8"/>
      <c r="AF825" s="8"/>
      <c r="AG825" s="8"/>
      <c r="AH825" s="8"/>
      <c r="AI825" s="8"/>
      <c r="AJ825" s="8"/>
      <c r="AK825" s="8"/>
      <c r="AL825" s="8"/>
      <c r="AM825" s="8"/>
      <c r="AN825" s="8"/>
      <c r="AO825" s="8"/>
      <c r="AP825" s="8"/>
      <c r="AQ825" s="8"/>
      <c r="AR825" s="8"/>
      <c r="AS825" s="8"/>
      <c r="AT825" s="8"/>
    </row>
    <row r="826">
      <c r="A826" s="415"/>
      <c r="B826" s="210"/>
      <c r="C826" s="415"/>
      <c r="D826" s="210"/>
      <c r="E826" s="415"/>
      <c r="F826" s="210"/>
      <c r="G826" s="415"/>
      <c r="H826" s="210"/>
      <c r="I826" s="415"/>
      <c r="J826" s="210"/>
      <c r="K826" s="415"/>
      <c r="L826" s="210"/>
      <c r="M826" s="415"/>
      <c r="N826" s="210"/>
      <c r="O826" s="415"/>
      <c r="P826" s="210"/>
      <c r="Q826" s="439"/>
      <c r="R826" s="439"/>
      <c r="S826" s="415"/>
      <c r="T826" s="210"/>
      <c r="U826" s="415"/>
      <c r="V826" s="210"/>
      <c r="W826" s="8"/>
      <c r="X826" s="8"/>
      <c r="Y826" s="8"/>
      <c r="Z826" s="8"/>
      <c r="AA826" s="8"/>
      <c r="AB826" s="8"/>
      <c r="AC826" s="8"/>
      <c r="AD826" s="8"/>
      <c r="AE826" s="8"/>
      <c r="AF826" s="8"/>
      <c r="AG826" s="8"/>
      <c r="AH826" s="8"/>
      <c r="AI826" s="8"/>
      <c r="AJ826" s="8"/>
      <c r="AK826" s="8"/>
      <c r="AL826" s="8"/>
      <c r="AM826" s="8"/>
      <c r="AN826" s="8"/>
      <c r="AO826" s="8"/>
      <c r="AP826" s="8"/>
      <c r="AQ826" s="8"/>
      <c r="AR826" s="8"/>
      <c r="AS826" s="8"/>
      <c r="AT826" s="8"/>
    </row>
    <row r="827">
      <c r="A827" s="415"/>
      <c r="B827" s="210"/>
      <c r="C827" s="415"/>
      <c r="D827" s="210"/>
      <c r="E827" s="415"/>
      <c r="F827" s="210"/>
      <c r="G827" s="415"/>
      <c r="H827" s="210"/>
      <c r="I827" s="415"/>
      <c r="J827" s="210"/>
      <c r="K827" s="415"/>
      <c r="L827" s="210"/>
      <c r="M827" s="415"/>
      <c r="N827" s="210"/>
      <c r="O827" s="415"/>
      <c r="P827" s="210"/>
      <c r="Q827" s="439"/>
      <c r="R827" s="439"/>
      <c r="S827" s="415"/>
      <c r="T827" s="210"/>
      <c r="U827" s="415"/>
      <c r="V827" s="210"/>
      <c r="W827" s="8"/>
      <c r="X827" s="8"/>
      <c r="Y827" s="8"/>
      <c r="Z827" s="8"/>
      <c r="AA827" s="8"/>
      <c r="AB827" s="8"/>
      <c r="AC827" s="8"/>
      <c r="AD827" s="8"/>
      <c r="AE827" s="8"/>
      <c r="AF827" s="8"/>
      <c r="AG827" s="8"/>
      <c r="AH827" s="8"/>
      <c r="AI827" s="8"/>
      <c r="AJ827" s="8"/>
      <c r="AK827" s="8"/>
      <c r="AL827" s="8"/>
      <c r="AM827" s="8"/>
      <c r="AN827" s="8"/>
      <c r="AO827" s="8"/>
      <c r="AP827" s="8"/>
      <c r="AQ827" s="8"/>
      <c r="AR827" s="8"/>
      <c r="AS827" s="8"/>
      <c r="AT827" s="8"/>
    </row>
    <row r="828">
      <c r="A828" s="415"/>
      <c r="B828" s="210"/>
      <c r="C828" s="415"/>
      <c r="D828" s="210"/>
      <c r="E828" s="415"/>
      <c r="F828" s="210"/>
      <c r="G828" s="415"/>
      <c r="H828" s="210"/>
      <c r="I828" s="415"/>
      <c r="J828" s="210"/>
      <c r="K828" s="415"/>
      <c r="L828" s="210"/>
      <c r="M828" s="415"/>
      <c r="N828" s="210"/>
      <c r="O828" s="415"/>
      <c r="P828" s="210"/>
      <c r="Q828" s="439"/>
      <c r="R828" s="439"/>
      <c r="S828" s="415"/>
      <c r="T828" s="210"/>
      <c r="U828" s="415"/>
      <c r="V828" s="210"/>
      <c r="W828" s="8"/>
      <c r="X828" s="8"/>
      <c r="Y828" s="8"/>
      <c r="Z828" s="8"/>
      <c r="AA828" s="8"/>
      <c r="AB828" s="8"/>
      <c r="AC828" s="8"/>
      <c r="AD828" s="8"/>
      <c r="AE828" s="8"/>
      <c r="AF828" s="8"/>
      <c r="AG828" s="8"/>
      <c r="AH828" s="8"/>
      <c r="AI828" s="8"/>
      <c r="AJ828" s="8"/>
      <c r="AK828" s="8"/>
      <c r="AL828" s="8"/>
      <c r="AM828" s="8"/>
      <c r="AN828" s="8"/>
      <c r="AO828" s="8"/>
      <c r="AP828" s="8"/>
      <c r="AQ828" s="8"/>
      <c r="AR828" s="8"/>
      <c r="AS828" s="8"/>
      <c r="AT828" s="8"/>
    </row>
    <row r="829">
      <c r="A829" s="415"/>
      <c r="B829" s="210"/>
      <c r="C829" s="415"/>
      <c r="D829" s="210"/>
      <c r="E829" s="415"/>
      <c r="F829" s="210"/>
      <c r="G829" s="415"/>
      <c r="H829" s="210"/>
      <c r="I829" s="415"/>
      <c r="J829" s="210"/>
      <c r="K829" s="415"/>
      <c r="L829" s="210"/>
      <c r="M829" s="415"/>
      <c r="N829" s="210"/>
      <c r="O829" s="415"/>
      <c r="P829" s="210"/>
      <c r="Q829" s="439"/>
      <c r="R829" s="439"/>
      <c r="S829" s="415"/>
      <c r="T829" s="210"/>
      <c r="U829" s="415"/>
      <c r="V829" s="210"/>
      <c r="W829" s="8"/>
      <c r="X829" s="8"/>
      <c r="Y829" s="8"/>
      <c r="Z829" s="8"/>
      <c r="AA829" s="8"/>
      <c r="AB829" s="8"/>
      <c r="AC829" s="8"/>
      <c r="AD829" s="8"/>
      <c r="AE829" s="8"/>
      <c r="AF829" s="8"/>
      <c r="AG829" s="8"/>
      <c r="AH829" s="8"/>
      <c r="AI829" s="8"/>
      <c r="AJ829" s="8"/>
      <c r="AK829" s="8"/>
      <c r="AL829" s="8"/>
      <c r="AM829" s="8"/>
      <c r="AN829" s="8"/>
      <c r="AO829" s="8"/>
      <c r="AP829" s="8"/>
      <c r="AQ829" s="8"/>
      <c r="AR829" s="8"/>
      <c r="AS829" s="8"/>
      <c r="AT829" s="8"/>
    </row>
    <row r="830">
      <c r="A830" s="415"/>
      <c r="B830" s="210"/>
      <c r="C830" s="415"/>
      <c r="D830" s="210"/>
      <c r="E830" s="415"/>
      <c r="F830" s="210"/>
      <c r="G830" s="415"/>
      <c r="H830" s="210"/>
      <c r="I830" s="415"/>
      <c r="J830" s="210"/>
      <c r="K830" s="415"/>
      <c r="L830" s="210"/>
      <c r="M830" s="415"/>
      <c r="N830" s="210"/>
      <c r="O830" s="415"/>
      <c r="P830" s="210"/>
      <c r="Q830" s="439"/>
      <c r="R830" s="439"/>
      <c r="S830" s="415"/>
      <c r="T830" s="210"/>
      <c r="U830" s="415"/>
      <c r="V830" s="210"/>
      <c r="W830" s="8"/>
      <c r="X830" s="8"/>
      <c r="Y830" s="8"/>
      <c r="Z830" s="8"/>
      <c r="AA830" s="8"/>
      <c r="AB830" s="8"/>
      <c r="AC830" s="8"/>
      <c r="AD830" s="8"/>
      <c r="AE830" s="8"/>
      <c r="AF830" s="8"/>
      <c r="AG830" s="8"/>
      <c r="AH830" s="8"/>
      <c r="AI830" s="8"/>
      <c r="AJ830" s="8"/>
      <c r="AK830" s="8"/>
      <c r="AL830" s="8"/>
      <c r="AM830" s="8"/>
      <c r="AN830" s="8"/>
      <c r="AO830" s="8"/>
      <c r="AP830" s="8"/>
      <c r="AQ830" s="8"/>
      <c r="AR830" s="8"/>
      <c r="AS830" s="8"/>
      <c r="AT830" s="8"/>
    </row>
    <row r="831">
      <c r="A831" s="415"/>
      <c r="B831" s="210"/>
      <c r="C831" s="415"/>
      <c r="D831" s="210"/>
      <c r="E831" s="415"/>
      <c r="F831" s="210"/>
      <c r="G831" s="415"/>
      <c r="H831" s="210"/>
      <c r="I831" s="415"/>
      <c r="J831" s="210"/>
      <c r="K831" s="415"/>
      <c r="L831" s="210"/>
      <c r="M831" s="415"/>
      <c r="N831" s="210"/>
      <c r="O831" s="415"/>
      <c r="P831" s="210"/>
      <c r="Q831" s="439"/>
      <c r="R831" s="439"/>
      <c r="S831" s="415"/>
      <c r="T831" s="210"/>
      <c r="U831" s="415"/>
      <c r="V831" s="210"/>
      <c r="W831" s="8"/>
      <c r="X831" s="8"/>
      <c r="Y831" s="8"/>
      <c r="Z831" s="8"/>
      <c r="AA831" s="8"/>
      <c r="AB831" s="8"/>
      <c r="AC831" s="8"/>
      <c r="AD831" s="8"/>
      <c r="AE831" s="8"/>
      <c r="AF831" s="8"/>
      <c r="AG831" s="8"/>
      <c r="AH831" s="8"/>
      <c r="AI831" s="8"/>
      <c r="AJ831" s="8"/>
      <c r="AK831" s="8"/>
      <c r="AL831" s="8"/>
      <c r="AM831" s="8"/>
      <c r="AN831" s="8"/>
      <c r="AO831" s="8"/>
      <c r="AP831" s="8"/>
      <c r="AQ831" s="8"/>
      <c r="AR831" s="8"/>
      <c r="AS831" s="8"/>
      <c r="AT831" s="8"/>
    </row>
    <row r="832">
      <c r="A832" s="415"/>
      <c r="B832" s="210"/>
      <c r="C832" s="415"/>
      <c r="D832" s="210"/>
      <c r="E832" s="415"/>
      <c r="F832" s="210"/>
      <c r="G832" s="415"/>
      <c r="H832" s="210"/>
      <c r="I832" s="415"/>
      <c r="J832" s="210"/>
      <c r="K832" s="415"/>
      <c r="L832" s="210"/>
      <c r="M832" s="415"/>
      <c r="N832" s="210"/>
      <c r="O832" s="415"/>
      <c r="P832" s="210"/>
      <c r="Q832" s="439"/>
      <c r="R832" s="439"/>
      <c r="S832" s="415"/>
      <c r="T832" s="210"/>
      <c r="U832" s="415"/>
      <c r="V832" s="210"/>
      <c r="W832" s="8"/>
      <c r="X832" s="8"/>
      <c r="Y832" s="8"/>
      <c r="Z832" s="8"/>
      <c r="AA832" s="8"/>
      <c r="AB832" s="8"/>
      <c r="AC832" s="8"/>
      <c r="AD832" s="8"/>
      <c r="AE832" s="8"/>
      <c r="AF832" s="8"/>
      <c r="AG832" s="8"/>
      <c r="AH832" s="8"/>
      <c r="AI832" s="8"/>
      <c r="AJ832" s="8"/>
      <c r="AK832" s="8"/>
      <c r="AL832" s="8"/>
      <c r="AM832" s="8"/>
      <c r="AN832" s="8"/>
      <c r="AO832" s="8"/>
      <c r="AP832" s="8"/>
      <c r="AQ832" s="8"/>
      <c r="AR832" s="8"/>
      <c r="AS832" s="8"/>
      <c r="AT832" s="8"/>
    </row>
    <row r="833">
      <c r="A833" s="415"/>
      <c r="B833" s="210"/>
      <c r="C833" s="415"/>
      <c r="D833" s="210"/>
      <c r="E833" s="415"/>
      <c r="F833" s="210"/>
      <c r="G833" s="415"/>
      <c r="H833" s="210"/>
      <c r="I833" s="415"/>
      <c r="J833" s="210"/>
      <c r="K833" s="415"/>
      <c r="L833" s="210"/>
      <c r="M833" s="415"/>
      <c r="N833" s="210"/>
      <c r="O833" s="415"/>
      <c r="P833" s="210"/>
      <c r="Q833" s="439"/>
      <c r="R833" s="439"/>
      <c r="S833" s="415"/>
      <c r="T833" s="210"/>
      <c r="U833" s="415"/>
      <c r="V833" s="210"/>
      <c r="W833" s="8"/>
      <c r="X833" s="8"/>
      <c r="Y833" s="8"/>
      <c r="Z833" s="8"/>
      <c r="AA833" s="8"/>
      <c r="AB833" s="8"/>
      <c r="AC833" s="8"/>
      <c r="AD833" s="8"/>
      <c r="AE833" s="8"/>
      <c r="AF833" s="8"/>
      <c r="AG833" s="8"/>
      <c r="AH833" s="8"/>
      <c r="AI833" s="8"/>
      <c r="AJ833" s="8"/>
      <c r="AK833" s="8"/>
      <c r="AL833" s="8"/>
      <c r="AM833" s="8"/>
      <c r="AN833" s="8"/>
      <c r="AO833" s="8"/>
      <c r="AP833" s="8"/>
      <c r="AQ833" s="8"/>
      <c r="AR833" s="8"/>
      <c r="AS833" s="8"/>
      <c r="AT833" s="8"/>
    </row>
    <row r="834">
      <c r="A834" s="415"/>
      <c r="B834" s="210"/>
      <c r="C834" s="415"/>
      <c r="D834" s="210"/>
      <c r="E834" s="415"/>
      <c r="F834" s="210"/>
      <c r="G834" s="415"/>
      <c r="H834" s="210"/>
      <c r="I834" s="415"/>
      <c r="J834" s="210"/>
      <c r="K834" s="415"/>
      <c r="L834" s="210"/>
      <c r="M834" s="415"/>
      <c r="N834" s="210"/>
      <c r="O834" s="415"/>
      <c r="P834" s="210"/>
      <c r="Q834" s="439"/>
      <c r="R834" s="439"/>
      <c r="S834" s="415"/>
      <c r="T834" s="210"/>
      <c r="U834" s="415"/>
      <c r="V834" s="210"/>
      <c r="W834" s="8"/>
      <c r="X834" s="8"/>
      <c r="Y834" s="8"/>
      <c r="Z834" s="8"/>
      <c r="AA834" s="8"/>
      <c r="AB834" s="8"/>
      <c r="AC834" s="8"/>
      <c r="AD834" s="8"/>
      <c r="AE834" s="8"/>
      <c r="AF834" s="8"/>
      <c r="AG834" s="8"/>
      <c r="AH834" s="8"/>
      <c r="AI834" s="8"/>
      <c r="AJ834" s="8"/>
      <c r="AK834" s="8"/>
      <c r="AL834" s="8"/>
      <c r="AM834" s="8"/>
      <c r="AN834" s="8"/>
      <c r="AO834" s="8"/>
      <c r="AP834" s="8"/>
      <c r="AQ834" s="8"/>
      <c r="AR834" s="8"/>
      <c r="AS834" s="8"/>
      <c r="AT834" s="8"/>
    </row>
    <row r="835">
      <c r="A835" s="415"/>
      <c r="B835" s="210"/>
      <c r="C835" s="415"/>
      <c r="D835" s="210"/>
      <c r="E835" s="415"/>
      <c r="F835" s="210"/>
      <c r="G835" s="415"/>
      <c r="H835" s="210"/>
      <c r="I835" s="415"/>
      <c r="J835" s="210"/>
      <c r="K835" s="415"/>
      <c r="L835" s="210"/>
      <c r="M835" s="415"/>
      <c r="N835" s="210"/>
      <c r="O835" s="415"/>
      <c r="P835" s="210"/>
      <c r="Q835" s="439"/>
      <c r="R835" s="439"/>
      <c r="S835" s="415"/>
      <c r="T835" s="210"/>
      <c r="U835" s="415"/>
      <c r="V835" s="210"/>
      <c r="W835" s="8"/>
      <c r="X835" s="8"/>
      <c r="Y835" s="8"/>
      <c r="Z835" s="8"/>
      <c r="AA835" s="8"/>
      <c r="AB835" s="8"/>
      <c r="AC835" s="8"/>
      <c r="AD835" s="8"/>
      <c r="AE835" s="8"/>
      <c r="AF835" s="8"/>
      <c r="AG835" s="8"/>
      <c r="AH835" s="8"/>
      <c r="AI835" s="8"/>
      <c r="AJ835" s="8"/>
      <c r="AK835" s="8"/>
      <c r="AL835" s="8"/>
      <c r="AM835" s="8"/>
      <c r="AN835" s="8"/>
      <c r="AO835" s="8"/>
      <c r="AP835" s="8"/>
      <c r="AQ835" s="8"/>
      <c r="AR835" s="8"/>
      <c r="AS835" s="8"/>
      <c r="AT835" s="8"/>
    </row>
    <row r="836">
      <c r="A836" s="415"/>
      <c r="B836" s="210"/>
      <c r="C836" s="415"/>
      <c r="D836" s="210"/>
      <c r="E836" s="415"/>
      <c r="F836" s="210"/>
      <c r="G836" s="415"/>
      <c r="H836" s="210"/>
      <c r="I836" s="415"/>
      <c r="J836" s="210"/>
      <c r="K836" s="415"/>
      <c r="L836" s="210"/>
      <c r="M836" s="415"/>
      <c r="N836" s="210"/>
      <c r="O836" s="415"/>
      <c r="P836" s="210"/>
      <c r="Q836" s="439"/>
      <c r="R836" s="439"/>
      <c r="S836" s="415"/>
      <c r="T836" s="210"/>
      <c r="U836" s="415"/>
      <c r="V836" s="210"/>
      <c r="W836" s="8"/>
      <c r="X836" s="8"/>
      <c r="Y836" s="8"/>
      <c r="Z836" s="8"/>
      <c r="AA836" s="8"/>
      <c r="AB836" s="8"/>
      <c r="AC836" s="8"/>
      <c r="AD836" s="8"/>
      <c r="AE836" s="8"/>
      <c r="AF836" s="8"/>
      <c r="AG836" s="8"/>
      <c r="AH836" s="8"/>
      <c r="AI836" s="8"/>
      <c r="AJ836" s="8"/>
      <c r="AK836" s="8"/>
      <c r="AL836" s="8"/>
      <c r="AM836" s="8"/>
      <c r="AN836" s="8"/>
      <c r="AO836" s="8"/>
      <c r="AP836" s="8"/>
      <c r="AQ836" s="8"/>
      <c r="AR836" s="8"/>
      <c r="AS836" s="8"/>
      <c r="AT836" s="8"/>
    </row>
    <row r="837">
      <c r="A837" s="415"/>
      <c r="B837" s="210"/>
      <c r="C837" s="415"/>
      <c r="D837" s="210"/>
      <c r="E837" s="415"/>
      <c r="F837" s="210"/>
      <c r="G837" s="415"/>
      <c r="H837" s="210"/>
      <c r="I837" s="415"/>
      <c r="J837" s="210"/>
      <c r="K837" s="415"/>
      <c r="L837" s="210"/>
      <c r="M837" s="415"/>
      <c r="N837" s="210"/>
      <c r="O837" s="415"/>
      <c r="P837" s="210"/>
      <c r="Q837" s="439"/>
      <c r="R837" s="439"/>
      <c r="S837" s="415"/>
      <c r="T837" s="210"/>
      <c r="U837" s="415"/>
      <c r="V837" s="210"/>
      <c r="W837" s="8"/>
      <c r="X837" s="8"/>
      <c r="Y837" s="8"/>
      <c r="Z837" s="8"/>
      <c r="AA837" s="8"/>
      <c r="AB837" s="8"/>
      <c r="AC837" s="8"/>
      <c r="AD837" s="8"/>
      <c r="AE837" s="8"/>
      <c r="AF837" s="8"/>
      <c r="AG837" s="8"/>
      <c r="AH837" s="8"/>
      <c r="AI837" s="8"/>
      <c r="AJ837" s="8"/>
      <c r="AK837" s="8"/>
      <c r="AL837" s="8"/>
      <c r="AM837" s="8"/>
      <c r="AN837" s="8"/>
      <c r="AO837" s="8"/>
      <c r="AP837" s="8"/>
      <c r="AQ837" s="8"/>
      <c r="AR837" s="8"/>
      <c r="AS837" s="8"/>
      <c r="AT837" s="8"/>
    </row>
    <row r="838">
      <c r="A838" s="415"/>
      <c r="B838" s="210"/>
      <c r="C838" s="415"/>
      <c r="D838" s="210"/>
      <c r="E838" s="415"/>
      <c r="F838" s="210"/>
      <c r="G838" s="415"/>
      <c r="H838" s="210"/>
      <c r="I838" s="415"/>
      <c r="J838" s="210"/>
      <c r="K838" s="415"/>
      <c r="L838" s="210"/>
      <c r="M838" s="415"/>
      <c r="N838" s="210"/>
      <c r="O838" s="415"/>
      <c r="P838" s="210"/>
      <c r="Q838" s="439"/>
      <c r="R838" s="439"/>
      <c r="S838" s="415"/>
      <c r="T838" s="210"/>
      <c r="U838" s="415"/>
      <c r="V838" s="210"/>
      <c r="W838" s="8"/>
      <c r="X838" s="8"/>
      <c r="Y838" s="8"/>
      <c r="Z838" s="8"/>
      <c r="AA838" s="8"/>
      <c r="AB838" s="8"/>
      <c r="AC838" s="8"/>
      <c r="AD838" s="8"/>
      <c r="AE838" s="8"/>
      <c r="AF838" s="8"/>
      <c r="AG838" s="8"/>
      <c r="AH838" s="8"/>
      <c r="AI838" s="8"/>
      <c r="AJ838" s="8"/>
      <c r="AK838" s="8"/>
      <c r="AL838" s="8"/>
      <c r="AM838" s="8"/>
      <c r="AN838" s="8"/>
      <c r="AO838" s="8"/>
      <c r="AP838" s="8"/>
      <c r="AQ838" s="8"/>
      <c r="AR838" s="8"/>
      <c r="AS838" s="8"/>
      <c r="AT838" s="8"/>
    </row>
    <row r="839">
      <c r="A839" s="415"/>
      <c r="B839" s="210"/>
      <c r="C839" s="415"/>
      <c r="D839" s="210"/>
      <c r="E839" s="415"/>
      <c r="F839" s="210"/>
      <c r="G839" s="415"/>
      <c r="H839" s="210"/>
      <c r="I839" s="415"/>
      <c r="J839" s="210"/>
      <c r="K839" s="415"/>
      <c r="L839" s="210"/>
      <c r="M839" s="415"/>
      <c r="N839" s="210"/>
      <c r="O839" s="415"/>
      <c r="P839" s="210"/>
      <c r="Q839" s="439"/>
      <c r="R839" s="439"/>
      <c r="S839" s="415"/>
      <c r="T839" s="210"/>
      <c r="U839" s="415"/>
      <c r="V839" s="210"/>
      <c r="W839" s="8"/>
      <c r="X839" s="8"/>
      <c r="Y839" s="8"/>
      <c r="Z839" s="8"/>
      <c r="AA839" s="8"/>
      <c r="AB839" s="8"/>
      <c r="AC839" s="8"/>
      <c r="AD839" s="8"/>
      <c r="AE839" s="8"/>
      <c r="AF839" s="8"/>
      <c r="AG839" s="8"/>
      <c r="AH839" s="8"/>
      <c r="AI839" s="8"/>
      <c r="AJ839" s="8"/>
      <c r="AK839" s="8"/>
      <c r="AL839" s="8"/>
      <c r="AM839" s="8"/>
      <c r="AN839" s="8"/>
      <c r="AO839" s="8"/>
      <c r="AP839" s="8"/>
      <c r="AQ839" s="8"/>
      <c r="AR839" s="8"/>
      <c r="AS839" s="8"/>
      <c r="AT839" s="8"/>
    </row>
    <row r="840">
      <c r="A840" s="415"/>
      <c r="B840" s="210"/>
      <c r="C840" s="415"/>
      <c r="D840" s="210"/>
      <c r="E840" s="415"/>
      <c r="F840" s="210"/>
      <c r="G840" s="415"/>
      <c r="H840" s="210"/>
      <c r="I840" s="415"/>
      <c r="J840" s="210"/>
      <c r="K840" s="415"/>
      <c r="L840" s="210"/>
      <c r="M840" s="415"/>
      <c r="N840" s="210"/>
      <c r="O840" s="415"/>
      <c r="P840" s="210"/>
      <c r="Q840" s="439"/>
      <c r="R840" s="439"/>
      <c r="S840" s="415"/>
      <c r="T840" s="210"/>
      <c r="U840" s="415"/>
      <c r="V840" s="210"/>
      <c r="W840" s="8"/>
      <c r="X840" s="8"/>
      <c r="Y840" s="8"/>
      <c r="Z840" s="8"/>
      <c r="AA840" s="8"/>
      <c r="AB840" s="8"/>
      <c r="AC840" s="8"/>
      <c r="AD840" s="8"/>
      <c r="AE840" s="8"/>
      <c r="AF840" s="8"/>
      <c r="AG840" s="8"/>
      <c r="AH840" s="8"/>
      <c r="AI840" s="8"/>
      <c r="AJ840" s="8"/>
      <c r="AK840" s="8"/>
      <c r="AL840" s="8"/>
      <c r="AM840" s="8"/>
      <c r="AN840" s="8"/>
      <c r="AO840" s="8"/>
      <c r="AP840" s="8"/>
      <c r="AQ840" s="8"/>
      <c r="AR840" s="8"/>
      <c r="AS840" s="8"/>
      <c r="AT840" s="8"/>
    </row>
    <row r="841">
      <c r="A841" s="415"/>
      <c r="B841" s="210"/>
      <c r="C841" s="415"/>
      <c r="D841" s="210"/>
      <c r="E841" s="415"/>
      <c r="F841" s="210"/>
      <c r="G841" s="415"/>
      <c r="H841" s="210"/>
      <c r="I841" s="415"/>
      <c r="J841" s="210"/>
      <c r="K841" s="415"/>
      <c r="L841" s="210"/>
      <c r="M841" s="415"/>
      <c r="N841" s="210"/>
      <c r="O841" s="415"/>
      <c r="P841" s="210"/>
      <c r="Q841" s="439"/>
      <c r="R841" s="439"/>
      <c r="S841" s="415"/>
      <c r="T841" s="210"/>
      <c r="U841" s="415"/>
      <c r="V841" s="210"/>
      <c r="W841" s="8"/>
      <c r="X841" s="8"/>
      <c r="Y841" s="8"/>
      <c r="Z841" s="8"/>
      <c r="AA841" s="8"/>
      <c r="AB841" s="8"/>
      <c r="AC841" s="8"/>
      <c r="AD841" s="8"/>
      <c r="AE841" s="8"/>
      <c r="AF841" s="8"/>
      <c r="AG841" s="8"/>
      <c r="AH841" s="8"/>
      <c r="AI841" s="8"/>
      <c r="AJ841" s="8"/>
      <c r="AK841" s="8"/>
      <c r="AL841" s="8"/>
      <c r="AM841" s="8"/>
      <c r="AN841" s="8"/>
      <c r="AO841" s="8"/>
      <c r="AP841" s="8"/>
      <c r="AQ841" s="8"/>
      <c r="AR841" s="8"/>
      <c r="AS841" s="8"/>
      <c r="AT841" s="8"/>
    </row>
    <row r="842">
      <c r="A842" s="415"/>
      <c r="B842" s="210"/>
      <c r="C842" s="415"/>
      <c r="D842" s="210"/>
      <c r="E842" s="415"/>
      <c r="F842" s="210"/>
      <c r="G842" s="415"/>
      <c r="H842" s="210"/>
      <c r="I842" s="415"/>
      <c r="J842" s="210"/>
      <c r="K842" s="415"/>
      <c r="L842" s="210"/>
      <c r="M842" s="415"/>
      <c r="N842" s="210"/>
      <c r="O842" s="415"/>
      <c r="P842" s="210"/>
      <c r="Q842" s="439"/>
      <c r="R842" s="439"/>
      <c r="S842" s="415"/>
      <c r="T842" s="210"/>
      <c r="U842" s="415"/>
      <c r="V842" s="210"/>
      <c r="W842" s="8"/>
      <c r="X842" s="8"/>
      <c r="Y842" s="8"/>
      <c r="Z842" s="8"/>
      <c r="AA842" s="8"/>
      <c r="AB842" s="8"/>
      <c r="AC842" s="8"/>
      <c r="AD842" s="8"/>
      <c r="AE842" s="8"/>
      <c r="AF842" s="8"/>
      <c r="AG842" s="8"/>
      <c r="AH842" s="8"/>
      <c r="AI842" s="8"/>
      <c r="AJ842" s="8"/>
      <c r="AK842" s="8"/>
      <c r="AL842" s="8"/>
      <c r="AM842" s="8"/>
      <c r="AN842" s="8"/>
      <c r="AO842" s="8"/>
      <c r="AP842" s="8"/>
      <c r="AQ842" s="8"/>
      <c r="AR842" s="8"/>
      <c r="AS842" s="8"/>
      <c r="AT842" s="8"/>
    </row>
    <row r="843">
      <c r="A843" s="415"/>
      <c r="B843" s="210"/>
      <c r="C843" s="415"/>
      <c r="D843" s="210"/>
      <c r="E843" s="415"/>
      <c r="F843" s="210"/>
      <c r="G843" s="415"/>
      <c r="H843" s="210"/>
      <c r="I843" s="415"/>
      <c r="J843" s="210"/>
      <c r="K843" s="415"/>
      <c r="L843" s="210"/>
      <c r="M843" s="415"/>
      <c r="N843" s="210"/>
      <c r="O843" s="415"/>
      <c r="P843" s="210"/>
      <c r="Q843" s="439"/>
      <c r="R843" s="439"/>
      <c r="S843" s="415"/>
      <c r="T843" s="210"/>
      <c r="U843" s="415"/>
      <c r="V843" s="210"/>
      <c r="W843" s="8"/>
      <c r="X843" s="8"/>
      <c r="Y843" s="8"/>
      <c r="Z843" s="8"/>
      <c r="AA843" s="8"/>
      <c r="AB843" s="8"/>
      <c r="AC843" s="8"/>
      <c r="AD843" s="8"/>
      <c r="AE843" s="8"/>
      <c r="AF843" s="8"/>
      <c r="AG843" s="8"/>
      <c r="AH843" s="8"/>
      <c r="AI843" s="8"/>
      <c r="AJ843" s="8"/>
      <c r="AK843" s="8"/>
      <c r="AL843" s="8"/>
      <c r="AM843" s="8"/>
      <c r="AN843" s="8"/>
      <c r="AO843" s="8"/>
      <c r="AP843" s="8"/>
      <c r="AQ843" s="8"/>
      <c r="AR843" s="8"/>
      <c r="AS843" s="8"/>
      <c r="AT843" s="8"/>
    </row>
    <row r="844">
      <c r="A844" s="415"/>
      <c r="B844" s="210"/>
      <c r="C844" s="415"/>
      <c r="D844" s="210"/>
      <c r="E844" s="415"/>
      <c r="F844" s="210"/>
      <c r="G844" s="415"/>
      <c r="H844" s="210"/>
      <c r="I844" s="415"/>
      <c r="J844" s="210"/>
      <c r="K844" s="415"/>
      <c r="L844" s="210"/>
      <c r="M844" s="415"/>
      <c r="N844" s="210"/>
      <c r="O844" s="415"/>
      <c r="P844" s="210"/>
      <c r="Q844" s="439"/>
      <c r="R844" s="439"/>
      <c r="S844" s="415"/>
      <c r="T844" s="210"/>
      <c r="U844" s="415"/>
      <c r="V844" s="210"/>
      <c r="W844" s="8"/>
      <c r="X844" s="8"/>
      <c r="Y844" s="8"/>
      <c r="Z844" s="8"/>
      <c r="AA844" s="8"/>
      <c r="AB844" s="8"/>
      <c r="AC844" s="8"/>
      <c r="AD844" s="8"/>
      <c r="AE844" s="8"/>
      <c r="AF844" s="8"/>
      <c r="AG844" s="8"/>
      <c r="AH844" s="8"/>
      <c r="AI844" s="8"/>
      <c r="AJ844" s="8"/>
      <c r="AK844" s="8"/>
      <c r="AL844" s="8"/>
      <c r="AM844" s="8"/>
      <c r="AN844" s="8"/>
      <c r="AO844" s="8"/>
      <c r="AP844" s="8"/>
      <c r="AQ844" s="8"/>
      <c r="AR844" s="8"/>
      <c r="AS844" s="8"/>
      <c r="AT844" s="8"/>
    </row>
    <row r="845">
      <c r="A845" s="415"/>
      <c r="B845" s="210"/>
      <c r="C845" s="415"/>
      <c r="D845" s="210"/>
      <c r="E845" s="415"/>
      <c r="F845" s="210"/>
      <c r="G845" s="415"/>
      <c r="H845" s="210"/>
      <c r="I845" s="415"/>
      <c r="J845" s="210"/>
      <c r="K845" s="415"/>
      <c r="L845" s="210"/>
      <c r="M845" s="415"/>
      <c r="N845" s="210"/>
      <c r="O845" s="415"/>
      <c r="P845" s="210"/>
      <c r="Q845" s="439"/>
      <c r="R845" s="439"/>
      <c r="S845" s="415"/>
      <c r="T845" s="210"/>
      <c r="U845" s="415"/>
      <c r="V845" s="210"/>
      <c r="W845" s="8"/>
      <c r="X845" s="8"/>
      <c r="Y845" s="8"/>
      <c r="Z845" s="8"/>
      <c r="AA845" s="8"/>
      <c r="AB845" s="8"/>
      <c r="AC845" s="8"/>
      <c r="AD845" s="8"/>
      <c r="AE845" s="8"/>
      <c r="AF845" s="8"/>
      <c r="AG845" s="8"/>
      <c r="AH845" s="8"/>
      <c r="AI845" s="8"/>
      <c r="AJ845" s="8"/>
      <c r="AK845" s="8"/>
      <c r="AL845" s="8"/>
      <c r="AM845" s="8"/>
      <c r="AN845" s="8"/>
      <c r="AO845" s="8"/>
      <c r="AP845" s="8"/>
      <c r="AQ845" s="8"/>
      <c r="AR845" s="8"/>
      <c r="AS845" s="8"/>
      <c r="AT845" s="8"/>
    </row>
    <row r="846">
      <c r="A846" s="415"/>
      <c r="B846" s="210"/>
      <c r="C846" s="415"/>
      <c r="D846" s="210"/>
      <c r="E846" s="415"/>
      <c r="F846" s="210"/>
      <c r="G846" s="415"/>
      <c r="H846" s="210"/>
      <c r="I846" s="415"/>
      <c r="J846" s="210"/>
      <c r="K846" s="415"/>
      <c r="L846" s="210"/>
      <c r="M846" s="415"/>
      <c r="N846" s="210"/>
      <c r="O846" s="415"/>
      <c r="P846" s="210"/>
      <c r="Q846" s="439"/>
      <c r="R846" s="439"/>
      <c r="S846" s="415"/>
      <c r="T846" s="210"/>
      <c r="U846" s="415"/>
      <c r="V846" s="210"/>
      <c r="W846" s="8"/>
      <c r="X846" s="8"/>
      <c r="Y846" s="8"/>
      <c r="Z846" s="8"/>
      <c r="AA846" s="8"/>
      <c r="AB846" s="8"/>
      <c r="AC846" s="8"/>
      <c r="AD846" s="8"/>
      <c r="AE846" s="8"/>
      <c r="AF846" s="8"/>
      <c r="AG846" s="8"/>
      <c r="AH846" s="8"/>
      <c r="AI846" s="8"/>
      <c r="AJ846" s="8"/>
      <c r="AK846" s="8"/>
      <c r="AL846" s="8"/>
      <c r="AM846" s="8"/>
      <c r="AN846" s="8"/>
      <c r="AO846" s="8"/>
      <c r="AP846" s="8"/>
      <c r="AQ846" s="8"/>
      <c r="AR846" s="8"/>
      <c r="AS846" s="8"/>
      <c r="AT846" s="8"/>
    </row>
    <row r="847">
      <c r="A847" s="415"/>
      <c r="B847" s="210"/>
      <c r="C847" s="415"/>
      <c r="D847" s="210"/>
      <c r="E847" s="415"/>
      <c r="F847" s="210"/>
      <c r="G847" s="415"/>
      <c r="H847" s="210"/>
      <c r="I847" s="415"/>
      <c r="J847" s="210"/>
      <c r="K847" s="415"/>
      <c r="L847" s="210"/>
      <c r="M847" s="415"/>
      <c r="N847" s="210"/>
      <c r="O847" s="415"/>
      <c r="P847" s="210"/>
      <c r="Q847" s="439"/>
      <c r="R847" s="439"/>
      <c r="S847" s="415"/>
      <c r="T847" s="210"/>
      <c r="U847" s="415"/>
      <c r="V847" s="210"/>
      <c r="W847" s="8"/>
      <c r="X847" s="8"/>
      <c r="Y847" s="8"/>
      <c r="Z847" s="8"/>
      <c r="AA847" s="8"/>
      <c r="AB847" s="8"/>
      <c r="AC847" s="8"/>
      <c r="AD847" s="8"/>
      <c r="AE847" s="8"/>
      <c r="AF847" s="8"/>
      <c r="AG847" s="8"/>
      <c r="AH847" s="8"/>
      <c r="AI847" s="8"/>
      <c r="AJ847" s="8"/>
      <c r="AK847" s="8"/>
      <c r="AL847" s="8"/>
      <c r="AM847" s="8"/>
      <c r="AN847" s="8"/>
      <c r="AO847" s="8"/>
      <c r="AP847" s="8"/>
      <c r="AQ847" s="8"/>
      <c r="AR847" s="8"/>
      <c r="AS847" s="8"/>
      <c r="AT847" s="8"/>
    </row>
    <row r="848">
      <c r="A848" s="415"/>
      <c r="B848" s="210"/>
      <c r="C848" s="415"/>
      <c r="D848" s="210"/>
      <c r="E848" s="415"/>
      <c r="F848" s="210"/>
      <c r="G848" s="415"/>
      <c r="H848" s="210"/>
      <c r="I848" s="415"/>
      <c r="J848" s="210"/>
      <c r="K848" s="415"/>
      <c r="L848" s="210"/>
      <c r="M848" s="415"/>
      <c r="N848" s="210"/>
      <c r="O848" s="415"/>
      <c r="P848" s="210"/>
      <c r="Q848" s="439"/>
      <c r="R848" s="439"/>
      <c r="S848" s="415"/>
      <c r="T848" s="210"/>
      <c r="U848" s="415"/>
      <c r="V848" s="210"/>
      <c r="W848" s="8"/>
      <c r="X848" s="8"/>
      <c r="Y848" s="8"/>
      <c r="Z848" s="8"/>
      <c r="AA848" s="8"/>
      <c r="AB848" s="8"/>
      <c r="AC848" s="8"/>
      <c r="AD848" s="8"/>
      <c r="AE848" s="8"/>
      <c r="AF848" s="8"/>
      <c r="AG848" s="8"/>
      <c r="AH848" s="8"/>
      <c r="AI848" s="8"/>
      <c r="AJ848" s="8"/>
      <c r="AK848" s="8"/>
      <c r="AL848" s="8"/>
      <c r="AM848" s="8"/>
      <c r="AN848" s="8"/>
      <c r="AO848" s="8"/>
      <c r="AP848" s="8"/>
      <c r="AQ848" s="8"/>
      <c r="AR848" s="8"/>
      <c r="AS848" s="8"/>
      <c r="AT848" s="8"/>
    </row>
    <row r="849">
      <c r="A849" s="415"/>
      <c r="B849" s="210"/>
      <c r="C849" s="415"/>
      <c r="D849" s="210"/>
      <c r="E849" s="415"/>
      <c r="F849" s="210"/>
      <c r="G849" s="415"/>
      <c r="H849" s="210"/>
      <c r="I849" s="415"/>
      <c r="J849" s="210"/>
      <c r="K849" s="415"/>
      <c r="L849" s="210"/>
      <c r="M849" s="415"/>
      <c r="N849" s="210"/>
      <c r="O849" s="415"/>
      <c r="P849" s="210"/>
      <c r="Q849" s="439"/>
      <c r="R849" s="439"/>
      <c r="S849" s="415"/>
      <c r="T849" s="210"/>
      <c r="U849" s="415"/>
      <c r="V849" s="210"/>
      <c r="W849" s="8"/>
      <c r="X849" s="8"/>
      <c r="Y849" s="8"/>
      <c r="Z849" s="8"/>
      <c r="AA849" s="8"/>
      <c r="AB849" s="8"/>
      <c r="AC849" s="8"/>
      <c r="AD849" s="8"/>
      <c r="AE849" s="8"/>
      <c r="AF849" s="8"/>
      <c r="AG849" s="8"/>
      <c r="AH849" s="8"/>
      <c r="AI849" s="8"/>
      <c r="AJ849" s="8"/>
      <c r="AK849" s="8"/>
      <c r="AL849" s="8"/>
      <c r="AM849" s="8"/>
      <c r="AN849" s="8"/>
      <c r="AO849" s="8"/>
      <c r="AP849" s="8"/>
      <c r="AQ849" s="8"/>
      <c r="AR849" s="8"/>
      <c r="AS849" s="8"/>
      <c r="AT849" s="8"/>
    </row>
    <row r="850">
      <c r="A850" s="415"/>
      <c r="B850" s="210"/>
      <c r="C850" s="415"/>
      <c r="D850" s="210"/>
      <c r="E850" s="415"/>
      <c r="F850" s="210"/>
      <c r="G850" s="415"/>
      <c r="H850" s="210"/>
      <c r="I850" s="415"/>
      <c r="J850" s="210"/>
      <c r="K850" s="415"/>
      <c r="L850" s="210"/>
      <c r="M850" s="415"/>
      <c r="N850" s="210"/>
      <c r="O850" s="415"/>
      <c r="P850" s="210"/>
      <c r="Q850" s="439"/>
      <c r="R850" s="439"/>
      <c r="S850" s="415"/>
      <c r="T850" s="210"/>
      <c r="U850" s="415"/>
      <c r="V850" s="210"/>
      <c r="W850" s="8"/>
      <c r="X850" s="8"/>
      <c r="Y850" s="8"/>
      <c r="Z850" s="8"/>
      <c r="AA850" s="8"/>
      <c r="AB850" s="8"/>
      <c r="AC850" s="8"/>
      <c r="AD850" s="8"/>
      <c r="AE850" s="8"/>
      <c r="AF850" s="8"/>
      <c r="AG850" s="8"/>
      <c r="AH850" s="8"/>
      <c r="AI850" s="8"/>
      <c r="AJ850" s="8"/>
      <c r="AK850" s="8"/>
      <c r="AL850" s="8"/>
      <c r="AM850" s="8"/>
      <c r="AN850" s="8"/>
      <c r="AO850" s="8"/>
      <c r="AP850" s="8"/>
      <c r="AQ850" s="8"/>
      <c r="AR850" s="8"/>
      <c r="AS850" s="8"/>
      <c r="AT850" s="8"/>
    </row>
    <row r="851">
      <c r="A851" s="415"/>
      <c r="B851" s="210"/>
      <c r="C851" s="415"/>
      <c r="D851" s="210"/>
      <c r="E851" s="415"/>
      <c r="F851" s="210"/>
      <c r="G851" s="415"/>
      <c r="H851" s="210"/>
      <c r="I851" s="415"/>
      <c r="J851" s="210"/>
      <c r="K851" s="415"/>
      <c r="L851" s="210"/>
      <c r="M851" s="415"/>
      <c r="N851" s="210"/>
      <c r="O851" s="415"/>
      <c r="P851" s="210"/>
      <c r="Q851" s="439"/>
      <c r="R851" s="439"/>
      <c r="S851" s="415"/>
      <c r="T851" s="210"/>
      <c r="U851" s="415"/>
      <c r="V851" s="210"/>
      <c r="W851" s="8"/>
      <c r="X851" s="8"/>
      <c r="Y851" s="8"/>
      <c r="Z851" s="8"/>
      <c r="AA851" s="8"/>
      <c r="AB851" s="8"/>
      <c r="AC851" s="8"/>
      <c r="AD851" s="8"/>
      <c r="AE851" s="8"/>
      <c r="AF851" s="8"/>
      <c r="AG851" s="8"/>
      <c r="AH851" s="8"/>
      <c r="AI851" s="8"/>
      <c r="AJ851" s="8"/>
      <c r="AK851" s="8"/>
      <c r="AL851" s="8"/>
      <c r="AM851" s="8"/>
      <c r="AN851" s="8"/>
      <c r="AO851" s="8"/>
      <c r="AP851" s="8"/>
      <c r="AQ851" s="8"/>
      <c r="AR851" s="8"/>
      <c r="AS851" s="8"/>
      <c r="AT851" s="8"/>
    </row>
    <row r="852">
      <c r="A852" s="415"/>
      <c r="B852" s="210"/>
      <c r="C852" s="415"/>
      <c r="D852" s="210"/>
      <c r="E852" s="415"/>
      <c r="F852" s="210"/>
      <c r="G852" s="415"/>
      <c r="H852" s="210"/>
      <c r="I852" s="415"/>
      <c r="J852" s="210"/>
      <c r="K852" s="415"/>
      <c r="L852" s="210"/>
      <c r="M852" s="415"/>
      <c r="N852" s="210"/>
      <c r="O852" s="415"/>
      <c r="P852" s="210"/>
      <c r="Q852" s="439"/>
      <c r="R852" s="439"/>
      <c r="S852" s="415"/>
      <c r="T852" s="210"/>
      <c r="U852" s="415"/>
      <c r="V852" s="210"/>
      <c r="W852" s="8"/>
      <c r="X852" s="8"/>
      <c r="Y852" s="8"/>
      <c r="Z852" s="8"/>
      <c r="AA852" s="8"/>
      <c r="AB852" s="8"/>
      <c r="AC852" s="8"/>
      <c r="AD852" s="8"/>
      <c r="AE852" s="8"/>
      <c r="AF852" s="8"/>
      <c r="AG852" s="8"/>
      <c r="AH852" s="8"/>
      <c r="AI852" s="8"/>
      <c r="AJ852" s="8"/>
      <c r="AK852" s="8"/>
      <c r="AL852" s="8"/>
      <c r="AM852" s="8"/>
      <c r="AN852" s="8"/>
      <c r="AO852" s="8"/>
      <c r="AP852" s="8"/>
      <c r="AQ852" s="8"/>
      <c r="AR852" s="8"/>
      <c r="AS852" s="8"/>
      <c r="AT852" s="8"/>
    </row>
    <row r="853">
      <c r="A853" s="415"/>
      <c r="B853" s="210"/>
      <c r="C853" s="415"/>
      <c r="D853" s="210"/>
      <c r="E853" s="415"/>
      <c r="F853" s="210"/>
      <c r="G853" s="415"/>
      <c r="H853" s="210"/>
      <c r="I853" s="415"/>
      <c r="J853" s="210"/>
      <c r="K853" s="415"/>
      <c r="L853" s="210"/>
      <c r="M853" s="415"/>
      <c r="N853" s="210"/>
      <c r="O853" s="415"/>
      <c r="P853" s="210"/>
      <c r="Q853" s="439"/>
      <c r="R853" s="439"/>
      <c r="S853" s="415"/>
      <c r="T853" s="210"/>
      <c r="U853" s="415"/>
      <c r="V853" s="210"/>
      <c r="W853" s="8"/>
      <c r="X853" s="8"/>
      <c r="Y853" s="8"/>
      <c r="Z853" s="8"/>
      <c r="AA853" s="8"/>
      <c r="AB853" s="8"/>
      <c r="AC853" s="8"/>
      <c r="AD853" s="8"/>
      <c r="AE853" s="8"/>
      <c r="AF853" s="8"/>
      <c r="AG853" s="8"/>
      <c r="AH853" s="8"/>
      <c r="AI853" s="8"/>
      <c r="AJ853" s="8"/>
      <c r="AK853" s="8"/>
      <c r="AL853" s="8"/>
      <c r="AM853" s="8"/>
      <c r="AN853" s="8"/>
      <c r="AO853" s="8"/>
      <c r="AP853" s="8"/>
      <c r="AQ853" s="8"/>
      <c r="AR853" s="8"/>
      <c r="AS853" s="8"/>
      <c r="AT853" s="8"/>
    </row>
    <row r="854">
      <c r="A854" s="415"/>
      <c r="B854" s="210"/>
      <c r="C854" s="415"/>
      <c r="D854" s="210"/>
      <c r="E854" s="415"/>
      <c r="F854" s="210"/>
      <c r="G854" s="415"/>
      <c r="H854" s="210"/>
      <c r="I854" s="415"/>
      <c r="J854" s="210"/>
      <c r="K854" s="415"/>
      <c r="L854" s="210"/>
      <c r="M854" s="415"/>
      <c r="N854" s="210"/>
      <c r="O854" s="415"/>
      <c r="P854" s="210"/>
      <c r="Q854" s="439"/>
      <c r="R854" s="439"/>
      <c r="S854" s="415"/>
      <c r="T854" s="210"/>
      <c r="U854" s="415"/>
      <c r="V854" s="210"/>
      <c r="W854" s="8"/>
      <c r="X854" s="8"/>
      <c r="Y854" s="8"/>
      <c r="Z854" s="8"/>
      <c r="AA854" s="8"/>
      <c r="AB854" s="8"/>
      <c r="AC854" s="8"/>
      <c r="AD854" s="8"/>
      <c r="AE854" s="8"/>
      <c r="AF854" s="8"/>
      <c r="AG854" s="8"/>
      <c r="AH854" s="8"/>
      <c r="AI854" s="8"/>
      <c r="AJ854" s="8"/>
      <c r="AK854" s="8"/>
      <c r="AL854" s="8"/>
      <c r="AM854" s="8"/>
      <c r="AN854" s="8"/>
      <c r="AO854" s="8"/>
      <c r="AP854" s="8"/>
      <c r="AQ854" s="8"/>
      <c r="AR854" s="8"/>
      <c r="AS854" s="8"/>
      <c r="AT854" s="8"/>
    </row>
    <row r="855">
      <c r="A855" s="415"/>
      <c r="B855" s="210"/>
      <c r="C855" s="415"/>
      <c r="D855" s="210"/>
      <c r="E855" s="415"/>
      <c r="F855" s="210"/>
      <c r="G855" s="415"/>
      <c r="H855" s="210"/>
      <c r="I855" s="415"/>
      <c r="J855" s="210"/>
      <c r="K855" s="415"/>
      <c r="L855" s="210"/>
      <c r="M855" s="415"/>
      <c r="N855" s="210"/>
      <c r="O855" s="415"/>
      <c r="P855" s="210"/>
      <c r="Q855" s="439"/>
      <c r="R855" s="439"/>
      <c r="S855" s="415"/>
      <c r="T855" s="210"/>
      <c r="U855" s="415"/>
      <c r="V855" s="210"/>
      <c r="W855" s="8"/>
      <c r="X855" s="8"/>
      <c r="Y855" s="8"/>
      <c r="Z855" s="8"/>
      <c r="AA855" s="8"/>
      <c r="AB855" s="8"/>
      <c r="AC855" s="8"/>
      <c r="AD855" s="8"/>
      <c r="AE855" s="8"/>
      <c r="AF855" s="8"/>
      <c r="AG855" s="8"/>
      <c r="AH855" s="8"/>
      <c r="AI855" s="8"/>
      <c r="AJ855" s="8"/>
      <c r="AK855" s="8"/>
      <c r="AL855" s="8"/>
      <c r="AM855" s="8"/>
      <c r="AN855" s="8"/>
      <c r="AO855" s="8"/>
      <c r="AP855" s="8"/>
      <c r="AQ855" s="8"/>
      <c r="AR855" s="8"/>
      <c r="AS855" s="8"/>
      <c r="AT855" s="8"/>
    </row>
    <row r="856">
      <c r="A856" s="415"/>
      <c r="B856" s="210"/>
      <c r="C856" s="415"/>
      <c r="D856" s="210"/>
      <c r="E856" s="415"/>
      <c r="F856" s="210"/>
      <c r="G856" s="415"/>
      <c r="H856" s="210"/>
      <c r="I856" s="415"/>
      <c r="J856" s="210"/>
      <c r="K856" s="415"/>
      <c r="L856" s="210"/>
      <c r="M856" s="415"/>
      <c r="N856" s="210"/>
      <c r="O856" s="415"/>
      <c r="P856" s="210"/>
      <c r="Q856" s="439"/>
      <c r="R856" s="439"/>
      <c r="S856" s="415"/>
      <c r="T856" s="210"/>
      <c r="U856" s="415"/>
      <c r="V856" s="210"/>
      <c r="W856" s="8"/>
      <c r="X856" s="8"/>
      <c r="Y856" s="8"/>
      <c r="Z856" s="8"/>
      <c r="AA856" s="8"/>
      <c r="AB856" s="8"/>
      <c r="AC856" s="8"/>
      <c r="AD856" s="8"/>
      <c r="AE856" s="8"/>
      <c r="AF856" s="8"/>
      <c r="AG856" s="8"/>
      <c r="AH856" s="8"/>
      <c r="AI856" s="8"/>
      <c r="AJ856" s="8"/>
      <c r="AK856" s="8"/>
      <c r="AL856" s="8"/>
      <c r="AM856" s="8"/>
      <c r="AN856" s="8"/>
      <c r="AO856" s="8"/>
      <c r="AP856" s="8"/>
      <c r="AQ856" s="8"/>
      <c r="AR856" s="8"/>
      <c r="AS856" s="8"/>
      <c r="AT856" s="8"/>
    </row>
    <row r="857">
      <c r="A857" s="415"/>
      <c r="B857" s="210"/>
      <c r="C857" s="415"/>
      <c r="D857" s="210"/>
      <c r="E857" s="415"/>
      <c r="F857" s="210"/>
      <c r="G857" s="415"/>
      <c r="H857" s="210"/>
      <c r="I857" s="415"/>
      <c r="J857" s="210"/>
      <c r="K857" s="415"/>
      <c r="L857" s="210"/>
      <c r="M857" s="415"/>
      <c r="N857" s="210"/>
      <c r="O857" s="415"/>
      <c r="P857" s="210"/>
      <c r="Q857" s="439"/>
      <c r="R857" s="439"/>
      <c r="S857" s="415"/>
      <c r="T857" s="210"/>
      <c r="U857" s="415"/>
      <c r="V857" s="210"/>
      <c r="W857" s="8"/>
      <c r="X857" s="8"/>
      <c r="Y857" s="8"/>
      <c r="Z857" s="8"/>
      <c r="AA857" s="8"/>
      <c r="AB857" s="8"/>
      <c r="AC857" s="8"/>
      <c r="AD857" s="8"/>
      <c r="AE857" s="8"/>
      <c r="AF857" s="8"/>
      <c r="AG857" s="8"/>
      <c r="AH857" s="8"/>
      <c r="AI857" s="8"/>
      <c r="AJ857" s="8"/>
      <c r="AK857" s="8"/>
      <c r="AL857" s="8"/>
      <c r="AM857" s="8"/>
      <c r="AN857" s="8"/>
      <c r="AO857" s="8"/>
      <c r="AP857" s="8"/>
      <c r="AQ857" s="8"/>
      <c r="AR857" s="8"/>
      <c r="AS857" s="8"/>
      <c r="AT857" s="8"/>
    </row>
    <row r="858">
      <c r="A858" s="415"/>
      <c r="B858" s="210"/>
      <c r="C858" s="415"/>
      <c r="D858" s="210"/>
      <c r="E858" s="415"/>
      <c r="F858" s="210"/>
      <c r="G858" s="415"/>
      <c r="H858" s="210"/>
      <c r="I858" s="415"/>
      <c r="J858" s="210"/>
      <c r="K858" s="415"/>
      <c r="L858" s="210"/>
      <c r="M858" s="415"/>
      <c r="N858" s="210"/>
      <c r="O858" s="415"/>
      <c r="P858" s="210"/>
      <c r="Q858" s="439"/>
      <c r="R858" s="439"/>
      <c r="S858" s="415"/>
      <c r="T858" s="210"/>
      <c r="U858" s="415"/>
      <c r="V858" s="210"/>
      <c r="W858" s="8"/>
      <c r="X858" s="8"/>
      <c r="Y858" s="8"/>
      <c r="Z858" s="8"/>
      <c r="AA858" s="8"/>
      <c r="AB858" s="8"/>
      <c r="AC858" s="8"/>
      <c r="AD858" s="8"/>
      <c r="AE858" s="8"/>
      <c r="AF858" s="8"/>
      <c r="AG858" s="8"/>
      <c r="AH858" s="8"/>
      <c r="AI858" s="8"/>
      <c r="AJ858" s="8"/>
      <c r="AK858" s="8"/>
      <c r="AL858" s="8"/>
      <c r="AM858" s="8"/>
      <c r="AN858" s="8"/>
      <c r="AO858" s="8"/>
      <c r="AP858" s="8"/>
      <c r="AQ858" s="8"/>
      <c r="AR858" s="8"/>
      <c r="AS858" s="8"/>
      <c r="AT858" s="8"/>
    </row>
    <row r="859">
      <c r="A859" s="415"/>
      <c r="B859" s="210"/>
      <c r="C859" s="415"/>
      <c r="D859" s="210"/>
      <c r="E859" s="415"/>
      <c r="F859" s="210"/>
      <c r="G859" s="415"/>
      <c r="H859" s="210"/>
      <c r="I859" s="415"/>
      <c r="J859" s="210"/>
      <c r="K859" s="415"/>
      <c r="L859" s="210"/>
      <c r="M859" s="415"/>
      <c r="N859" s="210"/>
      <c r="O859" s="415"/>
      <c r="P859" s="210"/>
      <c r="Q859" s="439"/>
      <c r="R859" s="439"/>
      <c r="S859" s="415"/>
      <c r="T859" s="210"/>
      <c r="U859" s="415"/>
      <c r="V859" s="210"/>
      <c r="W859" s="8"/>
      <c r="X859" s="8"/>
      <c r="Y859" s="8"/>
      <c r="Z859" s="8"/>
      <c r="AA859" s="8"/>
      <c r="AB859" s="8"/>
      <c r="AC859" s="8"/>
      <c r="AD859" s="8"/>
      <c r="AE859" s="8"/>
      <c r="AF859" s="8"/>
      <c r="AG859" s="8"/>
      <c r="AH859" s="8"/>
      <c r="AI859" s="8"/>
      <c r="AJ859" s="8"/>
      <c r="AK859" s="8"/>
      <c r="AL859" s="8"/>
      <c r="AM859" s="8"/>
      <c r="AN859" s="8"/>
      <c r="AO859" s="8"/>
      <c r="AP859" s="8"/>
      <c r="AQ859" s="8"/>
      <c r="AR859" s="8"/>
      <c r="AS859" s="8"/>
      <c r="AT859" s="8"/>
    </row>
    <row r="860">
      <c r="A860" s="415"/>
      <c r="B860" s="210"/>
      <c r="C860" s="415"/>
      <c r="D860" s="210"/>
      <c r="E860" s="415"/>
      <c r="F860" s="210"/>
      <c r="G860" s="415"/>
      <c r="H860" s="210"/>
      <c r="I860" s="415"/>
      <c r="J860" s="210"/>
      <c r="K860" s="415"/>
      <c r="L860" s="210"/>
      <c r="M860" s="415"/>
      <c r="N860" s="210"/>
      <c r="O860" s="415"/>
      <c r="P860" s="210"/>
      <c r="Q860" s="439"/>
      <c r="R860" s="439"/>
      <c r="S860" s="415"/>
      <c r="T860" s="210"/>
      <c r="U860" s="415"/>
      <c r="V860" s="210"/>
      <c r="W860" s="8"/>
      <c r="X860" s="8"/>
      <c r="Y860" s="8"/>
      <c r="Z860" s="8"/>
      <c r="AA860" s="8"/>
      <c r="AB860" s="8"/>
      <c r="AC860" s="8"/>
      <c r="AD860" s="8"/>
      <c r="AE860" s="8"/>
      <c r="AF860" s="8"/>
      <c r="AG860" s="8"/>
      <c r="AH860" s="8"/>
      <c r="AI860" s="8"/>
      <c r="AJ860" s="8"/>
      <c r="AK860" s="8"/>
      <c r="AL860" s="8"/>
      <c r="AM860" s="8"/>
      <c r="AN860" s="8"/>
      <c r="AO860" s="8"/>
      <c r="AP860" s="8"/>
      <c r="AQ860" s="8"/>
      <c r="AR860" s="8"/>
      <c r="AS860" s="8"/>
      <c r="AT860" s="8"/>
    </row>
    <row r="861">
      <c r="A861" s="415"/>
      <c r="B861" s="210"/>
      <c r="C861" s="415"/>
      <c r="D861" s="210"/>
      <c r="E861" s="415"/>
      <c r="F861" s="210"/>
      <c r="G861" s="415"/>
      <c r="H861" s="210"/>
      <c r="I861" s="415"/>
      <c r="J861" s="210"/>
      <c r="K861" s="415"/>
      <c r="L861" s="210"/>
      <c r="M861" s="415"/>
      <c r="N861" s="210"/>
      <c r="O861" s="415"/>
      <c r="P861" s="210"/>
      <c r="Q861" s="439"/>
      <c r="R861" s="439"/>
      <c r="S861" s="415"/>
      <c r="T861" s="210"/>
      <c r="U861" s="415"/>
      <c r="V861" s="210"/>
      <c r="W861" s="8"/>
      <c r="X861" s="8"/>
      <c r="Y861" s="8"/>
      <c r="Z861" s="8"/>
      <c r="AA861" s="8"/>
      <c r="AB861" s="8"/>
      <c r="AC861" s="8"/>
      <c r="AD861" s="8"/>
      <c r="AE861" s="8"/>
      <c r="AF861" s="8"/>
      <c r="AG861" s="8"/>
      <c r="AH861" s="8"/>
      <c r="AI861" s="8"/>
      <c r="AJ861" s="8"/>
      <c r="AK861" s="8"/>
      <c r="AL861" s="8"/>
      <c r="AM861" s="8"/>
      <c r="AN861" s="8"/>
      <c r="AO861" s="8"/>
      <c r="AP861" s="8"/>
      <c r="AQ861" s="8"/>
      <c r="AR861" s="8"/>
      <c r="AS861" s="8"/>
      <c r="AT861" s="8"/>
    </row>
    <row r="862">
      <c r="A862" s="415"/>
      <c r="B862" s="210"/>
      <c r="C862" s="415"/>
      <c r="D862" s="210"/>
      <c r="E862" s="415"/>
      <c r="F862" s="210"/>
      <c r="G862" s="415"/>
      <c r="H862" s="210"/>
      <c r="I862" s="415"/>
      <c r="J862" s="210"/>
      <c r="K862" s="415"/>
      <c r="L862" s="210"/>
      <c r="M862" s="415"/>
      <c r="N862" s="210"/>
      <c r="O862" s="415"/>
      <c r="P862" s="210"/>
      <c r="Q862" s="439"/>
      <c r="R862" s="439"/>
      <c r="S862" s="415"/>
      <c r="T862" s="210"/>
      <c r="U862" s="415"/>
      <c r="V862" s="210"/>
      <c r="W862" s="8"/>
      <c r="X862" s="8"/>
      <c r="Y862" s="8"/>
      <c r="Z862" s="8"/>
      <c r="AA862" s="8"/>
      <c r="AB862" s="8"/>
      <c r="AC862" s="8"/>
      <c r="AD862" s="8"/>
      <c r="AE862" s="8"/>
      <c r="AF862" s="8"/>
      <c r="AG862" s="8"/>
      <c r="AH862" s="8"/>
      <c r="AI862" s="8"/>
      <c r="AJ862" s="8"/>
      <c r="AK862" s="8"/>
      <c r="AL862" s="8"/>
      <c r="AM862" s="8"/>
      <c r="AN862" s="8"/>
      <c r="AO862" s="8"/>
      <c r="AP862" s="8"/>
      <c r="AQ862" s="8"/>
      <c r="AR862" s="8"/>
      <c r="AS862" s="8"/>
      <c r="AT862" s="8"/>
    </row>
    <row r="863">
      <c r="A863" s="415"/>
      <c r="B863" s="210"/>
      <c r="C863" s="415"/>
      <c r="D863" s="210"/>
      <c r="E863" s="415"/>
      <c r="F863" s="210"/>
      <c r="G863" s="415"/>
      <c r="H863" s="210"/>
      <c r="I863" s="415"/>
      <c r="J863" s="210"/>
      <c r="K863" s="415"/>
      <c r="L863" s="210"/>
      <c r="M863" s="415"/>
      <c r="N863" s="210"/>
      <c r="O863" s="415"/>
      <c r="P863" s="210"/>
      <c r="Q863" s="439"/>
      <c r="R863" s="439"/>
      <c r="S863" s="415"/>
      <c r="T863" s="210"/>
      <c r="U863" s="415"/>
      <c r="V863" s="210"/>
      <c r="W863" s="8"/>
      <c r="X863" s="8"/>
      <c r="Y863" s="8"/>
      <c r="Z863" s="8"/>
      <c r="AA863" s="8"/>
      <c r="AB863" s="8"/>
      <c r="AC863" s="8"/>
      <c r="AD863" s="8"/>
      <c r="AE863" s="8"/>
      <c r="AF863" s="8"/>
      <c r="AG863" s="8"/>
      <c r="AH863" s="8"/>
      <c r="AI863" s="8"/>
      <c r="AJ863" s="8"/>
      <c r="AK863" s="8"/>
      <c r="AL863" s="8"/>
      <c r="AM863" s="8"/>
      <c r="AN863" s="8"/>
      <c r="AO863" s="8"/>
      <c r="AP863" s="8"/>
      <c r="AQ863" s="8"/>
      <c r="AR863" s="8"/>
      <c r="AS863" s="8"/>
      <c r="AT863" s="8"/>
    </row>
    <row r="864">
      <c r="A864" s="415"/>
      <c r="B864" s="210"/>
      <c r="C864" s="415"/>
      <c r="D864" s="210"/>
      <c r="E864" s="415"/>
      <c r="F864" s="210"/>
      <c r="G864" s="415"/>
      <c r="H864" s="210"/>
      <c r="I864" s="415"/>
      <c r="J864" s="210"/>
      <c r="K864" s="415"/>
      <c r="L864" s="210"/>
      <c r="M864" s="415"/>
      <c r="N864" s="210"/>
      <c r="O864" s="415"/>
      <c r="P864" s="210"/>
      <c r="Q864" s="439"/>
      <c r="R864" s="439"/>
      <c r="S864" s="415"/>
      <c r="T864" s="210"/>
      <c r="U864" s="415"/>
      <c r="V864" s="210"/>
      <c r="W864" s="8"/>
      <c r="X864" s="8"/>
      <c r="Y864" s="8"/>
      <c r="Z864" s="8"/>
      <c r="AA864" s="8"/>
      <c r="AB864" s="8"/>
      <c r="AC864" s="8"/>
      <c r="AD864" s="8"/>
      <c r="AE864" s="8"/>
      <c r="AF864" s="8"/>
      <c r="AG864" s="8"/>
      <c r="AH864" s="8"/>
      <c r="AI864" s="8"/>
      <c r="AJ864" s="8"/>
      <c r="AK864" s="8"/>
      <c r="AL864" s="8"/>
      <c r="AM864" s="8"/>
      <c r="AN864" s="8"/>
      <c r="AO864" s="8"/>
      <c r="AP864" s="8"/>
      <c r="AQ864" s="8"/>
      <c r="AR864" s="8"/>
      <c r="AS864" s="8"/>
      <c r="AT864" s="8"/>
    </row>
    <row r="865">
      <c r="A865" s="415"/>
      <c r="B865" s="210"/>
      <c r="C865" s="415"/>
      <c r="D865" s="210"/>
      <c r="E865" s="415"/>
      <c r="F865" s="210"/>
      <c r="G865" s="415"/>
      <c r="H865" s="210"/>
      <c r="I865" s="415"/>
      <c r="J865" s="210"/>
      <c r="K865" s="415"/>
      <c r="L865" s="210"/>
      <c r="M865" s="415"/>
      <c r="N865" s="210"/>
      <c r="O865" s="415"/>
      <c r="P865" s="210"/>
      <c r="Q865" s="439"/>
      <c r="R865" s="439"/>
      <c r="S865" s="415"/>
      <c r="T865" s="210"/>
      <c r="U865" s="415"/>
      <c r="V865" s="210"/>
      <c r="W865" s="8"/>
      <c r="X865" s="8"/>
      <c r="Y865" s="8"/>
      <c r="Z865" s="8"/>
      <c r="AA865" s="8"/>
      <c r="AB865" s="8"/>
      <c r="AC865" s="8"/>
      <c r="AD865" s="8"/>
      <c r="AE865" s="8"/>
      <c r="AF865" s="8"/>
      <c r="AG865" s="8"/>
      <c r="AH865" s="8"/>
      <c r="AI865" s="8"/>
      <c r="AJ865" s="8"/>
      <c r="AK865" s="8"/>
      <c r="AL865" s="8"/>
      <c r="AM865" s="8"/>
      <c r="AN865" s="8"/>
      <c r="AO865" s="8"/>
      <c r="AP865" s="8"/>
      <c r="AQ865" s="8"/>
      <c r="AR865" s="8"/>
      <c r="AS865" s="8"/>
      <c r="AT865" s="8"/>
    </row>
    <row r="866">
      <c r="A866" s="415"/>
      <c r="B866" s="210"/>
      <c r="C866" s="415"/>
      <c r="D866" s="210"/>
      <c r="E866" s="415"/>
      <c r="F866" s="210"/>
      <c r="G866" s="415"/>
      <c r="H866" s="210"/>
      <c r="I866" s="415"/>
      <c r="J866" s="210"/>
      <c r="K866" s="415"/>
      <c r="L866" s="210"/>
      <c r="M866" s="415"/>
      <c r="N866" s="210"/>
      <c r="O866" s="415"/>
      <c r="P866" s="210"/>
      <c r="Q866" s="439"/>
      <c r="R866" s="439"/>
      <c r="S866" s="415"/>
      <c r="T866" s="210"/>
      <c r="U866" s="415"/>
      <c r="V866" s="210"/>
      <c r="W866" s="8"/>
      <c r="X866" s="8"/>
      <c r="Y866" s="8"/>
      <c r="Z866" s="8"/>
      <c r="AA866" s="8"/>
      <c r="AB866" s="8"/>
      <c r="AC866" s="8"/>
      <c r="AD866" s="8"/>
      <c r="AE866" s="8"/>
      <c r="AF866" s="8"/>
      <c r="AG866" s="8"/>
      <c r="AH866" s="8"/>
      <c r="AI866" s="8"/>
      <c r="AJ866" s="8"/>
      <c r="AK866" s="8"/>
      <c r="AL866" s="8"/>
      <c r="AM866" s="8"/>
      <c r="AN866" s="8"/>
      <c r="AO866" s="8"/>
      <c r="AP866" s="8"/>
      <c r="AQ866" s="8"/>
      <c r="AR866" s="8"/>
      <c r="AS866" s="8"/>
      <c r="AT866" s="8"/>
    </row>
    <row r="867">
      <c r="A867" s="415"/>
      <c r="B867" s="210"/>
      <c r="C867" s="415"/>
      <c r="D867" s="210"/>
      <c r="E867" s="415"/>
      <c r="F867" s="210"/>
      <c r="G867" s="415"/>
      <c r="H867" s="210"/>
      <c r="I867" s="415"/>
      <c r="J867" s="210"/>
      <c r="K867" s="415"/>
      <c r="L867" s="210"/>
      <c r="M867" s="415"/>
      <c r="N867" s="210"/>
      <c r="O867" s="415"/>
      <c r="P867" s="210"/>
      <c r="Q867" s="439"/>
      <c r="R867" s="439"/>
      <c r="S867" s="415"/>
      <c r="T867" s="210"/>
      <c r="U867" s="415"/>
      <c r="V867" s="210"/>
      <c r="W867" s="8"/>
      <c r="X867" s="8"/>
      <c r="Y867" s="8"/>
      <c r="Z867" s="8"/>
      <c r="AA867" s="8"/>
      <c r="AB867" s="8"/>
      <c r="AC867" s="8"/>
      <c r="AD867" s="8"/>
      <c r="AE867" s="8"/>
      <c r="AF867" s="8"/>
      <c r="AG867" s="8"/>
      <c r="AH867" s="8"/>
      <c r="AI867" s="8"/>
      <c r="AJ867" s="8"/>
      <c r="AK867" s="8"/>
      <c r="AL867" s="8"/>
      <c r="AM867" s="8"/>
      <c r="AN867" s="8"/>
      <c r="AO867" s="8"/>
      <c r="AP867" s="8"/>
      <c r="AQ867" s="8"/>
      <c r="AR867" s="8"/>
      <c r="AS867" s="8"/>
      <c r="AT867" s="8"/>
    </row>
    <row r="868">
      <c r="A868" s="415"/>
      <c r="B868" s="210"/>
      <c r="C868" s="415"/>
      <c r="D868" s="210"/>
      <c r="E868" s="415"/>
      <c r="F868" s="210"/>
      <c r="G868" s="415"/>
      <c r="H868" s="210"/>
      <c r="I868" s="415"/>
      <c r="J868" s="210"/>
      <c r="K868" s="415"/>
      <c r="L868" s="210"/>
      <c r="M868" s="415"/>
      <c r="N868" s="210"/>
      <c r="O868" s="415"/>
      <c r="P868" s="210"/>
      <c r="Q868" s="439"/>
      <c r="R868" s="439"/>
      <c r="S868" s="415"/>
      <c r="T868" s="210"/>
      <c r="U868" s="415"/>
      <c r="V868" s="210"/>
      <c r="W868" s="8"/>
      <c r="X868" s="8"/>
      <c r="Y868" s="8"/>
      <c r="Z868" s="8"/>
      <c r="AA868" s="8"/>
      <c r="AB868" s="8"/>
      <c r="AC868" s="8"/>
      <c r="AD868" s="8"/>
      <c r="AE868" s="8"/>
      <c r="AF868" s="8"/>
      <c r="AG868" s="8"/>
      <c r="AH868" s="8"/>
      <c r="AI868" s="8"/>
      <c r="AJ868" s="8"/>
      <c r="AK868" s="8"/>
      <c r="AL868" s="8"/>
      <c r="AM868" s="8"/>
      <c r="AN868" s="8"/>
      <c r="AO868" s="8"/>
      <c r="AP868" s="8"/>
      <c r="AQ868" s="8"/>
      <c r="AR868" s="8"/>
      <c r="AS868" s="8"/>
      <c r="AT868" s="8"/>
    </row>
    <row r="869">
      <c r="A869" s="415"/>
      <c r="B869" s="210"/>
      <c r="C869" s="415"/>
      <c r="D869" s="210"/>
      <c r="E869" s="415"/>
      <c r="F869" s="210"/>
      <c r="G869" s="415"/>
      <c r="H869" s="210"/>
      <c r="I869" s="415"/>
      <c r="J869" s="210"/>
      <c r="K869" s="415"/>
      <c r="L869" s="210"/>
      <c r="M869" s="415"/>
      <c r="N869" s="210"/>
      <c r="O869" s="415"/>
      <c r="P869" s="210"/>
      <c r="Q869" s="439"/>
      <c r="R869" s="439"/>
      <c r="S869" s="415"/>
      <c r="T869" s="210"/>
      <c r="U869" s="415"/>
      <c r="V869" s="210"/>
      <c r="W869" s="8"/>
      <c r="X869" s="8"/>
      <c r="Y869" s="8"/>
      <c r="Z869" s="8"/>
      <c r="AA869" s="8"/>
      <c r="AB869" s="8"/>
      <c r="AC869" s="8"/>
      <c r="AD869" s="8"/>
      <c r="AE869" s="8"/>
      <c r="AF869" s="8"/>
      <c r="AG869" s="8"/>
      <c r="AH869" s="8"/>
      <c r="AI869" s="8"/>
      <c r="AJ869" s="8"/>
      <c r="AK869" s="8"/>
      <c r="AL869" s="8"/>
      <c r="AM869" s="8"/>
      <c r="AN869" s="8"/>
      <c r="AO869" s="8"/>
      <c r="AP869" s="8"/>
      <c r="AQ869" s="8"/>
      <c r="AR869" s="8"/>
      <c r="AS869" s="8"/>
      <c r="AT869" s="8"/>
    </row>
    <row r="870">
      <c r="A870" s="415"/>
      <c r="B870" s="210"/>
      <c r="C870" s="415"/>
      <c r="D870" s="210"/>
      <c r="E870" s="415"/>
      <c r="F870" s="210"/>
      <c r="G870" s="415"/>
      <c r="H870" s="210"/>
      <c r="I870" s="415"/>
      <c r="J870" s="210"/>
      <c r="K870" s="415"/>
      <c r="L870" s="210"/>
      <c r="M870" s="415"/>
      <c r="N870" s="210"/>
      <c r="O870" s="415"/>
      <c r="P870" s="210"/>
      <c r="Q870" s="439"/>
      <c r="R870" s="439"/>
      <c r="S870" s="415"/>
      <c r="T870" s="210"/>
      <c r="U870" s="415"/>
      <c r="V870" s="210"/>
      <c r="W870" s="8"/>
      <c r="X870" s="8"/>
      <c r="Y870" s="8"/>
      <c r="Z870" s="8"/>
      <c r="AA870" s="8"/>
      <c r="AB870" s="8"/>
      <c r="AC870" s="8"/>
      <c r="AD870" s="8"/>
      <c r="AE870" s="8"/>
      <c r="AF870" s="8"/>
      <c r="AG870" s="8"/>
      <c r="AH870" s="8"/>
      <c r="AI870" s="8"/>
      <c r="AJ870" s="8"/>
      <c r="AK870" s="8"/>
      <c r="AL870" s="8"/>
      <c r="AM870" s="8"/>
      <c r="AN870" s="8"/>
      <c r="AO870" s="8"/>
      <c r="AP870" s="8"/>
      <c r="AQ870" s="8"/>
      <c r="AR870" s="8"/>
      <c r="AS870" s="8"/>
      <c r="AT870" s="8"/>
    </row>
    <row r="871">
      <c r="A871" s="415"/>
      <c r="B871" s="210"/>
      <c r="C871" s="415"/>
      <c r="D871" s="210"/>
      <c r="E871" s="415"/>
      <c r="F871" s="210"/>
      <c r="G871" s="415"/>
      <c r="H871" s="210"/>
      <c r="I871" s="415"/>
      <c r="J871" s="210"/>
      <c r="K871" s="415"/>
      <c r="L871" s="210"/>
      <c r="M871" s="415"/>
      <c r="N871" s="210"/>
      <c r="O871" s="415"/>
      <c r="P871" s="210"/>
      <c r="Q871" s="439"/>
      <c r="R871" s="439"/>
      <c r="S871" s="415"/>
      <c r="T871" s="210"/>
      <c r="U871" s="415"/>
      <c r="V871" s="210"/>
      <c r="W871" s="8"/>
      <c r="X871" s="8"/>
      <c r="Y871" s="8"/>
      <c r="Z871" s="8"/>
      <c r="AA871" s="8"/>
      <c r="AB871" s="8"/>
      <c r="AC871" s="8"/>
      <c r="AD871" s="8"/>
      <c r="AE871" s="8"/>
      <c r="AF871" s="8"/>
      <c r="AG871" s="8"/>
      <c r="AH871" s="8"/>
      <c r="AI871" s="8"/>
      <c r="AJ871" s="8"/>
      <c r="AK871" s="8"/>
      <c r="AL871" s="8"/>
      <c r="AM871" s="8"/>
      <c r="AN871" s="8"/>
      <c r="AO871" s="8"/>
      <c r="AP871" s="8"/>
      <c r="AQ871" s="8"/>
      <c r="AR871" s="8"/>
      <c r="AS871" s="8"/>
      <c r="AT871" s="8"/>
    </row>
    <row r="872">
      <c r="A872" s="415"/>
      <c r="B872" s="210"/>
      <c r="C872" s="415"/>
      <c r="D872" s="210"/>
      <c r="E872" s="415"/>
      <c r="F872" s="210"/>
      <c r="G872" s="415"/>
      <c r="H872" s="210"/>
      <c r="I872" s="415"/>
      <c r="J872" s="210"/>
      <c r="K872" s="415"/>
      <c r="L872" s="210"/>
      <c r="M872" s="415"/>
      <c r="N872" s="210"/>
      <c r="O872" s="415"/>
      <c r="P872" s="210"/>
      <c r="Q872" s="439"/>
      <c r="R872" s="439"/>
      <c r="S872" s="415"/>
      <c r="T872" s="210"/>
      <c r="U872" s="415"/>
      <c r="V872" s="210"/>
      <c r="W872" s="8"/>
      <c r="X872" s="8"/>
      <c r="Y872" s="8"/>
      <c r="Z872" s="8"/>
      <c r="AA872" s="8"/>
      <c r="AB872" s="8"/>
      <c r="AC872" s="8"/>
      <c r="AD872" s="8"/>
      <c r="AE872" s="8"/>
      <c r="AF872" s="8"/>
      <c r="AG872" s="8"/>
      <c r="AH872" s="8"/>
      <c r="AI872" s="8"/>
      <c r="AJ872" s="8"/>
      <c r="AK872" s="8"/>
      <c r="AL872" s="8"/>
      <c r="AM872" s="8"/>
      <c r="AN872" s="8"/>
      <c r="AO872" s="8"/>
      <c r="AP872" s="8"/>
      <c r="AQ872" s="8"/>
      <c r="AR872" s="8"/>
      <c r="AS872" s="8"/>
      <c r="AT872" s="8"/>
    </row>
    <row r="873">
      <c r="A873" s="415"/>
      <c r="B873" s="210"/>
      <c r="C873" s="415"/>
      <c r="D873" s="210"/>
      <c r="E873" s="415"/>
      <c r="F873" s="210"/>
      <c r="G873" s="415"/>
      <c r="H873" s="210"/>
      <c r="I873" s="415"/>
      <c r="J873" s="210"/>
      <c r="K873" s="415"/>
      <c r="L873" s="210"/>
      <c r="M873" s="415"/>
      <c r="N873" s="210"/>
      <c r="O873" s="415"/>
      <c r="P873" s="210"/>
      <c r="Q873" s="439"/>
      <c r="R873" s="439"/>
      <c r="S873" s="415"/>
      <c r="T873" s="210"/>
      <c r="U873" s="415"/>
      <c r="V873" s="210"/>
      <c r="W873" s="8"/>
      <c r="X873" s="8"/>
      <c r="Y873" s="8"/>
      <c r="Z873" s="8"/>
      <c r="AA873" s="8"/>
      <c r="AB873" s="8"/>
      <c r="AC873" s="8"/>
      <c r="AD873" s="8"/>
      <c r="AE873" s="8"/>
      <c r="AF873" s="8"/>
      <c r="AG873" s="8"/>
      <c r="AH873" s="8"/>
      <c r="AI873" s="8"/>
      <c r="AJ873" s="8"/>
      <c r="AK873" s="8"/>
      <c r="AL873" s="8"/>
      <c r="AM873" s="8"/>
      <c r="AN873" s="8"/>
      <c r="AO873" s="8"/>
      <c r="AP873" s="8"/>
      <c r="AQ873" s="8"/>
      <c r="AR873" s="8"/>
      <c r="AS873" s="8"/>
      <c r="AT873" s="8"/>
    </row>
    <row r="874">
      <c r="A874" s="415"/>
      <c r="B874" s="210"/>
      <c r="C874" s="415"/>
      <c r="D874" s="210"/>
      <c r="E874" s="415"/>
      <c r="F874" s="210"/>
      <c r="G874" s="415"/>
      <c r="H874" s="210"/>
      <c r="I874" s="415"/>
      <c r="J874" s="210"/>
      <c r="K874" s="415"/>
      <c r="L874" s="210"/>
      <c r="M874" s="415"/>
      <c r="N874" s="210"/>
      <c r="O874" s="415"/>
      <c r="P874" s="210"/>
      <c r="Q874" s="439"/>
      <c r="R874" s="439"/>
      <c r="S874" s="415"/>
      <c r="T874" s="210"/>
      <c r="U874" s="415"/>
      <c r="V874" s="210"/>
      <c r="W874" s="8"/>
      <c r="X874" s="8"/>
      <c r="Y874" s="8"/>
      <c r="Z874" s="8"/>
      <c r="AA874" s="8"/>
      <c r="AB874" s="8"/>
      <c r="AC874" s="8"/>
      <c r="AD874" s="8"/>
      <c r="AE874" s="8"/>
      <c r="AF874" s="8"/>
      <c r="AG874" s="8"/>
      <c r="AH874" s="8"/>
      <c r="AI874" s="8"/>
      <c r="AJ874" s="8"/>
      <c r="AK874" s="8"/>
      <c r="AL874" s="8"/>
      <c r="AM874" s="8"/>
      <c r="AN874" s="8"/>
      <c r="AO874" s="8"/>
      <c r="AP874" s="8"/>
      <c r="AQ874" s="8"/>
      <c r="AR874" s="8"/>
      <c r="AS874" s="8"/>
      <c r="AT874" s="8"/>
    </row>
    <row r="875">
      <c r="A875" s="415"/>
      <c r="B875" s="210"/>
      <c r="C875" s="415"/>
      <c r="D875" s="210"/>
      <c r="E875" s="415"/>
      <c r="F875" s="210"/>
      <c r="G875" s="415"/>
      <c r="H875" s="210"/>
      <c r="I875" s="415"/>
      <c r="J875" s="210"/>
      <c r="K875" s="415"/>
      <c r="L875" s="210"/>
      <c r="M875" s="415"/>
      <c r="N875" s="210"/>
      <c r="O875" s="415"/>
      <c r="P875" s="210"/>
      <c r="Q875" s="439"/>
      <c r="R875" s="439"/>
      <c r="S875" s="415"/>
      <c r="T875" s="210"/>
      <c r="U875" s="415"/>
      <c r="V875" s="210"/>
      <c r="W875" s="8"/>
      <c r="X875" s="8"/>
      <c r="Y875" s="8"/>
      <c r="Z875" s="8"/>
      <c r="AA875" s="8"/>
      <c r="AB875" s="8"/>
      <c r="AC875" s="8"/>
      <c r="AD875" s="8"/>
      <c r="AE875" s="8"/>
      <c r="AF875" s="8"/>
      <c r="AG875" s="8"/>
      <c r="AH875" s="8"/>
      <c r="AI875" s="8"/>
      <c r="AJ875" s="8"/>
      <c r="AK875" s="8"/>
      <c r="AL875" s="8"/>
      <c r="AM875" s="8"/>
      <c r="AN875" s="8"/>
      <c r="AO875" s="8"/>
      <c r="AP875" s="8"/>
      <c r="AQ875" s="8"/>
      <c r="AR875" s="8"/>
      <c r="AS875" s="8"/>
      <c r="AT875" s="8"/>
    </row>
    <row r="876">
      <c r="A876" s="415"/>
      <c r="B876" s="210"/>
      <c r="C876" s="415"/>
      <c r="D876" s="210"/>
      <c r="E876" s="415"/>
      <c r="F876" s="210"/>
      <c r="G876" s="415"/>
      <c r="H876" s="210"/>
      <c r="I876" s="415"/>
      <c r="J876" s="210"/>
      <c r="K876" s="415"/>
      <c r="L876" s="210"/>
      <c r="M876" s="415"/>
      <c r="N876" s="210"/>
      <c r="O876" s="415"/>
      <c r="P876" s="210"/>
      <c r="Q876" s="439"/>
      <c r="R876" s="439"/>
      <c r="S876" s="415"/>
      <c r="T876" s="210"/>
      <c r="U876" s="415"/>
      <c r="V876" s="210"/>
      <c r="W876" s="8"/>
      <c r="X876" s="8"/>
      <c r="Y876" s="8"/>
      <c r="Z876" s="8"/>
      <c r="AA876" s="8"/>
      <c r="AB876" s="8"/>
      <c r="AC876" s="8"/>
      <c r="AD876" s="8"/>
      <c r="AE876" s="8"/>
      <c r="AF876" s="8"/>
      <c r="AG876" s="8"/>
      <c r="AH876" s="8"/>
      <c r="AI876" s="8"/>
      <c r="AJ876" s="8"/>
      <c r="AK876" s="8"/>
      <c r="AL876" s="8"/>
      <c r="AM876" s="8"/>
      <c r="AN876" s="8"/>
      <c r="AO876" s="8"/>
      <c r="AP876" s="8"/>
      <c r="AQ876" s="8"/>
      <c r="AR876" s="8"/>
      <c r="AS876" s="8"/>
      <c r="AT876" s="8"/>
    </row>
    <row r="877">
      <c r="A877" s="415"/>
      <c r="B877" s="210"/>
      <c r="C877" s="415"/>
      <c r="D877" s="210"/>
      <c r="E877" s="415"/>
      <c r="F877" s="210"/>
      <c r="G877" s="415"/>
      <c r="H877" s="210"/>
      <c r="I877" s="415"/>
      <c r="J877" s="210"/>
      <c r="K877" s="415"/>
      <c r="L877" s="210"/>
      <c r="M877" s="415"/>
      <c r="N877" s="210"/>
      <c r="O877" s="415"/>
      <c r="P877" s="210"/>
      <c r="Q877" s="439"/>
      <c r="R877" s="439"/>
      <c r="S877" s="415"/>
      <c r="T877" s="210"/>
      <c r="U877" s="415"/>
      <c r="V877" s="210"/>
      <c r="W877" s="8"/>
      <c r="X877" s="8"/>
      <c r="Y877" s="8"/>
      <c r="Z877" s="8"/>
      <c r="AA877" s="8"/>
      <c r="AB877" s="8"/>
      <c r="AC877" s="8"/>
      <c r="AD877" s="8"/>
      <c r="AE877" s="8"/>
      <c r="AF877" s="8"/>
      <c r="AG877" s="8"/>
      <c r="AH877" s="8"/>
      <c r="AI877" s="8"/>
      <c r="AJ877" s="8"/>
      <c r="AK877" s="8"/>
      <c r="AL877" s="8"/>
      <c r="AM877" s="8"/>
      <c r="AN877" s="8"/>
      <c r="AO877" s="8"/>
      <c r="AP877" s="8"/>
      <c r="AQ877" s="8"/>
      <c r="AR877" s="8"/>
      <c r="AS877" s="8"/>
      <c r="AT877" s="8"/>
    </row>
    <row r="878">
      <c r="A878" s="415"/>
      <c r="B878" s="210"/>
      <c r="C878" s="415"/>
      <c r="D878" s="210"/>
      <c r="E878" s="415"/>
      <c r="F878" s="210"/>
      <c r="G878" s="415"/>
      <c r="H878" s="210"/>
      <c r="I878" s="415"/>
      <c r="J878" s="210"/>
      <c r="K878" s="415"/>
      <c r="L878" s="210"/>
      <c r="M878" s="415"/>
      <c r="N878" s="210"/>
      <c r="O878" s="415"/>
      <c r="P878" s="210"/>
      <c r="Q878" s="439"/>
      <c r="R878" s="439"/>
      <c r="S878" s="415"/>
      <c r="T878" s="210"/>
      <c r="U878" s="415"/>
      <c r="V878" s="210"/>
      <c r="W878" s="8"/>
      <c r="X878" s="8"/>
      <c r="Y878" s="8"/>
      <c r="Z878" s="8"/>
      <c r="AA878" s="8"/>
      <c r="AB878" s="8"/>
      <c r="AC878" s="8"/>
      <c r="AD878" s="8"/>
      <c r="AE878" s="8"/>
      <c r="AF878" s="8"/>
      <c r="AG878" s="8"/>
      <c r="AH878" s="8"/>
      <c r="AI878" s="8"/>
      <c r="AJ878" s="8"/>
      <c r="AK878" s="8"/>
      <c r="AL878" s="8"/>
      <c r="AM878" s="8"/>
      <c r="AN878" s="8"/>
      <c r="AO878" s="8"/>
      <c r="AP878" s="8"/>
      <c r="AQ878" s="8"/>
      <c r="AR878" s="8"/>
      <c r="AS878" s="8"/>
      <c r="AT878" s="8"/>
    </row>
    <row r="879">
      <c r="A879" s="415"/>
      <c r="B879" s="210"/>
      <c r="C879" s="415"/>
      <c r="D879" s="210"/>
      <c r="E879" s="415"/>
      <c r="F879" s="210"/>
      <c r="G879" s="415"/>
      <c r="H879" s="210"/>
      <c r="I879" s="415"/>
      <c r="J879" s="210"/>
      <c r="K879" s="415"/>
      <c r="L879" s="210"/>
      <c r="M879" s="415"/>
      <c r="N879" s="210"/>
      <c r="O879" s="415"/>
      <c r="P879" s="210"/>
      <c r="Q879" s="439"/>
      <c r="R879" s="439"/>
      <c r="S879" s="415"/>
      <c r="T879" s="210"/>
      <c r="U879" s="415"/>
      <c r="V879" s="210"/>
      <c r="W879" s="8"/>
      <c r="X879" s="8"/>
      <c r="Y879" s="8"/>
      <c r="Z879" s="8"/>
      <c r="AA879" s="8"/>
      <c r="AB879" s="8"/>
      <c r="AC879" s="8"/>
      <c r="AD879" s="8"/>
      <c r="AE879" s="8"/>
      <c r="AF879" s="8"/>
      <c r="AG879" s="8"/>
      <c r="AH879" s="8"/>
      <c r="AI879" s="8"/>
      <c r="AJ879" s="8"/>
      <c r="AK879" s="8"/>
      <c r="AL879" s="8"/>
      <c r="AM879" s="8"/>
      <c r="AN879" s="8"/>
      <c r="AO879" s="8"/>
      <c r="AP879" s="8"/>
      <c r="AQ879" s="8"/>
      <c r="AR879" s="8"/>
      <c r="AS879" s="8"/>
      <c r="AT879" s="8"/>
    </row>
    <row r="880">
      <c r="A880" s="415"/>
      <c r="B880" s="210"/>
      <c r="C880" s="415"/>
      <c r="D880" s="210"/>
      <c r="E880" s="415"/>
      <c r="F880" s="210"/>
      <c r="G880" s="415"/>
      <c r="H880" s="210"/>
      <c r="I880" s="415"/>
      <c r="J880" s="210"/>
      <c r="K880" s="415"/>
      <c r="L880" s="210"/>
      <c r="M880" s="415"/>
      <c r="N880" s="210"/>
      <c r="O880" s="415"/>
      <c r="P880" s="210"/>
      <c r="Q880" s="439"/>
      <c r="R880" s="439"/>
      <c r="S880" s="415"/>
      <c r="T880" s="210"/>
      <c r="U880" s="415"/>
      <c r="V880" s="210"/>
      <c r="W880" s="8"/>
      <c r="X880" s="8"/>
      <c r="Y880" s="8"/>
      <c r="Z880" s="8"/>
      <c r="AA880" s="8"/>
      <c r="AB880" s="8"/>
      <c r="AC880" s="8"/>
      <c r="AD880" s="8"/>
      <c r="AE880" s="8"/>
      <c r="AF880" s="8"/>
      <c r="AG880" s="8"/>
      <c r="AH880" s="8"/>
      <c r="AI880" s="8"/>
      <c r="AJ880" s="8"/>
      <c r="AK880" s="8"/>
      <c r="AL880" s="8"/>
      <c r="AM880" s="8"/>
      <c r="AN880" s="8"/>
      <c r="AO880" s="8"/>
      <c r="AP880" s="8"/>
      <c r="AQ880" s="8"/>
      <c r="AR880" s="8"/>
      <c r="AS880" s="8"/>
      <c r="AT880" s="8"/>
    </row>
    <row r="881">
      <c r="A881" s="415"/>
      <c r="B881" s="210"/>
      <c r="C881" s="415"/>
      <c r="D881" s="210"/>
      <c r="E881" s="415"/>
      <c r="F881" s="210"/>
      <c r="G881" s="415"/>
      <c r="H881" s="210"/>
      <c r="I881" s="415"/>
      <c r="J881" s="210"/>
      <c r="K881" s="415"/>
      <c r="L881" s="210"/>
      <c r="M881" s="415"/>
      <c r="N881" s="210"/>
      <c r="O881" s="415"/>
      <c r="P881" s="210"/>
      <c r="Q881" s="439"/>
      <c r="R881" s="439"/>
      <c r="S881" s="415"/>
      <c r="T881" s="210"/>
      <c r="U881" s="415"/>
      <c r="V881" s="210"/>
      <c r="W881" s="8"/>
      <c r="X881" s="8"/>
      <c r="Y881" s="8"/>
      <c r="Z881" s="8"/>
      <c r="AA881" s="8"/>
      <c r="AB881" s="8"/>
      <c r="AC881" s="8"/>
      <c r="AD881" s="8"/>
      <c r="AE881" s="8"/>
      <c r="AF881" s="8"/>
      <c r="AG881" s="8"/>
      <c r="AH881" s="8"/>
      <c r="AI881" s="8"/>
      <c r="AJ881" s="8"/>
      <c r="AK881" s="8"/>
      <c r="AL881" s="8"/>
      <c r="AM881" s="8"/>
      <c r="AN881" s="8"/>
      <c r="AO881" s="8"/>
      <c r="AP881" s="8"/>
      <c r="AQ881" s="8"/>
      <c r="AR881" s="8"/>
      <c r="AS881" s="8"/>
      <c r="AT881" s="8"/>
    </row>
    <row r="882">
      <c r="A882" s="415"/>
      <c r="B882" s="210"/>
      <c r="C882" s="415"/>
      <c r="D882" s="210"/>
      <c r="E882" s="415"/>
      <c r="F882" s="210"/>
      <c r="G882" s="415"/>
      <c r="H882" s="210"/>
      <c r="I882" s="415"/>
      <c r="J882" s="210"/>
      <c r="K882" s="415"/>
      <c r="L882" s="210"/>
      <c r="M882" s="415"/>
      <c r="N882" s="210"/>
      <c r="O882" s="415"/>
      <c r="P882" s="210"/>
      <c r="Q882" s="439"/>
      <c r="R882" s="439"/>
      <c r="S882" s="415"/>
      <c r="T882" s="210"/>
      <c r="U882" s="415"/>
      <c r="V882" s="210"/>
      <c r="W882" s="8"/>
      <c r="X882" s="8"/>
      <c r="Y882" s="8"/>
      <c r="Z882" s="8"/>
      <c r="AA882" s="8"/>
      <c r="AB882" s="8"/>
      <c r="AC882" s="8"/>
      <c r="AD882" s="8"/>
      <c r="AE882" s="8"/>
      <c r="AF882" s="8"/>
      <c r="AG882" s="8"/>
      <c r="AH882" s="8"/>
      <c r="AI882" s="8"/>
      <c r="AJ882" s="8"/>
      <c r="AK882" s="8"/>
      <c r="AL882" s="8"/>
      <c r="AM882" s="8"/>
      <c r="AN882" s="8"/>
      <c r="AO882" s="8"/>
      <c r="AP882" s="8"/>
      <c r="AQ882" s="8"/>
      <c r="AR882" s="8"/>
      <c r="AS882" s="8"/>
      <c r="AT882" s="8"/>
    </row>
    <row r="883">
      <c r="A883" s="415"/>
      <c r="B883" s="210"/>
      <c r="C883" s="415"/>
      <c r="D883" s="210"/>
      <c r="E883" s="415"/>
      <c r="F883" s="210"/>
      <c r="G883" s="415"/>
      <c r="H883" s="210"/>
      <c r="I883" s="415"/>
      <c r="J883" s="210"/>
      <c r="K883" s="415"/>
      <c r="L883" s="210"/>
      <c r="M883" s="415"/>
      <c r="N883" s="210"/>
      <c r="O883" s="415"/>
      <c r="P883" s="210"/>
      <c r="Q883" s="439"/>
      <c r="R883" s="439"/>
      <c r="S883" s="415"/>
      <c r="T883" s="210"/>
      <c r="U883" s="415"/>
      <c r="V883" s="210"/>
      <c r="W883" s="8"/>
      <c r="X883" s="8"/>
      <c r="Y883" s="8"/>
      <c r="Z883" s="8"/>
      <c r="AA883" s="8"/>
      <c r="AB883" s="8"/>
      <c r="AC883" s="8"/>
      <c r="AD883" s="8"/>
      <c r="AE883" s="8"/>
      <c r="AF883" s="8"/>
      <c r="AG883" s="8"/>
      <c r="AH883" s="8"/>
      <c r="AI883" s="8"/>
      <c r="AJ883" s="8"/>
      <c r="AK883" s="8"/>
      <c r="AL883" s="8"/>
      <c r="AM883" s="8"/>
      <c r="AN883" s="8"/>
      <c r="AO883" s="8"/>
      <c r="AP883" s="8"/>
      <c r="AQ883" s="8"/>
      <c r="AR883" s="8"/>
      <c r="AS883" s="8"/>
      <c r="AT883" s="8"/>
    </row>
    <row r="884">
      <c r="A884" s="415"/>
      <c r="B884" s="210"/>
      <c r="C884" s="415"/>
      <c r="D884" s="210"/>
      <c r="E884" s="415"/>
      <c r="F884" s="210"/>
      <c r="G884" s="415"/>
      <c r="H884" s="210"/>
      <c r="I884" s="415"/>
      <c r="J884" s="210"/>
      <c r="K884" s="415"/>
      <c r="L884" s="210"/>
      <c r="M884" s="415"/>
      <c r="N884" s="210"/>
      <c r="O884" s="415"/>
      <c r="P884" s="210"/>
      <c r="Q884" s="439"/>
      <c r="R884" s="439"/>
      <c r="S884" s="415"/>
      <c r="T884" s="210"/>
      <c r="U884" s="415"/>
      <c r="V884" s="210"/>
      <c r="W884" s="8"/>
      <c r="X884" s="8"/>
      <c r="Y884" s="8"/>
      <c r="Z884" s="8"/>
      <c r="AA884" s="8"/>
      <c r="AB884" s="8"/>
      <c r="AC884" s="8"/>
      <c r="AD884" s="8"/>
      <c r="AE884" s="8"/>
      <c r="AF884" s="8"/>
      <c r="AG884" s="8"/>
      <c r="AH884" s="8"/>
      <c r="AI884" s="8"/>
      <c r="AJ884" s="8"/>
      <c r="AK884" s="8"/>
      <c r="AL884" s="8"/>
      <c r="AM884" s="8"/>
      <c r="AN884" s="8"/>
      <c r="AO884" s="8"/>
      <c r="AP884" s="8"/>
      <c r="AQ884" s="8"/>
      <c r="AR884" s="8"/>
      <c r="AS884" s="8"/>
      <c r="AT884" s="8"/>
    </row>
    <row r="885">
      <c r="A885" s="415"/>
      <c r="B885" s="210"/>
      <c r="C885" s="415"/>
      <c r="D885" s="210"/>
      <c r="E885" s="415"/>
      <c r="F885" s="210"/>
      <c r="G885" s="415"/>
      <c r="H885" s="210"/>
      <c r="I885" s="415"/>
      <c r="J885" s="210"/>
      <c r="K885" s="415"/>
      <c r="L885" s="210"/>
      <c r="M885" s="415"/>
      <c r="N885" s="210"/>
      <c r="O885" s="415"/>
      <c r="P885" s="210"/>
      <c r="Q885" s="439"/>
      <c r="R885" s="439"/>
      <c r="S885" s="415"/>
      <c r="T885" s="210"/>
      <c r="U885" s="415"/>
      <c r="V885" s="210"/>
      <c r="W885" s="8"/>
      <c r="X885" s="8"/>
      <c r="Y885" s="8"/>
      <c r="Z885" s="8"/>
      <c r="AA885" s="8"/>
      <c r="AB885" s="8"/>
      <c r="AC885" s="8"/>
      <c r="AD885" s="8"/>
      <c r="AE885" s="8"/>
      <c r="AF885" s="8"/>
      <c r="AG885" s="8"/>
      <c r="AH885" s="8"/>
      <c r="AI885" s="8"/>
      <c r="AJ885" s="8"/>
      <c r="AK885" s="8"/>
      <c r="AL885" s="8"/>
      <c r="AM885" s="8"/>
      <c r="AN885" s="8"/>
      <c r="AO885" s="8"/>
      <c r="AP885" s="8"/>
      <c r="AQ885" s="8"/>
      <c r="AR885" s="8"/>
      <c r="AS885" s="8"/>
      <c r="AT885" s="8"/>
    </row>
    <row r="886">
      <c r="A886" s="415"/>
      <c r="B886" s="210"/>
      <c r="C886" s="415"/>
      <c r="D886" s="210"/>
      <c r="E886" s="415"/>
      <c r="F886" s="210"/>
      <c r="G886" s="415"/>
      <c r="H886" s="210"/>
      <c r="I886" s="415"/>
      <c r="J886" s="210"/>
      <c r="K886" s="415"/>
      <c r="L886" s="210"/>
      <c r="M886" s="415"/>
      <c r="N886" s="210"/>
      <c r="O886" s="415"/>
      <c r="P886" s="210"/>
      <c r="Q886" s="439"/>
      <c r="R886" s="439"/>
      <c r="S886" s="415"/>
      <c r="T886" s="210"/>
      <c r="U886" s="415"/>
      <c r="V886" s="210"/>
      <c r="W886" s="8"/>
      <c r="X886" s="8"/>
      <c r="Y886" s="8"/>
      <c r="Z886" s="8"/>
      <c r="AA886" s="8"/>
      <c r="AB886" s="8"/>
      <c r="AC886" s="8"/>
      <c r="AD886" s="8"/>
      <c r="AE886" s="8"/>
      <c r="AF886" s="8"/>
      <c r="AG886" s="8"/>
      <c r="AH886" s="8"/>
      <c r="AI886" s="8"/>
      <c r="AJ886" s="8"/>
      <c r="AK886" s="8"/>
      <c r="AL886" s="8"/>
      <c r="AM886" s="8"/>
      <c r="AN886" s="8"/>
      <c r="AO886" s="8"/>
      <c r="AP886" s="8"/>
      <c r="AQ886" s="8"/>
      <c r="AR886" s="8"/>
      <c r="AS886" s="8"/>
      <c r="AT886" s="8"/>
    </row>
    <row r="887">
      <c r="A887" s="415"/>
      <c r="B887" s="210"/>
      <c r="C887" s="415"/>
      <c r="D887" s="210"/>
      <c r="E887" s="415"/>
      <c r="F887" s="210"/>
      <c r="G887" s="415"/>
      <c r="H887" s="210"/>
      <c r="I887" s="415"/>
      <c r="J887" s="210"/>
      <c r="K887" s="415"/>
      <c r="L887" s="210"/>
      <c r="M887" s="415"/>
      <c r="N887" s="210"/>
      <c r="O887" s="415"/>
      <c r="P887" s="210"/>
      <c r="Q887" s="439"/>
      <c r="R887" s="439"/>
      <c r="S887" s="415"/>
      <c r="T887" s="210"/>
      <c r="U887" s="415"/>
      <c r="V887" s="210"/>
      <c r="W887" s="8"/>
      <c r="X887" s="8"/>
      <c r="Y887" s="8"/>
      <c r="Z887" s="8"/>
      <c r="AA887" s="8"/>
      <c r="AB887" s="8"/>
      <c r="AC887" s="8"/>
      <c r="AD887" s="8"/>
      <c r="AE887" s="8"/>
      <c r="AF887" s="8"/>
      <c r="AG887" s="8"/>
      <c r="AH887" s="8"/>
      <c r="AI887" s="8"/>
      <c r="AJ887" s="8"/>
      <c r="AK887" s="8"/>
      <c r="AL887" s="8"/>
      <c r="AM887" s="8"/>
      <c r="AN887" s="8"/>
      <c r="AO887" s="8"/>
      <c r="AP887" s="8"/>
      <c r="AQ887" s="8"/>
      <c r="AR887" s="8"/>
      <c r="AS887" s="8"/>
      <c r="AT887" s="8"/>
    </row>
    <row r="888">
      <c r="A888" s="415"/>
      <c r="B888" s="210"/>
      <c r="C888" s="415"/>
      <c r="D888" s="210"/>
      <c r="E888" s="415"/>
      <c r="F888" s="210"/>
      <c r="G888" s="415"/>
      <c r="H888" s="210"/>
      <c r="I888" s="415"/>
      <c r="J888" s="210"/>
      <c r="K888" s="415"/>
      <c r="L888" s="210"/>
      <c r="M888" s="415"/>
      <c r="N888" s="210"/>
      <c r="O888" s="415"/>
      <c r="P888" s="210"/>
      <c r="Q888" s="439"/>
      <c r="R888" s="439"/>
      <c r="S888" s="415"/>
      <c r="T888" s="210"/>
      <c r="U888" s="415"/>
      <c r="V888" s="210"/>
      <c r="W888" s="8"/>
      <c r="X888" s="8"/>
      <c r="Y888" s="8"/>
      <c r="Z888" s="8"/>
      <c r="AA888" s="8"/>
      <c r="AB888" s="8"/>
      <c r="AC888" s="8"/>
      <c r="AD888" s="8"/>
      <c r="AE888" s="8"/>
      <c r="AF888" s="8"/>
      <c r="AG888" s="8"/>
      <c r="AH888" s="8"/>
      <c r="AI888" s="8"/>
      <c r="AJ888" s="8"/>
      <c r="AK888" s="8"/>
      <c r="AL888" s="8"/>
      <c r="AM888" s="8"/>
      <c r="AN888" s="8"/>
      <c r="AO888" s="8"/>
      <c r="AP888" s="8"/>
      <c r="AQ888" s="8"/>
      <c r="AR888" s="8"/>
      <c r="AS888" s="8"/>
      <c r="AT888" s="8"/>
    </row>
    <row r="889">
      <c r="A889" s="415"/>
      <c r="B889" s="210"/>
      <c r="C889" s="415"/>
      <c r="D889" s="210"/>
      <c r="E889" s="415"/>
      <c r="F889" s="210"/>
      <c r="G889" s="415"/>
      <c r="H889" s="210"/>
      <c r="I889" s="415"/>
      <c r="J889" s="210"/>
      <c r="K889" s="415"/>
      <c r="L889" s="210"/>
      <c r="M889" s="415"/>
      <c r="N889" s="210"/>
      <c r="O889" s="415"/>
      <c r="P889" s="210"/>
      <c r="Q889" s="439"/>
      <c r="R889" s="439"/>
      <c r="S889" s="415"/>
      <c r="T889" s="210"/>
      <c r="U889" s="415"/>
      <c r="V889" s="210"/>
      <c r="W889" s="8"/>
      <c r="X889" s="8"/>
      <c r="Y889" s="8"/>
      <c r="Z889" s="8"/>
      <c r="AA889" s="8"/>
      <c r="AB889" s="8"/>
      <c r="AC889" s="8"/>
      <c r="AD889" s="8"/>
      <c r="AE889" s="8"/>
      <c r="AF889" s="8"/>
      <c r="AG889" s="8"/>
      <c r="AH889" s="8"/>
      <c r="AI889" s="8"/>
      <c r="AJ889" s="8"/>
      <c r="AK889" s="8"/>
      <c r="AL889" s="8"/>
      <c r="AM889" s="8"/>
      <c r="AN889" s="8"/>
      <c r="AO889" s="8"/>
      <c r="AP889" s="8"/>
      <c r="AQ889" s="8"/>
      <c r="AR889" s="8"/>
      <c r="AS889" s="8"/>
      <c r="AT889" s="8"/>
    </row>
    <row r="890">
      <c r="A890" s="415"/>
      <c r="B890" s="210"/>
      <c r="C890" s="415"/>
      <c r="D890" s="210"/>
      <c r="E890" s="415"/>
      <c r="F890" s="210"/>
      <c r="G890" s="415"/>
      <c r="H890" s="210"/>
      <c r="I890" s="415"/>
      <c r="J890" s="210"/>
      <c r="K890" s="415"/>
      <c r="L890" s="210"/>
      <c r="M890" s="415"/>
      <c r="N890" s="210"/>
      <c r="O890" s="415"/>
      <c r="P890" s="210"/>
      <c r="Q890" s="439"/>
      <c r="R890" s="439"/>
      <c r="S890" s="415"/>
      <c r="T890" s="210"/>
      <c r="U890" s="415"/>
      <c r="V890" s="210"/>
      <c r="W890" s="8"/>
      <c r="X890" s="8"/>
      <c r="Y890" s="8"/>
      <c r="Z890" s="8"/>
      <c r="AA890" s="8"/>
      <c r="AB890" s="8"/>
      <c r="AC890" s="8"/>
      <c r="AD890" s="8"/>
      <c r="AE890" s="8"/>
      <c r="AF890" s="8"/>
      <c r="AG890" s="8"/>
      <c r="AH890" s="8"/>
      <c r="AI890" s="8"/>
      <c r="AJ890" s="8"/>
      <c r="AK890" s="8"/>
      <c r="AL890" s="8"/>
      <c r="AM890" s="8"/>
      <c r="AN890" s="8"/>
      <c r="AO890" s="8"/>
      <c r="AP890" s="8"/>
      <c r="AQ890" s="8"/>
      <c r="AR890" s="8"/>
      <c r="AS890" s="8"/>
      <c r="AT890" s="8"/>
    </row>
    <row r="891">
      <c r="A891" s="415"/>
      <c r="B891" s="210"/>
      <c r="C891" s="415"/>
      <c r="D891" s="210"/>
      <c r="E891" s="415"/>
      <c r="F891" s="210"/>
      <c r="G891" s="415"/>
      <c r="H891" s="210"/>
      <c r="I891" s="415"/>
      <c r="J891" s="210"/>
      <c r="K891" s="415"/>
      <c r="L891" s="210"/>
      <c r="M891" s="415"/>
      <c r="N891" s="210"/>
      <c r="O891" s="415"/>
      <c r="P891" s="210"/>
      <c r="Q891" s="439"/>
      <c r="R891" s="439"/>
      <c r="S891" s="415"/>
      <c r="T891" s="210"/>
      <c r="U891" s="415"/>
      <c r="V891" s="210"/>
      <c r="W891" s="8"/>
      <c r="X891" s="8"/>
      <c r="Y891" s="8"/>
      <c r="Z891" s="8"/>
      <c r="AA891" s="8"/>
      <c r="AB891" s="8"/>
      <c r="AC891" s="8"/>
      <c r="AD891" s="8"/>
      <c r="AE891" s="8"/>
      <c r="AF891" s="8"/>
      <c r="AG891" s="8"/>
      <c r="AH891" s="8"/>
      <c r="AI891" s="8"/>
      <c r="AJ891" s="8"/>
      <c r="AK891" s="8"/>
      <c r="AL891" s="8"/>
      <c r="AM891" s="8"/>
      <c r="AN891" s="8"/>
      <c r="AO891" s="8"/>
      <c r="AP891" s="8"/>
      <c r="AQ891" s="8"/>
      <c r="AR891" s="8"/>
      <c r="AS891" s="8"/>
      <c r="AT891" s="8"/>
    </row>
    <row r="892">
      <c r="A892" s="415"/>
      <c r="B892" s="210"/>
      <c r="C892" s="415"/>
      <c r="D892" s="210"/>
      <c r="E892" s="415"/>
      <c r="F892" s="210"/>
      <c r="G892" s="415"/>
      <c r="H892" s="210"/>
      <c r="I892" s="415"/>
      <c r="J892" s="210"/>
      <c r="K892" s="415"/>
      <c r="L892" s="210"/>
      <c r="M892" s="415"/>
      <c r="N892" s="210"/>
      <c r="O892" s="415"/>
      <c r="P892" s="210"/>
      <c r="Q892" s="439"/>
      <c r="R892" s="439"/>
      <c r="S892" s="415"/>
      <c r="T892" s="210"/>
      <c r="U892" s="415"/>
      <c r="V892" s="210"/>
      <c r="W892" s="8"/>
      <c r="X892" s="8"/>
      <c r="Y892" s="8"/>
      <c r="Z892" s="8"/>
      <c r="AA892" s="8"/>
      <c r="AB892" s="8"/>
      <c r="AC892" s="8"/>
      <c r="AD892" s="8"/>
      <c r="AE892" s="8"/>
      <c r="AF892" s="8"/>
      <c r="AG892" s="8"/>
      <c r="AH892" s="8"/>
      <c r="AI892" s="8"/>
      <c r="AJ892" s="8"/>
      <c r="AK892" s="8"/>
      <c r="AL892" s="8"/>
      <c r="AM892" s="8"/>
      <c r="AN892" s="8"/>
      <c r="AO892" s="8"/>
      <c r="AP892" s="8"/>
      <c r="AQ892" s="8"/>
      <c r="AR892" s="8"/>
      <c r="AS892" s="8"/>
      <c r="AT892" s="8"/>
    </row>
    <row r="893">
      <c r="A893" s="415"/>
      <c r="B893" s="210"/>
      <c r="C893" s="415"/>
      <c r="D893" s="210"/>
      <c r="E893" s="415"/>
      <c r="F893" s="210"/>
      <c r="G893" s="415"/>
      <c r="H893" s="210"/>
      <c r="I893" s="415"/>
      <c r="J893" s="210"/>
      <c r="K893" s="415"/>
      <c r="L893" s="210"/>
      <c r="M893" s="415"/>
      <c r="N893" s="210"/>
      <c r="O893" s="415"/>
      <c r="P893" s="210"/>
      <c r="Q893" s="439"/>
      <c r="R893" s="439"/>
      <c r="S893" s="415"/>
      <c r="T893" s="210"/>
      <c r="U893" s="415"/>
      <c r="V893" s="210"/>
      <c r="W893" s="8"/>
      <c r="X893" s="8"/>
      <c r="Y893" s="8"/>
      <c r="Z893" s="8"/>
      <c r="AA893" s="8"/>
      <c r="AB893" s="8"/>
      <c r="AC893" s="8"/>
      <c r="AD893" s="8"/>
      <c r="AE893" s="8"/>
      <c r="AF893" s="8"/>
      <c r="AG893" s="8"/>
      <c r="AH893" s="8"/>
      <c r="AI893" s="8"/>
      <c r="AJ893" s="8"/>
      <c r="AK893" s="8"/>
      <c r="AL893" s="8"/>
      <c r="AM893" s="8"/>
      <c r="AN893" s="8"/>
      <c r="AO893" s="8"/>
      <c r="AP893" s="8"/>
      <c r="AQ893" s="8"/>
      <c r="AR893" s="8"/>
      <c r="AS893" s="8"/>
      <c r="AT893" s="8"/>
    </row>
    <row r="894">
      <c r="A894" s="415"/>
      <c r="B894" s="210"/>
      <c r="C894" s="415"/>
      <c r="D894" s="210"/>
      <c r="E894" s="415"/>
      <c r="F894" s="210"/>
      <c r="G894" s="415"/>
      <c r="H894" s="210"/>
      <c r="I894" s="415"/>
      <c r="J894" s="210"/>
      <c r="K894" s="415"/>
      <c r="L894" s="210"/>
      <c r="M894" s="415"/>
      <c r="N894" s="210"/>
      <c r="O894" s="415"/>
      <c r="P894" s="210"/>
      <c r="Q894" s="439"/>
      <c r="R894" s="439"/>
      <c r="S894" s="415"/>
      <c r="T894" s="210"/>
      <c r="U894" s="415"/>
      <c r="V894" s="210"/>
      <c r="W894" s="8"/>
      <c r="X894" s="8"/>
      <c r="Y894" s="8"/>
      <c r="Z894" s="8"/>
      <c r="AA894" s="8"/>
      <c r="AB894" s="8"/>
      <c r="AC894" s="8"/>
      <c r="AD894" s="8"/>
      <c r="AE894" s="8"/>
      <c r="AF894" s="8"/>
      <c r="AG894" s="8"/>
      <c r="AH894" s="8"/>
      <c r="AI894" s="8"/>
      <c r="AJ894" s="8"/>
      <c r="AK894" s="8"/>
      <c r="AL894" s="8"/>
      <c r="AM894" s="8"/>
      <c r="AN894" s="8"/>
      <c r="AO894" s="8"/>
      <c r="AP894" s="8"/>
      <c r="AQ894" s="8"/>
      <c r="AR894" s="8"/>
      <c r="AS894" s="8"/>
      <c r="AT894" s="8"/>
    </row>
    <row r="895">
      <c r="A895" s="415"/>
      <c r="B895" s="210"/>
      <c r="C895" s="415"/>
      <c r="D895" s="210"/>
      <c r="E895" s="415"/>
      <c r="F895" s="210"/>
      <c r="G895" s="415"/>
      <c r="H895" s="210"/>
      <c r="I895" s="415"/>
      <c r="J895" s="210"/>
      <c r="K895" s="415"/>
      <c r="L895" s="210"/>
      <c r="M895" s="415"/>
      <c r="N895" s="210"/>
      <c r="O895" s="415"/>
      <c r="P895" s="210"/>
      <c r="Q895" s="439"/>
      <c r="R895" s="439"/>
      <c r="S895" s="415"/>
      <c r="T895" s="210"/>
      <c r="U895" s="415"/>
      <c r="V895" s="210"/>
      <c r="W895" s="8"/>
      <c r="X895" s="8"/>
      <c r="Y895" s="8"/>
      <c r="Z895" s="8"/>
      <c r="AA895" s="8"/>
      <c r="AB895" s="8"/>
      <c r="AC895" s="8"/>
      <c r="AD895" s="8"/>
      <c r="AE895" s="8"/>
      <c r="AF895" s="8"/>
      <c r="AG895" s="8"/>
      <c r="AH895" s="8"/>
      <c r="AI895" s="8"/>
      <c r="AJ895" s="8"/>
      <c r="AK895" s="8"/>
      <c r="AL895" s="8"/>
      <c r="AM895" s="8"/>
      <c r="AN895" s="8"/>
      <c r="AO895" s="8"/>
      <c r="AP895" s="8"/>
      <c r="AQ895" s="8"/>
      <c r="AR895" s="8"/>
      <c r="AS895" s="8"/>
      <c r="AT895" s="8"/>
    </row>
    <row r="896">
      <c r="A896" s="415"/>
      <c r="B896" s="210"/>
      <c r="C896" s="415"/>
      <c r="D896" s="210"/>
      <c r="E896" s="415"/>
      <c r="F896" s="210"/>
      <c r="G896" s="415"/>
      <c r="H896" s="210"/>
      <c r="I896" s="415"/>
      <c r="J896" s="210"/>
      <c r="K896" s="415"/>
      <c r="L896" s="210"/>
      <c r="M896" s="415"/>
      <c r="N896" s="210"/>
      <c r="O896" s="415"/>
      <c r="P896" s="210"/>
      <c r="Q896" s="439"/>
      <c r="R896" s="439"/>
      <c r="S896" s="415"/>
      <c r="T896" s="210"/>
      <c r="U896" s="415"/>
      <c r="V896" s="210"/>
      <c r="W896" s="8"/>
      <c r="X896" s="8"/>
      <c r="Y896" s="8"/>
      <c r="Z896" s="8"/>
      <c r="AA896" s="8"/>
      <c r="AB896" s="8"/>
      <c r="AC896" s="8"/>
      <c r="AD896" s="8"/>
      <c r="AE896" s="8"/>
      <c r="AF896" s="8"/>
      <c r="AG896" s="8"/>
      <c r="AH896" s="8"/>
      <c r="AI896" s="8"/>
      <c r="AJ896" s="8"/>
      <c r="AK896" s="8"/>
      <c r="AL896" s="8"/>
      <c r="AM896" s="8"/>
      <c r="AN896" s="8"/>
      <c r="AO896" s="8"/>
      <c r="AP896" s="8"/>
      <c r="AQ896" s="8"/>
      <c r="AR896" s="8"/>
      <c r="AS896" s="8"/>
      <c r="AT896" s="8"/>
    </row>
    <row r="897">
      <c r="A897" s="415"/>
      <c r="B897" s="210"/>
      <c r="C897" s="415"/>
      <c r="D897" s="210"/>
      <c r="E897" s="415"/>
      <c r="F897" s="210"/>
      <c r="G897" s="415"/>
      <c r="H897" s="210"/>
      <c r="I897" s="415"/>
      <c r="J897" s="210"/>
      <c r="K897" s="415"/>
      <c r="L897" s="210"/>
      <c r="M897" s="415"/>
      <c r="N897" s="210"/>
      <c r="O897" s="415"/>
      <c r="P897" s="210"/>
      <c r="Q897" s="439"/>
      <c r="R897" s="439"/>
      <c r="S897" s="415"/>
      <c r="T897" s="210"/>
      <c r="U897" s="415"/>
      <c r="V897" s="210"/>
      <c r="W897" s="8"/>
      <c r="X897" s="8"/>
      <c r="Y897" s="8"/>
      <c r="Z897" s="8"/>
      <c r="AA897" s="8"/>
      <c r="AB897" s="8"/>
      <c r="AC897" s="8"/>
      <c r="AD897" s="8"/>
      <c r="AE897" s="8"/>
      <c r="AF897" s="8"/>
      <c r="AG897" s="8"/>
      <c r="AH897" s="8"/>
      <c r="AI897" s="8"/>
      <c r="AJ897" s="8"/>
      <c r="AK897" s="8"/>
      <c r="AL897" s="8"/>
      <c r="AM897" s="8"/>
      <c r="AN897" s="8"/>
      <c r="AO897" s="8"/>
      <c r="AP897" s="8"/>
      <c r="AQ897" s="8"/>
      <c r="AR897" s="8"/>
      <c r="AS897" s="8"/>
      <c r="AT897" s="8"/>
    </row>
    <row r="898">
      <c r="A898" s="415"/>
      <c r="B898" s="210"/>
      <c r="C898" s="415"/>
      <c r="D898" s="210"/>
      <c r="E898" s="415"/>
      <c r="F898" s="210"/>
      <c r="G898" s="415"/>
      <c r="H898" s="210"/>
      <c r="I898" s="415"/>
      <c r="J898" s="210"/>
      <c r="K898" s="415"/>
      <c r="L898" s="210"/>
      <c r="M898" s="415"/>
      <c r="N898" s="210"/>
      <c r="O898" s="415"/>
      <c r="P898" s="210"/>
      <c r="Q898" s="439"/>
      <c r="R898" s="439"/>
      <c r="S898" s="415"/>
      <c r="T898" s="210"/>
      <c r="U898" s="415"/>
      <c r="V898" s="210"/>
      <c r="W898" s="8"/>
      <c r="X898" s="8"/>
      <c r="Y898" s="8"/>
      <c r="Z898" s="8"/>
      <c r="AA898" s="8"/>
      <c r="AB898" s="8"/>
      <c r="AC898" s="8"/>
      <c r="AD898" s="8"/>
      <c r="AE898" s="8"/>
      <c r="AF898" s="8"/>
      <c r="AG898" s="8"/>
      <c r="AH898" s="8"/>
      <c r="AI898" s="8"/>
      <c r="AJ898" s="8"/>
      <c r="AK898" s="8"/>
      <c r="AL898" s="8"/>
      <c r="AM898" s="8"/>
      <c r="AN898" s="8"/>
      <c r="AO898" s="8"/>
      <c r="AP898" s="8"/>
      <c r="AQ898" s="8"/>
      <c r="AR898" s="8"/>
      <c r="AS898" s="8"/>
      <c r="AT898" s="8"/>
    </row>
    <row r="899">
      <c r="A899" s="415"/>
      <c r="B899" s="210"/>
      <c r="C899" s="415"/>
      <c r="D899" s="210"/>
      <c r="E899" s="415"/>
      <c r="F899" s="210"/>
      <c r="G899" s="415"/>
      <c r="H899" s="210"/>
      <c r="I899" s="415"/>
      <c r="J899" s="210"/>
      <c r="K899" s="415"/>
      <c r="L899" s="210"/>
      <c r="M899" s="415"/>
      <c r="N899" s="210"/>
      <c r="O899" s="415"/>
      <c r="P899" s="210"/>
      <c r="Q899" s="439"/>
      <c r="R899" s="439"/>
      <c r="S899" s="415"/>
      <c r="T899" s="210"/>
      <c r="U899" s="415"/>
      <c r="V899" s="210"/>
      <c r="W899" s="8"/>
      <c r="X899" s="8"/>
      <c r="Y899" s="8"/>
      <c r="Z899" s="8"/>
      <c r="AA899" s="8"/>
      <c r="AB899" s="8"/>
      <c r="AC899" s="8"/>
      <c r="AD899" s="8"/>
      <c r="AE899" s="8"/>
      <c r="AF899" s="8"/>
      <c r="AG899" s="8"/>
      <c r="AH899" s="8"/>
      <c r="AI899" s="8"/>
      <c r="AJ899" s="8"/>
      <c r="AK899" s="8"/>
      <c r="AL899" s="8"/>
      <c r="AM899" s="8"/>
      <c r="AN899" s="8"/>
      <c r="AO899" s="8"/>
      <c r="AP899" s="8"/>
      <c r="AQ899" s="8"/>
      <c r="AR899" s="8"/>
      <c r="AS899" s="8"/>
      <c r="AT899" s="8"/>
    </row>
    <row r="900">
      <c r="A900" s="415"/>
      <c r="B900" s="210"/>
      <c r="C900" s="415"/>
      <c r="D900" s="210"/>
      <c r="E900" s="415"/>
      <c r="F900" s="210"/>
      <c r="G900" s="415"/>
      <c r="H900" s="210"/>
      <c r="I900" s="415"/>
      <c r="J900" s="210"/>
      <c r="K900" s="415"/>
      <c r="L900" s="210"/>
      <c r="M900" s="415"/>
      <c r="N900" s="210"/>
      <c r="O900" s="415"/>
      <c r="P900" s="210"/>
      <c r="Q900" s="439"/>
      <c r="R900" s="439"/>
      <c r="S900" s="415"/>
      <c r="T900" s="210"/>
      <c r="U900" s="415"/>
      <c r="V900" s="210"/>
      <c r="W900" s="8"/>
      <c r="X900" s="8"/>
      <c r="Y900" s="8"/>
      <c r="Z900" s="8"/>
      <c r="AA900" s="8"/>
      <c r="AB900" s="8"/>
      <c r="AC900" s="8"/>
      <c r="AD900" s="8"/>
      <c r="AE900" s="8"/>
      <c r="AF900" s="8"/>
      <c r="AG900" s="8"/>
      <c r="AH900" s="8"/>
      <c r="AI900" s="8"/>
      <c r="AJ900" s="8"/>
      <c r="AK900" s="8"/>
      <c r="AL900" s="8"/>
      <c r="AM900" s="8"/>
      <c r="AN900" s="8"/>
      <c r="AO900" s="8"/>
      <c r="AP900" s="8"/>
      <c r="AQ900" s="8"/>
      <c r="AR900" s="8"/>
      <c r="AS900" s="8"/>
      <c r="AT900" s="8"/>
    </row>
    <row r="901">
      <c r="A901" s="415"/>
      <c r="B901" s="210"/>
      <c r="C901" s="415"/>
      <c r="D901" s="210"/>
      <c r="E901" s="415"/>
      <c r="F901" s="210"/>
      <c r="G901" s="415"/>
      <c r="H901" s="210"/>
      <c r="I901" s="415"/>
      <c r="J901" s="210"/>
      <c r="K901" s="415"/>
      <c r="L901" s="210"/>
      <c r="M901" s="415"/>
      <c r="N901" s="210"/>
      <c r="O901" s="415"/>
      <c r="P901" s="210"/>
      <c r="Q901" s="439"/>
      <c r="R901" s="439"/>
      <c r="S901" s="415"/>
      <c r="T901" s="210"/>
      <c r="U901" s="415"/>
      <c r="V901" s="210"/>
      <c r="W901" s="8"/>
      <c r="X901" s="8"/>
      <c r="Y901" s="8"/>
      <c r="Z901" s="8"/>
      <c r="AA901" s="8"/>
      <c r="AB901" s="8"/>
      <c r="AC901" s="8"/>
      <c r="AD901" s="8"/>
      <c r="AE901" s="8"/>
      <c r="AF901" s="8"/>
      <c r="AG901" s="8"/>
      <c r="AH901" s="8"/>
      <c r="AI901" s="8"/>
      <c r="AJ901" s="8"/>
      <c r="AK901" s="8"/>
      <c r="AL901" s="8"/>
      <c r="AM901" s="8"/>
      <c r="AN901" s="8"/>
      <c r="AO901" s="8"/>
      <c r="AP901" s="8"/>
      <c r="AQ901" s="8"/>
      <c r="AR901" s="8"/>
      <c r="AS901" s="8"/>
      <c r="AT901" s="8"/>
    </row>
    <row r="902">
      <c r="A902" s="415"/>
      <c r="B902" s="210"/>
      <c r="C902" s="415"/>
      <c r="D902" s="210"/>
      <c r="E902" s="415"/>
      <c r="F902" s="210"/>
      <c r="G902" s="415"/>
      <c r="H902" s="210"/>
      <c r="I902" s="415"/>
      <c r="J902" s="210"/>
      <c r="K902" s="415"/>
      <c r="L902" s="210"/>
      <c r="M902" s="415"/>
      <c r="N902" s="210"/>
      <c r="O902" s="415"/>
      <c r="P902" s="210"/>
      <c r="Q902" s="439"/>
      <c r="R902" s="439"/>
      <c r="S902" s="415"/>
      <c r="T902" s="210"/>
      <c r="U902" s="415"/>
      <c r="V902" s="210"/>
      <c r="W902" s="8"/>
      <c r="X902" s="8"/>
      <c r="Y902" s="8"/>
      <c r="Z902" s="8"/>
      <c r="AA902" s="8"/>
      <c r="AB902" s="8"/>
      <c r="AC902" s="8"/>
      <c r="AD902" s="8"/>
      <c r="AE902" s="8"/>
      <c r="AF902" s="8"/>
      <c r="AG902" s="8"/>
      <c r="AH902" s="8"/>
      <c r="AI902" s="8"/>
      <c r="AJ902" s="8"/>
      <c r="AK902" s="8"/>
      <c r="AL902" s="8"/>
      <c r="AM902" s="8"/>
      <c r="AN902" s="8"/>
      <c r="AO902" s="8"/>
      <c r="AP902" s="8"/>
      <c r="AQ902" s="8"/>
      <c r="AR902" s="8"/>
      <c r="AS902" s="8"/>
      <c r="AT902" s="8"/>
    </row>
    <row r="903">
      <c r="A903" s="415"/>
      <c r="B903" s="210"/>
      <c r="C903" s="415"/>
      <c r="D903" s="210"/>
      <c r="E903" s="415"/>
      <c r="F903" s="210"/>
      <c r="G903" s="415"/>
      <c r="H903" s="210"/>
      <c r="I903" s="415"/>
      <c r="J903" s="210"/>
      <c r="K903" s="415"/>
      <c r="L903" s="210"/>
      <c r="M903" s="415"/>
      <c r="N903" s="210"/>
      <c r="O903" s="415"/>
      <c r="P903" s="210"/>
      <c r="Q903" s="439"/>
      <c r="R903" s="439"/>
      <c r="S903" s="415"/>
      <c r="T903" s="210"/>
      <c r="U903" s="415"/>
      <c r="V903" s="210"/>
      <c r="W903" s="8"/>
      <c r="X903" s="8"/>
      <c r="Y903" s="8"/>
      <c r="Z903" s="8"/>
      <c r="AA903" s="8"/>
      <c r="AB903" s="8"/>
      <c r="AC903" s="8"/>
      <c r="AD903" s="8"/>
      <c r="AE903" s="8"/>
      <c r="AF903" s="8"/>
      <c r="AG903" s="8"/>
      <c r="AH903" s="8"/>
      <c r="AI903" s="8"/>
      <c r="AJ903" s="8"/>
      <c r="AK903" s="8"/>
      <c r="AL903" s="8"/>
      <c r="AM903" s="8"/>
      <c r="AN903" s="8"/>
      <c r="AO903" s="8"/>
      <c r="AP903" s="8"/>
      <c r="AQ903" s="8"/>
      <c r="AR903" s="8"/>
      <c r="AS903" s="8"/>
      <c r="AT903" s="8"/>
    </row>
    <row r="904">
      <c r="A904" s="415"/>
      <c r="B904" s="210"/>
      <c r="C904" s="415"/>
      <c r="D904" s="210"/>
      <c r="E904" s="415"/>
      <c r="F904" s="210"/>
      <c r="G904" s="415"/>
      <c r="H904" s="210"/>
      <c r="I904" s="415"/>
      <c r="J904" s="210"/>
      <c r="K904" s="415"/>
      <c r="L904" s="210"/>
      <c r="M904" s="415"/>
      <c r="N904" s="210"/>
      <c r="O904" s="415"/>
      <c r="P904" s="210"/>
      <c r="Q904" s="439"/>
      <c r="R904" s="439"/>
      <c r="S904" s="415"/>
      <c r="T904" s="210"/>
      <c r="U904" s="415"/>
      <c r="V904" s="210"/>
      <c r="W904" s="8"/>
      <c r="X904" s="8"/>
      <c r="Y904" s="8"/>
      <c r="Z904" s="8"/>
      <c r="AA904" s="8"/>
      <c r="AB904" s="8"/>
      <c r="AC904" s="8"/>
      <c r="AD904" s="8"/>
      <c r="AE904" s="8"/>
      <c r="AF904" s="8"/>
      <c r="AG904" s="8"/>
      <c r="AH904" s="8"/>
      <c r="AI904" s="8"/>
      <c r="AJ904" s="8"/>
      <c r="AK904" s="8"/>
      <c r="AL904" s="8"/>
      <c r="AM904" s="8"/>
      <c r="AN904" s="8"/>
      <c r="AO904" s="8"/>
      <c r="AP904" s="8"/>
      <c r="AQ904" s="8"/>
      <c r="AR904" s="8"/>
      <c r="AS904" s="8"/>
      <c r="AT904" s="8"/>
    </row>
    <row r="905">
      <c r="A905" s="415"/>
      <c r="B905" s="210"/>
      <c r="C905" s="415"/>
      <c r="D905" s="210"/>
      <c r="E905" s="415"/>
      <c r="F905" s="210"/>
      <c r="G905" s="415"/>
      <c r="H905" s="210"/>
      <c r="I905" s="415"/>
      <c r="J905" s="210"/>
      <c r="K905" s="415"/>
      <c r="L905" s="210"/>
      <c r="M905" s="415"/>
      <c r="N905" s="210"/>
      <c r="O905" s="415"/>
      <c r="P905" s="210"/>
      <c r="Q905" s="439"/>
      <c r="R905" s="439"/>
      <c r="S905" s="415"/>
      <c r="T905" s="210"/>
      <c r="U905" s="415"/>
      <c r="V905" s="210"/>
      <c r="W905" s="8"/>
      <c r="X905" s="8"/>
      <c r="Y905" s="8"/>
      <c r="Z905" s="8"/>
      <c r="AA905" s="8"/>
      <c r="AB905" s="8"/>
      <c r="AC905" s="8"/>
      <c r="AD905" s="8"/>
      <c r="AE905" s="8"/>
      <c r="AF905" s="8"/>
      <c r="AG905" s="8"/>
      <c r="AH905" s="8"/>
      <c r="AI905" s="8"/>
      <c r="AJ905" s="8"/>
      <c r="AK905" s="8"/>
      <c r="AL905" s="8"/>
      <c r="AM905" s="8"/>
      <c r="AN905" s="8"/>
      <c r="AO905" s="8"/>
      <c r="AP905" s="8"/>
      <c r="AQ905" s="8"/>
      <c r="AR905" s="8"/>
      <c r="AS905" s="8"/>
      <c r="AT905" s="8"/>
    </row>
    <row r="906">
      <c r="A906" s="415"/>
      <c r="B906" s="210"/>
      <c r="C906" s="415"/>
      <c r="D906" s="210"/>
      <c r="E906" s="415"/>
      <c r="F906" s="210"/>
      <c r="G906" s="415"/>
      <c r="H906" s="210"/>
      <c r="I906" s="415"/>
      <c r="J906" s="210"/>
      <c r="K906" s="415"/>
      <c r="L906" s="210"/>
      <c r="M906" s="415"/>
      <c r="N906" s="210"/>
      <c r="O906" s="415"/>
      <c r="P906" s="210"/>
      <c r="Q906" s="439"/>
      <c r="R906" s="439"/>
      <c r="S906" s="415"/>
      <c r="T906" s="210"/>
      <c r="U906" s="415"/>
      <c r="V906" s="210"/>
      <c r="W906" s="8"/>
      <c r="X906" s="8"/>
      <c r="Y906" s="8"/>
      <c r="Z906" s="8"/>
      <c r="AA906" s="8"/>
      <c r="AB906" s="8"/>
      <c r="AC906" s="8"/>
      <c r="AD906" s="8"/>
      <c r="AE906" s="8"/>
      <c r="AF906" s="8"/>
      <c r="AG906" s="8"/>
      <c r="AH906" s="8"/>
      <c r="AI906" s="8"/>
      <c r="AJ906" s="8"/>
      <c r="AK906" s="8"/>
      <c r="AL906" s="8"/>
      <c r="AM906" s="8"/>
      <c r="AN906" s="8"/>
      <c r="AO906" s="8"/>
      <c r="AP906" s="8"/>
      <c r="AQ906" s="8"/>
      <c r="AR906" s="8"/>
      <c r="AS906" s="8"/>
      <c r="AT906" s="8"/>
    </row>
    <row r="907">
      <c r="A907" s="415"/>
      <c r="B907" s="210"/>
      <c r="C907" s="415"/>
      <c r="D907" s="210"/>
      <c r="E907" s="415"/>
      <c r="F907" s="210"/>
      <c r="G907" s="415"/>
      <c r="H907" s="210"/>
      <c r="I907" s="415"/>
      <c r="J907" s="210"/>
      <c r="K907" s="415"/>
      <c r="L907" s="210"/>
      <c r="M907" s="415"/>
      <c r="N907" s="210"/>
      <c r="O907" s="415"/>
      <c r="P907" s="210"/>
      <c r="Q907" s="439"/>
      <c r="R907" s="439"/>
      <c r="S907" s="415"/>
      <c r="T907" s="210"/>
      <c r="U907" s="415"/>
      <c r="V907" s="210"/>
      <c r="W907" s="8"/>
      <c r="X907" s="8"/>
      <c r="Y907" s="8"/>
      <c r="Z907" s="8"/>
      <c r="AA907" s="8"/>
      <c r="AB907" s="8"/>
      <c r="AC907" s="8"/>
      <c r="AD907" s="8"/>
      <c r="AE907" s="8"/>
      <c r="AF907" s="8"/>
      <c r="AG907" s="8"/>
      <c r="AH907" s="8"/>
      <c r="AI907" s="8"/>
      <c r="AJ907" s="8"/>
      <c r="AK907" s="8"/>
      <c r="AL907" s="8"/>
      <c r="AM907" s="8"/>
      <c r="AN907" s="8"/>
      <c r="AO907" s="8"/>
      <c r="AP907" s="8"/>
      <c r="AQ907" s="8"/>
      <c r="AR907" s="8"/>
      <c r="AS907" s="8"/>
      <c r="AT907" s="8"/>
    </row>
    <row r="908">
      <c r="A908" s="415"/>
      <c r="B908" s="210"/>
      <c r="C908" s="415"/>
      <c r="D908" s="210"/>
      <c r="E908" s="415"/>
      <c r="F908" s="210"/>
      <c r="G908" s="415"/>
      <c r="H908" s="210"/>
      <c r="I908" s="415"/>
      <c r="J908" s="210"/>
      <c r="K908" s="415"/>
      <c r="L908" s="210"/>
      <c r="M908" s="415"/>
      <c r="N908" s="210"/>
      <c r="O908" s="415"/>
      <c r="P908" s="210"/>
      <c r="Q908" s="439"/>
      <c r="R908" s="439"/>
      <c r="S908" s="415"/>
      <c r="T908" s="210"/>
      <c r="U908" s="415"/>
      <c r="V908" s="210"/>
      <c r="W908" s="8"/>
      <c r="X908" s="8"/>
      <c r="Y908" s="8"/>
      <c r="Z908" s="8"/>
      <c r="AA908" s="8"/>
      <c r="AB908" s="8"/>
      <c r="AC908" s="8"/>
      <c r="AD908" s="8"/>
      <c r="AE908" s="8"/>
      <c r="AF908" s="8"/>
      <c r="AG908" s="8"/>
      <c r="AH908" s="8"/>
      <c r="AI908" s="8"/>
      <c r="AJ908" s="8"/>
      <c r="AK908" s="8"/>
      <c r="AL908" s="8"/>
      <c r="AM908" s="8"/>
      <c r="AN908" s="8"/>
      <c r="AO908" s="8"/>
      <c r="AP908" s="8"/>
      <c r="AQ908" s="8"/>
      <c r="AR908" s="8"/>
      <c r="AS908" s="8"/>
      <c r="AT908" s="8"/>
    </row>
    <row r="909">
      <c r="A909" s="415"/>
      <c r="B909" s="210"/>
      <c r="C909" s="415"/>
      <c r="D909" s="210"/>
      <c r="E909" s="415"/>
      <c r="F909" s="210"/>
      <c r="G909" s="415"/>
      <c r="H909" s="210"/>
      <c r="I909" s="415"/>
      <c r="J909" s="210"/>
      <c r="K909" s="415"/>
      <c r="L909" s="210"/>
      <c r="M909" s="415"/>
      <c r="N909" s="210"/>
      <c r="O909" s="415"/>
      <c r="P909" s="210"/>
      <c r="Q909" s="439"/>
      <c r="R909" s="439"/>
      <c r="S909" s="415"/>
      <c r="T909" s="210"/>
      <c r="U909" s="415"/>
      <c r="V909" s="210"/>
      <c r="W909" s="8"/>
      <c r="X909" s="8"/>
      <c r="Y909" s="8"/>
      <c r="Z909" s="8"/>
      <c r="AA909" s="8"/>
      <c r="AB909" s="8"/>
      <c r="AC909" s="8"/>
      <c r="AD909" s="8"/>
      <c r="AE909" s="8"/>
      <c r="AF909" s="8"/>
      <c r="AG909" s="8"/>
      <c r="AH909" s="8"/>
      <c r="AI909" s="8"/>
      <c r="AJ909" s="8"/>
      <c r="AK909" s="8"/>
      <c r="AL909" s="8"/>
      <c r="AM909" s="8"/>
      <c r="AN909" s="8"/>
      <c r="AO909" s="8"/>
      <c r="AP909" s="8"/>
      <c r="AQ909" s="8"/>
      <c r="AR909" s="8"/>
      <c r="AS909" s="8"/>
      <c r="AT909" s="8"/>
    </row>
    <row r="910">
      <c r="A910" s="415"/>
      <c r="B910" s="210"/>
      <c r="C910" s="415"/>
      <c r="D910" s="210"/>
      <c r="E910" s="415"/>
      <c r="F910" s="210"/>
      <c r="G910" s="415"/>
      <c r="H910" s="210"/>
      <c r="I910" s="415"/>
      <c r="J910" s="210"/>
      <c r="K910" s="415"/>
      <c r="L910" s="210"/>
      <c r="M910" s="415"/>
      <c r="N910" s="210"/>
      <c r="O910" s="415"/>
      <c r="P910" s="210"/>
      <c r="Q910" s="439"/>
      <c r="R910" s="439"/>
      <c r="S910" s="415"/>
      <c r="T910" s="210"/>
      <c r="U910" s="415"/>
      <c r="V910" s="210"/>
      <c r="W910" s="8"/>
      <c r="X910" s="8"/>
      <c r="Y910" s="8"/>
      <c r="Z910" s="8"/>
      <c r="AA910" s="8"/>
      <c r="AB910" s="8"/>
      <c r="AC910" s="8"/>
      <c r="AD910" s="8"/>
      <c r="AE910" s="8"/>
      <c r="AF910" s="8"/>
      <c r="AG910" s="8"/>
      <c r="AH910" s="8"/>
      <c r="AI910" s="8"/>
      <c r="AJ910" s="8"/>
      <c r="AK910" s="8"/>
      <c r="AL910" s="8"/>
      <c r="AM910" s="8"/>
      <c r="AN910" s="8"/>
      <c r="AO910" s="8"/>
      <c r="AP910" s="8"/>
      <c r="AQ910" s="8"/>
      <c r="AR910" s="8"/>
      <c r="AS910" s="8"/>
      <c r="AT910" s="8"/>
    </row>
    <row r="911">
      <c r="A911" s="415"/>
      <c r="B911" s="210"/>
      <c r="C911" s="415"/>
      <c r="D911" s="210"/>
      <c r="E911" s="415"/>
      <c r="F911" s="210"/>
      <c r="G911" s="415"/>
      <c r="H911" s="210"/>
      <c r="I911" s="415"/>
      <c r="J911" s="210"/>
      <c r="K911" s="415"/>
      <c r="L911" s="210"/>
      <c r="M911" s="415"/>
      <c r="N911" s="210"/>
      <c r="O911" s="415"/>
      <c r="P911" s="210"/>
      <c r="Q911" s="439"/>
      <c r="R911" s="439"/>
      <c r="S911" s="415"/>
      <c r="T911" s="210"/>
      <c r="U911" s="415"/>
      <c r="V911" s="210"/>
      <c r="W911" s="8"/>
      <c r="X911" s="8"/>
      <c r="Y911" s="8"/>
      <c r="Z911" s="8"/>
      <c r="AA911" s="8"/>
      <c r="AB911" s="8"/>
      <c r="AC911" s="8"/>
      <c r="AD911" s="8"/>
      <c r="AE911" s="8"/>
      <c r="AF911" s="8"/>
      <c r="AG911" s="8"/>
      <c r="AH911" s="8"/>
      <c r="AI911" s="8"/>
      <c r="AJ911" s="8"/>
      <c r="AK911" s="8"/>
      <c r="AL911" s="8"/>
      <c r="AM911" s="8"/>
      <c r="AN911" s="8"/>
      <c r="AO911" s="8"/>
      <c r="AP911" s="8"/>
      <c r="AQ911" s="8"/>
      <c r="AR911" s="8"/>
      <c r="AS911" s="8"/>
      <c r="AT911" s="8"/>
    </row>
    <row r="912">
      <c r="A912" s="415"/>
      <c r="B912" s="210"/>
      <c r="C912" s="415"/>
      <c r="D912" s="210"/>
      <c r="E912" s="415"/>
      <c r="F912" s="210"/>
      <c r="G912" s="415"/>
      <c r="H912" s="210"/>
      <c r="I912" s="415"/>
      <c r="J912" s="210"/>
      <c r="K912" s="415"/>
      <c r="L912" s="210"/>
      <c r="M912" s="415"/>
      <c r="N912" s="210"/>
      <c r="O912" s="415"/>
      <c r="P912" s="210"/>
      <c r="Q912" s="439"/>
      <c r="R912" s="439"/>
      <c r="S912" s="415"/>
      <c r="T912" s="210"/>
      <c r="U912" s="415"/>
      <c r="V912" s="210"/>
      <c r="W912" s="8"/>
      <c r="X912" s="8"/>
      <c r="Y912" s="8"/>
      <c r="Z912" s="8"/>
      <c r="AA912" s="8"/>
      <c r="AB912" s="8"/>
      <c r="AC912" s="8"/>
      <c r="AD912" s="8"/>
      <c r="AE912" s="8"/>
      <c r="AF912" s="8"/>
      <c r="AG912" s="8"/>
      <c r="AH912" s="8"/>
      <c r="AI912" s="8"/>
      <c r="AJ912" s="8"/>
      <c r="AK912" s="8"/>
      <c r="AL912" s="8"/>
      <c r="AM912" s="8"/>
      <c r="AN912" s="8"/>
      <c r="AO912" s="8"/>
      <c r="AP912" s="8"/>
      <c r="AQ912" s="8"/>
      <c r="AR912" s="8"/>
      <c r="AS912" s="8"/>
      <c r="AT912" s="8"/>
    </row>
    <row r="913">
      <c r="A913" s="415"/>
      <c r="B913" s="210"/>
      <c r="C913" s="415"/>
      <c r="D913" s="210"/>
      <c r="E913" s="415"/>
      <c r="F913" s="210"/>
      <c r="G913" s="415"/>
      <c r="H913" s="210"/>
      <c r="I913" s="415"/>
      <c r="J913" s="210"/>
      <c r="K913" s="415"/>
      <c r="L913" s="210"/>
      <c r="M913" s="415"/>
      <c r="N913" s="210"/>
      <c r="O913" s="415"/>
      <c r="P913" s="210"/>
      <c r="Q913" s="439"/>
      <c r="R913" s="439"/>
      <c r="S913" s="415"/>
      <c r="T913" s="210"/>
      <c r="U913" s="415"/>
      <c r="V913" s="210"/>
      <c r="W913" s="8"/>
      <c r="X913" s="8"/>
      <c r="Y913" s="8"/>
      <c r="Z913" s="8"/>
      <c r="AA913" s="8"/>
      <c r="AB913" s="8"/>
      <c r="AC913" s="8"/>
      <c r="AD913" s="8"/>
      <c r="AE913" s="8"/>
      <c r="AF913" s="8"/>
      <c r="AG913" s="8"/>
      <c r="AH913" s="8"/>
      <c r="AI913" s="8"/>
      <c r="AJ913" s="8"/>
      <c r="AK913" s="8"/>
      <c r="AL913" s="8"/>
      <c r="AM913" s="8"/>
      <c r="AN913" s="8"/>
      <c r="AO913" s="8"/>
      <c r="AP913" s="8"/>
      <c r="AQ913" s="8"/>
      <c r="AR913" s="8"/>
      <c r="AS913" s="8"/>
      <c r="AT913" s="8"/>
    </row>
    <row r="914">
      <c r="A914" s="415"/>
      <c r="B914" s="210"/>
      <c r="C914" s="415"/>
      <c r="D914" s="210"/>
      <c r="E914" s="415"/>
      <c r="F914" s="210"/>
      <c r="G914" s="415"/>
      <c r="H914" s="210"/>
      <c r="I914" s="415"/>
      <c r="J914" s="210"/>
      <c r="K914" s="415"/>
      <c r="L914" s="210"/>
      <c r="M914" s="415"/>
      <c r="N914" s="210"/>
      <c r="O914" s="415"/>
      <c r="P914" s="210"/>
      <c r="Q914" s="439"/>
      <c r="R914" s="439"/>
      <c r="S914" s="415"/>
      <c r="T914" s="210"/>
      <c r="U914" s="415"/>
      <c r="V914" s="210"/>
      <c r="W914" s="8"/>
      <c r="X914" s="8"/>
      <c r="Y914" s="8"/>
      <c r="Z914" s="8"/>
      <c r="AA914" s="8"/>
      <c r="AB914" s="8"/>
      <c r="AC914" s="8"/>
      <c r="AD914" s="8"/>
      <c r="AE914" s="8"/>
      <c r="AF914" s="8"/>
      <c r="AG914" s="8"/>
      <c r="AH914" s="8"/>
      <c r="AI914" s="8"/>
      <c r="AJ914" s="8"/>
      <c r="AK914" s="8"/>
      <c r="AL914" s="8"/>
      <c r="AM914" s="8"/>
      <c r="AN914" s="8"/>
      <c r="AO914" s="8"/>
      <c r="AP914" s="8"/>
      <c r="AQ914" s="8"/>
      <c r="AR914" s="8"/>
      <c r="AS914" s="8"/>
      <c r="AT914" s="8"/>
    </row>
    <row r="915">
      <c r="A915" s="415"/>
      <c r="B915" s="210"/>
      <c r="C915" s="415"/>
      <c r="D915" s="210"/>
      <c r="E915" s="415"/>
      <c r="F915" s="210"/>
      <c r="G915" s="415"/>
      <c r="H915" s="210"/>
      <c r="I915" s="415"/>
      <c r="J915" s="210"/>
      <c r="K915" s="415"/>
      <c r="L915" s="210"/>
      <c r="M915" s="415"/>
      <c r="N915" s="210"/>
      <c r="O915" s="415"/>
      <c r="P915" s="210"/>
      <c r="Q915" s="439"/>
      <c r="R915" s="439"/>
      <c r="S915" s="415"/>
      <c r="T915" s="210"/>
      <c r="U915" s="415"/>
      <c r="V915" s="210"/>
      <c r="W915" s="8"/>
      <c r="X915" s="8"/>
      <c r="Y915" s="8"/>
      <c r="Z915" s="8"/>
      <c r="AA915" s="8"/>
      <c r="AB915" s="8"/>
      <c r="AC915" s="8"/>
      <c r="AD915" s="8"/>
      <c r="AE915" s="8"/>
      <c r="AF915" s="8"/>
      <c r="AG915" s="8"/>
      <c r="AH915" s="8"/>
      <c r="AI915" s="8"/>
      <c r="AJ915" s="8"/>
      <c r="AK915" s="8"/>
      <c r="AL915" s="8"/>
      <c r="AM915" s="8"/>
      <c r="AN915" s="8"/>
      <c r="AO915" s="8"/>
      <c r="AP915" s="8"/>
      <c r="AQ915" s="8"/>
      <c r="AR915" s="8"/>
      <c r="AS915" s="8"/>
      <c r="AT915" s="8"/>
    </row>
    <row r="916">
      <c r="A916" s="415"/>
      <c r="B916" s="210"/>
      <c r="C916" s="415"/>
      <c r="D916" s="210"/>
      <c r="E916" s="415"/>
      <c r="F916" s="210"/>
      <c r="G916" s="415"/>
      <c r="H916" s="210"/>
      <c r="I916" s="415"/>
      <c r="J916" s="210"/>
      <c r="K916" s="415"/>
      <c r="L916" s="210"/>
      <c r="M916" s="415"/>
      <c r="N916" s="210"/>
      <c r="O916" s="415"/>
      <c r="P916" s="210"/>
      <c r="Q916" s="439"/>
      <c r="R916" s="439"/>
      <c r="S916" s="415"/>
      <c r="T916" s="210"/>
      <c r="U916" s="415"/>
      <c r="V916" s="210"/>
      <c r="W916" s="8"/>
      <c r="X916" s="8"/>
      <c r="Y916" s="8"/>
      <c r="Z916" s="8"/>
      <c r="AA916" s="8"/>
      <c r="AB916" s="8"/>
      <c r="AC916" s="8"/>
      <c r="AD916" s="8"/>
      <c r="AE916" s="8"/>
      <c r="AF916" s="8"/>
      <c r="AG916" s="8"/>
      <c r="AH916" s="8"/>
      <c r="AI916" s="8"/>
      <c r="AJ916" s="8"/>
      <c r="AK916" s="8"/>
      <c r="AL916" s="8"/>
      <c r="AM916" s="8"/>
      <c r="AN916" s="8"/>
      <c r="AO916" s="8"/>
      <c r="AP916" s="8"/>
      <c r="AQ916" s="8"/>
      <c r="AR916" s="8"/>
      <c r="AS916" s="8"/>
      <c r="AT916" s="8"/>
    </row>
    <row r="917">
      <c r="A917" s="415"/>
      <c r="B917" s="210"/>
      <c r="C917" s="415"/>
      <c r="D917" s="210"/>
      <c r="E917" s="415"/>
      <c r="F917" s="210"/>
      <c r="G917" s="415"/>
      <c r="H917" s="210"/>
      <c r="I917" s="415"/>
      <c r="J917" s="210"/>
      <c r="K917" s="415"/>
      <c r="L917" s="210"/>
      <c r="M917" s="415"/>
      <c r="N917" s="210"/>
      <c r="O917" s="415"/>
      <c r="P917" s="210"/>
      <c r="Q917" s="439"/>
      <c r="R917" s="439"/>
      <c r="S917" s="415"/>
      <c r="T917" s="210"/>
      <c r="U917" s="415"/>
      <c r="V917" s="210"/>
      <c r="W917" s="8"/>
      <c r="X917" s="8"/>
      <c r="Y917" s="8"/>
      <c r="Z917" s="8"/>
      <c r="AA917" s="8"/>
      <c r="AB917" s="8"/>
      <c r="AC917" s="8"/>
      <c r="AD917" s="8"/>
      <c r="AE917" s="8"/>
      <c r="AF917" s="8"/>
      <c r="AG917" s="8"/>
      <c r="AH917" s="8"/>
      <c r="AI917" s="8"/>
      <c r="AJ917" s="8"/>
      <c r="AK917" s="8"/>
      <c r="AL917" s="8"/>
      <c r="AM917" s="8"/>
      <c r="AN917" s="8"/>
      <c r="AO917" s="8"/>
      <c r="AP917" s="8"/>
      <c r="AQ917" s="8"/>
      <c r="AR917" s="8"/>
      <c r="AS917" s="8"/>
      <c r="AT917" s="8"/>
    </row>
    <row r="918">
      <c r="A918" s="415"/>
      <c r="B918" s="210"/>
      <c r="C918" s="415"/>
      <c r="D918" s="210"/>
      <c r="E918" s="415"/>
      <c r="F918" s="210"/>
      <c r="G918" s="415"/>
      <c r="H918" s="210"/>
      <c r="I918" s="415"/>
      <c r="J918" s="210"/>
      <c r="K918" s="415"/>
      <c r="L918" s="210"/>
      <c r="M918" s="415"/>
      <c r="N918" s="210"/>
      <c r="O918" s="415"/>
      <c r="P918" s="210"/>
      <c r="Q918" s="439"/>
      <c r="R918" s="439"/>
      <c r="S918" s="415"/>
      <c r="T918" s="210"/>
      <c r="U918" s="415"/>
      <c r="V918" s="210"/>
      <c r="W918" s="8"/>
      <c r="X918" s="8"/>
      <c r="Y918" s="8"/>
      <c r="Z918" s="8"/>
      <c r="AA918" s="8"/>
      <c r="AB918" s="8"/>
      <c r="AC918" s="8"/>
      <c r="AD918" s="8"/>
      <c r="AE918" s="8"/>
      <c r="AF918" s="8"/>
      <c r="AG918" s="8"/>
      <c r="AH918" s="8"/>
      <c r="AI918" s="8"/>
      <c r="AJ918" s="8"/>
      <c r="AK918" s="8"/>
      <c r="AL918" s="8"/>
      <c r="AM918" s="8"/>
      <c r="AN918" s="8"/>
      <c r="AO918" s="8"/>
      <c r="AP918" s="8"/>
      <c r="AQ918" s="8"/>
      <c r="AR918" s="8"/>
      <c r="AS918" s="8"/>
      <c r="AT918" s="8"/>
    </row>
    <row r="919">
      <c r="A919" s="415"/>
      <c r="B919" s="210"/>
      <c r="C919" s="415"/>
      <c r="D919" s="210"/>
      <c r="E919" s="415"/>
      <c r="F919" s="210"/>
      <c r="G919" s="415"/>
      <c r="H919" s="210"/>
      <c r="I919" s="415"/>
      <c r="J919" s="210"/>
      <c r="K919" s="415"/>
      <c r="L919" s="210"/>
      <c r="M919" s="415"/>
      <c r="N919" s="210"/>
      <c r="O919" s="415"/>
      <c r="P919" s="210"/>
      <c r="Q919" s="439"/>
      <c r="R919" s="439"/>
      <c r="S919" s="415"/>
      <c r="T919" s="210"/>
      <c r="U919" s="415"/>
      <c r="V919" s="210"/>
      <c r="W919" s="8"/>
      <c r="X919" s="8"/>
      <c r="Y919" s="8"/>
      <c r="Z919" s="8"/>
      <c r="AA919" s="8"/>
      <c r="AB919" s="8"/>
      <c r="AC919" s="8"/>
      <c r="AD919" s="8"/>
      <c r="AE919" s="8"/>
      <c r="AF919" s="8"/>
      <c r="AG919" s="8"/>
      <c r="AH919" s="8"/>
      <c r="AI919" s="8"/>
      <c r="AJ919" s="8"/>
      <c r="AK919" s="8"/>
      <c r="AL919" s="8"/>
      <c r="AM919" s="8"/>
      <c r="AN919" s="8"/>
      <c r="AO919" s="8"/>
      <c r="AP919" s="8"/>
      <c r="AQ919" s="8"/>
      <c r="AR919" s="8"/>
      <c r="AS919" s="8"/>
      <c r="AT919" s="8"/>
    </row>
    <row r="920">
      <c r="A920" s="415"/>
      <c r="B920" s="210"/>
      <c r="C920" s="415"/>
      <c r="D920" s="210"/>
      <c r="E920" s="415"/>
      <c r="F920" s="210"/>
      <c r="G920" s="415"/>
      <c r="H920" s="210"/>
      <c r="I920" s="415"/>
      <c r="J920" s="210"/>
      <c r="K920" s="415"/>
      <c r="L920" s="210"/>
      <c r="M920" s="415"/>
      <c r="N920" s="210"/>
      <c r="O920" s="415"/>
      <c r="P920" s="210"/>
      <c r="Q920" s="439"/>
      <c r="R920" s="439"/>
      <c r="S920" s="415"/>
      <c r="T920" s="210"/>
      <c r="U920" s="415"/>
      <c r="V920" s="210"/>
      <c r="W920" s="8"/>
      <c r="X920" s="8"/>
      <c r="Y920" s="8"/>
      <c r="Z920" s="8"/>
      <c r="AA920" s="8"/>
      <c r="AB920" s="8"/>
      <c r="AC920" s="8"/>
      <c r="AD920" s="8"/>
      <c r="AE920" s="8"/>
      <c r="AF920" s="8"/>
      <c r="AG920" s="8"/>
      <c r="AH920" s="8"/>
      <c r="AI920" s="8"/>
      <c r="AJ920" s="8"/>
      <c r="AK920" s="8"/>
      <c r="AL920" s="8"/>
      <c r="AM920" s="8"/>
      <c r="AN920" s="8"/>
      <c r="AO920" s="8"/>
      <c r="AP920" s="8"/>
      <c r="AQ920" s="8"/>
      <c r="AR920" s="8"/>
      <c r="AS920" s="8"/>
      <c r="AT920" s="8"/>
    </row>
    <row r="921">
      <c r="A921" s="415"/>
      <c r="B921" s="210"/>
      <c r="C921" s="415"/>
      <c r="D921" s="210"/>
      <c r="E921" s="415"/>
      <c r="F921" s="210"/>
      <c r="G921" s="415"/>
      <c r="H921" s="210"/>
      <c r="I921" s="415"/>
      <c r="J921" s="210"/>
      <c r="K921" s="415"/>
      <c r="L921" s="210"/>
      <c r="M921" s="415"/>
      <c r="N921" s="210"/>
      <c r="O921" s="415"/>
      <c r="P921" s="210"/>
      <c r="Q921" s="439"/>
      <c r="R921" s="439"/>
      <c r="S921" s="415"/>
      <c r="T921" s="210"/>
      <c r="U921" s="415"/>
      <c r="V921" s="210"/>
      <c r="W921" s="8"/>
      <c r="X921" s="8"/>
      <c r="Y921" s="8"/>
      <c r="Z921" s="8"/>
      <c r="AA921" s="8"/>
      <c r="AB921" s="8"/>
      <c r="AC921" s="8"/>
      <c r="AD921" s="8"/>
      <c r="AE921" s="8"/>
      <c r="AF921" s="8"/>
      <c r="AG921" s="8"/>
      <c r="AH921" s="8"/>
      <c r="AI921" s="8"/>
      <c r="AJ921" s="8"/>
      <c r="AK921" s="8"/>
      <c r="AL921" s="8"/>
      <c r="AM921" s="8"/>
      <c r="AN921" s="8"/>
      <c r="AO921" s="8"/>
      <c r="AP921" s="8"/>
      <c r="AQ921" s="8"/>
      <c r="AR921" s="8"/>
      <c r="AS921" s="8"/>
      <c r="AT921" s="8"/>
    </row>
    <row r="922">
      <c r="A922" s="415"/>
      <c r="B922" s="210"/>
      <c r="C922" s="415"/>
      <c r="D922" s="210"/>
      <c r="E922" s="415"/>
      <c r="F922" s="210"/>
      <c r="G922" s="415"/>
      <c r="H922" s="210"/>
      <c r="I922" s="415"/>
      <c r="J922" s="210"/>
      <c r="K922" s="415"/>
      <c r="L922" s="210"/>
      <c r="M922" s="415"/>
      <c r="N922" s="210"/>
      <c r="O922" s="415"/>
      <c r="P922" s="210"/>
      <c r="Q922" s="439"/>
      <c r="R922" s="439"/>
      <c r="S922" s="415"/>
      <c r="T922" s="210"/>
      <c r="U922" s="415"/>
      <c r="V922" s="210"/>
      <c r="W922" s="8"/>
      <c r="X922" s="8"/>
      <c r="Y922" s="8"/>
      <c r="Z922" s="8"/>
      <c r="AA922" s="8"/>
      <c r="AB922" s="8"/>
      <c r="AC922" s="8"/>
      <c r="AD922" s="8"/>
      <c r="AE922" s="8"/>
      <c r="AF922" s="8"/>
      <c r="AG922" s="8"/>
      <c r="AH922" s="8"/>
      <c r="AI922" s="8"/>
      <c r="AJ922" s="8"/>
      <c r="AK922" s="8"/>
      <c r="AL922" s="8"/>
      <c r="AM922" s="8"/>
      <c r="AN922" s="8"/>
      <c r="AO922" s="8"/>
      <c r="AP922" s="8"/>
      <c r="AQ922" s="8"/>
      <c r="AR922" s="8"/>
      <c r="AS922" s="8"/>
      <c r="AT922" s="8"/>
    </row>
    <row r="923">
      <c r="A923" s="415"/>
      <c r="B923" s="210"/>
      <c r="C923" s="415"/>
      <c r="D923" s="210"/>
      <c r="E923" s="415"/>
      <c r="F923" s="210"/>
      <c r="G923" s="415"/>
      <c r="H923" s="210"/>
      <c r="I923" s="415"/>
      <c r="J923" s="210"/>
      <c r="K923" s="415"/>
      <c r="L923" s="210"/>
      <c r="M923" s="415"/>
      <c r="N923" s="210"/>
      <c r="O923" s="415"/>
      <c r="P923" s="210"/>
      <c r="Q923" s="439"/>
      <c r="R923" s="439"/>
      <c r="S923" s="415"/>
      <c r="T923" s="210"/>
      <c r="U923" s="415"/>
      <c r="V923" s="210"/>
      <c r="W923" s="8"/>
      <c r="X923" s="8"/>
      <c r="Y923" s="8"/>
      <c r="Z923" s="8"/>
      <c r="AA923" s="8"/>
      <c r="AB923" s="8"/>
      <c r="AC923" s="8"/>
      <c r="AD923" s="8"/>
      <c r="AE923" s="8"/>
      <c r="AF923" s="8"/>
      <c r="AG923" s="8"/>
      <c r="AH923" s="8"/>
      <c r="AI923" s="8"/>
      <c r="AJ923" s="8"/>
      <c r="AK923" s="8"/>
      <c r="AL923" s="8"/>
      <c r="AM923" s="8"/>
      <c r="AN923" s="8"/>
      <c r="AO923" s="8"/>
      <c r="AP923" s="8"/>
      <c r="AQ923" s="8"/>
      <c r="AR923" s="8"/>
      <c r="AS923" s="8"/>
      <c r="AT923" s="8"/>
    </row>
    <row r="924">
      <c r="A924" s="415"/>
      <c r="B924" s="210"/>
      <c r="C924" s="415"/>
      <c r="D924" s="210"/>
      <c r="E924" s="415"/>
      <c r="F924" s="210"/>
      <c r="G924" s="415"/>
      <c r="H924" s="210"/>
      <c r="I924" s="415"/>
      <c r="J924" s="210"/>
      <c r="K924" s="415"/>
      <c r="L924" s="210"/>
      <c r="M924" s="415"/>
      <c r="N924" s="210"/>
      <c r="O924" s="415"/>
      <c r="P924" s="210"/>
      <c r="Q924" s="439"/>
      <c r="R924" s="439"/>
      <c r="S924" s="415"/>
      <c r="T924" s="210"/>
      <c r="U924" s="415"/>
      <c r="V924" s="210"/>
      <c r="W924" s="8"/>
      <c r="X924" s="8"/>
      <c r="Y924" s="8"/>
      <c r="Z924" s="8"/>
      <c r="AA924" s="8"/>
      <c r="AB924" s="8"/>
      <c r="AC924" s="8"/>
      <c r="AD924" s="8"/>
      <c r="AE924" s="8"/>
      <c r="AF924" s="8"/>
      <c r="AG924" s="8"/>
      <c r="AH924" s="8"/>
      <c r="AI924" s="8"/>
      <c r="AJ924" s="8"/>
      <c r="AK924" s="8"/>
      <c r="AL924" s="8"/>
      <c r="AM924" s="8"/>
      <c r="AN924" s="8"/>
      <c r="AO924" s="8"/>
      <c r="AP924" s="8"/>
      <c r="AQ924" s="8"/>
      <c r="AR924" s="8"/>
      <c r="AS924" s="8"/>
      <c r="AT924" s="8"/>
    </row>
    <row r="925">
      <c r="A925" s="415"/>
      <c r="B925" s="210"/>
      <c r="C925" s="415"/>
      <c r="D925" s="210"/>
      <c r="E925" s="415"/>
      <c r="F925" s="210"/>
      <c r="G925" s="415"/>
      <c r="H925" s="210"/>
      <c r="I925" s="415"/>
      <c r="J925" s="210"/>
      <c r="K925" s="415"/>
      <c r="L925" s="210"/>
      <c r="M925" s="415"/>
      <c r="N925" s="210"/>
      <c r="O925" s="415"/>
      <c r="P925" s="210"/>
      <c r="Q925" s="439"/>
      <c r="R925" s="439"/>
      <c r="S925" s="415"/>
      <c r="T925" s="210"/>
      <c r="U925" s="415"/>
      <c r="V925" s="210"/>
      <c r="W925" s="8"/>
      <c r="X925" s="8"/>
      <c r="Y925" s="8"/>
      <c r="Z925" s="8"/>
      <c r="AA925" s="8"/>
      <c r="AB925" s="8"/>
      <c r="AC925" s="8"/>
      <c r="AD925" s="8"/>
      <c r="AE925" s="8"/>
      <c r="AF925" s="8"/>
      <c r="AG925" s="8"/>
      <c r="AH925" s="8"/>
      <c r="AI925" s="8"/>
      <c r="AJ925" s="8"/>
      <c r="AK925" s="8"/>
      <c r="AL925" s="8"/>
      <c r="AM925" s="8"/>
      <c r="AN925" s="8"/>
      <c r="AO925" s="8"/>
      <c r="AP925" s="8"/>
      <c r="AQ925" s="8"/>
      <c r="AR925" s="8"/>
      <c r="AS925" s="8"/>
      <c r="AT925" s="8"/>
    </row>
    <row r="926">
      <c r="A926" s="415"/>
      <c r="B926" s="210"/>
      <c r="C926" s="415"/>
      <c r="D926" s="210"/>
      <c r="E926" s="415"/>
      <c r="F926" s="210"/>
      <c r="G926" s="415"/>
      <c r="H926" s="210"/>
      <c r="I926" s="415"/>
      <c r="J926" s="210"/>
      <c r="K926" s="415"/>
      <c r="L926" s="210"/>
      <c r="M926" s="415"/>
      <c r="N926" s="210"/>
      <c r="O926" s="415"/>
      <c r="P926" s="210"/>
      <c r="Q926" s="439"/>
      <c r="R926" s="439"/>
      <c r="S926" s="415"/>
      <c r="T926" s="210"/>
      <c r="U926" s="415"/>
      <c r="V926" s="210"/>
      <c r="W926" s="8"/>
      <c r="X926" s="8"/>
      <c r="Y926" s="8"/>
      <c r="Z926" s="8"/>
      <c r="AA926" s="8"/>
      <c r="AB926" s="8"/>
      <c r="AC926" s="8"/>
      <c r="AD926" s="8"/>
      <c r="AE926" s="8"/>
      <c r="AF926" s="8"/>
      <c r="AG926" s="8"/>
      <c r="AH926" s="8"/>
      <c r="AI926" s="8"/>
      <c r="AJ926" s="8"/>
      <c r="AK926" s="8"/>
      <c r="AL926" s="8"/>
      <c r="AM926" s="8"/>
      <c r="AN926" s="8"/>
      <c r="AO926" s="8"/>
      <c r="AP926" s="8"/>
      <c r="AQ926" s="8"/>
      <c r="AR926" s="8"/>
      <c r="AS926" s="8"/>
      <c r="AT926" s="8"/>
    </row>
    <row r="927">
      <c r="A927" s="415"/>
      <c r="B927" s="210"/>
      <c r="C927" s="415"/>
      <c r="D927" s="210"/>
      <c r="E927" s="415"/>
      <c r="F927" s="210"/>
      <c r="G927" s="415"/>
      <c r="H927" s="210"/>
      <c r="I927" s="415"/>
      <c r="J927" s="210"/>
      <c r="K927" s="415"/>
      <c r="L927" s="210"/>
      <c r="M927" s="415"/>
      <c r="N927" s="210"/>
      <c r="O927" s="415"/>
      <c r="P927" s="210"/>
      <c r="Q927" s="439"/>
      <c r="R927" s="439"/>
      <c r="S927" s="415"/>
      <c r="T927" s="210"/>
      <c r="U927" s="415"/>
      <c r="V927" s="210"/>
      <c r="W927" s="8"/>
      <c r="X927" s="8"/>
      <c r="Y927" s="8"/>
      <c r="Z927" s="8"/>
      <c r="AA927" s="8"/>
      <c r="AB927" s="8"/>
      <c r="AC927" s="8"/>
      <c r="AD927" s="8"/>
      <c r="AE927" s="8"/>
      <c r="AF927" s="8"/>
      <c r="AG927" s="8"/>
      <c r="AH927" s="8"/>
      <c r="AI927" s="8"/>
      <c r="AJ927" s="8"/>
      <c r="AK927" s="8"/>
      <c r="AL927" s="8"/>
      <c r="AM927" s="8"/>
      <c r="AN927" s="8"/>
      <c r="AO927" s="8"/>
      <c r="AP927" s="8"/>
      <c r="AQ927" s="8"/>
      <c r="AR927" s="8"/>
      <c r="AS927" s="8"/>
      <c r="AT927" s="8"/>
    </row>
    <row r="928">
      <c r="A928" s="415"/>
      <c r="B928" s="210"/>
      <c r="C928" s="415"/>
      <c r="D928" s="210"/>
      <c r="E928" s="415"/>
      <c r="F928" s="210"/>
      <c r="G928" s="415"/>
      <c r="H928" s="210"/>
      <c r="I928" s="415"/>
      <c r="J928" s="210"/>
      <c r="K928" s="415"/>
      <c r="L928" s="210"/>
      <c r="M928" s="415"/>
      <c r="N928" s="210"/>
      <c r="O928" s="415"/>
      <c r="P928" s="210"/>
      <c r="Q928" s="439"/>
      <c r="R928" s="439"/>
      <c r="S928" s="415"/>
      <c r="T928" s="210"/>
      <c r="U928" s="415"/>
      <c r="V928" s="210"/>
      <c r="W928" s="8"/>
      <c r="X928" s="8"/>
      <c r="Y928" s="8"/>
      <c r="Z928" s="8"/>
      <c r="AA928" s="8"/>
      <c r="AB928" s="8"/>
      <c r="AC928" s="8"/>
      <c r="AD928" s="8"/>
      <c r="AE928" s="8"/>
      <c r="AF928" s="8"/>
      <c r="AG928" s="8"/>
      <c r="AH928" s="8"/>
      <c r="AI928" s="8"/>
      <c r="AJ928" s="8"/>
      <c r="AK928" s="8"/>
      <c r="AL928" s="8"/>
      <c r="AM928" s="8"/>
      <c r="AN928" s="8"/>
      <c r="AO928" s="8"/>
      <c r="AP928" s="8"/>
      <c r="AQ928" s="8"/>
      <c r="AR928" s="8"/>
      <c r="AS928" s="8"/>
      <c r="AT928" s="8"/>
    </row>
    <row r="929">
      <c r="A929" s="415"/>
      <c r="B929" s="210"/>
      <c r="C929" s="415"/>
      <c r="D929" s="210"/>
      <c r="E929" s="415"/>
      <c r="F929" s="210"/>
      <c r="G929" s="415"/>
      <c r="H929" s="210"/>
      <c r="I929" s="415"/>
      <c r="J929" s="210"/>
      <c r="K929" s="415"/>
      <c r="L929" s="210"/>
      <c r="M929" s="415"/>
      <c r="N929" s="210"/>
      <c r="O929" s="415"/>
      <c r="P929" s="210"/>
      <c r="Q929" s="439"/>
      <c r="R929" s="439"/>
      <c r="S929" s="415"/>
      <c r="T929" s="210"/>
      <c r="U929" s="415"/>
      <c r="V929" s="210"/>
      <c r="W929" s="8"/>
      <c r="X929" s="8"/>
      <c r="Y929" s="8"/>
      <c r="Z929" s="8"/>
      <c r="AA929" s="8"/>
      <c r="AB929" s="8"/>
      <c r="AC929" s="8"/>
      <c r="AD929" s="8"/>
      <c r="AE929" s="8"/>
      <c r="AF929" s="8"/>
      <c r="AG929" s="8"/>
      <c r="AH929" s="8"/>
      <c r="AI929" s="8"/>
      <c r="AJ929" s="8"/>
      <c r="AK929" s="8"/>
      <c r="AL929" s="8"/>
      <c r="AM929" s="8"/>
      <c r="AN929" s="8"/>
      <c r="AO929" s="8"/>
      <c r="AP929" s="8"/>
      <c r="AQ929" s="8"/>
      <c r="AR929" s="8"/>
      <c r="AS929" s="8"/>
      <c r="AT929" s="8"/>
    </row>
    <row r="930">
      <c r="A930" s="415"/>
      <c r="B930" s="210"/>
      <c r="C930" s="415"/>
      <c r="D930" s="210"/>
      <c r="E930" s="415"/>
      <c r="F930" s="210"/>
      <c r="G930" s="415"/>
      <c r="H930" s="210"/>
      <c r="I930" s="415"/>
      <c r="J930" s="210"/>
      <c r="K930" s="415"/>
      <c r="L930" s="210"/>
      <c r="M930" s="415"/>
      <c r="N930" s="210"/>
      <c r="O930" s="415"/>
      <c r="P930" s="210"/>
      <c r="Q930" s="439"/>
      <c r="R930" s="439"/>
      <c r="S930" s="415"/>
      <c r="T930" s="210"/>
      <c r="U930" s="415"/>
      <c r="V930" s="210"/>
      <c r="W930" s="8"/>
      <c r="X930" s="8"/>
      <c r="Y930" s="8"/>
      <c r="Z930" s="8"/>
      <c r="AA930" s="8"/>
      <c r="AB930" s="8"/>
      <c r="AC930" s="8"/>
      <c r="AD930" s="8"/>
      <c r="AE930" s="8"/>
      <c r="AF930" s="8"/>
      <c r="AG930" s="8"/>
      <c r="AH930" s="8"/>
      <c r="AI930" s="8"/>
      <c r="AJ930" s="8"/>
      <c r="AK930" s="8"/>
      <c r="AL930" s="8"/>
      <c r="AM930" s="8"/>
      <c r="AN930" s="8"/>
      <c r="AO930" s="8"/>
      <c r="AP930" s="8"/>
      <c r="AQ930" s="8"/>
      <c r="AR930" s="8"/>
      <c r="AS930" s="8"/>
      <c r="AT930" s="8"/>
    </row>
    <row r="931">
      <c r="A931" s="415"/>
      <c r="B931" s="210"/>
      <c r="C931" s="415"/>
      <c r="D931" s="210"/>
      <c r="E931" s="415"/>
      <c r="F931" s="210"/>
      <c r="G931" s="415"/>
      <c r="H931" s="210"/>
      <c r="I931" s="415"/>
      <c r="J931" s="210"/>
      <c r="K931" s="415"/>
      <c r="L931" s="210"/>
      <c r="M931" s="415"/>
      <c r="N931" s="210"/>
      <c r="O931" s="415"/>
      <c r="P931" s="210"/>
      <c r="Q931" s="439"/>
      <c r="R931" s="439"/>
      <c r="S931" s="415"/>
      <c r="T931" s="210"/>
      <c r="U931" s="415"/>
      <c r="V931" s="210"/>
      <c r="W931" s="8"/>
      <c r="X931" s="8"/>
      <c r="Y931" s="8"/>
      <c r="Z931" s="8"/>
      <c r="AA931" s="8"/>
      <c r="AB931" s="8"/>
      <c r="AC931" s="8"/>
      <c r="AD931" s="8"/>
      <c r="AE931" s="8"/>
      <c r="AF931" s="8"/>
      <c r="AG931" s="8"/>
      <c r="AH931" s="8"/>
      <c r="AI931" s="8"/>
      <c r="AJ931" s="8"/>
      <c r="AK931" s="8"/>
      <c r="AL931" s="8"/>
      <c r="AM931" s="8"/>
      <c r="AN931" s="8"/>
      <c r="AO931" s="8"/>
      <c r="AP931" s="8"/>
      <c r="AQ931" s="8"/>
      <c r="AR931" s="8"/>
      <c r="AS931" s="8"/>
      <c r="AT931" s="8"/>
    </row>
    <row r="932">
      <c r="A932" s="415"/>
      <c r="B932" s="210"/>
      <c r="C932" s="415"/>
      <c r="D932" s="210"/>
      <c r="E932" s="415"/>
      <c r="F932" s="210"/>
      <c r="G932" s="415"/>
      <c r="H932" s="210"/>
      <c r="I932" s="415"/>
      <c r="J932" s="210"/>
      <c r="K932" s="415"/>
      <c r="L932" s="210"/>
      <c r="M932" s="415"/>
      <c r="N932" s="210"/>
      <c r="O932" s="415"/>
      <c r="P932" s="210"/>
      <c r="Q932" s="439"/>
      <c r="R932" s="439"/>
      <c r="S932" s="415"/>
      <c r="T932" s="210"/>
      <c r="U932" s="415"/>
      <c r="V932" s="210"/>
      <c r="W932" s="8"/>
      <c r="X932" s="8"/>
      <c r="Y932" s="8"/>
      <c r="Z932" s="8"/>
      <c r="AA932" s="8"/>
      <c r="AB932" s="8"/>
      <c r="AC932" s="8"/>
      <c r="AD932" s="8"/>
      <c r="AE932" s="8"/>
      <c r="AF932" s="8"/>
      <c r="AG932" s="8"/>
      <c r="AH932" s="8"/>
      <c r="AI932" s="8"/>
      <c r="AJ932" s="8"/>
      <c r="AK932" s="8"/>
      <c r="AL932" s="8"/>
      <c r="AM932" s="8"/>
      <c r="AN932" s="8"/>
      <c r="AO932" s="8"/>
      <c r="AP932" s="8"/>
      <c r="AQ932" s="8"/>
      <c r="AR932" s="8"/>
      <c r="AS932" s="8"/>
      <c r="AT932" s="8"/>
    </row>
    <row r="933">
      <c r="A933" s="415"/>
      <c r="B933" s="210"/>
      <c r="C933" s="415"/>
      <c r="D933" s="210"/>
      <c r="E933" s="415"/>
      <c r="F933" s="210"/>
      <c r="G933" s="415"/>
      <c r="H933" s="210"/>
      <c r="I933" s="415"/>
      <c r="J933" s="210"/>
      <c r="K933" s="415"/>
      <c r="L933" s="210"/>
      <c r="M933" s="415"/>
      <c r="N933" s="210"/>
      <c r="O933" s="415"/>
      <c r="P933" s="210"/>
      <c r="Q933" s="439"/>
      <c r="R933" s="439"/>
      <c r="S933" s="415"/>
      <c r="T933" s="210"/>
      <c r="U933" s="415"/>
      <c r="V933" s="210"/>
      <c r="W933" s="8"/>
      <c r="X933" s="8"/>
      <c r="Y933" s="8"/>
      <c r="Z933" s="8"/>
      <c r="AA933" s="8"/>
      <c r="AB933" s="8"/>
      <c r="AC933" s="8"/>
      <c r="AD933" s="8"/>
      <c r="AE933" s="8"/>
      <c r="AF933" s="8"/>
      <c r="AG933" s="8"/>
      <c r="AH933" s="8"/>
      <c r="AI933" s="8"/>
      <c r="AJ933" s="8"/>
      <c r="AK933" s="8"/>
      <c r="AL933" s="8"/>
      <c r="AM933" s="8"/>
      <c r="AN933" s="8"/>
      <c r="AO933" s="8"/>
      <c r="AP933" s="8"/>
      <c r="AQ933" s="8"/>
      <c r="AR933" s="8"/>
      <c r="AS933" s="8"/>
      <c r="AT933" s="8"/>
    </row>
    <row r="934">
      <c r="A934" s="415"/>
      <c r="B934" s="210"/>
      <c r="C934" s="415"/>
      <c r="D934" s="210"/>
      <c r="E934" s="415"/>
      <c r="F934" s="210"/>
      <c r="G934" s="415"/>
      <c r="H934" s="210"/>
      <c r="I934" s="415"/>
      <c r="J934" s="210"/>
      <c r="K934" s="415"/>
      <c r="L934" s="210"/>
      <c r="M934" s="415"/>
      <c r="N934" s="210"/>
      <c r="O934" s="415"/>
      <c r="P934" s="210"/>
      <c r="Q934" s="439"/>
      <c r="R934" s="439"/>
      <c r="S934" s="415"/>
      <c r="T934" s="210"/>
      <c r="U934" s="415"/>
      <c r="V934" s="210"/>
      <c r="W934" s="8"/>
      <c r="X934" s="8"/>
      <c r="Y934" s="8"/>
      <c r="Z934" s="8"/>
      <c r="AA934" s="8"/>
      <c r="AB934" s="8"/>
      <c r="AC934" s="8"/>
      <c r="AD934" s="8"/>
      <c r="AE934" s="8"/>
      <c r="AF934" s="8"/>
      <c r="AG934" s="8"/>
      <c r="AH934" s="8"/>
      <c r="AI934" s="8"/>
      <c r="AJ934" s="8"/>
      <c r="AK934" s="8"/>
      <c r="AL934" s="8"/>
      <c r="AM934" s="8"/>
      <c r="AN934" s="8"/>
      <c r="AO934" s="8"/>
      <c r="AP934" s="8"/>
      <c r="AQ934" s="8"/>
      <c r="AR934" s="8"/>
      <c r="AS934" s="8"/>
      <c r="AT934" s="8"/>
    </row>
    <row r="935">
      <c r="A935" s="415"/>
      <c r="B935" s="210"/>
      <c r="C935" s="415"/>
      <c r="D935" s="210"/>
      <c r="E935" s="415"/>
      <c r="F935" s="210"/>
      <c r="G935" s="415"/>
      <c r="H935" s="210"/>
      <c r="I935" s="415"/>
      <c r="J935" s="210"/>
      <c r="K935" s="415"/>
      <c r="L935" s="210"/>
      <c r="M935" s="415"/>
      <c r="N935" s="210"/>
      <c r="O935" s="415"/>
      <c r="P935" s="210"/>
      <c r="Q935" s="439"/>
      <c r="R935" s="439"/>
      <c r="S935" s="415"/>
      <c r="T935" s="210"/>
      <c r="U935" s="415"/>
      <c r="V935" s="210"/>
      <c r="W935" s="8"/>
      <c r="X935" s="8"/>
      <c r="Y935" s="8"/>
      <c r="Z935" s="8"/>
      <c r="AA935" s="8"/>
      <c r="AB935" s="8"/>
      <c r="AC935" s="8"/>
      <c r="AD935" s="8"/>
      <c r="AE935" s="8"/>
      <c r="AF935" s="8"/>
      <c r="AG935" s="8"/>
      <c r="AH935" s="8"/>
      <c r="AI935" s="8"/>
      <c r="AJ935" s="8"/>
      <c r="AK935" s="8"/>
      <c r="AL935" s="8"/>
      <c r="AM935" s="8"/>
      <c r="AN935" s="8"/>
      <c r="AO935" s="8"/>
      <c r="AP935" s="8"/>
      <c r="AQ935" s="8"/>
      <c r="AR935" s="8"/>
      <c r="AS935" s="8"/>
      <c r="AT935" s="8"/>
    </row>
    <row r="936">
      <c r="A936" s="415"/>
      <c r="B936" s="210"/>
      <c r="C936" s="415"/>
      <c r="D936" s="210"/>
      <c r="E936" s="415"/>
      <c r="F936" s="210"/>
      <c r="G936" s="415"/>
      <c r="H936" s="210"/>
      <c r="I936" s="415"/>
      <c r="J936" s="210"/>
      <c r="K936" s="415"/>
      <c r="L936" s="210"/>
      <c r="M936" s="415"/>
      <c r="N936" s="210"/>
      <c r="O936" s="415"/>
      <c r="P936" s="210"/>
      <c r="Q936" s="439"/>
      <c r="R936" s="439"/>
      <c r="S936" s="415"/>
      <c r="T936" s="210"/>
      <c r="U936" s="415"/>
      <c r="V936" s="210"/>
      <c r="W936" s="8"/>
      <c r="X936" s="8"/>
      <c r="Y936" s="8"/>
      <c r="Z936" s="8"/>
      <c r="AA936" s="8"/>
      <c r="AB936" s="8"/>
      <c r="AC936" s="8"/>
      <c r="AD936" s="8"/>
      <c r="AE936" s="8"/>
      <c r="AF936" s="8"/>
      <c r="AG936" s="8"/>
      <c r="AH936" s="8"/>
      <c r="AI936" s="8"/>
      <c r="AJ936" s="8"/>
      <c r="AK936" s="8"/>
      <c r="AL936" s="8"/>
      <c r="AM936" s="8"/>
      <c r="AN936" s="8"/>
      <c r="AO936" s="8"/>
      <c r="AP936" s="8"/>
      <c r="AQ936" s="8"/>
      <c r="AR936" s="8"/>
      <c r="AS936" s="8"/>
      <c r="AT936" s="8"/>
    </row>
    <row r="937">
      <c r="A937" s="415"/>
      <c r="B937" s="210"/>
      <c r="C937" s="415"/>
      <c r="D937" s="210"/>
      <c r="E937" s="415"/>
      <c r="F937" s="210"/>
      <c r="G937" s="415"/>
      <c r="H937" s="210"/>
      <c r="I937" s="415"/>
      <c r="J937" s="210"/>
      <c r="K937" s="415"/>
      <c r="L937" s="210"/>
      <c r="M937" s="415"/>
      <c r="N937" s="210"/>
      <c r="O937" s="415"/>
      <c r="P937" s="210"/>
      <c r="Q937" s="439"/>
      <c r="R937" s="439"/>
      <c r="S937" s="415"/>
      <c r="T937" s="210"/>
      <c r="U937" s="415"/>
      <c r="V937" s="210"/>
      <c r="W937" s="8"/>
      <c r="X937" s="8"/>
      <c r="Y937" s="8"/>
      <c r="Z937" s="8"/>
      <c r="AA937" s="8"/>
      <c r="AB937" s="8"/>
      <c r="AC937" s="8"/>
      <c r="AD937" s="8"/>
      <c r="AE937" s="8"/>
      <c r="AF937" s="8"/>
      <c r="AG937" s="8"/>
      <c r="AH937" s="8"/>
      <c r="AI937" s="8"/>
      <c r="AJ937" s="8"/>
      <c r="AK937" s="8"/>
      <c r="AL937" s="8"/>
      <c r="AM937" s="8"/>
      <c r="AN937" s="8"/>
      <c r="AO937" s="8"/>
      <c r="AP937" s="8"/>
      <c r="AQ937" s="8"/>
      <c r="AR937" s="8"/>
      <c r="AS937" s="8"/>
      <c r="AT937" s="8"/>
    </row>
    <row r="938">
      <c r="A938" s="415"/>
      <c r="B938" s="210"/>
      <c r="C938" s="415"/>
      <c r="D938" s="210"/>
      <c r="E938" s="415"/>
      <c r="F938" s="210"/>
      <c r="G938" s="415"/>
      <c r="H938" s="210"/>
      <c r="I938" s="415"/>
      <c r="J938" s="210"/>
      <c r="K938" s="415"/>
      <c r="L938" s="210"/>
      <c r="M938" s="415"/>
      <c r="N938" s="210"/>
      <c r="O938" s="415"/>
      <c r="P938" s="210"/>
      <c r="Q938" s="439"/>
      <c r="R938" s="439"/>
      <c r="S938" s="415"/>
      <c r="T938" s="210"/>
      <c r="U938" s="415"/>
      <c r="V938" s="210"/>
      <c r="W938" s="8"/>
      <c r="X938" s="8"/>
      <c r="Y938" s="8"/>
      <c r="Z938" s="8"/>
      <c r="AA938" s="8"/>
      <c r="AB938" s="8"/>
      <c r="AC938" s="8"/>
      <c r="AD938" s="8"/>
      <c r="AE938" s="8"/>
      <c r="AF938" s="8"/>
      <c r="AG938" s="8"/>
      <c r="AH938" s="8"/>
      <c r="AI938" s="8"/>
      <c r="AJ938" s="8"/>
      <c r="AK938" s="8"/>
      <c r="AL938" s="8"/>
      <c r="AM938" s="8"/>
      <c r="AN938" s="8"/>
      <c r="AO938" s="8"/>
      <c r="AP938" s="8"/>
      <c r="AQ938" s="8"/>
      <c r="AR938" s="8"/>
      <c r="AS938" s="8"/>
      <c r="AT938" s="8"/>
    </row>
    <row r="939">
      <c r="A939" s="415"/>
      <c r="B939" s="210"/>
      <c r="C939" s="415"/>
      <c r="D939" s="210"/>
      <c r="E939" s="415"/>
      <c r="F939" s="210"/>
      <c r="G939" s="415"/>
      <c r="H939" s="210"/>
      <c r="I939" s="415"/>
      <c r="J939" s="210"/>
      <c r="K939" s="415"/>
      <c r="L939" s="210"/>
      <c r="M939" s="415"/>
      <c r="N939" s="210"/>
      <c r="O939" s="415"/>
      <c r="P939" s="210"/>
      <c r="Q939" s="439"/>
      <c r="R939" s="439"/>
      <c r="S939" s="415"/>
      <c r="T939" s="210"/>
      <c r="U939" s="415"/>
      <c r="V939" s="210"/>
      <c r="W939" s="8"/>
      <c r="X939" s="8"/>
      <c r="Y939" s="8"/>
      <c r="Z939" s="8"/>
      <c r="AA939" s="8"/>
      <c r="AB939" s="8"/>
      <c r="AC939" s="8"/>
      <c r="AD939" s="8"/>
      <c r="AE939" s="8"/>
      <c r="AF939" s="8"/>
      <c r="AG939" s="8"/>
      <c r="AH939" s="8"/>
      <c r="AI939" s="8"/>
      <c r="AJ939" s="8"/>
      <c r="AK939" s="8"/>
      <c r="AL939" s="8"/>
      <c r="AM939" s="8"/>
      <c r="AN939" s="8"/>
      <c r="AO939" s="8"/>
      <c r="AP939" s="8"/>
      <c r="AQ939" s="8"/>
      <c r="AR939" s="8"/>
      <c r="AS939" s="8"/>
      <c r="AT939" s="8"/>
    </row>
    <row r="940">
      <c r="A940" s="415"/>
      <c r="B940" s="210"/>
      <c r="C940" s="415"/>
      <c r="D940" s="210"/>
      <c r="E940" s="415"/>
      <c r="F940" s="210"/>
      <c r="G940" s="415"/>
      <c r="H940" s="210"/>
      <c r="I940" s="415"/>
      <c r="J940" s="210"/>
      <c r="K940" s="415"/>
      <c r="L940" s="210"/>
      <c r="M940" s="415"/>
      <c r="N940" s="210"/>
      <c r="O940" s="415"/>
      <c r="P940" s="210"/>
      <c r="Q940" s="439"/>
      <c r="R940" s="439"/>
      <c r="S940" s="415"/>
      <c r="T940" s="210"/>
      <c r="U940" s="415"/>
      <c r="V940" s="210"/>
      <c r="W940" s="8"/>
      <c r="X940" s="8"/>
      <c r="Y940" s="8"/>
      <c r="Z940" s="8"/>
      <c r="AA940" s="8"/>
      <c r="AB940" s="8"/>
      <c r="AC940" s="8"/>
      <c r="AD940" s="8"/>
      <c r="AE940" s="8"/>
      <c r="AF940" s="8"/>
      <c r="AG940" s="8"/>
      <c r="AH940" s="8"/>
      <c r="AI940" s="8"/>
      <c r="AJ940" s="8"/>
      <c r="AK940" s="8"/>
      <c r="AL940" s="8"/>
      <c r="AM940" s="8"/>
      <c r="AN940" s="8"/>
      <c r="AO940" s="8"/>
      <c r="AP940" s="8"/>
      <c r="AQ940" s="8"/>
      <c r="AR940" s="8"/>
      <c r="AS940" s="8"/>
      <c r="AT940" s="8"/>
    </row>
    <row r="941">
      <c r="A941" s="415"/>
      <c r="B941" s="210"/>
      <c r="C941" s="415"/>
      <c r="D941" s="210"/>
      <c r="E941" s="415"/>
      <c r="F941" s="210"/>
      <c r="G941" s="415"/>
      <c r="H941" s="210"/>
      <c r="I941" s="415"/>
      <c r="J941" s="210"/>
      <c r="K941" s="415"/>
      <c r="L941" s="210"/>
      <c r="M941" s="415"/>
      <c r="N941" s="210"/>
      <c r="O941" s="415"/>
      <c r="P941" s="210"/>
      <c r="Q941" s="439"/>
      <c r="R941" s="439"/>
      <c r="S941" s="415"/>
      <c r="T941" s="210"/>
      <c r="U941" s="415"/>
      <c r="V941" s="210"/>
      <c r="W941" s="8"/>
      <c r="X941" s="8"/>
      <c r="Y941" s="8"/>
      <c r="Z941" s="8"/>
      <c r="AA941" s="8"/>
      <c r="AB941" s="8"/>
      <c r="AC941" s="8"/>
      <c r="AD941" s="8"/>
      <c r="AE941" s="8"/>
      <c r="AF941" s="8"/>
      <c r="AG941" s="8"/>
      <c r="AH941" s="8"/>
      <c r="AI941" s="8"/>
      <c r="AJ941" s="8"/>
      <c r="AK941" s="8"/>
      <c r="AL941" s="8"/>
      <c r="AM941" s="8"/>
      <c r="AN941" s="8"/>
      <c r="AO941" s="8"/>
      <c r="AP941" s="8"/>
      <c r="AQ941" s="8"/>
      <c r="AR941" s="8"/>
      <c r="AS941" s="8"/>
      <c r="AT941" s="8"/>
    </row>
    <row r="942">
      <c r="A942" s="415"/>
      <c r="B942" s="210"/>
      <c r="C942" s="415"/>
      <c r="D942" s="210"/>
      <c r="E942" s="415"/>
      <c r="F942" s="210"/>
      <c r="G942" s="415"/>
      <c r="H942" s="210"/>
      <c r="I942" s="415"/>
      <c r="J942" s="210"/>
      <c r="K942" s="415"/>
      <c r="L942" s="210"/>
      <c r="M942" s="415"/>
      <c r="N942" s="210"/>
      <c r="O942" s="415"/>
      <c r="P942" s="210"/>
      <c r="Q942" s="439"/>
      <c r="R942" s="439"/>
      <c r="S942" s="415"/>
      <c r="T942" s="210"/>
      <c r="U942" s="415"/>
      <c r="V942" s="210"/>
      <c r="W942" s="8"/>
      <c r="X942" s="8"/>
      <c r="Y942" s="8"/>
      <c r="Z942" s="8"/>
      <c r="AA942" s="8"/>
      <c r="AB942" s="8"/>
      <c r="AC942" s="8"/>
      <c r="AD942" s="8"/>
      <c r="AE942" s="8"/>
      <c r="AF942" s="8"/>
      <c r="AG942" s="8"/>
      <c r="AH942" s="8"/>
      <c r="AI942" s="8"/>
      <c r="AJ942" s="8"/>
      <c r="AK942" s="8"/>
      <c r="AL942" s="8"/>
      <c r="AM942" s="8"/>
      <c r="AN942" s="8"/>
      <c r="AO942" s="8"/>
      <c r="AP942" s="8"/>
      <c r="AQ942" s="8"/>
      <c r="AR942" s="8"/>
      <c r="AS942" s="8"/>
      <c r="AT942" s="8"/>
    </row>
    <row r="943">
      <c r="A943" s="415"/>
      <c r="B943" s="210"/>
      <c r="C943" s="415"/>
      <c r="D943" s="210"/>
      <c r="E943" s="415"/>
      <c r="F943" s="210"/>
      <c r="G943" s="415"/>
      <c r="H943" s="210"/>
      <c r="I943" s="415"/>
      <c r="J943" s="210"/>
      <c r="K943" s="415"/>
      <c r="L943" s="210"/>
      <c r="M943" s="415"/>
      <c r="N943" s="210"/>
      <c r="O943" s="415"/>
      <c r="P943" s="210"/>
      <c r="Q943" s="439"/>
      <c r="R943" s="439"/>
      <c r="S943" s="415"/>
      <c r="T943" s="210"/>
      <c r="U943" s="415"/>
      <c r="V943" s="210"/>
      <c r="W943" s="8"/>
      <c r="X943" s="8"/>
      <c r="Y943" s="8"/>
      <c r="Z943" s="8"/>
      <c r="AA943" s="8"/>
      <c r="AB943" s="8"/>
      <c r="AC943" s="8"/>
      <c r="AD943" s="8"/>
      <c r="AE943" s="8"/>
      <c r="AF943" s="8"/>
      <c r="AG943" s="8"/>
      <c r="AH943" s="8"/>
      <c r="AI943" s="8"/>
      <c r="AJ943" s="8"/>
      <c r="AK943" s="8"/>
      <c r="AL943" s="8"/>
      <c r="AM943" s="8"/>
      <c r="AN943" s="8"/>
      <c r="AO943" s="8"/>
      <c r="AP943" s="8"/>
      <c r="AQ943" s="8"/>
      <c r="AR943" s="8"/>
      <c r="AS943" s="8"/>
      <c r="AT943" s="8"/>
    </row>
    <row r="944">
      <c r="A944" s="415"/>
      <c r="B944" s="210"/>
      <c r="C944" s="415"/>
      <c r="D944" s="210"/>
      <c r="E944" s="415"/>
      <c r="F944" s="210"/>
      <c r="G944" s="415"/>
      <c r="H944" s="210"/>
      <c r="I944" s="415"/>
      <c r="J944" s="210"/>
      <c r="K944" s="415"/>
      <c r="L944" s="210"/>
      <c r="M944" s="415"/>
      <c r="N944" s="210"/>
      <c r="O944" s="415"/>
      <c r="P944" s="210"/>
      <c r="Q944" s="439"/>
      <c r="R944" s="439"/>
      <c r="S944" s="415"/>
      <c r="T944" s="210"/>
      <c r="U944" s="415"/>
      <c r="V944" s="210"/>
      <c r="W944" s="8"/>
      <c r="X944" s="8"/>
      <c r="Y944" s="8"/>
      <c r="Z944" s="8"/>
      <c r="AA944" s="8"/>
      <c r="AB944" s="8"/>
      <c r="AC944" s="8"/>
      <c r="AD944" s="8"/>
      <c r="AE944" s="8"/>
      <c r="AF944" s="8"/>
      <c r="AG944" s="8"/>
      <c r="AH944" s="8"/>
      <c r="AI944" s="8"/>
      <c r="AJ944" s="8"/>
      <c r="AK944" s="8"/>
      <c r="AL944" s="8"/>
      <c r="AM944" s="8"/>
      <c r="AN944" s="8"/>
      <c r="AO944" s="8"/>
      <c r="AP944" s="8"/>
      <c r="AQ944" s="8"/>
      <c r="AR944" s="8"/>
      <c r="AS944" s="8"/>
      <c r="AT944" s="8"/>
    </row>
    <row r="945">
      <c r="A945" s="415"/>
      <c r="B945" s="210"/>
      <c r="C945" s="415"/>
      <c r="D945" s="210"/>
      <c r="E945" s="415"/>
      <c r="F945" s="210"/>
      <c r="G945" s="415"/>
      <c r="H945" s="210"/>
      <c r="I945" s="415"/>
      <c r="J945" s="210"/>
      <c r="K945" s="415"/>
      <c r="L945" s="210"/>
      <c r="M945" s="415"/>
      <c r="N945" s="210"/>
      <c r="O945" s="415"/>
      <c r="P945" s="210"/>
      <c r="Q945" s="439"/>
      <c r="R945" s="439"/>
      <c r="S945" s="415"/>
      <c r="T945" s="210"/>
      <c r="U945" s="415"/>
      <c r="V945" s="210"/>
      <c r="W945" s="8"/>
      <c r="X945" s="8"/>
      <c r="Y945" s="8"/>
      <c r="Z945" s="8"/>
      <c r="AA945" s="8"/>
      <c r="AB945" s="8"/>
      <c r="AC945" s="8"/>
      <c r="AD945" s="8"/>
      <c r="AE945" s="8"/>
      <c r="AF945" s="8"/>
      <c r="AG945" s="8"/>
      <c r="AH945" s="8"/>
      <c r="AI945" s="8"/>
      <c r="AJ945" s="8"/>
      <c r="AK945" s="8"/>
      <c r="AL945" s="8"/>
      <c r="AM945" s="8"/>
      <c r="AN945" s="8"/>
      <c r="AO945" s="8"/>
      <c r="AP945" s="8"/>
      <c r="AQ945" s="8"/>
      <c r="AR945" s="8"/>
      <c r="AS945" s="8"/>
      <c r="AT945" s="8"/>
    </row>
    <row r="946">
      <c r="A946" s="415"/>
      <c r="B946" s="210"/>
      <c r="C946" s="415"/>
      <c r="D946" s="210"/>
      <c r="E946" s="415"/>
      <c r="F946" s="210"/>
      <c r="G946" s="415"/>
      <c r="H946" s="210"/>
      <c r="I946" s="415"/>
      <c r="J946" s="210"/>
      <c r="K946" s="415"/>
      <c r="L946" s="210"/>
      <c r="M946" s="415"/>
      <c r="N946" s="210"/>
      <c r="O946" s="415"/>
      <c r="P946" s="210"/>
      <c r="Q946" s="439"/>
      <c r="R946" s="439"/>
      <c r="S946" s="415"/>
      <c r="T946" s="210"/>
      <c r="U946" s="415"/>
      <c r="V946" s="210"/>
      <c r="W946" s="8"/>
      <c r="X946" s="8"/>
      <c r="Y946" s="8"/>
      <c r="Z946" s="8"/>
      <c r="AA946" s="8"/>
      <c r="AB946" s="8"/>
      <c r="AC946" s="8"/>
      <c r="AD946" s="8"/>
      <c r="AE946" s="8"/>
      <c r="AF946" s="8"/>
      <c r="AG946" s="8"/>
      <c r="AH946" s="8"/>
      <c r="AI946" s="8"/>
      <c r="AJ946" s="8"/>
      <c r="AK946" s="8"/>
      <c r="AL946" s="8"/>
      <c r="AM946" s="8"/>
      <c r="AN946" s="8"/>
      <c r="AO946" s="8"/>
      <c r="AP946" s="8"/>
      <c r="AQ946" s="8"/>
      <c r="AR946" s="8"/>
      <c r="AS946" s="8"/>
      <c r="AT946" s="8"/>
    </row>
    <row r="947">
      <c r="A947" s="415"/>
      <c r="B947" s="210"/>
      <c r="C947" s="415"/>
      <c r="D947" s="210"/>
      <c r="E947" s="415"/>
      <c r="F947" s="210"/>
      <c r="G947" s="415"/>
      <c r="H947" s="210"/>
      <c r="I947" s="415"/>
      <c r="J947" s="210"/>
      <c r="K947" s="415"/>
      <c r="L947" s="210"/>
      <c r="M947" s="415"/>
      <c r="N947" s="210"/>
      <c r="O947" s="415"/>
      <c r="P947" s="210"/>
      <c r="Q947" s="439"/>
      <c r="R947" s="439"/>
      <c r="S947" s="415"/>
      <c r="T947" s="210"/>
      <c r="U947" s="415"/>
      <c r="V947" s="210"/>
      <c r="W947" s="8"/>
      <c r="X947" s="8"/>
      <c r="Y947" s="8"/>
      <c r="Z947" s="8"/>
      <c r="AA947" s="8"/>
      <c r="AB947" s="8"/>
      <c r="AC947" s="8"/>
      <c r="AD947" s="8"/>
      <c r="AE947" s="8"/>
      <c r="AF947" s="8"/>
      <c r="AG947" s="8"/>
      <c r="AH947" s="8"/>
      <c r="AI947" s="8"/>
      <c r="AJ947" s="8"/>
      <c r="AK947" s="8"/>
      <c r="AL947" s="8"/>
      <c r="AM947" s="8"/>
      <c r="AN947" s="8"/>
      <c r="AO947" s="8"/>
      <c r="AP947" s="8"/>
      <c r="AQ947" s="8"/>
      <c r="AR947" s="8"/>
      <c r="AS947" s="8"/>
      <c r="AT947" s="8"/>
    </row>
    <row r="948">
      <c r="A948" s="415"/>
      <c r="B948" s="210"/>
      <c r="C948" s="415"/>
      <c r="D948" s="210"/>
      <c r="E948" s="415"/>
      <c r="F948" s="210"/>
      <c r="G948" s="415"/>
      <c r="H948" s="210"/>
      <c r="I948" s="415"/>
      <c r="J948" s="210"/>
      <c r="K948" s="415"/>
      <c r="L948" s="210"/>
      <c r="M948" s="415"/>
      <c r="N948" s="210"/>
      <c r="O948" s="415"/>
      <c r="P948" s="210"/>
      <c r="Q948" s="439"/>
      <c r="R948" s="439"/>
      <c r="S948" s="415"/>
      <c r="T948" s="210"/>
      <c r="U948" s="415"/>
      <c r="V948" s="210"/>
      <c r="W948" s="8"/>
      <c r="X948" s="8"/>
      <c r="Y948" s="8"/>
      <c r="Z948" s="8"/>
      <c r="AA948" s="8"/>
      <c r="AB948" s="8"/>
      <c r="AC948" s="8"/>
      <c r="AD948" s="8"/>
      <c r="AE948" s="8"/>
      <c r="AF948" s="8"/>
      <c r="AG948" s="8"/>
      <c r="AH948" s="8"/>
      <c r="AI948" s="8"/>
      <c r="AJ948" s="8"/>
      <c r="AK948" s="8"/>
      <c r="AL948" s="8"/>
      <c r="AM948" s="8"/>
      <c r="AN948" s="8"/>
      <c r="AO948" s="8"/>
      <c r="AP948" s="8"/>
      <c r="AQ948" s="8"/>
      <c r="AR948" s="8"/>
      <c r="AS948" s="8"/>
      <c r="AT948" s="8"/>
    </row>
    <row r="949">
      <c r="A949" s="415"/>
      <c r="B949" s="210"/>
      <c r="C949" s="415"/>
      <c r="D949" s="210"/>
      <c r="E949" s="415"/>
      <c r="F949" s="210"/>
      <c r="G949" s="415"/>
      <c r="H949" s="210"/>
      <c r="I949" s="415"/>
      <c r="J949" s="210"/>
      <c r="K949" s="415"/>
      <c r="L949" s="210"/>
      <c r="M949" s="415"/>
      <c r="N949" s="210"/>
      <c r="O949" s="415"/>
      <c r="P949" s="210"/>
      <c r="Q949" s="439"/>
      <c r="R949" s="439"/>
      <c r="S949" s="415"/>
      <c r="T949" s="210"/>
      <c r="U949" s="415"/>
      <c r="V949" s="210"/>
      <c r="W949" s="8"/>
      <c r="X949" s="8"/>
      <c r="Y949" s="8"/>
      <c r="Z949" s="8"/>
      <c r="AA949" s="8"/>
      <c r="AB949" s="8"/>
      <c r="AC949" s="8"/>
      <c r="AD949" s="8"/>
      <c r="AE949" s="8"/>
      <c r="AF949" s="8"/>
      <c r="AG949" s="8"/>
      <c r="AH949" s="8"/>
      <c r="AI949" s="8"/>
      <c r="AJ949" s="8"/>
      <c r="AK949" s="8"/>
      <c r="AL949" s="8"/>
      <c r="AM949" s="8"/>
      <c r="AN949" s="8"/>
      <c r="AO949" s="8"/>
      <c r="AP949" s="8"/>
      <c r="AQ949" s="8"/>
      <c r="AR949" s="8"/>
      <c r="AS949" s="8"/>
      <c r="AT949" s="8"/>
    </row>
    <row r="950">
      <c r="A950" s="415"/>
      <c r="B950" s="210"/>
      <c r="C950" s="415"/>
      <c r="D950" s="210"/>
      <c r="E950" s="415"/>
      <c r="F950" s="210"/>
      <c r="G950" s="415"/>
      <c r="H950" s="210"/>
      <c r="I950" s="415"/>
      <c r="J950" s="210"/>
      <c r="K950" s="415"/>
      <c r="L950" s="210"/>
      <c r="M950" s="415"/>
      <c r="N950" s="210"/>
      <c r="O950" s="415"/>
      <c r="P950" s="210"/>
      <c r="Q950" s="439"/>
      <c r="R950" s="439"/>
      <c r="S950" s="415"/>
      <c r="T950" s="210"/>
      <c r="U950" s="415"/>
      <c r="V950" s="210"/>
      <c r="W950" s="8"/>
      <c r="X950" s="8"/>
      <c r="Y950" s="8"/>
      <c r="Z950" s="8"/>
      <c r="AA950" s="8"/>
      <c r="AB950" s="8"/>
      <c r="AC950" s="8"/>
      <c r="AD950" s="8"/>
      <c r="AE950" s="8"/>
      <c r="AF950" s="8"/>
      <c r="AG950" s="8"/>
      <c r="AH950" s="8"/>
      <c r="AI950" s="8"/>
      <c r="AJ950" s="8"/>
      <c r="AK950" s="8"/>
      <c r="AL950" s="8"/>
      <c r="AM950" s="8"/>
      <c r="AN950" s="8"/>
      <c r="AO950" s="8"/>
      <c r="AP950" s="8"/>
      <c r="AQ950" s="8"/>
      <c r="AR950" s="8"/>
      <c r="AS950" s="8"/>
      <c r="AT950" s="8"/>
    </row>
    <row r="951">
      <c r="A951" s="415"/>
      <c r="B951" s="210"/>
      <c r="C951" s="415"/>
      <c r="D951" s="210"/>
      <c r="E951" s="415"/>
      <c r="F951" s="210"/>
      <c r="G951" s="415"/>
      <c r="H951" s="210"/>
      <c r="I951" s="415"/>
      <c r="J951" s="210"/>
      <c r="K951" s="415"/>
      <c r="L951" s="210"/>
      <c r="M951" s="415"/>
      <c r="N951" s="210"/>
      <c r="O951" s="415"/>
      <c r="P951" s="210"/>
      <c r="Q951" s="439"/>
      <c r="R951" s="439"/>
      <c r="S951" s="415"/>
      <c r="T951" s="210"/>
      <c r="U951" s="415"/>
      <c r="V951" s="210"/>
      <c r="W951" s="8"/>
      <c r="X951" s="8"/>
      <c r="Y951" s="8"/>
      <c r="Z951" s="8"/>
      <c r="AA951" s="8"/>
      <c r="AB951" s="8"/>
      <c r="AC951" s="8"/>
      <c r="AD951" s="8"/>
      <c r="AE951" s="8"/>
      <c r="AF951" s="8"/>
      <c r="AG951" s="8"/>
      <c r="AH951" s="8"/>
      <c r="AI951" s="8"/>
      <c r="AJ951" s="8"/>
      <c r="AK951" s="8"/>
      <c r="AL951" s="8"/>
      <c r="AM951" s="8"/>
      <c r="AN951" s="8"/>
      <c r="AO951" s="8"/>
      <c r="AP951" s="8"/>
      <c r="AQ951" s="8"/>
      <c r="AR951" s="8"/>
      <c r="AS951" s="8"/>
      <c r="AT951" s="8"/>
    </row>
    <row r="952">
      <c r="A952" s="415"/>
      <c r="B952" s="210"/>
      <c r="C952" s="415"/>
      <c r="D952" s="210"/>
      <c r="E952" s="415"/>
      <c r="F952" s="210"/>
      <c r="G952" s="415"/>
      <c r="H952" s="210"/>
      <c r="I952" s="415"/>
      <c r="J952" s="210"/>
      <c r="K952" s="415"/>
      <c r="L952" s="210"/>
      <c r="M952" s="415"/>
      <c r="N952" s="210"/>
      <c r="O952" s="415"/>
      <c r="P952" s="210"/>
      <c r="Q952" s="439"/>
      <c r="R952" s="439"/>
      <c r="S952" s="415"/>
      <c r="T952" s="210"/>
      <c r="U952" s="415"/>
      <c r="V952" s="210"/>
      <c r="W952" s="8"/>
      <c r="X952" s="8"/>
      <c r="Y952" s="8"/>
      <c r="Z952" s="8"/>
      <c r="AA952" s="8"/>
      <c r="AB952" s="8"/>
      <c r="AC952" s="8"/>
      <c r="AD952" s="8"/>
      <c r="AE952" s="8"/>
      <c r="AF952" s="8"/>
      <c r="AG952" s="8"/>
      <c r="AH952" s="8"/>
      <c r="AI952" s="8"/>
      <c r="AJ952" s="8"/>
      <c r="AK952" s="8"/>
      <c r="AL952" s="8"/>
      <c r="AM952" s="8"/>
      <c r="AN952" s="8"/>
      <c r="AO952" s="8"/>
      <c r="AP952" s="8"/>
      <c r="AQ952" s="8"/>
      <c r="AR952" s="8"/>
      <c r="AS952" s="8"/>
      <c r="AT952" s="8"/>
    </row>
    <row r="953">
      <c r="A953" s="415"/>
      <c r="B953" s="210"/>
      <c r="C953" s="415"/>
      <c r="D953" s="210"/>
      <c r="E953" s="415"/>
      <c r="F953" s="210"/>
      <c r="G953" s="415"/>
      <c r="H953" s="210"/>
      <c r="I953" s="415"/>
      <c r="J953" s="210"/>
      <c r="K953" s="415"/>
      <c r="L953" s="210"/>
      <c r="M953" s="415"/>
      <c r="N953" s="210"/>
      <c r="O953" s="415"/>
      <c r="P953" s="210"/>
      <c r="Q953" s="439"/>
      <c r="R953" s="439"/>
      <c r="S953" s="415"/>
      <c r="T953" s="210"/>
      <c r="U953" s="415"/>
      <c r="V953" s="210"/>
      <c r="W953" s="8"/>
      <c r="X953" s="8"/>
      <c r="Y953" s="8"/>
      <c r="Z953" s="8"/>
      <c r="AA953" s="8"/>
      <c r="AB953" s="8"/>
      <c r="AC953" s="8"/>
      <c r="AD953" s="8"/>
      <c r="AE953" s="8"/>
      <c r="AF953" s="8"/>
      <c r="AG953" s="8"/>
      <c r="AH953" s="8"/>
      <c r="AI953" s="8"/>
      <c r="AJ953" s="8"/>
      <c r="AK953" s="8"/>
      <c r="AL953" s="8"/>
      <c r="AM953" s="8"/>
      <c r="AN953" s="8"/>
      <c r="AO953" s="8"/>
      <c r="AP953" s="8"/>
      <c r="AQ953" s="8"/>
      <c r="AR953" s="8"/>
      <c r="AS953" s="8"/>
      <c r="AT953" s="8"/>
    </row>
    <row r="954">
      <c r="A954" s="415"/>
      <c r="B954" s="210"/>
      <c r="C954" s="415"/>
      <c r="D954" s="210"/>
      <c r="E954" s="415"/>
      <c r="F954" s="210"/>
      <c r="G954" s="415"/>
      <c r="H954" s="210"/>
      <c r="I954" s="415"/>
      <c r="J954" s="210"/>
      <c r="K954" s="415"/>
      <c r="L954" s="210"/>
      <c r="M954" s="415"/>
      <c r="N954" s="210"/>
      <c r="O954" s="415"/>
      <c r="P954" s="210"/>
      <c r="Q954" s="439"/>
      <c r="R954" s="439"/>
      <c r="S954" s="415"/>
      <c r="T954" s="210"/>
      <c r="U954" s="415"/>
      <c r="V954" s="210"/>
      <c r="W954" s="8"/>
      <c r="X954" s="8"/>
      <c r="Y954" s="8"/>
      <c r="Z954" s="8"/>
      <c r="AA954" s="8"/>
      <c r="AB954" s="8"/>
      <c r="AC954" s="8"/>
      <c r="AD954" s="8"/>
      <c r="AE954" s="8"/>
      <c r="AF954" s="8"/>
      <c r="AG954" s="8"/>
      <c r="AH954" s="8"/>
      <c r="AI954" s="8"/>
      <c r="AJ954" s="8"/>
      <c r="AK954" s="8"/>
      <c r="AL954" s="8"/>
      <c r="AM954" s="8"/>
      <c r="AN954" s="8"/>
      <c r="AO954" s="8"/>
      <c r="AP954" s="8"/>
      <c r="AQ954" s="8"/>
      <c r="AR954" s="8"/>
      <c r="AS954" s="8"/>
      <c r="AT954" s="8"/>
    </row>
    <row r="955">
      <c r="A955" s="415"/>
      <c r="B955" s="210"/>
      <c r="C955" s="415"/>
      <c r="D955" s="210"/>
      <c r="E955" s="415"/>
      <c r="F955" s="210"/>
      <c r="G955" s="415"/>
      <c r="H955" s="210"/>
      <c r="I955" s="415"/>
      <c r="J955" s="210"/>
      <c r="K955" s="415"/>
      <c r="L955" s="210"/>
      <c r="M955" s="415"/>
      <c r="N955" s="210"/>
      <c r="O955" s="415"/>
      <c r="P955" s="210"/>
      <c r="Q955" s="439"/>
      <c r="R955" s="439"/>
      <c r="S955" s="415"/>
      <c r="T955" s="210"/>
      <c r="U955" s="415"/>
      <c r="V955" s="210"/>
      <c r="W955" s="8"/>
      <c r="X955" s="8"/>
      <c r="Y955" s="8"/>
      <c r="Z955" s="8"/>
      <c r="AA955" s="8"/>
      <c r="AB955" s="8"/>
      <c r="AC955" s="8"/>
      <c r="AD955" s="8"/>
      <c r="AE955" s="8"/>
      <c r="AF955" s="8"/>
      <c r="AG955" s="8"/>
      <c r="AH955" s="8"/>
      <c r="AI955" s="8"/>
      <c r="AJ955" s="8"/>
      <c r="AK955" s="8"/>
      <c r="AL955" s="8"/>
      <c r="AM955" s="8"/>
      <c r="AN955" s="8"/>
      <c r="AO955" s="8"/>
      <c r="AP955" s="8"/>
      <c r="AQ955" s="8"/>
      <c r="AR955" s="8"/>
      <c r="AS955" s="8"/>
      <c r="AT955" s="8"/>
    </row>
    <row r="956">
      <c r="A956" s="415"/>
      <c r="B956" s="210"/>
      <c r="C956" s="415"/>
      <c r="D956" s="210"/>
      <c r="E956" s="415"/>
      <c r="F956" s="210"/>
      <c r="G956" s="415"/>
      <c r="H956" s="210"/>
      <c r="I956" s="415"/>
      <c r="J956" s="210"/>
      <c r="K956" s="415"/>
      <c r="L956" s="210"/>
      <c r="M956" s="415"/>
      <c r="N956" s="210"/>
      <c r="O956" s="415"/>
      <c r="P956" s="210"/>
      <c r="Q956" s="439"/>
      <c r="R956" s="439"/>
      <c r="S956" s="415"/>
      <c r="T956" s="210"/>
      <c r="U956" s="415"/>
      <c r="V956" s="210"/>
      <c r="W956" s="8"/>
      <c r="X956" s="8"/>
      <c r="Y956" s="8"/>
      <c r="Z956" s="8"/>
      <c r="AA956" s="8"/>
      <c r="AB956" s="8"/>
      <c r="AC956" s="8"/>
      <c r="AD956" s="8"/>
      <c r="AE956" s="8"/>
      <c r="AF956" s="8"/>
      <c r="AG956" s="8"/>
      <c r="AH956" s="8"/>
      <c r="AI956" s="8"/>
      <c r="AJ956" s="8"/>
      <c r="AK956" s="8"/>
      <c r="AL956" s="8"/>
      <c r="AM956" s="8"/>
      <c r="AN956" s="8"/>
      <c r="AO956" s="8"/>
      <c r="AP956" s="8"/>
      <c r="AQ956" s="8"/>
      <c r="AR956" s="8"/>
      <c r="AS956" s="8"/>
      <c r="AT956" s="8"/>
    </row>
    <row r="957">
      <c r="A957" s="415"/>
      <c r="B957" s="210"/>
      <c r="C957" s="415"/>
      <c r="D957" s="210"/>
      <c r="E957" s="415"/>
      <c r="F957" s="210"/>
      <c r="G957" s="415"/>
      <c r="H957" s="210"/>
      <c r="I957" s="415"/>
      <c r="J957" s="210"/>
      <c r="K957" s="415"/>
      <c r="L957" s="210"/>
      <c r="M957" s="415"/>
      <c r="N957" s="210"/>
      <c r="O957" s="415"/>
      <c r="P957" s="210"/>
      <c r="Q957" s="439"/>
      <c r="R957" s="439"/>
      <c r="S957" s="415"/>
      <c r="T957" s="210"/>
      <c r="U957" s="415"/>
      <c r="V957" s="210"/>
      <c r="W957" s="8"/>
      <c r="X957" s="8"/>
      <c r="Y957" s="8"/>
      <c r="Z957" s="8"/>
      <c r="AA957" s="8"/>
      <c r="AB957" s="8"/>
      <c r="AC957" s="8"/>
      <c r="AD957" s="8"/>
      <c r="AE957" s="8"/>
      <c r="AF957" s="8"/>
      <c r="AG957" s="8"/>
      <c r="AH957" s="8"/>
      <c r="AI957" s="8"/>
      <c r="AJ957" s="8"/>
      <c r="AK957" s="8"/>
      <c r="AL957" s="8"/>
      <c r="AM957" s="8"/>
      <c r="AN957" s="8"/>
      <c r="AO957" s="8"/>
      <c r="AP957" s="8"/>
      <c r="AQ957" s="8"/>
      <c r="AR957" s="8"/>
      <c r="AS957" s="8"/>
      <c r="AT957" s="8"/>
    </row>
    <row r="958">
      <c r="A958" s="415"/>
      <c r="B958" s="210"/>
      <c r="C958" s="415"/>
      <c r="D958" s="210"/>
      <c r="E958" s="415"/>
      <c r="F958" s="210"/>
      <c r="G958" s="415"/>
      <c r="H958" s="210"/>
      <c r="I958" s="415"/>
      <c r="J958" s="210"/>
      <c r="K958" s="415"/>
      <c r="L958" s="210"/>
      <c r="M958" s="415"/>
      <c r="N958" s="210"/>
      <c r="O958" s="415"/>
      <c r="P958" s="210"/>
      <c r="Q958" s="439"/>
      <c r="R958" s="439"/>
      <c r="S958" s="415"/>
      <c r="T958" s="210"/>
      <c r="U958" s="415"/>
      <c r="V958" s="210"/>
      <c r="W958" s="8"/>
      <c r="X958" s="8"/>
      <c r="Y958" s="8"/>
      <c r="Z958" s="8"/>
      <c r="AA958" s="8"/>
      <c r="AB958" s="8"/>
      <c r="AC958" s="8"/>
      <c r="AD958" s="8"/>
      <c r="AE958" s="8"/>
      <c r="AF958" s="8"/>
      <c r="AG958" s="8"/>
      <c r="AH958" s="8"/>
      <c r="AI958" s="8"/>
      <c r="AJ958" s="8"/>
      <c r="AK958" s="8"/>
      <c r="AL958" s="8"/>
      <c r="AM958" s="8"/>
      <c r="AN958" s="8"/>
      <c r="AO958" s="8"/>
      <c r="AP958" s="8"/>
      <c r="AQ958" s="8"/>
      <c r="AR958" s="8"/>
      <c r="AS958" s="8"/>
      <c r="AT958" s="8"/>
    </row>
    <row r="959">
      <c r="A959" s="415"/>
      <c r="B959" s="210"/>
      <c r="C959" s="415"/>
      <c r="D959" s="210"/>
      <c r="E959" s="415"/>
      <c r="F959" s="210"/>
      <c r="G959" s="415"/>
      <c r="H959" s="210"/>
      <c r="I959" s="415"/>
      <c r="J959" s="210"/>
      <c r="K959" s="415"/>
      <c r="L959" s="210"/>
      <c r="M959" s="415"/>
      <c r="N959" s="210"/>
      <c r="O959" s="415"/>
      <c r="P959" s="210"/>
      <c r="Q959" s="439"/>
      <c r="R959" s="439"/>
      <c r="S959" s="415"/>
      <c r="T959" s="210"/>
      <c r="U959" s="415"/>
      <c r="V959" s="210"/>
      <c r="W959" s="8"/>
      <c r="X959" s="8"/>
      <c r="Y959" s="8"/>
      <c r="Z959" s="8"/>
      <c r="AA959" s="8"/>
      <c r="AB959" s="8"/>
      <c r="AC959" s="8"/>
      <c r="AD959" s="8"/>
      <c r="AE959" s="8"/>
      <c r="AF959" s="8"/>
      <c r="AG959" s="8"/>
      <c r="AH959" s="8"/>
      <c r="AI959" s="8"/>
      <c r="AJ959" s="8"/>
      <c r="AK959" s="8"/>
      <c r="AL959" s="8"/>
      <c r="AM959" s="8"/>
      <c r="AN959" s="8"/>
      <c r="AO959" s="8"/>
      <c r="AP959" s="8"/>
      <c r="AQ959" s="8"/>
      <c r="AR959" s="8"/>
      <c r="AS959" s="8"/>
      <c r="AT959" s="8"/>
    </row>
    <row r="960">
      <c r="A960" s="415"/>
      <c r="B960" s="210"/>
      <c r="C960" s="415"/>
      <c r="D960" s="210"/>
      <c r="E960" s="415"/>
      <c r="F960" s="210"/>
      <c r="G960" s="415"/>
      <c r="H960" s="210"/>
      <c r="I960" s="415"/>
      <c r="J960" s="210"/>
      <c r="K960" s="415"/>
      <c r="L960" s="210"/>
      <c r="M960" s="415"/>
      <c r="N960" s="210"/>
      <c r="O960" s="415"/>
      <c r="P960" s="210"/>
      <c r="Q960" s="439"/>
      <c r="R960" s="439"/>
      <c r="S960" s="415"/>
      <c r="T960" s="210"/>
      <c r="U960" s="415"/>
      <c r="V960" s="210"/>
      <c r="W960" s="8"/>
      <c r="X960" s="8"/>
      <c r="Y960" s="8"/>
      <c r="Z960" s="8"/>
      <c r="AA960" s="8"/>
      <c r="AB960" s="8"/>
      <c r="AC960" s="8"/>
      <c r="AD960" s="8"/>
      <c r="AE960" s="8"/>
      <c r="AF960" s="8"/>
      <c r="AG960" s="8"/>
      <c r="AH960" s="8"/>
      <c r="AI960" s="8"/>
      <c r="AJ960" s="8"/>
      <c r="AK960" s="8"/>
      <c r="AL960" s="8"/>
      <c r="AM960" s="8"/>
      <c r="AN960" s="8"/>
      <c r="AO960" s="8"/>
      <c r="AP960" s="8"/>
      <c r="AQ960" s="8"/>
      <c r="AR960" s="8"/>
      <c r="AS960" s="8"/>
      <c r="AT960" s="8"/>
    </row>
    <row r="961">
      <c r="A961" s="415"/>
      <c r="B961" s="210"/>
      <c r="C961" s="415"/>
      <c r="D961" s="210"/>
      <c r="E961" s="415"/>
      <c r="F961" s="210"/>
      <c r="G961" s="415"/>
      <c r="H961" s="210"/>
      <c r="I961" s="415"/>
      <c r="J961" s="210"/>
      <c r="K961" s="415"/>
      <c r="L961" s="210"/>
      <c r="M961" s="415"/>
      <c r="N961" s="210"/>
      <c r="O961" s="415"/>
      <c r="P961" s="210"/>
      <c r="Q961" s="439"/>
      <c r="R961" s="439"/>
      <c r="S961" s="415"/>
      <c r="T961" s="210"/>
      <c r="U961" s="415"/>
      <c r="V961" s="210"/>
      <c r="W961" s="8"/>
      <c r="X961" s="8"/>
      <c r="Y961" s="8"/>
      <c r="Z961" s="8"/>
      <c r="AA961" s="8"/>
      <c r="AB961" s="8"/>
      <c r="AC961" s="8"/>
      <c r="AD961" s="8"/>
      <c r="AE961" s="8"/>
      <c r="AF961" s="8"/>
      <c r="AG961" s="8"/>
      <c r="AH961" s="8"/>
      <c r="AI961" s="8"/>
      <c r="AJ961" s="8"/>
      <c r="AK961" s="8"/>
      <c r="AL961" s="8"/>
      <c r="AM961" s="8"/>
      <c r="AN961" s="8"/>
      <c r="AO961" s="8"/>
      <c r="AP961" s="8"/>
      <c r="AQ961" s="8"/>
      <c r="AR961" s="8"/>
      <c r="AS961" s="8"/>
      <c r="AT961" s="8"/>
    </row>
    <row r="962">
      <c r="A962" s="415"/>
      <c r="B962" s="210"/>
      <c r="C962" s="415"/>
      <c r="D962" s="210"/>
      <c r="E962" s="415"/>
      <c r="F962" s="210"/>
      <c r="G962" s="415"/>
      <c r="H962" s="210"/>
      <c r="I962" s="415"/>
      <c r="J962" s="210"/>
      <c r="K962" s="415"/>
      <c r="L962" s="210"/>
      <c r="M962" s="415"/>
      <c r="N962" s="210"/>
      <c r="O962" s="415"/>
      <c r="P962" s="210"/>
      <c r="Q962" s="439"/>
      <c r="R962" s="439"/>
      <c r="S962" s="415"/>
      <c r="T962" s="210"/>
      <c r="U962" s="415"/>
      <c r="V962" s="210"/>
      <c r="W962" s="8"/>
      <c r="X962" s="8"/>
      <c r="Y962" s="8"/>
      <c r="Z962" s="8"/>
      <c r="AA962" s="8"/>
      <c r="AB962" s="8"/>
      <c r="AC962" s="8"/>
      <c r="AD962" s="8"/>
      <c r="AE962" s="8"/>
      <c r="AF962" s="8"/>
      <c r="AG962" s="8"/>
      <c r="AH962" s="8"/>
      <c r="AI962" s="8"/>
      <c r="AJ962" s="8"/>
      <c r="AK962" s="8"/>
      <c r="AL962" s="8"/>
      <c r="AM962" s="8"/>
      <c r="AN962" s="8"/>
      <c r="AO962" s="8"/>
      <c r="AP962" s="8"/>
      <c r="AQ962" s="8"/>
      <c r="AR962" s="8"/>
      <c r="AS962" s="8"/>
      <c r="AT962" s="8"/>
    </row>
    <row r="963">
      <c r="A963" s="415"/>
      <c r="B963" s="210"/>
      <c r="C963" s="415"/>
      <c r="D963" s="210"/>
      <c r="E963" s="415"/>
      <c r="F963" s="210"/>
      <c r="G963" s="415"/>
      <c r="H963" s="210"/>
      <c r="I963" s="415"/>
      <c r="J963" s="210"/>
      <c r="K963" s="415"/>
      <c r="L963" s="210"/>
      <c r="M963" s="415"/>
      <c r="N963" s="210"/>
      <c r="O963" s="415"/>
      <c r="P963" s="210"/>
      <c r="Q963" s="439"/>
      <c r="R963" s="439"/>
      <c r="S963" s="415"/>
      <c r="T963" s="210"/>
      <c r="U963" s="415"/>
      <c r="V963" s="210"/>
      <c r="W963" s="8"/>
      <c r="X963" s="8"/>
      <c r="Y963" s="8"/>
      <c r="Z963" s="8"/>
      <c r="AA963" s="8"/>
      <c r="AB963" s="8"/>
      <c r="AC963" s="8"/>
      <c r="AD963" s="8"/>
      <c r="AE963" s="8"/>
      <c r="AF963" s="8"/>
      <c r="AG963" s="8"/>
      <c r="AH963" s="8"/>
      <c r="AI963" s="8"/>
      <c r="AJ963" s="8"/>
      <c r="AK963" s="8"/>
      <c r="AL963" s="8"/>
      <c r="AM963" s="8"/>
      <c r="AN963" s="8"/>
      <c r="AO963" s="8"/>
      <c r="AP963" s="8"/>
      <c r="AQ963" s="8"/>
      <c r="AR963" s="8"/>
      <c r="AS963" s="8"/>
      <c r="AT963" s="8"/>
    </row>
    <row r="964">
      <c r="A964" s="415"/>
      <c r="B964" s="210"/>
      <c r="C964" s="415"/>
      <c r="D964" s="210"/>
      <c r="E964" s="415"/>
      <c r="F964" s="210"/>
      <c r="G964" s="415"/>
      <c r="H964" s="210"/>
      <c r="I964" s="415"/>
      <c r="J964" s="210"/>
      <c r="K964" s="415"/>
      <c r="L964" s="210"/>
      <c r="M964" s="415"/>
      <c r="N964" s="210"/>
      <c r="O964" s="415"/>
      <c r="P964" s="210"/>
      <c r="Q964" s="439"/>
      <c r="R964" s="439"/>
      <c r="S964" s="415"/>
      <c r="T964" s="210"/>
      <c r="U964" s="415"/>
      <c r="V964" s="210"/>
      <c r="W964" s="8"/>
      <c r="X964" s="8"/>
      <c r="Y964" s="8"/>
      <c r="Z964" s="8"/>
      <c r="AA964" s="8"/>
      <c r="AB964" s="8"/>
      <c r="AC964" s="8"/>
      <c r="AD964" s="8"/>
      <c r="AE964" s="8"/>
      <c r="AF964" s="8"/>
      <c r="AG964" s="8"/>
      <c r="AH964" s="8"/>
      <c r="AI964" s="8"/>
      <c r="AJ964" s="8"/>
      <c r="AK964" s="8"/>
      <c r="AL964" s="8"/>
      <c r="AM964" s="8"/>
      <c r="AN964" s="8"/>
      <c r="AO964" s="8"/>
      <c r="AP964" s="8"/>
      <c r="AQ964" s="8"/>
      <c r="AR964" s="8"/>
      <c r="AS964" s="8"/>
      <c r="AT964" s="8"/>
    </row>
    <row r="965">
      <c r="A965" s="415"/>
      <c r="B965" s="210"/>
      <c r="C965" s="415"/>
      <c r="D965" s="210"/>
      <c r="E965" s="415"/>
      <c r="F965" s="210"/>
      <c r="G965" s="415"/>
      <c r="H965" s="210"/>
      <c r="I965" s="415"/>
      <c r="J965" s="210"/>
      <c r="K965" s="415"/>
      <c r="L965" s="210"/>
      <c r="M965" s="415"/>
      <c r="N965" s="210"/>
      <c r="O965" s="415"/>
      <c r="P965" s="210"/>
      <c r="Q965" s="439"/>
      <c r="R965" s="439"/>
      <c r="S965" s="415"/>
      <c r="T965" s="210"/>
      <c r="U965" s="415"/>
      <c r="V965" s="210"/>
      <c r="W965" s="8"/>
      <c r="X965" s="8"/>
      <c r="Y965" s="8"/>
      <c r="Z965" s="8"/>
      <c r="AA965" s="8"/>
      <c r="AB965" s="8"/>
      <c r="AC965" s="8"/>
      <c r="AD965" s="8"/>
      <c r="AE965" s="8"/>
      <c r="AF965" s="8"/>
      <c r="AG965" s="8"/>
      <c r="AH965" s="8"/>
      <c r="AI965" s="8"/>
      <c r="AJ965" s="8"/>
      <c r="AK965" s="8"/>
      <c r="AL965" s="8"/>
      <c r="AM965" s="8"/>
      <c r="AN965" s="8"/>
      <c r="AO965" s="8"/>
      <c r="AP965" s="8"/>
      <c r="AQ965" s="8"/>
      <c r="AR965" s="8"/>
      <c r="AS965" s="8"/>
      <c r="AT965" s="8"/>
    </row>
    <row r="966">
      <c r="A966" s="415"/>
      <c r="B966" s="210"/>
      <c r="C966" s="415"/>
      <c r="D966" s="210"/>
      <c r="E966" s="415"/>
      <c r="F966" s="210"/>
      <c r="G966" s="415"/>
      <c r="H966" s="210"/>
      <c r="I966" s="415"/>
      <c r="J966" s="210"/>
      <c r="K966" s="415"/>
      <c r="L966" s="210"/>
      <c r="M966" s="415"/>
      <c r="N966" s="210"/>
      <c r="O966" s="415"/>
      <c r="P966" s="210"/>
      <c r="Q966" s="439"/>
      <c r="R966" s="439"/>
      <c r="S966" s="415"/>
      <c r="T966" s="210"/>
      <c r="U966" s="415"/>
      <c r="V966" s="210"/>
      <c r="W966" s="8"/>
      <c r="X966" s="8"/>
      <c r="Y966" s="8"/>
      <c r="Z966" s="8"/>
      <c r="AA966" s="8"/>
      <c r="AB966" s="8"/>
      <c r="AC966" s="8"/>
      <c r="AD966" s="8"/>
      <c r="AE966" s="8"/>
      <c r="AF966" s="8"/>
      <c r="AG966" s="8"/>
      <c r="AH966" s="8"/>
      <c r="AI966" s="8"/>
      <c r="AJ966" s="8"/>
      <c r="AK966" s="8"/>
      <c r="AL966" s="8"/>
      <c r="AM966" s="8"/>
      <c r="AN966" s="8"/>
      <c r="AO966" s="8"/>
      <c r="AP966" s="8"/>
      <c r="AQ966" s="8"/>
      <c r="AR966" s="8"/>
      <c r="AS966" s="8"/>
      <c r="AT966" s="8"/>
    </row>
    <row r="967">
      <c r="A967" s="415"/>
      <c r="B967" s="210"/>
      <c r="C967" s="415"/>
      <c r="D967" s="210"/>
      <c r="E967" s="415"/>
      <c r="F967" s="210"/>
      <c r="G967" s="415"/>
      <c r="H967" s="210"/>
      <c r="I967" s="415"/>
      <c r="J967" s="210"/>
      <c r="K967" s="415"/>
      <c r="L967" s="210"/>
      <c r="M967" s="415"/>
      <c r="N967" s="210"/>
      <c r="O967" s="415"/>
      <c r="P967" s="210"/>
      <c r="Q967" s="439"/>
      <c r="R967" s="439"/>
      <c r="S967" s="415"/>
      <c r="T967" s="210"/>
      <c r="U967" s="415"/>
      <c r="V967" s="210"/>
      <c r="W967" s="8"/>
      <c r="X967" s="8"/>
      <c r="Y967" s="8"/>
      <c r="Z967" s="8"/>
      <c r="AA967" s="8"/>
      <c r="AB967" s="8"/>
      <c r="AC967" s="8"/>
      <c r="AD967" s="8"/>
      <c r="AE967" s="8"/>
      <c r="AF967" s="8"/>
      <c r="AG967" s="8"/>
      <c r="AH967" s="8"/>
      <c r="AI967" s="8"/>
      <c r="AJ967" s="8"/>
      <c r="AK967" s="8"/>
      <c r="AL967" s="8"/>
      <c r="AM967" s="8"/>
      <c r="AN967" s="8"/>
      <c r="AO967" s="8"/>
      <c r="AP967" s="8"/>
      <c r="AQ967" s="8"/>
      <c r="AR967" s="8"/>
      <c r="AS967" s="8"/>
      <c r="AT967" s="8"/>
    </row>
    <row r="968">
      <c r="A968" s="415"/>
      <c r="B968" s="210"/>
      <c r="C968" s="415"/>
      <c r="D968" s="210"/>
      <c r="E968" s="415"/>
      <c r="F968" s="210"/>
      <c r="G968" s="415"/>
      <c r="H968" s="210"/>
      <c r="I968" s="415"/>
      <c r="J968" s="210"/>
      <c r="K968" s="415"/>
      <c r="L968" s="210"/>
      <c r="M968" s="415"/>
      <c r="N968" s="210"/>
      <c r="O968" s="415"/>
      <c r="P968" s="210"/>
      <c r="Q968" s="439"/>
      <c r="R968" s="439"/>
      <c r="S968" s="415"/>
      <c r="T968" s="210"/>
      <c r="U968" s="415"/>
      <c r="V968" s="210"/>
      <c r="W968" s="8"/>
      <c r="X968" s="8"/>
      <c r="Y968" s="8"/>
      <c r="Z968" s="8"/>
      <c r="AA968" s="8"/>
      <c r="AB968" s="8"/>
      <c r="AC968" s="8"/>
      <c r="AD968" s="8"/>
      <c r="AE968" s="8"/>
      <c r="AF968" s="8"/>
      <c r="AG968" s="8"/>
      <c r="AH968" s="8"/>
      <c r="AI968" s="8"/>
      <c r="AJ968" s="8"/>
      <c r="AK968" s="8"/>
      <c r="AL968" s="8"/>
      <c r="AM968" s="8"/>
      <c r="AN968" s="8"/>
      <c r="AO968" s="8"/>
      <c r="AP968" s="8"/>
      <c r="AQ968" s="8"/>
      <c r="AR968" s="8"/>
      <c r="AS968" s="8"/>
      <c r="AT968" s="8"/>
    </row>
    <row r="969">
      <c r="A969" s="415"/>
      <c r="B969" s="210"/>
      <c r="C969" s="415"/>
      <c r="D969" s="210"/>
      <c r="E969" s="415"/>
      <c r="F969" s="210"/>
      <c r="G969" s="415"/>
      <c r="H969" s="210"/>
      <c r="I969" s="415"/>
      <c r="J969" s="210"/>
      <c r="K969" s="415"/>
      <c r="L969" s="210"/>
      <c r="M969" s="415"/>
      <c r="N969" s="210"/>
      <c r="O969" s="415"/>
      <c r="P969" s="210"/>
      <c r="Q969" s="439"/>
      <c r="R969" s="439"/>
      <c r="S969" s="415"/>
      <c r="T969" s="210"/>
      <c r="U969" s="415"/>
      <c r="V969" s="210"/>
      <c r="W969" s="8"/>
      <c r="X969" s="8"/>
      <c r="Y969" s="8"/>
      <c r="Z969" s="8"/>
      <c r="AA969" s="8"/>
      <c r="AB969" s="8"/>
      <c r="AC969" s="8"/>
      <c r="AD969" s="8"/>
      <c r="AE969" s="8"/>
      <c r="AF969" s="8"/>
      <c r="AG969" s="8"/>
      <c r="AH969" s="8"/>
      <c r="AI969" s="8"/>
      <c r="AJ969" s="8"/>
      <c r="AK969" s="8"/>
      <c r="AL969" s="8"/>
      <c r="AM969" s="8"/>
      <c r="AN969" s="8"/>
      <c r="AO969" s="8"/>
      <c r="AP969" s="8"/>
      <c r="AQ969" s="8"/>
      <c r="AR969" s="8"/>
      <c r="AS969" s="8"/>
      <c r="AT969" s="8"/>
    </row>
    <row r="970">
      <c r="A970" s="415"/>
      <c r="B970" s="210"/>
      <c r="C970" s="415"/>
      <c r="D970" s="210"/>
      <c r="E970" s="415"/>
      <c r="F970" s="210"/>
      <c r="G970" s="415"/>
      <c r="H970" s="210"/>
      <c r="I970" s="415"/>
      <c r="J970" s="210"/>
      <c r="K970" s="415"/>
      <c r="L970" s="210"/>
      <c r="M970" s="415"/>
      <c r="N970" s="210"/>
      <c r="O970" s="415"/>
      <c r="P970" s="210"/>
      <c r="Q970" s="439"/>
      <c r="R970" s="439"/>
      <c r="S970" s="415"/>
      <c r="T970" s="210"/>
      <c r="U970" s="415"/>
      <c r="V970" s="210"/>
      <c r="W970" s="8"/>
      <c r="X970" s="8"/>
      <c r="Y970" s="8"/>
      <c r="Z970" s="8"/>
      <c r="AA970" s="8"/>
      <c r="AB970" s="8"/>
      <c r="AC970" s="8"/>
      <c r="AD970" s="8"/>
      <c r="AE970" s="8"/>
      <c r="AF970" s="8"/>
      <c r="AG970" s="8"/>
      <c r="AH970" s="8"/>
      <c r="AI970" s="8"/>
      <c r="AJ970" s="8"/>
      <c r="AK970" s="8"/>
      <c r="AL970" s="8"/>
      <c r="AM970" s="8"/>
      <c r="AN970" s="8"/>
      <c r="AO970" s="8"/>
      <c r="AP970" s="8"/>
      <c r="AQ970" s="8"/>
      <c r="AR970" s="8"/>
      <c r="AS970" s="8"/>
      <c r="AT970" s="8"/>
    </row>
    <row r="971">
      <c r="A971" s="415"/>
      <c r="B971" s="210"/>
      <c r="C971" s="415"/>
      <c r="D971" s="210"/>
      <c r="E971" s="415"/>
      <c r="F971" s="210"/>
      <c r="G971" s="415"/>
      <c r="H971" s="210"/>
      <c r="I971" s="415"/>
      <c r="J971" s="210"/>
      <c r="K971" s="415"/>
      <c r="L971" s="210"/>
      <c r="M971" s="415"/>
      <c r="N971" s="210"/>
      <c r="O971" s="415"/>
      <c r="P971" s="210"/>
      <c r="Q971" s="439"/>
      <c r="R971" s="439"/>
      <c r="S971" s="415"/>
      <c r="T971" s="210"/>
      <c r="U971" s="415"/>
      <c r="V971" s="210"/>
      <c r="W971" s="8"/>
      <c r="X971" s="8"/>
      <c r="Y971" s="8"/>
      <c r="Z971" s="8"/>
      <c r="AA971" s="8"/>
      <c r="AB971" s="8"/>
      <c r="AC971" s="8"/>
      <c r="AD971" s="8"/>
      <c r="AE971" s="8"/>
      <c r="AF971" s="8"/>
      <c r="AG971" s="8"/>
      <c r="AH971" s="8"/>
      <c r="AI971" s="8"/>
      <c r="AJ971" s="8"/>
      <c r="AK971" s="8"/>
      <c r="AL971" s="8"/>
      <c r="AM971" s="8"/>
      <c r="AN971" s="8"/>
      <c r="AO971" s="8"/>
      <c r="AP971" s="8"/>
      <c r="AQ971" s="8"/>
      <c r="AR971" s="8"/>
      <c r="AS971" s="8"/>
      <c r="AT971" s="8"/>
    </row>
    <row r="972">
      <c r="A972" s="415"/>
      <c r="B972" s="210"/>
      <c r="C972" s="415"/>
      <c r="D972" s="210"/>
      <c r="E972" s="415"/>
      <c r="F972" s="210"/>
      <c r="G972" s="415"/>
      <c r="H972" s="210"/>
      <c r="I972" s="415"/>
      <c r="J972" s="210"/>
      <c r="K972" s="415"/>
      <c r="L972" s="210"/>
      <c r="M972" s="415"/>
      <c r="N972" s="210"/>
      <c r="O972" s="415"/>
      <c r="P972" s="210"/>
      <c r="Q972" s="439"/>
      <c r="R972" s="439"/>
      <c r="S972" s="415"/>
      <c r="T972" s="210"/>
      <c r="U972" s="415"/>
      <c r="V972" s="210"/>
      <c r="W972" s="8"/>
      <c r="X972" s="8"/>
      <c r="Y972" s="8"/>
      <c r="Z972" s="8"/>
      <c r="AA972" s="8"/>
      <c r="AB972" s="8"/>
      <c r="AC972" s="8"/>
      <c r="AD972" s="8"/>
      <c r="AE972" s="8"/>
      <c r="AF972" s="8"/>
      <c r="AG972" s="8"/>
      <c r="AH972" s="8"/>
      <c r="AI972" s="8"/>
      <c r="AJ972" s="8"/>
      <c r="AK972" s="8"/>
      <c r="AL972" s="8"/>
      <c r="AM972" s="8"/>
      <c r="AN972" s="8"/>
      <c r="AO972" s="8"/>
      <c r="AP972" s="8"/>
      <c r="AQ972" s="8"/>
      <c r="AR972" s="8"/>
      <c r="AS972" s="8"/>
      <c r="AT972" s="8"/>
    </row>
    <row r="973">
      <c r="A973" s="415"/>
      <c r="B973" s="210"/>
      <c r="C973" s="415"/>
      <c r="D973" s="210"/>
      <c r="E973" s="415"/>
      <c r="F973" s="210"/>
      <c r="G973" s="415"/>
      <c r="H973" s="210"/>
      <c r="I973" s="415"/>
      <c r="J973" s="210"/>
      <c r="K973" s="415"/>
      <c r="L973" s="210"/>
      <c r="M973" s="415"/>
      <c r="N973" s="210"/>
      <c r="O973" s="415"/>
      <c r="P973" s="210"/>
      <c r="Q973" s="439"/>
      <c r="R973" s="439"/>
      <c r="S973" s="415"/>
      <c r="T973" s="210"/>
      <c r="U973" s="415"/>
      <c r="V973" s="210"/>
      <c r="W973" s="8"/>
      <c r="X973" s="8"/>
      <c r="Y973" s="8"/>
      <c r="Z973" s="8"/>
      <c r="AA973" s="8"/>
      <c r="AB973" s="8"/>
      <c r="AC973" s="8"/>
      <c r="AD973" s="8"/>
      <c r="AE973" s="8"/>
      <c r="AF973" s="8"/>
      <c r="AG973" s="8"/>
      <c r="AH973" s="8"/>
      <c r="AI973" s="8"/>
      <c r="AJ973" s="8"/>
      <c r="AK973" s="8"/>
      <c r="AL973" s="8"/>
      <c r="AM973" s="8"/>
      <c r="AN973" s="8"/>
      <c r="AO973" s="8"/>
      <c r="AP973" s="8"/>
      <c r="AQ973" s="8"/>
      <c r="AR973" s="8"/>
      <c r="AS973" s="8"/>
      <c r="AT973" s="8"/>
    </row>
    <row r="974">
      <c r="A974" s="415"/>
      <c r="B974" s="210"/>
      <c r="C974" s="415"/>
      <c r="D974" s="210"/>
      <c r="E974" s="415"/>
      <c r="F974" s="210"/>
      <c r="G974" s="415"/>
      <c r="H974" s="210"/>
      <c r="I974" s="415"/>
      <c r="J974" s="210"/>
      <c r="K974" s="415"/>
      <c r="L974" s="210"/>
      <c r="M974" s="415"/>
      <c r="N974" s="210"/>
      <c r="O974" s="415"/>
      <c r="P974" s="210"/>
      <c r="Q974" s="439"/>
      <c r="R974" s="439"/>
      <c r="S974" s="415"/>
      <c r="T974" s="210"/>
      <c r="U974" s="415"/>
      <c r="V974" s="210"/>
      <c r="W974" s="8"/>
      <c r="X974" s="8"/>
      <c r="Y974" s="8"/>
      <c r="Z974" s="8"/>
      <c r="AA974" s="8"/>
      <c r="AB974" s="8"/>
      <c r="AC974" s="8"/>
      <c r="AD974" s="8"/>
      <c r="AE974" s="8"/>
      <c r="AF974" s="8"/>
      <c r="AG974" s="8"/>
      <c r="AH974" s="8"/>
      <c r="AI974" s="8"/>
      <c r="AJ974" s="8"/>
      <c r="AK974" s="8"/>
      <c r="AL974" s="8"/>
      <c r="AM974" s="8"/>
      <c r="AN974" s="8"/>
      <c r="AO974" s="8"/>
      <c r="AP974" s="8"/>
      <c r="AQ974" s="8"/>
      <c r="AR974" s="8"/>
      <c r="AS974" s="8"/>
      <c r="AT974" s="8"/>
    </row>
    <row r="975">
      <c r="A975" s="415"/>
      <c r="B975" s="210"/>
      <c r="C975" s="415"/>
      <c r="D975" s="210"/>
      <c r="E975" s="415"/>
      <c r="F975" s="210"/>
      <c r="G975" s="415"/>
      <c r="H975" s="210"/>
      <c r="I975" s="415"/>
      <c r="J975" s="210"/>
      <c r="K975" s="415"/>
      <c r="L975" s="210"/>
      <c r="M975" s="415"/>
      <c r="N975" s="210"/>
      <c r="O975" s="415"/>
      <c r="P975" s="210"/>
      <c r="Q975" s="439"/>
      <c r="R975" s="439"/>
      <c r="S975" s="415"/>
      <c r="T975" s="210"/>
      <c r="U975" s="415"/>
      <c r="V975" s="210"/>
      <c r="W975" s="8"/>
      <c r="X975" s="8"/>
      <c r="Y975" s="8"/>
      <c r="Z975" s="8"/>
      <c r="AA975" s="8"/>
      <c r="AB975" s="8"/>
      <c r="AC975" s="8"/>
      <c r="AD975" s="8"/>
      <c r="AE975" s="8"/>
      <c r="AF975" s="8"/>
      <c r="AG975" s="8"/>
      <c r="AH975" s="8"/>
      <c r="AI975" s="8"/>
      <c r="AJ975" s="8"/>
      <c r="AK975" s="8"/>
      <c r="AL975" s="8"/>
      <c r="AM975" s="8"/>
      <c r="AN975" s="8"/>
      <c r="AO975" s="8"/>
      <c r="AP975" s="8"/>
      <c r="AQ975" s="8"/>
      <c r="AR975" s="8"/>
      <c r="AS975" s="8"/>
      <c r="AT975" s="8"/>
    </row>
    <row r="976">
      <c r="A976" s="415"/>
      <c r="B976" s="210"/>
      <c r="C976" s="415"/>
      <c r="D976" s="210"/>
      <c r="E976" s="415"/>
      <c r="F976" s="210"/>
      <c r="G976" s="415"/>
      <c r="H976" s="210"/>
      <c r="I976" s="415"/>
      <c r="J976" s="210"/>
      <c r="K976" s="415"/>
      <c r="L976" s="210"/>
      <c r="M976" s="415"/>
      <c r="N976" s="210"/>
      <c r="O976" s="415"/>
      <c r="P976" s="210"/>
      <c r="Q976" s="439"/>
      <c r="R976" s="439"/>
      <c r="S976" s="415"/>
      <c r="T976" s="210"/>
      <c r="U976" s="415"/>
      <c r="V976" s="210"/>
      <c r="W976" s="8"/>
      <c r="X976" s="8"/>
      <c r="Y976" s="8"/>
      <c r="Z976" s="8"/>
      <c r="AA976" s="8"/>
      <c r="AB976" s="8"/>
      <c r="AC976" s="8"/>
      <c r="AD976" s="8"/>
      <c r="AE976" s="8"/>
      <c r="AF976" s="8"/>
      <c r="AG976" s="8"/>
      <c r="AH976" s="8"/>
      <c r="AI976" s="8"/>
      <c r="AJ976" s="8"/>
      <c r="AK976" s="8"/>
      <c r="AL976" s="8"/>
      <c r="AM976" s="8"/>
      <c r="AN976" s="8"/>
      <c r="AO976" s="8"/>
      <c r="AP976" s="8"/>
      <c r="AQ976" s="8"/>
      <c r="AR976" s="8"/>
      <c r="AS976" s="8"/>
      <c r="AT976" s="8"/>
    </row>
    <row r="977">
      <c r="A977" s="415"/>
      <c r="B977" s="210"/>
      <c r="C977" s="415"/>
      <c r="D977" s="210"/>
      <c r="E977" s="415"/>
      <c r="F977" s="210"/>
      <c r="G977" s="415"/>
      <c r="H977" s="210"/>
      <c r="I977" s="415"/>
      <c r="J977" s="210"/>
      <c r="K977" s="415"/>
      <c r="L977" s="210"/>
      <c r="M977" s="415"/>
      <c r="N977" s="210"/>
      <c r="O977" s="415"/>
      <c r="P977" s="210"/>
      <c r="Q977" s="439"/>
      <c r="R977" s="439"/>
      <c r="S977" s="415"/>
      <c r="T977" s="210"/>
      <c r="U977" s="415"/>
      <c r="V977" s="210"/>
      <c r="W977" s="8"/>
      <c r="X977" s="8"/>
      <c r="Y977" s="8"/>
      <c r="Z977" s="8"/>
      <c r="AA977" s="8"/>
      <c r="AB977" s="8"/>
      <c r="AC977" s="8"/>
      <c r="AD977" s="8"/>
      <c r="AE977" s="8"/>
      <c r="AF977" s="8"/>
      <c r="AG977" s="8"/>
      <c r="AH977" s="8"/>
      <c r="AI977" s="8"/>
      <c r="AJ977" s="8"/>
      <c r="AK977" s="8"/>
      <c r="AL977" s="8"/>
      <c r="AM977" s="8"/>
      <c r="AN977" s="8"/>
      <c r="AO977" s="8"/>
      <c r="AP977" s="8"/>
      <c r="AQ977" s="8"/>
      <c r="AR977" s="8"/>
      <c r="AS977" s="8"/>
      <c r="AT977" s="8"/>
    </row>
    <row r="978">
      <c r="A978" s="415"/>
      <c r="B978" s="210"/>
      <c r="C978" s="415"/>
      <c r="D978" s="210"/>
      <c r="E978" s="415"/>
      <c r="F978" s="210"/>
      <c r="G978" s="415"/>
      <c r="H978" s="210"/>
      <c r="I978" s="415"/>
      <c r="J978" s="210"/>
      <c r="K978" s="415"/>
      <c r="L978" s="210"/>
      <c r="M978" s="415"/>
      <c r="N978" s="210"/>
      <c r="O978" s="415"/>
      <c r="P978" s="210"/>
      <c r="Q978" s="439"/>
      <c r="R978" s="439"/>
      <c r="S978" s="415"/>
      <c r="T978" s="210"/>
      <c r="U978" s="415"/>
      <c r="V978" s="210"/>
      <c r="W978" s="8"/>
      <c r="X978" s="8"/>
      <c r="Y978" s="8"/>
      <c r="Z978" s="8"/>
      <c r="AA978" s="8"/>
      <c r="AB978" s="8"/>
      <c r="AC978" s="8"/>
      <c r="AD978" s="8"/>
      <c r="AE978" s="8"/>
      <c r="AF978" s="8"/>
      <c r="AG978" s="8"/>
      <c r="AH978" s="8"/>
      <c r="AI978" s="8"/>
      <c r="AJ978" s="8"/>
      <c r="AK978" s="8"/>
      <c r="AL978" s="8"/>
      <c r="AM978" s="8"/>
      <c r="AN978" s="8"/>
      <c r="AO978" s="8"/>
      <c r="AP978" s="8"/>
      <c r="AQ978" s="8"/>
      <c r="AR978" s="8"/>
      <c r="AS978" s="8"/>
      <c r="AT978" s="8"/>
    </row>
    <row r="979">
      <c r="A979" s="415"/>
      <c r="B979" s="210"/>
      <c r="C979" s="415"/>
      <c r="D979" s="210"/>
      <c r="E979" s="415"/>
      <c r="F979" s="210"/>
      <c r="G979" s="415"/>
      <c r="H979" s="210"/>
      <c r="I979" s="415"/>
      <c r="J979" s="210"/>
      <c r="K979" s="415"/>
      <c r="L979" s="210"/>
      <c r="M979" s="415"/>
      <c r="N979" s="210"/>
      <c r="O979" s="415"/>
      <c r="P979" s="210"/>
      <c r="Q979" s="439"/>
      <c r="R979" s="439"/>
      <c r="S979" s="415"/>
      <c r="T979" s="210"/>
      <c r="U979" s="415"/>
      <c r="V979" s="210"/>
      <c r="W979" s="8"/>
      <c r="X979" s="8"/>
      <c r="Y979" s="8"/>
      <c r="Z979" s="8"/>
      <c r="AA979" s="8"/>
      <c r="AB979" s="8"/>
      <c r="AC979" s="8"/>
      <c r="AD979" s="8"/>
      <c r="AE979" s="8"/>
      <c r="AF979" s="8"/>
      <c r="AG979" s="8"/>
      <c r="AH979" s="8"/>
      <c r="AI979" s="8"/>
      <c r="AJ979" s="8"/>
      <c r="AK979" s="8"/>
      <c r="AL979" s="8"/>
      <c r="AM979" s="8"/>
      <c r="AN979" s="8"/>
      <c r="AO979" s="8"/>
      <c r="AP979" s="8"/>
      <c r="AQ979" s="8"/>
      <c r="AR979" s="8"/>
      <c r="AS979" s="8"/>
      <c r="AT979" s="8"/>
    </row>
    <row r="980">
      <c r="A980" s="415"/>
      <c r="B980" s="210"/>
      <c r="C980" s="415"/>
      <c r="D980" s="210"/>
      <c r="E980" s="415"/>
      <c r="F980" s="210"/>
      <c r="G980" s="415"/>
      <c r="H980" s="210"/>
      <c r="I980" s="415"/>
      <c r="J980" s="210"/>
      <c r="K980" s="415"/>
      <c r="L980" s="210"/>
      <c r="M980" s="415"/>
      <c r="N980" s="210"/>
      <c r="O980" s="415"/>
      <c r="P980" s="210"/>
      <c r="Q980" s="439"/>
      <c r="R980" s="439"/>
      <c r="S980" s="415"/>
      <c r="T980" s="210"/>
      <c r="U980" s="415"/>
      <c r="V980" s="210"/>
      <c r="W980" s="8"/>
      <c r="X980" s="8"/>
      <c r="Y980" s="8"/>
      <c r="Z980" s="8"/>
      <c r="AA980" s="8"/>
      <c r="AB980" s="8"/>
      <c r="AC980" s="8"/>
      <c r="AD980" s="8"/>
      <c r="AE980" s="8"/>
      <c r="AF980" s="8"/>
      <c r="AG980" s="8"/>
      <c r="AH980" s="8"/>
      <c r="AI980" s="8"/>
      <c r="AJ980" s="8"/>
      <c r="AK980" s="8"/>
      <c r="AL980" s="8"/>
      <c r="AM980" s="8"/>
      <c r="AN980" s="8"/>
      <c r="AO980" s="8"/>
      <c r="AP980" s="8"/>
      <c r="AQ980" s="8"/>
      <c r="AR980" s="8"/>
      <c r="AS980" s="8"/>
      <c r="AT980" s="8"/>
    </row>
    <row r="981">
      <c r="A981" s="415"/>
      <c r="B981" s="210"/>
      <c r="C981" s="415"/>
      <c r="D981" s="210"/>
      <c r="E981" s="415"/>
      <c r="F981" s="210"/>
      <c r="G981" s="415"/>
      <c r="H981" s="210"/>
      <c r="I981" s="415"/>
      <c r="J981" s="210"/>
      <c r="K981" s="415"/>
      <c r="L981" s="210"/>
      <c r="M981" s="415"/>
      <c r="N981" s="210"/>
      <c r="O981" s="415"/>
      <c r="P981" s="210"/>
      <c r="Q981" s="439"/>
      <c r="R981" s="439"/>
      <c r="S981" s="415"/>
      <c r="T981" s="210"/>
      <c r="U981" s="415"/>
      <c r="V981" s="210"/>
      <c r="W981" s="8"/>
      <c r="X981" s="8"/>
      <c r="Y981" s="8"/>
      <c r="Z981" s="8"/>
      <c r="AA981" s="8"/>
      <c r="AB981" s="8"/>
      <c r="AC981" s="8"/>
      <c r="AD981" s="8"/>
      <c r="AE981" s="8"/>
      <c r="AF981" s="8"/>
      <c r="AG981" s="8"/>
      <c r="AH981" s="8"/>
      <c r="AI981" s="8"/>
      <c r="AJ981" s="8"/>
      <c r="AK981" s="8"/>
      <c r="AL981" s="8"/>
      <c r="AM981" s="8"/>
      <c r="AN981" s="8"/>
      <c r="AO981" s="8"/>
      <c r="AP981" s="8"/>
      <c r="AQ981" s="8"/>
      <c r="AR981" s="8"/>
      <c r="AS981" s="8"/>
      <c r="AT981" s="8"/>
    </row>
    <row r="982">
      <c r="A982" s="415"/>
      <c r="B982" s="210"/>
      <c r="C982" s="415"/>
      <c r="D982" s="210"/>
      <c r="E982" s="415"/>
      <c r="F982" s="210"/>
      <c r="G982" s="415"/>
      <c r="H982" s="210"/>
      <c r="I982" s="415"/>
      <c r="J982" s="210"/>
      <c r="K982" s="415"/>
      <c r="L982" s="210"/>
      <c r="M982" s="415"/>
      <c r="N982" s="210"/>
      <c r="O982" s="415"/>
      <c r="P982" s="210"/>
      <c r="Q982" s="439"/>
      <c r="R982" s="439"/>
      <c r="S982" s="415"/>
      <c r="T982" s="210"/>
      <c r="U982" s="415"/>
      <c r="V982" s="210"/>
      <c r="W982" s="8"/>
      <c r="X982" s="8"/>
      <c r="Y982" s="8"/>
      <c r="Z982" s="8"/>
      <c r="AA982" s="8"/>
      <c r="AB982" s="8"/>
      <c r="AC982" s="8"/>
      <c r="AD982" s="8"/>
      <c r="AE982" s="8"/>
      <c r="AF982" s="8"/>
      <c r="AG982" s="8"/>
      <c r="AH982" s="8"/>
      <c r="AI982" s="8"/>
      <c r="AJ982" s="8"/>
      <c r="AK982" s="8"/>
      <c r="AL982" s="8"/>
      <c r="AM982" s="8"/>
      <c r="AN982" s="8"/>
      <c r="AO982" s="8"/>
      <c r="AP982" s="8"/>
      <c r="AQ982" s="8"/>
      <c r="AR982" s="8"/>
      <c r="AS982" s="8"/>
      <c r="AT982" s="8"/>
    </row>
    <row r="983">
      <c r="A983" s="415"/>
      <c r="B983" s="210"/>
      <c r="C983" s="415"/>
      <c r="D983" s="210"/>
      <c r="E983" s="415"/>
      <c r="F983" s="210"/>
      <c r="G983" s="415"/>
      <c r="H983" s="210"/>
      <c r="I983" s="415"/>
      <c r="J983" s="210"/>
      <c r="K983" s="415"/>
      <c r="L983" s="210"/>
      <c r="M983" s="415"/>
      <c r="N983" s="210"/>
      <c r="O983" s="415"/>
      <c r="P983" s="210"/>
      <c r="Q983" s="439"/>
      <c r="R983" s="439"/>
      <c r="S983" s="415"/>
      <c r="T983" s="210"/>
      <c r="U983" s="415"/>
      <c r="V983" s="210"/>
      <c r="W983" s="8"/>
      <c r="X983" s="8"/>
      <c r="Y983" s="8"/>
      <c r="Z983" s="8"/>
      <c r="AA983" s="8"/>
      <c r="AB983" s="8"/>
      <c r="AC983" s="8"/>
      <c r="AD983" s="8"/>
      <c r="AE983" s="8"/>
      <c r="AF983" s="8"/>
      <c r="AG983" s="8"/>
      <c r="AH983" s="8"/>
      <c r="AI983" s="8"/>
      <c r="AJ983" s="8"/>
      <c r="AK983" s="8"/>
      <c r="AL983" s="8"/>
      <c r="AM983" s="8"/>
      <c r="AN983" s="8"/>
      <c r="AO983" s="8"/>
      <c r="AP983" s="8"/>
      <c r="AQ983" s="8"/>
      <c r="AR983" s="8"/>
      <c r="AS983" s="8"/>
      <c r="AT983" s="8"/>
    </row>
    <row r="984">
      <c r="A984" s="415"/>
      <c r="B984" s="210"/>
      <c r="C984" s="415"/>
      <c r="D984" s="210"/>
      <c r="E984" s="415"/>
      <c r="F984" s="210"/>
      <c r="G984" s="415"/>
      <c r="H984" s="210"/>
      <c r="I984" s="415"/>
      <c r="J984" s="210"/>
      <c r="K984" s="415"/>
      <c r="L984" s="210"/>
      <c r="M984" s="415"/>
      <c r="N984" s="210"/>
      <c r="O984" s="415"/>
      <c r="P984" s="210"/>
      <c r="Q984" s="439"/>
      <c r="R984" s="439"/>
      <c r="S984" s="415"/>
      <c r="T984" s="210"/>
      <c r="U984" s="415"/>
      <c r="V984" s="210"/>
      <c r="W984" s="8"/>
      <c r="X984" s="8"/>
      <c r="Y984" s="8"/>
      <c r="Z984" s="8"/>
      <c r="AA984" s="8"/>
      <c r="AB984" s="8"/>
      <c r="AC984" s="8"/>
      <c r="AD984" s="8"/>
      <c r="AE984" s="8"/>
      <c r="AF984" s="8"/>
      <c r="AG984" s="8"/>
      <c r="AH984" s="8"/>
      <c r="AI984" s="8"/>
      <c r="AJ984" s="8"/>
      <c r="AK984" s="8"/>
      <c r="AL984" s="8"/>
      <c r="AM984" s="8"/>
      <c r="AN984" s="8"/>
      <c r="AO984" s="8"/>
      <c r="AP984" s="8"/>
      <c r="AQ984" s="8"/>
      <c r="AR984" s="8"/>
      <c r="AS984" s="8"/>
      <c r="AT984" s="8"/>
    </row>
    <row r="985">
      <c r="A985" s="415"/>
      <c r="B985" s="210"/>
      <c r="C985" s="415"/>
      <c r="D985" s="210"/>
      <c r="E985" s="415"/>
      <c r="F985" s="210"/>
      <c r="G985" s="415"/>
      <c r="H985" s="210"/>
      <c r="I985" s="415"/>
      <c r="J985" s="210"/>
      <c r="K985" s="415"/>
      <c r="L985" s="210"/>
      <c r="M985" s="415"/>
      <c r="N985" s="210"/>
      <c r="O985" s="415"/>
      <c r="P985" s="210"/>
      <c r="Q985" s="439"/>
      <c r="R985" s="439"/>
      <c r="S985" s="415"/>
      <c r="T985" s="210"/>
      <c r="U985" s="415"/>
      <c r="V985" s="210"/>
      <c r="W985" s="8"/>
      <c r="X985" s="8"/>
      <c r="Y985" s="8"/>
      <c r="Z985" s="8"/>
      <c r="AA985" s="8"/>
      <c r="AB985" s="8"/>
      <c r="AC985" s="8"/>
      <c r="AD985" s="8"/>
      <c r="AE985" s="8"/>
      <c r="AF985" s="8"/>
      <c r="AG985" s="8"/>
      <c r="AH985" s="8"/>
      <c r="AI985" s="8"/>
      <c r="AJ985" s="8"/>
      <c r="AK985" s="8"/>
      <c r="AL985" s="8"/>
      <c r="AM985" s="8"/>
      <c r="AN985" s="8"/>
      <c r="AO985" s="8"/>
      <c r="AP985" s="8"/>
      <c r="AQ985" s="8"/>
      <c r="AR985" s="8"/>
      <c r="AS985" s="8"/>
      <c r="AT985" s="8"/>
    </row>
    <row r="986">
      <c r="A986" s="415"/>
      <c r="B986" s="210"/>
      <c r="C986" s="415"/>
      <c r="D986" s="210"/>
      <c r="E986" s="415"/>
      <c r="F986" s="210"/>
      <c r="G986" s="415"/>
      <c r="H986" s="210"/>
      <c r="I986" s="415"/>
      <c r="J986" s="210"/>
      <c r="K986" s="415"/>
      <c r="L986" s="210"/>
      <c r="M986" s="415"/>
      <c r="N986" s="210"/>
      <c r="O986" s="415"/>
      <c r="P986" s="210"/>
      <c r="Q986" s="439"/>
      <c r="R986" s="439"/>
      <c r="S986" s="415"/>
      <c r="T986" s="210"/>
      <c r="U986" s="415"/>
      <c r="V986" s="210"/>
      <c r="W986" s="8"/>
      <c r="X986" s="8"/>
      <c r="Y986" s="8"/>
      <c r="Z986" s="8"/>
      <c r="AA986" s="8"/>
      <c r="AB986" s="8"/>
      <c r="AC986" s="8"/>
      <c r="AD986" s="8"/>
      <c r="AE986" s="8"/>
      <c r="AF986" s="8"/>
      <c r="AG986" s="8"/>
      <c r="AH986" s="8"/>
      <c r="AI986" s="8"/>
      <c r="AJ986" s="8"/>
      <c r="AK986" s="8"/>
      <c r="AL986" s="8"/>
      <c r="AM986" s="8"/>
      <c r="AN986" s="8"/>
      <c r="AO986" s="8"/>
      <c r="AP986" s="8"/>
      <c r="AQ986" s="8"/>
      <c r="AR986" s="8"/>
      <c r="AS986" s="8"/>
      <c r="AT986" s="8"/>
    </row>
    <row r="987">
      <c r="A987" s="415"/>
      <c r="B987" s="210"/>
      <c r="C987" s="415"/>
      <c r="D987" s="210"/>
      <c r="E987" s="415"/>
      <c r="F987" s="210"/>
      <c r="G987" s="415"/>
      <c r="H987" s="210"/>
      <c r="I987" s="415"/>
      <c r="J987" s="210"/>
      <c r="K987" s="415"/>
      <c r="L987" s="210"/>
      <c r="M987" s="415"/>
      <c r="N987" s="210"/>
      <c r="O987" s="415"/>
      <c r="P987" s="210"/>
      <c r="Q987" s="439"/>
      <c r="R987" s="439"/>
      <c r="S987" s="415"/>
      <c r="T987" s="210"/>
      <c r="U987" s="415"/>
      <c r="V987" s="210"/>
      <c r="W987" s="8"/>
      <c r="X987" s="8"/>
      <c r="Y987" s="8"/>
      <c r="Z987" s="8"/>
      <c r="AA987" s="8"/>
      <c r="AB987" s="8"/>
      <c r="AC987" s="8"/>
      <c r="AD987" s="8"/>
      <c r="AE987" s="8"/>
      <c r="AF987" s="8"/>
      <c r="AG987" s="8"/>
      <c r="AH987" s="8"/>
      <c r="AI987" s="8"/>
      <c r="AJ987" s="8"/>
      <c r="AK987" s="8"/>
      <c r="AL987" s="8"/>
      <c r="AM987" s="8"/>
      <c r="AN987" s="8"/>
      <c r="AO987" s="8"/>
      <c r="AP987" s="8"/>
      <c r="AQ987" s="8"/>
      <c r="AR987" s="8"/>
      <c r="AS987" s="8"/>
      <c r="AT987" s="8"/>
    </row>
    <row r="988">
      <c r="A988" s="415"/>
      <c r="B988" s="210"/>
      <c r="C988" s="415"/>
      <c r="D988" s="210"/>
      <c r="E988" s="415"/>
      <c r="F988" s="210"/>
      <c r="G988" s="415"/>
      <c r="H988" s="210"/>
      <c r="I988" s="415"/>
      <c r="J988" s="210"/>
      <c r="K988" s="415"/>
      <c r="L988" s="210"/>
      <c r="M988" s="415"/>
      <c r="N988" s="210"/>
      <c r="O988" s="415"/>
      <c r="P988" s="210"/>
      <c r="Q988" s="439"/>
      <c r="R988" s="439"/>
      <c r="S988" s="415"/>
      <c r="T988" s="210"/>
      <c r="U988" s="415"/>
      <c r="V988" s="210"/>
      <c r="W988" s="8"/>
      <c r="X988" s="8"/>
      <c r="Y988" s="8"/>
      <c r="Z988" s="8"/>
      <c r="AA988" s="8"/>
      <c r="AB988" s="8"/>
      <c r="AC988" s="8"/>
      <c r="AD988" s="8"/>
      <c r="AE988" s="8"/>
      <c r="AF988" s="8"/>
      <c r="AG988" s="8"/>
      <c r="AH988" s="8"/>
      <c r="AI988" s="8"/>
      <c r="AJ988" s="8"/>
      <c r="AK988" s="8"/>
      <c r="AL988" s="8"/>
      <c r="AM988" s="8"/>
      <c r="AN988" s="8"/>
      <c r="AO988" s="8"/>
      <c r="AP988" s="8"/>
      <c r="AQ988" s="8"/>
      <c r="AR988" s="8"/>
      <c r="AS988" s="8"/>
      <c r="AT988" s="8"/>
    </row>
    <row r="989">
      <c r="A989" s="415"/>
      <c r="B989" s="210"/>
      <c r="C989" s="415"/>
      <c r="D989" s="210"/>
      <c r="E989" s="415"/>
      <c r="F989" s="210"/>
      <c r="G989" s="415"/>
      <c r="H989" s="210"/>
      <c r="I989" s="415"/>
      <c r="J989" s="210"/>
      <c r="K989" s="415"/>
      <c r="L989" s="210"/>
      <c r="M989" s="415"/>
      <c r="N989" s="210"/>
      <c r="O989" s="415"/>
      <c r="P989" s="210"/>
      <c r="Q989" s="439"/>
      <c r="R989" s="439"/>
      <c r="S989" s="415"/>
      <c r="T989" s="210"/>
      <c r="U989" s="415"/>
      <c r="V989" s="210"/>
      <c r="W989" s="8"/>
      <c r="X989" s="8"/>
      <c r="Y989" s="8"/>
      <c r="Z989" s="8"/>
      <c r="AA989" s="8"/>
      <c r="AB989" s="8"/>
      <c r="AC989" s="8"/>
      <c r="AD989" s="8"/>
      <c r="AE989" s="8"/>
      <c r="AF989" s="8"/>
      <c r="AG989" s="8"/>
      <c r="AH989" s="8"/>
      <c r="AI989" s="8"/>
      <c r="AJ989" s="8"/>
      <c r="AK989" s="8"/>
      <c r="AL989" s="8"/>
      <c r="AM989" s="8"/>
      <c r="AN989" s="8"/>
      <c r="AO989" s="8"/>
      <c r="AP989" s="8"/>
      <c r="AQ989" s="8"/>
      <c r="AR989" s="8"/>
      <c r="AS989" s="8"/>
      <c r="AT989" s="8"/>
    </row>
    <row r="990">
      <c r="A990" s="415"/>
      <c r="B990" s="210"/>
      <c r="C990" s="415"/>
      <c r="D990" s="210"/>
      <c r="E990" s="415"/>
      <c r="F990" s="210"/>
      <c r="G990" s="415"/>
      <c r="H990" s="210"/>
      <c r="I990" s="415"/>
      <c r="J990" s="210"/>
      <c r="K990" s="415"/>
      <c r="L990" s="210"/>
      <c r="M990" s="415"/>
      <c r="N990" s="210"/>
      <c r="O990" s="415"/>
      <c r="P990" s="210"/>
      <c r="Q990" s="439"/>
      <c r="R990" s="439"/>
      <c r="S990" s="415"/>
      <c r="T990" s="210"/>
      <c r="U990" s="415"/>
      <c r="V990" s="210"/>
      <c r="W990" s="8"/>
      <c r="X990" s="8"/>
      <c r="Y990" s="8"/>
      <c r="Z990" s="8"/>
      <c r="AA990" s="8"/>
      <c r="AB990" s="8"/>
      <c r="AC990" s="8"/>
      <c r="AD990" s="8"/>
      <c r="AE990" s="8"/>
      <c r="AF990" s="8"/>
      <c r="AG990" s="8"/>
      <c r="AH990" s="8"/>
      <c r="AI990" s="8"/>
      <c r="AJ990" s="8"/>
      <c r="AK990" s="8"/>
      <c r="AL990" s="8"/>
      <c r="AM990" s="8"/>
      <c r="AN990" s="8"/>
      <c r="AO990" s="8"/>
      <c r="AP990" s="8"/>
      <c r="AQ990" s="8"/>
      <c r="AR990" s="8"/>
      <c r="AS990" s="8"/>
      <c r="AT990" s="8"/>
    </row>
    <row r="991">
      <c r="A991" s="415"/>
      <c r="B991" s="210"/>
      <c r="C991" s="415"/>
      <c r="D991" s="210"/>
      <c r="E991" s="415"/>
      <c r="F991" s="210"/>
      <c r="G991" s="415"/>
      <c r="H991" s="210"/>
      <c r="I991" s="415"/>
      <c r="J991" s="210"/>
      <c r="K991" s="415"/>
      <c r="L991" s="210"/>
      <c r="M991" s="415"/>
      <c r="N991" s="210"/>
      <c r="O991" s="415"/>
      <c r="P991" s="210"/>
      <c r="Q991" s="439"/>
      <c r="R991" s="439"/>
      <c r="S991" s="415"/>
      <c r="T991" s="210"/>
      <c r="U991" s="415"/>
      <c r="V991" s="210"/>
      <c r="W991" s="8"/>
      <c r="X991" s="8"/>
      <c r="Y991" s="8"/>
      <c r="Z991" s="8"/>
      <c r="AA991" s="8"/>
      <c r="AB991" s="8"/>
      <c r="AC991" s="8"/>
      <c r="AD991" s="8"/>
      <c r="AE991" s="8"/>
      <c r="AF991" s="8"/>
      <c r="AG991" s="8"/>
      <c r="AH991" s="8"/>
      <c r="AI991" s="8"/>
      <c r="AJ991" s="8"/>
      <c r="AK991" s="8"/>
      <c r="AL991" s="8"/>
      <c r="AM991" s="8"/>
      <c r="AN991" s="8"/>
      <c r="AO991" s="8"/>
      <c r="AP991" s="8"/>
      <c r="AQ991" s="8"/>
      <c r="AR991" s="8"/>
      <c r="AS991" s="8"/>
      <c r="AT991" s="8"/>
    </row>
    <row r="992">
      <c r="A992" s="415"/>
      <c r="B992" s="210"/>
      <c r="C992" s="415"/>
      <c r="D992" s="210"/>
      <c r="E992" s="415"/>
      <c r="F992" s="210"/>
      <c r="G992" s="415"/>
      <c r="H992" s="210"/>
      <c r="I992" s="415"/>
      <c r="J992" s="210"/>
      <c r="K992" s="415"/>
      <c r="L992" s="210"/>
      <c r="M992" s="415"/>
      <c r="N992" s="210"/>
      <c r="O992" s="415"/>
      <c r="P992" s="210"/>
      <c r="Q992" s="439"/>
      <c r="R992" s="439"/>
      <c r="S992" s="415"/>
      <c r="T992" s="210"/>
      <c r="U992" s="415"/>
      <c r="V992" s="210"/>
      <c r="W992" s="8"/>
      <c r="X992" s="8"/>
      <c r="Y992" s="8"/>
      <c r="Z992" s="8"/>
      <c r="AA992" s="8"/>
      <c r="AB992" s="8"/>
      <c r="AC992" s="8"/>
      <c r="AD992" s="8"/>
      <c r="AE992" s="8"/>
      <c r="AF992" s="8"/>
      <c r="AG992" s="8"/>
      <c r="AH992" s="8"/>
      <c r="AI992" s="8"/>
      <c r="AJ992" s="8"/>
      <c r="AK992" s="8"/>
      <c r="AL992" s="8"/>
      <c r="AM992" s="8"/>
      <c r="AN992" s="8"/>
      <c r="AO992" s="8"/>
      <c r="AP992" s="8"/>
      <c r="AQ992" s="8"/>
      <c r="AR992" s="8"/>
      <c r="AS992" s="8"/>
      <c r="AT992" s="8"/>
    </row>
    <row r="993">
      <c r="A993" s="415"/>
      <c r="B993" s="210"/>
      <c r="C993" s="415"/>
      <c r="D993" s="210"/>
      <c r="E993" s="415"/>
      <c r="F993" s="210"/>
      <c r="G993" s="415"/>
      <c r="H993" s="210"/>
      <c r="I993" s="415"/>
      <c r="J993" s="210"/>
      <c r="K993" s="415"/>
      <c r="L993" s="210"/>
      <c r="M993" s="415"/>
      <c r="N993" s="210"/>
      <c r="O993" s="415"/>
      <c r="P993" s="210"/>
      <c r="Q993" s="439"/>
      <c r="R993" s="439"/>
      <c r="S993" s="415"/>
      <c r="T993" s="210"/>
      <c r="U993" s="415"/>
      <c r="V993" s="210"/>
      <c r="W993" s="8"/>
      <c r="X993" s="8"/>
      <c r="Y993" s="8"/>
      <c r="Z993" s="8"/>
      <c r="AA993" s="8"/>
      <c r="AB993" s="8"/>
      <c r="AC993" s="8"/>
      <c r="AD993" s="8"/>
      <c r="AE993" s="8"/>
      <c r="AF993" s="8"/>
      <c r="AG993" s="8"/>
      <c r="AH993" s="8"/>
      <c r="AI993" s="8"/>
      <c r="AJ993" s="8"/>
      <c r="AK993" s="8"/>
      <c r="AL993" s="8"/>
      <c r="AM993" s="8"/>
      <c r="AN993" s="8"/>
      <c r="AO993" s="8"/>
      <c r="AP993" s="8"/>
      <c r="AQ993" s="8"/>
      <c r="AR993" s="8"/>
      <c r="AS993" s="8"/>
      <c r="AT993" s="8"/>
    </row>
    <row r="994">
      <c r="A994" s="415"/>
      <c r="B994" s="210"/>
      <c r="C994" s="415"/>
      <c r="D994" s="210"/>
      <c r="E994" s="415"/>
      <c r="F994" s="210"/>
      <c r="G994" s="415"/>
      <c r="H994" s="210"/>
      <c r="I994" s="415"/>
      <c r="J994" s="210"/>
      <c r="K994" s="415"/>
      <c r="L994" s="210"/>
      <c r="M994" s="415"/>
      <c r="N994" s="210"/>
      <c r="O994" s="415"/>
      <c r="P994" s="210"/>
      <c r="Q994" s="439"/>
      <c r="R994" s="439"/>
      <c r="S994" s="415"/>
      <c r="T994" s="210"/>
      <c r="U994" s="415"/>
      <c r="V994" s="210"/>
      <c r="W994" s="8"/>
      <c r="X994" s="8"/>
      <c r="Y994" s="8"/>
      <c r="Z994" s="8"/>
      <c r="AA994" s="8"/>
      <c r="AB994" s="8"/>
      <c r="AC994" s="8"/>
      <c r="AD994" s="8"/>
      <c r="AE994" s="8"/>
      <c r="AF994" s="8"/>
      <c r="AG994" s="8"/>
      <c r="AH994" s="8"/>
      <c r="AI994" s="8"/>
      <c r="AJ994" s="8"/>
      <c r="AK994" s="8"/>
      <c r="AL994" s="8"/>
      <c r="AM994" s="8"/>
      <c r="AN994" s="8"/>
      <c r="AO994" s="8"/>
      <c r="AP994" s="8"/>
      <c r="AQ994" s="8"/>
      <c r="AR994" s="8"/>
      <c r="AS994" s="8"/>
      <c r="AT994" s="8"/>
    </row>
    <row r="995">
      <c r="A995" s="415"/>
      <c r="B995" s="210"/>
      <c r="C995" s="415"/>
      <c r="D995" s="210"/>
      <c r="E995" s="415"/>
      <c r="F995" s="210"/>
      <c r="G995" s="415"/>
      <c r="H995" s="210"/>
      <c r="I995" s="415"/>
      <c r="J995" s="210"/>
      <c r="K995" s="415"/>
      <c r="L995" s="210"/>
      <c r="M995" s="415"/>
      <c r="N995" s="210"/>
      <c r="O995" s="415"/>
      <c r="P995" s="210"/>
      <c r="Q995" s="439"/>
      <c r="R995" s="439"/>
      <c r="S995" s="415"/>
      <c r="T995" s="210"/>
      <c r="U995" s="415"/>
      <c r="V995" s="210"/>
      <c r="W995" s="8"/>
      <c r="X995" s="8"/>
      <c r="Y995" s="8"/>
      <c r="Z995" s="8"/>
      <c r="AA995" s="8"/>
      <c r="AB995" s="8"/>
      <c r="AC995" s="8"/>
      <c r="AD995" s="8"/>
      <c r="AE995" s="8"/>
      <c r="AF995" s="8"/>
      <c r="AG995" s="8"/>
      <c r="AH995" s="8"/>
      <c r="AI995" s="8"/>
      <c r="AJ995" s="8"/>
      <c r="AK995" s="8"/>
      <c r="AL995" s="8"/>
      <c r="AM995" s="8"/>
      <c r="AN995" s="8"/>
      <c r="AO995" s="8"/>
      <c r="AP995" s="8"/>
      <c r="AQ995" s="8"/>
      <c r="AR995" s="8"/>
      <c r="AS995" s="8"/>
      <c r="AT995" s="8"/>
    </row>
    <row r="996">
      <c r="A996" s="415"/>
      <c r="B996" s="210"/>
      <c r="C996" s="415"/>
      <c r="D996" s="210"/>
      <c r="E996" s="415"/>
      <c r="F996" s="210"/>
      <c r="G996" s="415"/>
      <c r="H996" s="210"/>
      <c r="I996" s="415"/>
      <c r="J996" s="210"/>
      <c r="K996" s="415"/>
      <c r="L996" s="210"/>
      <c r="M996" s="415"/>
      <c r="N996" s="210"/>
      <c r="O996" s="415"/>
      <c r="P996" s="210"/>
      <c r="Q996" s="439"/>
      <c r="R996" s="439"/>
      <c r="S996" s="415"/>
      <c r="T996" s="210"/>
      <c r="U996" s="415"/>
      <c r="V996" s="210"/>
      <c r="W996" s="8"/>
      <c r="X996" s="8"/>
      <c r="Y996" s="8"/>
      <c r="Z996" s="8"/>
      <c r="AA996" s="8"/>
      <c r="AB996" s="8"/>
      <c r="AC996" s="8"/>
      <c r="AD996" s="8"/>
      <c r="AE996" s="8"/>
      <c r="AF996" s="8"/>
      <c r="AG996" s="8"/>
      <c r="AH996" s="8"/>
      <c r="AI996" s="8"/>
      <c r="AJ996" s="8"/>
      <c r="AK996" s="8"/>
      <c r="AL996" s="8"/>
      <c r="AM996" s="8"/>
      <c r="AN996" s="8"/>
      <c r="AO996" s="8"/>
      <c r="AP996" s="8"/>
      <c r="AQ996" s="8"/>
      <c r="AR996" s="8"/>
      <c r="AS996" s="8"/>
      <c r="AT996" s="8"/>
    </row>
    <row r="997">
      <c r="A997" s="415"/>
      <c r="B997" s="210"/>
      <c r="C997" s="415"/>
      <c r="D997" s="210"/>
      <c r="E997" s="415"/>
      <c r="F997" s="210"/>
      <c r="G997" s="415"/>
      <c r="H997" s="210"/>
      <c r="I997" s="415"/>
      <c r="J997" s="210"/>
      <c r="K997" s="415"/>
      <c r="L997" s="210"/>
      <c r="M997" s="415"/>
      <c r="N997" s="210"/>
      <c r="O997" s="415"/>
      <c r="P997" s="210"/>
      <c r="Q997" s="439"/>
      <c r="R997" s="439"/>
      <c r="S997" s="415"/>
      <c r="T997" s="210"/>
      <c r="U997" s="415"/>
      <c r="V997" s="210"/>
      <c r="W997" s="8"/>
      <c r="X997" s="8"/>
      <c r="Y997" s="8"/>
      <c r="Z997" s="8"/>
      <c r="AA997" s="8"/>
      <c r="AB997" s="8"/>
      <c r="AC997" s="8"/>
      <c r="AD997" s="8"/>
      <c r="AE997" s="8"/>
      <c r="AF997" s="8"/>
      <c r="AG997" s="8"/>
      <c r="AH997" s="8"/>
      <c r="AI997" s="8"/>
      <c r="AJ997" s="8"/>
      <c r="AK997" s="8"/>
      <c r="AL997" s="8"/>
      <c r="AM997" s="8"/>
      <c r="AN997" s="8"/>
      <c r="AO997" s="8"/>
      <c r="AP997" s="8"/>
      <c r="AQ997" s="8"/>
      <c r="AR997" s="8"/>
      <c r="AS997" s="8"/>
      <c r="AT997" s="8"/>
    </row>
    <row r="998">
      <c r="A998" s="415"/>
      <c r="B998" s="210"/>
      <c r="C998" s="415"/>
      <c r="D998" s="210"/>
      <c r="E998" s="415"/>
      <c r="F998" s="210"/>
      <c r="G998" s="415"/>
      <c r="H998" s="210"/>
      <c r="I998" s="415"/>
      <c r="J998" s="210"/>
      <c r="K998" s="415"/>
      <c r="L998" s="210"/>
      <c r="M998" s="415"/>
      <c r="N998" s="210"/>
      <c r="O998" s="415"/>
      <c r="P998" s="210"/>
      <c r="Q998" s="439"/>
      <c r="R998" s="439"/>
      <c r="S998" s="415"/>
      <c r="T998" s="210"/>
      <c r="U998" s="415"/>
      <c r="V998" s="210"/>
      <c r="W998" s="8"/>
      <c r="X998" s="8"/>
      <c r="Y998" s="8"/>
      <c r="Z998" s="8"/>
      <c r="AA998" s="8"/>
      <c r="AB998" s="8"/>
      <c r="AC998" s="8"/>
      <c r="AD998" s="8"/>
      <c r="AE998" s="8"/>
      <c r="AF998" s="8"/>
      <c r="AG998" s="8"/>
      <c r="AH998" s="8"/>
      <c r="AI998" s="8"/>
      <c r="AJ998" s="8"/>
      <c r="AK998" s="8"/>
      <c r="AL998" s="8"/>
      <c r="AM998" s="8"/>
      <c r="AN998" s="8"/>
      <c r="AO998" s="8"/>
      <c r="AP998" s="8"/>
      <c r="AQ998" s="8"/>
      <c r="AR998" s="8"/>
      <c r="AS998" s="8"/>
      <c r="AT998" s="8"/>
    </row>
    <row r="999">
      <c r="A999" s="415"/>
      <c r="B999" s="210"/>
      <c r="C999" s="415"/>
      <c r="D999" s="210"/>
      <c r="E999" s="415"/>
      <c r="F999" s="210"/>
      <c r="G999" s="415"/>
      <c r="H999" s="210"/>
      <c r="I999" s="415"/>
      <c r="J999" s="210"/>
      <c r="K999" s="415"/>
      <c r="L999" s="210"/>
      <c r="M999" s="415"/>
      <c r="N999" s="210"/>
      <c r="O999" s="415"/>
      <c r="P999" s="210"/>
      <c r="Q999" s="439"/>
      <c r="R999" s="439"/>
      <c r="S999" s="415"/>
      <c r="T999" s="210"/>
      <c r="U999" s="415"/>
      <c r="V999" s="210"/>
      <c r="W999" s="8"/>
      <c r="X999" s="8"/>
      <c r="Y999" s="8"/>
      <c r="Z999" s="8"/>
      <c r="AA999" s="8"/>
      <c r="AB999" s="8"/>
      <c r="AC999" s="8"/>
      <c r="AD999" s="8"/>
      <c r="AE999" s="8"/>
      <c r="AF999" s="8"/>
      <c r="AG999" s="8"/>
      <c r="AH999" s="8"/>
      <c r="AI999" s="8"/>
      <c r="AJ999" s="8"/>
      <c r="AK999" s="8"/>
      <c r="AL999" s="8"/>
      <c r="AM999" s="8"/>
      <c r="AN999" s="8"/>
      <c r="AO999" s="8"/>
      <c r="AP999" s="8"/>
      <c r="AQ999" s="8"/>
      <c r="AR999" s="8"/>
      <c r="AS999" s="8"/>
      <c r="AT999" s="8"/>
    </row>
    <row r="1000">
      <c r="A1000" s="415"/>
      <c r="B1000" s="210"/>
      <c r="C1000" s="415"/>
      <c r="D1000" s="210"/>
      <c r="E1000" s="415"/>
      <c r="F1000" s="210"/>
      <c r="G1000" s="415"/>
      <c r="H1000" s="210"/>
      <c r="I1000" s="415"/>
      <c r="J1000" s="210"/>
      <c r="K1000" s="415"/>
      <c r="L1000" s="210"/>
      <c r="M1000" s="415"/>
      <c r="N1000" s="210"/>
      <c r="O1000" s="415"/>
      <c r="P1000" s="210"/>
      <c r="Q1000" s="439"/>
      <c r="R1000" s="439"/>
      <c r="S1000" s="415"/>
      <c r="T1000" s="210"/>
      <c r="U1000" s="415"/>
      <c r="V1000" s="210"/>
      <c r="W1000" s="8"/>
      <c r="X1000" s="8"/>
      <c r="Y1000" s="8"/>
      <c r="Z1000" s="8"/>
      <c r="AA1000" s="8"/>
      <c r="AB1000" s="8"/>
      <c r="AC1000" s="8"/>
      <c r="AD1000" s="8"/>
      <c r="AE1000" s="8"/>
      <c r="AF1000" s="8"/>
      <c r="AG1000" s="8"/>
      <c r="AH1000" s="8"/>
      <c r="AI1000" s="8"/>
      <c r="AJ1000" s="8"/>
      <c r="AK1000" s="8"/>
      <c r="AL1000" s="8"/>
      <c r="AM1000" s="8"/>
      <c r="AN1000" s="8"/>
      <c r="AO1000" s="8"/>
      <c r="AP1000" s="8"/>
      <c r="AQ1000" s="8"/>
      <c r="AR1000" s="8"/>
      <c r="AS1000" s="8"/>
      <c r="AT1000" s="8"/>
    </row>
    <row r="1001">
      <c r="A1001" s="415"/>
      <c r="B1001" s="210"/>
      <c r="C1001" s="415"/>
      <c r="D1001" s="210"/>
      <c r="E1001" s="415"/>
      <c r="F1001" s="210"/>
      <c r="G1001" s="415"/>
      <c r="H1001" s="210"/>
      <c r="I1001" s="415"/>
      <c r="J1001" s="210"/>
      <c r="K1001" s="415"/>
      <c r="L1001" s="210"/>
      <c r="M1001" s="415"/>
      <c r="N1001" s="210"/>
      <c r="O1001" s="415"/>
      <c r="P1001" s="210"/>
      <c r="Q1001" s="439"/>
      <c r="R1001" s="439"/>
      <c r="S1001" s="415"/>
      <c r="T1001" s="210"/>
      <c r="U1001" s="415"/>
      <c r="V1001" s="210"/>
      <c r="W1001" s="8"/>
      <c r="X1001" s="8"/>
      <c r="Y1001" s="8"/>
      <c r="Z1001" s="8"/>
      <c r="AA1001" s="8"/>
      <c r="AB1001" s="8"/>
      <c r="AC1001" s="8"/>
      <c r="AD1001" s="8"/>
      <c r="AE1001" s="8"/>
      <c r="AF1001" s="8"/>
      <c r="AG1001" s="8"/>
      <c r="AH1001" s="8"/>
      <c r="AI1001" s="8"/>
      <c r="AJ1001" s="8"/>
      <c r="AK1001" s="8"/>
      <c r="AL1001" s="8"/>
      <c r="AM1001" s="8"/>
      <c r="AN1001" s="8"/>
      <c r="AO1001" s="8"/>
      <c r="AP1001" s="8"/>
      <c r="AQ1001" s="8"/>
      <c r="AR1001" s="8"/>
      <c r="AS1001" s="8"/>
      <c r="AT1001" s="8"/>
    </row>
    <row r="1002">
      <c r="A1002" s="415"/>
      <c r="B1002" s="210"/>
      <c r="C1002" s="415"/>
      <c r="D1002" s="210"/>
      <c r="E1002" s="415"/>
      <c r="F1002" s="210"/>
      <c r="G1002" s="415"/>
      <c r="H1002" s="210"/>
      <c r="I1002" s="415"/>
      <c r="J1002" s="210"/>
      <c r="K1002" s="415"/>
      <c r="L1002" s="210"/>
      <c r="M1002" s="415"/>
      <c r="N1002" s="210"/>
      <c r="O1002" s="415"/>
      <c r="P1002" s="210"/>
      <c r="Q1002" s="439"/>
      <c r="R1002" s="439"/>
      <c r="S1002" s="415"/>
      <c r="T1002" s="210"/>
      <c r="U1002" s="415"/>
      <c r="V1002" s="210"/>
      <c r="W1002" s="8"/>
      <c r="X1002" s="8"/>
      <c r="Y1002" s="8"/>
      <c r="Z1002" s="8"/>
      <c r="AA1002" s="8"/>
      <c r="AB1002" s="8"/>
      <c r="AC1002" s="8"/>
      <c r="AD1002" s="8"/>
      <c r="AE1002" s="8"/>
      <c r="AF1002" s="8"/>
      <c r="AG1002" s="8"/>
      <c r="AH1002" s="8"/>
      <c r="AI1002" s="8"/>
      <c r="AJ1002" s="8"/>
      <c r="AK1002" s="8"/>
      <c r="AL1002" s="8"/>
      <c r="AM1002" s="8"/>
      <c r="AN1002" s="8"/>
      <c r="AO1002" s="8"/>
      <c r="AP1002" s="8"/>
      <c r="AQ1002" s="8"/>
      <c r="AR1002" s="8"/>
      <c r="AS1002" s="8"/>
      <c r="AT1002" s="8"/>
    </row>
    <row r="1003">
      <c r="A1003" s="415"/>
      <c r="B1003" s="210"/>
      <c r="C1003" s="415"/>
      <c r="D1003" s="210"/>
      <c r="E1003" s="415"/>
      <c r="F1003" s="210"/>
      <c r="G1003" s="415"/>
      <c r="H1003" s="210"/>
      <c r="I1003" s="415"/>
      <c r="J1003" s="210"/>
      <c r="K1003" s="415"/>
      <c r="L1003" s="210"/>
      <c r="M1003" s="415"/>
      <c r="N1003" s="210"/>
      <c r="O1003" s="415"/>
      <c r="P1003" s="210"/>
      <c r="Q1003" s="439"/>
      <c r="R1003" s="439"/>
      <c r="S1003" s="415"/>
      <c r="T1003" s="210"/>
      <c r="U1003" s="415"/>
      <c r="V1003" s="210"/>
      <c r="W1003" s="8"/>
      <c r="X1003" s="8"/>
      <c r="Y1003" s="8"/>
      <c r="Z1003" s="8"/>
      <c r="AA1003" s="8"/>
      <c r="AB1003" s="8"/>
      <c r="AC1003" s="8"/>
      <c r="AD1003" s="8"/>
      <c r="AE1003" s="8"/>
      <c r="AF1003" s="8"/>
      <c r="AG1003" s="8"/>
      <c r="AH1003" s="8"/>
      <c r="AI1003" s="8"/>
      <c r="AJ1003" s="8"/>
      <c r="AK1003" s="8"/>
      <c r="AL1003" s="8"/>
      <c r="AM1003" s="8"/>
      <c r="AN1003" s="8"/>
      <c r="AO1003" s="8"/>
      <c r="AP1003" s="8"/>
      <c r="AQ1003" s="8"/>
      <c r="AR1003" s="8"/>
      <c r="AS1003" s="8"/>
      <c r="AT1003" s="8"/>
    </row>
    <row r="1004">
      <c r="A1004" s="415"/>
      <c r="B1004" s="210"/>
      <c r="C1004" s="415"/>
      <c r="D1004" s="210"/>
      <c r="E1004" s="415"/>
      <c r="F1004" s="210"/>
      <c r="G1004" s="415"/>
      <c r="H1004" s="210"/>
      <c r="I1004" s="415"/>
      <c r="J1004" s="210"/>
      <c r="K1004" s="415"/>
      <c r="L1004" s="210"/>
      <c r="M1004" s="415"/>
      <c r="N1004" s="210"/>
      <c r="O1004" s="415"/>
      <c r="P1004" s="210"/>
      <c r="Q1004" s="440"/>
      <c r="R1004" s="392"/>
      <c r="S1004" s="415"/>
      <c r="T1004" s="210"/>
      <c r="U1004" s="415"/>
      <c r="V1004" s="210"/>
      <c r="W1004" s="8"/>
      <c r="X1004" s="8"/>
      <c r="Y1004" s="8"/>
      <c r="Z1004" s="8"/>
      <c r="AA1004" s="8"/>
      <c r="AB1004" s="8"/>
      <c r="AC1004" s="8"/>
      <c r="AD1004" s="8"/>
      <c r="AE1004" s="8"/>
      <c r="AF1004" s="8"/>
      <c r="AG1004" s="8"/>
      <c r="AH1004" s="8"/>
      <c r="AI1004" s="8"/>
      <c r="AJ1004" s="8"/>
      <c r="AK1004" s="8"/>
      <c r="AL1004" s="8"/>
      <c r="AM1004" s="8"/>
      <c r="AN1004" s="8"/>
      <c r="AO1004" s="8"/>
      <c r="AP1004" s="8"/>
      <c r="AQ1004" s="8"/>
      <c r="AR1004" s="8"/>
      <c r="AS1004" s="8"/>
      <c r="AT1004" s="8"/>
    </row>
    <row r="1005">
      <c r="A1005" s="415"/>
      <c r="B1005" s="210"/>
      <c r="C1005" s="415"/>
      <c r="D1005" s="210"/>
      <c r="E1005" s="415"/>
      <c r="F1005" s="210"/>
      <c r="G1005" s="415"/>
      <c r="H1005" s="210"/>
      <c r="I1005" s="415"/>
      <c r="J1005" s="210"/>
      <c r="K1005" s="415"/>
      <c r="L1005" s="210"/>
      <c r="M1005" s="415"/>
      <c r="N1005" s="210"/>
      <c r="O1005" s="415"/>
      <c r="P1005" s="210"/>
      <c r="Q1005" s="440"/>
      <c r="R1005" s="392"/>
      <c r="S1005" s="415"/>
      <c r="T1005" s="210"/>
      <c r="U1005" s="415"/>
      <c r="V1005" s="210"/>
      <c r="W1005" s="8"/>
      <c r="X1005" s="8"/>
      <c r="Y1005" s="8"/>
      <c r="Z1005" s="8"/>
      <c r="AA1005" s="8"/>
      <c r="AB1005" s="8"/>
      <c r="AC1005" s="8"/>
      <c r="AD1005" s="8"/>
      <c r="AE1005" s="8"/>
      <c r="AF1005" s="8"/>
      <c r="AG1005" s="8"/>
      <c r="AH1005" s="8"/>
      <c r="AI1005" s="8"/>
      <c r="AJ1005" s="8"/>
      <c r="AK1005" s="8"/>
      <c r="AL1005" s="8"/>
      <c r="AM1005" s="8"/>
      <c r="AN1005" s="8"/>
      <c r="AO1005" s="8"/>
      <c r="AP1005" s="8"/>
      <c r="AQ1005" s="8"/>
      <c r="AR1005" s="8"/>
      <c r="AS1005" s="8"/>
      <c r="AT1005" s="8"/>
    </row>
    <row r="1006">
      <c r="A1006" s="415"/>
      <c r="B1006" s="210"/>
      <c r="C1006" s="415"/>
      <c r="D1006" s="210"/>
      <c r="E1006" s="415"/>
      <c r="F1006" s="210"/>
      <c r="G1006" s="415"/>
      <c r="H1006" s="210"/>
      <c r="I1006" s="415"/>
      <c r="J1006" s="210"/>
      <c r="K1006" s="415"/>
      <c r="L1006" s="210"/>
      <c r="M1006" s="415"/>
      <c r="N1006" s="210"/>
      <c r="O1006" s="415"/>
      <c r="P1006" s="210"/>
      <c r="Q1006" s="440"/>
      <c r="R1006" s="392"/>
      <c r="S1006" s="415"/>
      <c r="T1006" s="210"/>
      <c r="U1006" s="415"/>
      <c r="V1006" s="210"/>
      <c r="W1006" s="8"/>
      <c r="X1006" s="8"/>
      <c r="Y1006" s="8"/>
      <c r="Z1006" s="8"/>
      <c r="AA1006" s="8"/>
      <c r="AB1006" s="8"/>
      <c r="AC1006" s="8"/>
      <c r="AD1006" s="8"/>
      <c r="AE1006" s="8"/>
      <c r="AF1006" s="8"/>
      <c r="AG1006" s="8"/>
      <c r="AH1006" s="8"/>
      <c r="AI1006" s="8"/>
      <c r="AJ1006" s="8"/>
      <c r="AK1006" s="8"/>
      <c r="AL1006" s="8"/>
      <c r="AM1006" s="8"/>
      <c r="AN1006" s="8"/>
      <c r="AO1006" s="8"/>
      <c r="AP1006" s="8"/>
      <c r="AQ1006" s="8"/>
      <c r="AR1006" s="8"/>
      <c r="AS1006" s="8"/>
      <c r="AT1006" s="8"/>
    </row>
    <row r="1007">
      <c r="A1007" s="415"/>
      <c r="B1007" s="210"/>
      <c r="C1007" s="415"/>
      <c r="D1007" s="210"/>
      <c r="E1007" s="415"/>
      <c r="F1007" s="210"/>
      <c r="G1007" s="415"/>
      <c r="H1007" s="210"/>
      <c r="I1007" s="415"/>
      <c r="J1007" s="210"/>
      <c r="K1007" s="415"/>
      <c r="L1007" s="210"/>
      <c r="M1007" s="415"/>
      <c r="N1007" s="210"/>
      <c r="O1007" s="415"/>
      <c r="P1007" s="210"/>
      <c r="Q1007" s="440"/>
      <c r="R1007" s="392"/>
      <c r="S1007" s="415"/>
      <c r="T1007" s="210"/>
      <c r="U1007" s="415"/>
      <c r="V1007" s="210"/>
      <c r="W1007" s="8"/>
      <c r="X1007" s="8"/>
      <c r="Y1007" s="8"/>
      <c r="Z1007" s="8"/>
      <c r="AA1007" s="8"/>
      <c r="AB1007" s="8"/>
      <c r="AC1007" s="8"/>
      <c r="AD1007" s="8"/>
      <c r="AE1007" s="8"/>
      <c r="AF1007" s="8"/>
      <c r="AG1007" s="8"/>
      <c r="AH1007" s="8"/>
      <c r="AI1007" s="8"/>
      <c r="AJ1007" s="8"/>
      <c r="AK1007" s="8"/>
      <c r="AL1007" s="8"/>
      <c r="AM1007" s="8"/>
      <c r="AN1007" s="8"/>
      <c r="AO1007" s="8"/>
      <c r="AP1007" s="8"/>
      <c r="AQ1007" s="8"/>
      <c r="AR1007" s="8"/>
      <c r="AS1007" s="8"/>
      <c r="AT1007" s="8"/>
    </row>
    <row r="1008">
      <c r="A1008" s="415"/>
      <c r="B1008" s="210"/>
      <c r="C1008" s="415"/>
      <c r="D1008" s="210"/>
      <c r="E1008" s="415"/>
      <c r="F1008" s="210"/>
      <c r="G1008" s="415"/>
      <c r="H1008" s="210"/>
      <c r="I1008" s="415"/>
      <c r="J1008" s="210"/>
      <c r="K1008" s="415"/>
      <c r="L1008" s="210"/>
      <c r="M1008" s="415"/>
      <c r="N1008" s="210"/>
      <c r="O1008" s="415"/>
      <c r="P1008" s="210"/>
      <c r="Q1008" s="440"/>
      <c r="R1008" s="392"/>
      <c r="S1008" s="415"/>
      <c r="T1008" s="210"/>
      <c r="U1008" s="415"/>
      <c r="V1008" s="210"/>
      <c r="W1008" s="8"/>
      <c r="X1008" s="8"/>
      <c r="Y1008" s="8"/>
      <c r="Z1008" s="8"/>
      <c r="AA1008" s="8"/>
      <c r="AB1008" s="8"/>
      <c r="AC1008" s="8"/>
      <c r="AD1008" s="8"/>
      <c r="AE1008" s="8"/>
      <c r="AF1008" s="8"/>
      <c r="AG1008" s="8"/>
      <c r="AH1008" s="8"/>
      <c r="AI1008" s="8"/>
      <c r="AJ1008" s="8"/>
      <c r="AK1008" s="8"/>
      <c r="AL1008" s="8"/>
      <c r="AM1008" s="8"/>
      <c r="AN1008" s="8"/>
      <c r="AO1008" s="8"/>
      <c r="AP1008" s="8"/>
      <c r="AQ1008" s="8"/>
      <c r="AR1008" s="8"/>
      <c r="AS1008" s="8"/>
      <c r="AT1008" s="8"/>
    </row>
    <row r="1009">
      <c r="A1009" s="415"/>
      <c r="B1009" s="210"/>
      <c r="C1009" s="415"/>
      <c r="D1009" s="210"/>
      <c r="E1009" s="415"/>
      <c r="F1009" s="210"/>
      <c r="G1009" s="415"/>
      <c r="H1009" s="210"/>
      <c r="I1009" s="415"/>
      <c r="J1009" s="210"/>
      <c r="K1009" s="415"/>
      <c r="L1009" s="210"/>
      <c r="M1009" s="415"/>
      <c r="N1009" s="210"/>
      <c r="O1009" s="415"/>
      <c r="P1009" s="210"/>
      <c r="Q1009" s="440"/>
      <c r="R1009" s="392"/>
      <c r="S1009" s="415"/>
      <c r="T1009" s="210"/>
      <c r="U1009" s="415"/>
      <c r="V1009" s="210"/>
      <c r="W1009" s="8"/>
      <c r="X1009" s="8"/>
      <c r="Y1009" s="8"/>
      <c r="Z1009" s="8"/>
      <c r="AA1009" s="8"/>
      <c r="AB1009" s="8"/>
      <c r="AC1009" s="8"/>
      <c r="AD1009" s="8"/>
      <c r="AE1009" s="8"/>
      <c r="AF1009" s="8"/>
      <c r="AG1009" s="8"/>
      <c r="AH1009" s="8"/>
      <c r="AI1009" s="8"/>
      <c r="AJ1009" s="8"/>
      <c r="AK1009" s="8"/>
      <c r="AL1009" s="8"/>
      <c r="AM1009" s="8"/>
      <c r="AN1009" s="8"/>
      <c r="AO1009" s="8"/>
      <c r="AP1009" s="8"/>
      <c r="AQ1009" s="8"/>
      <c r="AR1009" s="8"/>
      <c r="AS1009" s="8"/>
      <c r="AT1009" s="8"/>
    </row>
    <row r="1010">
      <c r="A1010" s="415"/>
      <c r="B1010" s="210"/>
      <c r="C1010" s="415"/>
      <c r="D1010" s="210"/>
      <c r="E1010" s="415"/>
      <c r="F1010" s="210"/>
      <c r="G1010" s="415"/>
      <c r="H1010" s="210"/>
      <c r="I1010" s="415"/>
      <c r="J1010" s="210"/>
      <c r="K1010" s="415"/>
      <c r="L1010" s="210"/>
      <c r="M1010" s="415"/>
      <c r="N1010" s="210"/>
      <c r="O1010" s="415"/>
      <c r="P1010" s="210"/>
      <c r="Q1010" s="440"/>
      <c r="R1010" s="392"/>
      <c r="S1010" s="415"/>
      <c r="T1010" s="210"/>
      <c r="U1010" s="415"/>
      <c r="V1010" s="210"/>
      <c r="W1010" s="8"/>
      <c r="X1010" s="8"/>
      <c r="Y1010" s="8"/>
      <c r="Z1010" s="8"/>
      <c r="AA1010" s="8"/>
      <c r="AB1010" s="8"/>
      <c r="AC1010" s="8"/>
      <c r="AD1010" s="8"/>
      <c r="AE1010" s="8"/>
      <c r="AF1010" s="8"/>
      <c r="AG1010" s="8"/>
      <c r="AH1010" s="8"/>
      <c r="AI1010" s="8"/>
      <c r="AJ1010" s="8"/>
      <c r="AK1010" s="8"/>
      <c r="AL1010" s="8"/>
      <c r="AM1010" s="8"/>
      <c r="AN1010" s="8"/>
      <c r="AO1010" s="8"/>
      <c r="AP1010" s="8"/>
      <c r="AQ1010" s="8"/>
      <c r="AR1010" s="8"/>
      <c r="AS1010" s="8"/>
      <c r="AT1010" s="8"/>
    </row>
    <row r="1011">
      <c r="A1011" s="415"/>
      <c r="B1011" s="210"/>
      <c r="C1011" s="415"/>
      <c r="D1011" s="210"/>
      <c r="E1011" s="415"/>
      <c r="F1011" s="210"/>
      <c r="G1011" s="415"/>
      <c r="H1011" s="210"/>
      <c r="I1011" s="415"/>
      <c r="J1011" s="210"/>
      <c r="K1011" s="415"/>
      <c r="L1011" s="210"/>
      <c r="M1011" s="415"/>
      <c r="N1011" s="210"/>
      <c r="O1011" s="415"/>
      <c r="P1011" s="210"/>
      <c r="Q1011" s="440"/>
      <c r="R1011" s="392"/>
      <c r="S1011" s="415"/>
      <c r="T1011" s="210"/>
      <c r="U1011" s="415"/>
      <c r="V1011" s="210"/>
      <c r="W1011" s="8"/>
      <c r="X1011" s="8"/>
      <c r="Y1011" s="8"/>
      <c r="Z1011" s="8"/>
      <c r="AA1011" s="8"/>
      <c r="AB1011" s="8"/>
      <c r="AC1011" s="8"/>
      <c r="AD1011" s="8"/>
      <c r="AE1011" s="8"/>
      <c r="AF1011" s="8"/>
      <c r="AG1011" s="8"/>
      <c r="AH1011" s="8"/>
      <c r="AI1011" s="8"/>
      <c r="AJ1011" s="8"/>
      <c r="AK1011" s="8"/>
      <c r="AL1011" s="8"/>
      <c r="AM1011" s="8"/>
      <c r="AN1011" s="8"/>
      <c r="AO1011" s="8"/>
      <c r="AP1011" s="8"/>
      <c r="AQ1011" s="8"/>
      <c r="AR1011" s="8"/>
      <c r="AS1011" s="8"/>
      <c r="AT1011" s="8"/>
    </row>
  </sheetData>
  <mergeCells count="55">
    <mergeCell ref="O68:P68"/>
    <mergeCell ref="Q68:R68"/>
    <mergeCell ref="S68:T68"/>
    <mergeCell ref="U68:V68"/>
    <mergeCell ref="A68:B68"/>
    <mergeCell ref="C68:D68"/>
    <mergeCell ref="E68:F68"/>
    <mergeCell ref="G68:H68"/>
    <mergeCell ref="I68:J68"/>
    <mergeCell ref="K68:L68"/>
    <mergeCell ref="M68:N68"/>
    <mergeCell ref="O2:P2"/>
    <mergeCell ref="Q2:R2"/>
    <mergeCell ref="S2:T2"/>
    <mergeCell ref="U2:V2"/>
    <mergeCell ref="A2:B2"/>
    <mergeCell ref="C2:D2"/>
    <mergeCell ref="E2:F2"/>
    <mergeCell ref="G2:H2"/>
    <mergeCell ref="I2:J2"/>
    <mergeCell ref="K2:L2"/>
    <mergeCell ref="M2:N2"/>
    <mergeCell ref="O20:P20"/>
    <mergeCell ref="Q20:R20"/>
    <mergeCell ref="S20:T20"/>
    <mergeCell ref="U20:V20"/>
    <mergeCell ref="A20:B20"/>
    <mergeCell ref="C20:D20"/>
    <mergeCell ref="E20:F20"/>
    <mergeCell ref="G20:H20"/>
    <mergeCell ref="I20:J20"/>
    <mergeCell ref="K20:L20"/>
    <mergeCell ref="M20:N20"/>
    <mergeCell ref="O51:P51"/>
    <mergeCell ref="Q51:R51"/>
    <mergeCell ref="S51:T51"/>
    <mergeCell ref="U51:V51"/>
    <mergeCell ref="A51:B51"/>
    <mergeCell ref="C51:D51"/>
    <mergeCell ref="E51:F51"/>
    <mergeCell ref="G51:H51"/>
    <mergeCell ref="I51:J51"/>
    <mergeCell ref="K51:L51"/>
    <mergeCell ref="M51:N51"/>
    <mergeCell ref="O81:P81"/>
    <mergeCell ref="Q81:R81"/>
    <mergeCell ref="S81:T81"/>
    <mergeCell ref="U81:V81"/>
    <mergeCell ref="A81:B81"/>
    <mergeCell ref="C81:D81"/>
    <mergeCell ref="E81:F81"/>
    <mergeCell ref="G81:H81"/>
    <mergeCell ref="I81:J81"/>
    <mergeCell ref="K81:L81"/>
    <mergeCell ref="M81:N8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36.88"/>
    <col customWidth="1" min="3" max="3" width="13.63"/>
    <col customWidth="1" min="4" max="4" width="36.88"/>
    <col customWidth="1" min="5" max="5" width="13.63"/>
    <col customWidth="1" min="6" max="6" width="36.88"/>
    <col customWidth="1" min="7" max="7" width="14.0"/>
    <col customWidth="1" min="8" max="8" width="37.13"/>
    <col customWidth="1" min="9" max="9" width="14.0"/>
    <col customWidth="1" min="10" max="10" width="37.13"/>
    <col customWidth="1" min="11" max="11" width="14.0"/>
    <col customWidth="1" min="12" max="12" width="37.13"/>
    <col customWidth="1" min="13" max="13" width="14.0"/>
    <col customWidth="1" min="14" max="14" width="37.13"/>
    <col customWidth="1" min="15" max="15" width="14.0"/>
    <col customWidth="1" min="16" max="16" width="37.13"/>
    <col customWidth="1" min="17" max="17" width="22.0"/>
    <col customWidth="1" min="18" max="18" width="36.88"/>
    <col customWidth="1" min="19" max="19" width="14.75"/>
    <col customWidth="1" min="20" max="20" width="31.5"/>
    <col customWidth="1" min="21" max="21" width="14.75"/>
    <col customWidth="1" min="22" max="22" width="31.5"/>
    <col customWidth="1" min="23" max="23" width="14.75"/>
    <col customWidth="1" min="24" max="24" width="31.5"/>
  </cols>
  <sheetData>
    <row r="1">
      <c r="A1" s="405" t="s">
        <v>9140</v>
      </c>
      <c r="B1" s="91" t="s">
        <v>9141</v>
      </c>
      <c r="C1" s="405" t="str">
        <f>IFERROR(__xludf.DUMMYFUNCTION("GOOGLETRANSLATE(A1,""zh-tw"",""ja"")"),"小道具名")</f>
        <v>小道具名</v>
      </c>
      <c r="D1" s="91" t="str">
        <f>IFERROR(__xludf.DUMMYFUNCTION("GOOGLETRANSLATE(B1,""zh-tw"",""ja"")"),"効果")</f>
        <v>効果</v>
      </c>
      <c r="E1" s="407" t="str">
        <f>IFERROR(__xludf.DUMMYFUNCTION("GOOGLETRANSLATE(A1,""zh-tw"",""en"")"),"Prop name")</f>
        <v>Prop name</v>
      </c>
      <c r="F1" s="95" t="str">
        <f>IFERROR(__xludf.DUMMYFUNCTION("GOOGLETRANSLATE(B1,""zh-tw"",""en"")"),"Effect")</f>
        <v>Effect</v>
      </c>
      <c r="G1" s="405" t="str">
        <f>IFERROR(__xludf.DUMMYFUNCTION("GOOGLETRANSLATE(A1,""zh-tw"",""zh"")"),"道具名称")</f>
        <v>道具名称</v>
      </c>
      <c r="H1" s="91" t="str">
        <f>IFERROR(__xludf.DUMMYFUNCTION("GOOGLETRANSLATE(B1,""zh-tw"",""zh"")"),"效果")</f>
        <v>效果</v>
      </c>
      <c r="I1" s="406" t="str">
        <f>IFERROR(__xludf.DUMMYFUNCTION("GOOGLETRANSLATE(A1,""zh-tw"",""es-MX"")"),"Nombre de la propiedad")</f>
        <v>Nombre de la propiedad</v>
      </c>
      <c r="J1" s="32" t="s">
        <v>9142</v>
      </c>
      <c r="K1" s="406" t="str">
        <f>IFERROR(__xludf.DUMMYFUNCTION("GOOGLETRANSLATE(A1,""zh-tw"",""KO"")"),"소품 이름")</f>
        <v>소품 이름</v>
      </c>
      <c r="L1" s="56" t="str">
        <f>IFERROR(__xludf.DUMMYFUNCTION("GOOGLETRANSLATE(B1,""zh-tw"",""KO"")"),"효과")</f>
        <v>효과</v>
      </c>
      <c r="M1" s="441" t="s">
        <v>9143</v>
      </c>
      <c r="N1" s="88" t="s">
        <v>9144</v>
      </c>
      <c r="O1" s="405" t="s">
        <v>9145</v>
      </c>
      <c r="P1" s="91" t="s">
        <v>9146</v>
      </c>
      <c r="Q1" s="442" t="s">
        <v>9147</v>
      </c>
      <c r="R1" s="443" t="s">
        <v>9148</v>
      </c>
      <c r="S1" s="407" t="s">
        <v>9149</v>
      </c>
      <c r="T1" s="95" t="s">
        <v>9150</v>
      </c>
      <c r="U1" s="405" t="s">
        <v>9151</v>
      </c>
      <c r="V1" s="91" t="s">
        <v>9152</v>
      </c>
      <c r="W1" s="405"/>
      <c r="X1" s="91"/>
      <c r="Y1" s="444"/>
      <c r="Z1" s="444"/>
      <c r="AA1" s="444"/>
      <c r="AB1" s="444"/>
      <c r="AC1" s="444"/>
      <c r="AD1" s="444"/>
      <c r="AE1" s="444"/>
      <c r="AF1" s="444"/>
      <c r="AG1" s="444"/>
      <c r="AH1" s="444"/>
      <c r="AI1" s="444"/>
      <c r="AJ1" s="444"/>
      <c r="AK1" s="444"/>
      <c r="AL1" s="444"/>
      <c r="AM1" s="444"/>
      <c r="AN1" s="444"/>
      <c r="AO1" s="444"/>
      <c r="AP1" s="444"/>
      <c r="AQ1" s="444"/>
      <c r="AR1" s="444"/>
      <c r="AS1" s="444"/>
      <c r="AT1" s="444"/>
    </row>
    <row r="2">
      <c r="A2" s="172" t="s">
        <v>7192</v>
      </c>
      <c r="C2" s="172" t="s">
        <v>7193</v>
      </c>
      <c r="E2" s="172" t="s">
        <v>7194</v>
      </c>
      <c r="G2" s="172" t="s">
        <v>7195</v>
      </c>
      <c r="I2" s="172"/>
      <c r="K2" s="172"/>
      <c r="M2" s="172" t="s">
        <v>7196</v>
      </c>
      <c r="O2" s="172"/>
      <c r="Q2" s="225"/>
      <c r="S2" s="172" t="s">
        <v>7198</v>
      </c>
      <c r="U2" s="172"/>
      <c r="W2" s="172"/>
      <c r="Y2" s="8"/>
      <c r="Z2" s="8"/>
      <c r="AA2" s="8"/>
      <c r="AB2" s="8"/>
      <c r="AC2" s="8"/>
      <c r="AD2" s="8"/>
      <c r="AE2" s="8"/>
      <c r="AF2" s="8"/>
      <c r="AG2" s="8"/>
      <c r="AH2" s="8"/>
      <c r="AI2" s="8"/>
      <c r="AJ2" s="8"/>
      <c r="AK2" s="8"/>
      <c r="AL2" s="8"/>
      <c r="AM2" s="8"/>
      <c r="AN2" s="8"/>
      <c r="AO2" s="8"/>
      <c r="AP2" s="8"/>
      <c r="AQ2" s="8"/>
      <c r="AR2" s="8"/>
      <c r="AS2" s="8"/>
      <c r="AT2" s="8"/>
    </row>
    <row r="3">
      <c r="A3" s="411" t="s">
        <v>9153</v>
      </c>
      <c r="B3" s="177" t="s">
        <v>9154</v>
      </c>
      <c r="C3" s="411" t="s">
        <v>9155</v>
      </c>
      <c r="D3" s="177" t="s">
        <v>9156</v>
      </c>
      <c r="E3" s="411" t="s">
        <v>9157</v>
      </c>
      <c r="F3" s="177" t="s">
        <v>9158</v>
      </c>
      <c r="G3" s="411" t="str">
        <f>IFERROR(__xludf.DUMMYFUNCTION("GOOGLETRANSLATE(A3,""zh-tw"",""zh"")"),"好喝的牛奶")</f>
        <v>好喝的牛奶</v>
      </c>
      <c r="H3" s="177" t="str">
        <f>IFERROR(__xludf.DUMMYFUNCTION("GOOGLETRANSLATE(B3,""zh-tw"",""zh"")"),"回复体力120，自动回复效果")</f>
        <v>回复体力120，自动回复效果</v>
      </c>
      <c r="I3" s="415" t="str">
        <f>IFERROR(__xludf.DUMMYFUNCTION("GOOGLETRANSLATE(A3,""zh-tw"",""es-MX"")"),"Leche deliciosa")</f>
        <v>Leche deliciosa</v>
      </c>
      <c r="J3" s="177" t="s">
        <v>9159</v>
      </c>
      <c r="K3" s="415" t="str">
        <f>IFERROR(__xludf.DUMMYFUNCTION("GOOGLETRANSLATE(A3,""zh-tw"",""KO"")"),"맛있는 우유")</f>
        <v>맛있는 우유</v>
      </c>
      <c r="L3" s="177" t="s">
        <v>9160</v>
      </c>
      <c r="M3" s="415" t="s">
        <v>9161</v>
      </c>
      <c r="N3" s="210" t="s">
        <v>9162</v>
      </c>
      <c r="O3" s="411" t="s">
        <v>9163</v>
      </c>
      <c r="P3" s="177" t="s">
        <v>9164</v>
      </c>
      <c r="Q3" s="445" t="s">
        <v>9165</v>
      </c>
      <c r="R3" s="446" t="s">
        <v>9166</v>
      </c>
      <c r="S3" s="415" t="s">
        <v>9167</v>
      </c>
      <c r="T3" s="177" t="s">
        <v>9168</v>
      </c>
      <c r="U3" s="411" t="s">
        <v>9169</v>
      </c>
      <c r="V3" s="177" t="s">
        <v>9170</v>
      </c>
      <c r="W3" s="411"/>
      <c r="X3" s="177"/>
      <c r="Y3" s="8"/>
      <c r="Z3" s="8"/>
      <c r="AA3" s="8"/>
      <c r="AB3" s="8"/>
      <c r="AC3" s="8"/>
      <c r="AD3" s="8"/>
      <c r="AE3" s="8"/>
      <c r="AF3" s="8"/>
      <c r="AG3" s="8"/>
      <c r="AH3" s="8"/>
      <c r="AI3" s="8"/>
      <c r="AJ3" s="8"/>
      <c r="AK3" s="8"/>
      <c r="AL3" s="8"/>
      <c r="AM3" s="8"/>
      <c r="AN3" s="8"/>
      <c r="AO3" s="8"/>
      <c r="AP3" s="8"/>
      <c r="AQ3" s="8"/>
      <c r="AR3" s="8"/>
      <c r="AS3" s="8"/>
      <c r="AT3" s="8"/>
    </row>
    <row r="4">
      <c r="A4" s="411" t="s">
        <v>9171</v>
      </c>
      <c r="B4" s="177" t="s">
        <v>9172</v>
      </c>
      <c r="C4" s="411" t="s">
        <v>9173</v>
      </c>
      <c r="D4" s="177" t="s">
        <v>9174</v>
      </c>
      <c r="E4" s="411" t="s">
        <v>9175</v>
      </c>
      <c r="F4" s="177" t="s">
        <v>9176</v>
      </c>
      <c r="G4" s="411" t="str">
        <f>IFERROR(__xludf.DUMMYFUNCTION("GOOGLETRANSLATE(A4,""zh-tw"",""zh"")"),"胡萝卜牛奶")</f>
        <v>胡萝卜牛奶</v>
      </c>
      <c r="H4" s="177" t="str">
        <f>IFERROR(__xludf.DUMMYFUNCTION("GOOGLETRANSLATE(B4,""zh-tw"",""zh"")"),"回复体力75，消除异常")</f>
        <v>回复体力75，消除异常</v>
      </c>
      <c r="I4" s="415" t="str">
        <f>IFERROR(__xludf.DUMMYFUNCTION("GOOGLETRANSLATE(A4,""zh-tw"",""es-MX"")"),"Leche de zanahoria")</f>
        <v>Leche de zanahoria</v>
      </c>
      <c r="J4" s="177" t="s">
        <v>9177</v>
      </c>
      <c r="K4" s="415" t="str">
        <f>IFERROR(__xludf.DUMMYFUNCTION("GOOGLETRANSLATE(A4,""zh-tw"",""KO"")"),"당근 우유")</f>
        <v>당근 우유</v>
      </c>
      <c r="L4" s="177" t="s">
        <v>9178</v>
      </c>
      <c r="M4" s="415" t="s">
        <v>9179</v>
      </c>
      <c r="N4" s="210" t="s">
        <v>9180</v>
      </c>
      <c r="O4" s="411" t="s">
        <v>9181</v>
      </c>
      <c r="P4" s="177" t="s">
        <v>9182</v>
      </c>
      <c r="Q4" s="445" t="s">
        <v>9183</v>
      </c>
      <c r="R4" s="446" t="s">
        <v>9184</v>
      </c>
      <c r="S4" s="415" t="s">
        <v>9185</v>
      </c>
      <c r="T4" s="210" t="s">
        <v>9186</v>
      </c>
      <c r="U4" s="411" t="s">
        <v>9187</v>
      </c>
      <c r="V4" s="177" t="s">
        <v>9188</v>
      </c>
      <c r="W4" s="411"/>
      <c r="X4" s="177"/>
      <c r="Y4" s="8"/>
      <c r="Z4" s="8"/>
      <c r="AA4" s="8"/>
      <c r="AB4" s="8"/>
      <c r="AC4" s="8"/>
      <c r="AD4" s="8"/>
      <c r="AE4" s="8"/>
      <c r="AF4" s="8"/>
      <c r="AG4" s="8"/>
      <c r="AH4" s="8"/>
      <c r="AI4" s="8"/>
      <c r="AJ4" s="8"/>
      <c r="AK4" s="8"/>
      <c r="AL4" s="8"/>
      <c r="AM4" s="8"/>
      <c r="AN4" s="8"/>
      <c r="AO4" s="8"/>
      <c r="AP4" s="8"/>
      <c r="AQ4" s="8"/>
      <c r="AR4" s="8"/>
      <c r="AS4" s="8"/>
      <c r="AT4" s="8"/>
    </row>
    <row r="5">
      <c r="A5" s="411" t="s">
        <v>9189</v>
      </c>
      <c r="B5" s="177" t="s">
        <v>9190</v>
      </c>
      <c r="C5" s="411" t="s">
        <v>9191</v>
      </c>
      <c r="D5" s="177" t="s">
        <v>9192</v>
      </c>
      <c r="E5" s="411" t="s">
        <v>9193</v>
      </c>
      <c r="F5" s="177" t="s">
        <v>9194</v>
      </c>
      <c r="G5" s="411" t="str">
        <f>IFERROR(__xludf.DUMMYFUNCTION("GOOGLETRANSLATE(A5,""zh-tw"",""zh"")"),"草莓味牛奶")</f>
        <v>草莓味牛奶</v>
      </c>
      <c r="H5" s="177" t="str">
        <f>IFERROR(__xludf.DUMMYFUNCTION("GOOGLETRANSLATE(B5,""zh-tw"",""zh"")"),"回复体力75，提高50%攻击")</f>
        <v>回复体力75，提高50%攻击</v>
      </c>
      <c r="I5" s="415" t="str">
        <f>IFERROR(__xludf.DUMMYFUNCTION("GOOGLETRANSLATE(A5,""zh-tw"",""es-MX"")"),"leche de fresa")</f>
        <v>leche de fresa</v>
      </c>
      <c r="J5" s="177" t="s">
        <v>9195</v>
      </c>
      <c r="K5" s="411" t="s">
        <v>9196</v>
      </c>
      <c r="L5" s="210" t="str">
        <f>IFERROR(__xludf.DUMMYFUNCTION("GOOGLETRANSLATE(B5,""zh-tw"",""KO"")"),"스태미나를 75 회복하고 공격력을 50% 증가시킵니다.")</f>
        <v>스태미나를 75 회복하고 공격력을 50% 증가시킵니다.</v>
      </c>
      <c r="M5" s="415" t="s">
        <v>9197</v>
      </c>
      <c r="N5" s="210" t="s">
        <v>9198</v>
      </c>
      <c r="O5" s="411" t="s">
        <v>9199</v>
      </c>
      <c r="P5" s="177" t="s">
        <v>9200</v>
      </c>
      <c r="Q5" s="445" t="s">
        <v>9201</v>
      </c>
      <c r="R5" s="446" t="s">
        <v>9202</v>
      </c>
      <c r="S5" s="415" t="s">
        <v>9203</v>
      </c>
      <c r="T5" s="210" t="s">
        <v>9204</v>
      </c>
      <c r="U5" s="411" t="s">
        <v>9205</v>
      </c>
      <c r="V5" s="177" t="s">
        <v>9206</v>
      </c>
      <c r="W5" s="411"/>
      <c r="X5" s="177"/>
      <c r="Y5" s="8"/>
      <c r="Z5" s="8"/>
      <c r="AA5" s="8"/>
      <c r="AB5" s="8"/>
      <c r="AC5" s="8"/>
      <c r="AD5" s="8"/>
      <c r="AE5" s="8"/>
      <c r="AF5" s="8"/>
      <c r="AG5" s="8"/>
      <c r="AH5" s="8"/>
      <c r="AI5" s="8"/>
      <c r="AJ5" s="8"/>
      <c r="AK5" s="8"/>
      <c r="AL5" s="8"/>
      <c r="AM5" s="8"/>
      <c r="AN5" s="8"/>
      <c r="AO5" s="8"/>
      <c r="AP5" s="8"/>
      <c r="AQ5" s="8"/>
      <c r="AR5" s="8"/>
      <c r="AS5" s="8"/>
      <c r="AT5" s="8"/>
    </row>
    <row r="6">
      <c r="A6" s="411" t="s">
        <v>9207</v>
      </c>
      <c r="B6" s="177" t="s">
        <v>9208</v>
      </c>
      <c r="C6" s="411" t="s">
        <v>9209</v>
      </c>
      <c r="D6" s="177" t="s">
        <v>9210</v>
      </c>
      <c r="E6" s="411" t="s">
        <v>9211</v>
      </c>
      <c r="F6" s="177" t="s">
        <v>9212</v>
      </c>
      <c r="G6" s="411" t="str">
        <f>IFERROR(__xludf.DUMMYFUNCTION("GOOGLETRANSLATE(A6,""zh-tw"",""zh"")"),"蜜瓜味牛奶")</f>
        <v>蜜瓜味牛奶</v>
      </c>
      <c r="H6" s="177" t="str">
        <f>IFERROR(__xludf.DUMMYFUNCTION("GOOGLETRANSLATE(B6,""zh-tw"",""zh"")"),"回复体力75，提高50%魔力")</f>
        <v>回复体力75，提高50%魔力</v>
      </c>
      <c r="I6" s="411" t="s">
        <v>9213</v>
      </c>
      <c r="J6" s="177" t="s">
        <v>9214</v>
      </c>
      <c r="K6" s="411" t="s">
        <v>9215</v>
      </c>
      <c r="L6" s="210" t="str">
        <f>IFERROR(__xludf.DUMMYFUNCTION("GOOGLETRANSLATE(B6,""zh-tw"",""KO"")"),"체력을 75 회복하고 마법 공격력을 50% 증가시킵니다.")</f>
        <v>체력을 75 회복하고 마법 공격력을 50% 증가시킵니다.</v>
      </c>
      <c r="M6" s="415" t="s">
        <v>9216</v>
      </c>
      <c r="N6" s="210" t="s">
        <v>9217</v>
      </c>
      <c r="O6" s="411" t="s">
        <v>9218</v>
      </c>
      <c r="P6" s="177" t="s">
        <v>9219</v>
      </c>
      <c r="Q6" s="445" t="s">
        <v>9220</v>
      </c>
      <c r="R6" s="446" t="s">
        <v>9221</v>
      </c>
      <c r="S6" s="415" t="s">
        <v>9222</v>
      </c>
      <c r="T6" s="210" t="s">
        <v>9223</v>
      </c>
      <c r="U6" s="411" t="s">
        <v>9224</v>
      </c>
      <c r="V6" s="177" t="s">
        <v>9225</v>
      </c>
      <c r="W6" s="411"/>
      <c r="X6" s="177"/>
      <c r="Y6" s="8"/>
      <c r="Z6" s="8"/>
      <c r="AA6" s="8"/>
      <c r="AB6" s="8"/>
      <c r="AC6" s="8"/>
      <c r="AD6" s="8"/>
      <c r="AE6" s="8"/>
      <c r="AF6" s="8"/>
      <c r="AG6" s="8"/>
      <c r="AH6" s="8"/>
      <c r="AI6" s="8"/>
      <c r="AJ6" s="8"/>
      <c r="AK6" s="8"/>
      <c r="AL6" s="8"/>
      <c r="AM6" s="8"/>
      <c r="AN6" s="8"/>
      <c r="AO6" s="8"/>
      <c r="AP6" s="8"/>
      <c r="AQ6" s="8"/>
      <c r="AR6" s="8"/>
      <c r="AS6" s="8"/>
      <c r="AT6" s="8"/>
    </row>
    <row r="7">
      <c r="A7" s="411" t="s">
        <v>9226</v>
      </c>
      <c r="B7" s="177" t="s">
        <v>9227</v>
      </c>
      <c r="C7" s="411" t="s">
        <v>9228</v>
      </c>
      <c r="D7" s="177" t="s">
        <v>9229</v>
      </c>
      <c r="E7" s="411" t="s">
        <v>9230</v>
      </c>
      <c r="F7" s="177" t="s">
        <v>9231</v>
      </c>
      <c r="G7" s="411" t="str">
        <f>IFERROR(__xludf.DUMMYFUNCTION("GOOGLETRANSLATE(A7,""zh-tw"",""zh"")"),"香蕉味牛奶")</f>
        <v>香蕉味牛奶</v>
      </c>
      <c r="H7" s="177" t="str">
        <f>IFERROR(__xludf.DUMMYFUNCTION("GOOGLETRANSLATE(B7,""zh-tw"",""zh"")"),"回复体力75，移速增强")</f>
        <v>回复体力75，移速增强</v>
      </c>
      <c r="I7" s="415" t="str">
        <f>IFERROR(__xludf.DUMMYFUNCTION("GOOGLETRANSLATE(A7,""zh-tw"",""es-MX"")"),"Leche con sabor a plátano")</f>
        <v>Leche con sabor a plátano</v>
      </c>
      <c r="J7" s="177" t="s">
        <v>9232</v>
      </c>
      <c r="K7" s="415" t="str">
        <f>IFERROR(__xludf.DUMMYFUNCTION("GOOGLETRANSLATE(A7,""zh-tw"",""KO"")"),"바나나맛 우유")</f>
        <v>바나나맛 우유</v>
      </c>
      <c r="L7" s="177" t="s">
        <v>9233</v>
      </c>
      <c r="M7" s="415" t="s">
        <v>9234</v>
      </c>
      <c r="N7" s="210" t="s">
        <v>9235</v>
      </c>
      <c r="O7" s="411" t="s">
        <v>9236</v>
      </c>
      <c r="P7" s="177" t="s">
        <v>9237</v>
      </c>
      <c r="Q7" s="445" t="s">
        <v>9238</v>
      </c>
      <c r="R7" s="446" t="s">
        <v>9239</v>
      </c>
      <c r="S7" s="415" t="s">
        <v>9240</v>
      </c>
      <c r="T7" s="210" t="s">
        <v>9241</v>
      </c>
      <c r="U7" s="411" t="s">
        <v>9242</v>
      </c>
      <c r="V7" s="177" t="s">
        <v>9243</v>
      </c>
      <c r="W7" s="411"/>
      <c r="X7" s="177"/>
      <c r="Y7" s="8"/>
      <c r="Z7" s="8"/>
      <c r="AA7" s="8"/>
      <c r="AB7" s="8"/>
      <c r="AC7" s="8"/>
      <c r="AD7" s="8"/>
      <c r="AE7" s="8"/>
      <c r="AF7" s="8"/>
      <c r="AG7" s="8"/>
      <c r="AH7" s="8"/>
      <c r="AI7" s="8"/>
      <c r="AJ7" s="8"/>
      <c r="AK7" s="8"/>
      <c r="AL7" s="8"/>
      <c r="AM7" s="8"/>
      <c r="AN7" s="8"/>
      <c r="AO7" s="8"/>
      <c r="AP7" s="8"/>
      <c r="AQ7" s="8"/>
      <c r="AR7" s="8"/>
      <c r="AS7" s="8"/>
      <c r="AT7" s="8"/>
    </row>
    <row r="8">
      <c r="A8" s="411" t="s">
        <v>9244</v>
      </c>
      <c r="B8" s="177" t="s">
        <v>9245</v>
      </c>
      <c r="C8" s="411" t="s">
        <v>9246</v>
      </c>
      <c r="D8" s="177" t="s">
        <v>9247</v>
      </c>
      <c r="E8" s="411" t="s">
        <v>9248</v>
      </c>
      <c r="F8" s="177" t="s">
        <v>9249</v>
      </c>
      <c r="G8" s="411" t="str">
        <f>IFERROR(__xludf.DUMMYFUNCTION("GOOGLETRANSLATE(A8,""zh-tw"",""zh"")"),"巧克力牛奶")</f>
        <v>巧克力牛奶</v>
      </c>
      <c r="H8" s="177" t="str">
        <f>IFERROR(__xludf.DUMMYFUNCTION("GOOGLETRANSLATE(B8,""zh-tw"",""zh"")"),"回复体力78，霸体效果
(未实装)")</f>
        <v>回复体力78，霸体效果
(未实装)</v>
      </c>
      <c r="I8" s="415" t="str">
        <f>IFERROR(__xludf.DUMMYFUNCTION("GOOGLETRANSLATE(A8,""zh-tw"",""es-MX"")"),"leche con chocolate")</f>
        <v>leche con chocolate</v>
      </c>
      <c r="J8" s="177" t="s">
        <v>9250</v>
      </c>
      <c r="K8" s="411" t="s">
        <v>9251</v>
      </c>
      <c r="L8" s="210" t="str">
        <f>IFERROR(__xludf.DUMMYFUNCTION("GOOGLETRANSLATE(B8,""zh-tw"",""KO"")"),"스태미나 78을 회복하고 무적 효과를 부여합니다.
(아직 구현되지 않음)")</f>
        <v>스태미나 78을 회복하고 무적 효과를 부여합니다.
(아직 구현되지 않음)</v>
      </c>
      <c r="M8" s="415" t="s">
        <v>9252</v>
      </c>
      <c r="N8" s="177" t="s">
        <v>9253</v>
      </c>
      <c r="O8" s="411" t="s">
        <v>9254</v>
      </c>
      <c r="P8" s="177" t="s">
        <v>9255</v>
      </c>
      <c r="Q8" s="445" t="s">
        <v>9256</v>
      </c>
      <c r="R8" s="446" t="s">
        <v>9257</v>
      </c>
      <c r="S8" s="436" t="s">
        <v>9248</v>
      </c>
      <c r="T8" s="210" t="s">
        <v>9258</v>
      </c>
      <c r="U8" s="411" t="s">
        <v>9259</v>
      </c>
      <c r="V8" s="177" t="s">
        <v>9260</v>
      </c>
      <c r="W8" s="411"/>
      <c r="X8" s="177"/>
      <c r="Y8" s="8"/>
      <c r="Z8" s="8"/>
      <c r="AA8" s="8"/>
      <c r="AB8" s="8"/>
      <c r="AC8" s="8"/>
      <c r="AD8" s="8"/>
      <c r="AE8" s="8"/>
      <c r="AF8" s="8"/>
      <c r="AG8" s="8"/>
      <c r="AH8" s="8"/>
      <c r="AI8" s="8"/>
      <c r="AJ8" s="8"/>
      <c r="AK8" s="8"/>
      <c r="AL8" s="8"/>
      <c r="AM8" s="8"/>
      <c r="AN8" s="8"/>
      <c r="AO8" s="8"/>
      <c r="AP8" s="8"/>
      <c r="AQ8" s="8"/>
      <c r="AR8" s="8"/>
      <c r="AS8" s="8"/>
      <c r="AT8" s="8"/>
    </row>
    <row r="9">
      <c r="A9" s="411" t="s">
        <v>9261</v>
      </c>
      <c r="B9" s="177" t="s">
        <v>9262</v>
      </c>
      <c r="C9" s="411" t="str">
        <f>IFERROR(__xludf.DUMMYFUNCTION("GOOGLETRANSLATE(A9,""zh-tw"",""ja"")"),"ジャック・ボム")</f>
        <v>ジャック・ボム</v>
      </c>
      <c r="D9" s="177" t="s">
        <v>9263</v>
      </c>
      <c r="E9" s="411" t="s">
        <v>9264</v>
      </c>
      <c r="F9" s="177" t="s">
        <v>9265</v>
      </c>
      <c r="G9" s="411" t="str">
        <f>IFERROR(__xludf.DUMMYFUNCTION("GOOGLETRANSLATE(A9,""zh-tw"",""zh"")"),"杰克爆弹")</f>
        <v>杰克爆弹</v>
      </c>
      <c r="H9" s="177" t="str">
        <f>IFERROR(__xludf.DUMMYFUNCTION("GOOGLETRANSLATE(B9,""zh-tw"",""zh"")"),"炸弹(无视防御)")</f>
        <v>炸弹(无视防御)</v>
      </c>
      <c r="I9" s="415" t="str">
        <f>IFERROR(__xludf.DUMMYFUNCTION("GOOGLETRANSLATE(A9,""zh-tw"",""es-MX"")"),"Bomba Jack")</f>
        <v>Bomba Jack</v>
      </c>
      <c r="J9" s="177" t="s">
        <v>9266</v>
      </c>
      <c r="K9" s="411" t="s">
        <v>9267</v>
      </c>
      <c r="L9" s="210" t="str">
        <f>IFERROR(__xludf.DUMMYFUNCTION("GOOGLETRANSLATE(B9,""zh-tw"",""KO"")"),"폭탄 (방어 무시)")</f>
        <v>폭탄 (방어 무시)</v>
      </c>
      <c r="M9" s="415" t="s">
        <v>9268</v>
      </c>
      <c r="N9" s="210" t="s">
        <v>9269</v>
      </c>
      <c r="O9" s="411" t="s">
        <v>9270</v>
      </c>
      <c r="P9" s="177" t="s">
        <v>9271</v>
      </c>
      <c r="Q9" s="445" t="s">
        <v>9264</v>
      </c>
      <c r="R9" s="446" t="s">
        <v>9272</v>
      </c>
      <c r="S9" s="415" t="s">
        <v>9273</v>
      </c>
      <c r="T9" s="210" t="s">
        <v>9274</v>
      </c>
      <c r="U9" s="411" t="s">
        <v>9275</v>
      </c>
      <c r="V9" s="177" t="s">
        <v>9276</v>
      </c>
      <c r="W9" s="411"/>
      <c r="X9" s="177"/>
      <c r="Y9" s="8"/>
      <c r="Z9" s="8"/>
      <c r="AA9" s="8"/>
      <c r="AB9" s="8"/>
      <c r="AC9" s="8"/>
      <c r="AD9" s="8"/>
      <c r="AE9" s="8"/>
      <c r="AF9" s="8"/>
      <c r="AG9" s="8"/>
      <c r="AH9" s="8"/>
      <c r="AI9" s="8"/>
      <c r="AJ9" s="8"/>
      <c r="AK9" s="8"/>
      <c r="AL9" s="8"/>
      <c r="AM9" s="8"/>
      <c r="AN9" s="8"/>
      <c r="AO9" s="8"/>
      <c r="AP9" s="8"/>
      <c r="AQ9" s="8"/>
      <c r="AR9" s="8"/>
      <c r="AS9" s="8"/>
      <c r="AT9" s="8"/>
    </row>
    <row r="10" ht="36.0" customHeight="1">
      <c r="A10" s="435" t="s">
        <v>9277</v>
      </c>
      <c r="B10" s="435" t="s">
        <v>9278</v>
      </c>
      <c r="C10" s="411" t="s">
        <v>9279</v>
      </c>
      <c r="D10" s="177" t="s">
        <v>9280</v>
      </c>
      <c r="E10" s="411" t="s">
        <v>9281</v>
      </c>
      <c r="F10" s="177" t="s">
        <v>9282</v>
      </c>
      <c r="G10" s="411" t="s">
        <v>9283</v>
      </c>
      <c r="H10" s="177" t="s">
        <v>9284</v>
      </c>
      <c r="I10" s="415" t="str">
        <f>IFERROR(__xludf.DUMMYFUNCTION("GOOGLETRANSLATE(A10,""zh-tw"",""es-MX"")"),"Pato de goma")</f>
        <v>Pato de goma</v>
      </c>
      <c r="J10" s="177" t="s">
        <v>9285</v>
      </c>
      <c r="K10" s="411" t="s">
        <v>9267</v>
      </c>
      <c r="L10" s="210" t="str">
        <f>IFERROR(__xludf.DUMMYFUNCTION("GOOGLETRANSLATE(B10,""zh-tw"",""KO"")"),"집에서 샤워할 때 사용하시면 됩니다.")</f>
        <v>집에서 샤워할 때 사용하시면 됩니다.</v>
      </c>
      <c r="M10" s="411" t="s">
        <v>9286</v>
      </c>
      <c r="N10" s="177" t="s">
        <v>9287</v>
      </c>
      <c r="O10" s="411"/>
      <c r="P10" s="177" t="s">
        <v>9288</v>
      </c>
      <c r="Q10" s="447" t="s">
        <v>9289</v>
      </c>
      <c r="R10" s="223" t="s">
        <v>9290</v>
      </c>
      <c r="S10" s="411" t="s">
        <v>9291</v>
      </c>
      <c r="T10" s="177" t="s">
        <v>9292</v>
      </c>
      <c r="U10" s="411" t="s">
        <v>9293</v>
      </c>
      <c r="V10" s="177" t="s">
        <v>9294</v>
      </c>
      <c r="W10" s="411"/>
      <c r="X10" s="177"/>
      <c r="Y10" s="8"/>
      <c r="Z10" s="8"/>
      <c r="AA10" s="8"/>
      <c r="AB10" s="8"/>
      <c r="AC10" s="8"/>
      <c r="AD10" s="8"/>
      <c r="AE10" s="8"/>
      <c r="AF10" s="8"/>
      <c r="AG10" s="8"/>
      <c r="AH10" s="8"/>
      <c r="AI10" s="8"/>
      <c r="AJ10" s="8"/>
      <c r="AK10" s="8"/>
      <c r="AL10" s="8"/>
      <c r="AM10" s="8"/>
      <c r="AN10" s="8"/>
      <c r="AO10" s="8"/>
      <c r="AP10" s="8"/>
      <c r="AQ10" s="8"/>
      <c r="AR10" s="8"/>
      <c r="AS10" s="8"/>
      <c r="AT10" s="8"/>
    </row>
    <row r="11">
      <c r="A11" s="411" t="s">
        <v>9295</v>
      </c>
      <c r="B11" s="177" t="s">
        <v>9296</v>
      </c>
      <c r="C11" s="411" t="str">
        <f>IFERROR(__xludf.DUMMYFUNCTION("GOOGLETRANSLATE(A11,""zh-tw"",""ja"")"),"ポラロイド 1-8")</f>
        <v>ポラロイド 1-8</v>
      </c>
      <c r="D11" s="177" t="s">
        <v>9297</v>
      </c>
      <c r="E11" s="411" t="s">
        <v>9298</v>
      </c>
      <c r="F11" s="177" t="s">
        <v>9299</v>
      </c>
      <c r="G11" s="411" t="str">
        <f>IFERROR(__xludf.DUMMYFUNCTION("GOOGLETRANSLATE(A11,""zh-tw"",""zh"")"),"拍立得1~8")</f>
        <v>拍立得1~8</v>
      </c>
      <c r="H11" s="177" t="str">
        <f>IFERROR(__xludf.DUMMYFUNCTION("GOOGLETRANSLATE(B11,""zh-tw"",""zh"")"),"查看优质照片")</f>
        <v>查看优质照片</v>
      </c>
      <c r="I11" s="415" t="str">
        <f>IFERROR(__xludf.DUMMYFUNCTION("GOOGLETRANSLATE(A11,""zh-tw"",""es-MX"")"),"Polaroid 1-8")</f>
        <v>Polaroid 1-8</v>
      </c>
      <c r="J11" s="177" t="s">
        <v>9300</v>
      </c>
      <c r="K11" s="415" t="str">
        <f>IFERROR(__xludf.DUMMYFUNCTION("GOOGLETRANSLATE(A11,""zh-tw"",""KO"")"),"폴라로이드 1-8")</f>
        <v>폴라로이드 1-8</v>
      </c>
      <c r="L11" s="210" t="str">
        <f>IFERROR(__xludf.DUMMYFUNCTION("GOOGLETRANSLATE(B11,""zh-tw"",""KO"")"),"고화질 사진을 보세요")</f>
        <v>고화질 사진을 보세요</v>
      </c>
      <c r="M11" s="411" t="s">
        <v>9301</v>
      </c>
      <c r="N11" s="210" t="s">
        <v>9302</v>
      </c>
      <c r="O11" s="411" t="s">
        <v>9303</v>
      </c>
      <c r="P11" s="177" t="s">
        <v>9304</v>
      </c>
      <c r="Q11" s="447" t="s">
        <v>9298</v>
      </c>
      <c r="R11" s="446" t="s">
        <v>9305</v>
      </c>
      <c r="S11" s="411" t="s">
        <v>9298</v>
      </c>
      <c r="T11" s="210" t="s">
        <v>9306</v>
      </c>
      <c r="U11" s="411" t="s">
        <v>9298</v>
      </c>
      <c r="V11" s="177" t="s">
        <v>9307</v>
      </c>
      <c r="W11" s="411"/>
      <c r="X11" s="177"/>
      <c r="Y11" s="8"/>
      <c r="Z11" s="8"/>
      <c r="AA11" s="8"/>
      <c r="AB11" s="8"/>
      <c r="AC11" s="8"/>
      <c r="AD11" s="8"/>
      <c r="AE11" s="8"/>
      <c r="AF11" s="8"/>
      <c r="AG11" s="8"/>
      <c r="AH11" s="8"/>
      <c r="AI11" s="8"/>
      <c r="AJ11" s="8"/>
      <c r="AK11" s="8"/>
      <c r="AL11" s="8"/>
      <c r="AM11" s="8"/>
      <c r="AN11" s="8"/>
      <c r="AO11" s="8"/>
      <c r="AP11" s="8"/>
      <c r="AQ11" s="8"/>
      <c r="AR11" s="8"/>
      <c r="AS11" s="8"/>
      <c r="AT11" s="8"/>
    </row>
    <row r="12">
      <c r="A12" s="416" t="s">
        <v>9308</v>
      </c>
      <c r="B12" s="210" t="s">
        <v>9309</v>
      </c>
      <c r="C12" s="411" t="s">
        <v>9310</v>
      </c>
      <c r="D12" s="177" t="s">
        <v>9311</v>
      </c>
      <c r="E12" s="411" t="s">
        <v>9312</v>
      </c>
      <c r="F12" s="177" t="s">
        <v>9313</v>
      </c>
      <c r="G12" s="411" t="str">
        <f>IFERROR(__xludf.DUMMYFUNCTION("GOOGLETRANSLATE(A12,""zh-tw"",""zh"")"),"茶会拍立得收藏集")</f>
        <v>茶会拍立得收藏集</v>
      </c>
      <c r="H12" s="177" t="str">
        <f>IFERROR(__xludf.DUMMYFUNCTION("GOOGLETRANSLATE(B12,""zh-tw"",""zh"")"),"完成后提升幸运值")</f>
        <v>完成后提升幸运值</v>
      </c>
      <c r="I12" s="411" t="s">
        <v>9312</v>
      </c>
      <c r="J12" s="177" t="s">
        <v>9314</v>
      </c>
      <c r="K12" s="415" t="str">
        <f>IFERROR(__xludf.DUMMYFUNCTION("GOOGLETRANSLATE(A12,""zh-tw"",""KO"")"),"티 파티 폴라로이드 사진 모음")</f>
        <v>티 파티 폴라로이드 사진 모음</v>
      </c>
      <c r="L12" s="210" t="str">
        <f>IFERROR(__xludf.DUMMYFUNCTION("GOOGLETRANSLATE(B12,""zh-tw"",""KO"")"),"완료 시 행운 수치 증가")</f>
        <v>완료 시 행운 수치 증가</v>
      </c>
      <c r="M12" s="415" t="s">
        <v>9315</v>
      </c>
      <c r="N12" s="210" t="s">
        <v>9316</v>
      </c>
      <c r="O12" s="411" t="s">
        <v>9317</v>
      </c>
      <c r="P12" s="177" t="s">
        <v>9318</v>
      </c>
      <c r="Q12" s="447" t="s">
        <v>9319</v>
      </c>
      <c r="R12" s="223" t="s">
        <v>9320</v>
      </c>
      <c r="S12" s="436" t="s">
        <v>9321</v>
      </c>
      <c r="T12" s="210" t="s">
        <v>9322</v>
      </c>
      <c r="U12" s="411" t="s">
        <v>9323</v>
      </c>
      <c r="V12" s="177" t="s">
        <v>9324</v>
      </c>
      <c r="W12" s="411"/>
      <c r="X12" s="177"/>
      <c r="Y12" s="8"/>
      <c r="Z12" s="8"/>
      <c r="AA12" s="8"/>
      <c r="AB12" s="8"/>
      <c r="AC12" s="8"/>
      <c r="AD12" s="8"/>
      <c r="AE12" s="8"/>
      <c r="AF12" s="8"/>
      <c r="AG12" s="8"/>
      <c r="AH12" s="8"/>
      <c r="AI12" s="8"/>
      <c r="AJ12" s="8"/>
      <c r="AK12" s="8"/>
      <c r="AL12" s="8"/>
      <c r="AM12" s="8"/>
      <c r="AN12" s="8"/>
      <c r="AO12" s="8"/>
      <c r="AP12" s="8"/>
      <c r="AQ12" s="8"/>
      <c r="AR12" s="8"/>
      <c r="AS12" s="8"/>
      <c r="AT12" s="8"/>
    </row>
    <row r="13">
      <c r="A13" s="415" t="s">
        <v>9325</v>
      </c>
      <c r="B13" s="210" t="s">
        <v>9326</v>
      </c>
      <c r="C13" s="415" t="s">
        <v>9327</v>
      </c>
      <c r="D13" s="210" t="s">
        <v>9328</v>
      </c>
      <c r="E13" s="411" t="s">
        <v>9329</v>
      </c>
      <c r="F13" s="210" t="s">
        <v>9330</v>
      </c>
      <c r="G13" s="415" t="s">
        <v>9331</v>
      </c>
      <c r="H13" s="210" t="s">
        <v>9332</v>
      </c>
      <c r="I13" s="415" t="str">
        <f>IFERROR(__xludf.DUMMYFUNCTION("GOOGLETRANSLATE(A13,""zh-tw"",""es-MX"")"),"Boleto para gatos")</f>
        <v>Boleto para gatos</v>
      </c>
      <c r="J13" s="177" t="s">
        <v>9333</v>
      </c>
      <c r="K13" s="415" t="str">
        <f>IFERROR(__xludf.DUMMYFUNCTION("GOOGLETRANSLATE(A13,""zh-tw"",""KO"")"),"고양이 티켓")</f>
        <v>고양이 티켓</v>
      </c>
      <c r="L13" s="210" t="str">
        <f>IFERROR(__xludf.DUMMYFUNCTION("GOOGLETRANSLATE(B13,""zh-tw"",""KO"")"),"금화 압수 및 죄악 점수 누적")</f>
        <v>금화 압수 및 죄악 점수 누적</v>
      </c>
      <c r="M13" s="415" t="s">
        <v>9334</v>
      </c>
      <c r="N13" s="210" t="s">
        <v>9335</v>
      </c>
      <c r="O13" s="415" t="s">
        <v>9336</v>
      </c>
      <c r="P13" s="210" t="s">
        <v>9337</v>
      </c>
      <c r="Q13" s="447" t="s">
        <v>9338</v>
      </c>
      <c r="R13" s="446" t="s">
        <v>9339</v>
      </c>
      <c r="S13" s="415" t="s">
        <v>9340</v>
      </c>
      <c r="T13" s="210" t="s">
        <v>9341</v>
      </c>
      <c r="U13" s="415" t="s">
        <v>9342</v>
      </c>
      <c r="V13" s="210" t="s">
        <v>9343</v>
      </c>
      <c r="W13" s="415"/>
      <c r="X13" s="210"/>
      <c r="Y13" s="8"/>
      <c r="Z13" s="8"/>
      <c r="AA13" s="8"/>
      <c r="AB13" s="8"/>
      <c r="AC13" s="8"/>
      <c r="AD13" s="8"/>
      <c r="AE13" s="8"/>
      <c r="AF13" s="8"/>
      <c r="AG13" s="8"/>
      <c r="AH13" s="8"/>
      <c r="AI13" s="8"/>
      <c r="AJ13" s="8"/>
      <c r="AK13" s="8"/>
      <c r="AL13" s="8"/>
      <c r="AM13" s="8"/>
      <c r="AN13" s="8"/>
      <c r="AO13" s="8"/>
      <c r="AP13" s="8"/>
      <c r="AQ13" s="8"/>
      <c r="AR13" s="8"/>
      <c r="AS13" s="8"/>
      <c r="AT13" s="8"/>
    </row>
    <row r="14">
      <c r="A14" s="172" t="s">
        <v>7412</v>
      </c>
      <c r="C14" s="172" t="s">
        <v>7413</v>
      </c>
      <c r="E14" s="172" t="s">
        <v>7414</v>
      </c>
      <c r="G14" s="172" t="s">
        <v>7415</v>
      </c>
      <c r="I14" s="172"/>
      <c r="K14" s="172"/>
      <c r="M14" s="172" t="s">
        <v>7416</v>
      </c>
      <c r="O14" s="172"/>
      <c r="Q14" s="225"/>
      <c r="S14" s="172" t="s">
        <v>7418</v>
      </c>
      <c r="U14" s="172"/>
      <c r="W14" s="172"/>
      <c r="Y14" s="8"/>
      <c r="Z14" s="8"/>
      <c r="AA14" s="8"/>
      <c r="AB14" s="8"/>
      <c r="AC14" s="8"/>
      <c r="AD14" s="8"/>
      <c r="AE14" s="8"/>
      <c r="AF14" s="8"/>
      <c r="AG14" s="8"/>
      <c r="AH14" s="8"/>
      <c r="AI14" s="8"/>
      <c r="AJ14" s="8"/>
      <c r="AK14" s="8"/>
      <c r="AL14" s="8"/>
      <c r="AM14" s="8"/>
      <c r="AN14" s="8"/>
      <c r="AO14" s="8"/>
      <c r="AP14" s="8"/>
      <c r="AQ14" s="8"/>
      <c r="AR14" s="8"/>
      <c r="AS14" s="8"/>
      <c r="AT14" s="8"/>
    </row>
    <row r="15">
      <c r="A15" s="411" t="s">
        <v>9344</v>
      </c>
      <c r="B15" s="177" t="s">
        <v>9345</v>
      </c>
      <c r="C15" s="411" t="s">
        <v>9346</v>
      </c>
      <c r="D15" s="177" t="s">
        <v>9347</v>
      </c>
      <c r="E15" s="411" t="s">
        <v>9348</v>
      </c>
      <c r="F15" s="177" t="s">
        <v>9349</v>
      </c>
      <c r="G15" s="411" t="str">
        <f>IFERROR(__xludf.DUMMYFUNCTION("GOOGLETRANSLATE(A15,""zh-tw"",""zh"")"),"逆流可乐")</f>
        <v>逆流可乐</v>
      </c>
      <c r="H15" s="177" t="str">
        <f>IFERROR(__xludf.DUMMYFUNCTION("GOOGLETRANSLATE(B15,""zh-tw"",""zh"")"),"(战斗效果未实装)")</f>
        <v>(战斗效果未实装)</v>
      </c>
      <c r="I15" s="411" t="s">
        <v>9350</v>
      </c>
      <c r="J15" s="177" t="s">
        <v>9351</v>
      </c>
      <c r="K15" s="411" t="s">
        <v>9352</v>
      </c>
      <c r="L15" s="210" t="str">
        <f>IFERROR(__xludf.DUMMYFUNCTION("GOOGLETRANSLATE(B15,""zh-tw"",""KO"")"),"(전투 효과는 아직 구현되지 않았습니다)")</f>
        <v>(전투 효과는 아직 구현되지 않았습니다)</v>
      </c>
      <c r="M15" s="415" t="s">
        <v>9353</v>
      </c>
      <c r="N15" s="210" t="s">
        <v>9354</v>
      </c>
      <c r="O15" s="411" t="s">
        <v>9350</v>
      </c>
      <c r="P15" s="177" t="s">
        <v>9355</v>
      </c>
      <c r="Q15" s="447" t="s">
        <v>9356</v>
      </c>
      <c r="R15" s="446" t="s">
        <v>9357</v>
      </c>
      <c r="S15" s="415" t="s">
        <v>9358</v>
      </c>
      <c r="T15" s="210" t="s">
        <v>9359</v>
      </c>
      <c r="U15" s="411" t="s">
        <v>9360</v>
      </c>
      <c r="V15" s="177" t="s">
        <v>9361</v>
      </c>
      <c r="W15" s="411"/>
      <c r="X15" s="177"/>
      <c r="Y15" s="8"/>
      <c r="Z15" s="8"/>
      <c r="AA15" s="8"/>
      <c r="AB15" s="8"/>
      <c r="AC15" s="8"/>
      <c r="AD15" s="8"/>
      <c r="AE15" s="8"/>
      <c r="AF15" s="8"/>
      <c r="AG15" s="8"/>
      <c r="AH15" s="8"/>
      <c r="AI15" s="8"/>
      <c r="AJ15" s="8"/>
      <c r="AK15" s="8"/>
      <c r="AL15" s="8"/>
      <c r="AM15" s="8"/>
      <c r="AN15" s="8"/>
      <c r="AO15" s="8"/>
      <c r="AP15" s="8"/>
      <c r="AQ15" s="8"/>
      <c r="AR15" s="8"/>
      <c r="AS15" s="8"/>
      <c r="AT15" s="8"/>
    </row>
    <row r="16">
      <c r="A16" s="411" t="s">
        <v>9362</v>
      </c>
      <c r="B16" s="177" t="s">
        <v>9363</v>
      </c>
      <c r="C16" s="411" t="s">
        <v>9364</v>
      </c>
      <c r="D16" s="177" t="s">
        <v>9365</v>
      </c>
      <c r="E16" s="411" t="s">
        <v>9366</v>
      </c>
      <c r="F16" s="177" t="s">
        <v>9367</v>
      </c>
      <c r="G16" s="411" t="str">
        <f>IFERROR(__xludf.DUMMYFUNCTION("GOOGLETRANSLATE(A16,""zh-tw"",""zh"")"),"冰霜杰克爆弹")</f>
        <v>冰霜杰克爆弹</v>
      </c>
      <c r="H16" s="177" t="str">
        <f>IFERROR(__xludf.DUMMYFUNCTION("GOOGLETRANSLATE(B16,""zh-tw"",""zh"")"),"冰属性炸弹")</f>
        <v>冰属性炸弹</v>
      </c>
      <c r="I16" s="415" t="str">
        <f>IFERROR(__xludf.DUMMYFUNCTION("GOOGLETRANSLATE(A16,""zh-tw"",""es-MX"")"),"Bomba de Frost Jack")</f>
        <v>Bomba de Frost Jack</v>
      </c>
      <c r="J16" s="177" t="s">
        <v>9368</v>
      </c>
      <c r="K16" s="415" t="str">
        <f>IFERROR(__xludf.DUMMYFUNCTION("GOOGLETRANSLATE(A16,""zh-tw"",""KO"")"),"프로스트 잭 밤")</f>
        <v>프로스트 잭 밤</v>
      </c>
      <c r="L16" s="177" t="s">
        <v>9369</v>
      </c>
      <c r="M16" s="415" t="s">
        <v>9370</v>
      </c>
      <c r="N16" s="210" t="s">
        <v>9371</v>
      </c>
      <c r="O16" s="411" t="s">
        <v>9372</v>
      </c>
      <c r="P16" s="177" t="s">
        <v>9373</v>
      </c>
      <c r="Q16" s="445" t="s">
        <v>9366</v>
      </c>
      <c r="R16" s="446" t="s">
        <v>9374</v>
      </c>
      <c r="S16" s="415" t="s">
        <v>9375</v>
      </c>
      <c r="T16" s="210" t="s">
        <v>9376</v>
      </c>
      <c r="U16" s="411" t="s">
        <v>9377</v>
      </c>
      <c r="V16" s="177" t="s">
        <v>9378</v>
      </c>
      <c r="W16" s="411"/>
      <c r="X16" s="177"/>
      <c r="Y16" s="8"/>
      <c r="Z16" s="8"/>
      <c r="AA16" s="8"/>
      <c r="AB16" s="8"/>
      <c r="AC16" s="8"/>
      <c r="AD16" s="8"/>
      <c r="AE16" s="8"/>
      <c r="AF16" s="8"/>
      <c r="AG16" s="8"/>
      <c r="AH16" s="8"/>
      <c r="AI16" s="8"/>
      <c r="AJ16" s="8"/>
      <c r="AK16" s="8"/>
      <c r="AL16" s="8"/>
      <c r="AM16" s="8"/>
      <c r="AN16" s="8"/>
      <c r="AO16" s="8"/>
      <c r="AP16" s="8"/>
      <c r="AQ16" s="8"/>
      <c r="AR16" s="8"/>
      <c r="AS16" s="8"/>
      <c r="AT16" s="8"/>
    </row>
    <row r="17">
      <c r="A17" s="411" t="s">
        <v>9379</v>
      </c>
      <c r="B17" s="177" t="s">
        <v>9380</v>
      </c>
      <c r="C17" s="411" t="s">
        <v>9381</v>
      </c>
      <c r="D17" s="177" t="s">
        <v>9382</v>
      </c>
      <c r="E17" s="411" t="s">
        <v>9383</v>
      </c>
      <c r="F17" s="177" t="s">
        <v>9384</v>
      </c>
      <c r="G17" s="411" t="str">
        <f>IFERROR(__xludf.DUMMYFUNCTION("GOOGLETRANSLATE(A17,""zh-tw"",""zh"")"),"猛毒杰克爆弹")</f>
        <v>猛毒杰克爆弹</v>
      </c>
      <c r="H17" s="177" t="str">
        <f>IFERROR(__xludf.DUMMYFUNCTION("GOOGLETRANSLATE(B17,""zh-tw"",""zh"")"),"毒属性炸弹")</f>
        <v>毒属性炸弹</v>
      </c>
      <c r="I17" s="411" t="s">
        <v>9383</v>
      </c>
      <c r="J17" s="177" t="s">
        <v>9385</v>
      </c>
      <c r="K17" s="411" t="s">
        <v>9386</v>
      </c>
      <c r="L17" s="177" t="s">
        <v>9387</v>
      </c>
      <c r="M17" s="415" t="s">
        <v>9388</v>
      </c>
      <c r="N17" s="210" t="s">
        <v>9389</v>
      </c>
      <c r="O17" s="411" t="s">
        <v>9390</v>
      </c>
      <c r="P17" s="177" t="s">
        <v>9391</v>
      </c>
      <c r="Q17" s="445" t="s">
        <v>9383</v>
      </c>
      <c r="R17" s="446" t="s">
        <v>9392</v>
      </c>
      <c r="S17" s="415" t="s">
        <v>9393</v>
      </c>
      <c r="T17" s="210" t="s">
        <v>9394</v>
      </c>
      <c r="U17" s="411" t="s">
        <v>9383</v>
      </c>
      <c r="V17" s="177" t="s">
        <v>9395</v>
      </c>
      <c r="W17" s="411"/>
      <c r="X17" s="177"/>
      <c r="Y17" s="8"/>
      <c r="Z17" s="8"/>
      <c r="AA17" s="8"/>
      <c r="AB17" s="8"/>
      <c r="AC17" s="8"/>
      <c r="AD17" s="8"/>
      <c r="AE17" s="8"/>
      <c r="AF17" s="8"/>
      <c r="AG17" s="8"/>
      <c r="AH17" s="8"/>
      <c r="AI17" s="8"/>
      <c r="AJ17" s="8"/>
      <c r="AK17" s="8"/>
      <c r="AL17" s="8"/>
      <c r="AM17" s="8"/>
      <c r="AN17" s="8"/>
      <c r="AO17" s="8"/>
      <c r="AP17" s="8"/>
      <c r="AQ17" s="8"/>
      <c r="AR17" s="8"/>
      <c r="AS17" s="8"/>
      <c r="AT17" s="8"/>
    </row>
    <row r="18">
      <c r="A18" s="411" t="s">
        <v>9396</v>
      </c>
      <c r="B18" s="177" t="s">
        <v>9397</v>
      </c>
      <c r="C18" s="411" t="s">
        <v>9398</v>
      </c>
      <c r="D18" s="210" t="str">
        <f>IFERROR(__xludf.DUMMYFUNCTION("GOOGLETRANSLATE(B18,""zh-tw"",""ja"")"),"現在、（ジェムを）引き換える方法はありません。")</f>
        <v>現在、（ジェムを）引き換える方法はありません。</v>
      </c>
      <c r="E18" s="411" t="s">
        <v>9399</v>
      </c>
      <c r="F18" s="177" t="s">
        <v>9400</v>
      </c>
      <c r="G18" s="411" t="str">
        <f>IFERROR(__xludf.DUMMYFUNCTION("GOOGLETRANSLATE(A18,""zh-tw"",""zh"")"),"蓝辉石")</f>
        <v>蓝辉石</v>
      </c>
      <c r="H18" s="177" t="str">
        <f>IFERROR(__xludf.DUMMYFUNCTION("GOOGLETRANSLATE(B18,""zh-tw"",""zh"")"),"目前没有兑换方式
(宝石)")</f>
        <v>目前没有兑换方式
(宝石)</v>
      </c>
      <c r="I18" s="411" t="s">
        <v>9401</v>
      </c>
      <c r="J18" s="177" t="s">
        <v>9402</v>
      </c>
      <c r="K18" s="415" t="str">
        <f>IFERROR(__xludf.DUMMYFUNCTION("GOOGLETRANSLATE(A18,""zh-tw"",""KO"")"),"블루 사파이어")</f>
        <v>블루 사파이어</v>
      </c>
      <c r="L18" s="210" t="str">
        <f>IFERROR(__xludf.DUMMYFUNCTION("GOOGLETRANSLATE(B18,""zh-tw"",""KO"")"),"현재로서는 (보석을) 사용할 수 있는 방법이 없습니다.")</f>
        <v>현재로서는 (보석을) 사용할 수 있는 방법이 없습니다.</v>
      </c>
      <c r="M18" s="415" t="s">
        <v>9403</v>
      </c>
      <c r="N18" s="210" t="s">
        <v>9404</v>
      </c>
      <c r="O18" s="412" t="s">
        <v>9405</v>
      </c>
      <c r="P18" s="214" t="s">
        <v>9406</v>
      </c>
      <c r="Q18" s="447" t="s">
        <v>9407</v>
      </c>
      <c r="R18" s="446" t="s">
        <v>9408</v>
      </c>
      <c r="S18" s="436" t="s">
        <v>9399</v>
      </c>
      <c r="T18" s="210" t="s">
        <v>9409</v>
      </c>
      <c r="U18" s="411" t="s">
        <v>9410</v>
      </c>
      <c r="V18" s="177" t="s">
        <v>9411</v>
      </c>
      <c r="W18" s="411"/>
      <c r="X18" s="177"/>
      <c r="Y18" s="8"/>
      <c r="Z18" s="8"/>
      <c r="AA18" s="8"/>
      <c r="AB18" s="8"/>
      <c r="AC18" s="8"/>
      <c r="AD18" s="8"/>
      <c r="AE18" s="8"/>
      <c r="AF18" s="8"/>
      <c r="AG18" s="8"/>
      <c r="AH18" s="8"/>
      <c r="AI18" s="8"/>
      <c r="AJ18" s="8"/>
      <c r="AK18" s="8"/>
      <c r="AL18" s="8"/>
      <c r="AM18" s="8"/>
      <c r="AN18" s="8"/>
      <c r="AO18" s="8"/>
      <c r="AP18" s="8"/>
      <c r="AQ18" s="8"/>
      <c r="AR18" s="8"/>
      <c r="AS18" s="8"/>
      <c r="AT18" s="8"/>
    </row>
    <row r="19">
      <c r="A19" s="411" t="s">
        <v>9412</v>
      </c>
      <c r="B19" s="177" t="s">
        <v>9413</v>
      </c>
      <c r="C19" s="411" t="s">
        <v>9414</v>
      </c>
      <c r="D19" s="177" t="s">
        <v>9415</v>
      </c>
      <c r="E19" s="411" t="s">
        <v>9416</v>
      </c>
      <c r="F19" s="177" t="s">
        <v>9417</v>
      </c>
      <c r="G19" s="411" t="str">
        <f>IFERROR(__xludf.DUMMYFUNCTION("GOOGLETRANSLATE(A19,""zh-tw"",""zh"")"),"银坷拉")</f>
        <v>银坷拉</v>
      </c>
      <c r="H19" s="177" t="str">
        <f>IFERROR(__xludf.DUMMYFUNCTION("GOOGLETRANSLATE(B19,""zh-tw"",""zh"")"),"诱饵/粉尘爆炸")</f>
        <v>诱饵/粉尘爆炸</v>
      </c>
      <c r="I19" s="411" t="s">
        <v>9416</v>
      </c>
      <c r="J19" s="177" t="s">
        <v>9418</v>
      </c>
      <c r="K19" s="415" t="str">
        <f>IFERROR(__xludf.DUMMYFUNCTION("GOOGLETRANSLATE(A19,""zh-tw"",""KO"")"),"인 켈라")</f>
        <v>인 켈라</v>
      </c>
      <c r="L19" s="210" t="str">
        <f>IFERROR(__xludf.DUMMYFUNCTION("GOOGLETRANSLATE(B19,""zh-tw"",""KO"")"),"미끼/먼지 폭발")</f>
        <v>미끼/먼지 폭발</v>
      </c>
      <c r="M19" s="415" t="s">
        <v>9419</v>
      </c>
      <c r="N19" s="210" t="s">
        <v>9420</v>
      </c>
      <c r="O19" s="411" t="s">
        <v>9416</v>
      </c>
      <c r="P19" s="177" t="s">
        <v>9421</v>
      </c>
      <c r="Q19" s="447" t="s">
        <v>9422</v>
      </c>
      <c r="R19" s="223" t="s">
        <v>9423</v>
      </c>
      <c r="S19" s="415" t="s">
        <v>9416</v>
      </c>
      <c r="T19" s="210" t="s">
        <v>9424</v>
      </c>
      <c r="U19" s="411" t="s">
        <v>9416</v>
      </c>
      <c r="V19" s="177" t="s">
        <v>9425</v>
      </c>
      <c r="W19" s="411"/>
      <c r="X19" s="177"/>
      <c r="Y19" s="8"/>
      <c r="Z19" s="8"/>
      <c r="AA19" s="8"/>
      <c r="AB19" s="8"/>
      <c r="AC19" s="8"/>
      <c r="AD19" s="8"/>
      <c r="AE19" s="8"/>
      <c r="AF19" s="8"/>
      <c r="AG19" s="8"/>
      <c r="AH19" s="8"/>
      <c r="AI19" s="8"/>
      <c r="AJ19" s="8"/>
      <c r="AK19" s="8"/>
      <c r="AL19" s="8"/>
      <c r="AM19" s="8"/>
      <c r="AN19" s="8"/>
      <c r="AO19" s="8"/>
      <c r="AP19" s="8"/>
      <c r="AQ19" s="8"/>
      <c r="AR19" s="8"/>
      <c r="AS19" s="8"/>
      <c r="AT19" s="8"/>
    </row>
    <row r="20">
      <c r="A20" s="411" t="s">
        <v>9426</v>
      </c>
      <c r="B20" s="177" t="s">
        <v>9296</v>
      </c>
      <c r="C20" s="411" t="str">
        <f>IFERROR(__xludf.DUMMYFUNCTION("GOOGLETRANSLATE(A20,""zh-tw"",""ja"")"),"ポラロイド 9〜15")</f>
        <v>ポラロイド 9〜15</v>
      </c>
      <c r="D20" s="177" t="s">
        <v>9297</v>
      </c>
      <c r="E20" s="411" t="s">
        <v>9427</v>
      </c>
      <c r="F20" s="177" t="s">
        <v>9299</v>
      </c>
      <c r="G20" s="411" t="str">
        <f>IFERROR(__xludf.DUMMYFUNCTION("GOOGLETRANSLATE(A20,""zh-tw"",""zh"")"),"拍立得9~15")</f>
        <v>拍立得9~15</v>
      </c>
      <c r="H20" s="177" t="str">
        <f>IFERROR(__xludf.DUMMYFUNCTION("GOOGLETRANSLATE(B20,""zh-tw"",""zh"")"),"查看优质照片")</f>
        <v>查看优质照片</v>
      </c>
      <c r="I20" s="415" t="str">
        <f>IFERROR(__xludf.DUMMYFUNCTION("GOOGLETRANSLATE(A20,""zh-tw"",""es-MX"")"),"Polaroid 9~15")</f>
        <v>Polaroid 9~15</v>
      </c>
      <c r="J20" s="177" t="s">
        <v>9300</v>
      </c>
      <c r="K20" s="415" t="str">
        <f>IFERROR(__xludf.DUMMYFUNCTION("GOOGLETRANSLATE(A20,""zh-tw"",""KO"")"),"폴라로이드 9~15")</f>
        <v>폴라로이드 9~15</v>
      </c>
      <c r="L20" s="210" t="str">
        <f>IFERROR(__xludf.DUMMYFUNCTION("GOOGLETRANSLATE(B20,""zh-tw"",""KO"")"),"고화질 사진을 보세요")</f>
        <v>고화질 사진을 보세요</v>
      </c>
      <c r="M20" s="411" t="s">
        <v>9428</v>
      </c>
      <c r="N20" s="210" t="s">
        <v>9302</v>
      </c>
      <c r="O20" s="411" t="s">
        <v>9429</v>
      </c>
      <c r="P20" s="177" t="s">
        <v>9304</v>
      </c>
      <c r="Q20" s="447" t="s">
        <v>9427</v>
      </c>
      <c r="R20" s="446" t="s">
        <v>9305</v>
      </c>
      <c r="S20" s="411" t="s">
        <v>9427</v>
      </c>
      <c r="T20" s="210" t="s">
        <v>9306</v>
      </c>
      <c r="U20" s="411" t="s">
        <v>9427</v>
      </c>
      <c r="V20" s="177" t="s">
        <v>9307</v>
      </c>
      <c r="W20" s="411"/>
      <c r="X20" s="177"/>
      <c r="Y20" s="8"/>
      <c r="Z20" s="8"/>
      <c r="AA20" s="8"/>
      <c r="AB20" s="8"/>
      <c r="AC20" s="8"/>
      <c r="AD20" s="8"/>
      <c r="AE20" s="8"/>
      <c r="AF20" s="8"/>
      <c r="AG20" s="8"/>
      <c r="AH20" s="8"/>
      <c r="AI20" s="8"/>
      <c r="AJ20" s="8"/>
      <c r="AK20" s="8"/>
      <c r="AL20" s="8"/>
      <c r="AM20" s="8"/>
      <c r="AN20" s="8"/>
      <c r="AO20" s="8"/>
      <c r="AP20" s="8"/>
      <c r="AQ20" s="8"/>
      <c r="AR20" s="8"/>
      <c r="AS20" s="8"/>
      <c r="AT20" s="8"/>
    </row>
    <row r="21">
      <c r="A21" s="411" t="s">
        <v>9430</v>
      </c>
      <c r="B21" s="177" t="s">
        <v>9431</v>
      </c>
      <c r="C21" s="411" t="s">
        <v>9432</v>
      </c>
      <c r="D21" s="177" t="s">
        <v>9433</v>
      </c>
      <c r="E21" s="411" t="s">
        <v>9321</v>
      </c>
      <c r="F21" s="177" t="s">
        <v>9434</v>
      </c>
      <c r="G21" s="411" t="str">
        <f>IFERROR(__xludf.DUMMYFUNCTION("GOOGLETRANSLATE(A21,""zh-tw"",""zh"")"),"魔力小凝胶")</f>
        <v>魔力小凝胶</v>
      </c>
      <c r="H21" s="177" t="str">
        <f>IFERROR(__xludf.DUMMYFUNCTION("GOOGLETRANSLATE(B21,""zh-tw"",""zh"")"),"扩充格子")</f>
        <v>扩充格子</v>
      </c>
      <c r="I21" s="411" t="s">
        <v>9435</v>
      </c>
      <c r="J21" s="177" t="s">
        <v>9436</v>
      </c>
      <c r="K21" s="412" t="s">
        <v>9437</v>
      </c>
      <c r="L21" s="210" t="str">
        <f>IFERROR(__xludf.DUMMYFUNCTION("GOOGLETRANSLATE(B21,""zh-tw"",""KO"")"),"그리드를 확장하세요")</f>
        <v>그리드를 확장하세요</v>
      </c>
      <c r="M21" s="415" t="s">
        <v>9438</v>
      </c>
      <c r="N21" s="210" t="s">
        <v>9439</v>
      </c>
      <c r="O21" s="411" t="s">
        <v>9440</v>
      </c>
      <c r="P21" s="177" t="s">
        <v>9441</v>
      </c>
      <c r="Q21" s="445" t="s">
        <v>9442</v>
      </c>
      <c r="R21" s="446" t="s">
        <v>9443</v>
      </c>
      <c r="S21" s="415" t="s">
        <v>9444</v>
      </c>
      <c r="T21" s="210" t="s">
        <v>9445</v>
      </c>
      <c r="U21" s="411" t="s">
        <v>9446</v>
      </c>
      <c r="V21" s="177" t="s">
        <v>9447</v>
      </c>
      <c r="W21" s="411"/>
      <c r="X21" s="177"/>
      <c r="Y21" s="8"/>
      <c r="Z21" s="8"/>
      <c r="AA21" s="8"/>
      <c r="AB21" s="8"/>
      <c r="AC21" s="8"/>
      <c r="AD21" s="8"/>
      <c r="AE21" s="8"/>
      <c r="AF21" s="8"/>
      <c r="AG21" s="8"/>
      <c r="AH21" s="8"/>
      <c r="AI21" s="8"/>
      <c r="AJ21" s="8"/>
      <c r="AK21" s="8"/>
      <c r="AL21" s="8"/>
      <c r="AM21" s="8"/>
      <c r="AN21" s="8"/>
      <c r="AO21" s="8"/>
      <c r="AP21" s="8"/>
      <c r="AQ21" s="8"/>
      <c r="AR21" s="8"/>
      <c r="AS21" s="8"/>
      <c r="AT21" s="8"/>
    </row>
    <row r="22">
      <c r="A22" s="411" t="s">
        <v>9448</v>
      </c>
      <c r="B22" s="177" t="s">
        <v>9449</v>
      </c>
      <c r="C22" s="411" t="str">
        <f>IFERROR(__xludf.DUMMYFUNCTION("GOOGLETRANSLATE(A22,""zh-tw"",""ja"")"),"寿司プリン")</f>
        <v>寿司プリン</v>
      </c>
      <c r="D22" s="177" t="s">
        <v>9450</v>
      </c>
      <c r="E22" s="411" t="s">
        <v>9451</v>
      </c>
      <c r="F22" s="177" t="s">
        <v>9452</v>
      </c>
      <c r="G22" s="411" t="str">
        <f>IFERROR(__xludf.DUMMYFUNCTION("GOOGLETRANSLATE(A22,""zh-tw"",""zh"")"),"寿司布丁")</f>
        <v>寿司布丁</v>
      </c>
      <c r="H22" s="177" t="str">
        <f>IFERROR(__xludf.DUMMYFUNCTION("GOOGLETRANSLATE(B22,""zh-tw"",""zh"")"),"飞向恶魔商店的位置")</f>
        <v>飞向恶魔商店的位置</v>
      </c>
      <c r="I22" s="415" t="str">
        <f>IFERROR(__xludf.DUMMYFUNCTION("GOOGLETRANSLATE(A22,""zh-tw"",""es-MX"")"),"Pudín de sushi")</f>
        <v>Pudín de sushi</v>
      </c>
      <c r="J22" s="177" t="s">
        <v>9453</v>
      </c>
      <c r="K22" s="415" t="str">
        <f>IFERROR(__xludf.DUMMYFUNCTION("GOOGLETRANSLATE(A22,""zh-tw"",""KO"")"),"스시 푸딩")</f>
        <v>스시 푸딩</v>
      </c>
      <c r="L22" s="210" t="str">
        <f>IFERROR(__xludf.DUMMYFUNCTION("GOOGLETRANSLATE(B22,""zh-tw"",""KO"")"),"악마 상점이 있는 곳으로 날아가세요")</f>
        <v>악마 상점이 있는 곳으로 날아가세요</v>
      </c>
      <c r="M22" s="415" t="s">
        <v>9454</v>
      </c>
      <c r="N22" s="210" t="s">
        <v>9455</v>
      </c>
      <c r="O22" s="411" t="s">
        <v>9451</v>
      </c>
      <c r="P22" s="177" t="s">
        <v>9456</v>
      </c>
      <c r="Q22" s="445" t="s">
        <v>9451</v>
      </c>
      <c r="R22" s="446" t="s">
        <v>9457</v>
      </c>
      <c r="S22" s="415" t="s">
        <v>9458</v>
      </c>
      <c r="T22" s="210" t="s">
        <v>9459</v>
      </c>
      <c r="U22" s="411" t="s">
        <v>9460</v>
      </c>
      <c r="V22" s="177" t="s">
        <v>9461</v>
      </c>
      <c r="W22" s="411"/>
      <c r="X22" s="177"/>
      <c r="Y22" s="8"/>
      <c r="Z22" s="8"/>
      <c r="AA22" s="8"/>
      <c r="AB22" s="8"/>
      <c r="AC22" s="8"/>
      <c r="AD22" s="8"/>
      <c r="AE22" s="8"/>
      <c r="AF22" s="8"/>
      <c r="AG22" s="8"/>
      <c r="AH22" s="8"/>
      <c r="AI22" s="8"/>
      <c r="AJ22" s="8"/>
      <c r="AK22" s="8"/>
      <c r="AL22" s="8"/>
      <c r="AM22" s="8"/>
      <c r="AN22" s="8"/>
      <c r="AO22" s="8"/>
      <c r="AP22" s="8"/>
      <c r="AQ22" s="8"/>
      <c r="AR22" s="8"/>
      <c r="AS22" s="8"/>
      <c r="AT22" s="8"/>
    </row>
    <row r="23">
      <c r="A23" s="411" t="s">
        <v>9462</v>
      </c>
      <c r="B23" s="177" t="s">
        <v>9463</v>
      </c>
      <c r="C23" s="411" t="s">
        <v>9464</v>
      </c>
      <c r="D23" s="177" t="s">
        <v>9465</v>
      </c>
      <c r="E23" s="411" t="s">
        <v>9466</v>
      </c>
      <c r="F23" s="177" t="s">
        <v>9467</v>
      </c>
      <c r="G23" s="411" t="str">
        <f>IFERROR(__xludf.DUMMYFUNCTION("GOOGLETRANSLATE(A23,""zh-tw"",""zh"")"),"电风扇")</f>
        <v>电风扇</v>
      </c>
      <c r="H23" s="177" t="str">
        <f>IFERROR(__xludf.DUMMYFUNCTION("GOOGLETRANSLATE(B23,""zh-tw"",""zh"")"),"炎热剧情道具
(战车商店贩售)")</f>
        <v>炎热剧情道具
(战车商店贩售)</v>
      </c>
      <c r="I23" s="411" t="s">
        <v>9468</v>
      </c>
      <c r="J23" s="177" t="s">
        <v>9469</v>
      </c>
      <c r="K23" s="415" t="str">
        <f>IFERROR(__xludf.DUMMYFUNCTION("GOOGLETRANSLATE(A23,""zh-tw"",""KO"")"),"선풍기")</f>
        <v>선풍기</v>
      </c>
      <c r="L23" s="177" t="s">
        <v>9470</v>
      </c>
      <c r="M23" s="415" t="s">
        <v>9471</v>
      </c>
      <c r="N23" s="210" t="s">
        <v>9472</v>
      </c>
      <c r="O23" s="411" t="s">
        <v>9473</v>
      </c>
      <c r="P23" s="177" t="s">
        <v>9474</v>
      </c>
      <c r="Q23" s="445" t="s">
        <v>9475</v>
      </c>
      <c r="R23" s="446" t="s">
        <v>9476</v>
      </c>
      <c r="S23" s="415" t="s">
        <v>9477</v>
      </c>
      <c r="T23" s="210" t="s">
        <v>9478</v>
      </c>
      <c r="U23" s="411" t="s">
        <v>9479</v>
      </c>
      <c r="V23" s="177" t="s">
        <v>9480</v>
      </c>
      <c r="W23" s="411"/>
      <c r="X23" s="177"/>
      <c r="Y23" s="8"/>
      <c r="Z23" s="8"/>
      <c r="AA23" s="8"/>
      <c r="AB23" s="8"/>
      <c r="AC23" s="8"/>
      <c r="AD23" s="8"/>
      <c r="AE23" s="8"/>
      <c r="AF23" s="8"/>
      <c r="AG23" s="8"/>
      <c r="AH23" s="8"/>
      <c r="AI23" s="8"/>
      <c r="AJ23" s="8"/>
      <c r="AK23" s="8"/>
      <c r="AL23" s="8"/>
      <c r="AM23" s="8"/>
      <c r="AN23" s="8"/>
      <c r="AO23" s="8"/>
      <c r="AP23" s="8"/>
      <c r="AQ23" s="8"/>
      <c r="AR23" s="8"/>
      <c r="AS23" s="8"/>
      <c r="AT23" s="8"/>
    </row>
    <row r="24">
      <c r="A24" s="172" t="s">
        <v>7655</v>
      </c>
      <c r="C24" s="172" t="s">
        <v>7656</v>
      </c>
      <c r="E24" s="172" t="s">
        <v>7657</v>
      </c>
      <c r="G24" s="172" t="s">
        <v>7658</v>
      </c>
      <c r="I24" s="172"/>
      <c r="K24" s="172"/>
      <c r="M24" s="172" t="s">
        <v>7659</v>
      </c>
      <c r="O24" s="172"/>
      <c r="Q24" s="225"/>
      <c r="S24" s="172" t="s">
        <v>7661</v>
      </c>
      <c r="U24" s="172"/>
      <c r="W24" s="172"/>
      <c r="Y24" s="8"/>
      <c r="Z24" s="8"/>
      <c r="AA24" s="8"/>
      <c r="AB24" s="8"/>
      <c r="AC24" s="8"/>
      <c r="AD24" s="8"/>
      <c r="AE24" s="8"/>
      <c r="AF24" s="8"/>
      <c r="AG24" s="8"/>
      <c r="AH24" s="8"/>
      <c r="AI24" s="8"/>
      <c r="AJ24" s="8"/>
      <c r="AK24" s="8"/>
      <c r="AL24" s="8"/>
      <c r="AM24" s="8"/>
      <c r="AN24" s="8"/>
      <c r="AO24" s="8"/>
      <c r="AP24" s="8"/>
      <c r="AQ24" s="8"/>
      <c r="AR24" s="8"/>
      <c r="AS24" s="8"/>
      <c r="AT24" s="8"/>
    </row>
    <row r="25">
      <c r="A25" s="411" t="s">
        <v>9481</v>
      </c>
      <c r="B25" s="177" t="s">
        <v>9482</v>
      </c>
      <c r="C25" s="411" t="s">
        <v>9483</v>
      </c>
      <c r="D25" s="177" t="s">
        <v>9484</v>
      </c>
      <c r="E25" s="411" t="s">
        <v>9485</v>
      </c>
      <c r="F25" s="177" t="s">
        <v>9486</v>
      </c>
      <c r="G25" s="411" t="str">
        <f>IFERROR(__xludf.DUMMYFUNCTION("GOOGLETRANSLATE(A25,""zh-tw"",""zh"")"),"粉色金平糖")</f>
        <v>粉色金平糖</v>
      </c>
      <c r="H25" s="177" t="str">
        <f>IFERROR(__xludf.DUMMYFUNCTION("GOOGLETRANSLATE(B25,""zh-tw"",""zh"")"),"使妹妹处于发情状态
哥哥会处于兴奋状态
(哥哥未实装)")</f>
        <v>使妹妹处于发情状态
哥哥会处于兴奋状态
(哥哥未实装)</v>
      </c>
      <c r="I25" s="415" t="str">
        <f>IFERROR(__xludf.DUMMYFUNCTION("GOOGLETRANSLATE(A25,""zh-tw"",""es-MX"")"),"Konpeito rosa")</f>
        <v>Konpeito rosa</v>
      </c>
      <c r="J25" s="177" t="s">
        <v>9487</v>
      </c>
      <c r="K25" s="411" t="s">
        <v>9488</v>
      </c>
      <c r="L25" s="177" t="s">
        <v>9489</v>
      </c>
      <c r="M25" s="415" t="s">
        <v>9490</v>
      </c>
      <c r="N25" s="210" t="s">
        <v>9491</v>
      </c>
      <c r="O25" s="411" t="s">
        <v>9492</v>
      </c>
      <c r="P25" s="177" t="s">
        <v>9493</v>
      </c>
      <c r="Q25" s="445" t="s">
        <v>9494</v>
      </c>
      <c r="R25" s="446" t="s">
        <v>9495</v>
      </c>
      <c r="S25" s="411" t="s">
        <v>9496</v>
      </c>
      <c r="T25" s="210" t="s">
        <v>9497</v>
      </c>
      <c r="U25" s="411" t="s">
        <v>9498</v>
      </c>
      <c r="V25" s="177" t="s">
        <v>9499</v>
      </c>
      <c r="W25" s="411"/>
      <c r="X25" s="177"/>
      <c r="Y25" s="8"/>
      <c r="Z25" s="8"/>
      <c r="AA25" s="8"/>
      <c r="AB25" s="8"/>
      <c r="AC25" s="8"/>
      <c r="AD25" s="8"/>
      <c r="AE25" s="8"/>
      <c r="AF25" s="8"/>
      <c r="AG25" s="8"/>
      <c r="AH25" s="8"/>
      <c r="AI25" s="8"/>
      <c r="AJ25" s="8"/>
      <c r="AK25" s="8"/>
      <c r="AL25" s="8"/>
      <c r="AM25" s="8"/>
      <c r="AN25" s="8"/>
      <c r="AO25" s="8"/>
      <c r="AP25" s="8"/>
      <c r="AQ25" s="8"/>
      <c r="AR25" s="8"/>
      <c r="AS25" s="8"/>
      <c r="AT25" s="8"/>
    </row>
    <row r="26">
      <c r="A26" s="411" t="s">
        <v>9500</v>
      </c>
      <c r="B26" s="177" t="s">
        <v>9501</v>
      </c>
      <c r="C26" s="411" t="s">
        <v>9502</v>
      </c>
      <c r="D26" s="177" t="s">
        <v>9503</v>
      </c>
      <c r="E26" s="411" t="s">
        <v>9504</v>
      </c>
      <c r="F26" s="177" t="s">
        <v>9505</v>
      </c>
      <c r="G26" s="411" t="str">
        <f>IFERROR(__xludf.DUMMYFUNCTION("GOOGLETRANSLATE(A26,""zh-tw"",""zh"")"),"蓝色金平糖")</f>
        <v>蓝色金平糖</v>
      </c>
      <c r="H26" s="177" t="str">
        <f>IFERROR(__xludf.DUMMYFUNCTION("GOOGLETRANSLATE(B26,""zh-tw"",""zh"")"),"使妹妹嗜睡(和肉料理可叠加)
哥哥会降低兴奋度
喂食两颗妹妹立即犯困，当晚睡眠品质会非常好。  ")</f>
        <v>使妹妹嗜睡(和肉料理可叠加)
哥哥会降低兴奋度
喂食两颗妹妹立即犯困，当晚睡眠品质会非常好。  </v>
      </c>
      <c r="I26" s="415" t="str">
        <f>IFERROR(__xludf.DUMMYFUNCTION("GOOGLETRANSLATE(A26,""zh-tw"",""es-MX"")"),"Konpeito azul")</f>
        <v>Konpeito azul</v>
      </c>
      <c r="J26" s="177" t="s">
        <v>9506</v>
      </c>
      <c r="K26" s="411" t="s">
        <v>9507</v>
      </c>
      <c r="L26" s="177" t="s">
        <v>9508</v>
      </c>
      <c r="M26" s="415" t="s">
        <v>9509</v>
      </c>
      <c r="N26" s="210" t="s">
        <v>9510</v>
      </c>
      <c r="O26" s="411" t="s">
        <v>9511</v>
      </c>
      <c r="P26" s="177" t="s">
        <v>9512</v>
      </c>
      <c r="Q26" s="445" t="s">
        <v>9513</v>
      </c>
      <c r="R26" s="446" t="s">
        <v>9514</v>
      </c>
      <c r="S26" s="411" t="s">
        <v>9515</v>
      </c>
      <c r="T26" s="210" t="s">
        <v>9516</v>
      </c>
      <c r="U26" s="411" t="s">
        <v>9517</v>
      </c>
      <c r="V26" s="177" t="s">
        <v>9518</v>
      </c>
      <c r="W26" s="411"/>
      <c r="X26" s="177"/>
      <c r="Y26" s="8"/>
      <c r="Z26" s="8"/>
      <c r="AA26" s="8"/>
      <c r="AB26" s="8"/>
      <c r="AC26" s="8"/>
      <c r="AD26" s="8"/>
      <c r="AE26" s="8"/>
      <c r="AF26" s="8"/>
      <c r="AG26" s="8"/>
      <c r="AH26" s="8"/>
      <c r="AI26" s="8"/>
      <c r="AJ26" s="8"/>
      <c r="AK26" s="8"/>
      <c r="AL26" s="8"/>
      <c r="AM26" s="8"/>
      <c r="AN26" s="8"/>
      <c r="AO26" s="8"/>
      <c r="AP26" s="8"/>
      <c r="AQ26" s="8"/>
      <c r="AR26" s="8"/>
      <c r="AS26" s="8"/>
      <c r="AT26" s="8"/>
    </row>
    <row r="27">
      <c r="A27" s="411" t="s">
        <v>9519</v>
      </c>
      <c r="B27" s="177" t="s">
        <v>9520</v>
      </c>
      <c r="C27" s="411" t="s">
        <v>9521</v>
      </c>
      <c r="D27" s="177" t="s">
        <v>1100</v>
      </c>
      <c r="E27" s="411" t="s">
        <v>9522</v>
      </c>
      <c r="F27" s="177" t="s">
        <v>9523</v>
      </c>
      <c r="G27" s="411" t="str">
        <f>IFERROR(__xludf.DUMMYFUNCTION("GOOGLETRANSLATE(A27,""zh-tw"",""zh"")"),"绿色金平糖")</f>
        <v>绿色金平糖</v>
      </c>
      <c r="H27" s="177" t="str">
        <f>IFERROR(__xludf.DUMMYFUNCTION("GOOGLETRANSLATE(B27,""zh-tw"",""zh"")"),"效果未实装")</f>
        <v>效果未实装</v>
      </c>
      <c r="I27" s="415" t="str">
        <f>IFERROR(__xludf.DUMMYFUNCTION("GOOGLETRANSLATE(A27,""zh-tw"",""es-MX"")"),"Kinpeito verde")</f>
        <v>Kinpeito verde</v>
      </c>
      <c r="J27" s="177" t="s">
        <v>9524</v>
      </c>
      <c r="K27" s="411" t="s">
        <v>9525</v>
      </c>
      <c r="L27" s="210" t="str">
        <f>IFERROR(__xludf.DUMMYFUNCTION("GOOGLETRANSLATE(B27,""zh-tw"",""KO"")"),"해당 효과는 아직 적용되지 않았습니다.")</f>
        <v>해당 효과는 아직 적용되지 않았습니다.</v>
      </c>
      <c r="M27" s="415" t="s">
        <v>9526</v>
      </c>
      <c r="N27" s="210" t="s">
        <v>9527</v>
      </c>
      <c r="O27" s="411" t="s">
        <v>9528</v>
      </c>
      <c r="P27" s="177" t="s">
        <v>5528</v>
      </c>
      <c r="Q27" s="445" t="s">
        <v>9529</v>
      </c>
      <c r="R27" s="446" t="s">
        <v>9530</v>
      </c>
      <c r="S27" s="415" t="s">
        <v>9531</v>
      </c>
      <c r="T27" s="210" t="s">
        <v>9532</v>
      </c>
      <c r="U27" s="411" t="s">
        <v>9533</v>
      </c>
      <c r="V27" s="177" t="s">
        <v>1691</v>
      </c>
      <c r="W27" s="411"/>
      <c r="X27" s="177"/>
      <c r="Y27" s="8"/>
      <c r="Z27" s="8"/>
      <c r="AA27" s="8"/>
      <c r="AB27" s="8"/>
      <c r="AC27" s="8"/>
      <c r="AD27" s="8"/>
      <c r="AE27" s="8"/>
      <c r="AF27" s="8"/>
      <c r="AG27" s="8"/>
      <c r="AH27" s="8"/>
      <c r="AI27" s="8"/>
      <c r="AJ27" s="8"/>
      <c r="AK27" s="8"/>
      <c r="AL27" s="8"/>
      <c r="AM27" s="8"/>
      <c r="AN27" s="8"/>
      <c r="AO27" s="8"/>
      <c r="AP27" s="8"/>
      <c r="AQ27" s="8"/>
      <c r="AR27" s="8"/>
      <c r="AS27" s="8"/>
      <c r="AT27" s="8"/>
    </row>
    <row r="28">
      <c r="A28" s="411" t="s">
        <v>9534</v>
      </c>
      <c r="B28" s="177" t="s">
        <v>9535</v>
      </c>
      <c r="C28" s="411" t="s">
        <v>9536</v>
      </c>
      <c r="D28" s="177" t="s">
        <v>9537</v>
      </c>
      <c r="E28" s="411" t="s">
        <v>9538</v>
      </c>
      <c r="F28" s="177" t="s">
        <v>9539</v>
      </c>
      <c r="G28" s="411" t="str">
        <f>IFERROR(__xludf.DUMMYFUNCTION("GOOGLETRANSLATE(A28,""zh-tw"",""zh"")"),"超敏软Q水馒头")</f>
        <v>超敏软Q水馒头</v>
      </c>
      <c r="H28" s="177" t="str">
        <f>IFERROR(__xludf.DUMMYFUNCTION("GOOGLETRANSLATE(B28,""zh-tw"",""zh"")"),"于AKI商店购买
提升敏感度(效果未实装)")</f>
        <v>于AKI商店购买
提升敏感度(效果未实装)</v>
      </c>
      <c r="I28" s="411" t="s">
        <v>9540</v>
      </c>
      <c r="J28" s="177" t="s">
        <v>9541</v>
      </c>
      <c r="K28" s="415" t="str">
        <f>IFERROR(__xludf.DUMMYFUNCTION("GOOGLETRANSLATE(A28,""zh-tw"",""KO"")"),"아주 부드럽고 쫄깃한 찐빵")</f>
        <v>아주 부드럽고 쫄깃한 찐빵</v>
      </c>
      <c r="L28" s="210" t="str">
        <f>IFERROR(__xludf.DUMMYFUNCTION("GOOGLETRANSLATE(B28,""zh-tw"",""KO"")"),"AKI 스토어에서 구매 가능. 감도 증가 (효과는 아직 구현되지 않음)")</f>
        <v>AKI 스토어에서 구매 가능. 감도 증가 (효과는 아직 구현되지 않음)</v>
      </c>
      <c r="M28" s="415" t="s">
        <v>9542</v>
      </c>
      <c r="N28" s="210" t="s">
        <v>9543</v>
      </c>
      <c r="O28" s="411" t="s">
        <v>9544</v>
      </c>
      <c r="P28" s="177" t="s">
        <v>9545</v>
      </c>
      <c r="Q28" s="445" t="s">
        <v>9546</v>
      </c>
      <c r="R28" s="446" t="s">
        <v>9547</v>
      </c>
      <c r="S28" s="415" t="s">
        <v>9548</v>
      </c>
      <c r="T28" s="210" t="s">
        <v>9549</v>
      </c>
      <c r="U28" s="411" t="s">
        <v>9550</v>
      </c>
      <c r="V28" s="177" t="s">
        <v>9551</v>
      </c>
      <c r="W28" s="411"/>
      <c r="X28" s="177"/>
      <c r="Y28" s="8"/>
      <c r="Z28" s="8"/>
      <c r="AA28" s="8"/>
      <c r="AB28" s="8"/>
      <c r="AC28" s="8"/>
      <c r="AD28" s="8"/>
      <c r="AE28" s="8"/>
      <c r="AF28" s="8"/>
      <c r="AG28" s="8"/>
      <c r="AH28" s="8"/>
      <c r="AI28" s="8"/>
      <c r="AJ28" s="8"/>
      <c r="AK28" s="8"/>
      <c r="AL28" s="8"/>
      <c r="AM28" s="8"/>
      <c r="AN28" s="8"/>
      <c r="AO28" s="8"/>
      <c r="AP28" s="8"/>
      <c r="AQ28" s="8"/>
      <c r="AR28" s="8"/>
      <c r="AS28" s="8"/>
      <c r="AT28" s="8"/>
    </row>
    <row r="29">
      <c r="A29" s="411" t="s">
        <v>9552</v>
      </c>
      <c r="B29" s="177" t="s">
        <v>9397</v>
      </c>
      <c r="C29" s="411" t="s">
        <v>9553</v>
      </c>
      <c r="D29" s="177" t="s">
        <v>9554</v>
      </c>
      <c r="E29" s="411" t="s">
        <v>9555</v>
      </c>
      <c r="F29" s="177" t="s">
        <v>1425</v>
      </c>
      <c r="G29" s="411" t="str">
        <f>IFERROR(__xludf.DUMMYFUNCTION("GOOGLETRANSLATE(A29,""zh-tw"",""zh"")"),"火菱石")</f>
        <v>火菱石</v>
      </c>
      <c r="H29" s="177" t="str">
        <f>IFERROR(__xludf.DUMMYFUNCTION("GOOGLETRANSLATE(B29,""zh-tw"",""zh"")"),"目前没有兑换方式
(宝石)")</f>
        <v>目前没有兑换方式
(宝石)</v>
      </c>
      <c r="I29" s="411" t="s">
        <v>9556</v>
      </c>
      <c r="J29" s="177" t="s">
        <v>9557</v>
      </c>
      <c r="K29" s="415" t="str">
        <f>IFERROR(__xludf.DUMMYFUNCTION("GOOGLETRANSLATE(A29,""zh-tw"",""KO"")"),"파이어스톤")</f>
        <v>파이어스톤</v>
      </c>
      <c r="L29" s="210" t="str">
        <f>IFERROR(__xludf.DUMMYFUNCTION("GOOGLETRANSLATE(B29,""zh-tw"",""KO"")"),"현재로서는 (보석을) 사용할 수 있는 방법이 없습니다.")</f>
        <v>현재로서는 (보석을) 사용할 수 있는 방법이 없습니다.</v>
      </c>
      <c r="M29" s="415" t="s">
        <v>9558</v>
      </c>
      <c r="N29" s="210" t="s">
        <v>9404</v>
      </c>
      <c r="O29" s="411" t="s">
        <v>9559</v>
      </c>
      <c r="P29" s="177" t="s">
        <v>9560</v>
      </c>
      <c r="Q29" s="447" t="s">
        <v>9561</v>
      </c>
      <c r="R29" s="446" t="s">
        <v>1283</v>
      </c>
      <c r="S29" s="436" t="s">
        <v>9555</v>
      </c>
      <c r="T29" s="210" t="s">
        <v>9562</v>
      </c>
      <c r="U29" s="411" t="s">
        <v>9563</v>
      </c>
      <c r="V29" s="177" t="s">
        <v>1691</v>
      </c>
      <c r="W29" s="411"/>
      <c r="X29" s="177"/>
      <c r="Y29" s="8"/>
      <c r="Z29" s="8"/>
      <c r="AA29" s="8"/>
      <c r="AB29" s="8"/>
      <c r="AC29" s="8"/>
      <c r="AD29" s="8"/>
      <c r="AE29" s="8"/>
      <c r="AF29" s="8"/>
      <c r="AG29" s="8"/>
      <c r="AH29" s="8"/>
      <c r="AI29" s="8"/>
      <c r="AJ29" s="8"/>
      <c r="AK29" s="8"/>
      <c r="AL29" s="8"/>
      <c r="AM29" s="8"/>
      <c r="AN29" s="8"/>
      <c r="AO29" s="8"/>
      <c r="AP29" s="8"/>
      <c r="AQ29" s="8"/>
      <c r="AR29" s="8"/>
      <c r="AS29" s="8"/>
      <c r="AT29" s="8"/>
    </row>
    <row r="30">
      <c r="A30" s="411" t="s">
        <v>9564</v>
      </c>
      <c r="B30" s="177" t="s">
        <v>9296</v>
      </c>
      <c r="C30" s="411" t="str">
        <f>IFERROR(__xludf.DUMMYFUNCTION("GOOGLETRANSLATE(A30,""zh-tw"",""ja"")"),"ポラロイド 16～23")</f>
        <v>ポラロイド 16～23</v>
      </c>
      <c r="D30" s="177" t="s">
        <v>9297</v>
      </c>
      <c r="E30" s="411" t="s">
        <v>9565</v>
      </c>
      <c r="F30" s="177" t="s">
        <v>9299</v>
      </c>
      <c r="G30" s="411" t="str">
        <f>IFERROR(__xludf.DUMMYFUNCTION("GOOGLETRANSLATE(A30,""zh-tw"",""zh"")"),"拍立得16~23")</f>
        <v>拍立得16~23</v>
      </c>
      <c r="H30" s="177" t="str">
        <f>IFERROR(__xludf.DUMMYFUNCTION("GOOGLETRANSLATE(B30,""zh-tw"",""zh"")"),"查看优质照片")</f>
        <v>查看优质照片</v>
      </c>
      <c r="I30" s="415" t="str">
        <f>IFERROR(__xludf.DUMMYFUNCTION("GOOGLETRANSLATE(A30,""zh-tw"",""es-MX"")"),"Polaroid 16~23")</f>
        <v>Polaroid 16~23</v>
      </c>
      <c r="J30" s="177" t="s">
        <v>9300</v>
      </c>
      <c r="K30" s="415" t="str">
        <f>IFERROR(__xludf.DUMMYFUNCTION("GOOGLETRANSLATE(A30,""zh-tw"",""KO"")"),"폴라로이드 16~23")</f>
        <v>폴라로이드 16~23</v>
      </c>
      <c r="L30" s="210" t="str">
        <f>IFERROR(__xludf.DUMMYFUNCTION("GOOGLETRANSLATE(B30,""zh-tw"",""KO"")"),"고화질 사진을 보세요")</f>
        <v>고화질 사진을 보세요</v>
      </c>
      <c r="M30" s="411" t="s">
        <v>9566</v>
      </c>
      <c r="N30" s="210" t="s">
        <v>9302</v>
      </c>
      <c r="O30" s="411" t="s">
        <v>9567</v>
      </c>
      <c r="P30" s="177" t="s">
        <v>9304</v>
      </c>
      <c r="Q30" s="447" t="s">
        <v>9568</v>
      </c>
      <c r="R30" s="446" t="s">
        <v>9305</v>
      </c>
      <c r="S30" s="411" t="s">
        <v>9568</v>
      </c>
      <c r="T30" s="210" t="s">
        <v>9306</v>
      </c>
      <c r="U30" s="411" t="s">
        <v>9568</v>
      </c>
      <c r="V30" s="177" t="s">
        <v>9307</v>
      </c>
      <c r="W30" s="411"/>
      <c r="X30" s="177"/>
      <c r="Y30" s="8"/>
      <c r="Z30" s="8"/>
      <c r="AA30" s="8"/>
      <c r="AB30" s="8"/>
      <c r="AC30" s="8"/>
      <c r="AD30" s="8"/>
      <c r="AE30" s="8"/>
      <c r="AF30" s="8"/>
      <c r="AG30" s="8"/>
      <c r="AH30" s="8"/>
      <c r="AI30" s="8"/>
      <c r="AJ30" s="8"/>
      <c r="AK30" s="8"/>
      <c r="AL30" s="8"/>
      <c r="AM30" s="8"/>
      <c r="AN30" s="8"/>
      <c r="AO30" s="8"/>
      <c r="AP30" s="8"/>
      <c r="AQ30" s="8"/>
      <c r="AR30" s="8"/>
      <c r="AS30" s="8"/>
      <c r="AT30" s="8"/>
    </row>
    <row r="31">
      <c r="A31" s="415" t="s">
        <v>9569</v>
      </c>
      <c r="B31" s="210" t="s">
        <v>9570</v>
      </c>
      <c r="C31" s="415" t="s">
        <v>9571</v>
      </c>
      <c r="D31" s="210" t="s">
        <v>9572</v>
      </c>
      <c r="E31" s="415" t="s">
        <v>9573</v>
      </c>
      <c r="F31" s="210" t="s">
        <v>9574</v>
      </c>
      <c r="G31" s="415" t="s">
        <v>9575</v>
      </c>
      <c r="H31" s="210" t="s">
        <v>9576</v>
      </c>
      <c r="I31" s="415" t="str">
        <f>IFERROR(__xludf.DUMMYFUNCTION("GOOGLETRANSLATE(A31,""zh-tw"",""es-MX"")"),"Cinta de vídeo de terror")</f>
        <v>Cinta de vídeo de terror</v>
      </c>
      <c r="J31" s="177" t="s">
        <v>9577</v>
      </c>
      <c r="K31" s="415" t="str">
        <f>IFERROR(__xludf.DUMMYFUNCTION("GOOGLETRANSLATE(A31,""zh-tw"",""KO"")"),"공포 비디오테이프")</f>
        <v>공포 비디오테이프</v>
      </c>
      <c r="L31" s="210" t="str">
        <f>IFERROR(__xludf.DUMMYFUNCTION("GOOGLETRANSLATE(B31,""zh-tw"",""KO"")"),"심야 텔레비전 방송에 사용됨")</f>
        <v>심야 텔레비전 방송에 사용됨</v>
      </c>
      <c r="M31" s="415" t="s">
        <v>9578</v>
      </c>
      <c r="N31" s="210" t="s">
        <v>9579</v>
      </c>
      <c r="O31" s="411" t="s">
        <v>9580</v>
      </c>
      <c r="P31" s="177" t="s">
        <v>9581</v>
      </c>
      <c r="Q31" s="448" t="s">
        <v>9582</v>
      </c>
      <c r="R31" s="449" t="s">
        <v>9583</v>
      </c>
      <c r="S31" s="415" t="s">
        <v>9584</v>
      </c>
      <c r="T31" s="210" t="s">
        <v>9585</v>
      </c>
      <c r="U31" s="411" t="s">
        <v>9586</v>
      </c>
      <c r="V31" s="177" t="s">
        <v>9587</v>
      </c>
      <c r="W31" s="411"/>
      <c r="X31" s="177"/>
      <c r="Y31" s="8"/>
      <c r="Z31" s="8"/>
      <c r="AA31" s="8"/>
      <c r="AB31" s="8"/>
      <c r="AC31" s="8"/>
      <c r="AD31" s="8"/>
      <c r="AE31" s="8"/>
      <c r="AF31" s="8"/>
      <c r="AG31" s="8"/>
      <c r="AH31" s="8"/>
      <c r="AI31" s="8"/>
      <c r="AJ31" s="8"/>
      <c r="AK31" s="8"/>
      <c r="AL31" s="8"/>
      <c r="AM31" s="8"/>
      <c r="AN31" s="8"/>
      <c r="AO31" s="8"/>
      <c r="AP31" s="8"/>
      <c r="AQ31" s="8"/>
      <c r="AR31" s="8"/>
      <c r="AS31" s="8"/>
      <c r="AT31" s="8"/>
    </row>
    <row r="32">
      <c r="A32" s="415" t="s">
        <v>9588</v>
      </c>
      <c r="B32" s="210" t="s">
        <v>9570</v>
      </c>
      <c r="C32" s="415" t="s">
        <v>9589</v>
      </c>
      <c r="D32" s="210" t="s">
        <v>9572</v>
      </c>
      <c r="E32" s="415" t="s">
        <v>9590</v>
      </c>
      <c r="F32" s="210" t="s">
        <v>9574</v>
      </c>
      <c r="G32" s="415" t="s">
        <v>9591</v>
      </c>
      <c r="H32" s="210" t="s">
        <v>9576</v>
      </c>
      <c r="I32" s="411" t="s">
        <v>9592</v>
      </c>
      <c r="J32" s="177" t="s">
        <v>9577</v>
      </c>
      <c r="K32" s="415" t="str">
        <f>IFERROR(__xludf.DUMMYFUNCTION("GOOGLETRANSLATE(A32,""zh-tw"",""KO"")"),"성인 비디오테이프")</f>
        <v>성인 비디오테이프</v>
      </c>
      <c r="L32" s="210" t="str">
        <f>IFERROR(__xludf.DUMMYFUNCTION("GOOGLETRANSLATE(B32,""zh-tw"",""KO"")"),"심야 텔레비전 방송에 사용됨")</f>
        <v>심야 텔레비전 방송에 사용됨</v>
      </c>
      <c r="M32" s="415" t="s">
        <v>9593</v>
      </c>
      <c r="N32" s="210" t="s">
        <v>9579</v>
      </c>
      <c r="O32" s="411" t="s">
        <v>9594</v>
      </c>
      <c r="P32" s="177" t="s">
        <v>9581</v>
      </c>
      <c r="Q32" s="448" t="s">
        <v>9595</v>
      </c>
      <c r="R32" s="449" t="s">
        <v>9583</v>
      </c>
      <c r="S32" s="415" t="s">
        <v>9596</v>
      </c>
      <c r="T32" s="210" t="s">
        <v>9585</v>
      </c>
      <c r="U32" s="411" t="s">
        <v>9597</v>
      </c>
      <c r="V32" s="177" t="s">
        <v>9587</v>
      </c>
      <c r="W32" s="411"/>
      <c r="X32" s="177"/>
      <c r="Y32" s="8"/>
      <c r="Z32" s="8"/>
      <c r="AA32" s="8"/>
      <c r="AB32" s="8"/>
      <c r="AC32" s="8"/>
      <c r="AD32" s="8"/>
      <c r="AE32" s="8"/>
      <c r="AF32" s="8"/>
      <c r="AG32" s="8"/>
      <c r="AH32" s="8"/>
      <c r="AI32" s="8"/>
      <c r="AJ32" s="8"/>
      <c r="AK32" s="8"/>
      <c r="AL32" s="8"/>
      <c r="AM32" s="8"/>
      <c r="AN32" s="8"/>
      <c r="AO32" s="8"/>
      <c r="AP32" s="8"/>
      <c r="AQ32" s="8"/>
      <c r="AR32" s="8"/>
      <c r="AS32" s="8"/>
      <c r="AT32" s="8"/>
    </row>
    <row r="33" ht="42.75" customHeight="1">
      <c r="A33" s="411" t="s">
        <v>9598</v>
      </c>
      <c r="B33" s="177" t="s">
        <v>9599</v>
      </c>
      <c r="C33" s="411" t="s">
        <v>9600</v>
      </c>
      <c r="D33" s="177"/>
      <c r="E33" s="411" t="s">
        <v>3689</v>
      </c>
      <c r="F33" s="177"/>
      <c r="G33" s="411" t="s">
        <v>9598</v>
      </c>
      <c r="H33" s="177" t="s">
        <v>9601</v>
      </c>
      <c r="I33" s="411" t="s">
        <v>3689</v>
      </c>
      <c r="J33" s="177"/>
      <c r="K33" s="411"/>
      <c r="L33" s="177"/>
      <c r="M33" s="411" t="s">
        <v>9602</v>
      </c>
      <c r="N33" s="210"/>
      <c r="O33" s="411"/>
      <c r="P33" s="177"/>
      <c r="Q33" s="445"/>
      <c r="R33" s="446"/>
      <c r="S33" s="411" t="s">
        <v>3689</v>
      </c>
      <c r="T33" s="177" t="s">
        <v>9603</v>
      </c>
      <c r="U33" s="411"/>
      <c r="V33" s="177"/>
      <c r="W33" s="411"/>
      <c r="X33" s="177"/>
      <c r="Y33" s="8"/>
      <c r="Z33" s="8"/>
      <c r="AA33" s="8"/>
      <c r="AB33" s="8"/>
      <c r="AC33" s="8"/>
      <c r="AD33" s="8"/>
      <c r="AE33" s="8"/>
      <c r="AF33" s="8"/>
      <c r="AG33" s="8"/>
      <c r="AH33" s="8"/>
      <c r="AI33" s="8"/>
      <c r="AJ33" s="8"/>
      <c r="AK33" s="8"/>
      <c r="AL33" s="8"/>
      <c r="AM33" s="8"/>
      <c r="AN33" s="8"/>
      <c r="AO33" s="8"/>
      <c r="AP33" s="8"/>
      <c r="AQ33" s="8"/>
      <c r="AR33" s="8"/>
      <c r="AS33" s="8"/>
      <c r="AT33" s="8"/>
    </row>
    <row r="34">
      <c r="A34" s="411" t="s">
        <v>9604</v>
      </c>
      <c r="B34" s="177" t="s">
        <v>9605</v>
      </c>
      <c r="C34" s="411" t="s">
        <v>9606</v>
      </c>
      <c r="D34" s="177" t="s">
        <v>9607</v>
      </c>
      <c r="E34" s="411" t="s">
        <v>9608</v>
      </c>
      <c r="F34" s="177" t="s">
        <v>9609</v>
      </c>
      <c r="G34" s="411" t="str">
        <f>IFERROR(__xludf.DUMMYFUNCTION("GOOGLETRANSLATE(A34,""zh-tw"",""zh"")"),"封存的时计")</f>
        <v>封存的时计</v>
      </c>
      <c r="H34" s="177" t="str">
        <f>IFERROR(__xludf.DUMMYFUNCTION("GOOGLETRANSLATE(B34,""zh-tw"",""zh"")"),"范围暂停")</f>
        <v>范围暂停</v>
      </c>
      <c r="I34" s="411" t="s">
        <v>9610</v>
      </c>
      <c r="J34" s="177" t="s">
        <v>9611</v>
      </c>
      <c r="K34" s="411" t="s">
        <v>9612</v>
      </c>
      <c r="L34" s="177" t="s">
        <v>9613</v>
      </c>
      <c r="M34" s="415" t="s">
        <v>9614</v>
      </c>
      <c r="N34" s="210" t="s">
        <v>9615</v>
      </c>
      <c r="O34" s="411" t="s">
        <v>9616</v>
      </c>
      <c r="P34" s="177" t="s">
        <v>9617</v>
      </c>
      <c r="Q34" s="445" t="s">
        <v>9618</v>
      </c>
      <c r="R34" s="446" t="s">
        <v>9619</v>
      </c>
      <c r="S34" s="415" t="s">
        <v>9620</v>
      </c>
      <c r="T34" s="210" t="s">
        <v>9621</v>
      </c>
      <c r="U34" s="411" t="s">
        <v>9622</v>
      </c>
      <c r="V34" s="177" t="s">
        <v>9623</v>
      </c>
      <c r="W34" s="411"/>
      <c r="X34" s="177"/>
      <c r="Y34" s="8"/>
      <c r="Z34" s="8"/>
      <c r="AA34" s="8"/>
      <c r="AB34" s="8"/>
      <c r="AC34" s="8"/>
      <c r="AD34" s="8"/>
      <c r="AE34" s="8"/>
      <c r="AF34" s="8"/>
      <c r="AG34" s="8"/>
      <c r="AH34" s="8"/>
      <c r="AI34" s="8"/>
      <c r="AJ34" s="8"/>
      <c r="AK34" s="8"/>
      <c r="AL34" s="8"/>
      <c r="AM34" s="8"/>
      <c r="AN34" s="8"/>
      <c r="AO34" s="8"/>
      <c r="AP34" s="8"/>
      <c r="AQ34" s="8"/>
      <c r="AR34" s="8"/>
      <c r="AS34" s="8"/>
      <c r="AT34" s="8"/>
    </row>
    <row r="35" ht="29.25" customHeight="1">
      <c r="A35" s="435" t="s">
        <v>9624</v>
      </c>
      <c r="B35" s="435" t="s">
        <v>9625</v>
      </c>
      <c r="C35" s="411" t="s">
        <v>9626</v>
      </c>
      <c r="D35" s="177" t="s">
        <v>9627</v>
      </c>
      <c r="E35" s="411" t="s">
        <v>9628</v>
      </c>
      <c r="F35" s="177" t="s">
        <v>9629</v>
      </c>
      <c r="G35" s="411" t="s">
        <v>9630</v>
      </c>
      <c r="H35" s="177" t="s">
        <v>9631</v>
      </c>
      <c r="I35" s="411" t="s">
        <v>9632</v>
      </c>
      <c r="J35" s="177" t="s">
        <v>9633</v>
      </c>
      <c r="K35" s="423"/>
      <c r="L35" s="156"/>
      <c r="M35" s="411" t="s">
        <v>9634</v>
      </c>
      <c r="N35" s="177" t="s">
        <v>9635</v>
      </c>
      <c r="O35" s="415"/>
      <c r="P35" s="210"/>
      <c r="Q35" s="447" t="s">
        <v>9636</v>
      </c>
      <c r="R35" s="223" t="s">
        <v>9637</v>
      </c>
      <c r="S35" s="411" t="s">
        <v>9638</v>
      </c>
      <c r="T35" s="177" t="s">
        <v>9639</v>
      </c>
      <c r="U35" s="415"/>
      <c r="V35" s="177" t="s">
        <v>9640</v>
      </c>
      <c r="W35" s="415"/>
      <c r="X35" s="177"/>
      <c r="Y35" s="8"/>
      <c r="Z35" s="8"/>
      <c r="AA35" s="8"/>
      <c r="AB35" s="8"/>
      <c r="AC35" s="8"/>
      <c r="AD35" s="8"/>
      <c r="AE35" s="8"/>
      <c r="AF35" s="8"/>
      <c r="AG35" s="8"/>
      <c r="AH35" s="8"/>
      <c r="AI35" s="8"/>
      <c r="AJ35" s="8"/>
      <c r="AK35" s="8"/>
      <c r="AL35" s="8"/>
      <c r="AM35" s="8"/>
      <c r="AN35" s="8"/>
      <c r="AO35" s="8"/>
      <c r="AP35" s="8"/>
      <c r="AQ35" s="8"/>
      <c r="AR35" s="8"/>
      <c r="AS35" s="8"/>
      <c r="AT35" s="8"/>
    </row>
    <row r="36">
      <c r="A36" s="411" t="s">
        <v>9641</v>
      </c>
      <c r="B36" s="177" t="s">
        <v>9642</v>
      </c>
      <c r="C36" s="411" t="s">
        <v>9643</v>
      </c>
      <c r="D36" s="177" t="s">
        <v>9644</v>
      </c>
      <c r="E36" s="411" t="s">
        <v>9645</v>
      </c>
      <c r="F36" s="177" t="s">
        <v>9646</v>
      </c>
      <c r="G36" s="411" t="s">
        <v>9647</v>
      </c>
      <c r="H36" s="177" t="s">
        <v>9648</v>
      </c>
      <c r="I36" s="411" t="s">
        <v>9649</v>
      </c>
      <c r="J36" s="177" t="s">
        <v>9650</v>
      </c>
      <c r="K36" s="423"/>
      <c r="L36" s="156"/>
      <c r="M36" s="411" t="s">
        <v>9651</v>
      </c>
      <c r="N36" s="177" t="s">
        <v>9652</v>
      </c>
      <c r="O36" s="415"/>
      <c r="P36" s="210"/>
      <c r="Q36" s="447" t="s">
        <v>9653</v>
      </c>
      <c r="R36" s="223" t="s">
        <v>9654</v>
      </c>
      <c r="S36" s="415" t="s">
        <v>9655</v>
      </c>
      <c r="T36" s="177" t="s">
        <v>9656</v>
      </c>
      <c r="U36" s="415"/>
      <c r="V36" s="210"/>
      <c r="W36" s="415"/>
      <c r="X36" s="210"/>
      <c r="Y36" s="8"/>
      <c r="Z36" s="8"/>
      <c r="AA36" s="8"/>
      <c r="AB36" s="8"/>
      <c r="AC36" s="8"/>
      <c r="AD36" s="8"/>
      <c r="AE36" s="8"/>
      <c r="AF36" s="8"/>
      <c r="AG36" s="8"/>
      <c r="AH36" s="8"/>
      <c r="AI36" s="8"/>
      <c r="AJ36" s="8"/>
      <c r="AK36" s="8"/>
      <c r="AL36" s="8"/>
      <c r="AM36" s="8"/>
      <c r="AN36" s="8"/>
      <c r="AO36" s="8"/>
      <c r="AP36" s="8"/>
      <c r="AQ36" s="8"/>
      <c r="AR36" s="8"/>
      <c r="AS36" s="8"/>
      <c r="AT36" s="8"/>
    </row>
    <row r="37">
      <c r="A37" s="172" t="s">
        <v>7822</v>
      </c>
      <c r="C37" s="172" t="s">
        <v>7823</v>
      </c>
      <c r="E37" s="172" t="s">
        <v>7824</v>
      </c>
      <c r="G37" s="172" t="s">
        <v>7825</v>
      </c>
      <c r="I37" s="172"/>
      <c r="K37" s="172"/>
      <c r="M37" s="172" t="s">
        <v>7826</v>
      </c>
      <c r="O37" s="172"/>
      <c r="Q37" s="225"/>
      <c r="S37" s="172" t="s">
        <v>7828</v>
      </c>
      <c r="U37" s="172"/>
      <c r="W37" s="172"/>
      <c r="Y37" s="8"/>
      <c r="Z37" s="8"/>
      <c r="AA37" s="8"/>
      <c r="AB37" s="8"/>
      <c r="AC37" s="8"/>
      <c r="AD37" s="8"/>
      <c r="AE37" s="8"/>
      <c r="AF37" s="8"/>
      <c r="AG37" s="8"/>
      <c r="AH37" s="8"/>
      <c r="AI37" s="8"/>
      <c r="AJ37" s="8"/>
      <c r="AK37" s="8"/>
      <c r="AL37" s="8"/>
      <c r="AM37" s="8"/>
      <c r="AN37" s="8"/>
      <c r="AO37" s="8"/>
      <c r="AP37" s="8"/>
      <c r="AQ37" s="8"/>
      <c r="AR37" s="8"/>
      <c r="AS37" s="8"/>
      <c r="AT37" s="8"/>
    </row>
    <row r="38" ht="35.25" customHeight="1">
      <c r="A38" s="435" t="s">
        <v>9657</v>
      </c>
      <c r="B38" s="435" t="s">
        <v>9658</v>
      </c>
      <c r="C38" s="411" t="s">
        <v>9659</v>
      </c>
      <c r="D38" s="177" t="s">
        <v>9660</v>
      </c>
      <c r="E38" s="411" t="s">
        <v>9661</v>
      </c>
      <c r="F38" s="177" t="s">
        <v>9662</v>
      </c>
      <c r="G38" s="411" t="str">
        <f>IFERROR(__xludf.DUMMYFUNCTION("GOOGLETRANSLATE(A38,""zh-tw"",""zh"")"),"塔罗牌-愚者")</f>
        <v>塔罗牌-愚者</v>
      </c>
      <c r="H38" s="177" t="str">
        <f>IFERROR(__xludf.DUMMYFUNCTION("GOOGLETRANSLATE(B38,""zh-tw"",""zh"")"),"传送至随机地图
")</f>
        <v>传送至随机地图
</v>
      </c>
      <c r="I38" s="411" t="s">
        <v>9663</v>
      </c>
      <c r="J38" s="177" t="s">
        <v>9664</v>
      </c>
      <c r="K38" s="411"/>
      <c r="L38" s="177"/>
      <c r="M38" s="411" t="s">
        <v>9665</v>
      </c>
      <c r="N38" s="177" t="s">
        <v>9666</v>
      </c>
      <c r="O38" s="411"/>
      <c r="P38" s="177"/>
      <c r="Q38" s="447" t="s">
        <v>9667</v>
      </c>
      <c r="R38" s="223" t="s">
        <v>9668</v>
      </c>
      <c r="S38" s="411" t="s">
        <v>9669</v>
      </c>
      <c r="T38" s="177" t="s">
        <v>9670</v>
      </c>
      <c r="U38" s="411"/>
      <c r="V38" s="177"/>
      <c r="W38" s="411"/>
      <c r="X38" s="177"/>
      <c r="Y38" s="8"/>
      <c r="Z38" s="8"/>
      <c r="AA38" s="8"/>
      <c r="AB38" s="8"/>
      <c r="AC38" s="8"/>
      <c r="AD38" s="8"/>
      <c r="AE38" s="8"/>
      <c r="AF38" s="8"/>
      <c r="AG38" s="8"/>
      <c r="AH38" s="8"/>
      <c r="AI38" s="8"/>
      <c r="AJ38" s="8"/>
      <c r="AK38" s="8"/>
      <c r="AL38" s="8"/>
      <c r="AM38" s="8"/>
      <c r="AN38" s="8"/>
      <c r="AO38" s="8"/>
      <c r="AP38" s="8"/>
      <c r="AQ38" s="8"/>
      <c r="AR38" s="8"/>
      <c r="AS38" s="8"/>
      <c r="AT38" s="8"/>
    </row>
    <row r="39">
      <c r="A39" s="411" t="s">
        <v>9671</v>
      </c>
      <c r="B39" s="177" t="s">
        <v>9672</v>
      </c>
      <c r="C39" s="411" t="s">
        <v>9673</v>
      </c>
      <c r="D39" s="177" t="s">
        <v>9674</v>
      </c>
      <c r="E39" s="411" t="s">
        <v>9675</v>
      </c>
      <c r="F39" s="177" t="s">
        <v>9676</v>
      </c>
      <c r="G39" s="411" t="str">
        <f>IFERROR(__xludf.DUMMYFUNCTION("GOOGLETRANSLATE(A39,""zh-tw"",""zh"")"),"塔罗牌-女祭司")</f>
        <v>塔罗牌-女祭司</v>
      </c>
      <c r="H39" s="177" t="str">
        <f>IFERROR(__xludf.DUMMYFUNCTION("GOOGLETRANSLATE(B39,""zh-tw"",""zh"")"),"召唤教堂")</f>
        <v>召唤教堂</v>
      </c>
      <c r="I39" s="415" t="str">
        <f>IFERROR(__xludf.DUMMYFUNCTION("GOOGLETRANSLATE(A39,""zh-tw"",""es-MX"")"),"Tarot - La Suma Sacerdotisa")</f>
        <v>Tarot - La Suma Sacerdotisa</v>
      </c>
      <c r="J39" s="177" t="s">
        <v>9677</v>
      </c>
      <c r="K39" s="411" t="s">
        <v>9678</v>
      </c>
      <c r="L39" s="177" t="s">
        <v>9679</v>
      </c>
      <c r="M39" s="415" t="s">
        <v>9680</v>
      </c>
      <c r="N39" s="210" t="s">
        <v>9681</v>
      </c>
      <c r="O39" s="411" t="s">
        <v>9682</v>
      </c>
      <c r="P39" s="177" t="s">
        <v>9683</v>
      </c>
      <c r="Q39" s="447" t="s">
        <v>9684</v>
      </c>
      <c r="R39" s="446" t="s">
        <v>9685</v>
      </c>
      <c r="S39" s="415" t="s">
        <v>9686</v>
      </c>
      <c r="T39" s="210" t="s">
        <v>9687</v>
      </c>
      <c r="U39" s="411" t="s">
        <v>9688</v>
      </c>
      <c r="V39" s="177" t="s">
        <v>9689</v>
      </c>
      <c r="W39" s="411"/>
      <c r="X39" s="177"/>
      <c r="Y39" s="8"/>
      <c r="Z39" s="8"/>
      <c r="AA39" s="8"/>
      <c r="AB39" s="8"/>
      <c r="AC39" s="8"/>
      <c r="AD39" s="8"/>
      <c r="AE39" s="8"/>
      <c r="AF39" s="8"/>
      <c r="AG39" s="8"/>
      <c r="AH39" s="8"/>
      <c r="AI39" s="8"/>
      <c r="AJ39" s="8"/>
      <c r="AK39" s="8"/>
      <c r="AL39" s="8"/>
      <c r="AM39" s="8"/>
      <c r="AN39" s="8"/>
      <c r="AO39" s="8"/>
      <c r="AP39" s="8"/>
      <c r="AQ39" s="8"/>
      <c r="AR39" s="8"/>
      <c r="AS39" s="8"/>
      <c r="AT39" s="8"/>
    </row>
    <row r="40">
      <c r="A40" s="411" t="s">
        <v>9690</v>
      </c>
      <c r="B40" s="177" t="s">
        <v>9691</v>
      </c>
      <c r="C40" s="411" t="s">
        <v>9692</v>
      </c>
      <c r="D40" s="177" t="s">
        <v>9693</v>
      </c>
      <c r="E40" s="411" t="s">
        <v>9694</v>
      </c>
      <c r="F40" s="177" t="s">
        <v>9695</v>
      </c>
      <c r="G40" s="411" t="str">
        <f>IFERROR(__xludf.DUMMYFUNCTION("GOOGLETRANSLATE(A40,""zh-tw"",""zh"")"),"塔罗牌-皇帝")</f>
        <v>塔罗牌-皇帝</v>
      </c>
      <c r="H40" s="177" t="str">
        <f>IFERROR(__xludf.DUMMYFUNCTION("GOOGLETRANSLATE(B40,""zh-tw"",""zh"")"),"巨龙咆啸")</f>
        <v>巨龙咆啸</v>
      </c>
      <c r="I40" s="415" t="str">
        <f>IFERROR(__xludf.DUMMYFUNCTION("GOOGLETRANSLATE(A40,""zh-tw"",""es-MX"")"),"Tarot - El Emperador")</f>
        <v>Tarot - El Emperador</v>
      </c>
      <c r="J40" s="177" t="s">
        <v>9696</v>
      </c>
      <c r="K40" s="415" t="str">
        <f>IFERROR(__xludf.DUMMYFUNCTION("GOOGLETRANSLATE(A40,""zh-tw"",""KO"")"),"타로 - 황제 카드")</f>
        <v>타로 - 황제 카드</v>
      </c>
      <c r="L40" s="177" t="s">
        <v>9697</v>
      </c>
      <c r="M40" s="415" t="s">
        <v>9698</v>
      </c>
      <c r="N40" s="210" t="s">
        <v>9699</v>
      </c>
      <c r="O40" s="411" t="s">
        <v>9700</v>
      </c>
      <c r="P40" s="177" t="s">
        <v>9701</v>
      </c>
      <c r="Q40" s="447" t="s">
        <v>9702</v>
      </c>
      <c r="R40" s="446" t="s">
        <v>9703</v>
      </c>
      <c r="S40" s="415" t="s">
        <v>9704</v>
      </c>
      <c r="T40" s="210" t="s">
        <v>9705</v>
      </c>
      <c r="U40" s="411" t="s">
        <v>9706</v>
      </c>
      <c r="V40" s="177" t="s">
        <v>9707</v>
      </c>
      <c r="W40" s="411"/>
      <c r="X40" s="177"/>
      <c r="Y40" s="8"/>
      <c r="Z40" s="8"/>
      <c r="AA40" s="8"/>
      <c r="AB40" s="8"/>
      <c r="AC40" s="8"/>
      <c r="AD40" s="8"/>
      <c r="AE40" s="8"/>
      <c r="AF40" s="8"/>
      <c r="AG40" s="8"/>
      <c r="AH40" s="8"/>
      <c r="AI40" s="8"/>
      <c r="AJ40" s="8"/>
      <c r="AK40" s="8"/>
      <c r="AL40" s="8"/>
      <c r="AM40" s="8"/>
      <c r="AN40" s="8"/>
      <c r="AO40" s="8"/>
      <c r="AP40" s="8"/>
      <c r="AQ40" s="8"/>
      <c r="AR40" s="8"/>
      <c r="AS40" s="8"/>
      <c r="AT40" s="8"/>
    </row>
    <row r="41">
      <c r="A41" s="411" t="s">
        <v>9708</v>
      </c>
      <c r="B41" s="177" t="s">
        <v>9709</v>
      </c>
      <c r="C41" s="411" t="s">
        <v>9710</v>
      </c>
      <c r="D41" s="177" t="s">
        <v>9711</v>
      </c>
      <c r="E41" s="411" t="s">
        <v>9712</v>
      </c>
      <c r="F41" s="177" t="s">
        <v>9713</v>
      </c>
      <c r="G41" s="411" t="str">
        <f>IFERROR(__xludf.DUMMYFUNCTION("GOOGLETRANSLATE(A41,""zh-tw"",""zh"")"),"塔罗牌-战车")</f>
        <v>塔罗牌-战车</v>
      </c>
      <c r="H41" s="177" t="str">
        <f>IFERROR(__xludf.DUMMYFUNCTION("GOOGLETRANSLATE(B41,""zh-tw"",""zh"")"),"召唤猫娘商店车")</f>
        <v>召唤猫娘商店车</v>
      </c>
      <c r="I41" s="415" t="str">
        <f>IFERROR(__xludf.DUMMYFUNCTION("GOOGLETRANSLATE(A41,""zh-tw"",""es-MX"")"),"Carta del Tarot - El Carro")</f>
        <v>Carta del Tarot - El Carro</v>
      </c>
      <c r="J41" s="177" t="s">
        <v>9714</v>
      </c>
      <c r="K41" s="411" t="s">
        <v>9715</v>
      </c>
      <c r="L41" s="210" t="str">
        <f>IFERROR(__xludf.DUMMYFUNCTION("GOOGLETRANSLATE(B41,""zh-tw"",""KO"")"),"고양이 소녀 상점 카트를 소환하세요")</f>
        <v>고양이 소녀 상점 카트를 소환하세요</v>
      </c>
      <c r="M41" s="415" t="s">
        <v>9716</v>
      </c>
      <c r="N41" s="210" t="s">
        <v>9717</v>
      </c>
      <c r="O41" s="411" t="s">
        <v>9718</v>
      </c>
      <c r="P41" s="177" t="s">
        <v>9719</v>
      </c>
      <c r="Q41" s="447" t="s">
        <v>9720</v>
      </c>
      <c r="R41" s="446" t="s">
        <v>9721</v>
      </c>
      <c r="S41" s="415" t="s">
        <v>9722</v>
      </c>
      <c r="T41" s="210" t="s">
        <v>9723</v>
      </c>
      <c r="U41" s="411" t="s">
        <v>9724</v>
      </c>
      <c r="V41" s="177" t="s">
        <v>9725</v>
      </c>
      <c r="W41" s="411"/>
      <c r="X41" s="177"/>
      <c r="Y41" s="8"/>
      <c r="Z41" s="8"/>
      <c r="AA41" s="8"/>
      <c r="AB41" s="8"/>
      <c r="AC41" s="8"/>
      <c r="AD41" s="8"/>
      <c r="AE41" s="8"/>
      <c r="AF41" s="8"/>
      <c r="AG41" s="8"/>
      <c r="AH41" s="8"/>
      <c r="AI41" s="8"/>
      <c r="AJ41" s="8"/>
      <c r="AK41" s="8"/>
      <c r="AL41" s="8"/>
      <c r="AM41" s="8"/>
      <c r="AN41" s="8"/>
      <c r="AO41" s="8"/>
      <c r="AP41" s="8"/>
      <c r="AQ41" s="8"/>
      <c r="AR41" s="8"/>
      <c r="AS41" s="8"/>
      <c r="AT41" s="8"/>
    </row>
    <row r="42">
      <c r="A42" s="411" t="s">
        <v>9726</v>
      </c>
      <c r="B42" s="177" t="s">
        <v>9727</v>
      </c>
      <c r="C42" s="411" t="s">
        <v>9728</v>
      </c>
      <c r="D42" s="177" t="s">
        <v>9729</v>
      </c>
      <c r="E42" s="411" t="s">
        <v>9730</v>
      </c>
      <c r="F42" s="177" t="s">
        <v>9731</v>
      </c>
      <c r="G42" s="411" t="str">
        <f>IFERROR(__xludf.DUMMYFUNCTION("GOOGLETRANSLATE(A42,""zh-tw"",""zh"")"),"塔罗牌-力")</f>
        <v>塔罗牌-力</v>
      </c>
      <c r="H42" s="177" t="str">
        <f>IFERROR(__xludf.DUMMYFUNCTION("GOOGLETRANSLATE(B42,""zh-tw"",""zh"")"),"武器巨大化增强")</f>
        <v>武器巨大化增强</v>
      </c>
      <c r="I42" s="415" t="str">
        <f>IFERROR(__xludf.DUMMYFUNCTION("GOOGLETRANSLATE(A42,""zh-tw"",""es-MX"")"),"Carta del Tarot - Fuerza")</f>
        <v>Carta del Tarot - Fuerza</v>
      </c>
      <c r="J42" s="177" t="s">
        <v>9732</v>
      </c>
      <c r="K42" s="415" t="str">
        <f>IFERROR(__xludf.DUMMYFUNCTION("GOOGLETRANSLATE(A42,""zh-tw"",""KO"")"),"타로 카드 - 힘")</f>
        <v>타로 카드 - 힘</v>
      </c>
      <c r="L42" s="177" t="s">
        <v>9733</v>
      </c>
      <c r="M42" s="415" t="s">
        <v>9734</v>
      </c>
      <c r="N42" s="210" t="s">
        <v>9735</v>
      </c>
      <c r="O42" s="411" t="s">
        <v>9736</v>
      </c>
      <c r="P42" s="177" t="s">
        <v>9737</v>
      </c>
      <c r="Q42" s="447" t="s">
        <v>9738</v>
      </c>
      <c r="R42" s="446" t="s">
        <v>9739</v>
      </c>
      <c r="S42" s="415" t="s">
        <v>9740</v>
      </c>
      <c r="T42" s="210" t="s">
        <v>9741</v>
      </c>
      <c r="U42" s="411" t="s">
        <v>9742</v>
      </c>
      <c r="V42" s="177" t="s">
        <v>9743</v>
      </c>
      <c r="W42" s="411"/>
      <c r="X42" s="177"/>
      <c r="Y42" s="8"/>
      <c r="Z42" s="8"/>
      <c r="AA42" s="8"/>
      <c r="AB42" s="8"/>
      <c r="AC42" s="8"/>
      <c r="AD42" s="8"/>
      <c r="AE42" s="8"/>
      <c r="AF42" s="8"/>
      <c r="AG42" s="8"/>
      <c r="AH42" s="8"/>
      <c r="AI42" s="8"/>
      <c r="AJ42" s="8"/>
      <c r="AK42" s="8"/>
      <c r="AL42" s="8"/>
      <c r="AM42" s="8"/>
      <c r="AN42" s="8"/>
      <c r="AO42" s="8"/>
      <c r="AP42" s="8"/>
      <c r="AQ42" s="8"/>
      <c r="AR42" s="8"/>
      <c r="AS42" s="8"/>
      <c r="AT42" s="8"/>
    </row>
    <row r="43">
      <c r="A43" s="411" t="s">
        <v>9744</v>
      </c>
      <c r="B43" s="177" t="s">
        <v>9745</v>
      </c>
      <c r="C43" s="411" t="s">
        <v>9746</v>
      </c>
      <c r="D43" s="177" t="s">
        <v>9747</v>
      </c>
      <c r="E43" s="411" t="s">
        <v>9748</v>
      </c>
      <c r="F43" s="177" t="s">
        <v>9749</v>
      </c>
      <c r="G43" s="411" t="str">
        <f>IFERROR(__xludf.DUMMYFUNCTION("GOOGLETRANSLATE(A43,""zh-tw"",""zh"")"),"塔罗牌-命运之轮")</f>
        <v>塔罗牌-命运之轮</v>
      </c>
      <c r="H43" s="177" t="str">
        <f>IFERROR(__xludf.DUMMYFUNCTION("GOOGLETRANSLATE(B43,""zh-tw"",""zh"")"),"随机BUFF效果")</f>
        <v>随机BUFF效果</v>
      </c>
      <c r="I43" s="415" t="str">
        <f>IFERROR(__xludf.DUMMYFUNCTION("GOOGLETRANSLATE(A43,""zh-tw"",""es-MX"")"),"Tarot - La Rueda de la Fortuna")</f>
        <v>Tarot - La Rueda de la Fortuna</v>
      </c>
      <c r="J43" s="177" t="s">
        <v>9750</v>
      </c>
      <c r="K43" s="411" t="s">
        <v>9751</v>
      </c>
      <c r="L43" s="177" t="s">
        <v>9752</v>
      </c>
      <c r="M43" s="415" t="s">
        <v>9753</v>
      </c>
      <c r="N43" s="210" t="s">
        <v>9754</v>
      </c>
      <c r="O43" s="411" t="s">
        <v>9755</v>
      </c>
      <c r="P43" s="177" t="s">
        <v>9756</v>
      </c>
      <c r="Q43" s="447" t="s">
        <v>9757</v>
      </c>
      <c r="R43" s="446" t="s">
        <v>9758</v>
      </c>
      <c r="S43" s="415" t="s">
        <v>9759</v>
      </c>
      <c r="T43" s="210" t="s">
        <v>9760</v>
      </c>
      <c r="U43" s="411" t="s">
        <v>9761</v>
      </c>
      <c r="V43" s="177" t="s">
        <v>9762</v>
      </c>
      <c r="W43" s="411"/>
      <c r="X43" s="177"/>
      <c r="Y43" s="8"/>
      <c r="Z43" s="8"/>
      <c r="AA43" s="8"/>
      <c r="AB43" s="8"/>
      <c r="AC43" s="8"/>
      <c r="AD43" s="8"/>
      <c r="AE43" s="8"/>
      <c r="AF43" s="8"/>
      <c r="AG43" s="8"/>
      <c r="AH43" s="8"/>
      <c r="AI43" s="8"/>
      <c r="AJ43" s="8"/>
      <c r="AK43" s="8"/>
      <c r="AL43" s="8"/>
      <c r="AM43" s="8"/>
      <c r="AN43" s="8"/>
      <c r="AO43" s="8"/>
      <c r="AP43" s="8"/>
      <c r="AQ43" s="8"/>
      <c r="AR43" s="8"/>
      <c r="AS43" s="8"/>
      <c r="AT43" s="8"/>
    </row>
    <row r="44">
      <c r="A44" s="411" t="s">
        <v>9763</v>
      </c>
      <c r="B44" s="177" t="s">
        <v>9764</v>
      </c>
      <c r="C44" s="411" t="s">
        <v>9765</v>
      </c>
      <c r="D44" s="177" t="s">
        <v>9766</v>
      </c>
      <c r="E44" s="411" t="s">
        <v>9767</v>
      </c>
      <c r="F44" s="177" t="s">
        <v>9768</v>
      </c>
      <c r="G44" s="411" t="str">
        <f>IFERROR(__xludf.DUMMYFUNCTION("GOOGLETRANSLATE(A44,""zh-tw"",""zh"")"),"塔罗牌-正义")</f>
        <v>塔罗牌-正义</v>
      </c>
      <c r="H44" s="177" t="str">
        <f>IFERROR(__xludf.DUMMYFUNCTION("GOOGLETRANSLATE(B44,""zh-tw"",""zh"")"),"消除状态")</f>
        <v>消除状态</v>
      </c>
      <c r="I44" s="415" t="str">
        <f>IFERROR(__xludf.DUMMYFUNCTION("GOOGLETRANSLATE(A44,""zh-tw"",""es-MX"")"),"Tarot - Justicia")</f>
        <v>Tarot - Justicia</v>
      </c>
      <c r="J44" s="177" t="s">
        <v>9769</v>
      </c>
      <c r="K44" s="411" t="s">
        <v>9770</v>
      </c>
      <c r="L44" s="214" t="s">
        <v>9771</v>
      </c>
      <c r="M44" s="415" t="s">
        <v>9772</v>
      </c>
      <c r="N44" s="210" t="s">
        <v>9773</v>
      </c>
      <c r="O44" s="411" t="s">
        <v>9774</v>
      </c>
      <c r="P44" s="177" t="s">
        <v>9775</v>
      </c>
      <c r="Q44" s="447" t="s">
        <v>9776</v>
      </c>
      <c r="R44" s="223" t="s">
        <v>9777</v>
      </c>
      <c r="S44" s="415" t="s">
        <v>9778</v>
      </c>
      <c r="T44" s="210" t="s">
        <v>9779</v>
      </c>
      <c r="U44" s="411" t="s">
        <v>9780</v>
      </c>
      <c r="V44" s="177" t="s">
        <v>9781</v>
      </c>
      <c r="W44" s="411"/>
      <c r="X44" s="177"/>
      <c r="Y44" s="8"/>
      <c r="Z44" s="8"/>
      <c r="AA44" s="8"/>
      <c r="AB44" s="8"/>
      <c r="AC44" s="8"/>
      <c r="AD44" s="8"/>
      <c r="AE44" s="8"/>
      <c r="AF44" s="8"/>
      <c r="AG44" s="8"/>
      <c r="AH44" s="8"/>
      <c r="AI44" s="8"/>
      <c r="AJ44" s="8"/>
      <c r="AK44" s="8"/>
      <c r="AL44" s="8"/>
      <c r="AM44" s="8"/>
      <c r="AN44" s="8"/>
      <c r="AO44" s="8"/>
      <c r="AP44" s="8"/>
      <c r="AQ44" s="8"/>
      <c r="AR44" s="8"/>
      <c r="AS44" s="8"/>
      <c r="AT44" s="8"/>
    </row>
    <row r="45">
      <c r="A45" s="416" t="s">
        <v>9782</v>
      </c>
      <c r="B45" s="177" t="s">
        <v>9783</v>
      </c>
      <c r="C45" s="416" t="s">
        <v>9784</v>
      </c>
      <c r="D45" s="177" t="s">
        <v>9785</v>
      </c>
      <c r="E45" s="416" t="s">
        <v>9786</v>
      </c>
      <c r="F45" s="166" t="s">
        <v>9787</v>
      </c>
      <c r="G45" s="411" t="str">
        <f>IFERROR(__xludf.DUMMYFUNCTION("GOOGLETRANSLATE(A45,""zh-tw"",""zh"")"),"塔罗牌-死神")</f>
        <v>塔罗牌-死神</v>
      </c>
      <c r="H45" s="177" t="str">
        <f>IFERROR(__xludf.DUMMYFUNCTION("GOOGLETRANSLATE(B45,""zh-tw"",""zh"")"),"死之恶魔现身
击杀所有生物
(对NPC、地图物件、可破坏物体，无效)
(对稻草人、浅羽商店车两段血，有效)
NPC目前暂时无互动效果")</f>
        <v>死之恶魔现身
击杀所有生物
(对NPC、地图物件、可破坏物体，无效)
(对稻草人、浅羽商店车两段血，有效)
NPC目前暂时无互动效果</v>
      </c>
      <c r="I45" s="415" t="str">
        <f>IFERROR(__xludf.DUMMYFUNCTION("GOOGLETRANSLATE(A45,""zh-tw"",""es-MX"")"),"Carta del Tarot - Muerte")</f>
        <v>Carta del Tarot - Muerte</v>
      </c>
      <c r="J45" s="177" t="s">
        <v>9788</v>
      </c>
      <c r="K45" s="415" t="str">
        <f>IFERROR(__xludf.DUMMYFUNCTION("GOOGLETRANSLATE(A45,""zh-tw"",""KO"")"),"타로 카드 - 죽음")</f>
        <v>타로 카드 - 죽음</v>
      </c>
      <c r="L45" s="210" t="str">
        <f>IFERROR(__xludf.DUMMYFUNCTION("GOOGLETRANSLATE(B45,""zh-tw"",""KO"")"),"죽음의 악마가 나타났습니다. 모든 생명체를 처치하십시오.
(NPC, 맵 오브젝트, 파괴 가능한 오브젝트에는 효과가 없습니다.)
(허수아비와 아사바의 수레(체력 2)에는 효과가 있습니다.)
현재 NPC는 상호작용 효과가 없습니다.")</f>
        <v>죽음의 악마가 나타났습니다. 모든 생명체를 처치하십시오.
(NPC, 맵 오브젝트, 파괴 가능한 오브젝트에는 효과가 없습니다.)
(허수아비와 아사바의 수레(체력 2)에는 효과가 있습니다.)
현재 NPC는 상호작용 효과가 없습니다.</v>
      </c>
      <c r="M45" s="415" t="s">
        <v>9789</v>
      </c>
      <c r="N45" s="210" t="s">
        <v>9790</v>
      </c>
      <c r="O45" s="411" t="s">
        <v>9791</v>
      </c>
      <c r="P45" s="177" t="s">
        <v>9792</v>
      </c>
      <c r="Q45" s="447" t="s">
        <v>9793</v>
      </c>
      <c r="R45" s="446" t="s">
        <v>9794</v>
      </c>
      <c r="S45" s="415" t="s">
        <v>9795</v>
      </c>
      <c r="T45" s="210" t="s">
        <v>9796</v>
      </c>
      <c r="U45" s="411" t="s">
        <v>9797</v>
      </c>
      <c r="V45" s="177" t="s">
        <v>9798</v>
      </c>
      <c r="W45" s="411"/>
      <c r="X45" s="177"/>
      <c r="Y45" s="8"/>
      <c r="Z45" s="8"/>
      <c r="AA45" s="8"/>
      <c r="AB45" s="8"/>
      <c r="AC45" s="8"/>
      <c r="AD45" s="8"/>
      <c r="AE45" s="8"/>
      <c r="AF45" s="8"/>
      <c r="AG45" s="8"/>
      <c r="AH45" s="8"/>
      <c r="AI45" s="8"/>
      <c r="AJ45" s="8"/>
      <c r="AK45" s="8"/>
      <c r="AL45" s="8"/>
      <c r="AM45" s="8"/>
      <c r="AN45" s="8"/>
      <c r="AO45" s="8"/>
      <c r="AP45" s="8"/>
      <c r="AQ45" s="8"/>
      <c r="AR45" s="8"/>
      <c r="AS45" s="8"/>
      <c r="AT45" s="8"/>
    </row>
    <row r="46">
      <c r="A46" s="411" t="s">
        <v>9799</v>
      </c>
      <c r="B46" s="177" t="s">
        <v>9800</v>
      </c>
      <c r="C46" s="411" t="s">
        <v>9801</v>
      </c>
      <c r="D46" s="177" t="s">
        <v>9802</v>
      </c>
      <c r="E46" s="411" t="s">
        <v>9803</v>
      </c>
      <c r="F46" s="177" t="s">
        <v>9804</v>
      </c>
      <c r="G46" s="411" t="str">
        <f>IFERROR(__xludf.DUMMYFUNCTION("GOOGLETRANSLATE(A46,""zh-tw"",""zh"")"),"塔罗牌-节制")</f>
        <v>塔罗牌-节制</v>
      </c>
      <c r="H46" s="177" t="str">
        <f>IFERROR(__xludf.DUMMYFUNCTION("GOOGLETRANSLATE(B46,""zh-tw"",""zh"")"),"召唤扭蛋机")</f>
        <v>召唤扭蛋机</v>
      </c>
      <c r="I46" s="415" t="str">
        <f>IFERROR(__xludf.DUMMYFUNCTION("GOOGLETRANSLATE(A46,""zh-tw"",""es-MX"")"),"Tarot - La Templanza")</f>
        <v>Tarot - La Templanza</v>
      </c>
      <c r="J46" s="177" t="s">
        <v>9805</v>
      </c>
      <c r="K46" s="411" t="s">
        <v>9806</v>
      </c>
      <c r="L46" s="210" t="str">
        <f>IFERROR(__xludf.DUMMYFUNCTION("GOOGLETRANSLATE(B46,""zh-tw"",""KO"")"),"가샤폰 소환기")</f>
        <v>가샤폰 소환기</v>
      </c>
      <c r="M46" s="415" t="s">
        <v>9807</v>
      </c>
      <c r="N46" s="210" t="s">
        <v>9808</v>
      </c>
      <c r="O46" s="411" t="s">
        <v>9809</v>
      </c>
      <c r="P46" s="177" t="s">
        <v>9810</v>
      </c>
      <c r="Q46" s="447" t="s">
        <v>9811</v>
      </c>
      <c r="R46" s="446" t="s">
        <v>9812</v>
      </c>
      <c r="S46" s="415" t="s">
        <v>9813</v>
      </c>
      <c r="T46" s="210" t="s">
        <v>9814</v>
      </c>
      <c r="U46" s="411" t="s">
        <v>9815</v>
      </c>
      <c r="V46" s="177" t="s">
        <v>9816</v>
      </c>
      <c r="W46" s="411"/>
      <c r="X46" s="177"/>
      <c r="Y46" s="8"/>
      <c r="Z46" s="8"/>
      <c r="AA46" s="8"/>
      <c r="AB46" s="8"/>
      <c r="AC46" s="8"/>
      <c r="AD46" s="8"/>
      <c r="AE46" s="8"/>
      <c r="AF46" s="8"/>
      <c r="AG46" s="8"/>
      <c r="AH46" s="8"/>
      <c r="AI46" s="8"/>
      <c r="AJ46" s="8"/>
      <c r="AK46" s="8"/>
      <c r="AL46" s="8"/>
      <c r="AM46" s="8"/>
      <c r="AN46" s="8"/>
      <c r="AO46" s="8"/>
      <c r="AP46" s="8"/>
      <c r="AQ46" s="8"/>
      <c r="AR46" s="8"/>
      <c r="AS46" s="8"/>
      <c r="AT46" s="8"/>
    </row>
    <row r="47">
      <c r="A47" s="415" t="s">
        <v>9817</v>
      </c>
      <c r="B47" s="210" t="s">
        <v>9818</v>
      </c>
      <c r="C47" s="415" t="s">
        <v>9819</v>
      </c>
      <c r="D47" s="210" t="s">
        <v>9820</v>
      </c>
      <c r="E47" s="415" t="s">
        <v>9821</v>
      </c>
      <c r="F47" s="210" t="s">
        <v>9822</v>
      </c>
      <c r="G47" s="415" t="s">
        <v>9823</v>
      </c>
      <c r="H47" s="210" t="s">
        <v>9824</v>
      </c>
      <c r="I47" s="415" t="str">
        <f>IFERROR(__xludf.DUMMYFUNCTION("GOOGLETRANSLATE(A47,""zh-tw"",""es-MX"")"),"Tarot - La Torre")</f>
        <v>Tarot - La Torre</v>
      </c>
      <c r="J47" s="140" t="s">
        <v>9825</v>
      </c>
      <c r="K47" s="415" t="str">
        <f>IFERROR(__xludf.DUMMYFUNCTION("GOOGLETRANSLATE(A47,""zh-tw"",""KO"")"),"타로 - 탑 카드")</f>
        <v>타로 - 탑 카드</v>
      </c>
      <c r="L47" s="210" t="str">
        <f>IFERROR(__xludf.DUMMYFUNCTION("GOOGLETRANSLATE(B47,""zh-tw"",""KO"")"),"심연에서의 사용
봉인의 기둥 소환
여러 장을 동시에 사용할 수 없습니다.")</f>
        <v>심연에서의 사용
봉인의 기둥 소환
여러 장을 동시에 사용할 수 없습니다.</v>
      </c>
      <c r="M47" s="415" t="s">
        <v>9826</v>
      </c>
      <c r="N47" s="210" t="s">
        <v>9827</v>
      </c>
      <c r="O47" s="415" t="s">
        <v>9828</v>
      </c>
      <c r="P47" s="210" t="s">
        <v>9829</v>
      </c>
      <c r="Q47" s="447" t="s">
        <v>9830</v>
      </c>
      <c r="R47" s="223" t="s">
        <v>9831</v>
      </c>
      <c r="S47" s="415" t="s">
        <v>9832</v>
      </c>
      <c r="T47" s="210" t="s">
        <v>9833</v>
      </c>
      <c r="U47" s="415" t="s">
        <v>9834</v>
      </c>
      <c r="V47" s="210" t="s">
        <v>9835</v>
      </c>
      <c r="W47" s="415"/>
      <c r="X47" s="210"/>
      <c r="Y47" s="8"/>
      <c r="Z47" s="8"/>
      <c r="AA47" s="8"/>
      <c r="AB47" s="8"/>
      <c r="AC47" s="8"/>
      <c r="AD47" s="8"/>
      <c r="AE47" s="8"/>
      <c r="AF47" s="8"/>
      <c r="AG47" s="8"/>
      <c r="AH47" s="8"/>
      <c r="AI47" s="8"/>
      <c r="AJ47" s="8"/>
      <c r="AK47" s="8"/>
      <c r="AL47" s="8"/>
      <c r="AM47" s="8"/>
      <c r="AN47" s="8"/>
      <c r="AO47" s="8"/>
      <c r="AP47" s="8"/>
      <c r="AQ47" s="8"/>
      <c r="AR47" s="8"/>
      <c r="AS47" s="8"/>
      <c r="AT47" s="8"/>
    </row>
    <row r="48">
      <c r="A48" s="411" t="s">
        <v>9836</v>
      </c>
      <c r="B48" s="177" t="s">
        <v>9837</v>
      </c>
      <c r="C48" s="411" t="str">
        <f>IFERROR(__xludf.DUMMYFUNCTION("GOOGLETRANSLATE(A48,""zh-tw"",""ja"")"),"タロット - 星")</f>
        <v>タロット - 星</v>
      </c>
      <c r="D48" s="177" t="s">
        <v>9838</v>
      </c>
      <c r="E48" s="411" t="s">
        <v>9839</v>
      </c>
      <c r="F48" s="177" t="s">
        <v>9840</v>
      </c>
      <c r="G48" s="411" t="str">
        <f>IFERROR(__xludf.DUMMYFUNCTION("GOOGLETRANSLATE(A48,""zh-tw"",""zh"")"),"塔罗牌-星")</f>
        <v>塔罗牌-星</v>
      </c>
      <c r="H48" s="177" t="str">
        <f>IFERROR(__xludf.DUMMYFUNCTION("GOOGLETRANSLATE(B48,""zh-tw"",""zh"")"),"星之门")</f>
        <v>星之门</v>
      </c>
      <c r="I48" s="415" t="str">
        <f>IFERROR(__xludf.DUMMYFUNCTION("GOOGLETRANSLATE(A48,""zh-tw"",""es-MX"")"),"Tarot - La Estrella")</f>
        <v>Tarot - La Estrella</v>
      </c>
      <c r="J48" s="177" t="s">
        <v>9841</v>
      </c>
      <c r="K48" s="415" t="str">
        <f>IFERROR(__xludf.DUMMYFUNCTION("GOOGLETRANSLATE(A48,""zh-tw"",""KO"")"),"타로 - 별")</f>
        <v>타로 - 별</v>
      </c>
      <c r="L48" s="177" t="s">
        <v>9842</v>
      </c>
      <c r="M48" s="415" t="s">
        <v>9843</v>
      </c>
      <c r="N48" s="210" t="s">
        <v>9844</v>
      </c>
      <c r="O48" s="411" t="s">
        <v>9845</v>
      </c>
      <c r="P48" s="177" t="s">
        <v>9846</v>
      </c>
      <c r="Q48" s="447" t="s">
        <v>9847</v>
      </c>
      <c r="R48" s="446" t="s">
        <v>9848</v>
      </c>
      <c r="S48" s="415" t="s">
        <v>9849</v>
      </c>
      <c r="T48" s="177" t="s">
        <v>9850</v>
      </c>
      <c r="U48" s="411" t="s">
        <v>9851</v>
      </c>
      <c r="V48" s="177" t="s">
        <v>9852</v>
      </c>
      <c r="W48" s="411"/>
      <c r="X48" s="177"/>
      <c r="Y48" s="8"/>
      <c r="Z48" s="8"/>
      <c r="AA48" s="8"/>
      <c r="AB48" s="8"/>
      <c r="AC48" s="8"/>
      <c r="AD48" s="8"/>
      <c r="AE48" s="8"/>
      <c r="AF48" s="8"/>
      <c r="AG48" s="8"/>
      <c r="AH48" s="8"/>
      <c r="AI48" s="8"/>
      <c r="AJ48" s="8"/>
      <c r="AK48" s="8"/>
      <c r="AL48" s="8"/>
      <c r="AM48" s="8"/>
      <c r="AN48" s="8"/>
      <c r="AO48" s="8"/>
      <c r="AP48" s="8"/>
      <c r="AQ48" s="8"/>
      <c r="AR48" s="8"/>
      <c r="AS48" s="8"/>
      <c r="AT48" s="8"/>
    </row>
    <row r="49">
      <c r="A49" s="411" t="s">
        <v>9853</v>
      </c>
      <c r="B49" s="177" t="s">
        <v>9854</v>
      </c>
      <c r="C49" s="411" t="s">
        <v>9855</v>
      </c>
      <c r="D49" s="210" t="str">
        <f>IFERROR(__xludf.DUMMYFUNCTION("GOOGLETRANSLATE(B49,""zh-tw"",""ja"")"),"一定期間内であれば、一度だけ復活できます。")</f>
        <v>一定期間内であれば、一度だけ復活できます。</v>
      </c>
      <c r="E49" s="411" t="s">
        <v>9856</v>
      </c>
      <c r="F49" s="177" t="s">
        <v>9857</v>
      </c>
      <c r="G49" s="411" t="str">
        <f>IFERROR(__xludf.DUMMYFUNCTION("GOOGLETRANSLATE(A49,""zh-tw"",""zh"")"),"塔罗牌-日")</f>
        <v>塔罗牌-日</v>
      </c>
      <c r="H49" s="177" t="str">
        <f>IFERROR(__xludf.DUMMYFUNCTION("GOOGLETRANSLATE(B49,""zh-tw"",""zh"")"),"一定时间内，可复活一次")</f>
        <v>一定时间内，可复活一次</v>
      </c>
      <c r="I49" s="415" t="str">
        <f>IFERROR(__xludf.DUMMYFUNCTION("GOOGLETRANSLATE(A49,""zh-tw"",""es-MX"")"),"Tarot - Sol")</f>
        <v>Tarot - Sol</v>
      </c>
      <c r="J49" s="177" t="s">
        <v>9858</v>
      </c>
      <c r="K49" s="450" t="s">
        <v>9859</v>
      </c>
      <c r="L49" s="177" t="s">
        <v>9860</v>
      </c>
      <c r="M49" s="415" t="s">
        <v>9861</v>
      </c>
      <c r="N49" s="210" t="s">
        <v>9862</v>
      </c>
      <c r="O49" s="411" t="s">
        <v>9863</v>
      </c>
      <c r="P49" s="177" t="s">
        <v>9864</v>
      </c>
      <c r="Q49" s="447" t="s">
        <v>9865</v>
      </c>
      <c r="R49" s="446" t="s">
        <v>9866</v>
      </c>
      <c r="S49" s="415" t="s">
        <v>9867</v>
      </c>
      <c r="T49" s="210" t="s">
        <v>9868</v>
      </c>
      <c r="U49" s="411" t="s">
        <v>9869</v>
      </c>
      <c r="V49" s="177" t="s">
        <v>9870</v>
      </c>
      <c r="W49" s="411"/>
      <c r="X49" s="177"/>
      <c r="Y49" s="8"/>
      <c r="Z49" s="8"/>
      <c r="AA49" s="8"/>
      <c r="AB49" s="8"/>
      <c r="AC49" s="8"/>
      <c r="AD49" s="8"/>
      <c r="AE49" s="8"/>
      <c r="AF49" s="8"/>
      <c r="AG49" s="8"/>
      <c r="AH49" s="8"/>
      <c r="AI49" s="8"/>
      <c r="AJ49" s="8"/>
      <c r="AK49" s="8"/>
      <c r="AL49" s="8"/>
      <c r="AM49" s="8"/>
      <c r="AN49" s="8"/>
      <c r="AO49" s="8"/>
      <c r="AP49" s="8"/>
      <c r="AQ49" s="8"/>
      <c r="AR49" s="8"/>
      <c r="AS49" s="8"/>
      <c r="AT49" s="8"/>
    </row>
    <row r="50">
      <c r="A50" s="411" t="s">
        <v>9871</v>
      </c>
      <c r="B50" s="177" t="s">
        <v>9872</v>
      </c>
      <c r="C50" s="411" t="s">
        <v>9873</v>
      </c>
      <c r="D50" s="177" t="s">
        <v>9874</v>
      </c>
      <c r="E50" s="411" t="s">
        <v>9875</v>
      </c>
      <c r="F50" s="177" t="s">
        <v>9876</v>
      </c>
      <c r="G50" s="411" t="str">
        <f>IFERROR(__xludf.DUMMYFUNCTION("GOOGLETRANSLATE(A50,""zh-tw"",""zh"")"),"塔罗牌-世界")</f>
        <v>塔罗牌-世界</v>
      </c>
      <c r="H50" s="177" t="str">
        <f>IFERROR(__xludf.DUMMYFUNCTION("GOOGLETRANSLATE(B50,""zh-tw"",""zh"")"),"重制场地")</f>
        <v>重制场地</v>
      </c>
      <c r="I50" s="415" t="str">
        <f>IFERROR(__xludf.DUMMYFUNCTION("GOOGLETRANSLATE(A50,""zh-tw"",""es-MX"")"),"Tarot - El Mundo")</f>
        <v>Tarot - El Mundo</v>
      </c>
      <c r="J50" s="177" t="s">
        <v>9877</v>
      </c>
      <c r="K50" s="415" t="str">
        <f>IFERROR(__xludf.DUMMYFUNCTION("GOOGLETRANSLATE(A50,""zh-tw"",""KO"")"),"타로 - 세계")</f>
        <v>타로 - 세계</v>
      </c>
      <c r="L50" s="177" t="s">
        <v>9878</v>
      </c>
      <c r="M50" s="415" t="s">
        <v>9879</v>
      </c>
      <c r="N50" s="210" t="s">
        <v>9880</v>
      </c>
      <c r="O50" s="411" t="s">
        <v>9881</v>
      </c>
      <c r="P50" s="177" t="s">
        <v>9882</v>
      </c>
      <c r="Q50" s="447" t="s">
        <v>9883</v>
      </c>
      <c r="R50" s="446" t="s">
        <v>9884</v>
      </c>
      <c r="S50" s="415" t="s">
        <v>9885</v>
      </c>
      <c r="T50" s="210" t="s">
        <v>9886</v>
      </c>
      <c r="U50" s="411" t="s">
        <v>9887</v>
      </c>
      <c r="V50" s="177" t="s">
        <v>9888</v>
      </c>
      <c r="W50" s="411"/>
      <c r="X50" s="177"/>
      <c r="Y50" s="8"/>
      <c r="Z50" s="8"/>
      <c r="AA50" s="8"/>
      <c r="AB50" s="8"/>
      <c r="AC50" s="8"/>
      <c r="AD50" s="8"/>
      <c r="AE50" s="8"/>
      <c r="AF50" s="8"/>
      <c r="AG50" s="8"/>
      <c r="AH50" s="8"/>
      <c r="AI50" s="8"/>
      <c r="AJ50" s="8"/>
      <c r="AK50" s="8"/>
      <c r="AL50" s="8"/>
      <c r="AM50" s="8"/>
      <c r="AN50" s="8"/>
      <c r="AO50" s="8"/>
      <c r="AP50" s="8"/>
      <c r="AQ50" s="8"/>
      <c r="AR50" s="8"/>
      <c r="AS50" s="8"/>
      <c r="AT50" s="8"/>
    </row>
    <row r="51">
      <c r="A51" s="411" t="s">
        <v>9889</v>
      </c>
      <c r="B51" s="177" t="s">
        <v>9890</v>
      </c>
      <c r="C51" s="411" t="s">
        <v>9891</v>
      </c>
      <c r="D51" s="177" t="s">
        <v>9892</v>
      </c>
      <c r="E51" s="411" t="s">
        <v>9893</v>
      </c>
      <c r="F51" s="177" t="s">
        <v>9894</v>
      </c>
      <c r="G51" s="411" t="str">
        <f>IFERROR(__xludf.DUMMYFUNCTION("GOOGLETRANSLATE(A51,""zh-tw"",""zh"")"),"卢恩符文Ansuz")</f>
        <v>卢恩符文Ansuz</v>
      </c>
      <c r="H51" s="177" t="s">
        <v>9895</v>
      </c>
      <c r="I51" s="415" t="str">
        <f>IFERROR(__xludf.DUMMYFUNCTION("GOOGLETRANSLATE(A51,""zh-tw"",""es-MX"")"),"Runa Ansuz")</f>
        <v>Runa Ansuz</v>
      </c>
      <c r="J51" s="177" t="s">
        <v>9896</v>
      </c>
      <c r="K51" s="411" t="s">
        <v>9897</v>
      </c>
      <c r="L51" s="177" t="s">
        <v>9898</v>
      </c>
      <c r="M51" s="415" t="s">
        <v>9899</v>
      </c>
      <c r="N51" s="210" t="s">
        <v>9900</v>
      </c>
      <c r="O51" s="411" t="s">
        <v>9901</v>
      </c>
      <c r="P51" s="177" t="s">
        <v>9902</v>
      </c>
      <c r="Q51" s="447" t="s">
        <v>9903</v>
      </c>
      <c r="R51" s="446" t="s">
        <v>9904</v>
      </c>
      <c r="S51" s="411" t="s">
        <v>9905</v>
      </c>
      <c r="T51" s="210" t="s">
        <v>9906</v>
      </c>
      <c r="U51" s="411" t="s">
        <v>9893</v>
      </c>
      <c r="V51" s="177" t="s">
        <v>9907</v>
      </c>
      <c r="W51" s="411"/>
      <c r="X51" s="177"/>
      <c r="Y51" s="8"/>
      <c r="Z51" s="8"/>
      <c r="AA51" s="8"/>
      <c r="AB51" s="8"/>
      <c r="AC51" s="8"/>
      <c r="AD51" s="8"/>
      <c r="AE51" s="8"/>
      <c r="AF51" s="8"/>
      <c r="AG51" s="8"/>
      <c r="AH51" s="8"/>
      <c r="AI51" s="8"/>
      <c r="AJ51" s="8"/>
      <c r="AK51" s="8"/>
      <c r="AL51" s="8"/>
      <c r="AM51" s="8"/>
      <c r="AN51" s="8"/>
      <c r="AO51" s="8"/>
      <c r="AP51" s="8"/>
      <c r="AQ51" s="8"/>
      <c r="AR51" s="8"/>
      <c r="AS51" s="8"/>
      <c r="AT51" s="8"/>
    </row>
    <row r="52">
      <c r="A52" s="411" t="s">
        <v>9908</v>
      </c>
      <c r="B52" s="177" t="s">
        <v>9909</v>
      </c>
      <c r="C52" s="411" t="s">
        <v>9910</v>
      </c>
      <c r="D52" s="177" t="s">
        <v>9911</v>
      </c>
      <c r="E52" s="411" t="s">
        <v>9912</v>
      </c>
      <c r="F52" s="177" t="s">
        <v>9913</v>
      </c>
      <c r="G52" s="411" t="str">
        <f>IFERROR(__xludf.DUMMYFUNCTION("GOOGLETRANSLATE(A52,""zh-tw"",""zh"")"),"卢恩符文Raido")</f>
        <v>卢恩符文Raido</v>
      </c>
      <c r="H52" s="177" t="str">
        <f>IFERROR(__xludf.DUMMYFUNCTION("GOOGLETRANSLATE(B52,""zh-tw"",""zh"")"),"投掷后，滑鼠点选R的位置进行交换")</f>
        <v>投掷后，滑鼠点选R的位置进行交换</v>
      </c>
      <c r="I52" s="415" t="str">
        <f>IFERROR(__xludf.DUMMYFUNCTION("GOOGLETRANSLATE(A52,""zh-tw"",""es-MX"")"),"Runa Raido")</f>
        <v>Runa Raido</v>
      </c>
      <c r="J52" s="177" t="s">
        <v>9914</v>
      </c>
      <c r="K52" s="411" t="s">
        <v>9915</v>
      </c>
      <c r="L52" s="177" t="s">
        <v>9916</v>
      </c>
      <c r="M52" s="415" t="s">
        <v>9917</v>
      </c>
      <c r="N52" s="210" t="s">
        <v>9918</v>
      </c>
      <c r="O52" s="411" t="s">
        <v>9919</v>
      </c>
      <c r="P52" s="177" t="s">
        <v>9920</v>
      </c>
      <c r="Q52" s="447" t="s">
        <v>9921</v>
      </c>
      <c r="R52" s="446" t="s">
        <v>9922</v>
      </c>
      <c r="S52" s="411" t="s">
        <v>9923</v>
      </c>
      <c r="T52" s="210" t="s">
        <v>9924</v>
      </c>
      <c r="U52" s="411" t="s">
        <v>9912</v>
      </c>
      <c r="V52" s="177" t="s">
        <v>9925</v>
      </c>
      <c r="W52" s="411"/>
      <c r="X52" s="177"/>
      <c r="Y52" s="8"/>
      <c r="Z52" s="8"/>
      <c r="AA52" s="8"/>
      <c r="AB52" s="8"/>
      <c r="AC52" s="8"/>
      <c r="AD52" s="8"/>
      <c r="AE52" s="8"/>
      <c r="AF52" s="8"/>
      <c r="AG52" s="8"/>
      <c r="AH52" s="8"/>
      <c r="AI52" s="8"/>
      <c r="AJ52" s="8"/>
      <c r="AK52" s="8"/>
      <c r="AL52" s="8"/>
      <c r="AM52" s="8"/>
      <c r="AN52" s="8"/>
      <c r="AO52" s="8"/>
      <c r="AP52" s="8"/>
      <c r="AQ52" s="8"/>
      <c r="AR52" s="8"/>
      <c r="AS52" s="8"/>
      <c r="AT52" s="8"/>
    </row>
    <row r="53">
      <c r="A53" s="416" t="s">
        <v>9926</v>
      </c>
      <c r="B53" s="210" t="s">
        <v>9927</v>
      </c>
      <c r="C53" s="415" t="s">
        <v>9928</v>
      </c>
      <c r="D53" s="210" t="s">
        <v>9929</v>
      </c>
      <c r="E53" s="415" t="s">
        <v>9930</v>
      </c>
      <c r="F53" s="210" t="s">
        <v>9931</v>
      </c>
      <c r="G53" s="411" t="str">
        <f>IFERROR(__xludf.DUMMYFUNCTION("GOOGLETRANSLATE(A53,""zh-tw"",""zh"")"),"卢恩符文Kenaz")</f>
        <v>卢恩符文Kenaz</v>
      </c>
      <c r="H53" s="177" t="str">
        <f>IFERROR(__xludf.DUMMYFUNCTION("GOOGLETRANSLATE(B53,""zh-tw"",""zh"")"),"将目标变为炸弹
依照对方体型，影响爆炸范围")</f>
        <v>将目标变为炸弹
依照对方体型，影响爆炸范围</v>
      </c>
      <c r="I53" s="415" t="str">
        <f>IFERROR(__xludf.DUMMYFUNCTION("GOOGLETRANSLATE(A53,""zh-tw"",""es-MX"")"),"Runa Kenaz")</f>
        <v>Runa Kenaz</v>
      </c>
      <c r="J53" s="177" t="s">
        <v>9932</v>
      </c>
      <c r="K53" s="415" t="str">
        <f>IFERROR(__xludf.DUMMYFUNCTION("GOOGLETRANSLATE(A53,""zh-tw"",""KO"")"),"룬 케나즈")</f>
        <v>룬 케나즈</v>
      </c>
      <c r="L53" s="210" t="str">
        <f>IFERROR(__xludf.DUMMYFUNCTION("GOOGLETRANSLATE(B53,""zh-tw"",""KO"")"),"목표물을 폭탄으로 바꾸세요. 목표물의 크기에 따라 폭발 반경을 조절하세요.")</f>
        <v>목표물을 폭탄으로 바꾸세요. 목표물의 크기에 따라 폭발 반경을 조절하세요.</v>
      </c>
      <c r="M53" s="415" t="s">
        <v>9933</v>
      </c>
      <c r="N53" s="210" t="s">
        <v>9934</v>
      </c>
      <c r="O53" s="415" t="s">
        <v>9930</v>
      </c>
      <c r="P53" s="210" t="s">
        <v>9931</v>
      </c>
      <c r="Q53" s="447" t="s">
        <v>9935</v>
      </c>
      <c r="R53" s="221" t="s">
        <v>9936</v>
      </c>
      <c r="S53" s="411" t="s">
        <v>9937</v>
      </c>
      <c r="T53" s="177" t="s">
        <v>9938</v>
      </c>
      <c r="U53" s="411" t="s">
        <v>9930</v>
      </c>
      <c r="V53" s="177" t="s">
        <v>9939</v>
      </c>
      <c r="W53" s="411"/>
      <c r="X53" s="177"/>
      <c r="Y53" s="8"/>
      <c r="Z53" s="8"/>
      <c r="AA53" s="8"/>
      <c r="AB53" s="8"/>
      <c r="AC53" s="8"/>
      <c r="AD53" s="8"/>
      <c r="AE53" s="8"/>
      <c r="AF53" s="8"/>
      <c r="AG53" s="8"/>
      <c r="AH53" s="8"/>
      <c r="AI53" s="8"/>
      <c r="AJ53" s="8"/>
      <c r="AK53" s="8"/>
      <c r="AL53" s="8"/>
      <c r="AM53" s="8"/>
      <c r="AN53" s="8"/>
      <c r="AO53" s="8"/>
      <c r="AP53" s="8"/>
      <c r="AQ53" s="8"/>
      <c r="AR53" s="8"/>
      <c r="AS53" s="8"/>
      <c r="AT53" s="8"/>
    </row>
    <row r="54">
      <c r="A54" s="411" t="s">
        <v>9940</v>
      </c>
      <c r="B54" s="177" t="s">
        <v>9941</v>
      </c>
      <c r="C54" s="411" t="s">
        <v>9942</v>
      </c>
      <c r="D54" s="177" t="s">
        <v>9943</v>
      </c>
      <c r="E54" s="411" t="s">
        <v>9944</v>
      </c>
      <c r="F54" s="177" t="s">
        <v>9945</v>
      </c>
      <c r="G54" s="411" t="str">
        <f>IFERROR(__xludf.DUMMYFUNCTION("GOOGLETRANSLATE(A54,""zh-tw"",""zh"")"),"卢恩符文Ehwaz")</f>
        <v>卢恩符文Ehwaz</v>
      </c>
      <c r="H54" s="177" t="str">
        <f>IFERROR(__xludf.DUMMYFUNCTION("GOOGLETRANSLATE(B54,""zh-tw"",""zh"")"),"投掷后与目标进行位置交换")</f>
        <v>投掷后与目标进行位置交换</v>
      </c>
      <c r="I54" s="415" t="str">
        <f>IFERROR(__xludf.DUMMYFUNCTION("GOOGLETRANSLATE(A54,""zh-tw"",""es-MX"")"),"Runa Ehwaz")</f>
        <v>Runa Ehwaz</v>
      </c>
      <c r="J54" s="177" t="s">
        <v>9946</v>
      </c>
      <c r="K54" s="411" t="s">
        <v>9947</v>
      </c>
      <c r="L54" s="177" t="s">
        <v>9948</v>
      </c>
      <c r="M54" s="415" t="s">
        <v>9949</v>
      </c>
      <c r="N54" s="210" t="s">
        <v>9950</v>
      </c>
      <c r="O54" s="411" t="s">
        <v>9951</v>
      </c>
      <c r="P54" s="177" t="s">
        <v>9952</v>
      </c>
      <c r="Q54" s="447" t="s">
        <v>9953</v>
      </c>
      <c r="R54" s="446" t="s">
        <v>9954</v>
      </c>
      <c r="S54" s="411" t="s">
        <v>9955</v>
      </c>
      <c r="T54" s="210" t="s">
        <v>9956</v>
      </c>
      <c r="U54" s="411" t="s">
        <v>9944</v>
      </c>
      <c r="V54" s="177" t="s">
        <v>9957</v>
      </c>
      <c r="W54" s="411"/>
      <c r="X54" s="177"/>
      <c r="Y54" s="8"/>
      <c r="Z54" s="8"/>
      <c r="AA54" s="8"/>
      <c r="AB54" s="8"/>
      <c r="AC54" s="8"/>
      <c r="AD54" s="8"/>
      <c r="AE54" s="8"/>
      <c r="AF54" s="8"/>
      <c r="AG54" s="8"/>
      <c r="AH54" s="8"/>
      <c r="AI54" s="8"/>
      <c r="AJ54" s="8"/>
      <c r="AK54" s="8"/>
      <c r="AL54" s="8"/>
      <c r="AM54" s="8"/>
      <c r="AN54" s="8"/>
      <c r="AO54" s="8"/>
      <c r="AP54" s="8"/>
      <c r="AQ54" s="8"/>
      <c r="AR54" s="8"/>
      <c r="AS54" s="8"/>
      <c r="AT54" s="8"/>
    </row>
    <row r="55">
      <c r="A55" s="411" t="s">
        <v>9958</v>
      </c>
      <c r="B55" s="177" t="s">
        <v>9959</v>
      </c>
      <c r="C55" s="411" t="s">
        <v>9960</v>
      </c>
      <c r="D55" s="177" t="s">
        <v>9961</v>
      </c>
      <c r="E55" s="411" t="s">
        <v>9962</v>
      </c>
      <c r="F55" s="177" t="s">
        <v>9963</v>
      </c>
      <c r="G55" s="411" t="str">
        <f>IFERROR(__xludf.DUMMYFUNCTION("GOOGLETRANSLATE(A55,""zh-tw"",""zh"")"),"百合同人本")</f>
        <v>百合同人本</v>
      </c>
      <c r="H55" s="177" t="str">
        <f>IFERROR(__xludf.DUMMYFUNCTION("GOOGLETRANSLATE(B55,""zh-tw"",""zh"")"),"提升性欲
(战车商店贩售)")</f>
        <v>提升性欲
(战车商店贩售)</v>
      </c>
      <c r="I55" s="411" t="s">
        <v>9964</v>
      </c>
      <c r="J55" s="177" t="s">
        <v>9965</v>
      </c>
      <c r="K55" s="415" t="str">
        <f>IFERROR(__xludf.DUMMYFUNCTION("GOOGLETRANSLATE(A55,""zh-tw"",""KO"")"),"바이헤헤헤헤헤")</f>
        <v>바이헤헤헤헤헤</v>
      </c>
      <c r="L55" s="177" t="s">
        <v>9470</v>
      </c>
      <c r="M55" s="415" t="s">
        <v>9966</v>
      </c>
      <c r="N55" s="166" t="s">
        <v>9967</v>
      </c>
      <c r="O55" s="411" t="s">
        <v>9473</v>
      </c>
      <c r="P55" s="177" t="s">
        <v>9474</v>
      </c>
      <c r="Q55" s="445" t="s">
        <v>9968</v>
      </c>
      <c r="R55" s="223" t="s">
        <v>9969</v>
      </c>
      <c r="S55" s="415" t="s">
        <v>9968</v>
      </c>
      <c r="T55" s="177" t="s">
        <v>9970</v>
      </c>
      <c r="U55" s="411" t="s">
        <v>9962</v>
      </c>
      <c r="V55" s="177" t="s">
        <v>9971</v>
      </c>
      <c r="W55" s="411"/>
      <c r="X55" s="177"/>
      <c r="Y55" s="8"/>
      <c r="Z55" s="8"/>
      <c r="AA55" s="8"/>
      <c r="AB55" s="8"/>
      <c r="AC55" s="8"/>
      <c r="AD55" s="8"/>
      <c r="AE55" s="8"/>
      <c r="AF55" s="8"/>
      <c r="AG55" s="8"/>
      <c r="AH55" s="8"/>
      <c r="AI55" s="8"/>
      <c r="AJ55" s="8"/>
      <c r="AK55" s="8"/>
      <c r="AL55" s="8"/>
      <c r="AM55" s="8"/>
      <c r="AN55" s="8"/>
      <c r="AO55" s="8"/>
      <c r="AP55" s="8"/>
      <c r="AQ55" s="8"/>
      <c r="AR55" s="8"/>
      <c r="AS55" s="8"/>
      <c r="AT55" s="8"/>
    </row>
    <row r="56">
      <c r="A56" s="411" t="s">
        <v>9972</v>
      </c>
      <c r="B56" s="177" t="s">
        <v>9959</v>
      </c>
      <c r="C56" s="411" t="s">
        <v>9973</v>
      </c>
      <c r="D56" s="177" t="s">
        <v>9974</v>
      </c>
      <c r="E56" s="411" t="s">
        <v>9975</v>
      </c>
      <c r="F56" s="177" t="s">
        <v>9963</v>
      </c>
      <c r="G56" s="411" t="str">
        <f>IFERROR(__xludf.DUMMYFUNCTION("GOOGLETRANSLATE(A56,""zh-tw"",""zh"")"),"萌萌同人本")</f>
        <v>萌萌同人本</v>
      </c>
      <c r="H56" s="177" t="str">
        <f>IFERROR(__xludf.DUMMYFUNCTION("GOOGLETRANSLATE(B56,""zh-tw"",""zh"")"),"提升性欲
(战车商店贩售)")</f>
        <v>提升性欲
(战车商店贩售)</v>
      </c>
      <c r="I56" s="411" t="s">
        <v>9976</v>
      </c>
      <c r="J56" s="177" t="s">
        <v>9965</v>
      </c>
      <c r="K56" s="412" t="s">
        <v>9437</v>
      </c>
      <c r="L56" s="210" t="str">
        <f>IFERROR(__xludf.DUMMYFUNCTION("GOOGLETRANSLATE(B56,""zh-tw"",""KO"")"),"성욕을 증진시켜 줍니다
(탱크샵에서 구입 가능)")</f>
        <v>성욕을 증진시켜 줍니다
(탱크샵에서 구입 가능)</v>
      </c>
      <c r="M56" s="415" t="s">
        <v>9977</v>
      </c>
      <c r="N56" s="166" t="s">
        <v>9967</v>
      </c>
      <c r="O56" s="411" t="s">
        <v>9440</v>
      </c>
      <c r="P56" s="177" t="s">
        <v>9441</v>
      </c>
      <c r="Q56" s="445" t="s">
        <v>9978</v>
      </c>
      <c r="R56" s="223" t="s">
        <v>9969</v>
      </c>
      <c r="S56" s="415" t="s">
        <v>9978</v>
      </c>
      <c r="T56" s="177" t="s">
        <v>9970</v>
      </c>
      <c r="U56" s="411" t="s">
        <v>9975</v>
      </c>
      <c r="V56" s="177" t="s">
        <v>9971</v>
      </c>
      <c r="W56" s="411"/>
      <c r="X56" s="177"/>
      <c r="Y56" s="8"/>
      <c r="Z56" s="8"/>
      <c r="AA56" s="8"/>
      <c r="AB56" s="8"/>
      <c r="AC56" s="8"/>
      <c r="AD56" s="8"/>
      <c r="AE56" s="8"/>
      <c r="AF56" s="8"/>
      <c r="AG56" s="8"/>
      <c r="AH56" s="8"/>
      <c r="AI56" s="8"/>
      <c r="AJ56" s="8"/>
      <c r="AK56" s="8"/>
      <c r="AL56" s="8"/>
      <c r="AM56" s="8"/>
      <c r="AN56" s="8"/>
      <c r="AO56" s="8"/>
      <c r="AP56" s="8"/>
      <c r="AQ56" s="8"/>
      <c r="AR56" s="8"/>
      <c r="AS56" s="8"/>
      <c r="AT56" s="8"/>
    </row>
    <row r="57">
      <c r="A57" s="435" t="s">
        <v>9979</v>
      </c>
      <c r="B57" s="177" t="s">
        <v>9959</v>
      </c>
      <c r="C57" s="411" t="s">
        <v>9464</v>
      </c>
      <c r="D57" s="177" t="s">
        <v>9974</v>
      </c>
      <c r="E57" s="411" t="s">
        <v>9980</v>
      </c>
      <c r="F57" s="177" t="s">
        <v>9963</v>
      </c>
      <c r="G57" s="411" t="str">
        <f>IFERROR(__xludf.DUMMYFUNCTION("GOOGLETRANSLATE(A57,""zh-tw"",""zh"")"),"猫娘同人本")</f>
        <v>猫娘同人本</v>
      </c>
      <c r="H57" s="177" t="str">
        <f>IFERROR(__xludf.DUMMYFUNCTION("GOOGLETRANSLATE(B57,""zh-tw"",""zh"")"),"提升性欲
(战车商店贩售)")</f>
        <v>提升性欲
(战车商店贩售)</v>
      </c>
      <c r="I57" s="411" t="s">
        <v>9976</v>
      </c>
      <c r="J57" s="177" t="s">
        <v>9965</v>
      </c>
      <c r="K57" s="412" t="s">
        <v>9437</v>
      </c>
      <c r="L57" s="210" t="str">
        <f>IFERROR(__xludf.DUMMYFUNCTION("GOOGLETRANSLATE(B57,""zh-tw"",""KO"")"),"성욕을 증진시켜 줍니다
(탱크샵에서 구입 가능)")</f>
        <v>성욕을 증진시켜 줍니다
(탱크샵에서 구입 가능)</v>
      </c>
      <c r="M57" s="411" t="s">
        <v>9981</v>
      </c>
      <c r="N57" s="166" t="s">
        <v>9967</v>
      </c>
      <c r="O57" s="411" t="s">
        <v>9440</v>
      </c>
      <c r="P57" s="177" t="s">
        <v>9441</v>
      </c>
      <c r="Q57" s="447" t="s">
        <v>9982</v>
      </c>
      <c r="R57" s="223" t="s">
        <v>9969</v>
      </c>
      <c r="S57" s="411" t="s">
        <v>9983</v>
      </c>
      <c r="T57" s="177" t="s">
        <v>9970</v>
      </c>
      <c r="U57" s="411" t="s">
        <v>9975</v>
      </c>
      <c r="V57" s="177" t="s">
        <v>9971</v>
      </c>
      <c r="W57" s="411"/>
      <c r="X57" s="177"/>
      <c r="Y57" s="8"/>
      <c r="Z57" s="8"/>
      <c r="AA57" s="8"/>
      <c r="AB57" s="8"/>
      <c r="AC57" s="8"/>
      <c r="AD57" s="8"/>
      <c r="AE57" s="8"/>
      <c r="AF57" s="8"/>
      <c r="AG57" s="8"/>
      <c r="AH57" s="8"/>
      <c r="AI57" s="8"/>
      <c r="AJ57" s="8"/>
      <c r="AK57" s="8"/>
      <c r="AL57" s="8"/>
      <c r="AM57" s="8"/>
      <c r="AN57" s="8"/>
      <c r="AO57" s="8"/>
      <c r="AP57" s="8"/>
      <c r="AQ57" s="8"/>
      <c r="AR57" s="8"/>
      <c r="AS57" s="8"/>
      <c r="AT57" s="8"/>
    </row>
    <row r="58">
      <c r="A58" s="411" t="s">
        <v>9984</v>
      </c>
      <c r="B58" s="177" t="s">
        <v>9296</v>
      </c>
      <c r="C58" s="411" t="str">
        <f>IFERROR(__xludf.DUMMYFUNCTION("GOOGLETRANSLATE(A58,""zh-tw"",""ja"")"),"ポラロイド 24～29")</f>
        <v>ポラロイド 24～29</v>
      </c>
      <c r="D58" s="177" t="s">
        <v>9297</v>
      </c>
      <c r="E58" s="411" t="s">
        <v>9985</v>
      </c>
      <c r="F58" s="177" t="s">
        <v>9299</v>
      </c>
      <c r="G58" s="411" t="str">
        <f>IFERROR(__xludf.DUMMYFUNCTION("GOOGLETRANSLATE(A58,""zh-tw"",""zh"")"),"拍立得24~29")</f>
        <v>拍立得24~29</v>
      </c>
      <c r="H58" s="177" t="str">
        <f>IFERROR(__xludf.DUMMYFUNCTION("GOOGLETRANSLATE(B58,""zh-tw"",""zh"")"),"查看优质照片")</f>
        <v>查看优质照片</v>
      </c>
      <c r="I58" s="415" t="str">
        <f>IFERROR(__xludf.DUMMYFUNCTION("GOOGLETRANSLATE(A58,""zh-tw"",""es-MX"")"),"Polaroid 24~29")</f>
        <v>Polaroid 24~29</v>
      </c>
      <c r="J58" s="177" t="s">
        <v>9300</v>
      </c>
      <c r="K58" s="415" t="str">
        <f>IFERROR(__xludf.DUMMYFUNCTION("GOOGLETRANSLATE(A58,""zh-tw"",""KO"")"),"폴라로이드 24~29")</f>
        <v>폴라로이드 24~29</v>
      </c>
      <c r="L58" s="210" t="str">
        <f>IFERROR(__xludf.DUMMYFUNCTION("GOOGLETRANSLATE(B58,""zh-tw"",""KO"")"),"고화질 사진을 보세요")</f>
        <v>고화질 사진을 보세요</v>
      </c>
      <c r="M58" s="411" t="s">
        <v>9986</v>
      </c>
      <c r="N58" s="210" t="s">
        <v>9302</v>
      </c>
      <c r="O58" s="411" t="s">
        <v>9987</v>
      </c>
      <c r="P58" s="177" t="s">
        <v>9304</v>
      </c>
      <c r="Q58" s="447" t="s">
        <v>9988</v>
      </c>
      <c r="R58" s="446" t="s">
        <v>9305</v>
      </c>
      <c r="S58" s="411" t="s">
        <v>9988</v>
      </c>
      <c r="T58" s="210" t="s">
        <v>9306</v>
      </c>
      <c r="U58" s="411" t="s">
        <v>9988</v>
      </c>
      <c r="V58" s="177" t="s">
        <v>9307</v>
      </c>
      <c r="W58" s="411"/>
      <c r="X58" s="177"/>
      <c r="Y58" s="8"/>
      <c r="Z58" s="8"/>
      <c r="AA58" s="8"/>
      <c r="AB58" s="8"/>
      <c r="AC58" s="8"/>
      <c r="AD58" s="8"/>
      <c r="AE58" s="8"/>
      <c r="AF58" s="8"/>
      <c r="AG58" s="8"/>
      <c r="AH58" s="8"/>
      <c r="AI58" s="8"/>
      <c r="AJ58" s="8"/>
      <c r="AK58" s="8"/>
      <c r="AL58" s="8"/>
      <c r="AM58" s="8"/>
      <c r="AN58" s="8"/>
      <c r="AO58" s="8"/>
      <c r="AP58" s="8"/>
      <c r="AQ58" s="8"/>
      <c r="AR58" s="8"/>
      <c r="AS58" s="8"/>
      <c r="AT58" s="8"/>
    </row>
    <row r="59">
      <c r="A59" s="416" t="s">
        <v>9989</v>
      </c>
      <c r="B59" s="210" t="s">
        <v>9990</v>
      </c>
      <c r="C59" s="411" t="s">
        <v>9991</v>
      </c>
      <c r="D59" s="177" t="s">
        <v>9992</v>
      </c>
      <c r="E59" s="415" t="s">
        <v>9993</v>
      </c>
      <c r="F59" s="210" t="s">
        <v>9994</v>
      </c>
      <c r="G59" s="411" t="str">
        <f>IFERROR(__xludf.DUMMYFUNCTION("GOOGLETRANSLATE(A59,""zh-tw"",""zh"")"),"茶点心券")</f>
        <v>茶点心券</v>
      </c>
      <c r="H59" s="177" t="str">
        <f>IFERROR(__xludf.DUMMYFUNCTION("GOOGLETRANSLATE(B59,""zh-tw"",""zh"")"),"于扭蛋机取得
可于下次使用时必定获得金色扭蛋
(当使用扭蛋机爆炸时，额外的数值越多，越容易获得""茶点心券"")")</f>
        <v>于扭蛋机取得
可于下次使用时必定获得金色扭蛋
(当使用扭蛋机爆炸时，额外的数值越多，越容易获得"茶点心券")</v>
      </c>
      <c r="I59" s="411" t="s">
        <v>9995</v>
      </c>
      <c r="J59" s="177" t="s">
        <v>9996</v>
      </c>
      <c r="K59" s="415" t="str">
        <f>IFERROR(__xludf.DUMMYFUNCTION("GOOGLETRANSLATE(A59,""zh-tw"",""KO"")"),"차와 간식 쿠폰")</f>
        <v>차와 간식 쿠폰</v>
      </c>
      <c r="L59" s="210" t="str">
        <f>IFERROR(__xludf.DUMMYFUNCTION("GOOGLETRANSLATE(B59,""zh-tw"",""KO"")"),"가샤폰 기계에서 획득할 수 있습니다.
다음 사용 시 금색 가샤폰이 확정적으로 나옵니다.
(가샤폰 기계가 터질 때 보너스 포인트를 많이 획득할수록 ""차와 간식 티켓""을 얻을 확률이 높아집니다.)")</f>
        <v>가샤폰 기계에서 획득할 수 있습니다.
다음 사용 시 금색 가샤폰이 확정적으로 나옵니다.
(가샤폰 기계가 터질 때 보너스 포인트를 많이 획득할수록 "차와 간식 티켓"을 얻을 확률이 높아집니다.)</v>
      </c>
      <c r="M59" s="415" t="s">
        <v>9997</v>
      </c>
      <c r="N59" s="210" t="s">
        <v>9998</v>
      </c>
      <c r="O59" s="411" t="s">
        <v>9999</v>
      </c>
      <c r="P59" s="177" t="s">
        <v>10000</v>
      </c>
      <c r="Q59" s="445" t="s">
        <v>10001</v>
      </c>
      <c r="R59" s="223" t="s">
        <v>10002</v>
      </c>
      <c r="S59" s="415" t="s">
        <v>10003</v>
      </c>
      <c r="T59" s="210" t="s">
        <v>10004</v>
      </c>
      <c r="U59" s="411" t="s">
        <v>10005</v>
      </c>
      <c r="V59" s="177" t="s">
        <v>10006</v>
      </c>
      <c r="W59" s="411"/>
      <c r="X59" s="177"/>
      <c r="Y59" s="8"/>
      <c r="Z59" s="8"/>
      <c r="AA59" s="8"/>
      <c r="AB59" s="8"/>
      <c r="AC59" s="8"/>
      <c r="AD59" s="8"/>
      <c r="AE59" s="8"/>
      <c r="AF59" s="8"/>
      <c r="AG59" s="8"/>
      <c r="AH59" s="8"/>
      <c r="AI59" s="8"/>
      <c r="AJ59" s="8"/>
      <c r="AK59" s="8"/>
      <c r="AL59" s="8"/>
      <c r="AM59" s="8"/>
      <c r="AN59" s="8"/>
      <c r="AO59" s="8"/>
      <c r="AP59" s="8"/>
      <c r="AQ59" s="8"/>
      <c r="AR59" s="8"/>
      <c r="AS59" s="8"/>
      <c r="AT59" s="8"/>
    </row>
    <row r="60">
      <c r="A60" s="411" t="s">
        <v>10007</v>
      </c>
      <c r="B60" s="177" t="s">
        <v>10008</v>
      </c>
      <c r="C60" s="411" t="s">
        <v>10009</v>
      </c>
      <c r="D60" s="177" t="s">
        <v>10010</v>
      </c>
      <c r="E60" s="411" t="s">
        <v>10011</v>
      </c>
      <c r="F60" s="177" t="s">
        <v>10012</v>
      </c>
      <c r="G60" s="411" t="str">
        <f>IFERROR(__xludf.DUMMYFUNCTION("GOOGLETRANSLATE(A60,""zh-tw"",""zh"")"),"兔子地图")</f>
        <v>兔子地图</v>
      </c>
      <c r="H60" s="177" t="str">
        <f>IFERROR(__xludf.DUMMYFUNCTION("GOOGLETRANSLATE(B60,""zh-tw"",""zh"")"),"游戏地图(部分地区可能需要连国外网路)")</f>
        <v>游戏地图(部分地区可能需要连国外网路)</v>
      </c>
      <c r="I60" s="415" t="str">
        <f>IFERROR(__xludf.DUMMYFUNCTION("GOOGLETRANSLATE(A60,""zh-tw"",""es-MX"")"),"Mapa del conejo")</f>
        <v>Mapa del conejo</v>
      </c>
      <c r="J60" s="177" t="s">
        <v>10013</v>
      </c>
      <c r="K60" s="415" t="str">
        <f>IFERROR(__xludf.DUMMYFUNCTION("GOOGLETRANSLATE(A60,""zh-tw"",""KO"")"),"토끼 지도")</f>
        <v>토끼 지도</v>
      </c>
      <c r="L60" s="210" t="str">
        <f>IFERROR(__xludf.DUMMYFUNCTION("GOOGLETRANSLATE(B60,""zh-tw"",""KO"")"),"게임 지도 (일부 지역에서는 국제 인터넷 연결이 필요할 수 있습니다)")</f>
        <v>게임 지도 (일부 지역에서는 국제 인터넷 연결이 필요할 수 있습니다)</v>
      </c>
      <c r="M60" s="415" t="s">
        <v>10014</v>
      </c>
      <c r="N60" s="210" t="s">
        <v>10015</v>
      </c>
      <c r="O60" s="411" t="s">
        <v>10016</v>
      </c>
      <c r="P60" s="177" t="s">
        <v>10017</v>
      </c>
      <c r="Q60" s="447" t="s">
        <v>10018</v>
      </c>
      <c r="R60" s="223" t="s">
        <v>10019</v>
      </c>
      <c r="S60" s="415" t="s">
        <v>10020</v>
      </c>
      <c r="T60" s="210" t="s">
        <v>10021</v>
      </c>
      <c r="U60" s="411" t="s">
        <v>10022</v>
      </c>
      <c r="V60" s="177" t="s">
        <v>10023</v>
      </c>
      <c r="W60" s="411"/>
      <c r="X60" s="177"/>
      <c r="Y60" s="8"/>
      <c r="Z60" s="8"/>
      <c r="AA60" s="8"/>
      <c r="AB60" s="8"/>
      <c r="AC60" s="8"/>
      <c r="AD60" s="8"/>
      <c r="AE60" s="8"/>
      <c r="AF60" s="8"/>
      <c r="AG60" s="8"/>
      <c r="AH60" s="8"/>
      <c r="AI60" s="8"/>
      <c r="AJ60" s="8"/>
      <c r="AK60" s="8"/>
      <c r="AL60" s="8"/>
      <c r="AM60" s="8"/>
      <c r="AN60" s="8"/>
      <c r="AO60" s="8"/>
      <c r="AP60" s="8"/>
      <c r="AQ60" s="8"/>
      <c r="AR60" s="8"/>
      <c r="AS60" s="8"/>
      <c r="AT60" s="8"/>
    </row>
    <row r="61">
      <c r="A61" s="172" t="s">
        <v>7903</v>
      </c>
      <c r="C61" s="172" t="s">
        <v>7904</v>
      </c>
      <c r="E61" s="172" t="s">
        <v>7905</v>
      </c>
      <c r="G61" s="172" t="s">
        <v>7906</v>
      </c>
      <c r="I61" s="172"/>
      <c r="K61" s="172"/>
      <c r="M61" s="172" t="s">
        <v>7907</v>
      </c>
      <c r="O61" s="172"/>
      <c r="Q61" s="225"/>
      <c r="S61" s="172" t="s">
        <v>7909</v>
      </c>
      <c r="U61" s="172"/>
      <c r="W61" s="172"/>
      <c r="Y61" s="8"/>
      <c r="Z61" s="8"/>
      <c r="AA61" s="8"/>
      <c r="AB61" s="8"/>
      <c r="AC61" s="8"/>
      <c r="AD61" s="8"/>
      <c r="AE61" s="8"/>
      <c r="AF61" s="8"/>
      <c r="AG61" s="8"/>
      <c r="AH61" s="8"/>
      <c r="AI61" s="8"/>
      <c r="AJ61" s="8"/>
      <c r="AK61" s="8"/>
      <c r="AL61" s="8"/>
      <c r="AM61" s="8"/>
      <c r="AN61" s="8"/>
      <c r="AO61" s="8"/>
      <c r="AP61" s="8"/>
      <c r="AQ61" s="8"/>
      <c r="AR61" s="8"/>
      <c r="AS61" s="8"/>
      <c r="AT61" s="8"/>
    </row>
    <row r="62">
      <c r="A62" s="411" t="s">
        <v>10024</v>
      </c>
      <c r="B62" s="177" t="s">
        <v>10025</v>
      </c>
      <c r="C62" s="411" t="s">
        <v>10026</v>
      </c>
      <c r="D62" s="177" t="s">
        <v>10027</v>
      </c>
      <c r="E62" s="411" t="s">
        <v>10028</v>
      </c>
      <c r="F62" s="177" t="s">
        <v>10029</v>
      </c>
      <c r="G62" s="411" t="str">
        <f>IFERROR(__xludf.DUMMYFUNCTION("GOOGLETRANSLATE(A62,""zh-tw"",""zh"")"),"妹妹的任意券")</f>
        <v>妹妹的任意券</v>
      </c>
      <c r="H62" s="177" t="str">
        <f>IFERROR(__xludf.DUMMYFUNCTION("GOOGLETRANSLATE(B62,""zh-tw"",""zh"")"),"使用于SLG相关的事件")</f>
        <v>使用于SLG相关的事件</v>
      </c>
      <c r="I62" s="411" t="s">
        <v>10030</v>
      </c>
      <c r="J62" s="177" t="s">
        <v>10031</v>
      </c>
      <c r="K62" s="415" t="str">
        <f>IFERROR(__xludf.DUMMYFUNCTION("GOOGLETRANSLATE(A62,""zh-tw"",""KO"")"),"여동생 쿠폰")</f>
        <v>여동생 쿠폰</v>
      </c>
      <c r="L62" s="210" t="str">
        <f>IFERROR(__xludf.DUMMYFUNCTION("GOOGLETRANSLATE(B62,""zh-tw"",""KO"")"),"SLG 관련 이벤트")</f>
        <v>SLG 관련 이벤트</v>
      </c>
      <c r="M62" s="415" t="s">
        <v>10032</v>
      </c>
      <c r="N62" s="210" t="s">
        <v>10033</v>
      </c>
      <c r="O62" s="411" t="s">
        <v>10034</v>
      </c>
      <c r="P62" s="177" t="s">
        <v>10035</v>
      </c>
      <c r="Q62" s="447" t="s">
        <v>10036</v>
      </c>
      <c r="R62" s="223" t="s">
        <v>10037</v>
      </c>
      <c r="S62" s="415" t="s">
        <v>10038</v>
      </c>
      <c r="T62" s="210" t="s">
        <v>10039</v>
      </c>
      <c r="U62" s="411" t="s">
        <v>10040</v>
      </c>
      <c r="V62" s="177" t="s">
        <v>10041</v>
      </c>
      <c r="W62" s="411"/>
      <c r="X62" s="177"/>
      <c r="Y62" s="8"/>
      <c r="Z62" s="8"/>
      <c r="AA62" s="8"/>
      <c r="AB62" s="8"/>
      <c r="AC62" s="8"/>
      <c r="AD62" s="8"/>
      <c r="AE62" s="8"/>
      <c r="AF62" s="8"/>
      <c r="AG62" s="8"/>
      <c r="AH62" s="8"/>
      <c r="AI62" s="8"/>
      <c r="AJ62" s="8"/>
      <c r="AK62" s="8"/>
      <c r="AL62" s="8"/>
      <c r="AM62" s="8"/>
      <c r="AN62" s="8"/>
      <c r="AO62" s="8"/>
      <c r="AP62" s="8"/>
      <c r="AQ62" s="8"/>
      <c r="AR62" s="8"/>
      <c r="AS62" s="8"/>
      <c r="AT62" s="8"/>
    </row>
    <row r="63" ht="57.0" customHeight="1">
      <c r="A63" s="435" t="s">
        <v>10042</v>
      </c>
      <c r="B63" s="435" t="s">
        <v>10043</v>
      </c>
      <c r="C63" s="411" t="s">
        <v>3643</v>
      </c>
      <c r="D63" s="177" t="s">
        <v>10044</v>
      </c>
      <c r="E63" s="411" t="s">
        <v>10042</v>
      </c>
      <c r="F63" s="177" t="s">
        <v>10045</v>
      </c>
      <c r="G63" s="411" t="s">
        <v>10042</v>
      </c>
      <c r="H63" s="177" t="s">
        <v>10046</v>
      </c>
      <c r="I63" s="411" t="s">
        <v>10042</v>
      </c>
      <c r="J63" s="177" t="s">
        <v>10047</v>
      </c>
      <c r="K63" s="415"/>
      <c r="L63" s="210"/>
      <c r="M63" s="411" t="s">
        <v>10042</v>
      </c>
      <c r="N63" s="177" t="s">
        <v>10048</v>
      </c>
      <c r="O63" s="411" t="s">
        <v>10042</v>
      </c>
      <c r="P63" s="177"/>
      <c r="Q63" s="447" t="s">
        <v>10042</v>
      </c>
      <c r="R63" s="223" t="s">
        <v>10049</v>
      </c>
      <c r="S63" s="451" t="s">
        <v>10042</v>
      </c>
      <c r="T63" s="177" t="s">
        <v>10050</v>
      </c>
      <c r="U63" s="411" t="s">
        <v>10042</v>
      </c>
      <c r="V63" s="177" t="s">
        <v>10051</v>
      </c>
      <c r="W63" s="411"/>
      <c r="X63" s="177"/>
      <c r="Y63" s="8"/>
      <c r="Z63" s="8"/>
      <c r="AA63" s="8"/>
      <c r="AB63" s="8"/>
      <c r="AC63" s="8"/>
      <c r="AD63" s="8"/>
      <c r="AE63" s="8"/>
      <c r="AF63" s="8"/>
      <c r="AG63" s="8"/>
      <c r="AH63" s="8"/>
      <c r="AI63" s="8"/>
      <c r="AJ63" s="8"/>
      <c r="AK63" s="8"/>
      <c r="AL63" s="8"/>
      <c r="AM63" s="8"/>
      <c r="AN63" s="8"/>
      <c r="AO63" s="8"/>
      <c r="AP63" s="8"/>
      <c r="AQ63" s="8"/>
      <c r="AR63" s="8"/>
      <c r="AS63" s="8"/>
      <c r="AT63" s="8"/>
    </row>
    <row r="64">
      <c r="A64" s="411" t="s">
        <v>10052</v>
      </c>
      <c r="B64" s="177" t="s">
        <v>9296</v>
      </c>
      <c r="C64" s="411" t="str">
        <f>IFERROR(__xludf.DUMMYFUNCTION("GOOGLETRANSLATE(A64,""zh-tw"",""ja"")"),"ポラロイドカメラ 30～35")</f>
        <v>ポラロイドカメラ 30～35</v>
      </c>
      <c r="D64" s="177" t="s">
        <v>9297</v>
      </c>
      <c r="E64" s="411" t="s">
        <v>10053</v>
      </c>
      <c r="F64" s="177" t="s">
        <v>9299</v>
      </c>
      <c r="G64" s="411" t="str">
        <f>IFERROR(__xludf.DUMMYFUNCTION("GOOGLETRANSLATE(A64,""zh-tw"",""zh"")"),"拍立得30~35")</f>
        <v>拍立得30~35</v>
      </c>
      <c r="H64" s="177" t="str">
        <f>IFERROR(__xludf.DUMMYFUNCTION("GOOGLETRANSLATE(B64,""zh-tw"",""zh"")"),"查看优质照片")</f>
        <v>查看优质照片</v>
      </c>
      <c r="I64" s="415" t="str">
        <f>IFERROR(__xludf.DUMMYFUNCTION("GOOGLETRANSLATE(A64,""zh-tw"",""es-MX"")"),"Cámara Polaroid 30~35")</f>
        <v>Cámara Polaroid 30~35</v>
      </c>
      <c r="J64" s="177" t="s">
        <v>9300</v>
      </c>
      <c r="K64" s="415" t="str">
        <f>IFERROR(__xludf.DUMMYFUNCTION("GOOGLETRANSLATE(A64,""zh-tw"",""KO"")"),"폴라로이드 카메라 30~35")</f>
        <v>폴라로이드 카메라 30~35</v>
      </c>
      <c r="L64" s="210" t="str">
        <f>IFERROR(__xludf.DUMMYFUNCTION("GOOGLETRANSLATE(B64,""zh-tw"",""KO"")"),"고화질 사진을 보세요")</f>
        <v>고화질 사진을 보세요</v>
      </c>
      <c r="M64" s="411" t="s">
        <v>10054</v>
      </c>
      <c r="N64" s="210" t="s">
        <v>9302</v>
      </c>
      <c r="O64" s="411" t="s">
        <v>10055</v>
      </c>
      <c r="P64" s="177" t="s">
        <v>9304</v>
      </c>
      <c r="Q64" s="447" t="s">
        <v>10053</v>
      </c>
      <c r="R64" s="446" t="s">
        <v>9305</v>
      </c>
      <c r="S64" s="411" t="s">
        <v>10053</v>
      </c>
      <c r="T64" s="210" t="s">
        <v>9306</v>
      </c>
      <c r="U64" s="411" t="s">
        <v>10053</v>
      </c>
      <c r="V64" s="177" t="s">
        <v>9307</v>
      </c>
      <c r="W64" s="411"/>
      <c r="X64" s="177"/>
      <c r="Y64" s="8"/>
      <c r="Z64" s="8"/>
      <c r="AA64" s="8"/>
      <c r="AB64" s="8"/>
      <c r="AC64" s="8"/>
      <c r="AD64" s="8"/>
      <c r="AE64" s="8"/>
      <c r="AF64" s="8"/>
      <c r="AG64" s="8"/>
      <c r="AH64" s="8"/>
      <c r="AI64" s="8"/>
      <c r="AJ64" s="8"/>
      <c r="AK64" s="8"/>
      <c r="AL64" s="8"/>
      <c r="AM64" s="8"/>
      <c r="AN64" s="8"/>
      <c r="AO64" s="8"/>
      <c r="AP64" s="8"/>
      <c r="AQ64" s="8"/>
      <c r="AR64" s="8"/>
      <c r="AS64" s="8"/>
      <c r="AT64" s="8"/>
    </row>
    <row r="65">
      <c r="A65" s="411" t="s">
        <v>10056</v>
      </c>
      <c r="B65" s="177" t="s">
        <v>10057</v>
      </c>
      <c r="C65" s="411" t="s">
        <v>10058</v>
      </c>
      <c r="D65" s="177" t="s">
        <v>10059</v>
      </c>
      <c r="E65" s="411" t="s">
        <v>10060</v>
      </c>
      <c r="F65" s="177" t="s">
        <v>10061</v>
      </c>
      <c r="G65" s="411" t="str">
        <f>IFERROR(__xludf.DUMMYFUNCTION("GOOGLETRANSLATE(A65,""zh-tw"",""zh"")"),"冒险者心得")</f>
        <v>冒险者心得</v>
      </c>
      <c r="H65" s="177" t="str">
        <f>IFERROR(__xludf.DUMMYFUNCTION("GOOGLETRANSLATE(B65,""zh-tw"",""zh"")"),"攻略心得(部分地区可能需要连国外网路)")</f>
        <v>攻略心得(部分地区可能需要连国外网路)</v>
      </c>
      <c r="I65" s="411" t="s">
        <v>10062</v>
      </c>
      <c r="J65" s="177" t="s">
        <v>10063</v>
      </c>
      <c r="K65" s="415" t="str">
        <f>IFERROR(__xludf.DUMMYFUNCTION("GOOGLETRANSLATE(A65,""zh-tw"",""KO"")"),"모험가를 위한 팁")</f>
        <v>모험가를 위한 팁</v>
      </c>
      <c r="L65" s="210" t="str">
        <f>IFERROR(__xludf.DUMMYFUNCTION("GOOGLETRANSLATE(B65,""zh-tw"",""KO"")"),"여행 팁 (일부 지역에서는 국제 인터넷 연결이 필요할 수 있습니다)")</f>
        <v>여행 팁 (일부 지역에서는 국제 인터넷 연결이 필요할 수 있습니다)</v>
      </c>
      <c r="M65" s="415" t="s">
        <v>10064</v>
      </c>
      <c r="N65" s="210" t="s">
        <v>10065</v>
      </c>
      <c r="O65" s="411" t="s">
        <v>10066</v>
      </c>
      <c r="P65" s="177" t="s">
        <v>10067</v>
      </c>
      <c r="Q65" s="447" t="s">
        <v>10068</v>
      </c>
      <c r="R65" s="223" t="s">
        <v>10069</v>
      </c>
      <c r="S65" s="415" t="s">
        <v>10070</v>
      </c>
      <c r="T65" s="210" t="s">
        <v>10071</v>
      </c>
      <c r="U65" s="411" t="s">
        <v>10072</v>
      </c>
      <c r="V65" s="177" t="s">
        <v>10073</v>
      </c>
      <c r="W65" s="411"/>
      <c r="X65" s="177"/>
      <c r="Y65" s="8"/>
      <c r="Z65" s="8"/>
      <c r="AA65" s="8"/>
      <c r="AB65" s="8"/>
      <c r="AC65" s="8"/>
      <c r="AD65" s="8"/>
      <c r="AE65" s="8"/>
      <c r="AF65" s="8"/>
      <c r="AG65" s="8"/>
      <c r="AH65" s="8"/>
      <c r="AI65" s="8"/>
      <c r="AJ65" s="8"/>
      <c r="AK65" s="8"/>
      <c r="AL65" s="8"/>
      <c r="AM65" s="8"/>
      <c r="AN65" s="8"/>
      <c r="AO65" s="8"/>
      <c r="AP65" s="8"/>
      <c r="AQ65" s="8"/>
      <c r="AR65" s="8"/>
      <c r="AS65" s="8"/>
      <c r="AT65" s="8"/>
    </row>
    <row r="66">
      <c r="A66" s="172" t="s">
        <v>10074</v>
      </c>
      <c r="C66" s="172"/>
      <c r="E66" s="172" t="s">
        <v>10075</v>
      </c>
      <c r="G66" s="172" t="s">
        <v>10076</v>
      </c>
      <c r="I66" s="172"/>
      <c r="K66" s="172"/>
      <c r="M66" s="172" t="s">
        <v>10077</v>
      </c>
      <c r="O66" s="172"/>
      <c r="Q66" s="225"/>
      <c r="S66" s="172"/>
      <c r="U66" s="172"/>
      <c r="W66" s="172"/>
      <c r="Y66" s="8"/>
      <c r="Z66" s="8"/>
      <c r="AA66" s="8"/>
      <c r="AB66" s="8"/>
      <c r="AC66" s="8"/>
      <c r="AD66" s="8"/>
      <c r="AE66" s="8"/>
      <c r="AF66" s="8"/>
      <c r="AG66" s="8"/>
      <c r="AH66" s="8"/>
      <c r="AI66" s="8"/>
      <c r="AJ66" s="8"/>
      <c r="AK66" s="8"/>
      <c r="AL66" s="8"/>
      <c r="AM66" s="8"/>
      <c r="AN66" s="8"/>
      <c r="AO66" s="8"/>
      <c r="AP66" s="8"/>
      <c r="AQ66" s="8"/>
      <c r="AR66" s="8"/>
      <c r="AS66" s="8"/>
      <c r="AT66" s="8"/>
    </row>
    <row r="67">
      <c r="A67" s="411" t="s">
        <v>10078</v>
      </c>
      <c r="B67" s="177" t="s">
        <v>10079</v>
      </c>
      <c r="C67" s="411" t="s">
        <v>10080</v>
      </c>
      <c r="D67" s="177" t="s">
        <v>10081</v>
      </c>
      <c r="E67" s="411" t="s">
        <v>10082</v>
      </c>
      <c r="F67" s="177" t="s">
        <v>10083</v>
      </c>
      <c r="G67" s="411" t="str">
        <f>IFERROR(__xludf.DUMMYFUNCTION("GOOGLETRANSLATE(A67,""zh-tw"",""zh"")"),"天上之石碎片")</f>
        <v>天上之石碎片</v>
      </c>
      <c r="H67" s="177" t="str">
        <f>IFERROR(__xludf.DUMMYFUNCTION("GOOGLETRANSLATE(B67,""zh-tw"",""zh"")"),"增加哥哥的状态或者转化为""红髓液""")</f>
        <v>增加哥哥的状态或者转化为"红髓液"</v>
      </c>
      <c r="I67" s="411" t="s">
        <v>10084</v>
      </c>
      <c r="J67" s="177" t="s">
        <v>10085</v>
      </c>
      <c r="K67" s="415" t="str">
        <f>IFERROR(__xludf.DUMMYFUNCTION("GOOGLETRANSLATE(A67,""zh-tw"",""KO"")"),"천상의 돌 조각들")</f>
        <v>천상의 돌 조각들</v>
      </c>
      <c r="L67" s="177" t="s">
        <v>10086</v>
      </c>
      <c r="M67" s="415" t="s">
        <v>10087</v>
      </c>
      <c r="N67" s="210" t="s">
        <v>10088</v>
      </c>
      <c r="O67" s="411" t="s">
        <v>10089</v>
      </c>
      <c r="P67" s="177" t="s">
        <v>10090</v>
      </c>
      <c r="Q67" s="445" t="s">
        <v>10091</v>
      </c>
      <c r="R67" s="223" t="s">
        <v>10092</v>
      </c>
      <c r="S67" s="411" t="s">
        <v>10093</v>
      </c>
      <c r="T67" s="177" t="s">
        <v>10094</v>
      </c>
      <c r="U67" s="411" t="s">
        <v>10095</v>
      </c>
      <c r="V67" s="177" t="s">
        <v>10096</v>
      </c>
      <c r="W67" s="411"/>
      <c r="X67" s="177"/>
      <c r="Y67" s="8"/>
      <c r="Z67" s="8"/>
      <c r="AA67" s="8"/>
      <c r="AB67" s="8"/>
      <c r="AC67" s="8"/>
      <c r="AD67" s="8"/>
      <c r="AE67" s="8"/>
      <c r="AF67" s="8"/>
      <c r="AG67" s="8"/>
      <c r="AH67" s="8"/>
      <c r="AI67" s="8"/>
      <c r="AJ67" s="8"/>
      <c r="AK67" s="8"/>
      <c r="AL67" s="8"/>
      <c r="AM67" s="8"/>
      <c r="AN67" s="8"/>
      <c r="AO67" s="8"/>
      <c r="AP67" s="8"/>
      <c r="AQ67" s="8"/>
      <c r="AR67" s="8"/>
      <c r="AS67" s="8"/>
      <c r="AT67" s="8"/>
    </row>
    <row r="68">
      <c r="A68" s="411" t="s">
        <v>10097</v>
      </c>
      <c r="B68" s="177" t="s">
        <v>10098</v>
      </c>
      <c r="C68" s="411" t="s">
        <v>10099</v>
      </c>
      <c r="D68" s="177" t="s">
        <v>10100</v>
      </c>
      <c r="E68" s="411" t="s">
        <v>10101</v>
      </c>
      <c r="F68" s="177" t="s">
        <v>10102</v>
      </c>
      <c r="G68" s="411" t="str">
        <f>IFERROR(__xludf.DUMMYFUNCTION("GOOGLETRANSLATE(A68,""zh-tw"",""zh"")"),"红髓液")</f>
        <v>红髓液</v>
      </c>
      <c r="H68" s="177" t="str">
        <f>IFERROR(__xludf.DUMMYFUNCTION("GOOGLETRANSLATE(B68,""zh-tw"",""zh"")"),"使用于治疗妹妹")</f>
        <v>使用于治疗妹妹</v>
      </c>
      <c r="I68" s="411" t="s">
        <v>10103</v>
      </c>
      <c r="J68" s="177" t="s">
        <v>10104</v>
      </c>
      <c r="K68" s="415" t="str">
        <f>IFERROR(__xludf.DUMMYFUNCTION("GOOGLETRANSLATE(A68,""zh-tw"",""KO"")"),"적골수액")</f>
        <v>적골수액</v>
      </c>
      <c r="L68" s="210" t="str">
        <f>IFERROR(__xludf.DUMMYFUNCTION("GOOGLETRANSLATE(B68,""zh-tw"",""KO"")"),"제 여동생을 치료하곤 했어요.")</f>
        <v>제 여동생을 치료하곤 했어요.</v>
      </c>
      <c r="M68" s="415" t="s">
        <v>10105</v>
      </c>
      <c r="N68" s="210" t="s">
        <v>10106</v>
      </c>
      <c r="O68" s="411" t="s">
        <v>10107</v>
      </c>
      <c r="P68" s="177" t="s">
        <v>10108</v>
      </c>
      <c r="Q68" s="447" t="s">
        <v>10109</v>
      </c>
      <c r="R68" s="223" t="s">
        <v>10110</v>
      </c>
      <c r="S68" s="415" t="s">
        <v>10111</v>
      </c>
      <c r="T68" s="210" t="s">
        <v>10112</v>
      </c>
      <c r="U68" s="411" t="s">
        <v>10113</v>
      </c>
      <c r="V68" s="177" t="s">
        <v>10114</v>
      </c>
      <c r="W68" s="411"/>
      <c r="X68" s="177"/>
      <c r="Y68" s="8"/>
      <c r="Z68" s="8"/>
      <c r="AA68" s="8"/>
      <c r="AB68" s="8"/>
      <c r="AC68" s="8"/>
      <c r="AD68" s="8"/>
      <c r="AE68" s="8"/>
      <c r="AF68" s="8"/>
      <c r="AG68" s="8"/>
      <c r="AH68" s="8"/>
      <c r="AI68" s="8"/>
      <c r="AJ68" s="8"/>
      <c r="AK68" s="8"/>
      <c r="AL68" s="8"/>
      <c r="AM68" s="8"/>
      <c r="AN68" s="8"/>
      <c r="AO68" s="8"/>
      <c r="AP68" s="8"/>
      <c r="AQ68" s="8"/>
      <c r="AR68" s="8"/>
      <c r="AS68" s="8"/>
      <c r="AT68" s="8"/>
    </row>
    <row r="69">
      <c r="A69" s="415"/>
      <c r="B69" s="210"/>
      <c r="C69" s="415"/>
      <c r="D69" s="210"/>
      <c r="E69" s="415"/>
      <c r="F69" s="210"/>
      <c r="G69" s="415"/>
      <c r="H69" s="210"/>
      <c r="I69" s="423"/>
      <c r="J69" s="156"/>
      <c r="K69" s="423"/>
      <c r="L69" s="156"/>
      <c r="M69" s="415"/>
      <c r="N69" s="210"/>
      <c r="O69" s="415"/>
      <c r="P69" s="210"/>
      <c r="Q69" s="416"/>
      <c r="R69" s="166"/>
      <c r="S69" s="415"/>
      <c r="T69" s="210"/>
      <c r="U69" s="415"/>
      <c r="V69" s="210"/>
      <c r="W69" s="415"/>
      <c r="X69" s="210"/>
      <c r="Y69" s="8"/>
      <c r="Z69" s="8"/>
      <c r="AA69" s="8"/>
      <c r="AB69" s="8"/>
      <c r="AC69" s="8"/>
      <c r="AD69" s="8"/>
      <c r="AE69" s="8"/>
      <c r="AF69" s="8"/>
      <c r="AG69" s="8"/>
      <c r="AH69" s="8"/>
      <c r="AI69" s="8"/>
      <c r="AJ69" s="8"/>
      <c r="AK69" s="8"/>
      <c r="AL69" s="8"/>
      <c r="AM69" s="8"/>
      <c r="AN69" s="8"/>
      <c r="AO69" s="8"/>
      <c r="AP69" s="8"/>
      <c r="AQ69" s="8"/>
      <c r="AR69" s="8"/>
      <c r="AS69" s="8"/>
      <c r="AT69" s="8"/>
    </row>
    <row r="70">
      <c r="A70" s="415"/>
      <c r="B70" s="210"/>
      <c r="C70" s="415"/>
      <c r="D70" s="210"/>
      <c r="E70" s="415"/>
      <c r="F70" s="210"/>
      <c r="G70" s="415"/>
      <c r="H70" s="210"/>
      <c r="I70" s="423"/>
      <c r="J70" s="156"/>
      <c r="K70" s="423"/>
      <c r="L70" s="156"/>
      <c r="M70" s="415"/>
      <c r="N70" s="210"/>
      <c r="O70" s="415"/>
      <c r="P70" s="210"/>
      <c r="Q70" s="416"/>
      <c r="R70" s="166"/>
      <c r="S70" s="415"/>
      <c r="T70" s="210"/>
      <c r="U70" s="415"/>
      <c r="V70" s="210"/>
      <c r="W70" s="415"/>
      <c r="X70" s="210"/>
      <c r="Y70" s="8"/>
      <c r="Z70" s="8"/>
      <c r="AA70" s="8"/>
      <c r="AB70" s="8"/>
      <c r="AC70" s="8"/>
      <c r="AD70" s="8"/>
      <c r="AE70" s="8"/>
      <c r="AF70" s="8"/>
      <c r="AG70" s="8"/>
      <c r="AH70" s="8"/>
      <c r="AI70" s="8"/>
      <c r="AJ70" s="8"/>
      <c r="AK70" s="8"/>
      <c r="AL70" s="8"/>
      <c r="AM70" s="8"/>
      <c r="AN70" s="8"/>
      <c r="AO70" s="8"/>
      <c r="AP70" s="8"/>
      <c r="AQ70" s="8"/>
      <c r="AR70" s="8"/>
      <c r="AS70" s="8"/>
      <c r="AT70" s="8"/>
    </row>
    <row r="71">
      <c r="A71" s="415"/>
      <c r="B71" s="210"/>
      <c r="C71" s="415"/>
      <c r="D71" s="210"/>
      <c r="E71" s="415"/>
      <c r="F71" s="210"/>
      <c r="G71" s="415"/>
      <c r="H71" s="210"/>
      <c r="I71" s="423"/>
      <c r="J71" s="156"/>
      <c r="K71" s="423"/>
      <c r="L71" s="156"/>
      <c r="M71" s="415"/>
      <c r="N71" s="210"/>
      <c r="O71" s="415"/>
      <c r="P71" s="210"/>
      <c r="Q71" s="416"/>
      <c r="R71" s="166"/>
      <c r="S71" s="415"/>
      <c r="T71" s="210"/>
      <c r="U71" s="415"/>
      <c r="V71" s="210"/>
      <c r="W71" s="415"/>
      <c r="X71" s="210"/>
      <c r="Y71" s="8"/>
      <c r="Z71" s="8"/>
      <c r="AA71" s="8"/>
      <c r="AB71" s="8"/>
      <c r="AC71" s="8"/>
      <c r="AD71" s="8"/>
      <c r="AE71" s="8"/>
      <c r="AF71" s="8"/>
      <c r="AG71" s="8"/>
      <c r="AH71" s="8"/>
      <c r="AI71" s="8"/>
      <c r="AJ71" s="8"/>
      <c r="AK71" s="8"/>
      <c r="AL71" s="8"/>
      <c r="AM71" s="8"/>
      <c r="AN71" s="8"/>
      <c r="AO71" s="8"/>
      <c r="AP71" s="8"/>
      <c r="AQ71" s="8"/>
      <c r="AR71" s="8"/>
      <c r="AS71" s="8"/>
      <c r="AT71" s="8"/>
    </row>
    <row r="72">
      <c r="A72" s="415"/>
      <c r="B72" s="210"/>
      <c r="C72" s="415"/>
      <c r="D72" s="210"/>
      <c r="E72" s="415"/>
      <c r="F72" s="210"/>
      <c r="G72" s="415"/>
      <c r="H72" s="210"/>
      <c r="I72" s="423"/>
      <c r="J72" s="156"/>
      <c r="K72" s="423"/>
      <c r="L72" s="156"/>
      <c r="M72" s="415"/>
      <c r="N72" s="210"/>
      <c r="O72" s="415"/>
      <c r="P72" s="210"/>
      <c r="Q72" s="416"/>
      <c r="R72" s="166"/>
      <c r="S72" s="415"/>
      <c r="T72" s="210"/>
      <c r="U72" s="415"/>
      <c r="V72" s="210"/>
      <c r="W72" s="415"/>
      <c r="X72" s="210"/>
      <c r="Y72" s="8"/>
      <c r="Z72" s="8"/>
      <c r="AA72" s="8"/>
      <c r="AB72" s="8"/>
      <c r="AC72" s="8"/>
      <c r="AD72" s="8"/>
      <c r="AE72" s="8"/>
      <c r="AF72" s="8"/>
      <c r="AG72" s="8"/>
      <c r="AH72" s="8"/>
      <c r="AI72" s="8"/>
      <c r="AJ72" s="8"/>
      <c r="AK72" s="8"/>
      <c r="AL72" s="8"/>
      <c r="AM72" s="8"/>
      <c r="AN72" s="8"/>
      <c r="AO72" s="8"/>
      <c r="AP72" s="8"/>
      <c r="AQ72" s="8"/>
      <c r="AR72" s="8"/>
      <c r="AS72" s="8"/>
      <c r="AT72" s="8"/>
    </row>
    <row r="73">
      <c r="A73" s="415"/>
      <c r="B73" s="210"/>
      <c r="C73" s="415"/>
      <c r="D73" s="210"/>
      <c r="E73" s="415"/>
      <c r="F73" s="210"/>
      <c r="G73" s="415"/>
      <c r="H73" s="210"/>
      <c r="I73" s="423"/>
      <c r="J73" s="156"/>
      <c r="K73" s="423"/>
      <c r="L73" s="156"/>
      <c r="M73" s="415"/>
      <c r="N73" s="210"/>
      <c r="O73" s="415"/>
      <c r="P73" s="210"/>
      <c r="Q73" s="416"/>
      <c r="R73" s="166"/>
      <c r="S73" s="415"/>
      <c r="T73" s="210"/>
      <c r="U73" s="415"/>
      <c r="V73" s="210"/>
      <c r="W73" s="415"/>
      <c r="X73" s="210"/>
      <c r="Y73" s="8"/>
      <c r="Z73" s="8"/>
      <c r="AA73" s="8"/>
      <c r="AB73" s="8"/>
      <c r="AC73" s="8"/>
      <c r="AD73" s="8"/>
      <c r="AE73" s="8"/>
      <c r="AF73" s="8"/>
      <c r="AG73" s="8"/>
      <c r="AH73" s="8"/>
      <c r="AI73" s="8"/>
      <c r="AJ73" s="8"/>
      <c r="AK73" s="8"/>
      <c r="AL73" s="8"/>
      <c r="AM73" s="8"/>
      <c r="AN73" s="8"/>
      <c r="AO73" s="8"/>
      <c r="AP73" s="8"/>
      <c r="AQ73" s="8"/>
      <c r="AR73" s="8"/>
      <c r="AS73" s="8"/>
      <c r="AT73" s="8"/>
    </row>
    <row r="74">
      <c r="A74" s="415"/>
      <c r="B74" s="210"/>
      <c r="C74" s="415"/>
      <c r="D74" s="210"/>
      <c r="E74" s="415"/>
      <c r="F74" s="210"/>
      <c r="G74" s="415"/>
      <c r="H74" s="210"/>
      <c r="I74" s="423"/>
      <c r="J74" s="156"/>
      <c r="K74" s="423"/>
      <c r="L74" s="156"/>
      <c r="M74" s="415"/>
      <c r="N74" s="210"/>
      <c r="O74" s="415"/>
      <c r="P74" s="210"/>
      <c r="Q74" s="416"/>
      <c r="R74" s="166"/>
      <c r="S74" s="415"/>
      <c r="T74" s="210"/>
      <c r="U74" s="415"/>
      <c r="V74" s="210"/>
      <c r="W74" s="415"/>
      <c r="X74" s="210"/>
      <c r="Y74" s="8"/>
      <c r="Z74" s="8"/>
      <c r="AA74" s="8"/>
      <c r="AB74" s="8"/>
      <c r="AC74" s="8"/>
      <c r="AD74" s="8"/>
      <c r="AE74" s="8"/>
      <c r="AF74" s="8"/>
      <c r="AG74" s="8"/>
      <c r="AH74" s="8"/>
      <c r="AI74" s="8"/>
      <c r="AJ74" s="8"/>
      <c r="AK74" s="8"/>
      <c r="AL74" s="8"/>
      <c r="AM74" s="8"/>
      <c r="AN74" s="8"/>
      <c r="AO74" s="8"/>
      <c r="AP74" s="8"/>
      <c r="AQ74" s="8"/>
      <c r="AR74" s="8"/>
      <c r="AS74" s="8"/>
      <c r="AT74" s="8"/>
    </row>
    <row r="75">
      <c r="A75" s="415"/>
      <c r="B75" s="210"/>
      <c r="C75" s="415"/>
      <c r="D75" s="210"/>
      <c r="E75" s="415"/>
      <c r="F75" s="210"/>
      <c r="G75" s="415"/>
      <c r="H75" s="210"/>
      <c r="I75" s="423"/>
      <c r="J75" s="156"/>
      <c r="K75" s="423"/>
      <c r="L75" s="156"/>
      <c r="M75" s="415"/>
      <c r="N75" s="210"/>
      <c r="O75" s="415"/>
      <c r="P75" s="210"/>
      <c r="Q75" s="416"/>
      <c r="R75" s="166"/>
      <c r="S75" s="415"/>
      <c r="T75" s="210"/>
      <c r="U75" s="415"/>
      <c r="V75" s="210"/>
      <c r="W75" s="415"/>
      <c r="X75" s="210"/>
      <c r="Y75" s="8"/>
      <c r="Z75" s="8"/>
      <c r="AA75" s="8"/>
      <c r="AB75" s="8"/>
      <c r="AC75" s="8"/>
      <c r="AD75" s="8"/>
      <c r="AE75" s="8"/>
      <c r="AF75" s="8"/>
      <c r="AG75" s="8"/>
      <c r="AH75" s="8"/>
      <c r="AI75" s="8"/>
      <c r="AJ75" s="8"/>
      <c r="AK75" s="8"/>
      <c r="AL75" s="8"/>
      <c r="AM75" s="8"/>
      <c r="AN75" s="8"/>
      <c r="AO75" s="8"/>
      <c r="AP75" s="8"/>
      <c r="AQ75" s="8"/>
      <c r="AR75" s="8"/>
      <c r="AS75" s="8"/>
      <c r="AT75" s="8"/>
    </row>
    <row r="76">
      <c r="A76" s="415"/>
      <c r="B76" s="210"/>
      <c r="C76" s="415"/>
      <c r="D76" s="210"/>
      <c r="E76" s="415"/>
      <c r="F76" s="210"/>
      <c r="G76" s="415"/>
      <c r="H76" s="210"/>
      <c r="I76" s="423"/>
      <c r="J76" s="156"/>
      <c r="K76" s="423"/>
      <c r="L76" s="156"/>
      <c r="M76" s="415"/>
      <c r="N76" s="210"/>
      <c r="O76" s="415"/>
      <c r="P76" s="210"/>
      <c r="Q76" s="416"/>
      <c r="R76" s="166"/>
      <c r="S76" s="415"/>
      <c r="T76" s="210"/>
      <c r="U76" s="415"/>
      <c r="V76" s="210"/>
      <c r="W76" s="415"/>
      <c r="X76" s="210"/>
      <c r="Y76" s="8"/>
      <c r="Z76" s="8"/>
      <c r="AA76" s="8"/>
      <c r="AB76" s="8"/>
      <c r="AC76" s="8"/>
      <c r="AD76" s="8"/>
      <c r="AE76" s="8"/>
      <c r="AF76" s="8"/>
      <c r="AG76" s="8"/>
      <c r="AH76" s="8"/>
      <c r="AI76" s="8"/>
      <c r="AJ76" s="8"/>
      <c r="AK76" s="8"/>
      <c r="AL76" s="8"/>
      <c r="AM76" s="8"/>
      <c r="AN76" s="8"/>
      <c r="AO76" s="8"/>
      <c r="AP76" s="8"/>
      <c r="AQ76" s="8"/>
      <c r="AR76" s="8"/>
      <c r="AS76" s="8"/>
      <c r="AT76" s="8"/>
    </row>
    <row r="77">
      <c r="A77" s="415"/>
      <c r="B77" s="210"/>
      <c r="C77" s="415"/>
      <c r="D77" s="210"/>
      <c r="E77" s="415"/>
      <c r="F77" s="210"/>
      <c r="G77" s="415"/>
      <c r="H77" s="210"/>
      <c r="I77" s="423"/>
      <c r="J77" s="156"/>
      <c r="K77" s="423"/>
      <c r="L77" s="156"/>
      <c r="M77" s="415"/>
      <c r="N77" s="210"/>
      <c r="O77" s="415"/>
      <c r="P77" s="210"/>
      <c r="Q77" s="416"/>
      <c r="R77" s="166"/>
      <c r="S77" s="415"/>
      <c r="T77" s="210"/>
      <c r="U77" s="415"/>
      <c r="V77" s="210"/>
      <c r="W77" s="415"/>
      <c r="X77" s="210"/>
      <c r="Y77" s="8"/>
      <c r="Z77" s="8"/>
      <c r="AA77" s="8"/>
      <c r="AB77" s="8"/>
      <c r="AC77" s="8"/>
      <c r="AD77" s="8"/>
      <c r="AE77" s="8"/>
      <c r="AF77" s="8"/>
      <c r="AG77" s="8"/>
      <c r="AH77" s="8"/>
      <c r="AI77" s="8"/>
      <c r="AJ77" s="8"/>
      <c r="AK77" s="8"/>
      <c r="AL77" s="8"/>
      <c r="AM77" s="8"/>
      <c r="AN77" s="8"/>
      <c r="AO77" s="8"/>
      <c r="AP77" s="8"/>
      <c r="AQ77" s="8"/>
      <c r="AR77" s="8"/>
      <c r="AS77" s="8"/>
      <c r="AT77" s="8"/>
    </row>
    <row r="78">
      <c r="A78" s="415"/>
      <c r="B78" s="210"/>
      <c r="C78" s="415"/>
      <c r="D78" s="210"/>
      <c r="E78" s="415"/>
      <c r="F78" s="210"/>
      <c r="G78" s="415"/>
      <c r="H78" s="210"/>
      <c r="I78" s="423"/>
      <c r="J78" s="156"/>
      <c r="K78" s="423"/>
      <c r="L78" s="156"/>
      <c r="M78" s="415"/>
      <c r="N78" s="210"/>
      <c r="O78" s="415"/>
      <c r="P78" s="210"/>
      <c r="Q78" s="416"/>
      <c r="R78" s="166"/>
      <c r="S78" s="415"/>
      <c r="T78" s="210"/>
      <c r="U78" s="415"/>
      <c r="V78" s="210"/>
      <c r="W78" s="415"/>
      <c r="X78" s="210"/>
      <c r="Y78" s="8"/>
      <c r="Z78" s="8"/>
      <c r="AA78" s="8"/>
      <c r="AB78" s="8"/>
      <c r="AC78" s="8"/>
      <c r="AD78" s="8"/>
      <c r="AE78" s="8"/>
      <c r="AF78" s="8"/>
      <c r="AG78" s="8"/>
      <c r="AH78" s="8"/>
      <c r="AI78" s="8"/>
      <c r="AJ78" s="8"/>
      <c r="AK78" s="8"/>
      <c r="AL78" s="8"/>
      <c r="AM78" s="8"/>
      <c r="AN78" s="8"/>
      <c r="AO78" s="8"/>
      <c r="AP78" s="8"/>
      <c r="AQ78" s="8"/>
      <c r="AR78" s="8"/>
      <c r="AS78" s="8"/>
      <c r="AT78" s="8"/>
    </row>
    <row r="79">
      <c r="A79" s="415"/>
      <c r="B79" s="210"/>
      <c r="C79" s="415"/>
      <c r="D79" s="210"/>
      <c r="E79" s="415"/>
      <c r="F79" s="210"/>
      <c r="G79" s="415"/>
      <c r="H79" s="210"/>
      <c r="I79" s="423"/>
      <c r="J79" s="156"/>
      <c r="K79" s="423"/>
      <c r="L79" s="156"/>
      <c r="M79" s="415"/>
      <c r="N79" s="210"/>
      <c r="O79" s="415"/>
      <c r="P79" s="210"/>
      <c r="Q79" s="416"/>
      <c r="R79" s="166"/>
      <c r="S79" s="415"/>
      <c r="T79" s="210"/>
      <c r="U79" s="415"/>
      <c r="V79" s="210"/>
      <c r="W79" s="415"/>
      <c r="X79" s="210"/>
      <c r="Y79" s="8"/>
      <c r="Z79" s="8"/>
      <c r="AA79" s="8"/>
      <c r="AB79" s="8"/>
      <c r="AC79" s="8"/>
      <c r="AD79" s="8"/>
      <c r="AE79" s="8"/>
      <c r="AF79" s="8"/>
      <c r="AG79" s="8"/>
      <c r="AH79" s="8"/>
      <c r="AI79" s="8"/>
      <c r="AJ79" s="8"/>
      <c r="AK79" s="8"/>
      <c r="AL79" s="8"/>
      <c r="AM79" s="8"/>
      <c r="AN79" s="8"/>
      <c r="AO79" s="8"/>
      <c r="AP79" s="8"/>
      <c r="AQ79" s="8"/>
      <c r="AR79" s="8"/>
      <c r="AS79" s="8"/>
      <c r="AT79" s="8"/>
    </row>
    <row r="80">
      <c r="A80" s="415"/>
      <c r="B80" s="210"/>
      <c r="C80" s="415"/>
      <c r="D80" s="210"/>
      <c r="E80" s="415"/>
      <c r="F80" s="210"/>
      <c r="G80" s="415"/>
      <c r="H80" s="210"/>
      <c r="I80" s="423"/>
      <c r="J80" s="156"/>
      <c r="K80" s="423"/>
      <c r="L80" s="156"/>
      <c r="M80" s="415"/>
      <c r="N80" s="210"/>
      <c r="O80" s="415"/>
      <c r="P80" s="210"/>
      <c r="Q80" s="416"/>
      <c r="R80" s="166"/>
      <c r="S80" s="415"/>
      <c r="T80" s="210"/>
      <c r="U80" s="415"/>
      <c r="V80" s="210"/>
      <c r="W80" s="415"/>
      <c r="X80" s="210"/>
      <c r="Y80" s="8"/>
      <c r="Z80" s="8"/>
      <c r="AA80" s="8"/>
      <c r="AB80" s="8"/>
      <c r="AC80" s="8"/>
      <c r="AD80" s="8"/>
      <c r="AE80" s="8"/>
      <c r="AF80" s="8"/>
      <c r="AG80" s="8"/>
      <c r="AH80" s="8"/>
      <c r="AI80" s="8"/>
      <c r="AJ80" s="8"/>
      <c r="AK80" s="8"/>
      <c r="AL80" s="8"/>
      <c r="AM80" s="8"/>
      <c r="AN80" s="8"/>
      <c r="AO80" s="8"/>
      <c r="AP80" s="8"/>
      <c r="AQ80" s="8"/>
      <c r="AR80" s="8"/>
      <c r="AS80" s="8"/>
      <c r="AT80" s="8"/>
    </row>
    <row r="81">
      <c r="A81" s="415"/>
      <c r="B81" s="210"/>
      <c r="C81" s="415"/>
      <c r="D81" s="210"/>
      <c r="E81" s="415"/>
      <c r="F81" s="210"/>
      <c r="G81" s="415"/>
      <c r="H81" s="210"/>
      <c r="I81" s="423"/>
      <c r="J81" s="156"/>
      <c r="K81" s="423"/>
      <c r="L81" s="156"/>
      <c r="M81" s="415"/>
      <c r="N81" s="210"/>
      <c r="O81" s="415"/>
      <c r="P81" s="210"/>
      <c r="Q81" s="416"/>
      <c r="R81" s="166"/>
      <c r="S81" s="415"/>
      <c r="T81" s="210"/>
      <c r="U81" s="415"/>
      <c r="V81" s="210"/>
      <c r="W81" s="415"/>
      <c r="X81" s="210"/>
      <c r="Y81" s="8"/>
      <c r="Z81" s="8"/>
      <c r="AA81" s="8"/>
      <c r="AB81" s="8"/>
      <c r="AC81" s="8"/>
      <c r="AD81" s="8"/>
      <c r="AE81" s="8"/>
      <c r="AF81" s="8"/>
      <c r="AG81" s="8"/>
      <c r="AH81" s="8"/>
      <c r="AI81" s="8"/>
      <c r="AJ81" s="8"/>
      <c r="AK81" s="8"/>
      <c r="AL81" s="8"/>
      <c r="AM81" s="8"/>
      <c r="AN81" s="8"/>
      <c r="AO81" s="8"/>
      <c r="AP81" s="8"/>
      <c r="AQ81" s="8"/>
      <c r="AR81" s="8"/>
      <c r="AS81" s="8"/>
      <c r="AT81" s="8"/>
    </row>
    <row r="82">
      <c r="A82" s="415"/>
      <c r="B82" s="210"/>
      <c r="C82" s="415"/>
      <c r="D82" s="210"/>
      <c r="E82" s="415"/>
      <c r="F82" s="210"/>
      <c r="G82" s="415"/>
      <c r="H82" s="210"/>
      <c r="I82" s="423"/>
      <c r="J82" s="156"/>
      <c r="K82" s="423"/>
      <c r="L82" s="156"/>
      <c r="M82" s="415"/>
      <c r="N82" s="210"/>
      <c r="O82" s="415"/>
      <c r="P82" s="210"/>
      <c r="Q82" s="416"/>
      <c r="R82" s="166"/>
      <c r="S82" s="415"/>
      <c r="T82" s="210"/>
      <c r="U82" s="415"/>
      <c r="V82" s="210"/>
      <c r="W82" s="415"/>
      <c r="X82" s="210"/>
      <c r="Y82" s="8"/>
      <c r="Z82" s="8"/>
      <c r="AA82" s="8"/>
      <c r="AB82" s="8"/>
      <c r="AC82" s="8"/>
      <c r="AD82" s="8"/>
      <c r="AE82" s="8"/>
      <c r="AF82" s="8"/>
      <c r="AG82" s="8"/>
      <c r="AH82" s="8"/>
      <c r="AI82" s="8"/>
      <c r="AJ82" s="8"/>
      <c r="AK82" s="8"/>
      <c r="AL82" s="8"/>
      <c r="AM82" s="8"/>
      <c r="AN82" s="8"/>
      <c r="AO82" s="8"/>
      <c r="AP82" s="8"/>
      <c r="AQ82" s="8"/>
      <c r="AR82" s="8"/>
      <c r="AS82" s="8"/>
      <c r="AT82" s="8"/>
    </row>
    <row r="83">
      <c r="A83" s="415"/>
      <c r="B83" s="210"/>
      <c r="C83" s="415"/>
      <c r="D83" s="210"/>
      <c r="E83" s="415"/>
      <c r="F83" s="210"/>
      <c r="G83" s="415"/>
      <c r="H83" s="210"/>
      <c r="I83" s="423"/>
      <c r="J83" s="156"/>
      <c r="K83" s="423"/>
      <c r="L83" s="156"/>
      <c r="M83" s="415"/>
      <c r="N83" s="210"/>
      <c r="O83" s="415"/>
      <c r="P83" s="210"/>
      <c r="Q83" s="416"/>
      <c r="R83" s="166"/>
      <c r="S83" s="415"/>
      <c r="T83" s="210"/>
      <c r="U83" s="415"/>
      <c r="V83" s="210"/>
      <c r="W83" s="415"/>
      <c r="X83" s="210"/>
      <c r="Y83" s="8"/>
      <c r="Z83" s="8"/>
      <c r="AA83" s="8"/>
      <c r="AB83" s="8"/>
      <c r="AC83" s="8"/>
      <c r="AD83" s="8"/>
      <c r="AE83" s="8"/>
      <c r="AF83" s="8"/>
      <c r="AG83" s="8"/>
      <c r="AH83" s="8"/>
      <c r="AI83" s="8"/>
      <c r="AJ83" s="8"/>
      <c r="AK83" s="8"/>
      <c r="AL83" s="8"/>
      <c r="AM83" s="8"/>
      <c r="AN83" s="8"/>
      <c r="AO83" s="8"/>
      <c r="AP83" s="8"/>
      <c r="AQ83" s="8"/>
      <c r="AR83" s="8"/>
      <c r="AS83" s="8"/>
      <c r="AT83" s="8"/>
    </row>
    <row r="84">
      <c r="A84" s="415"/>
      <c r="B84" s="210"/>
      <c r="C84" s="415"/>
      <c r="D84" s="210"/>
      <c r="E84" s="415"/>
      <c r="F84" s="210"/>
      <c r="G84" s="415"/>
      <c r="H84" s="210"/>
      <c r="I84" s="423"/>
      <c r="J84" s="156"/>
      <c r="K84" s="423"/>
      <c r="L84" s="156"/>
      <c r="M84" s="415"/>
      <c r="N84" s="210"/>
      <c r="O84" s="415"/>
      <c r="P84" s="210"/>
      <c r="Q84" s="416"/>
      <c r="R84" s="166"/>
      <c r="S84" s="415"/>
      <c r="T84" s="210"/>
      <c r="U84" s="415"/>
      <c r="V84" s="210"/>
      <c r="W84" s="415"/>
      <c r="X84" s="210"/>
      <c r="Y84" s="8"/>
      <c r="Z84" s="8"/>
      <c r="AA84" s="8"/>
      <c r="AB84" s="8"/>
      <c r="AC84" s="8"/>
      <c r="AD84" s="8"/>
      <c r="AE84" s="8"/>
      <c r="AF84" s="8"/>
      <c r="AG84" s="8"/>
      <c r="AH84" s="8"/>
      <c r="AI84" s="8"/>
      <c r="AJ84" s="8"/>
      <c r="AK84" s="8"/>
      <c r="AL84" s="8"/>
      <c r="AM84" s="8"/>
      <c r="AN84" s="8"/>
      <c r="AO84" s="8"/>
      <c r="AP84" s="8"/>
      <c r="AQ84" s="8"/>
      <c r="AR84" s="8"/>
      <c r="AS84" s="8"/>
      <c r="AT84" s="8"/>
    </row>
    <row r="85">
      <c r="A85" s="415"/>
      <c r="B85" s="210"/>
      <c r="C85" s="415"/>
      <c r="D85" s="210"/>
      <c r="E85" s="415"/>
      <c r="F85" s="210"/>
      <c r="G85" s="415"/>
      <c r="H85" s="210"/>
      <c r="I85" s="423"/>
      <c r="J85" s="156"/>
      <c r="K85" s="423"/>
      <c r="L85" s="156"/>
      <c r="M85" s="415"/>
      <c r="N85" s="210"/>
      <c r="O85" s="415"/>
      <c r="P85" s="210"/>
      <c r="Q85" s="416"/>
      <c r="R85" s="166"/>
      <c r="S85" s="415"/>
      <c r="T85" s="210"/>
      <c r="U85" s="415"/>
      <c r="V85" s="210"/>
      <c r="W85" s="415"/>
      <c r="X85" s="210"/>
      <c r="Y85" s="8"/>
      <c r="Z85" s="8"/>
      <c r="AA85" s="8"/>
      <c r="AB85" s="8"/>
      <c r="AC85" s="8"/>
      <c r="AD85" s="8"/>
      <c r="AE85" s="8"/>
      <c r="AF85" s="8"/>
      <c r="AG85" s="8"/>
      <c r="AH85" s="8"/>
      <c r="AI85" s="8"/>
      <c r="AJ85" s="8"/>
      <c r="AK85" s="8"/>
      <c r="AL85" s="8"/>
      <c r="AM85" s="8"/>
      <c r="AN85" s="8"/>
      <c r="AO85" s="8"/>
      <c r="AP85" s="8"/>
      <c r="AQ85" s="8"/>
      <c r="AR85" s="8"/>
      <c r="AS85" s="8"/>
      <c r="AT85" s="8"/>
    </row>
    <row r="86">
      <c r="A86" s="415"/>
      <c r="B86" s="210"/>
      <c r="C86" s="415"/>
      <c r="D86" s="210"/>
      <c r="E86" s="415"/>
      <c r="F86" s="210"/>
      <c r="G86" s="415"/>
      <c r="H86" s="210"/>
      <c r="I86" s="423"/>
      <c r="J86" s="156"/>
      <c r="K86" s="423"/>
      <c r="L86" s="156"/>
      <c r="M86" s="415"/>
      <c r="N86" s="210"/>
      <c r="O86" s="415"/>
      <c r="P86" s="210"/>
      <c r="Q86" s="416"/>
      <c r="R86" s="166"/>
      <c r="S86" s="415"/>
      <c r="T86" s="210"/>
      <c r="U86" s="415"/>
      <c r="V86" s="210"/>
      <c r="W86" s="415"/>
      <c r="X86" s="210"/>
      <c r="Y86" s="8"/>
      <c r="Z86" s="8"/>
      <c r="AA86" s="8"/>
      <c r="AB86" s="8"/>
      <c r="AC86" s="8"/>
      <c r="AD86" s="8"/>
      <c r="AE86" s="8"/>
      <c r="AF86" s="8"/>
      <c r="AG86" s="8"/>
      <c r="AH86" s="8"/>
      <c r="AI86" s="8"/>
      <c r="AJ86" s="8"/>
      <c r="AK86" s="8"/>
      <c r="AL86" s="8"/>
      <c r="AM86" s="8"/>
      <c r="AN86" s="8"/>
      <c r="AO86" s="8"/>
      <c r="AP86" s="8"/>
      <c r="AQ86" s="8"/>
      <c r="AR86" s="8"/>
      <c r="AS86" s="8"/>
      <c r="AT86" s="8"/>
    </row>
    <row r="87">
      <c r="A87" s="415"/>
      <c r="B87" s="210"/>
      <c r="C87" s="415"/>
      <c r="D87" s="210"/>
      <c r="E87" s="415"/>
      <c r="F87" s="210"/>
      <c r="G87" s="415"/>
      <c r="H87" s="210"/>
      <c r="I87" s="423"/>
      <c r="J87" s="156"/>
      <c r="K87" s="423"/>
      <c r="L87" s="156"/>
      <c r="M87" s="415"/>
      <c r="N87" s="210"/>
      <c r="O87" s="415"/>
      <c r="P87" s="210"/>
      <c r="Q87" s="416"/>
      <c r="R87" s="166"/>
      <c r="S87" s="415"/>
      <c r="T87" s="210"/>
      <c r="U87" s="415"/>
      <c r="V87" s="210"/>
      <c r="W87" s="415"/>
      <c r="X87" s="210"/>
      <c r="Y87" s="8"/>
      <c r="Z87" s="8"/>
      <c r="AA87" s="8"/>
      <c r="AB87" s="8"/>
      <c r="AC87" s="8"/>
      <c r="AD87" s="8"/>
      <c r="AE87" s="8"/>
      <c r="AF87" s="8"/>
      <c r="AG87" s="8"/>
      <c r="AH87" s="8"/>
      <c r="AI87" s="8"/>
      <c r="AJ87" s="8"/>
      <c r="AK87" s="8"/>
      <c r="AL87" s="8"/>
      <c r="AM87" s="8"/>
      <c r="AN87" s="8"/>
      <c r="AO87" s="8"/>
      <c r="AP87" s="8"/>
      <c r="AQ87" s="8"/>
      <c r="AR87" s="8"/>
      <c r="AS87" s="8"/>
      <c r="AT87" s="8"/>
    </row>
    <row r="88">
      <c r="A88" s="415"/>
      <c r="B88" s="210"/>
      <c r="C88" s="415"/>
      <c r="D88" s="210"/>
      <c r="E88" s="415"/>
      <c r="F88" s="210"/>
      <c r="G88" s="415"/>
      <c r="H88" s="210"/>
      <c r="I88" s="423"/>
      <c r="J88" s="156"/>
      <c r="K88" s="423"/>
      <c r="L88" s="156"/>
      <c r="M88" s="415"/>
      <c r="N88" s="210"/>
      <c r="O88" s="415"/>
      <c r="P88" s="210"/>
      <c r="Q88" s="416"/>
      <c r="R88" s="166"/>
      <c r="S88" s="415"/>
      <c r="T88" s="210"/>
      <c r="U88" s="415"/>
      <c r="V88" s="210"/>
      <c r="W88" s="415"/>
      <c r="X88" s="210"/>
      <c r="Y88" s="8"/>
      <c r="Z88" s="8"/>
      <c r="AA88" s="8"/>
      <c r="AB88" s="8"/>
      <c r="AC88" s="8"/>
      <c r="AD88" s="8"/>
      <c r="AE88" s="8"/>
      <c r="AF88" s="8"/>
      <c r="AG88" s="8"/>
      <c r="AH88" s="8"/>
      <c r="AI88" s="8"/>
      <c r="AJ88" s="8"/>
      <c r="AK88" s="8"/>
      <c r="AL88" s="8"/>
      <c r="AM88" s="8"/>
      <c r="AN88" s="8"/>
      <c r="AO88" s="8"/>
      <c r="AP88" s="8"/>
      <c r="AQ88" s="8"/>
      <c r="AR88" s="8"/>
      <c r="AS88" s="8"/>
      <c r="AT88" s="8"/>
    </row>
    <row r="89">
      <c r="A89" s="415"/>
      <c r="B89" s="210"/>
      <c r="C89" s="415"/>
      <c r="D89" s="210"/>
      <c r="E89" s="415"/>
      <c r="F89" s="210"/>
      <c r="G89" s="415"/>
      <c r="H89" s="210"/>
      <c r="I89" s="423"/>
      <c r="J89" s="156"/>
      <c r="K89" s="423"/>
      <c r="L89" s="156"/>
      <c r="M89" s="415"/>
      <c r="N89" s="210"/>
      <c r="O89" s="415"/>
      <c r="P89" s="210"/>
      <c r="Q89" s="416"/>
      <c r="R89" s="166"/>
      <c r="S89" s="415"/>
      <c r="T89" s="210"/>
      <c r="U89" s="415"/>
      <c r="V89" s="210"/>
      <c r="W89" s="415"/>
      <c r="X89" s="210"/>
      <c r="Y89" s="8"/>
      <c r="Z89" s="8"/>
      <c r="AA89" s="8"/>
      <c r="AB89" s="8"/>
      <c r="AC89" s="8"/>
      <c r="AD89" s="8"/>
      <c r="AE89" s="8"/>
      <c r="AF89" s="8"/>
      <c r="AG89" s="8"/>
      <c r="AH89" s="8"/>
      <c r="AI89" s="8"/>
      <c r="AJ89" s="8"/>
      <c r="AK89" s="8"/>
      <c r="AL89" s="8"/>
      <c r="AM89" s="8"/>
      <c r="AN89" s="8"/>
      <c r="AO89" s="8"/>
      <c r="AP89" s="8"/>
      <c r="AQ89" s="8"/>
      <c r="AR89" s="8"/>
      <c r="AS89" s="8"/>
      <c r="AT89" s="8"/>
    </row>
    <row r="90">
      <c r="A90" s="415"/>
      <c r="B90" s="210"/>
      <c r="C90" s="415"/>
      <c r="D90" s="210"/>
      <c r="E90" s="415"/>
      <c r="F90" s="210"/>
      <c r="G90" s="415"/>
      <c r="H90" s="210"/>
      <c r="I90" s="423"/>
      <c r="J90" s="156"/>
      <c r="K90" s="423"/>
      <c r="L90" s="156"/>
      <c r="M90" s="415"/>
      <c r="N90" s="210"/>
      <c r="O90" s="415"/>
      <c r="P90" s="210"/>
      <c r="Q90" s="416"/>
      <c r="R90" s="166"/>
      <c r="S90" s="415"/>
      <c r="T90" s="210"/>
      <c r="U90" s="415"/>
      <c r="V90" s="210"/>
      <c r="W90" s="415"/>
      <c r="X90" s="210"/>
      <c r="Y90" s="8"/>
      <c r="Z90" s="8"/>
      <c r="AA90" s="8"/>
      <c r="AB90" s="8"/>
      <c r="AC90" s="8"/>
      <c r="AD90" s="8"/>
      <c r="AE90" s="8"/>
      <c r="AF90" s="8"/>
      <c r="AG90" s="8"/>
      <c r="AH90" s="8"/>
      <c r="AI90" s="8"/>
      <c r="AJ90" s="8"/>
      <c r="AK90" s="8"/>
      <c r="AL90" s="8"/>
      <c r="AM90" s="8"/>
      <c r="AN90" s="8"/>
      <c r="AO90" s="8"/>
      <c r="AP90" s="8"/>
      <c r="AQ90" s="8"/>
      <c r="AR90" s="8"/>
      <c r="AS90" s="8"/>
      <c r="AT90" s="8"/>
    </row>
    <row r="91">
      <c r="A91" s="415"/>
      <c r="B91" s="210"/>
      <c r="C91" s="415"/>
      <c r="D91" s="210"/>
      <c r="E91" s="415"/>
      <c r="F91" s="210"/>
      <c r="G91" s="415"/>
      <c r="H91" s="210"/>
      <c r="I91" s="423"/>
      <c r="J91" s="156"/>
      <c r="K91" s="423"/>
      <c r="L91" s="156"/>
      <c r="M91" s="415"/>
      <c r="N91" s="210"/>
      <c r="O91" s="415"/>
      <c r="P91" s="210"/>
      <c r="Q91" s="416"/>
      <c r="R91" s="166"/>
      <c r="S91" s="415"/>
      <c r="T91" s="210"/>
      <c r="U91" s="415"/>
      <c r="V91" s="210"/>
      <c r="W91" s="415"/>
      <c r="X91" s="210"/>
      <c r="Y91" s="8"/>
      <c r="Z91" s="8"/>
      <c r="AA91" s="8"/>
      <c r="AB91" s="8"/>
      <c r="AC91" s="8"/>
      <c r="AD91" s="8"/>
      <c r="AE91" s="8"/>
      <c r="AF91" s="8"/>
      <c r="AG91" s="8"/>
      <c r="AH91" s="8"/>
      <c r="AI91" s="8"/>
      <c r="AJ91" s="8"/>
      <c r="AK91" s="8"/>
      <c r="AL91" s="8"/>
      <c r="AM91" s="8"/>
      <c r="AN91" s="8"/>
      <c r="AO91" s="8"/>
      <c r="AP91" s="8"/>
      <c r="AQ91" s="8"/>
      <c r="AR91" s="8"/>
      <c r="AS91" s="8"/>
      <c r="AT91" s="8"/>
    </row>
    <row r="92">
      <c r="A92" s="415"/>
      <c r="B92" s="210"/>
      <c r="C92" s="415"/>
      <c r="D92" s="210"/>
      <c r="E92" s="415"/>
      <c r="F92" s="210"/>
      <c r="G92" s="415"/>
      <c r="H92" s="210"/>
      <c r="I92" s="423"/>
      <c r="J92" s="156"/>
      <c r="K92" s="423"/>
      <c r="L92" s="156"/>
      <c r="M92" s="415"/>
      <c r="N92" s="210"/>
      <c r="O92" s="415"/>
      <c r="P92" s="210"/>
      <c r="Q92" s="416"/>
      <c r="R92" s="166"/>
      <c r="S92" s="415"/>
      <c r="T92" s="210"/>
      <c r="U92" s="415"/>
      <c r="V92" s="210"/>
      <c r="W92" s="415"/>
      <c r="X92" s="210"/>
      <c r="Y92" s="8"/>
      <c r="Z92" s="8"/>
      <c r="AA92" s="8"/>
      <c r="AB92" s="8"/>
      <c r="AC92" s="8"/>
      <c r="AD92" s="8"/>
      <c r="AE92" s="8"/>
      <c r="AF92" s="8"/>
      <c r="AG92" s="8"/>
      <c r="AH92" s="8"/>
      <c r="AI92" s="8"/>
      <c r="AJ92" s="8"/>
      <c r="AK92" s="8"/>
      <c r="AL92" s="8"/>
      <c r="AM92" s="8"/>
      <c r="AN92" s="8"/>
      <c r="AO92" s="8"/>
      <c r="AP92" s="8"/>
      <c r="AQ92" s="8"/>
      <c r="AR92" s="8"/>
      <c r="AS92" s="8"/>
      <c r="AT92" s="8"/>
    </row>
    <row r="93">
      <c r="A93" s="415"/>
      <c r="B93" s="210"/>
      <c r="C93" s="415"/>
      <c r="D93" s="210"/>
      <c r="E93" s="415"/>
      <c r="F93" s="210"/>
      <c r="G93" s="415"/>
      <c r="H93" s="210"/>
      <c r="I93" s="423"/>
      <c r="J93" s="156"/>
      <c r="K93" s="423"/>
      <c r="L93" s="156"/>
      <c r="M93" s="415"/>
      <c r="N93" s="210"/>
      <c r="O93" s="415"/>
      <c r="P93" s="210"/>
      <c r="Q93" s="416"/>
      <c r="R93" s="166"/>
      <c r="S93" s="415"/>
      <c r="T93" s="210"/>
      <c r="U93" s="415"/>
      <c r="V93" s="210"/>
      <c r="W93" s="415"/>
      <c r="X93" s="210"/>
      <c r="Y93" s="8"/>
      <c r="Z93" s="8"/>
      <c r="AA93" s="8"/>
      <c r="AB93" s="8"/>
      <c r="AC93" s="8"/>
      <c r="AD93" s="8"/>
      <c r="AE93" s="8"/>
      <c r="AF93" s="8"/>
      <c r="AG93" s="8"/>
      <c r="AH93" s="8"/>
      <c r="AI93" s="8"/>
      <c r="AJ93" s="8"/>
      <c r="AK93" s="8"/>
      <c r="AL93" s="8"/>
      <c r="AM93" s="8"/>
      <c r="AN93" s="8"/>
      <c r="AO93" s="8"/>
      <c r="AP93" s="8"/>
      <c r="AQ93" s="8"/>
      <c r="AR93" s="8"/>
      <c r="AS93" s="8"/>
      <c r="AT93" s="8"/>
    </row>
    <row r="94">
      <c r="A94" s="415"/>
      <c r="B94" s="210"/>
      <c r="C94" s="415"/>
      <c r="D94" s="210"/>
      <c r="E94" s="415"/>
      <c r="F94" s="210"/>
      <c r="G94" s="415"/>
      <c r="H94" s="210"/>
      <c r="I94" s="423"/>
      <c r="J94" s="156"/>
      <c r="K94" s="423"/>
      <c r="L94" s="156"/>
      <c r="M94" s="415"/>
      <c r="N94" s="210"/>
      <c r="O94" s="415"/>
      <c r="P94" s="210"/>
      <c r="Q94" s="416"/>
      <c r="R94" s="166"/>
      <c r="S94" s="415"/>
      <c r="T94" s="210"/>
      <c r="U94" s="415"/>
      <c r="V94" s="210"/>
      <c r="W94" s="415"/>
      <c r="X94" s="210"/>
      <c r="Y94" s="8"/>
      <c r="Z94" s="8"/>
      <c r="AA94" s="8"/>
      <c r="AB94" s="8"/>
      <c r="AC94" s="8"/>
      <c r="AD94" s="8"/>
      <c r="AE94" s="8"/>
      <c r="AF94" s="8"/>
      <c r="AG94" s="8"/>
      <c r="AH94" s="8"/>
      <c r="AI94" s="8"/>
      <c r="AJ94" s="8"/>
      <c r="AK94" s="8"/>
      <c r="AL94" s="8"/>
      <c r="AM94" s="8"/>
      <c r="AN94" s="8"/>
      <c r="AO94" s="8"/>
      <c r="AP94" s="8"/>
      <c r="AQ94" s="8"/>
      <c r="AR94" s="8"/>
      <c r="AS94" s="8"/>
      <c r="AT94" s="8"/>
    </row>
    <row r="95">
      <c r="A95" s="415"/>
      <c r="B95" s="210"/>
      <c r="C95" s="415"/>
      <c r="D95" s="210"/>
      <c r="E95" s="415"/>
      <c r="F95" s="210"/>
      <c r="G95" s="415"/>
      <c r="H95" s="210"/>
      <c r="I95" s="423"/>
      <c r="J95" s="156"/>
      <c r="K95" s="423"/>
      <c r="L95" s="156"/>
      <c r="M95" s="415"/>
      <c r="N95" s="210"/>
      <c r="O95" s="415"/>
      <c r="P95" s="210"/>
      <c r="Q95" s="416"/>
      <c r="R95" s="166"/>
      <c r="S95" s="415"/>
      <c r="T95" s="210"/>
      <c r="U95" s="415"/>
      <c r="V95" s="210"/>
      <c r="W95" s="415"/>
      <c r="X95" s="210"/>
      <c r="Y95" s="8"/>
      <c r="Z95" s="8"/>
      <c r="AA95" s="8"/>
      <c r="AB95" s="8"/>
      <c r="AC95" s="8"/>
      <c r="AD95" s="8"/>
      <c r="AE95" s="8"/>
      <c r="AF95" s="8"/>
      <c r="AG95" s="8"/>
      <c r="AH95" s="8"/>
      <c r="AI95" s="8"/>
      <c r="AJ95" s="8"/>
      <c r="AK95" s="8"/>
      <c r="AL95" s="8"/>
      <c r="AM95" s="8"/>
      <c r="AN95" s="8"/>
      <c r="AO95" s="8"/>
      <c r="AP95" s="8"/>
      <c r="AQ95" s="8"/>
      <c r="AR95" s="8"/>
      <c r="AS95" s="8"/>
      <c r="AT95" s="8"/>
    </row>
    <row r="96">
      <c r="A96" s="415"/>
      <c r="B96" s="210"/>
      <c r="C96" s="415"/>
      <c r="D96" s="210"/>
      <c r="E96" s="415"/>
      <c r="F96" s="210"/>
      <c r="G96" s="415"/>
      <c r="H96" s="210"/>
      <c r="I96" s="423"/>
      <c r="J96" s="156"/>
      <c r="K96" s="423"/>
      <c r="L96" s="156"/>
      <c r="M96" s="415"/>
      <c r="N96" s="210"/>
      <c r="O96" s="415"/>
      <c r="P96" s="210"/>
      <c r="Q96" s="416"/>
      <c r="R96" s="166"/>
      <c r="S96" s="415"/>
      <c r="T96" s="210"/>
      <c r="U96" s="415"/>
      <c r="V96" s="210"/>
      <c r="W96" s="415"/>
      <c r="X96" s="210"/>
      <c r="Y96" s="8"/>
      <c r="Z96" s="8"/>
      <c r="AA96" s="8"/>
      <c r="AB96" s="8"/>
      <c r="AC96" s="8"/>
      <c r="AD96" s="8"/>
      <c r="AE96" s="8"/>
      <c r="AF96" s="8"/>
      <c r="AG96" s="8"/>
      <c r="AH96" s="8"/>
      <c r="AI96" s="8"/>
      <c r="AJ96" s="8"/>
      <c r="AK96" s="8"/>
      <c r="AL96" s="8"/>
      <c r="AM96" s="8"/>
      <c r="AN96" s="8"/>
      <c r="AO96" s="8"/>
      <c r="AP96" s="8"/>
      <c r="AQ96" s="8"/>
      <c r="AR96" s="8"/>
      <c r="AS96" s="8"/>
      <c r="AT96" s="8"/>
    </row>
    <row r="97">
      <c r="A97" s="415"/>
      <c r="B97" s="210"/>
      <c r="C97" s="415"/>
      <c r="D97" s="210"/>
      <c r="E97" s="415"/>
      <c r="F97" s="210"/>
      <c r="G97" s="415"/>
      <c r="H97" s="210"/>
      <c r="I97" s="423"/>
      <c r="J97" s="156"/>
      <c r="K97" s="423"/>
      <c r="L97" s="156"/>
      <c r="M97" s="415"/>
      <c r="N97" s="210"/>
      <c r="O97" s="415"/>
      <c r="P97" s="210"/>
      <c r="Q97" s="416"/>
      <c r="R97" s="166"/>
      <c r="S97" s="415"/>
      <c r="T97" s="210"/>
      <c r="U97" s="415"/>
      <c r="V97" s="210"/>
      <c r="W97" s="415"/>
      <c r="X97" s="210"/>
      <c r="Y97" s="8"/>
      <c r="Z97" s="8"/>
      <c r="AA97" s="8"/>
      <c r="AB97" s="8"/>
      <c r="AC97" s="8"/>
      <c r="AD97" s="8"/>
      <c r="AE97" s="8"/>
      <c r="AF97" s="8"/>
      <c r="AG97" s="8"/>
      <c r="AH97" s="8"/>
      <c r="AI97" s="8"/>
      <c r="AJ97" s="8"/>
      <c r="AK97" s="8"/>
      <c r="AL97" s="8"/>
      <c r="AM97" s="8"/>
      <c r="AN97" s="8"/>
      <c r="AO97" s="8"/>
      <c r="AP97" s="8"/>
      <c r="AQ97" s="8"/>
      <c r="AR97" s="8"/>
      <c r="AS97" s="8"/>
      <c r="AT97" s="8"/>
    </row>
    <row r="98">
      <c r="A98" s="415"/>
      <c r="B98" s="210"/>
      <c r="C98" s="415"/>
      <c r="D98" s="210"/>
      <c r="E98" s="415"/>
      <c r="F98" s="210"/>
      <c r="G98" s="415"/>
      <c r="H98" s="210"/>
      <c r="I98" s="423"/>
      <c r="J98" s="156"/>
      <c r="K98" s="423"/>
      <c r="L98" s="156"/>
      <c r="M98" s="415"/>
      <c r="N98" s="210"/>
      <c r="O98" s="415"/>
      <c r="P98" s="210"/>
      <c r="Q98" s="416"/>
      <c r="R98" s="166"/>
      <c r="S98" s="415"/>
      <c r="T98" s="210"/>
      <c r="U98" s="415"/>
      <c r="V98" s="210"/>
      <c r="W98" s="415"/>
      <c r="X98" s="210"/>
      <c r="Y98" s="8"/>
      <c r="Z98" s="8"/>
      <c r="AA98" s="8"/>
      <c r="AB98" s="8"/>
      <c r="AC98" s="8"/>
      <c r="AD98" s="8"/>
      <c r="AE98" s="8"/>
      <c r="AF98" s="8"/>
      <c r="AG98" s="8"/>
      <c r="AH98" s="8"/>
      <c r="AI98" s="8"/>
      <c r="AJ98" s="8"/>
      <c r="AK98" s="8"/>
      <c r="AL98" s="8"/>
      <c r="AM98" s="8"/>
      <c r="AN98" s="8"/>
      <c r="AO98" s="8"/>
      <c r="AP98" s="8"/>
      <c r="AQ98" s="8"/>
      <c r="AR98" s="8"/>
      <c r="AS98" s="8"/>
      <c r="AT98" s="8"/>
    </row>
    <row r="99">
      <c r="A99" s="415"/>
      <c r="B99" s="210"/>
      <c r="C99" s="415"/>
      <c r="D99" s="210"/>
      <c r="E99" s="415"/>
      <c r="F99" s="210"/>
      <c r="G99" s="415"/>
      <c r="H99" s="210"/>
      <c r="I99" s="423"/>
      <c r="J99" s="156"/>
      <c r="K99" s="423"/>
      <c r="L99" s="156"/>
      <c r="M99" s="415"/>
      <c r="N99" s="210"/>
      <c r="O99" s="415"/>
      <c r="P99" s="210"/>
      <c r="Q99" s="416"/>
      <c r="R99" s="166"/>
      <c r="S99" s="415"/>
      <c r="T99" s="210"/>
      <c r="U99" s="415"/>
      <c r="V99" s="210"/>
      <c r="W99" s="415"/>
      <c r="X99" s="210"/>
      <c r="Y99" s="8"/>
      <c r="Z99" s="8"/>
      <c r="AA99" s="8"/>
      <c r="AB99" s="8"/>
      <c r="AC99" s="8"/>
      <c r="AD99" s="8"/>
      <c r="AE99" s="8"/>
      <c r="AF99" s="8"/>
      <c r="AG99" s="8"/>
      <c r="AH99" s="8"/>
      <c r="AI99" s="8"/>
      <c r="AJ99" s="8"/>
      <c r="AK99" s="8"/>
      <c r="AL99" s="8"/>
      <c r="AM99" s="8"/>
      <c r="AN99" s="8"/>
      <c r="AO99" s="8"/>
      <c r="AP99" s="8"/>
      <c r="AQ99" s="8"/>
      <c r="AR99" s="8"/>
      <c r="AS99" s="8"/>
      <c r="AT99" s="8"/>
    </row>
    <row r="100">
      <c r="A100" s="415"/>
      <c r="B100" s="210"/>
      <c r="C100" s="415"/>
      <c r="D100" s="210"/>
      <c r="E100" s="415"/>
      <c r="F100" s="210"/>
      <c r="G100" s="415"/>
      <c r="H100" s="210"/>
      <c r="I100" s="423"/>
      <c r="J100" s="156"/>
      <c r="K100" s="423"/>
      <c r="L100" s="156"/>
      <c r="M100" s="415"/>
      <c r="N100" s="210"/>
      <c r="O100" s="415"/>
      <c r="P100" s="210"/>
      <c r="Q100" s="416"/>
      <c r="R100" s="166"/>
      <c r="S100" s="415"/>
      <c r="T100" s="210"/>
      <c r="U100" s="415"/>
      <c r="V100" s="210"/>
      <c r="W100" s="415"/>
      <c r="X100" s="210"/>
      <c r="Y100" s="8"/>
      <c r="Z100" s="8"/>
      <c r="AA100" s="8"/>
      <c r="AB100" s="8"/>
      <c r="AC100" s="8"/>
      <c r="AD100" s="8"/>
      <c r="AE100" s="8"/>
      <c r="AF100" s="8"/>
      <c r="AG100" s="8"/>
      <c r="AH100" s="8"/>
      <c r="AI100" s="8"/>
      <c r="AJ100" s="8"/>
      <c r="AK100" s="8"/>
      <c r="AL100" s="8"/>
      <c r="AM100" s="8"/>
      <c r="AN100" s="8"/>
      <c r="AO100" s="8"/>
      <c r="AP100" s="8"/>
      <c r="AQ100" s="8"/>
      <c r="AR100" s="8"/>
      <c r="AS100" s="8"/>
      <c r="AT100" s="8"/>
    </row>
    <row r="101">
      <c r="A101" s="415"/>
      <c r="B101" s="210"/>
      <c r="C101" s="415"/>
      <c r="D101" s="210"/>
      <c r="E101" s="415"/>
      <c r="F101" s="210"/>
      <c r="G101" s="415"/>
      <c r="H101" s="210"/>
      <c r="I101" s="423"/>
      <c r="J101" s="156"/>
      <c r="K101" s="423"/>
      <c r="L101" s="156"/>
      <c r="M101" s="415"/>
      <c r="N101" s="210"/>
      <c r="O101" s="415"/>
      <c r="P101" s="210"/>
      <c r="Q101" s="416"/>
      <c r="R101" s="166"/>
      <c r="S101" s="415"/>
      <c r="T101" s="210"/>
      <c r="U101" s="415"/>
      <c r="V101" s="210"/>
      <c r="W101" s="415"/>
      <c r="X101" s="210"/>
      <c r="Y101" s="8"/>
      <c r="Z101" s="8"/>
      <c r="AA101" s="8"/>
      <c r="AB101" s="8"/>
      <c r="AC101" s="8"/>
      <c r="AD101" s="8"/>
      <c r="AE101" s="8"/>
      <c r="AF101" s="8"/>
      <c r="AG101" s="8"/>
      <c r="AH101" s="8"/>
      <c r="AI101" s="8"/>
      <c r="AJ101" s="8"/>
      <c r="AK101" s="8"/>
      <c r="AL101" s="8"/>
      <c r="AM101" s="8"/>
      <c r="AN101" s="8"/>
      <c r="AO101" s="8"/>
      <c r="AP101" s="8"/>
      <c r="AQ101" s="8"/>
      <c r="AR101" s="8"/>
      <c r="AS101" s="8"/>
      <c r="AT101" s="8"/>
    </row>
    <row r="102">
      <c r="A102" s="415"/>
      <c r="B102" s="210"/>
      <c r="C102" s="415"/>
      <c r="D102" s="210"/>
      <c r="E102" s="415"/>
      <c r="F102" s="210"/>
      <c r="G102" s="415"/>
      <c r="H102" s="210"/>
      <c r="I102" s="423"/>
      <c r="J102" s="156"/>
      <c r="K102" s="423"/>
      <c r="L102" s="156"/>
      <c r="M102" s="415"/>
      <c r="N102" s="210"/>
      <c r="O102" s="415"/>
      <c r="P102" s="210"/>
      <c r="Q102" s="416"/>
      <c r="R102" s="166"/>
      <c r="S102" s="415"/>
      <c r="T102" s="210"/>
      <c r="U102" s="415"/>
      <c r="V102" s="210"/>
      <c r="W102" s="415"/>
      <c r="X102" s="210"/>
      <c r="Y102" s="8"/>
      <c r="Z102" s="8"/>
      <c r="AA102" s="8"/>
      <c r="AB102" s="8"/>
      <c r="AC102" s="8"/>
      <c r="AD102" s="8"/>
      <c r="AE102" s="8"/>
      <c r="AF102" s="8"/>
      <c r="AG102" s="8"/>
      <c r="AH102" s="8"/>
      <c r="AI102" s="8"/>
      <c r="AJ102" s="8"/>
      <c r="AK102" s="8"/>
      <c r="AL102" s="8"/>
      <c r="AM102" s="8"/>
      <c r="AN102" s="8"/>
      <c r="AO102" s="8"/>
      <c r="AP102" s="8"/>
      <c r="AQ102" s="8"/>
      <c r="AR102" s="8"/>
      <c r="AS102" s="8"/>
      <c r="AT102" s="8"/>
    </row>
    <row r="103">
      <c r="A103" s="415"/>
      <c r="B103" s="210"/>
      <c r="C103" s="415"/>
      <c r="D103" s="210"/>
      <c r="E103" s="415"/>
      <c r="F103" s="210"/>
      <c r="G103" s="415"/>
      <c r="H103" s="210"/>
      <c r="I103" s="423"/>
      <c r="J103" s="156"/>
      <c r="K103" s="423"/>
      <c r="L103" s="156"/>
      <c r="M103" s="415"/>
      <c r="N103" s="210"/>
      <c r="O103" s="415"/>
      <c r="P103" s="210"/>
      <c r="Q103" s="415"/>
      <c r="R103" s="210"/>
      <c r="S103" s="415"/>
      <c r="T103" s="210"/>
      <c r="U103" s="415"/>
      <c r="V103" s="210"/>
      <c r="W103" s="415"/>
      <c r="X103" s="210"/>
      <c r="Y103" s="8"/>
      <c r="Z103" s="8"/>
      <c r="AA103" s="8"/>
      <c r="AB103" s="8"/>
      <c r="AC103" s="8"/>
      <c r="AD103" s="8"/>
      <c r="AE103" s="8"/>
      <c r="AF103" s="8"/>
      <c r="AG103" s="8"/>
      <c r="AH103" s="8"/>
      <c r="AI103" s="8"/>
      <c r="AJ103" s="8"/>
      <c r="AK103" s="8"/>
      <c r="AL103" s="8"/>
      <c r="AM103" s="8"/>
      <c r="AN103" s="8"/>
      <c r="AO103" s="8"/>
      <c r="AP103" s="8"/>
      <c r="AQ103" s="8"/>
      <c r="AR103" s="8"/>
      <c r="AS103" s="8"/>
      <c r="AT103" s="8"/>
    </row>
    <row r="104">
      <c r="A104" s="415"/>
      <c r="B104" s="210"/>
      <c r="C104" s="415"/>
      <c r="D104" s="210"/>
      <c r="E104" s="415"/>
      <c r="F104" s="210"/>
      <c r="G104" s="415"/>
      <c r="H104" s="210"/>
      <c r="I104" s="423"/>
      <c r="J104" s="156"/>
      <c r="K104" s="423"/>
      <c r="L104" s="156"/>
      <c r="M104" s="415"/>
      <c r="N104" s="210"/>
      <c r="O104" s="415"/>
      <c r="P104" s="210"/>
      <c r="Q104" s="415"/>
      <c r="R104" s="210"/>
      <c r="S104" s="415"/>
      <c r="T104" s="210"/>
      <c r="U104" s="415"/>
      <c r="V104" s="210"/>
      <c r="W104" s="415"/>
      <c r="X104" s="210"/>
      <c r="Y104" s="8"/>
      <c r="Z104" s="8"/>
      <c r="AA104" s="8"/>
      <c r="AB104" s="8"/>
      <c r="AC104" s="8"/>
      <c r="AD104" s="8"/>
      <c r="AE104" s="8"/>
      <c r="AF104" s="8"/>
      <c r="AG104" s="8"/>
      <c r="AH104" s="8"/>
      <c r="AI104" s="8"/>
      <c r="AJ104" s="8"/>
      <c r="AK104" s="8"/>
      <c r="AL104" s="8"/>
      <c r="AM104" s="8"/>
      <c r="AN104" s="8"/>
      <c r="AO104" s="8"/>
      <c r="AP104" s="8"/>
      <c r="AQ104" s="8"/>
      <c r="AR104" s="8"/>
      <c r="AS104" s="8"/>
      <c r="AT104" s="8"/>
    </row>
    <row r="105">
      <c r="A105" s="415"/>
      <c r="B105" s="210"/>
      <c r="C105" s="415"/>
      <c r="D105" s="210"/>
      <c r="E105" s="415"/>
      <c r="F105" s="210"/>
      <c r="G105" s="415"/>
      <c r="H105" s="210"/>
      <c r="I105" s="423"/>
      <c r="J105" s="156"/>
      <c r="K105" s="423"/>
      <c r="L105" s="156"/>
      <c r="M105" s="415"/>
      <c r="N105" s="210"/>
      <c r="O105" s="415"/>
      <c r="P105" s="210"/>
      <c r="Q105" s="415"/>
      <c r="R105" s="210"/>
      <c r="S105" s="415"/>
      <c r="T105" s="210"/>
      <c r="U105" s="415"/>
      <c r="V105" s="210"/>
      <c r="W105" s="415"/>
      <c r="X105" s="210"/>
      <c r="Y105" s="8"/>
      <c r="Z105" s="8"/>
      <c r="AA105" s="8"/>
      <c r="AB105" s="8"/>
      <c r="AC105" s="8"/>
      <c r="AD105" s="8"/>
      <c r="AE105" s="8"/>
      <c r="AF105" s="8"/>
      <c r="AG105" s="8"/>
      <c r="AH105" s="8"/>
      <c r="AI105" s="8"/>
      <c r="AJ105" s="8"/>
      <c r="AK105" s="8"/>
      <c r="AL105" s="8"/>
      <c r="AM105" s="8"/>
      <c r="AN105" s="8"/>
      <c r="AO105" s="8"/>
      <c r="AP105" s="8"/>
      <c r="AQ105" s="8"/>
      <c r="AR105" s="8"/>
      <c r="AS105" s="8"/>
      <c r="AT105" s="8"/>
    </row>
    <row r="106">
      <c r="A106" s="415"/>
      <c r="B106" s="210"/>
      <c r="C106" s="415"/>
      <c r="D106" s="210"/>
      <c r="E106" s="415"/>
      <c r="F106" s="210"/>
      <c r="G106" s="415"/>
      <c r="H106" s="210"/>
      <c r="I106" s="423"/>
      <c r="J106" s="156"/>
      <c r="K106" s="423"/>
      <c r="L106" s="156"/>
      <c r="M106" s="415"/>
      <c r="N106" s="210"/>
      <c r="O106" s="415"/>
      <c r="P106" s="210"/>
      <c r="Q106" s="415"/>
      <c r="R106" s="210"/>
      <c r="S106" s="415"/>
      <c r="T106" s="210"/>
      <c r="U106" s="415"/>
      <c r="V106" s="210"/>
      <c r="W106" s="415"/>
      <c r="X106" s="210"/>
      <c r="Y106" s="8"/>
      <c r="Z106" s="8"/>
      <c r="AA106" s="8"/>
      <c r="AB106" s="8"/>
      <c r="AC106" s="8"/>
      <c r="AD106" s="8"/>
      <c r="AE106" s="8"/>
      <c r="AF106" s="8"/>
      <c r="AG106" s="8"/>
      <c r="AH106" s="8"/>
      <c r="AI106" s="8"/>
      <c r="AJ106" s="8"/>
      <c r="AK106" s="8"/>
      <c r="AL106" s="8"/>
      <c r="AM106" s="8"/>
      <c r="AN106" s="8"/>
      <c r="AO106" s="8"/>
      <c r="AP106" s="8"/>
      <c r="AQ106" s="8"/>
      <c r="AR106" s="8"/>
      <c r="AS106" s="8"/>
      <c r="AT106" s="8"/>
    </row>
    <row r="107">
      <c r="A107" s="415"/>
      <c r="B107" s="210"/>
      <c r="C107" s="415"/>
      <c r="D107" s="210"/>
      <c r="E107" s="415"/>
      <c r="F107" s="210"/>
      <c r="G107" s="415"/>
      <c r="H107" s="210"/>
      <c r="I107" s="423"/>
      <c r="J107" s="156"/>
      <c r="K107" s="423"/>
      <c r="L107" s="156"/>
      <c r="M107" s="415"/>
      <c r="N107" s="210"/>
      <c r="O107" s="415"/>
      <c r="P107" s="210"/>
      <c r="Q107" s="415"/>
      <c r="R107" s="210"/>
      <c r="S107" s="415"/>
      <c r="T107" s="210"/>
      <c r="U107" s="415"/>
      <c r="V107" s="210"/>
      <c r="W107" s="415"/>
      <c r="X107" s="210"/>
      <c r="Y107" s="8"/>
      <c r="Z107" s="8"/>
      <c r="AA107" s="8"/>
      <c r="AB107" s="8"/>
      <c r="AC107" s="8"/>
      <c r="AD107" s="8"/>
      <c r="AE107" s="8"/>
      <c r="AF107" s="8"/>
      <c r="AG107" s="8"/>
      <c r="AH107" s="8"/>
      <c r="AI107" s="8"/>
      <c r="AJ107" s="8"/>
      <c r="AK107" s="8"/>
      <c r="AL107" s="8"/>
      <c r="AM107" s="8"/>
      <c r="AN107" s="8"/>
      <c r="AO107" s="8"/>
      <c r="AP107" s="8"/>
      <c r="AQ107" s="8"/>
      <c r="AR107" s="8"/>
      <c r="AS107" s="8"/>
      <c r="AT107" s="8"/>
    </row>
    <row r="108">
      <c r="A108" s="415"/>
      <c r="B108" s="210"/>
      <c r="C108" s="415"/>
      <c r="D108" s="210"/>
      <c r="E108" s="415"/>
      <c r="F108" s="210"/>
      <c r="G108" s="415"/>
      <c r="H108" s="210"/>
      <c r="I108" s="423"/>
      <c r="J108" s="156"/>
      <c r="K108" s="423"/>
      <c r="L108" s="156"/>
      <c r="M108" s="415"/>
      <c r="N108" s="210"/>
      <c r="O108" s="415"/>
      <c r="P108" s="210"/>
      <c r="Q108" s="415"/>
      <c r="R108" s="210"/>
      <c r="S108" s="415"/>
      <c r="T108" s="210"/>
      <c r="U108" s="415"/>
      <c r="V108" s="210"/>
      <c r="W108" s="415"/>
      <c r="X108" s="210"/>
      <c r="Y108" s="8"/>
      <c r="Z108" s="8"/>
      <c r="AA108" s="8"/>
      <c r="AB108" s="8"/>
      <c r="AC108" s="8"/>
      <c r="AD108" s="8"/>
      <c r="AE108" s="8"/>
      <c r="AF108" s="8"/>
      <c r="AG108" s="8"/>
      <c r="AH108" s="8"/>
      <c r="AI108" s="8"/>
      <c r="AJ108" s="8"/>
      <c r="AK108" s="8"/>
      <c r="AL108" s="8"/>
      <c r="AM108" s="8"/>
      <c r="AN108" s="8"/>
      <c r="AO108" s="8"/>
      <c r="AP108" s="8"/>
      <c r="AQ108" s="8"/>
      <c r="AR108" s="8"/>
      <c r="AS108" s="8"/>
      <c r="AT108" s="8"/>
    </row>
    <row r="109">
      <c r="A109" s="415"/>
      <c r="B109" s="210"/>
      <c r="C109" s="415"/>
      <c r="D109" s="210"/>
      <c r="E109" s="415"/>
      <c r="F109" s="210"/>
      <c r="G109" s="415"/>
      <c r="H109" s="210"/>
      <c r="I109" s="423"/>
      <c r="J109" s="156"/>
      <c r="K109" s="423"/>
      <c r="L109" s="156"/>
      <c r="M109" s="415"/>
      <c r="N109" s="210"/>
      <c r="O109" s="415"/>
      <c r="P109" s="210"/>
      <c r="Q109" s="415"/>
      <c r="R109" s="210"/>
      <c r="S109" s="415"/>
      <c r="T109" s="210"/>
      <c r="U109" s="415"/>
      <c r="V109" s="210"/>
      <c r="W109" s="415"/>
      <c r="X109" s="210"/>
      <c r="Y109" s="8"/>
      <c r="Z109" s="8"/>
      <c r="AA109" s="8"/>
      <c r="AB109" s="8"/>
      <c r="AC109" s="8"/>
      <c r="AD109" s="8"/>
      <c r="AE109" s="8"/>
      <c r="AF109" s="8"/>
      <c r="AG109" s="8"/>
      <c r="AH109" s="8"/>
      <c r="AI109" s="8"/>
      <c r="AJ109" s="8"/>
      <c r="AK109" s="8"/>
      <c r="AL109" s="8"/>
      <c r="AM109" s="8"/>
      <c r="AN109" s="8"/>
      <c r="AO109" s="8"/>
      <c r="AP109" s="8"/>
      <c r="AQ109" s="8"/>
      <c r="AR109" s="8"/>
      <c r="AS109" s="8"/>
      <c r="AT109" s="8"/>
    </row>
    <row r="110">
      <c r="A110" s="415"/>
      <c r="B110" s="210"/>
      <c r="C110" s="415"/>
      <c r="D110" s="210"/>
      <c r="E110" s="415"/>
      <c r="F110" s="210"/>
      <c r="G110" s="415"/>
      <c r="H110" s="210"/>
      <c r="I110" s="423"/>
      <c r="J110" s="156"/>
      <c r="K110" s="423"/>
      <c r="L110" s="156"/>
      <c r="M110" s="415"/>
      <c r="N110" s="210"/>
      <c r="O110" s="415"/>
      <c r="P110" s="210"/>
      <c r="Q110" s="415"/>
      <c r="R110" s="210"/>
      <c r="S110" s="415"/>
      <c r="T110" s="210"/>
      <c r="U110" s="415"/>
      <c r="V110" s="210"/>
      <c r="W110" s="415"/>
      <c r="X110" s="210"/>
      <c r="Y110" s="8"/>
      <c r="Z110" s="8"/>
      <c r="AA110" s="8"/>
      <c r="AB110" s="8"/>
      <c r="AC110" s="8"/>
      <c r="AD110" s="8"/>
      <c r="AE110" s="8"/>
      <c r="AF110" s="8"/>
      <c r="AG110" s="8"/>
      <c r="AH110" s="8"/>
      <c r="AI110" s="8"/>
      <c r="AJ110" s="8"/>
      <c r="AK110" s="8"/>
      <c r="AL110" s="8"/>
      <c r="AM110" s="8"/>
      <c r="AN110" s="8"/>
      <c r="AO110" s="8"/>
      <c r="AP110" s="8"/>
      <c r="AQ110" s="8"/>
      <c r="AR110" s="8"/>
      <c r="AS110" s="8"/>
      <c r="AT110" s="8"/>
    </row>
    <row r="111">
      <c r="A111" s="415"/>
      <c r="B111" s="210"/>
      <c r="C111" s="415"/>
      <c r="D111" s="210"/>
      <c r="E111" s="415"/>
      <c r="F111" s="210"/>
      <c r="G111" s="415"/>
      <c r="H111" s="210"/>
      <c r="I111" s="423"/>
      <c r="J111" s="156"/>
      <c r="K111" s="423"/>
      <c r="L111" s="156"/>
      <c r="M111" s="415"/>
      <c r="N111" s="210"/>
      <c r="O111" s="415"/>
      <c r="P111" s="210"/>
      <c r="Q111" s="415"/>
      <c r="R111" s="210"/>
      <c r="S111" s="415"/>
      <c r="T111" s="210"/>
      <c r="U111" s="415"/>
      <c r="V111" s="210"/>
      <c r="W111" s="415"/>
      <c r="X111" s="210"/>
      <c r="Y111" s="8"/>
      <c r="Z111" s="8"/>
      <c r="AA111" s="8"/>
      <c r="AB111" s="8"/>
      <c r="AC111" s="8"/>
      <c r="AD111" s="8"/>
      <c r="AE111" s="8"/>
      <c r="AF111" s="8"/>
      <c r="AG111" s="8"/>
      <c r="AH111" s="8"/>
      <c r="AI111" s="8"/>
      <c r="AJ111" s="8"/>
      <c r="AK111" s="8"/>
      <c r="AL111" s="8"/>
      <c r="AM111" s="8"/>
      <c r="AN111" s="8"/>
      <c r="AO111" s="8"/>
      <c r="AP111" s="8"/>
      <c r="AQ111" s="8"/>
      <c r="AR111" s="8"/>
      <c r="AS111" s="8"/>
      <c r="AT111" s="8"/>
    </row>
    <row r="112">
      <c r="A112" s="415"/>
      <c r="B112" s="210"/>
      <c r="C112" s="415"/>
      <c r="D112" s="210"/>
      <c r="E112" s="415"/>
      <c r="F112" s="210"/>
      <c r="G112" s="415"/>
      <c r="H112" s="210"/>
      <c r="I112" s="423"/>
      <c r="J112" s="156"/>
      <c r="K112" s="423"/>
      <c r="L112" s="156"/>
      <c r="M112" s="415"/>
      <c r="N112" s="210"/>
      <c r="O112" s="415"/>
      <c r="P112" s="210"/>
      <c r="Q112" s="415"/>
      <c r="R112" s="210"/>
      <c r="S112" s="415"/>
      <c r="T112" s="210"/>
      <c r="U112" s="415"/>
      <c r="V112" s="210"/>
      <c r="W112" s="415"/>
      <c r="X112" s="210"/>
      <c r="Y112" s="8"/>
      <c r="Z112" s="8"/>
      <c r="AA112" s="8"/>
      <c r="AB112" s="8"/>
      <c r="AC112" s="8"/>
      <c r="AD112" s="8"/>
      <c r="AE112" s="8"/>
      <c r="AF112" s="8"/>
      <c r="AG112" s="8"/>
      <c r="AH112" s="8"/>
      <c r="AI112" s="8"/>
      <c r="AJ112" s="8"/>
      <c r="AK112" s="8"/>
      <c r="AL112" s="8"/>
      <c r="AM112" s="8"/>
      <c r="AN112" s="8"/>
      <c r="AO112" s="8"/>
      <c r="AP112" s="8"/>
      <c r="AQ112" s="8"/>
      <c r="AR112" s="8"/>
      <c r="AS112" s="8"/>
      <c r="AT112" s="8"/>
    </row>
    <row r="113">
      <c r="A113" s="415"/>
      <c r="B113" s="210"/>
      <c r="C113" s="415"/>
      <c r="D113" s="210"/>
      <c r="E113" s="415"/>
      <c r="F113" s="210"/>
      <c r="G113" s="415"/>
      <c r="H113" s="210"/>
      <c r="I113" s="423"/>
      <c r="J113" s="156"/>
      <c r="K113" s="423"/>
      <c r="L113" s="156"/>
      <c r="M113" s="415"/>
      <c r="N113" s="210"/>
      <c r="O113" s="415"/>
      <c r="P113" s="210"/>
      <c r="Q113" s="415"/>
      <c r="R113" s="210"/>
      <c r="S113" s="415"/>
      <c r="T113" s="210"/>
      <c r="U113" s="415"/>
      <c r="V113" s="210"/>
      <c r="W113" s="415"/>
      <c r="X113" s="210"/>
      <c r="Y113" s="8"/>
      <c r="Z113" s="8"/>
      <c r="AA113" s="8"/>
      <c r="AB113" s="8"/>
      <c r="AC113" s="8"/>
      <c r="AD113" s="8"/>
      <c r="AE113" s="8"/>
      <c r="AF113" s="8"/>
      <c r="AG113" s="8"/>
      <c r="AH113" s="8"/>
      <c r="AI113" s="8"/>
      <c r="AJ113" s="8"/>
      <c r="AK113" s="8"/>
      <c r="AL113" s="8"/>
      <c r="AM113" s="8"/>
      <c r="AN113" s="8"/>
      <c r="AO113" s="8"/>
      <c r="AP113" s="8"/>
      <c r="AQ113" s="8"/>
      <c r="AR113" s="8"/>
      <c r="AS113" s="8"/>
      <c r="AT113" s="8"/>
    </row>
    <row r="114">
      <c r="A114" s="415"/>
      <c r="B114" s="210"/>
      <c r="C114" s="415"/>
      <c r="D114" s="210"/>
      <c r="E114" s="415"/>
      <c r="F114" s="210"/>
      <c r="G114" s="415"/>
      <c r="H114" s="210"/>
      <c r="I114" s="423"/>
      <c r="J114" s="156"/>
      <c r="K114" s="423"/>
      <c r="L114" s="156"/>
      <c r="M114" s="415"/>
      <c r="N114" s="210"/>
      <c r="O114" s="415"/>
      <c r="P114" s="210"/>
      <c r="Q114" s="415"/>
      <c r="R114" s="210"/>
      <c r="S114" s="415"/>
      <c r="T114" s="210"/>
      <c r="U114" s="415"/>
      <c r="V114" s="210"/>
      <c r="W114" s="415"/>
      <c r="X114" s="210"/>
      <c r="Y114" s="8"/>
      <c r="Z114" s="8"/>
      <c r="AA114" s="8"/>
      <c r="AB114" s="8"/>
      <c r="AC114" s="8"/>
      <c r="AD114" s="8"/>
      <c r="AE114" s="8"/>
      <c r="AF114" s="8"/>
      <c r="AG114" s="8"/>
      <c r="AH114" s="8"/>
      <c r="AI114" s="8"/>
      <c r="AJ114" s="8"/>
      <c r="AK114" s="8"/>
      <c r="AL114" s="8"/>
      <c r="AM114" s="8"/>
      <c r="AN114" s="8"/>
      <c r="AO114" s="8"/>
      <c r="AP114" s="8"/>
      <c r="AQ114" s="8"/>
      <c r="AR114" s="8"/>
      <c r="AS114" s="8"/>
      <c r="AT114" s="8"/>
    </row>
    <row r="115">
      <c r="A115" s="415"/>
      <c r="B115" s="210"/>
      <c r="C115" s="415"/>
      <c r="D115" s="210"/>
      <c r="E115" s="415"/>
      <c r="F115" s="210"/>
      <c r="G115" s="415"/>
      <c r="H115" s="210"/>
      <c r="I115" s="423"/>
      <c r="J115" s="156"/>
      <c r="K115" s="423"/>
      <c r="L115" s="156"/>
      <c r="M115" s="415"/>
      <c r="N115" s="210"/>
      <c r="O115" s="415"/>
      <c r="P115" s="210"/>
      <c r="Q115" s="415"/>
      <c r="R115" s="210"/>
      <c r="S115" s="415"/>
      <c r="T115" s="210"/>
      <c r="U115" s="415"/>
      <c r="V115" s="210"/>
      <c r="W115" s="415"/>
      <c r="X115" s="210"/>
      <c r="Y115" s="8"/>
      <c r="Z115" s="8"/>
      <c r="AA115" s="8"/>
      <c r="AB115" s="8"/>
      <c r="AC115" s="8"/>
      <c r="AD115" s="8"/>
      <c r="AE115" s="8"/>
      <c r="AF115" s="8"/>
      <c r="AG115" s="8"/>
      <c r="AH115" s="8"/>
      <c r="AI115" s="8"/>
      <c r="AJ115" s="8"/>
      <c r="AK115" s="8"/>
      <c r="AL115" s="8"/>
      <c r="AM115" s="8"/>
      <c r="AN115" s="8"/>
      <c r="AO115" s="8"/>
      <c r="AP115" s="8"/>
      <c r="AQ115" s="8"/>
      <c r="AR115" s="8"/>
      <c r="AS115" s="8"/>
      <c r="AT115" s="8"/>
    </row>
    <row r="116">
      <c r="A116" s="415"/>
      <c r="B116" s="210"/>
      <c r="C116" s="415"/>
      <c r="D116" s="210"/>
      <c r="E116" s="415"/>
      <c r="F116" s="210"/>
      <c r="G116" s="415"/>
      <c r="H116" s="210"/>
      <c r="I116" s="423"/>
      <c r="J116" s="156"/>
      <c r="K116" s="423"/>
      <c r="L116" s="156"/>
      <c r="M116" s="415"/>
      <c r="N116" s="210"/>
      <c r="O116" s="415"/>
      <c r="P116" s="210"/>
      <c r="Q116" s="415"/>
      <c r="R116" s="210"/>
      <c r="S116" s="415"/>
      <c r="T116" s="210"/>
      <c r="U116" s="415"/>
      <c r="V116" s="210"/>
      <c r="W116" s="415"/>
      <c r="X116" s="210"/>
      <c r="Y116" s="8"/>
      <c r="Z116" s="8"/>
      <c r="AA116" s="8"/>
      <c r="AB116" s="8"/>
      <c r="AC116" s="8"/>
      <c r="AD116" s="8"/>
      <c r="AE116" s="8"/>
      <c r="AF116" s="8"/>
      <c r="AG116" s="8"/>
      <c r="AH116" s="8"/>
      <c r="AI116" s="8"/>
      <c r="AJ116" s="8"/>
      <c r="AK116" s="8"/>
      <c r="AL116" s="8"/>
      <c r="AM116" s="8"/>
      <c r="AN116" s="8"/>
      <c r="AO116" s="8"/>
      <c r="AP116" s="8"/>
      <c r="AQ116" s="8"/>
      <c r="AR116" s="8"/>
      <c r="AS116" s="8"/>
      <c r="AT116" s="8"/>
    </row>
    <row r="117">
      <c r="A117" s="415"/>
      <c r="B117" s="210"/>
      <c r="C117" s="415"/>
      <c r="D117" s="210"/>
      <c r="E117" s="415"/>
      <c r="F117" s="210"/>
      <c r="G117" s="415"/>
      <c r="H117" s="210"/>
      <c r="I117" s="423"/>
      <c r="J117" s="156"/>
      <c r="K117" s="423"/>
      <c r="L117" s="156"/>
      <c r="M117" s="415"/>
      <c r="N117" s="210"/>
      <c r="O117" s="415"/>
      <c r="P117" s="210"/>
      <c r="Q117" s="415"/>
      <c r="R117" s="210"/>
      <c r="S117" s="415"/>
      <c r="T117" s="210"/>
      <c r="U117" s="415"/>
      <c r="V117" s="210"/>
      <c r="W117" s="415"/>
      <c r="X117" s="210"/>
      <c r="Y117" s="8"/>
      <c r="Z117" s="8"/>
      <c r="AA117" s="8"/>
      <c r="AB117" s="8"/>
      <c r="AC117" s="8"/>
      <c r="AD117" s="8"/>
      <c r="AE117" s="8"/>
      <c r="AF117" s="8"/>
      <c r="AG117" s="8"/>
      <c r="AH117" s="8"/>
      <c r="AI117" s="8"/>
      <c r="AJ117" s="8"/>
      <c r="AK117" s="8"/>
      <c r="AL117" s="8"/>
      <c r="AM117" s="8"/>
      <c r="AN117" s="8"/>
      <c r="AO117" s="8"/>
      <c r="AP117" s="8"/>
      <c r="AQ117" s="8"/>
      <c r="AR117" s="8"/>
      <c r="AS117" s="8"/>
      <c r="AT117" s="8"/>
    </row>
    <row r="118">
      <c r="A118" s="415"/>
      <c r="B118" s="210"/>
      <c r="C118" s="415"/>
      <c r="D118" s="210"/>
      <c r="E118" s="415"/>
      <c r="F118" s="210"/>
      <c r="G118" s="415"/>
      <c r="H118" s="210"/>
      <c r="I118" s="423"/>
      <c r="J118" s="156"/>
      <c r="K118" s="423"/>
      <c r="L118" s="156"/>
      <c r="M118" s="415"/>
      <c r="N118" s="210"/>
      <c r="O118" s="415"/>
      <c r="P118" s="210"/>
      <c r="Q118" s="415"/>
      <c r="R118" s="210"/>
      <c r="S118" s="415"/>
      <c r="T118" s="210"/>
      <c r="U118" s="415"/>
      <c r="V118" s="210"/>
      <c r="W118" s="415"/>
      <c r="X118" s="210"/>
      <c r="Y118" s="8"/>
      <c r="Z118" s="8"/>
      <c r="AA118" s="8"/>
      <c r="AB118" s="8"/>
      <c r="AC118" s="8"/>
      <c r="AD118" s="8"/>
      <c r="AE118" s="8"/>
      <c r="AF118" s="8"/>
      <c r="AG118" s="8"/>
      <c r="AH118" s="8"/>
      <c r="AI118" s="8"/>
      <c r="AJ118" s="8"/>
      <c r="AK118" s="8"/>
      <c r="AL118" s="8"/>
      <c r="AM118" s="8"/>
      <c r="AN118" s="8"/>
      <c r="AO118" s="8"/>
      <c r="AP118" s="8"/>
      <c r="AQ118" s="8"/>
      <c r="AR118" s="8"/>
      <c r="AS118" s="8"/>
      <c r="AT118" s="8"/>
    </row>
    <row r="119">
      <c r="A119" s="415"/>
      <c r="B119" s="210"/>
      <c r="C119" s="415"/>
      <c r="D119" s="210"/>
      <c r="E119" s="415"/>
      <c r="F119" s="210"/>
      <c r="G119" s="415"/>
      <c r="H119" s="210"/>
      <c r="I119" s="423"/>
      <c r="J119" s="156"/>
      <c r="K119" s="423"/>
      <c r="L119" s="156"/>
      <c r="M119" s="415"/>
      <c r="N119" s="210"/>
      <c r="O119" s="415"/>
      <c r="P119" s="210"/>
      <c r="Q119" s="415"/>
      <c r="R119" s="210"/>
      <c r="S119" s="415"/>
      <c r="T119" s="210"/>
      <c r="U119" s="415"/>
      <c r="V119" s="210"/>
      <c r="W119" s="415"/>
      <c r="X119" s="210"/>
      <c r="Y119" s="8"/>
      <c r="Z119" s="8"/>
      <c r="AA119" s="8"/>
      <c r="AB119" s="8"/>
      <c r="AC119" s="8"/>
      <c r="AD119" s="8"/>
      <c r="AE119" s="8"/>
      <c r="AF119" s="8"/>
      <c r="AG119" s="8"/>
      <c r="AH119" s="8"/>
      <c r="AI119" s="8"/>
      <c r="AJ119" s="8"/>
      <c r="AK119" s="8"/>
      <c r="AL119" s="8"/>
      <c r="AM119" s="8"/>
      <c r="AN119" s="8"/>
      <c r="AO119" s="8"/>
      <c r="AP119" s="8"/>
      <c r="AQ119" s="8"/>
      <c r="AR119" s="8"/>
      <c r="AS119" s="8"/>
      <c r="AT119" s="8"/>
    </row>
    <row r="120">
      <c r="A120" s="415"/>
      <c r="B120" s="210"/>
      <c r="C120" s="415"/>
      <c r="D120" s="210"/>
      <c r="E120" s="415"/>
      <c r="F120" s="210"/>
      <c r="G120" s="415"/>
      <c r="H120" s="210"/>
      <c r="I120" s="423"/>
      <c r="J120" s="156"/>
      <c r="K120" s="423"/>
      <c r="L120" s="156"/>
      <c r="M120" s="415"/>
      <c r="N120" s="210"/>
      <c r="O120" s="415"/>
      <c r="P120" s="210"/>
      <c r="Q120" s="415"/>
      <c r="R120" s="210"/>
      <c r="S120" s="415"/>
      <c r="T120" s="210"/>
      <c r="U120" s="415"/>
      <c r="V120" s="210"/>
      <c r="W120" s="415"/>
      <c r="X120" s="210"/>
      <c r="Y120" s="8"/>
      <c r="Z120" s="8"/>
      <c r="AA120" s="8"/>
      <c r="AB120" s="8"/>
      <c r="AC120" s="8"/>
      <c r="AD120" s="8"/>
      <c r="AE120" s="8"/>
      <c r="AF120" s="8"/>
      <c r="AG120" s="8"/>
      <c r="AH120" s="8"/>
      <c r="AI120" s="8"/>
      <c r="AJ120" s="8"/>
      <c r="AK120" s="8"/>
      <c r="AL120" s="8"/>
      <c r="AM120" s="8"/>
      <c r="AN120" s="8"/>
      <c r="AO120" s="8"/>
      <c r="AP120" s="8"/>
      <c r="AQ120" s="8"/>
      <c r="AR120" s="8"/>
      <c r="AS120" s="8"/>
      <c r="AT120" s="8"/>
    </row>
    <row r="121">
      <c r="A121" s="415"/>
      <c r="B121" s="210"/>
      <c r="C121" s="415"/>
      <c r="D121" s="210"/>
      <c r="E121" s="415"/>
      <c r="F121" s="210"/>
      <c r="G121" s="415"/>
      <c r="H121" s="210"/>
      <c r="I121" s="423"/>
      <c r="J121" s="156"/>
      <c r="K121" s="423"/>
      <c r="L121" s="156"/>
      <c r="M121" s="415"/>
      <c r="N121" s="210"/>
      <c r="O121" s="415"/>
      <c r="P121" s="210"/>
      <c r="Q121" s="415"/>
      <c r="R121" s="210"/>
      <c r="S121" s="415"/>
      <c r="T121" s="210"/>
      <c r="U121" s="415"/>
      <c r="V121" s="210"/>
      <c r="W121" s="415"/>
      <c r="X121" s="210"/>
      <c r="Y121" s="8"/>
      <c r="Z121" s="8"/>
      <c r="AA121" s="8"/>
      <c r="AB121" s="8"/>
      <c r="AC121" s="8"/>
      <c r="AD121" s="8"/>
      <c r="AE121" s="8"/>
      <c r="AF121" s="8"/>
      <c r="AG121" s="8"/>
      <c r="AH121" s="8"/>
      <c r="AI121" s="8"/>
      <c r="AJ121" s="8"/>
      <c r="AK121" s="8"/>
      <c r="AL121" s="8"/>
      <c r="AM121" s="8"/>
      <c r="AN121" s="8"/>
      <c r="AO121" s="8"/>
      <c r="AP121" s="8"/>
      <c r="AQ121" s="8"/>
      <c r="AR121" s="8"/>
      <c r="AS121" s="8"/>
      <c r="AT121" s="8"/>
    </row>
    <row r="122">
      <c r="A122" s="415"/>
      <c r="B122" s="210"/>
      <c r="C122" s="415"/>
      <c r="D122" s="210"/>
      <c r="E122" s="415"/>
      <c r="F122" s="210"/>
      <c r="G122" s="415"/>
      <c r="H122" s="210"/>
      <c r="I122" s="423"/>
      <c r="J122" s="156"/>
      <c r="K122" s="423"/>
      <c r="L122" s="156"/>
      <c r="M122" s="415"/>
      <c r="N122" s="210"/>
      <c r="O122" s="415"/>
      <c r="P122" s="210"/>
      <c r="Q122" s="415"/>
      <c r="R122" s="210"/>
      <c r="S122" s="415"/>
      <c r="T122" s="210"/>
      <c r="U122" s="415"/>
      <c r="V122" s="210"/>
      <c r="W122" s="415"/>
      <c r="X122" s="210"/>
      <c r="Y122" s="8"/>
      <c r="Z122" s="8"/>
      <c r="AA122" s="8"/>
      <c r="AB122" s="8"/>
      <c r="AC122" s="8"/>
      <c r="AD122" s="8"/>
      <c r="AE122" s="8"/>
      <c r="AF122" s="8"/>
      <c r="AG122" s="8"/>
      <c r="AH122" s="8"/>
      <c r="AI122" s="8"/>
      <c r="AJ122" s="8"/>
      <c r="AK122" s="8"/>
      <c r="AL122" s="8"/>
      <c r="AM122" s="8"/>
      <c r="AN122" s="8"/>
      <c r="AO122" s="8"/>
      <c r="AP122" s="8"/>
      <c r="AQ122" s="8"/>
      <c r="AR122" s="8"/>
      <c r="AS122" s="8"/>
      <c r="AT122" s="8"/>
    </row>
    <row r="123">
      <c r="A123" s="415"/>
      <c r="B123" s="210"/>
      <c r="C123" s="415"/>
      <c r="D123" s="210"/>
      <c r="E123" s="415"/>
      <c r="F123" s="210"/>
      <c r="G123" s="415"/>
      <c r="H123" s="210"/>
      <c r="I123" s="423"/>
      <c r="J123" s="156"/>
      <c r="K123" s="423"/>
      <c r="L123" s="156"/>
      <c r="M123" s="415"/>
      <c r="N123" s="210"/>
      <c r="O123" s="415"/>
      <c r="P123" s="210"/>
      <c r="Q123" s="415"/>
      <c r="R123" s="210"/>
      <c r="S123" s="415"/>
      <c r="T123" s="210"/>
      <c r="U123" s="415"/>
      <c r="V123" s="210"/>
      <c r="W123" s="415"/>
      <c r="X123" s="210"/>
      <c r="Y123" s="8"/>
      <c r="Z123" s="8"/>
      <c r="AA123" s="8"/>
      <c r="AB123" s="8"/>
      <c r="AC123" s="8"/>
      <c r="AD123" s="8"/>
      <c r="AE123" s="8"/>
      <c r="AF123" s="8"/>
      <c r="AG123" s="8"/>
      <c r="AH123" s="8"/>
      <c r="AI123" s="8"/>
      <c r="AJ123" s="8"/>
      <c r="AK123" s="8"/>
      <c r="AL123" s="8"/>
      <c r="AM123" s="8"/>
      <c r="AN123" s="8"/>
      <c r="AO123" s="8"/>
      <c r="AP123" s="8"/>
      <c r="AQ123" s="8"/>
      <c r="AR123" s="8"/>
      <c r="AS123" s="8"/>
      <c r="AT123" s="8"/>
    </row>
    <row r="124">
      <c r="A124" s="415"/>
      <c r="B124" s="210"/>
      <c r="C124" s="415"/>
      <c r="D124" s="210"/>
      <c r="E124" s="415"/>
      <c r="F124" s="210"/>
      <c r="G124" s="415"/>
      <c r="H124" s="210"/>
      <c r="I124" s="423"/>
      <c r="J124" s="156"/>
      <c r="K124" s="423"/>
      <c r="L124" s="156"/>
      <c r="M124" s="415"/>
      <c r="N124" s="210"/>
      <c r="O124" s="415"/>
      <c r="P124" s="210"/>
      <c r="Q124" s="415"/>
      <c r="R124" s="210"/>
      <c r="S124" s="415"/>
      <c r="T124" s="210"/>
      <c r="U124" s="415"/>
      <c r="V124" s="210"/>
      <c r="W124" s="415"/>
      <c r="X124" s="210"/>
      <c r="Y124" s="8"/>
      <c r="Z124" s="8"/>
      <c r="AA124" s="8"/>
      <c r="AB124" s="8"/>
      <c r="AC124" s="8"/>
      <c r="AD124" s="8"/>
      <c r="AE124" s="8"/>
      <c r="AF124" s="8"/>
      <c r="AG124" s="8"/>
      <c r="AH124" s="8"/>
      <c r="AI124" s="8"/>
      <c r="AJ124" s="8"/>
      <c r="AK124" s="8"/>
      <c r="AL124" s="8"/>
      <c r="AM124" s="8"/>
      <c r="AN124" s="8"/>
      <c r="AO124" s="8"/>
      <c r="AP124" s="8"/>
      <c r="AQ124" s="8"/>
      <c r="AR124" s="8"/>
      <c r="AS124" s="8"/>
      <c r="AT124" s="8"/>
    </row>
    <row r="125">
      <c r="A125" s="415"/>
      <c r="B125" s="210"/>
      <c r="C125" s="415"/>
      <c r="D125" s="210"/>
      <c r="E125" s="415"/>
      <c r="F125" s="210"/>
      <c r="G125" s="415"/>
      <c r="H125" s="210"/>
      <c r="I125" s="423"/>
      <c r="J125" s="156"/>
      <c r="K125" s="423"/>
      <c r="L125" s="156"/>
      <c r="M125" s="415"/>
      <c r="N125" s="210"/>
      <c r="O125" s="415"/>
      <c r="P125" s="210"/>
      <c r="Q125" s="415"/>
      <c r="R125" s="210"/>
      <c r="S125" s="415"/>
      <c r="T125" s="210"/>
      <c r="U125" s="415"/>
      <c r="V125" s="210"/>
      <c r="W125" s="415"/>
      <c r="X125" s="210"/>
      <c r="Y125" s="8"/>
      <c r="Z125" s="8"/>
      <c r="AA125" s="8"/>
      <c r="AB125" s="8"/>
      <c r="AC125" s="8"/>
      <c r="AD125" s="8"/>
      <c r="AE125" s="8"/>
      <c r="AF125" s="8"/>
      <c r="AG125" s="8"/>
      <c r="AH125" s="8"/>
      <c r="AI125" s="8"/>
      <c r="AJ125" s="8"/>
      <c r="AK125" s="8"/>
      <c r="AL125" s="8"/>
      <c r="AM125" s="8"/>
      <c r="AN125" s="8"/>
      <c r="AO125" s="8"/>
      <c r="AP125" s="8"/>
      <c r="AQ125" s="8"/>
      <c r="AR125" s="8"/>
      <c r="AS125" s="8"/>
      <c r="AT125" s="8"/>
    </row>
    <row r="126">
      <c r="A126" s="415"/>
      <c r="B126" s="210"/>
      <c r="C126" s="415"/>
      <c r="D126" s="210"/>
      <c r="E126" s="415"/>
      <c r="F126" s="210"/>
      <c r="G126" s="415"/>
      <c r="H126" s="210"/>
      <c r="I126" s="423"/>
      <c r="J126" s="156"/>
      <c r="K126" s="423"/>
      <c r="L126" s="156"/>
      <c r="M126" s="415"/>
      <c r="N126" s="210"/>
      <c r="O126" s="415"/>
      <c r="P126" s="210"/>
      <c r="Q126" s="415"/>
      <c r="R126" s="210"/>
      <c r="S126" s="415"/>
      <c r="T126" s="210"/>
      <c r="U126" s="415"/>
      <c r="V126" s="210"/>
      <c r="W126" s="415"/>
      <c r="X126" s="210"/>
      <c r="Y126" s="8"/>
      <c r="Z126" s="8"/>
      <c r="AA126" s="8"/>
      <c r="AB126" s="8"/>
      <c r="AC126" s="8"/>
      <c r="AD126" s="8"/>
      <c r="AE126" s="8"/>
      <c r="AF126" s="8"/>
      <c r="AG126" s="8"/>
      <c r="AH126" s="8"/>
      <c r="AI126" s="8"/>
      <c r="AJ126" s="8"/>
      <c r="AK126" s="8"/>
      <c r="AL126" s="8"/>
      <c r="AM126" s="8"/>
      <c r="AN126" s="8"/>
      <c r="AO126" s="8"/>
      <c r="AP126" s="8"/>
      <c r="AQ126" s="8"/>
      <c r="AR126" s="8"/>
      <c r="AS126" s="8"/>
      <c r="AT126" s="8"/>
    </row>
    <row r="127">
      <c r="A127" s="415"/>
      <c r="B127" s="210"/>
      <c r="C127" s="415"/>
      <c r="D127" s="210"/>
      <c r="E127" s="415"/>
      <c r="F127" s="210"/>
      <c r="G127" s="415"/>
      <c r="H127" s="210"/>
      <c r="I127" s="423"/>
      <c r="J127" s="156"/>
      <c r="K127" s="423"/>
      <c r="L127" s="156"/>
      <c r="M127" s="415"/>
      <c r="N127" s="210"/>
      <c r="O127" s="415"/>
      <c r="P127" s="210"/>
      <c r="Q127" s="415"/>
      <c r="R127" s="210"/>
      <c r="S127" s="415"/>
      <c r="T127" s="210"/>
      <c r="U127" s="415"/>
      <c r="V127" s="210"/>
      <c r="W127" s="415"/>
      <c r="X127" s="210"/>
      <c r="Y127" s="8"/>
      <c r="Z127" s="8"/>
      <c r="AA127" s="8"/>
      <c r="AB127" s="8"/>
      <c r="AC127" s="8"/>
      <c r="AD127" s="8"/>
      <c r="AE127" s="8"/>
      <c r="AF127" s="8"/>
      <c r="AG127" s="8"/>
      <c r="AH127" s="8"/>
      <c r="AI127" s="8"/>
      <c r="AJ127" s="8"/>
      <c r="AK127" s="8"/>
      <c r="AL127" s="8"/>
      <c r="AM127" s="8"/>
      <c r="AN127" s="8"/>
      <c r="AO127" s="8"/>
      <c r="AP127" s="8"/>
      <c r="AQ127" s="8"/>
      <c r="AR127" s="8"/>
      <c r="AS127" s="8"/>
      <c r="AT127" s="8"/>
    </row>
    <row r="128">
      <c r="A128" s="415"/>
      <c r="B128" s="210"/>
      <c r="C128" s="415"/>
      <c r="D128" s="210"/>
      <c r="E128" s="415"/>
      <c r="F128" s="210"/>
      <c r="G128" s="415"/>
      <c r="H128" s="210"/>
      <c r="I128" s="423"/>
      <c r="J128" s="156"/>
      <c r="K128" s="423"/>
      <c r="L128" s="156"/>
      <c r="M128" s="415"/>
      <c r="N128" s="210"/>
      <c r="O128" s="415"/>
      <c r="P128" s="210"/>
      <c r="Q128" s="415"/>
      <c r="R128" s="210"/>
      <c r="S128" s="415"/>
      <c r="T128" s="210"/>
      <c r="U128" s="415"/>
      <c r="V128" s="210"/>
      <c r="W128" s="415"/>
      <c r="X128" s="210"/>
      <c r="Y128" s="8"/>
      <c r="Z128" s="8"/>
      <c r="AA128" s="8"/>
      <c r="AB128" s="8"/>
      <c r="AC128" s="8"/>
      <c r="AD128" s="8"/>
      <c r="AE128" s="8"/>
      <c r="AF128" s="8"/>
      <c r="AG128" s="8"/>
      <c r="AH128" s="8"/>
      <c r="AI128" s="8"/>
      <c r="AJ128" s="8"/>
      <c r="AK128" s="8"/>
      <c r="AL128" s="8"/>
      <c r="AM128" s="8"/>
      <c r="AN128" s="8"/>
      <c r="AO128" s="8"/>
      <c r="AP128" s="8"/>
      <c r="AQ128" s="8"/>
      <c r="AR128" s="8"/>
      <c r="AS128" s="8"/>
      <c r="AT128" s="8"/>
    </row>
    <row r="129">
      <c r="A129" s="415"/>
      <c r="B129" s="210"/>
      <c r="C129" s="415"/>
      <c r="D129" s="210"/>
      <c r="E129" s="415"/>
      <c r="F129" s="210"/>
      <c r="G129" s="415"/>
      <c r="H129" s="210"/>
      <c r="I129" s="423"/>
      <c r="J129" s="156"/>
      <c r="K129" s="423"/>
      <c r="L129" s="156"/>
      <c r="M129" s="415"/>
      <c r="N129" s="210"/>
      <c r="O129" s="415"/>
      <c r="P129" s="210"/>
      <c r="Q129" s="415"/>
      <c r="R129" s="210"/>
      <c r="S129" s="415"/>
      <c r="T129" s="210"/>
      <c r="U129" s="415"/>
      <c r="V129" s="210"/>
      <c r="W129" s="415"/>
      <c r="X129" s="210"/>
      <c r="Y129" s="8"/>
      <c r="Z129" s="8"/>
      <c r="AA129" s="8"/>
      <c r="AB129" s="8"/>
      <c r="AC129" s="8"/>
      <c r="AD129" s="8"/>
      <c r="AE129" s="8"/>
      <c r="AF129" s="8"/>
      <c r="AG129" s="8"/>
      <c r="AH129" s="8"/>
      <c r="AI129" s="8"/>
      <c r="AJ129" s="8"/>
      <c r="AK129" s="8"/>
      <c r="AL129" s="8"/>
      <c r="AM129" s="8"/>
      <c r="AN129" s="8"/>
      <c r="AO129" s="8"/>
      <c r="AP129" s="8"/>
      <c r="AQ129" s="8"/>
      <c r="AR129" s="8"/>
      <c r="AS129" s="8"/>
      <c r="AT129" s="8"/>
    </row>
    <row r="130">
      <c r="A130" s="415"/>
      <c r="B130" s="210"/>
      <c r="C130" s="415"/>
      <c r="D130" s="210"/>
      <c r="E130" s="415"/>
      <c r="F130" s="210"/>
      <c r="G130" s="415"/>
      <c r="H130" s="210"/>
      <c r="I130" s="423"/>
      <c r="J130" s="156"/>
      <c r="K130" s="423"/>
      <c r="L130" s="156"/>
      <c r="M130" s="415"/>
      <c r="N130" s="210"/>
      <c r="O130" s="415"/>
      <c r="P130" s="210"/>
      <c r="Q130" s="415"/>
      <c r="R130" s="210"/>
      <c r="S130" s="415"/>
      <c r="T130" s="210"/>
      <c r="U130" s="415"/>
      <c r="V130" s="210"/>
      <c r="W130" s="415"/>
      <c r="X130" s="210"/>
      <c r="Y130" s="8"/>
      <c r="Z130" s="8"/>
      <c r="AA130" s="8"/>
      <c r="AB130" s="8"/>
      <c r="AC130" s="8"/>
      <c r="AD130" s="8"/>
      <c r="AE130" s="8"/>
      <c r="AF130" s="8"/>
      <c r="AG130" s="8"/>
      <c r="AH130" s="8"/>
      <c r="AI130" s="8"/>
      <c r="AJ130" s="8"/>
      <c r="AK130" s="8"/>
      <c r="AL130" s="8"/>
      <c r="AM130" s="8"/>
      <c r="AN130" s="8"/>
      <c r="AO130" s="8"/>
      <c r="AP130" s="8"/>
      <c r="AQ130" s="8"/>
      <c r="AR130" s="8"/>
      <c r="AS130" s="8"/>
      <c r="AT130" s="8"/>
    </row>
    <row r="131">
      <c r="A131" s="415"/>
      <c r="B131" s="210"/>
      <c r="C131" s="415"/>
      <c r="D131" s="210"/>
      <c r="E131" s="415"/>
      <c r="F131" s="210"/>
      <c r="G131" s="415"/>
      <c r="H131" s="210"/>
      <c r="I131" s="423"/>
      <c r="J131" s="156"/>
      <c r="K131" s="423"/>
      <c r="L131" s="156"/>
      <c r="M131" s="415"/>
      <c r="N131" s="210"/>
      <c r="O131" s="415"/>
      <c r="P131" s="210"/>
      <c r="Q131" s="415"/>
      <c r="R131" s="210"/>
      <c r="S131" s="415"/>
      <c r="T131" s="210"/>
      <c r="U131" s="415"/>
      <c r="V131" s="210"/>
      <c r="W131" s="415"/>
      <c r="X131" s="210"/>
      <c r="Y131" s="8"/>
      <c r="Z131" s="8"/>
      <c r="AA131" s="8"/>
      <c r="AB131" s="8"/>
      <c r="AC131" s="8"/>
      <c r="AD131" s="8"/>
      <c r="AE131" s="8"/>
      <c r="AF131" s="8"/>
      <c r="AG131" s="8"/>
      <c r="AH131" s="8"/>
      <c r="AI131" s="8"/>
      <c r="AJ131" s="8"/>
      <c r="AK131" s="8"/>
      <c r="AL131" s="8"/>
      <c r="AM131" s="8"/>
      <c r="AN131" s="8"/>
      <c r="AO131" s="8"/>
      <c r="AP131" s="8"/>
      <c r="AQ131" s="8"/>
      <c r="AR131" s="8"/>
      <c r="AS131" s="8"/>
      <c r="AT131" s="8"/>
    </row>
    <row r="132">
      <c r="A132" s="415"/>
      <c r="B132" s="210"/>
      <c r="C132" s="415"/>
      <c r="D132" s="210"/>
      <c r="E132" s="415"/>
      <c r="F132" s="210"/>
      <c r="G132" s="415"/>
      <c r="H132" s="210"/>
      <c r="I132" s="423"/>
      <c r="J132" s="156"/>
      <c r="K132" s="423"/>
      <c r="L132" s="156"/>
      <c r="M132" s="415"/>
      <c r="N132" s="210"/>
      <c r="O132" s="415"/>
      <c r="P132" s="210"/>
      <c r="Q132" s="415"/>
      <c r="R132" s="210"/>
      <c r="S132" s="415"/>
      <c r="T132" s="210"/>
      <c r="U132" s="415"/>
      <c r="V132" s="210"/>
      <c r="W132" s="415"/>
      <c r="X132" s="210"/>
      <c r="Y132" s="8"/>
      <c r="Z132" s="8"/>
      <c r="AA132" s="8"/>
      <c r="AB132" s="8"/>
      <c r="AC132" s="8"/>
      <c r="AD132" s="8"/>
      <c r="AE132" s="8"/>
      <c r="AF132" s="8"/>
      <c r="AG132" s="8"/>
      <c r="AH132" s="8"/>
      <c r="AI132" s="8"/>
      <c r="AJ132" s="8"/>
      <c r="AK132" s="8"/>
      <c r="AL132" s="8"/>
      <c r="AM132" s="8"/>
      <c r="AN132" s="8"/>
      <c r="AO132" s="8"/>
      <c r="AP132" s="8"/>
      <c r="AQ132" s="8"/>
      <c r="AR132" s="8"/>
      <c r="AS132" s="8"/>
      <c r="AT132" s="8"/>
    </row>
    <row r="133">
      <c r="A133" s="415"/>
      <c r="B133" s="210"/>
      <c r="C133" s="415"/>
      <c r="D133" s="210"/>
      <c r="E133" s="415"/>
      <c r="F133" s="210"/>
      <c r="G133" s="415"/>
      <c r="H133" s="210"/>
      <c r="I133" s="423"/>
      <c r="J133" s="156"/>
      <c r="K133" s="423"/>
      <c r="L133" s="156"/>
      <c r="M133" s="415"/>
      <c r="N133" s="210"/>
      <c r="O133" s="415"/>
      <c r="P133" s="210"/>
      <c r="Q133" s="415"/>
      <c r="R133" s="210"/>
      <c r="S133" s="415"/>
      <c r="T133" s="210"/>
      <c r="U133" s="415"/>
      <c r="V133" s="210"/>
      <c r="W133" s="415"/>
      <c r="X133" s="210"/>
      <c r="Y133" s="8"/>
      <c r="Z133" s="8"/>
      <c r="AA133" s="8"/>
      <c r="AB133" s="8"/>
      <c r="AC133" s="8"/>
      <c r="AD133" s="8"/>
      <c r="AE133" s="8"/>
      <c r="AF133" s="8"/>
      <c r="AG133" s="8"/>
      <c r="AH133" s="8"/>
      <c r="AI133" s="8"/>
      <c r="AJ133" s="8"/>
      <c r="AK133" s="8"/>
      <c r="AL133" s="8"/>
      <c r="AM133" s="8"/>
      <c r="AN133" s="8"/>
      <c r="AO133" s="8"/>
      <c r="AP133" s="8"/>
      <c r="AQ133" s="8"/>
      <c r="AR133" s="8"/>
      <c r="AS133" s="8"/>
      <c r="AT133" s="8"/>
    </row>
    <row r="134">
      <c r="A134" s="415"/>
      <c r="B134" s="210"/>
      <c r="C134" s="415"/>
      <c r="D134" s="210"/>
      <c r="E134" s="415"/>
      <c r="F134" s="210"/>
      <c r="G134" s="415"/>
      <c r="H134" s="210"/>
      <c r="I134" s="423"/>
      <c r="J134" s="156"/>
      <c r="K134" s="423"/>
      <c r="L134" s="156"/>
      <c r="M134" s="415"/>
      <c r="N134" s="210"/>
      <c r="O134" s="415"/>
      <c r="P134" s="210"/>
      <c r="Q134" s="415"/>
      <c r="R134" s="210"/>
      <c r="S134" s="415"/>
      <c r="T134" s="210"/>
      <c r="U134" s="415"/>
      <c r="V134" s="210"/>
      <c r="W134" s="415"/>
      <c r="X134" s="210"/>
      <c r="Y134" s="8"/>
      <c r="Z134" s="8"/>
      <c r="AA134" s="8"/>
      <c r="AB134" s="8"/>
      <c r="AC134" s="8"/>
      <c r="AD134" s="8"/>
      <c r="AE134" s="8"/>
      <c r="AF134" s="8"/>
      <c r="AG134" s="8"/>
      <c r="AH134" s="8"/>
      <c r="AI134" s="8"/>
      <c r="AJ134" s="8"/>
      <c r="AK134" s="8"/>
      <c r="AL134" s="8"/>
      <c r="AM134" s="8"/>
      <c r="AN134" s="8"/>
      <c r="AO134" s="8"/>
      <c r="AP134" s="8"/>
      <c r="AQ134" s="8"/>
      <c r="AR134" s="8"/>
      <c r="AS134" s="8"/>
      <c r="AT134" s="8"/>
    </row>
    <row r="135">
      <c r="A135" s="415"/>
      <c r="B135" s="210"/>
      <c r="C135" s="415"/>
      <c r="D135" s="210"/>
      <c r="E135" s="415"/>
      <c r="F135" s="210"/>
      <c r="G135" s="415"/>
      <c r="H135" s="210"/>
      <c r="I135" s="423"/>
      <c r="J135" s="156"/>
      <c r="K135" s="423"/>
      <c r="L135" s="156"/>
      <c r="M135" s="415"/>
      <c r="N135" s="210"/>
      <c r="O135" s="415"/>
      <c r="P135" s="210"/>
      <c r="Q135" s="415"/>
      <c r="R135" s="210"/>
      <c r="S135" s="415"/>
      <c r="T135" s="210"/>
      <c r="U135" s="415"/>
      <c r="V135" s="210"/>
      <c r="W135" s="415"/>
      <c r="X135" s="210"/>
      <c r="Y135" s="8"/>
      <c r="Z135" s="8"/>
      <c r="AA135" s="8"/>
      <c r="AB135" s="8"/>
      <c r="AC135" s="8"/>
      <c r="AD135" s="8"/>
      <c r="AE135" s="8"/>
      <c r="AF135" s="8"/>
      <c r="AG135" s="8"/>
      <c r="AH135" s="8"/>
      <c r="AI135" s="8"/>
      <c r="AJ135" s="8"/>
      <c r="AK135" s="8"/>
      <c r="AL135" s="8"/>
      <c r="AM135" s="8"/>
      <c r="AN135" s="8"/>
      <c r="AO135" s="8"/>
      <c r="AP135" s="8"/>
      <c r="AQ135" s="8"/>
      <c r="AR135" s="8"/>
      <c r="AS135" s="8"/>
      <c r="AT135" s="8"/>
    </row>
    <row r="136">
      <c r="A136" s="415"/>
      <c r="B136" s="210"/>
      <c r="C136" s="415"/>
      <c r="D136" s="210"/>
      <c r="E136" s="415"/>
      <c r="F136" s="210"/>
      <c r="G136" s="415"/>
      <c r="H136" s="210"/>
      <c r="I136" s="423"/>
      <c r="J136" s="156"/>
      <c r="K136" s="423"/>
      <c r="L136" s="156"/>
      <c r="M136" s="415"/>
      <c r="N136" s="210"/>
      <c r="O136" s="415"/>
      <c r="P136" s="210"/>
      <c r="Q136" s="415"/>
      <c r="R136" s="210"/>
      <c r="S136" s="415"/>
      <c r="T136" s="210"/>
      <c r="U136" s="415"/>
      <c r="V136" s="210"/>
      <c r="W136" s="415"/>
      <c r="X136" s="210"/>
      <c r="Y136" s="8"/>
      <c r="Z136" s="8"/>
      <c r="AA136" s="8"/>
      <c r="AB136" s="8"/>
      <c r="AC136" s="8"/>
      <c r="AD136" s="8"/>
      <c r="AE136" s="8"/>
      <c r="AF136" s="8"/>
      <c r="AG136" s="8"/>
      <c r="AH136" s="8"/>
      <c r="AI136" s="8"/>
      <c r="AJ136" s="8"/>
      <c r="AK136" s="8"/>
      <c r="AL136" s="8"/>
      <c r="AM136" s="8"/>
      <c r="AN136" s="8"/>
      <c r="AO136" s="8"/>
      <c r="AP136" s="8"/>
      <c r="AQ136" s="8"/>
      <c r="AR136" s="8"/>
      <c r="AS136" s="8"/>
      <c r="AT136" s="8"/>
    </row>
    <row r="137">
      <c r="A137" s="415"/>
      <c r="B137" s="210"/>
      <c r="C137" s="415"/>
      <c r="D137" s="210"/>
      <c r="E137" s="415"/>
      <c r="F137" s="210"/>
      <c r="G137" s="415"/>
      <c r="H137" s="210"/>
      <c r="I137" s="423"/>
      <c r="J137" s="156"/>
      <c r="K137" s="423"/>
      <c r="L137" s="156"/>
      <c r="M137" s="415"/>
      <c r="N137" s="210"/>
      <c r="O137" s="415"/>
      <c r="P137" s="210"/>
      <c r="Q137" s="415"/>
      <c r="R137" s="210"/>
      <c r="S137" s="415"/>
      <c r="T137" s="210"/>
      <c r="U137" s="415"/>
      <c r="V137" s="210"/>
      <c r="W137" s="415"/>
      <c r="X137" s="210"/>
      <c r="Y137" s="8"/>
      <c r="Z137" s="8"/>
      <c r="AA137" s="8"/>
      <c r="AB137" s="8"/>
      <c r="AC137" s="8"/>
      <c r="AD137" s="8"/>
      <c r="AE137" s="8"/>
      <c r="AF137" s="8"/>
      <c r="AG137" s="8"/>
      <c r="AH137" s="8"/>
      <c r="AI137" s="8"/>
      <c r="AJ137" s="8"/>
      <c r="AK137" s="8"/>
      <c r="AL137" s="8"/>
      <c r="AM137" s="8"/>
      <c r="AN137" s="8"/>
      <c r="AO137" s="8"/>
      <c r="AP137" s="8"/>
      <c r="AQ137" s="8"/>
      <c r="AR137" s="8"/>
      <c r="AS137" s="8"/>
      <c r="AT137" s="8"/>
    </row>
    <row r="138">
      <c r="A138" s="415"/>
      <c r="B138" s="210"/>
      <c r="C138" s="415"/>
      <c r="D138" s="210"/>
      <c r="E138" s="415"/>
      <c r="F138" s="210"/>
      <c r="G138" s="415"/>
      <c r="H138" s="210"/>
      <c r="I138" s="423"/>
      <c r="J138" s="156"/>
      <c r="K138" s="423"/>
      <c r="L138" s="156"/>
      <c r="M138" s="415"/>
      <c r="N138" s="210"/>
      <c r="O138" s="415"/>
      <c r="P138" s="210"/>
      <c r="Q138" s="415"/>
      <c r="R138" s="210"/>
      <c r="S138" s="415"/>
      <c r="T138" s="210"/>
      <c r="U138" s="415"/>
      <c r="V138" s="210"/>
      <c r="W138" s="415"/>
      <c r="X138" s="210"/>
      <c r="Y138" s="8"/>
      <c r="Z138" s="8"/>
      <c r="AA138" s="8"/>
      <c r="AB138" s="8"/>
      <c r="AC138" s="8"/>
      <c r="AD138" s="8"/>
      <c r="AE138" s="8"/>
      <c r="AF138" s="8"/>
      <c r="AG138" s="8"/>
      <c r="AH138" s="8"/>
      <c r="AI138" s="8"/>
      <c r="AJ138" s="8"/>
      <c r="AK138" s="8"/>
      <c r="AL138" s="8"/>
      <c r="AM138" s="8"/>
      <c r="AN138" s="8"/>
      <c r="AO138" s="8"/>
      <c r="AP138" s="8"/>
      <c r="AQ138" s="8"/>
      <c r="AR138" s="8"/>
      <c r="AS138" s="8"/>
      <c r="AT138" s="8"/>
    </row>
    <row r="139">
      <c r="A139" s="415"/>
      <c r="B139" s="210"/>
      <c r="C139" s="415"/>
      <c r="D139" s="210"/>
      <c r="E139" s="415"/>
      <c r="F139" s="210"/>
      <c r="G139" s="415"/>
      <c r="H139" s="210"/>
      <c r="I139" s="423"/>
      <c r="J139" s="156"/>
      <c r="K139" s="423"/>
      <c r="L139" s="156"/>
      <c r="M139" s="415"/>
      <c r="N139" s="210"/>
      <c r="O139" s="415"/>
      <c r="P139" s="210"/>
      <c r="Q139" s="415"/>
      <c r="R139" s="210"/>
      <c r="S139" s="415"/>
      <c r="T139" s="210"/>
      <c r="U139" s="415"/>
      <c r="V139" s="210"/>
      <c r="W139" s="415"/>
      <c r="X139" s="210"/>
      <c r="Y139" s="8"/>
      <c r="Z139" s="8"/>
      <c r="AA139" s="8"/>
      <c r="AB139" s="8"/>
      <c r="AC139" s="8"/>
      <c r="AD139" s="8"/>
      <c r="AE139" s="8"/>
      <c r="AF139" s="8"/>
      <c r="AG139" s="8"/>
      <c r="AH139" s="8"/>
      <c r="AI139" s="8"/>
      <c r="AJ139" s="8"/>
      <c r="AK139" s="8"/>
      <c r="AL139" s="8"/>
      <c r="AM139" s="8"/>
      <c r="AN139" s="8"/>
      <c r="AO139" s="8"/>
      <c r="AP139" s="8"/>
      <c r="AQ139" s="8"/>
      <c r="AR139" s="8"/>
      <c r="AS139" s="8"/>
      <c r="AT139" s="8"/>
    </row>
    <row r="140">
      <c r="A140" s="415"/>
      <c r="B140" s="210"/>
      <c r="C140" s="415"/>
      <c r="D140" s="210"/>
      <c r="E140" s="415"/>
      <c r="F140" s="210"/>
      <c r="G140" s="415"/>
      <c r="H140" s="210"/>
      <c r="I140" s="423"/>
      <c r="J140" s="156"/>
      <c r="K140" s="423"/>
      <c r="L140" s="156"/>
      <c r="M140" s="415"/>
      <c r="N140" s="210"/>
      <c r="O140" s="415"/>
      <c r="P140" s="210"/>
      <c r="Q140" s="415"/>
      <c r="R140" s="210"/>
      <c r="S140" s="415"/>
      <c r="T140" s="210"/>
      <c r="U140" s="415"/>
      <c r="V140" s="210"/>
      <c r="W140" s="415"/>
      <c r="X140" s="210"/>
      <c r="Y140" s="8"/>
      <c r="Z140" s="8"/>
      <c r="AA140" s="8"/>
      <c r="AB140" s="8"/>
      <c r="AC140" s="8"/>
      <c r="AD140" s="8"/>
      <c r="AE140" s="8"/>
      <c r="AF140" s="8"/>
      <c r="AG140" s="8"/>
      <c r="AH140" s="8"/>
      <c r="AI140" s="8"/>
      <c r="AJ140" s="8"/>
      <c r="AK140" s="8"/>
      <c r="AL140" s="8"/>
      <c r="AM140" s="8"/>
      <c r="AN140" s="8"/>
      <c r="AO140" s="8"/>
      <c r="AP140" s="8"/>
      <c r="AQ140" s="8"/>
      <c r="AR140" s="8"/>
      <c r="AS140" s="8"/>
      <c r="AT140" s="8"/>
    </row>
    <row r="141">
      <c r="A141" s="415"/>
      <c r="B141" s="210"/>
      <c r="C141" s="415"/>
      <c r="D141" s="210"/>
      <c r="E141" s="415"/>
      <c r="F141" s="210"/>
      <c r="G141" s="415"/>
      <c r="H141" s="210"/>
      <c r="I141" s="423"/>
      <c r="J141" s="156"/>
      <c r="K141" s="423"/>
      <c r="L141" s="156"/>
      <c r="M141" s="415"/>
      <c r="N141" s="210"/>
      <c r="O141" s="415"/>
      <c r="P141" s="210"/>
      <c r="Q141" s="415"/>
      <c r="R141" s="210"/>
      <c r="S141" s="415"/>
      <c r="T141" s="210"/>
      <c r="U141" s="415"/>
      <c r="V141" s="210"/>
      <c r="W141" s="415"/>
      <c r="X141" s="210"/>
      <c r="Y141" s="8"/>
      <c r="Z141" s="8"/>
      <c r="AA141" s="8"/>
      <c r="AB141" s="8"/>
      <c r="AC141" s="8"/>
      <c r="AD141" s="8"/>
      <c r="AE141" s="8"/>
      <c r="AF141" s="8"/>
      <c r="AG141" s="8"/>
      <c r="AH141" s="8"/>
      <c r="AI141" s="8"/>
      <c r="AJ141" s="8"/>
      <c r="AK141" s="8"/>
      <c r="AL141" s="8"/>
      <c r="AM141" s="8"/>
      <c r="AN141" s="8"/>
      <c r="AO141" s="8"/>
      <c r="AP141" s="8"/>
      <c r="AQ141" s="8"/>
      <c r="AR141" s="8"/>
      <c r="AS141" s="8"/>
      <c r="AT141" s="8"/>
    </row>
    <row r="142">
      <c r="A142" s="415"/>
      <c r="B142" s="210"/>
      <c r="C142" s="415"/>
      <c r="D142" s="210"/>
      <c r="E142" s="415"/>
      <c r="F142" s="210"/>
      <c r="G142" s="415"/>
      <c r="H142" s="210"/>
      <c r="I142" s="423"/>
      <c r="J142" s="156"/>
      <c r="K142" s="423"/>
      <c r="L142" s="156"/>
      <c r="M142" s="415"/>
      <c r="N142" s="210"/>
      <c r="O142" s="415"/>
      <c r="P142" s="210"/>
      <c r="Q142" s="415"/>
      <c r="R142" s="210"/>
      <c r="S142" s="415"/>
      <c r="T142" s="210"/>
      <c r="U142" s="415"/>
      <c r="V142" s="210"/>
      <c r="W142" s="415"/>
      <c r="X142" s="210"/>
      <c r="Y142" s="8"/>
      <c r="Z142" s="8"/>
      <c r="AA142" s="8"/>
      <c r="AB142" s="8"/>
      <c r="AC142" s="8"/>
      <c r="AD142" s="8"/>
      <c r="AE142" s="8"/>
      <c r="AF142" s="8"/>
      <c r="AG142" s="8"/>
      <c r="AH142" s="8"/>
      <c r="AI142" s="8"/>
      <c r="AJ142" s="8"/>
      <c r="AK142" s="8"/>
      <c r="AL142" s="8"/>
      <c r="AM142" s="8"/>
      <c r="AN142" s="8"/>
      <c r="AO142" s="8"/>
      <c r="AP142" s="8"/>
      <c r="AQ142" s="8"/>
      <c r="AR142" s="8"/>
      <c r="AS142" s="8"/>
      <c r="AT142" s="8"/>
    </row>
    <row r="143">
      <c r="A143" s="415"/>
      <c r="B143" s="210"/>
      <c r="C143" s="415"/>
      <c r="D143" s="210"/>
      <c r="E143" s="415"/>
      <c r="F143" s="210"/>
      <c r="G143" s="415"/>
      <c r="H143" s="210"/>
      <c r="I143" s="423"/>
      <c r="J143" s="156"/>
      <c r="K143" s="423"/>
      <c r="L143" s="156"/>
      <c r="M143" s="415"/>
      <c r="N143" s="210"/>
      <c r="O143" s="415"/>
      <c r="P143" s="210"/>
      <c r="Q143" s="415"/>
      <c r="R143" s="210"/>
      <c r="S143" s="415"/>
      <c r="T143" s="210"/>
      <c r="U143" s="415"/>
      <c r="V143" s="210"/>
      <c r="W143" s="415"/>
      <c r="X143" s="210"/>
      <c r="Y143" s="8"/>
      <c r="Z143" s="8"/>
      <c r="AA143" s="8"/>
      <c r="AB143" s="8"/>
      <c r="AC143" s="8"/>
      <c r="AD143" s="8"/>
      <c r="AE143" s="8"/>
      <c r="AF143" s="8"/>
      <c r="AG143" s="8"/>
      <c r="AH143" s="8"/>
      <c r="AI143" s="8"/>
      <c r="AJ143" s="8"/>
      <c r="AK143" s="8"/>
      <c r="AL143" s="8"/>
      <c r="AM143" s="8"/>
      <c r="AN143" s="8"/>
      <c r="AO143" s="8"/>
      <c r="AP143" s="8"/>
      <c r="AQ143" s="8"/>
      <c r="AR143" s="8"/>
      <c r="AS143" s="8"/>
      <c r="AT143" s="8"/>
    </row>
    <row r="144">
      <c r="A144" s="415"/>
      <c r="B144" s="210"/>
      <c r="C144" s="415"/>
      <c r="D144" s="210"/>
      <c r="E144" s="415"/>
      <c r="F144" s="210"/>
      <c r="G144" s="415"/>
      <c r="H144" s="210"/>
      <c r="I144" s="423"/>
      <c r="J144" s="156"/>
      <c r="K144" s="423"/>
      <c r="L144" s="156"/>
      <c r="M144" s="415"/>
      <c r="N144" s="210"/>
      <c r="O144" s="415"/>
      <c r="P144" s="210"/>
      <c r="Q144" s="415"/>
      <c r="R144" s="210"/>
      <c r="S144" s="415"/>
      <c r="T144" s="210"/>
      <c r="U144" s="415"/>
      <c r="V144" s="210"/>
      <c r="W144" s="415"/>
      <c r="X144" s="210"/>
      <c r="Y144" s="8"/>
      <c r="Z144" s="8"/>
      <c r="AA144" s="8"/>
      <c r="AB144" s="8"/>
      <c r="AC144" s="8"/>
      <c r="AD144" s="8"/>
      <c r="AE144" s="8"/>
      <c r="AF144" s="8"/>
      <c r="AG144" s="8"/>
      <c r="AH144" s="8"/>
      <c r="AI144" s="8"/>
      <c r="AJ144" s="8"/>
      <c r="AK144" s="8"/>
      <c r="AL144" s="8"/>
      <c r="AM144" s="8"/>
      <c r="AN144" s="8"/>
      <c r="AO144" s="8"/>
      <c r="AP144" s="8"/>
      <c r="AQ144" s="8"/>
      <c r="AR144" s="8"/>
      <c r="AS144" s="8"/>
      <c r="AT144" s="8"/>
    </row>
    <row r="145">
      <c r="A145" s="415"/>
      <c r="B145" s="210"/>
      <c r="C145" s="415"/>
      <c r="D145" s="210"/>
      <c r="E145" s="415"/>
      <c r="F145" s="210"/>
      <c r="G145" s="415"/>
      <c r="H145" s="210"/>
      <c r="I145" s="423"/>
      <c r="J145" s="156"/>
      <c r="K145" s="423"/>
      <c r="L145" s="156"/>
      <c r="M145" s="415"/>
      <c r="N145" s="210"/>
      <c r="O145" s="415"/>
      <c r="P145" s="210"/>
      <c r="Q145" s="415"/>
      <c r="R145" s="210"/>
      <c r="S145" s="415"/>
      <c r="T145" s="210"/>
      <c r="U145" s="415"/>
      <c r="V145" s="210"/>
      <c r="W145" s="415"/>
      <c r="X145" s="210"/>
      <c r="Y145" s="8"/>
      <c r="Z145" s="8"/>
      <c r="AA145" s="8"/>
      <c r="AB145" s="8"/>
      <c r="AC145" s="8"/>
      <c r="AD145" s="8"/>
      <c r="AE145" s="8"/>
      <c r="AF145" s="8"/>
      <c r="AG145" s="8"/>
      <c r="AH145" s="8"/>
      <c r="AI145" s="8"/>
      <c r="AJ145" s="8"/>
      <c r="AK145" s="8"/>
      <c r="AL145" s="8"/>
      <c r="AM145" s="8"/>
      <c r="AN145" s="8"/>
      <c r="AO145" s="8"/>
      <c r="AP145" s="8"/>
      <c r="AQ145" s="8"/>
      <c r="AR145" s="8"/>
      <c r="AS145" s="8"/>
      <c r="AT145" s="8"/>
    </row>
    <row r="146">
      <c r="A146" s="415"/>
      <c r="B146" s="210"/>
      <c r="C146" s="415"/>
      <c r="D146" s="210"/>
      <c r="E146" s="415"/>
      <c r="F146" s="210"/>
      <c r="G146" s="415"/>
      <c r="H146" s="210"/>
      <c r="I146" s="423"/>
      <c r="J146" s="156"/>
      <c r="K146" s="423"/>
      <c r="L146" s="156"/>
      <c r="M146" s="415"/>
      <c r="N146" s="210"/>
      <c r="O146" s="415"/>
      <c r="P146" s="210"/>
      <c r="Q146" s="415"/>
      <c r="R146" s="210"/>
      <c r="S146" s="415"/>
      <c r="T146" s="210"/>
      <c r="U146" s="415"/>
      <c r="V146" s="210"/>
      <c r="W146" s="415"/>
      <c r="X146" s="210"/>
      <c r="Y146" s="8"/>
      <c r="Z146" s="8"/>
      <c r="AA146" s="8"/>
      <c r="AB146" s="8"/>
      <c r="AC146" s="8"/>
      <c r="AD146" s="8"/>
      <c r="AE146" s="8"/>
      <c r="AF146" s="8"/>
      <c r="AG146" s="8"/>
      <c r="AH146" s="8"/>
      <c r="AI146" s="8"/>
      <c r="AJ146" s="8"/>
      <c r="AK146" s="8"/>
      <c r="AL146" s="8"/>
      <c r="AM146" s="8"/>
      <c r="AN146" s="8"/>
      <c r="AO146" s="8"/>
      <c r="AP146" s="8"/>
      <c r="AQ146" s="8"/>
      <c r="AR146" s="8"/>
      <c r="AS146" s="8"/>
      <c r="AT146" s="8"/>
    </row>
    <row r="147">
      <c r="A147" s="415"/>
      <c r="B147" s="210"/>
      <c r="C147" s="415"/>
      <c r="D147" s="210"/>
      <c r="E147" s="415"/>
      <c r="F147" s="210"/>
      <c r="G147" s="415"/>
      <c r="H147" s="210"/>
      <c r="I147" s="423"/>
      <c r="J147" s="156"/>
      <c r="K147" s="423"/>
      <c r="L147" s="156"/>
      <c r="M147" s="415"/>
      <c r="N147" s="210"/>
      <c r="O147" s="415"/>
      <c r="P147" s="210"/>
      <c r="Q147" s="415"/>
      <c r="R147" s="210"/>
      <c r="S147" s="415"/>
      <c r="T147" s="210"/>
      <c r="U147" s="415"/>
      <c r="V147" s="210"/>
      <c r="W147" s="415"/>
      <c r="X147" s="210"/>
      <c r="Y147" s="8"/>
      <c r="Z147" s="8"/>
      <c r="AA147" s="8"/>
      <c r="AB147" s="8"/>
      <c r="AC147" s="8"/>
      <c r="AD147" s="8"/>
      <c r="AE147" s="8"/>
      <c r="AF147" s="8"/>
      <c r="AG147" s="8"/>
      <c r="AH147" s="8"/>
      <c r="AI147" s="8"/>
      <c r="AJ147" s="8"/>
      <c r="AK147" s="8"/>
      <c r="AL147" s="8"/>
      <c r="AM147" s="8"/>
      <c r="AN147" s="8"/>
      <c r="AO147" s="8"/>
      <c r="AP147" s="8"/>
      <c r="AQ147" s="8"/>
      <c r="AR147" s="8"/>
      <c r="AS147" s="8"/>
      <c r="AT147" s="8"/>
    </row>
    <row r="148">
      <c r="A148" s="415"/>
      <c r="B148" s="210"/>
      <c r="C148" s="415"/>
      <c r="D148" s="210"/>
      <c r="E148" s="415"/>
      <c r="F148" s="210"/>
      <c r="G148" s="415"/>
      <c r="H148" s="210"/>
      <c r="I148" s="423"/>
      <c r="J148" s="156"/>
      <c r="K148" s="423"/>
      <c r="L148" s="156"/>
      <c r="M148" s="415"/>
      <c r="N148" s="210"/>
      <c r="O148" s="415"/>
      <c r="P148" s="210"/>
      <c r="Q148" s="415"/>
      <c r="R148" s="210"/>
      <c r="S148" s="415"/>
      <c r="T148" s="210"/>
      <c r="U148" s="415"/>
      <c r="V148" s="210"/>
      <c r="W148" s="415"/>
      <c r="X148" s="210"/>
      <c r="Y148" s="8"/>
      <c r="Z148" s="8"/>
      <c r="AA148" s="8"/>
      <c r="AB148" s="8"/>
      <c r="AC148" s="8"/>
      <c r="AD148" s="8"/>
      <c r="AE148" s="8"/>
      <c r="AF148" s="8"/>
      <c r="AG148" s="8"/>
      <c r="AH148" s="8"/>
      <c r="AI148" s="8"/>
      <c r="AJ148" s="8"/>
      <c r="AK148" s="8"/>
      <c r="AL148" s="8"/>
      <c r="AM148" s="8"/>
      <c r="AN148" s="8"/>
      <c r="AO148" s="8"/>
      <c r="AP148" s="8"/>
      <c r="AQ148" s="8"/>
      <c r="AR148" s="8"/>
      <c r="AS148" s="8"/>
      <c r="AT148" s="8"/>
    </row>
    <row r="149">
      <c r="A149" s="415"/>
      <c r="B149" s="210"/>
      <c r="C149" s="415"/>
      <c r="D149" s="210"/>
      <c r="E149" s="415"/>
      <c r="F149" s="210"/>
      <c r="G149" s="415"/>
      <c r="H149" s="210"/>
      <c r="I149" s="423"/>
      <c r="J149" s="156"/>
      <c r="K149" s="423"/>
      <c r="L149" s="156"/>
      <c r="M149" s="415"/>
      <c r="N149" s="210"/>
      <c r="O149" s="415"/>
      <c r="P149" s="210"/>
      <c r="Q149" s="415"/>
      <c r="R149" s="210"/>
      <c r="S149" s="415"/>
      <c r="T149" s="210"/>
      <c r="U149" s="415"/>
      <c r="V149" s="210"/>
      <c r="W149" s="415"/>
      <c r="X149" s="210"/>
      <c r="Y149" s="8"/>
      <c r="Z149" s="8"/>
      <c r="AA149" s="8"/>
      <c r="AB149" s="8"/>
      <c r="AC149" s="8"/>
      <c r="AD149" s="8"/>
      <c r="AE149" s="8"/>
      <c r="AF149" s="8"/>
      <c r="AG149" s="8"/>
      <c r="AH149" s="8"/>
      <c r="AI149" s="8"/>
      <c r="AJ149" s="8"/>
      <c r="AK149" s="8"/>
      <c r="AL149" s="8"/>
      <c r="AM149" s="8"/>
      <c r="AN149" s="8"/>
      <c r="AO149" s="8"/>
      <c r="AP149" s="8"/>
      <c r="AQ149" s="8"/>
      <c r="AR149" s="8"/>
      <c r="AS149" s="8"/>
      <c r="AT149" s="8"/>
    </row>
    <row r="150">
      <c r="A150" s="415"/>
      <c r="B150" s="210"/>
      <c r="C150" s="415"/>
      <c r="D150" s="210"/>
      <c r="E150" s="415"/>
      <c r="F150" s="210"/>
      <c r="G150" s="415"/>
      <c r="H150" s="210"/>
      <c r="I150" s="423"/>
      <c r="J150" s="156"/>
      <c r="K150" s="423"/>
      <c r="L150" s="156"/>
      <c r="M150" s="415"/>
      <c r="N150" s="210"/>
      <c r="O150" s="415"/>
      <c r="P150" s="210"/>
      <c r="Q150" s="415"/>
      <c r="R150" s="210"/>
      <c r="S150" s="415"/>
      <c r="T150" s="210"/>
      <c r="U150" s="415"/>
      <c r="V150" s="210"/>
      <c r="W150" s="415"/>
      <c r="X150" s="210"/>
      <c r="Y150" s="8"/>
      <c r="Z150" s="8"/>
      <c r="AA150" s="8"/>
      <c r="AB150" s="8"/>
      <c r="AC150" s="8"/>
      <c r="AD150" s="8"/>
      <c r="AE150" s="8"/>
      <c r="AF150" s="8"/>
      <c r="AG150" s="8"/>
      <c r="AH150" s="8"/>
      <c r="AI150" s="8"/>
      <c r="AJ150" s="8"/>
      <c r="AK150" s="8"/>
      <c r="AL150" s="8"/>
      <c r="AM150" s="8"/>
      <c r="AN150" s="8"/>
      <c r="AO150" s="8"/>
      <c r="AP150" s="8"/>
      <c r="AQ150" s="8"/>
      <c r="AR150" s="8"/>
      <c r="AS150" s="8"/>
      <c r="AT150" s="8"/>
    </row>
    <row r="151">
      <c r="A151" s="415"/>
      <c r="B151" s="210"/>
      <c r="C151" s="415"/>
      <c r="D151" s="210"/>
      <c r="E151" s="415"/>
      <c r="F151" s="210"/>
      <c r="G151" s="415"/>
      <c r="H151" s="210"/>
      <c r="I151" s="423"/>
      <c r="J151" s="156"/>
      <c r="K151" s="423"/>
      <c r="L151" s="156"/>
      <c r="M151" s="415"/>
      <c r="N151" s="210"/>
      <c r="O151" s="415"/>
      <c r="P151" s="210"/>
      <c r="Q151" s="415"/>
      <c r="R151" s="210"/>
      <c r="S151" s="415"/>
      <c r="T151" s="210"/>
      <c r="U151" s="415"/>
      <c r="V151" s="210"/>
      <c r="W151" s="415"/>
      <c r="X151" s="210"/>
      <c r="Y151" s="8"/>
      <c r="Z151" s="8"/>
      <c r="AA151" s="8"/>
      <c r="AB151" s="8"/>
      <c r="AC151" s="8"/>
      <c r="AD151" s="8"/>
      <c r="AE151" s="8"/>
      <c r="AF151" s="8"/>
      <c r="AG151" s="8"/>
      <c r="AH151" s="8"/>
      <c r="AI151" s="8"/>
      <c r="AJ151" s="8"/>
      <c r="AK151" s="8"/>
      <c r="AL151" s="8"/>
      <c r="AM151" s="8"/>
      <c r="AN151" s="8"/>
      <c r="AO151" s="8"/>
      <c r="AP151" s="8"/>
      <c r="AQ151" s="8"/>
      <c r="AR151" s="8"/>
      <c r="AS151" s="8"/>
      <c r="AT151" s="8"/>
    </row>
    <row r="152">
      <c r="A152" s="415"/>
      <c r="B152" s="210"/>
      <c r="C152" s="415"/>
      <c r="D152" s="210"/>
      <c r="E152" s="415"/>
      <c r="F152" s="210"/>
      <c r="G152" s="415"/>
      <c r="H152" s="210"/>
      <c r="I152" s="423"/>
      <c r="J152" s="156"/>
      <c r="K152" s="423"/>
      <c r="L152" s="156"/>
      <c r="M152" s="415"/>
      <c r="N152" s="210"/>
      <c r="O152" s="415"/>
      <c r="P152" s="210"/>
      <c r="Q152" s="415"/>
      <c r="R152" s="210"/>
      <c r="S152" s="415"/>
      <c r="T152" s="210"/>
      <c r="U152" s="415"/>
      <c r="V152" s="210"/>
      <c r="W152" s="415"/>
      <c r="X152" s="210"/>
      <c r="Y152" s="8"/>
      <c r="Z152" s="8"/>
      <c r="AA152" s="8"/>
      <c r="AB152" s="8"/>
      <c r="AC152" s="8"/>
      <c r="AD152" s="8"/>
      <c r="AE152" s="8"/>
      <c r="AF152" s="8"/>
      <c r="AG152" s="8"/>
      <c r="AH152" s="8"/>
      <c r="AI152" s="8"/>
      <c r="AJ152" s="8"/>
      <c r="AK152" s="8"/>
      <c r="AL152" s="8"/>
      <c r="AM152" s="8"/>
      <c r="AN152" s="8"/>
      <c r="AO152" s="8"/>
      <c r="AP152" s="8"/>
      <c r="AQ152" s="8"/>
      <c r="AR152" s="8"/>
      <c r="AS152" s="8"/>
      <c r="AT152" s="8"/>
    </row>
    <row r="153">
      <c r="A153" s="415"/>
      <c r="B153" s="210"/>
      <c r="C153" s="415"/>
      <c r="D153" s="210"/>
      <c r="E153" s="415"/>
      <c r="F153" s="210"/>
      <c r="G153" s="415"/>
      <c r="H153" s="210"/>
      <c r="I153" s="423"/>
      <c r="J153" s="156"/>
      <c r="K153" s="423"/>
      <c r="L153" s="156"/>
      <c r="M153" s="415"/>
      <c r="N153" s="210"/>
      <c r="O153" s="415"/>
      <c r="P153" s="210"/>
      <c r="Q153" s="415"/>
      <c r="R153" s="210"/>
      <c r="S153" s="415"/>
      <c r="T153" s="210"/>
      <c r="U153" s="415"/>
      <c r="V153" s="210"/>
      <c r="W153" s="415"/>
      <c r="X153" s="210"/>
      <c r="Y153" s="8"/>
      <c r="Z153" s="8"/>
      <c r="AA153" s="8"/>
      <c r="AB153" s="8"/>
      <c r="AC153" s="8"/>
      <c r="AD153" s="8"/>
      <c r="AE153" s="8"/>
      <c r="AF153" s="8"/>
      <c r="AG153" s="8"/>
      <c r="AH153" s="8"/>
      <c r="AI153" s="8"/>
      <c r="AJ153" s="8"/>
      <c r="AK153" s="8"/>
      <c r="AL153" s="8"/>
      <c r="AM153" s="8"/>
      <c r="AN153" s="8"/>
      <c r="AO153" s="8"/>
      <c r="AP153" s="8"/>
      <c r="AQ153" s="8"/>
      <c r="AR153" s="8"/>
      <c r="AS153" s="8"/>
      <c r="AT153" s="8"/>
    </row>
    <row r="154">
      <c r="A154" s="415"/>
      <c r="B154" s="210"/>
      <c r="C154" s="415"/>
      <c r="D154" s="210"/>
      <c r="E154" s="415"/>
      <c r="F154" s="210"/>
      <c r="G154" s="415"/>
      <c r="H154" s="210"/>
      <c r="I154" s="423"/>
      <c r="J154" s="156"/>
      <c r="K154" s="423"/>
      <c r="L154" s="156"/>
      <c r="M154" s="415"/>
      <c r="N154" s="210"/>
      <c r="O154" s="415"/>
      <c r="P154" s="210"/>
      <c r="Q154" s="415"/>
      <c r="R154" s="210"/>
      <c r="S154" s="415"/>
      <c r="T154" s="210"/>
      <c r="U154" s="415"/>
      <c r="V154" s="210"/>
      <c r="W154" s="415"/>
      <c r="X154" s="210"/>
      <c r="Y154" s="8"/>
      <c r="Z154" s="8"/>
      <c r="AA154" s="8"/>
      <c r="AB154" s="8"/>
      <c r="AC154" s="8"/>
      <c r="AD154" s="8"/>
      <c r="AE154" s="8"/>
      <c r="AF154" s="8"/>
      <c r="AG154" s="8"/>
      <c r="AH154" s="8"/>
      <c r="AI154" s="8"/>
      <c r="AJ154" s="8"/>
      <c r="AK154" s="8"/>
      <c r="AL154" s="8"/>
      <c r="AM154" s="8"/>
      <c r="AN154" s="8"/>
      <c r="AO154" s="8"/>
      <c r="AP154" s="8"/>
      <c r="AQ154" s="8"/>
      <c r="AR154" s="8"/>
      <c r="AS154" s="8"/>
      <c r="AT154" s="8"/>
    </row>
    <row r="155">
      <c r="A155" s="415"/>
      <c r="B155" s="210"/>
      <c r="C155" s="415"/>
      <c r="D155" s="210"/>
      <c r="E155" s="415"/>
      <c r="F155" s="210"/>
      <c r="G155" s="415"/>
      <c r="H155" s="210"/>
      <c r="I155" s="423"/>
      <c r="J155" s="156"/>
      <c r="K155" s="423"/>
      <c r="L155" s="156"/>
      <c r="M155" s="415"/>
      <c r="N155" s="210"/>
      <c r="O155" s="415"/>
      <c r="P155" s="210"/>
      <c r="Q155" s="415"/>
      <c r="R155" s="210"/>
      <c r="S155" s="415"/>
      <c r="T155" s="210"/>
      <c r="U155" s="415"/>
      <c r="V155" s="210"/>
      <c r="W155" s="415"/>
      <c r="X155" s="210"/>
      <c r="Y155" s="8"/>
      <c r="Z155" s="8"/>
      <c r="AA155" s="8"/>
      <c r="AB155" s="8"/>
      <c r="AC155" s="8"/>
      <c r="AD155" s="8"/>
      <c r="AE155" s="8"/>
      <c r="AF155" s="8"/>
      <c r="AG155" s="8"/>
      <c r="AH155" s="8"/>
      <c r="AI155" s="8"/>
      <c r="AJ155" s="8"/>
      <c r="AK155" s="8"/>
      <c r="AL155" s="8"/>
      <c r="AM155" s="8"/>
      <c r="AN155" s="8"/>
      <c r="AO155" s="8"/>
      <c r="AP155" s="8"/>
      <c r="AQ155" s="8"/>
      <c r="AR155" s="8"/>
      <c r="AS155" s="8"/>
      <c r="AT155" s="8"/>
    </row>
    <row r="156">
      <c r="A156" s="415"/>
      <c r="B156" s="210"/>
      <c r="C156" s="415"/>
      <c r="D156" s="210"/>
      <c r="E156" s="415"/>
      <c r="F156" s="210"/>
      <c r="G156" s="415"/>
      <c r="H156" s="210"/>
      <c r="I156" s="423"/>
      <c r="J156" s="156"/>
      <c r="K156" s="423"/>
      <c r="L156" s="156"/>
      <c r="M156" s="415"/>
      <c r="N156" s="210"/>
      <c r="O156" s="415"/>
      <c r="P156" s="210"/>
      <c r="Q156" s="415"/>
      <c r="R156" s="210"/>
      <c r="S156" s="415"/>
      <c r="T156" s="210"/>
      <c r="U156" s="415"/>
      <c r="V156" s="210"/>
      <c r="W156" s="415"/>
      <c r="X156" s="210"/>
      <c r="Y156" s="8"/>
      <c r="Z156" s="8"/>
      <c r="AA156" s="8"/>
      <c r="AB156" s="8"/>
      <c r="AC156" s="8"/>
      <c r="AD156" s="8"/>
      <c r="AE156" s="8"/>
      <c r="AF156" s="8"/>
      <c r="AG156" s="8"/>
      <c r="AH156" s="8"/>
      <c r="AI156" s="8"/>
      <c r="AJ156" s="8"/>
      <c r="AK156" s="8"/>
      <c r="AL156" s="8"/>
      <c r="AM156" s="8"/>
      <c r="AN156" s="8"/>
      <c r="AO156" s="8"/>
      <c r="AP156" s="8"/>
      <c r="AQ156" s="8"/>
      <c r="AR156" s="8"/>
      <c r="AS156" s="8"/>
      <c r="AT156" s="8"/>
    </row>
    <row r="157">
      <c r="A157" s="415"/>
      <c r="B157" s="210"/>
      <c r="C157" s="415"/>
      <c r="D157" s="210"/>
      <c r="E157" s="415"/>
      <c r="F157" s="210"/>
      <c r="G157" s="415"/>
      <c r="H157" s="210"/>
      <c r="I157" s="423"/>
      <c r="J157" s="156"/>
      <c r="K157" s="423"/>
      <c r="L157" s="156"/>
      <c r="M157" s="415"/>
      <c r="N157" s="210"/>
      <c r="O157" s="415"/>
      <c r="P157" s="210"/>
      <c r="Q157" s="415"/>
      <c r="R157" s="210"/>
      <c r="S157" s="415"/>
      <c r="T157" s="210"/>
      <c r="U157" s="415"/>
      <c r="V157" s="210"/>
      <c r="W157" s="415"/>
      <c r="X157" s="210"/>
      <c r="Y157" s="8"/>
      <c r="Z157" s="8"/>
      <c r="AA157" s="8"/>
      <c r="AB157" s="8"/>
      <c r="AC157" s="8"/>
      <c r="AD157" s="8"/>
      <c r="AE157" s="8"/>
      <c r="AF157" s="8"/>
      <c r="AG157" s="8"/>
      <c r="AH157" s="8"/>
      <c r="AI157" s="8"/>
      <c r="AJ157" s="8"/>
      <c r="AK157" s="8"/>
      <c r="AL157" s="8"/>
      <c r="AM157" s="8"/>
      <c r="AN157" s="8"/>
      <c r="AO157" s="8"/>
      <c r="AP157" s="8"/>
      <c r="AQ157" s="8"/>
      <c r="AR157" s="8"/>
      <c r="AS157" s="8"/>
      <c r="AT157" s="8"/>
    </row>
    <row r="158">
      <c r="A158" s="415"/>
      <c r="B158" s="210"/>
      <c r="C158" s="415"/>
      <c r="D158" s="210"/>
      <c r="E158" s="415"/>
      <c r="F158" s="210"/>
      <c r="G158" s="415"/>
      <c r="H158" s="210"/>
      <c r="I158" s="423"/>
      <c r="J158" s="156"/>
      <c r="K158" s="423"/>
      <c r="L158" s="156"/>
      <c r="M158" s="415"/>
      <c r="N158" s="210"/>
      <c r="O158" s="415"/>
      <c r="P158" s="210"/>
      <c r="Q158" s="415"/>
      <c r="R158" s="210"/>
      <c r="S158" s="415"/>
      <c r="T158" s="210"/>
      <c r="U158" s="415"/>
      <c r="V158" s="210"/>
      <c r="W158" s="415"/>
      <c r="X158" s="210"/>
      <c r="Y158" s="8"/>
      <c r="Z158" s="8"/>
      <c r="AA158" s="8"/>
      <c r="AB158" s="8"/>
      <c r="AC158" s="8"/>
      <c r="AD158" s="8"/>
      <c r="AE158" s="8"/>
      <c r="AF158" s="8"/>
      <c r="AG158" s="8"/>
      <c r="AH158" s="8"/>
      <c r="AI158" s="8"/>
      <c r="AJ158" s="8"/>
      <c r="AK158" s="8"/>
      <c r="AL158" s="8"/>
      <c r="AM158" s="8"/>
      <c r="AN158" s="8"/>
      <c r="AO158" s="8"/>
      <c r="AP158" s="8"/>
      <c r="AQ158" s="8"/>
      <c r="AR158" s="8"/>
      <c r="AS158" s="8"/>
      <c r="AT158" s="8"/>
    </row>
    <row r="159">
      <c r="A159" s="415"/>
      <c r="B159" s="210"/>
      <c r="C159" s="415"/>
      <c r="D159" s="210"/>
      <c r="E159" s="415"/>
      <c r="F159" s="210"/>
      <c r="G159" s="415"/>
      <c r="H159" s="210"/>
      <c r="I159" s="423"/>
      <c r="J159" s="156"/>
      <c r="K159" s="423"/>
      <c r="L159" s="156"/>
      <c r="M159" s="415"/>
      <c r="N159" s="210"/>
      <c r="O159" s="415"/>
      <c r="P159" s="210"/>
      <c r="Q159" s="415"/>
      <c r="R159" s="210"/>
      <c r="S159" s="415"/>
      <c r="T159" s="210"/>
      <c r="U159" s="415"/>
      <c r="V159" s="210"/>
      <c r="W159" s="415"/>
      <c r="X159" s="210"/>
      <c r="Y159" s="8"/>
      <c r="Z159" s="8"/>
      <c r="AA159" s="8"/>
      <c r="AB159" s="8"/>
      <c r="AC159" s="8"/>
      <c r="AD159" s="8"/>
      <c r="AE159" s="8"/>
      <c r="AF159" s="8"/>
      <c r="AG159" s="8"/>
      <c r="AH159" s="8"/>
      <c r="AI159" s="8"/>
      <c r="AJ159" s="8"/>
      <c r="AK159" s="8"/>
      <c r="AL159" s="8"/>
      <c r="AM159" s="8"/>
      <c r="AN159" s="8"/>
      <c r="AO159" s="8"/>
      <c r="AP159" s="8"/>
      <c r="AQ159" s="8"/>
      <c r="AR159" s="8"/>
      <c r="AS159" s="8"/>
      <c r="AT159" s="8"/>
    </row>
    <row r="160">
      <c r="A160" s="415"/>
      <c r="B160" s="210"/>
      <c r="C160" s="415"/>
      <c r="D160" s="210"/>
      <c r="E160" s="415"/>
      <c r="F160" s="210"/>
      <c r="G160" s="415"/>
      <c r="H160" s="210"/>
      <c r="I160" s="423"/>
      <c r="J160" s="156"/>
      <c r="K160" s="423"/>
      <c r="L160" s="156"/>
      <c r="M160" s="415"/>
      <c r="N160" s="210"/>
      <c r="O160" s="415"/>
      <c r="P160" s="210"/>
      <c r="Q160" s="415"/>
      <c r="R160" s="210"/>
      <c r="S160" s="415"/>
      <c r="T160" s="210"/>
      <c r="U160" s="415"/>
      <c r="V160" s="210"/>
      <c r="W160" s="415"/>
      <c r="X160" s="210"/>
      <c r="Y160" s="8"/>
      <c r="Z160" s="8"/>
      <c r="AA160" s="8"/>
      <c r="AB160" s="8"/>
      <c r="AC160" s="8"/>
      <c r="AD160" s="8"/>
      <c r="AE160" s="8"/>
      <c r="AF160" s="8"/>
      <c r="AG160" s="8"/>
      <c r="AH160" s="8"/>
      <c r="AI160" s="8"/>
      <c r="AJ160" s="8"/>
      <c r="AK160" s="8"/>
      <c r="AL160" s="8"/>
      <c r="AM160" s="8"/>
      <c r="AN160" s="8"/>
      <c r="AO160" s="8"/>
      <c r="AP160" s="8"/>
      <c r="AQ160" s="8"/>
      <c r="AR160" s="8"/>
      <c r="AS160" s="8"/>
      <c r="AT160" s="8"/>
    </row>
    <row r="161">
      <c r="A161" s="415"/>
      <c r="B161" s="210"/>
      <c r="C161" s="415"/>
      <c r="D161" s="210"/>
      <c r="E161" s="415"/>
      <c r="F161" s="210"/>
      <c r="G161" s="415"/>
      <c r="H161" s="210"/>
      <c r="I161" s="423"/>
      <c r="J161" s="156"/>
      <c r="K161" s="423"/>
      <c r="L161" s="156"/>
      <c r="M161" s="415"/>
      <c r="N161" s="210"/>
      <c r="O161" s="415"/>
      <c r="P161" s="210"/>
      <c r="Q161" s="415"/>
      <c r="R161" s="210"/>
      <c r="S161" s="415"/>
      <c r="T161" s="210"/>
      <c r="U161" s="415"/>
      <c r="V161" s="210"/>
      <c r="W161" s="415"/>
      <c r="X161" s="210"/>
      <c r="Y161" s="8"/>
      <c r="Z161" s="8"/>
      <c r="AA161" s="8"/>
      <c r="AB161" s="8"/>
      <c r="AC161" s="8"/>
      <c r="AD161" s="8"/>
      <c r="AE161" s="8"/>
      <c r="AF161" s="8"/>
      <c r="AG161" s="8"/>
      <c r="AH161" s="8"/>
      <c r="AI161" s="8"/>
      <c r="AJ161" s="8"/>
      <c r="AK161" s="8"/>
      <c r="AL161" s="8"/>
      <c r="AM161" s="8"/>
      <c r="AN161" s="8"/>
      <c r="AO161" s="8"/>
      <c r="AP161" s="8"/>
      <c r="AQ161" s="8"/>
      <c r="AR161" s="8"/>
      <c r="AS161" s="8"/>
      <c r="AT161" s="8"/>
    </row>
    <row r="162">
      <c r="A162" s="415"/>
      <c r="B162" s="210"/>
      <c r="C162" s="415"/>
      <c r="D162" s="210"/>
      <c r="E162" s="415"/>
      <c r="F162" s="210"/>
      <c r="G162" s="415"/>
      <c r="H162" s="210"/>
      <c r="I162" s="423"/>
      <c r="J162" s="156"/>
      <c r="K162" s="423"/>
      <c r="L162" s="156"/>
      <c r="M162" s="415"/>
      <c r="N162" s="210"/>
      <c r="O162" s="415"/>
      <c r="P162" s="210"/>
      <c r="Q162" s="415"/>
      <c r="R162" s="210"/>
      <c r="S162" s="415"/>
      <c r="T162" s="210"/>
      <c r="U162" s="415"/>
      <c r="V162" s="210"/>
      <c r="W162" s="415"/>
      <c r="X162" s="210"/>
      <c r="Y162" s="8"/>
      <c r="Z162" s="8"/>
      <c r="AA162" s="8"/>
      <c r="AB162" s="8"/>
      <c r="AC162" s="8"/>
      <c r="AD162" s="8"/>
      <c r="AE162" s="8"/>
      <c r="AF162" s="8"/>
      <c r="AG162" s="8"/>
      <c r="AH162" s="8"/>
      <c r="AI162" s="8"/>
      <c r="AJ162" s="8"/>
      <c r="AK162" s="8"/>
      <c r="AL162" s="8"/>
      <c r="AM162" s="8"/>
      <c r="AN162" s="8"/>
      <c r="AO162" s="8"/>
      <c r="AP162" s="8"/>
      <c r="AQ162" s="8"/>
      <c r="AR162" s="8"/>
      <c r="AS162" s="8"/>
      <c r="AT162" s="8"/>
    </row>
    <row r="163">
      <c r="A163" s="415"/>
      <c r="B163" s="210"/>
      <c r="C163" s="415"/>
      <c r="D163" s="210"/>
      <c r="E163" s="415"/>
      <c r="F163" s="210"/>
      <c r="G163" s="415"/>
      <c r="H163" s="210"/>
      <c r="I163" s="423"/>
      <c r="J163" s="156"/>
      <c r="K163" s="423"/>
      <c r="L163" s="156"/>
      <c r="M163" s="415"/>
      <c r="N163" s="210"/>
      <c r="O163" s="415"/>
      <c r="P163" s="210"/>
      <c r="Q163" s="415"/>
      <c r="R163" s="210"/>
      <c r="S163" s="415"/>
      <c r="T163" s="210"/>
      <c r="U163" s="415"/>
      <c r="V163" s="210"/>
      <c r="W163" s="415"/>
      <c r="X163" s="210"/>
      <c r="Y163" s="8"/>
      <c r="Z163" s="8"/>
      <c r="AA163" s="8"/>
      <c r="AB163" s="8"/>
      <c r="AC163" s="8"/>
      <c r="AD163" s="8"/>
      <c r="AE163" s="8"/>
      <c r="AF163" s="8"/>
      <c r="AG163" s="8"/>
      <c r="AH163" s="8"/>
      <c r="AI163" s="8"/>
      <c r="AJ163" s="8"/>
      <c r="AK163" s="8"/>
      <c r="AL163" s="8"/>
      <c r="AM163" s="8"/>
      <c r="AN163" s="8"/>
      <c r="AO163" s="8"/>
      <c r="AP163" s="8"/>
      <c r="AQ163" s="8"/>
      <c r="AR163" s="8"/>
      <c r="AS163" s="8"/>
      <c r="AT163" s="8"/>
    </row>
    <row r="164">
      <c r="A164" s="415"/>
      <c r="B164" s="210"/>
      <c r="C164" s="415"/>
      <c r="D164" s="210"/>
      <c r="E164" s="415"/>
      <c r="F164" s="210"/>
      <c r="G164" s="415"/>
      <c r="H164" s="210"/>
      <c r="I164" s="423"/>
      <c r="J164" s="156"/>
      <c r="K164" s="423"/>
      <c r="L164" s="156"/>
      <c r="M164" s="415"/>
      <c r="N164" s="210"/>
      <c r="O164" s="415"/>
      <c r="P164" s="210"/>
      <c r="Q164" s="415"/>
      <c r="R164" s="210"/>
      <c r="S164" s="415"/>
      <c r="T164" s="210"/>
      <c r="U164" s="415"/>
      <c r="V164" s="210"/>
      <c r="W164" s="415"/>
      <c r="X164" s="210"/>
      <c r="Y164" s="8"/>
      <c r="Z164" s="8"/>
      <c r="AA164" s="8"/>
      <c r="AB164" s="8"/>
      <c r="AC164" s="8"/>
      <c r="AD164" s="8"/>
      <c r="AE164" s="8"/>
      <c r="AF164" s="8"/>
      <c r="AG164" s="8"/>
      <c r="AH164" s="8"/>
      <c r="AI164" s="8"/>
      <c r="AJ164" s="8"/>
      <c r="AK164" s="8"/>
      <c r="AL164" s="8"/>
      <c r="AM164" s="8"/>
      <c r="AN164" s="8"/>
      <c r="AO164" s="8"/>
      <c r="AP164" s="8"/>
      <c r="AQ164" s="8"/>
      <c r="AR164" s="8"/>
      <c r="AS164" s="8"/>
      <c r="AT164" s="8"/>
    </row>
    <row r="165">
      <c r="A165" s="415"/>
      <c r="B165" s="210"/>
      <c r="C165" s="415"/>
      <c r="D165" s="210"/>
      <c r="E165" s="415"/>
      <c r="F165" s="210"/>
      <c r="G165" s="415"/>
      <c r="H165" s="210"/>
      <c r="I165" s="423"/>
      <c r="J165" s="156"/>
      <c r="K165" s="423"/>
      <c r="L165" s="156"/>
      <c r="M165" s="415"/>
      <c r="N165" s="210"/>
      <c r="O165" s="415"/>
      <c r="P165" s="210"/>
      <c r="Q165" s="415"/>
      <c r="R165" s="210"/>
      <c r="S165" s="415"/>
      <c r="T165" s="210"/>
      <c r="U165" s="415"/>
      <c r="V165" s="210"/>
      <c r="W165" s="415"/>
      <c r="X165" s="210"/>
      <c r="Y165" s="8"/>
      <c r="Z165" s="8"/>
      <c r="AA165" s="8"/>
      <c r="AB165" s="8"/>
      <c r="AC165" s="8"/>
      <c r="AD165" s="8"/>
      <c r="AE165" s="8"/>
      <c r="AF165" s="8"/>
      <c r="AG165" s="8"/>
      <c r="AH165" s="8"/>
      <c r="AI165" s="8"/>
      <c r="AJ165" s="8"/>
      <c r="AK165" s="8"/>
      <c r="AL165" s="8"/>
      <c r="AM165" s="8"/>
      <c r="AN165" s="8"/>
      <c r="AO165" s="8"/>
      <c r="AP165" s="8"/>
      <c r="AQ165" s="8"/>
      <c r="AR165" s="8"/>
      <c r="AS165" s="8"/>
      <c r="AT165" s="8"/>
    </row>
    <row r="166">
      <c r="A166" s="415"/>
      <c r="B166" s="210"/>
      <c r="C166" s="415"/>
      <c r="D166" s="210"/>
      <c r="E166" s="415"/>
      <c r="F166" s="210"/>
      <c r="G166" s="415"/>
      <c r="H166" s="210"/>
      <c r="I166" s="423"/>
      <c r="J166" s="156"/>
      <c r="K166" s="423"/>
      <c r="L166" s="156"/>
      <c r="M166" s="415"/>
      <c r="N166" s="210"/>
      <c r="O166" s="415"/>
      <c r="P166" s="210"/>
      <c r="Q166" s="415"/>
      <c r="R166" s="210"/>
      <c r="S166" s="415"/>
      <c r="T166" s="210"/>
      <c r="U166" s="415"/>
      <c r="V166" s="210"/>
      <c r="W166" s="415"/>
      <c r="X166" s="210"/>
      <c r="Y166" s="8"/>
      <c r="Z166" s="8"/>
      <c r="AA166" s="8"/>
      <c r="AB166" s="8"/>
      <c r="AC166" s="8"/>
      <c r="AD166" s="8"/>
      <c r="AE166" s="8"/>
      <c r="AF166" s="8"/>
      <c r="AG166" s="8"/>
      <c r="AH166" s="8"/>
      <c r="AI166" s="8"/>
      <c r="AJ166" s="8"/>
      <c r="AK166" s="8"/>
      <c r="AL166" s="8"/>
      <c r="AM166" s="8"/>
      <c r="AN166" s="8"/>
      <c r="AO166" s="8"/>
      <c r="AP166" s="8"/>
      <c r="AQ166" s="8"/>
      <c r="AR166" s="8"/>
      <c r="AS166" s="8"/>
      <c r="AT166" s="8"/>
    </row>
    <row r="167">
      <c r="A167" s="415"/>
      <c r="B167" s="210"/>
      <c r="C167" s="415"/>
      <c r="D167" s="210"/>
      <c r="E167" s="415"/>
      <c r="F167" s="210"/>
      <c r="G167" s="415"/>
      <c r="H167" s="210"/>
      <c r="I167" s="423"/>
      <c r="J167" s="156"/>
      <c r="K167" s="423"/>
      <c r="L167" s="156"/>
      <c r="M167" s="415"/>
      <c r="N167" s="210"/>
      <c r="O167" s="415"/>
      <c r="P167" s="210"/>
      <c r="Q167" s="415"/>
      <c r="R167" s="210"/>
      <c r="S167" s="415"/>
      <c r="T167" s="210"/>
      <c r="U167" s="415"/>
      <c r="V167" s="210"/>
      <c r="W167" s="415"/>
      <c r="X167" s="210"/>
      <c r="Y167" s="8"/>
      <c r="Z167" s="8"/>
      <c r="AA167" s="8"/>
      <c r="AB167" s="8"/>
      <c r="AC167" s="8"/>
      <c r="AD167" s="8"/>
      <c r="AE167" s="8"/>
      <c r="AF167" s="8"/>
      <c r="AG167" s="8"/>
      <c r="AH167" s="8"/>
      <c r="AI167" s="8"/>
      <c r="AJ167" s="8"/>
      <c r="AK167" s="8"/>
      <c r="AL167" s="8"/>
      <c r="AM167" s="8"/>
      <c r="AN167" s="8"/>
      <c r="AO167" s="8"/>
      <c r="AP167" s="8"/>
      <c r="AQ167" s="8"/>
      <c r="AR167" s="8"/>
      <c r="AS167" s="8"/>
      <c r="AT167" s="8"/>
    </row>
    <row r="168">
      <c r="A168" s="415"/>
      <c r="B168" s="210"/>
      <c r="C168" s="415"/>
      <c r="D168" s="210"/>
      <c r="E168" s="415"/>
      <c r="F168" s="210"/>
      <c r="G168" s="415"/>
      <c r="H168" s="210"/>
      <c r="I168" s="423"/>
      <c r="J168" s="156"/>
      <c r="K168" s="423"/>
      <c r="L168" s="156"/>
      <c r="M168" s="415"/>
      <c r="N168" s="210"/>
      <c r="O168" s="415"/>
      <c r="P168" s="210"/>
      <c r="Q168" s="415"/>
      <c r="R168" s="210"/>
      <c r="S168" s="415"/>
      <c r="T168" s="210"/>
      <c r="U168" s="415"/>
      <c r="V168" s="210"/>
      <c r="W168" s="415"/>
      <c r="X168" s="210"/>
      <c r="Y168" s="8"/>
      <c r="Z168" s="8"/>
      <c r="AA168" s="8"/>
      <c r="AB168" s="8"/>
      <c r="AC168" s="8"/>
      <c r="AD168" s="8"/>
      <c r="AE168" s="8"/>
      <c r="AF168" s="8"/>
      <c r="AG168" s="8"/>
      <c r="AH168" s="8"/>
      <c r="AI168" s="8"/>
      <c r="AJ168" s="8"/>
      <c r="AK168" s="8"/>
      <c r="AL168" s="8"/>
      <c r="AM168" s="8"/>
      <c r="AN168" s="8"/>
      <c r="AO168" s="8"/>
      <c r="AP168" s="8"/>
      <c r="AQ168" s="8"/>
      <c r="AR168" s="8"/>
      <c r="AS168" s="8"/>
      <c r="AT168" s="8"/>
    </row>
    <row r="169">
      <c r="A169" s="415"/>
      <c r="B169" s="210"/>
      <c r="C169" s="415"/>
      <c r="D169" s="210"/>
      <c r="E169" s="415"/>
      <c r="F169" s="210"/>
      <c r="G169" s="415"/>
      <c r="H169" s="210"/>
      <c r="I169" s="423"/>
      <c r="J169" s="156"/>
      <c r="K169" s="423"/>
      <c r="L169" s="156"/>
      <c r="M169" s="415"/>
      <c r="N169" s="210"/>
      <c r="O169" s="415"/>
      <c r="P169" s="210"/>
      <c r="Q169" s="415"/>
      <c r="R169" s="210"/>
      <c r="S169" s="415"/>
      <c r="T169" s="210"/>
      <c r="U169" s="415"/>
      <c r="V169" s="210"/>
      <c r="W169" s="415"/>
      <c r="X169" s="210"/>
      <c r="Y169" s="8"/>
      <c r="Z169" s="8"/>
      <c r="AA169" s="8"/>
      <c r="AB169" s="8"/>
      <c r="AC169" s="8"/>
      <c r="AD169" s="8"/>
      <c r="AE169" s="8"/>
      <c r="AF169" s="8"/>
      <c r="AG169" s="8"/>
      <c r="AH169" s="8"/>
      <c r="AI169" s="8"/>
      <c r="AJ169" s="8"/>
      <c r="AK169" s="8"/>
      <c r="AL169" s="8"/>
      <c r="AM169" s="8"/>
      <c r="AN169" s="8"/>
      <c r="AO169" s="8"/>
      <c r="AP169" s="8"/>
      <c r="AQ169" s="8"/>
      <c r="AR169" s="8"/>
      <c r="AS169" s="8"/>
      <c r="AT169" s="8"/>
    </row>
    <row r="170">
      <c r="A170" s="415"/>
      <c r="B170" s="210"/>
      <c r="C170" s="415"/>
      <c r="D170" s="210"/>
      <c r="E170" s="415"/>
      <c r="F170" s="210"/>
      <c r="G170" s="415"/>
      <c r="H170" s="210"/>
      <c r="I170" s="423"/>
      <c r="J170" s="156"/>
      <c r="K170" s="423"/>
      <c r="L170" s="156"/>
      <c r="M170" s="415"/>
      <c r="N170" s="210"/>
      <c r="O170" s="415"/>
      <c r="P170" s="210"/>
      <c r="Q170" s="415"/>
      <c r="R170" s="210"/>
      <c r="S170" s="415"/>
      <c r="T170" s="210"/>
      <c r="U170" s="415"/>
      <c r="V170" s="210"/>
      <c r="W170" s="415"/>
      <c r="X170" s="210"/>
      <c r="Y170" s="8"/>
      <c r="Z170" s="8"/>
      <c r="AA170" s="8"/>
      <c r="AB170" s="8"/>
      <c r="AC170" s="8"/>
      <c r="AD170" s="8"/>
      <c r="AE170" s="8"/>
      <c r="AF170" s="8"/>
      <c r="AG170" s="8"/>
      <c r="AH170" s="8"/>
      <c r="AI170" s="8"/>
      <c r="AJ170" s="8"/>
      <c r="AK170" s="8"/>
      <c r="AL170" s="8"/>
      <c r="AM170" s="8"/>
      <c r="AN170" s="8"/>
      <c r="AO170" s="8"/>
      <c r="AP170" s="8"/>
      <c r="AQ170" s="8"/>
      <c r="AR170" s="8"/>
      <c r="AS170" s="8"/>
      <c r="AT170" s="8"/>
    </row>
    <row r="171">
      <c r="A171" s="415"/>
      <c r="B171" s="210"/>
      <c r="C171" s="415"/>
      <c r="D171" s="210"/>
      <c r="E171" s="415"/>
      <c r="F171" s="210"/>
      <c r="G171" s="415"/>
      <c r="H171" s="210"/>
      <c r="I171" s="423"/>
      <c r="J171" s="156"/>
      <c r="K171" s="423"/>
      <c r="L171" s="156"/>
      <c r="M171" s="415"/>
      <c r="N171" s="210"/>
      <c r="O171" s="415"/>
      <c r="P171" s="210"/>
      <c r="Q171" s="415"/>
      <c r="R171" s="210"/>
      <c r="S171" s="415"/>
      <c r="T171" s="210"/>
      <c r="U171" s="415"/>
      <c r="V171" s="210"/>
      <c r="W171" s="415"/>
      <c r="X171" s="210"/>
      <c r="Y171" s="8"/>
      <c r="Z171" s="8"/>
      <c r="AA171" s="8"/>
      <c r="AB171" s="8"/>
      <c r="AC171" s="8"/>
      <c r="AD171" s="8"/>
      <c r="AE171" s="8"/>
      <c r="AF171" s="8"/>
      <c r="AG171" s="8"/>
      <c r="AH171" s="8"/>
      <c r="AI171" s="8"/>
      <c r="AJ171" s="8"/>
      <c r="AK171" s="8"/>
      <c r="AL171" s="8"/>
      <c r="AM171" s="8"/>
      <c r="AN171" s="8"/>
      <c r="AO171" s="8"/>
      <c r="AP171" s="8"/>
      <c r="AQ171" s="8"/>
      <c r="AR171" s="8"/>
      <c r="AS171" s="8"/>
      <c r="AT171" s="8"/>
    </row>
    <row r="172">
      <c r="A172" s="415"/>
      <c r="B172" s="210"/>
      <c r="C172" s="415"/>
      <c r="D172" s="210"/>
      <c r="E172" s="415"/>
      <c r="F172" s="210"/>
      <c r="G172" s="415"/>
      <c r="H172" s="210"/>
      <c r="I172" s="423"/>
      <c r="J172" s="156"/>
      <c r="K172" s="423"/>
      <c r="L172" s="156"/>
      <c r="M172" s="415"/>
      <c r="N172" s="210"/>
      <c r="O172" s="415"/>
      <c r="P172" s="210"/>
      <c r="Q172" s="415"/>
      <c r="R172" s="210"/>
      <c r="S172" s="415"/>
      <c r="T172" s="210"/>
      <c r="U172" s="415"/>
      <c r="V172" s="210"/>
      <c r="W172" s="415"/>
      <c r="X172" s="210"/>
      <c r="Y172" s="8"/>
      <c r="Z172" s="8"/>
      <c r="AA172" s="8"/>
      <c r="AB172" s="8"/>
      <c r="AC172" s="8"/>
      <c r="AD172" s="8"/>
      <c r="AE172" s="8"/>
      <c r="AF172" s="8"/>
      <c r="AG172" s="8"/>
      <c r="AH172" s="8"/>
      <c r="AI172" s="8"/>
      <c r="AJ172" s="8"/>
      <c r="AK172" s="8"/>
      <c r="AL172" s="8"/>
      <c r="AM172" s="8"/>
      <c r="AN172" s="8"/>
      <c r="AO172" s="8"/>
      <c r="AP172" s="8"/>
      <c r="AQ172" s="8"/>
      <c r="AR172" s="8"/>
      <c r="AS172" s="8"/>
      <c r="AT172" s="8"/>
    </row>
    <row r="173">
      <c r="A173" s="415"/>
      <c r="B173" s="210"/>
      <c r="C173" s="415"/>
      <c r="D173" s="210"/>
      <c r="E173" s="415"/>
      <c r="F173" s="210"/>
      <c r="G173" s="415"/>
      <c r="H173" s="210"/>
      <c r="I173" s="423"/>
      <c r="J173" s="156"/>
      <c r="K173" s="423"/>
      <c r="L173" s="156"/>
      <c r="M173" s="415"/>
      <c r="N173" s="210"/>
      <c r="O173" s="415"/>
      <c r="P173" s="210"/>
      <c r="Q173" s="415"/>
      <c r="R173" s="210"/>
      <c r="S173" s="415"/>
      <c r="T173" s="210"/>
      <c r="U173" s="415"/>
      <c r="V173" s="210"/>
      <c r="W173" s="415"/>
      <c r="X173" s="210"/>
      <c r="Y173" s="8"/>
      <c r="Z173" s="8"/>
      <c r="AA173" s="8"/>
      <c r="AB173" s="8"/>
      <c r="AC173" s="8"/>
      <c r="AD173" s="8"/>
      <c r="AE173" s="8"/>
      <c r="AF173" s="8"/>
      <c r="AG173" s="8"/>
      <c r="AH173" s="8"/>
      <c r="AI173" s="8"/>
      <c r="AJ173" s="8"/>
      <c r="AK173" s="8"/>
      <c r="AL173" s="8"/>
      <c r="AM173" s="8"/>
      <c r="AN173" s="8"/>
      <c r="AO173" s="8"/>
      <c r="AP173" s="8"/>
      <c r="AQ173" s="8"/>
      <c r="AR173" s="8"/>
      <c r="AS173" s="8"/>
      <c r="AT173" s="8"/>
    </row>
    <row r="174">
      <c r="A174" s="415"/>
      <c r="B174" s="210"/>
      <c r="C174" s="415"/>
      <c r="D174" s="210"/>
      <c r="E174" s="415"/>
      <c r="F174" s="210"/>
      <c r="G174" s="415"/>
      <c r="H174" s="210"/>
      <c r="I174" s="423"/>
      <c r="J174" s="156"/>
      <c r="K174" s="423"/>
      <c r="L174" s="156"/>
      <c r="M174" s="415"/>
      <c r="N174" s="210"/>
      <c r="O174" s="415"/>
      <c r="P174" s="210"/>
      <c r="Q174" s="415"/>
      <c r="R174" s="210"/>
      <c r="S174" s="415"/>
      <c r="T174" s="210"/>
      <c r="U174" s="415"/>
      <c r="V174" s="210"/>
      <c r="W174" s="415"/>
      <c r="X174" s="210"/>
      <c r="Y174" s="8"/>
      <c r="Z174" s="8"/>
      <c r="AA174" s="8"/>
      <c r="AB174" s="8"/>
      <c r="AC174" s="8"/>
      <c r="AD174" s="8"/>
      <c r="AE174" s="8"/>
      <c r="AF174" s="8"/>
      <c r="AG174" s="8"/>
      <c r="AH174" s="8"/>
      <c r="AI174" s="8"/>
      <c r="AJ174" s="8"/>
      <c r="AK174" s="8"/>
      <c r="AL174" s="8"/>
      <c r="AM174" s="8"/>
      <c r="AN174" s="8"/>
      <c r="AO174" s="8"/>
      <c r="AP174" s="8"/>
      <c r="AQ174" s="8"/>
      <c r="AR174" s="8"/>
      <c r="AS174" s="8"/>
      <c r="AT174" s="8"/>
    </row>
    <row r="175">
      <c r="A175" s="415"/>
      <c r="B175" s="210"/>
      <c r="C175" s="415"/>
      <c r="D175" s="210"/>
      <c r="E175" s="415"/>
      <c r="F175" s="210"/>
      <c r="G175" s="415"/>
      <c r="H175" s="210"/>
      <c r="I175" s="423"/>
      <c r="J175" s="156"/>
      <c r="K175" s="423"/>
      <c r="L175" s="156"/>
      <c r="M175" s="415"/>
      <c r="N175" s="210"/>
      <c r="O175" s="415"/>
      <c r="P175" s="210"/>
      <c r="Q175" s="415"/>
      <c r="R175" s="210"/>
      <c r="S175" s="415"/>
      <c r="T175" s="210"/>
      <c r="U175" s="415"/>
      <c r="V175" s="210"/>
      <c r="W175" s="415"/>
      <c r="X175" s="210"/>
      <c r="Y175" s="8"/>
      <c r="Z175" s="8"/>
      <c r="AA175" s="8"/>
      <c r="AB175" s="8"/>
      <c r="AC175" s="8"/>
      <c r="AD175" s="8"/>
      <c r="AE175" s="8"/>
      <c r="AF175" s="8"/>
      <c r="AG175" s="8"/>
      <c r="AH175" s="8"/>
      <c r="AI175" s="8"/>
      <c r="AJ175" s="8"/>
      <c r="AK175" s="8"/>
      <c r="AL175" s="8"/>
      <c r="AM175" s="8"/>
      <c r="AN175" s="8"/>
      <c r="AO175" s="8"/>
      <c r="AP175" s="8"/>
      <c r="AQ175" s="8"/>
      <c r="AR175" s="8"/>
      <c r="AS175" s="8"/>
      <c r="AT175" s="8"/>
    </row>
    <row r="176">
      <c r="A176" s="415"/>
      <c r="B176" s="210"/>
      <c r="C176" s="415"/>
      <c r="D176" s="210"/>
      <c r="E176" s="415"/>
      <c r="F176" s="210"/>
      <c r="G176" s="415"/>
      <c r="H176" s="210"/>
      <c r="I176" s="423"/>
      <c r="J176" s="156"/>
      <c r="K176" s="423"/>
      <c r="L176" s="156"/>
      <c r="M176" s="415"/>
      <c r="N176" s="210"/>
      <c r="O176" s="415"/>
      <c r="P176" s="210"/>
      <c r="Q176" s="415"/>
      <c r="R176" s="210"/>
      <c r="S176" s="415"/>
      <c r="T176" s="210"/>
      <c r="U176" s="415"/>
      <c r="V176" s="210"/>
      <c r="W176" s="415"/>
      <c r="X176" s="210"/>
      <c r="Y176" s="8"/>
      <c r="Z176" s="8"/>
      <c r="AA176" s="8"/>
      <c r="AB176" s="8"/>
      <c r="AC176" s="8"/>
      <c r="AD176" s="8"/>
      <c r="AE176" s="8"/>
      <c r="AF176" s="8"/>
      <c r="AG176" s="8"/>
      <c r="AH176" s="8"/>
      <c r="AI176" s="8"/>
      <c r="AJ176" s="8"/>
      <c r="AK176" s="8"/>
      <c r="AL176" s="8"/>
      <c r="AM176" s="8"/>
      <c r="AN176" s="8"/>
      <c r="AO176" s="8"/>
      <c r="AP176" s="8"/>
      <c r="AQ176" s="8"/>
      <c r="AR176" s="8"/>
      <c r="AS176" s="8"/>
      <c r="AT176" s="8"/>
    </row>
    <row r="177">
      <c r="A177" s="415"/>
      <c r="B177" s="210"/>
      <c r="C177" s="415"/>
      <c r="D177" s="210"/>
      <c r="E177" s="415"/>
      <c r="F177" s="210"/>
      <c r="G177" s="415"/>
      <c r="H177" s="210"/>
      <c r="I177" s="423"/>
      <c r="J177" s="156"/>
      <c r="K177" s="423"/>
      <c r="L177" s="156"/>
      <c r="M177" s="415"/>
      <c r="N177" s="210"/>
      <c r="O177" s="415"/>
      <c r="P177" s="210"/>
      <c r="Q177" s="415"/>
      <c r="R177" s="210"/>
      <c r="S177" s="415"/>
      <c r="T177" s="210"/>
      <c r="U177" s="415"/>
      <c r="V177" s="210"/>
      <c r="W177" s="415"/>
      <c r="X177" s="210"/>
      <c r="Y177" s="8"/>
      <c r="Z177" s="8"/>
      <c r="AA177" s="8"/>
      <c r="AB177" s="8"/>
      <c r="AC177" s="8"/>
      <c r="AD177" s="8"/>
      <c r="AE177" s="8"/>
      <c r="AF177" s="8"/>
      <c r="AG177" s="8"/>
      <c r="AH177" s="8"/>
      <c r="AI177" s="8"/>
      <c r="AJ177" s="8"/>
      <c r="AK177" s="8"/>
      <c r="AL177" s="8"/>
      <c r="AM177" s="8"/>
      <c r="AN177" s="8"/>
      <c r="AO177" s="8"/>
      <c r="AP177" s="8"/>
      <c r="AQ177" s="8"/>
      <c r="AR177" s="8"/>
      <c r="AS177" s="8"/>
      <c r="AT177" s="8"/>
    </row>
    <row r="178">
      <c r="A178" s="415"/>
      <c r="B178" s="210"/>
      <c r="C178" s="415"/>
      <c r="D178" s="210"/>
      <c r="E178" s="415"/>
      <c r="F178" s="210"/>
      <c r="G178" s="415"/>
      <c r="H178" s="210"/>
      <c r="I178" s="423"/>
      <c r="J178" s="156"/>
      <c r="K178" s="423"/>
      <c r="L178" s="156"/>
      <c r="M178" s="415"/>
      <c r="N178" s="210"/>
      <c r="O178" s="415"/>
      <c r="P178" s="210"/>
      <c r="Q178" s="415"/>
      <c r="R178" s="210"/>
      <c r="S178" s="415"/>
      <c r="T178" s="210"/>
      <c r="U178" s="415"/>
      <c r="V178" s="210"/>
      <c r="W178" s="415"/>
      <c r="X178" s="210"/>
      <c r="Y178" s="8"/>
      <c r="Z178" s="8"/>
      <c r="AA178" s="8"/>
      <c r="AB178" s="8"/>
      <c r="AC178" s="8"/>
      <c r="AD178" s="8"/>
      <c r="AE178" s="8"/>
      <c r="AF178" s="8"/>
      <c r="AG178" s="8"/>
      <c r="AH178" s="8"/>
      <c r="AI178" s="8"/>
      <c r="AJ178" s="8"/>
      <c r="AK178" s="8"/>
      <c r="AL178" s="8"/>
      <c r="AM178" s="8"/>
      <c r="AN178" s="8"/>
      <c r="AO178" s="8"/>
      <c r="AP178" s="8"/>
      <c r="AQ178" s="8"/>
      <c r="AR178" s="8"/>
      <c r="AS178" s="8"/>
      <c r="AT178" s="8"/>
    </row>
    <row r="179">
      <c r="A179" s="415"/>
      <c r="B179" s="210"/>
      <c r="C179" s="415"/>
      <c r="D179" s="210"/>
      <c r="E179" s="415"/>
      <c r="F179" s="210"/>
      <c r="G179" s="415"/>
      <c r="H179" s="210"/>
      <c r="I179" s="423"/>
      <c r="J179" s="156"/>
      <c r="K179" s="423"/>
      <c r="L179" s="156"/>
      <c r="M179" s="415"/>
      <c r="N179" s="210"/>
      <c r="O179" s="415"/>
      <c r="P179" s="210"/>
      <c r="Q179" s="415"/>
      <c r="R179" s="210"/>
      <c r="S179" s="415"/>
      <c r="T179" s="210"/>
      <c r="U179" s="415"/>
      <c r="V179" s="210"/>
      <c r="W179" s="415"/>
      <c r="X179" s="210"/>
      <c r="Y179" s="8"/>
      <c r="Z179" s="8"/>
      <c r="AA179" s="8"/>
      <c r="AB179" s="8"/>
      <c r="AC179" s="8"/>
      <c r="AD179" s="8"/>
      <c r="AE179" s="8"/>
      <c r="AF179" s="8"/>
      <c r="AG179" s="8"/>
      <c r="AH179" s="8"/>
      <c r="AI179" s="8"/>
      <c r="AJ179" s="8"/>
      <c r="AK179" s="8"/>
      <c r="AL179" s="8"/>
      <c r="AM179" s="8"/>
      <c r="AN179" s="8"/>
      <c r="AO179" s="8"/>
      <c r="AP179" s="8"/>
      <c r="AQ179" s="8"/>
      <c r="AR179" s="8"/>
      <c r="AS179" s="8"/>
      <c r="AT179" s="8"/>
    </row>
    <row r="180">
      <c r="A180" s="415"/>
      <c r="B180" s="210"/>
      <c r="C180" s="415"/>
      <c r="D180" s="210"/>
      <c r="E180" s="415"/>
      <c r="F180" s="210"/>
      <c r="G180" s="415"/>
      <c r="H180" s="210"/>
      <c r="I180" s="423"/>
      <c r="J180" s="156"/>
      <c r="K180" s="423"/>
      <c r="L180" s="156"/>
      <c r="M180" s="415"/>
      <c r="N180" s="210"/>
      <c r="O180" s="415"/>
      <c r="P180" s="210"/>
      <c r="Q180" s="415"/>
      <c r="R180" s="210"/>
      <c r="S180" s="415"/>
      <c r="T180" s="210"/>
      <c r="U180" s="415"/>
      <c r="V180" s="210"/>
      <c r="W180" s="415"/>
      <c r="X180" s="210"/>
      <c r="Y180" s="8"/>
      <c r="Z180" s="8"/>
      <c r="AA180" s="8"/>
      <c r="AB180" s="8"/>
      <c r="AC180" s="8"/>
      <c r="AD180" s="8"/>
      <c r="AE180" s="8"/>
      <c r="AF180" s="8"/>
      <c r="AG180" s="8"/>
      <c r="AH180" s="8"/>
      <c r="AI180" s="8"/>
      <c r="AJ180" s="8"/>
      <c r="AK180" s="8"/>
      <c r="AL180" s="8"/>
      <c r="AM180" s="8"/>
      <c r="AN180" s="8"/>
      <c r="AO180" s="8"/>
      <c r="AP180" s="8"/>
      <c r="AQ180" s="8"/>
      <c r="AR180" s="8"/>
      <c r="AS180" s="8"/>
      <c r="AT180" s="8"/>
    </row>
    <row r="181">
      <c r="A181" s="415"/>
      <c r="B181" s="210"/>
      <c r="C181" s="415"/>
      <c r="D181" s="210"/>
      <c r="E181" s="415"/>
      <c r="F181" s="210"/>
      <c r="G181" s="415"/>
      <c r="H181" s="210"/>
      <c r="I181" s="423"/>
      <c r="J181" s="156"/>
      <c r="K181" s="423"/>
      <c r="L181" s="156"/>
      <c r="M181" s="415"/>
      <c r="N181" s="210"/>
      <c r="O181" s="415"/>
      <c r="P181" s="210"/>
      <c r="Q181" s="415"/>
      <c r="R181" s="210"/>
      <c r="S181" s="415"/>
      <c r="T181" s="210"/>
      <c r="U181" s="415"/>
      <c r="V181" s="210"/>
      <c r="W181" s="415"/>
      <c r="X181" s="210"/>
      <c r="Y181" s="8"/>
      <c r="Z181" s="8"/>
      <c r="AA181" s="8"/>
      <c r="AB181" s="8"/>
      <c r="AC181" s="8"/>
      <c r="AD181" s="8"/>
      <c r="AE181" s="8"/>
      <c r="AF181" s="8"/>
      <c r="AG181" s="8"/>
      <c r="AH181" s="8"/>
      <c r="AI181" s="8"/>
      <c r="AJ181" s="8"/>
      <c r="AK181" s="8"/>
      <c r="AL181" s="8"/>
      <c r="AM181" s="8"/>
      <c r="AN181" s="8"/>
      <c r="AO181" s="8"/>
      <c r="AP181" s="8"/>
      <c r="AQ181" s="8"/>
      <c r="AR181" s="8"/>
      <c r="AS181" s="8"/>
      <c r="AT181" s="8"/>
    </row>
    <row r="182">
      <c r="A182" s="415"/>
      <c r="B182" s="210"/>
      <c r="C182" s="415"/>
      <c r="D182" s="210"/>
      <c r="E182" s="415"/>
      <c r="F182" s="210"/>
      <c r="G182" s="415"/>
      <c r="H182" s="210"/>
      <c r="I182" s="423"/>
      <c r="J182" s="156"/>
      <c r="K182" s="423"/>
      <c r="L182" s="156"/>
      <c r="M182" s="415"/>
      <c r="N182" s="210"/>
      <c r="O182" s="415"/>
      <c r="P182" s="210"/>
      <c r="Q182" s="415"/>
      <c r="R182" s="210"/>
      <c r="S182" s="415"/>
      <c r="T182" s="210"/>
      <c r="U182" s="415"/>
      <c r="V182" s="210"/>
      <c r="W182" s="415"/>
      <c r="X182" s="210"/>
      <c r="Y182" s="8"/>
      <c r="Z182" s="8"/>
      <c r="AA182" s="8"/>
      <c r="AB182" s="8"/>
      <c r="AC182" s="8"/>
      <c r="AD182" s="8"/>
      <c r="AE182" s="8"/>
      <c r="AF182" s="8"/>
      <c r="AG182" s="8"/>
      <c r="AH182" s="8"/>
      <c r="AI182" s="8"/>
      <c r="AJ182" s="8"/>
      <c r="AK182" s="8"/>
      <c r="AL182" s="8"/>
      <c r="AM182" s="8"/>
      <c r="AN182" s="8"/>
      <c r="AO182" s="8"/>
      <c r="AP182" s="8"/>
      <c r="AQ182" s="8"/>
      <c r="AR182" s="8"/>
      <c r="AS182" s="8"/>
      <c r="AT182" s="8"/>
    </row>
    <row r="183">
      <c r="A183" s="415"/>
      <c r="B183" s="210"/>
      <c r="C183" s="415"/>
      <c r="D183" s="210"/>
      <c r="E183" s="415"/>
      <c r="F183" s="210"/>
      <c r="G183" s="415"/>
      <c r="H183" s="210"/>
      <c r="I183" s="423"/>
      <c r="J183" s="156"/>
      <c r="K183" s="423"/>
      <c r="L183" s="156"/>
      <c r="M183" s="415"/>
      <c r="N183" s="210"/>
      <c r="O183" s="415"/>
      <c r="P183" s="210"/>
      <c r="Q183" s="415"/>
      <c r="R183" s="210"/>
      <c r="S183" s="415"/>
      <c r="T183" s="210"/>
      <c r="U183" s="415"/>
      <c r="V183" s="210"/>
      <c r="W183" s="415"/>
      <c r="X183" s="210"/>
      <c r="Y183" s="8"/>
      <c r="Z183" s="8"/>
      <c r="AA183" s="8"/>
      <c r="AB183" s="8"/>
      <c r="AC183" s="8"/>
      <c r="AD183" s="8"/>
      <c r="AE183" s="8"/>
      <c r="AF183" s="8"/>
      <c r="AG183" s="8"/>
      <c r="AH183" s="8"/>
      <c r="AI183" s="8"/>
      <c r="AJ183" s="8"/>
      <c r="AK183" s="8"/>
      <c r="AL183" s="8"/>
      <c r="AM183" s="8"/>
      <c r="AN183" s="8"/>
      <c r="AO183" s="8"/>
      <c r="AP183" s="8"/>
      <c r="AQ183" s="8"/>
      <c r="AR183" s="8"/>
      <c r="AS183" s="8"/>
      <c r="AT183" s="8"/>
    </row>
    <row r="184">
      <c r="A184" s="415"/>
      <c r="B184" s="210"/>
      <c r="C184" s="415"/>
      <c r="D184" s="210"/>
      <c r="E184" s="415"/>
      <c r="F184" s="210"/>
      <c r="G184" s="415"/>
      <c r="H184" s="210"/>
      <c r="I184" s="423"/>
      <c r="J184" s="156"/>
      <c r="K184" s="423"/>
      <c r="L184" s="156"/>
      <c r="M184" s="415"/>
      <c r="N184" s="210"/>
      <c r="O184" s="415"/>
      <c r="P184" s="210"/>
      <c r="Q184" s="415"/>
      <c r="R184" s="210"/>
      <c r="S184" s="415"/>
      <c r="T184" s="210"/>
      <c r="U184" s="415"/>
      <c r="V184" s="210"/>
      <c r="W184" s="415"/>
      <c r="X184" s="210"/>
      <c r="Y184" s="8"/>
      <c r="Z184" s="8"/>
      <c r="AA184" s="8"/>
      <c r="AB184" s="8"/>
      <c r="AC184" s="8"/>
      <c r="AD184" s="8"/>
      <c r="AE184" s="8"/>
      <c r="AF184" s="8"/>
      <c r="AG184" s="8"/>
      <c r="AH184" s="8"/>
      <c r="AI184" s="8"/>
      <c r="AJ184" s="8"/>
      <c r="AK184" s="8"/>
      <c r="AL184" s="8"/>
      <c r="AM184" s="8"/>
      <c r="AN184" s="8"/>
      <c r="AO184" s="8"/>
      <c r="AP184" s="8"/>
      <c r="AQ184" s="8"/>
      <c r="AR184" s="8"/>
      <c r="AS184" s="8"/>
      <c r="AT184" s="8"/>
    </row>
    <row r="185">
      <c r="A185" s="415"/>
      <c r="B185" s="210"/>
      <c r="C185" s="415"/>
      <c r="D185" s="210"/>
      <c r="E185" s="415"/>
      <c r="F185" s="210"/>
      <c r="G185" s="415"/>
      <c r="H185" s="210"/>
      <c r="I185" s="423"/>
      <c r="J185" s="156"/>
      <c r="K185" s="423"/>
      <c r="L185" s="156"/>
      <c r="M185" s="415"/>
      <c r="N185" s="210"/>
      <c r="O185" s="415"/>
      <c r="P185" s="210"/>
      <c r="Q185" s="415"/>
      <c r="R185" s="210"/>
      <c r="S185" s="415"/>
      <c r="T185" s="210"/>
      <c r="U185" s="415"/>
      <c r="V185" s="210"/>
      <c r="W185" s="415"/>
      <c r="X185" s="210"/>
      <c r="Y185" s="8"/>
      <c r="Z185" s="8"/>
      <c r="AA185" s="8"/>
      <c r="AB185" s="8"/>
      <c r="AC185" s="8"/>
      <c r="AD185" s="8"/>
      <c r="AE185" s="8"/>
      <c r="AF185" s="8"/>
      <c r="AG185" s="8"/>
      <c r="AH185" s="8"/>
      <c r="AI185" s="8"/>
      <c r="AJ185" s="8"/>
      <c r="AK185" s="8"/>
      <c r="AL185" s="8"/>
      <c r="AM185" s="8"/>
      <c r="AN185" s="8"/>
      <c r="AO185" s="8"/>
      <c r="AP185" s="8"/>
      <c r="AQ185" s="8"/>
      <c r="AR185" s="8"/>
      <c r="AS185" s="8"/>
      <c r="AT185" s="8"/>
    </row>
    <row r="186">
      <c r="A186" s="415"/>
      <c r="B186" s="210"/>
      <c r="C186" s="415"/>
      <c r="D186" s="210"/>
      <c r="E186" s="415"/>
      <c r="F186" s="210"/>
      <c r="G186" s="415"/>
      <c r="H186" s="210"/>
      <c r="I186" s="423"/>
      <c r="J186" s="156"/>
      <c r="K186" s="423"/>
      <c r="L186" s="156"/>
      <c r="M186" s="415"/>
      <c r="N186" s="210"/>
      <c r="O186" s="415"/>
      <c r="P186" s="210"/>
      <c r="Q186" s="415"/>
      <c r="R186" s="210"/>
      <c r="S186" s="415"/>
      <c r="T186" s="210"/>
      <c r="U186" s="415"/>
      <c r="V186" s="210"/>
      <c r="W186" s="415"/>
      <c r="X186" s="210"/>
      <c r="Y186" s="8"/>
      <c r="Z186" s="8"/>
      <c r="AA186" s="8"/>
      <c r="AB186" s="8"/>
      <c r="AC186" s="8"/>
      <c r="AD186" s="8"/>
      <c r="AE186" s="8"/>
      <c r="AF186" s="8"/>
      <c r="AG186" s="8"/>
      <c r="AH186" s="8"/>
      <c r="AI186" s="8"/>
      <c r="AJ186" s="8"/>
      <c r="AK186" s="8"/>
      <c r="AL186" s="8"/>
      <c r="AM186" s="8"/>
      <c r="AN186" s="8"/>
      <c r="AO186" s="8"/>
      <c r="AP186" s="8"/>
      <c r="AQ186" s="8"/>
      <c r="AR186" s="8"/>
      <c r="AS186" s="8"/>
      <c r="AT186" s="8"/>
    </row>
    <row r="187">
      <c r="A187" s="415"/>
      <c r="B187" s="210"/>
      <c r="C187" s="415"/>
      <c r="D187" s="210"/>
      <c r="E187" s="415"/>
      <c r="F187" s="210"/>
      <c r="G187" s="415"/>
      <c r="H187" s="210"/>
      <c r="I187" s="423"/>
      <c r="J187" s="156"/>
      <c r="K187" s="423"/>
      <c r="L187" s="156"/>
      <c r="M187" s="415"/>
      <c r="N187" s="210"/>
      <c r="O187" s="415"/>
      <c r="P187" s="210"/>
      <c r="Q187" s="415"/>
      <c r="R187" s="210"/>
      <c r="S187" s="415"/>
      <c r="T187" s="210"/>
      <c r="U187" s="415"/>
      <c r="V187" s="210"/>
      <c r="W187" s="415"/>
      <c r="X187" s="210"/>
      <c r="Y187" s="8"/>
      <c r="Z187" s="8"/>
      <c r="AA187" s="8"/>
      <c r="AB187" s="8"/>
      <c r="AC187" s="8"/>
      <c r="AD187" s="8"/>
      <c r="AE187" s="8"/>
      <c r="AF187" s="8"/>
      <c r="AG187" s="8"/>
      <c r="AH187" s="8"/>
      <c r="AI187" s="8"/>
      <c r="AJ187" s="8"/>
      <c r="AK187" s="8"/>
      <c r="AL187" s="8"/>
      <c r="AM187" s="8"/>
      <c r="AN187" s="8"/>
      <c r="AO187" s="8"/>
      <c r="AP187" s="8"/>
      <c r="AQ187" s="8"/>
      <c r="AR187" s="8"/>
      <c r="AS187" s="8"/>
      <c r="AT187" s="8"/>
    </row>
    <row r="188">
      <c r="A188" s="415"/>
      <c r="B188" s="210"/>
      <c r="C188" s="415"/>
      <c r="D188" s="210"/>
      <c r="E188" s="415"/>
      <c r="F188" s="210"/>
      <c r="G188" s="415"/>
      <c r="H188" s="210"/>
      <c r="I188" s="423"/>
      <c r="J188" s="156"/>
      <c r="K188" s="423"/>
      <c r="L188" s="156"/>
      <c r="M188" s="415"/>
      <c r="N188" s="210"/>
      <c r="O188" s="415"/>
      <c r="P188" s="210"/>
      <c r="Q188" s="415"/>
      <c r="R188" s="210"/>
      <c r="S188" s="415"/>
      <c r="T188" s="210"/>
      <c r="U188" s="415"/>
      <c r="V188" s="210"/>
      <c r="W188" s="415"/>
      <c r="X188" s="210"/>
      <c r="Y188" s="8"/>
      <c r="Z188" s="8"/>
      <c r="AA188" s="8"/>
      <c r="AB188" s="8"/>
      <c r="AC188" s="8"/>
      <c r="AD188" s="8"/>
      <c r="AE188" s="8"/>
      <c r="AF188" s="8"/>
      <c r="AG188" s="8"/>
      <c r="AH188" s="8"/>
      <c r="AI188" s="8"/>
      <c r="AJ188" s="8"/>
      <c r="AK188" s="8"/>
      <c r="AL188" s="8"/>
      <c r="AM188" s="8"/>
      <c r="AN188" s="8"/>
      <c r="AO188" s="8"/>
      <c r="AP188" s="8"/>
      <c r="AQ188" s="8"/>
      <c r="AR188" s="8"/>
      <c r="AS188" s="8"/>
      <c r="AT188" s="8"/>
    </row>
    <row r="189">
      <c r="A189" s="415"/>
      <c r="B189" s="210"/>
      <c r="C189" s="415"/>
      <c r="D189" s="210"/>
      <c r="E189" s="415"/>
      <c r="F189" s="210"/>
      <c r="G189" s="415"/>
      <c r="H189" s="210"/>
      <c r="I189" s="423"/>
      <c r="J189" s="156"/>
      <c r="K189" s="423"/>
      <c r="L189" s="156"/>
      <c r="M189" s="415"/>
      <c r="N189" s="210"/>
      <c r="O189" s="415"/>
      <c r="P189" s="210"/>
      <c r="Q189" s="415"/>
      <c r="R189" s="210"/>
      <c r="S189" s="415"/>
      <c r="T189" s="210"/>
      <c r="U189" s="415"/>
      <c r="V189" s="210"/>
      <c r="W189" s="415"/>
      <c r="X189" s="210"/>
      <c r="Y189" s="8"/>
      <c r="Z189" s="8"/>
      <c r="AA189" s="8"/>
      <c r="AB189" s="8"/>
      <c r="AC189" s="8"/>
      <c r="AD189" s="8"/>
      <c r="AE189" s="8"/>
      <c r="AF189" s="8"/>
      <c r="AG189" s="8"/>
      <c r="AH189" s="8"/>
      <c r="AI189" s="8"/>
      <c r="AJ189" s="8"/>
      <c r="AK189" s="8"/>
      <c r="AL189" s="8"/>
      <c r="AM189" s="8"/>
      <c r="AN189" s="8"/>
      <c r="AO189" s="8"/>
      <c r="AP189" s="8"/>
      <c r="AQ189" s="8"/>
      <c r="AR189" s="8"/>
      <c r="AS189" s="8"/>
      <c r="AT189" s="8"/>
    </row>
    <row r="190">
      <c r="A190" s="415"/>
      <c r="B190" s="210"/>
      <c r="C190" s="415"/>
      <c r="D190" s="210"/>
      <c r="E190" s="415"/>
      <c r="F190" s="210"/>
      <c r="G190" s="415"/>
      <c r="H190" s="210"/>
      <c r="I190" s="423"/>
      <c r="J190" s="156"/>
      <c r="K190" s="423"/>
      <c r="L190" s="156"/>
      <c r="M190" s="415"/>
      <c r="N190" s="210"/>
      <c r="O190" s="415"/>
      <c r="P190" s="210"/>
      <c r="Q190" s="415"/>
      <c r="R190" s="210"/>
      <c r="S190" s="415"/>
      <c r="T190" s="210"/>
      <c r="U190" s="415"/>
      <c r="V190" s="210"/>
      <c r="W190" s="415"/>
      <c r="X190" s="210"/>
      <c r="Y190" s="8"/>
      <c r="Z190" s="8"/>
      <c r="AA190" s="8"/>
      <c r="AB190" s="8"/>
      <c r="AC190" s="8"/>
      <c r="AD190" s="8"/>
      <c r="AE190" s="8"/>
      <c r="AF190" s="8"/>
      <c r="AG190" s="8"/>
      <c r="AH190" s="8"/>
      <c r="AI190" s="8"/>
      <c r="AJ190" s="8"/>
      <c r="AK190" s="8"/>
      <c r="AL190" s="8"/>
      <c r="AM190" s="8"/>
      <c r="AN190" s="8"/>
      <c r="AO190" s="8"/>
      <c r="AP190" s="8"/>
      <c r="AQ190" s="8"/>
      <c r="AR190" s="8"/>
      <c r="AS190" s="8"/>
      <c r="AT190" s="8"/>
    </row>
    <row r="191">
      <c r="A191" s="415"/>
      <c r="B191" s="210"/>
      <c r="C191" s="415"/>
      <c r="D191" s="210"/>
      <c r="E191" s="415"/>
      <c r="F191" s="210"/>
      <c r="G191" s="415"/>
      <c r="H191" s="210"/>
      <c r="I191" s="423"/>
      <c r="J191" s="156"/>
      <c r="K191" s="423"/>
      <c r="L191" s="156"/>
      <c r="M191" s="415"/>
      <c r="N191" s="210"/>
      <c r="O191" s="415"/>
      <c r="P191" s="210"/>
      <c r="Q191" s="415"/>
      <c r="R191" s="210"/>
      <c r="S191" s="415"/>
      <c r="T191" s="210"/>
      <c r="U191" s="415"/>
      <c r="V191" s="210"/>
      <c r="W191" s="415"/>
      <c r="X191" s="210"/>
      <c r="Y191" s="8"/>
      <c r="Z191" s="8"/>
      <c r="AA191" s="8"/>
      <c r="AB191" s="8"/>
      <c r="AC191" s="8"/>
      <c r="AD191" s="8"/>
      <c r="AE191" s="8"/>
      <c r="AF191" s="8"/>
      <c r="AG191" s="8"/>
      <c r="AH191" s="8"/>
      <c r="AI191" s="8"/>
      <c r="AJ191" s="8"/>
      <c r="AK191" s="8"/>
      <c r="AL191" s="8"/>
      <c r="AM191" s="8"/>
      <c r="AN191" s="8"/>
      <c r="AO191" s="8"/>
      <c r="AP191" s="8"/>
      <c r="AQ191" s="8"/>
      <c r="AR191" s="8"/>
      <c r="AS191" s="8"/>
      <c r="AT191" s="8"/>
    </row>
    <row r="192">
      <c r="A192" s="415"/>
      <c r="B192" s="210"/>
      <c r="C192" s="415"/>
      <c r="D192" s="210"/>
      <c r="E192" s="415"/>
      <c r="F192" s="210"/>
      <c r="G192" s="415"/>
      <c r="H192" s="210"/>
      <c r="I192" s="423"/>
      <c r="J192" s="156"/>
      <c r="K192" s="423"/>
      <c r="L192" s="156"/>
      <c r="M192" s="415"/>
      <c r="N192" s="210"/>
      <c r="O192" s="415"/>
      <c r="P192" s="210"/>
      <c r="Q192" s="415"/>
      <c r="R192" s="210"/>
      <c r="S192" s="415"/>
      <c r="T192" s="210"/>
      <c r="U192" s="415"/>
      <c r="V192" s="210"/>
      <c r="W192" s="415"/>
      <c r="X192" s="210"/>
      <c r="Y192" s="8"/>
      <c r="Z192" s="8"/>
      <c r="AA192" s="8"/>
      <c r="AB192" s="8"/>
      <c r="AC192" s="8"/>
      <c r="AD192" s="8"/>
      <c r="AE192" s="8"/>
      <c r="AF192" s="8"/>
      <c r="AG192" s="8"/>
      <c r="AH192" s="8"/>
      <c r="AI192" s="8"/>
      <c r="AJ192" s="8"/>
      <c r="AK192" s="8"/>
      <c r="AL192" s="8"/>
      <c r="AM192" s="8"/>
      <c r="AN192" s="8"/>
      <c r="AO192" s="8"/>
      <c r="AP192" s="8"/>
      <c r="AQ192" s="8"/>
      <c r="AR192" s="8"/>
      <c r="AS192" s="8"/>
      <c r="AT192" s="8"/>
    </row>
    <row r="193">
      <c r="A193" s="415"/>
      <c r="B193" s="210"/>
      <c r="C193" s="415"/>
      <c r="D193" s="210"/>
      <c r="E193" s="415"/>
      <c r="F193" s="210"/>
      <c r="G193" s="415"/>
      <c r="H193" s="210"/>
      <c r="I193" s="423"/>
      <c r="J193" s="156"/>
      <c r="K193" s="423"/>
      <c r="L193" s="156"/>
      <c r="M193" s="415"/>
      <c r="N193" s="210"/>
      <c r="O193" s="415"/>
      <c r="P193" s="210"/>
      <c r="Q193" s="415"/>
      <c r="R193" s="210"/>
      <c r="S193" s="415"/>
      <c r="T193" s="210"/>
      <c r="U193" s="415"/>
      <c r="V193" s="210"/>
      <c r="W193" s="415"/>
      <c r="X193" s="210"/>
      <c r="Y193" s="8"/>
      <c r="Z193" s="8"/>
      <c r="AA193" s="8"/>
      <c r="AB193" s="8"/>
      <c r="AC193" s="8"/>
      <c r="AD193" s="8"/>
      <c r="AE193" s="8"/>
      <c r="AF193" s="8"/>
      <c r="AG193" s="8"/>
      <c r="AH193" s="8"/>
      <c r="AI193" s="8"/>
      <c r="AJ193" s="8"/>
      <c r="AK193" s="8"/>
      <c r="AL193" s="8"/>
      <c r="AM193" s="8"/>
      <c r="AN193" s="8"/>
      <c r="AO193" s="8"/>
      <c r="AP193" s="8"/>
      <c r="AQ193" s="8"/>
      <c r="AR193" s="8"/>
      <c r="AS193" s="8"/>
      <c r="AT193" s="8"/>
    </row>
    <row r="194">
      <c r="A194" s="415"/>
      <c r="B194" s="210"/>
      <c r="C194" s="415"/>
      <c r="D194" s="210"/>
      <c r="E194" s="415"/>
      <c r="F194" s="210"/>
      <c r="G194" s="415"/>
      <c r="H194" s="210"/>
      <c r="I194" s="423"/>
      <c r="J194" s="156"/>
      <c r="K194" s="423"/>
      <c r="L194" s="156"/>
      <c r="M194" s="415"/>
      <c r="N194" s="210"/>
      <c r="O194" s="415"/>
      <c r="P194" s="210"/>
      <c r="Q194" s="415"/>
      <c r="R194" s="210"/>
      <c r="S194" s="415"/>
      <c r="T194" s="210"/>
      <c r="U194" s="415"/>
      <c r="V194" s="210"/>
      <c r="W194" s="415"/>
      <c r="X194" s="210"/>
      <c r="Y194" s="8"/>
      <c r="Z194" s="8"/>
      <c r="AA194" s="8"/>
      <c r="AB194" s="8"/>
      <c r="AC194" s="8"/>
      <c r="AD194" s="8"/>
      <c r="AE194" s="8"/>
      <c r="AF194" s="8"/>
      <c r="AG194" s="8"/>
      <c r="AH194" s="8"/>
      <c r="AI194" s="8"/>
      <c r="AJ194" s="8"/>
      <c r="AK194" s="8"/>
      <c r="AL194" s="8"/>
      <c r="AM194" s="8"/>
      <c r="AN194" s="8"/>
      <c r="AO194" s="8"/>
      <c r="AP194" s="8"/>
      <c r="AQ194" s="8"/>
      <c r="AR194" s="8"/>
      <c r="AS194" s="8"/>
      <c r="AT194" s="8"/>
    </row>
    <row r="195">
      <c r="A195" s="415"/>
      <c r="B195" s="210"/>
      <c r="C195" s="415"/>
      <c r="D195" s="210"/>
      <c r="E195" s="415"/>
      <c r="F195" s="210"/>
      <c r="G195" s="415"/>
      <c r="H195" s="210"/>
      <c r="I195" s="423"/>
      <c r="J195" s="156"/>
      <c r="K195" s="423"/>
      <c r="L195" s="156"/>
      <c r="M195" s="415"/>
      <c r="N195" s="210"/>
      <c r="O195" s="415"/>
      <c r="P195" s="210"/>
      <c r="Q195" s="415"/>
      <c r="R195" s="210"/>
      <c r="S195" s="415"/>
      <c r="T195" s="210"/>
      <c r="U195" s="415"/>
      <c r="V195" s="210"/>
      <c r="W195" s="415"/>
      <c r="X195" s="210"/>
      <c r="Y195" s="8"/>
      <c r="Z195" s="8"/>
      <c r="AA195" s="8"/>
      <c r="AB195" s="8"/>
      <c r="AC195" s="8"/>
      <c r="AD195" s="8"/>
      <c r="AE195" s="8"/>
      <c r="AF195" s="8"/>
      <c r="AG195" s="8"/>
      <c r="AH195" s="8"/>
      <c r="AI195" s="8"/>
      <c r="AJ195" s="8"/>
      <c r="AK195" s="8"/>
      <c r="AL195" s="8"/>
      <c r="AM195" s="8"/>
      <c r="AN195" s="8"/>
      <c r="AO195" s="8"/>
      <c r="AP195" s="8"/>
      <c r="AQ195" s="8"/>
      <c r="AR195" s="8"/>
      <c r="AS195" s="8"/>
      <c r="AT195" s="8"/>
    </row>
    <row r="196">
      <c r="A196" s="415"/>
      <c r="B196" s="210"/>
      <c r="C196" s="415"/>
      <c r="D196" s="210"/>
      <c r="E196" s="415"/>
      <c r="F196" s="210"/>
      <c r="G196" s="415"/>
      <c r="H196" s="210"/>
      <c r="I196" s="423"/>
      <c r="J196" s="156"/>
      <c r="K196" s="423"/>
      <c r="L196" s="156"/>
      <c r="M196" s="415"/>
      <c r="N196" s="210"/>
      <c r="O196" s="415"/>
      <c r="P196" s="210"/>
      <c r="Q196" s="415"/>
      <c r="R196" s="210"/>
      <c r="S196" s="415"/>
      <c r="T196" s="210"/>
      <c r="U196" s="415"/>
      <c r="V196" s="210"/>
      <c r="W196" s="415"/>
      <c r="X196" s="210"/>
      <c r="Y196" s="8"/>
      <c r="Z196" s="8"/>
      <c r="AA196" s="8"/>
      <c r="AB196" s="8"/>
      <c r="AC196" s="8"/>
      <c r="AD196" s="8"/>
      <c r="AE196" s="8"/>
      <c r="AF196" s="8"/>
      <c r="AG196" s="8"/>
      <c r="AH196" s="8"/>
      <c r="AI196" s="8"/>
      <c r="AJ196" s="8"/>
      <c r="AK196" s="8"/>
      <c r="AL196" s="8"/>
      <c r="AM196" s="8"/>
      <c r="AN196" s="8"/>
      <c r="AO196" s="8"/>
      <c r="AP196" s="8"/>
      <c r="AQ196" s="8"/>
      <c r="AR196" s="8"/>
      <c r="AS196" s="8"/>
      <c r="AT196" s="8"/>
    </row>
    <row r="197">
      <c r="A197" s="415"/>
      <c r="B197" s="210"/>
      <c r="C197" s="415"/>
      <c r="D197" s="210"/>
      <c r="E197" s="415"/>
      <c r="F197" s="210"/>
      <c r="G197" s="415"/>
      <c r="H197" s="210"/>
      <c r="I197" s="423"/>
      <c r="J197" s="156"/>
      <c r="K197" s="423"/>
      <c r="L197" s="156"/>
      <c r="M197" s="415"/>
      <c r="N197" s="210"/>
      <c r="O197" s="415"/>
      <c r="P197" s="210"/>
      <c r="Q197" s="415"/>
      <c r="R197" s="210"/>
      <c r="S197" s="415"/>
      <c r="T197" s="210"/>
      <c r="U197" s="415"/>
      <c r="V197" s="210"/>
      <c r="W197" s="415"/>
      <c r="X197" s="210"/>
      <c r="Y197" s="8"/>
      <c r="Z197" s="8"/>
      <c r="AA197" s="8"/>
      <c r="AB197" s="8"/>
      <c r="AC197" s="8"/>
      <c r="AD197" s="8"/>
      <c r="AE197" s="8"/>
      <c r="AF197" s="8"/>
      <c r="AG197" s="8"/>
      <c r="AH197" s="8"/>
      <c r="AI197" s="8"/>
      <c r="AJ197" s="8"/>
      <c r="AK197" s="8"/>
      <c r="AL197" s="8"/>
      <c r="AM197" s="8"/>
      <c r="AN197" s="8"/>
      <c r="AO197" s="8"/>
      <c r="AP197" s="8"/>
      <c r="AQ197" s="8"/>
      <c r="AR197" s="8"/>
      <c r="AS197" s="8"/>
      <c r="AT197" s="8"/>
    </row>
    <row r="198">
      <c r="A198" s="415"/>
      <c r="B198" s="210"/>
      <c r="C198" s="415"/>
      <c r="D198" s="210"/>
      <c r="E198" s="415"/>
      <c r="F198" s="210"/>
      <c r="G198" s="415"/>
      <c r="H198" s="210"/>
      <c r="I198" s="423"/>
      <c r="J198" s="156"/>
      <c r="K198" s="423"/>
      <c r="L198" s="156"/>
      <c r="M198" s="415"/>
      <c r="N198" s="210"/>
      <c r="O198" s="415"/>
      <c r="P198" s="210"/>
      <c r="Q198" s="415"/>
      <c r="R198" s="210"/>
      <c r="S198" s="415"/>
      <c r="T198" s="210"/>
      <c r="U198" s="415"/>
      <c r="V198" s="210"/>
      <c r="W198" s="415"/>
      <c r="X198" s="210"/>
      <c r="Y198" s="8"/>
      <c r="Z198" s="8"/>
      <c r="AA198" s="8"/>
      <c r="AB198" s="8"/>
      <c r="AC198" s="8"/>
      <c r="AD198" s="8"/>
      <c r="AE198" s="8"/>
      <c r="AF198" s="8"/>
      <c r="AG198" s="8"/>
      <c r="AH198" s="8"/>
      <c r="AI198" s="8"/>
      <c r="AJ198" s="8"/>
      <c r="AK198" s="8"/>
      <c r="AL198" s="8"/>
      <c r="AM198" s="8"/>
      <c r="AN198" s="8"/>
      <c r="AO198" s="8"/>
      <c r="AP198" s="8"/>
      <c r="AQ198" s="8"/>
      <c r="AR198" s="8"/>
      <c r="AS198" s="8"/>
      <c r="AT198" s="8"/>
    </row>
    <row r="199">
      <c r="A199" s="415"/>
      <c r="B199" s="210"/>
      <c r="C199" s="415"/>
      <c r="D199" s="210"/>
      <c r="E199" s="415"/>
      <c r="F199" s="210"/>
      <c r="G199" s="415"/>
      <c r="H199" s="210"/>
      <c r="I199" s="423"/>
      <c r="J199" s="156"/>
      <c r="K199" s="423"/>
      <c r="L199" s="156"/>
      <c r="M199" s="415"/>
      <c r="N199" s="210"/>
      <c r="O199" s="415"/>
      <c r="P199" s="210"/>
      <c r="Q199" s="415"/>
      <c r="R199" s="210"/>
      <c r="S199" s="415"/>
      <c r="T199" s="210"/>
      <c r="U199" s="415"/>
      <c r="V199" s="210"/>
      <c r="W199" s="415"/>
      <c r="X199" s="210"/>
      <c r="Y199" s="8"/>
      <c r="Z199" s="8"/>
      <c r="AA199" s="8"/>
      <c r="AB199" s="8"/>
      <c r="AC199" s="8"/>
      <c r="AD199" s="8"/>
      <c r="AE199" s="8"/>
      <c r="AF199" s="8"/>
      <c r="AG199" s="8"/>
      <c r="AH199" s="8"/>
      <c r="AI199" s="8"/>
      <c r="AJ199" s="8"/>
      <c r="AK199" s="8"/>
      <c r="AL199" s="8"/>
      <c r="AM199" s="8"/>
      <c r="AN199" s="8"/>
      <c r="AO199" s="8"/>
      <c r="AP199" s="8"/>
      <c r="AQ199" s="8"/>
      <c r="AR199" s="8"/>
      <c r="AS199" s="8"/>
      <c r="AT199" s="8"/>
    </row>
    <row r="200">
      <c r="A200" s="415"/>
      <c r="B200" s="210"/>
      <c r="C200" s="415"/>
      <c r="D200" s="210"/>
      <c r="E200" s="415"/>
      <c r="F200" s="210"/>
      <c r="G200" s="415"/>
      <c r="H200" s="210"/>
      <c r="I200" s="423"/>
      <c r="J200" s="156"/>
      <c r="K200" s="423"/>
      <c r="L200" s="156"/>
      <c r="M200" s="415"/>
      <c r="N200" s="210"/>
      <c r="O200" s="415"/>
      <c r="P200" s="210"/>
      <c r="Q200" s="415"/>
      <c r="R200" s="210"/>
      <c r="S200" s="415"/>
      <c r="T200" s="210"/>
      <c r="U200" s="415"/>
      <c r="V200" s="210"/>
      <c r="W200" s="415"/>
      <c r="X200" s="210"/>
      <c r="Y200" s="8"/>
      <c r="Z200" s="8"/>
      <c r="AA200" s="8"/>
      <c r="AB200" s="8"/>
      <c r="AC200" s="8"/>
      <c r="AD200" s="8"/>
      <c r="AE200" s="8"/>
      <c r="AF200" s="8"/>
      <c r="AG200" s="8"/>
      <c r="AH200" s="8"/>
      <c r="AI200" s="8"/>
      <c r="AJ200" s="8"/>
      <c r="AK200" s="8"/>
      <c r="AL200" s="8"/>
      <c r="AM200" s="8"/>
      <c r="AN200" s="8"/>
      <c r="AO200" s="8"/>
      <c r="AP200" s="8"/>
      <c r="AQ200" s="8"/>
      <c r="AR200" s="8"/>
      <c r="AS200" s="8"/>
      <c r="AT200" s="8"/>
    </row>
    <row r="201">
      <c r="A201" s="415"/>
      <c r="B201" s="210"/>
      <c r="C201" s="415"/>
      <c r="D201" s="210"/>
      <c r="E201" s="415"/>
      <c r="F201" s="210"/>
      <c r="G201" s="415"/>
      <c r="H201" s="210"/>
      <c r="I201" s="423"/>
      <c r="J201" s="156"/>
      <c r="K201" s="423"/>
      <c r="L201" s="156"/>
      <c r="M201" s="415"/>
      <c r="N201" s="210"/>
      <c r="O201" s="415"/>
      <c r="P201" s="210"/>
      <c r="Q201" s="415"/>
      <c r="R201" s="210"/>
      <c r="S201" s="415"/>
      <c r="T201" s="210"/>
      <c r="U201" s="415"/>
      <c r="V201" s="210"/>
      <c r="W201" s="415"/>
      <c r="X201" s="210"/>
      <c r="Y201" s="8"/>
      <c r="Z201" s="8"/>
      <c r="AA201" s="8"/>
      <c r="AB201" s="8"/>
      <c r="AC201" s="8"/>
      <c r="AD201" s="8"/>
      <c r="AE201" s="8"/>
      <c r="AF201" s="8"/>
      <c r="AG201" s="8"/>
      <c r="AH201" s="8"/>
      <c r="AI201" s="8"/>
      <c r="AJ201" s="8"/>
      <c r="AK201" s="8"/>
      <c r="AL201" s="8"/>
      <c r="AM201" s="8"/>
      <c r="AN201" s="8"/>
      <c r="AO201" s="8"/>
      <c r="AP201" s="8"/>
      <c r="AQ201" s="8"/>
      <c r="AR201" s="8"/>
      <c r="AS201" s="8"/>
      <c r="AT201" s="8"/>
    </row>
    <row r="202">
      <c r="A202" s="415"/>
      <c r="B202" s="210"/>
      <c r="C202" s="415"/>
      <c r="D202" s="210"/>
      <c r="E202" s="415"/>
      <c r="F202" s="210"/>
      <c r="G202" s="415"/>
      <c r="H202" s="210"/>
      <c r="I202" s="423"/>
      <c r="J202" s="156"/>
      <c r="K202" s="423"/>
      <c r="L202" s="156"/>
      <c r="M202" s="415"/>
      <c r="N202" s="210"/>
      <c r="O202" s="415"/>
      <c r="P202" s="210"/>
      <c r="Q202" s="415"/>
      <c r="R202" s="210"/>
      <c r="S202" s="415"/>
      <c r="T202" s="210"/>
      <c r="U202" s="415"/>
      <c r="V202" s="210"/>
      <c r="W202" s="415"/>
      <c r="X202" s="210"/>
      <c r="Y202" s="8"/>
      <c r="Z202" s="8"/>
      <c r="AA202" s="8"/>
      <c r="AB202" s="8"/>
      <c r="AC202" s="8"/>
      <c r="AD202" s="8"/>
      <c r="AE202" s="8"/>
      <c r="AF202" s="8"/>
      <c r="AG202" s="8"/>
      <c r="AH202" s="8"/>
      <c r="AI202" s="8"/>
      <c r="AJ202" s="8"/>
      <c r="AK202" s="8"/>
      <c r="AL202" s="8"/>
      <c r="AM202" s="8"/>
      <c r="AN202" s="8"/>
      <c r="AO202" s="8"/>
      <c r="AP202" s="8"/>
      <c r="AQ202" s="8"/>
      <c r="AR202" s="8"/>
      <c r="AS202" s="8"/>
      <c r="AT202" s="8"/>
    </row>
    <row r="203">
      <c r="A203" s="415"/>
      <c r="B203" s="210"/>
      <c r="C203" s="415"/>
      <c r="D203" s="210"/>
      <c r="E203" s="415"/>
      <c r="F203" s="210"/>
      <c r="G203" s="415"/>
      <c r="H203" s="210"/>
      <c r="I203" s="423"/>
      <c r="J203" s="156"/>
      <c r="K203" s="423"/>
      <c r="L203" s="156"/>
      <c r="M203" s="415"/>
      <c r="N203" s="210"/>
      <c r="O203" s="415"/>
      <c r="P203" s="210"/>
      <c r="Q203" s="415"/>
      <c r="R203" s="210"/>
      <c r="S203" s="415"/>
      <c r="T203" s="210"/>
      <c r="U203" s="415"/>
      <c r="V203" s="210"/>
      <c r="W203" s="415"/>
      <c r="X203" s="210"/>
      <c r="Y203" s="8"/>
      <c r="Z203" s="8"/>
      <c r="AA203" s="8"/>
      <c r="AB203" s="8"/>
      <c r="AC203" s="8"/>
      <c r="AD203" s="8"/>
      <c r="AE203" s="8"/>
      <c r="AF203" s="8"/>
      <c r="AG203" s="8"/>
      <c r="AH203" s="8"/>
      <c r="AI203" s="8"/>
      <c r="AJ203" s="8"/>
      <c r="AK203" s="8"/>
      <c r="AL203" s="8"/>
      <c r="AM203" s="8"/>
      <c r="AN203" s="8"/>
      <c r="AO203" s="8"/>
      <c r="AP203" s="8"/>
      <c r="AQ203" s="8"/>
      <c r="AR203" s="8"/>
      <c r="AS203" s="8"/>
      <c r="AT203" s="8"/>
    </row>
    <row r="204">
      <c r="A204" s="415"/>
      <c r="B204" s="210"/>
      <c r="C204" s="415"/>
      <c r="D204" s="210"/>
      <c r="E204" s="415"/>
      <c r="F204" s="210"/>
      <c r="G204" s="415"/>
      <c r="H204" s="210"/>
      <c r="I204" s="423"/>
      <c r="J204" s="156"/>
      <c r="K204" s="423"/>
      <c r="L204" s="156"/>
      <c r="M204" s="415"/>
      <c r="N204" s="210"/>
      <c r="O204" s="415"/>
      <c r="P204" s="210"/>
      <c r="Q204" s="415"/>
      <c r="R204" s="210"/>
      <c r="S204" s="415"/>
      <c r="T204" s="210"/>
      <c r="U204" s="415"/>
      <c r="V204" s="210"/>
      <c r="W204" s="415"/>
      <c r="X204" s="210"/>
      <c r="Y204" s="8"/>
      <c r="Z204" s="8"/>
      <c r="AA204" s="8"/>
      <c r="AB204" s="8"/>
      <c r="AC204" s="8"/>
      <c r="AD204" s="8"/>
      <c r="AE204" s="8"/>
      <c r="AF204" s="8"/>
      <c r="AG204" s="8"/>
      <c r="AH204" s="8"/>
      <c r="AI204" s="8"/>
      <c r="AJ204" s="8"/>
      <c r="AK204" s="8"/>
      <c r="AL204" s="8"/>
      <c r="AM204" s="8"/>
      <c r="AN204" s="8"/>
      <c r="AO204" s="8"/>
      <c r="AP204" s="8"/>
      <c r="AQ204" s="8"/>
      <c r="AR204" s="8"/>
      <c r="AS204" s="8"/>
      <c r="AT204" s="8"/>
    </row>
    <row r="205">
      <c r="A205" s="415"/>
      <c r="B205" s="210"/>
      <c r="C205" s="415"/>
      <c r="D205" s="210"/>
      <c r="E205" s="415"/>
      <c r="F205" s="210"/>
      <c r="G205" s="415"/>
      <c r="H205" s="210"/>
      <c r="I205" s="423"/>
      <c r="J205" s="156"/>
      <c r="K205" s="423"/>
      <c r="L205" s="156"/>
      <c r="M205" s="415"/>
      <c r="N205" s="210"/>
      <c r="O205" s="415"/>
      <c r="P205" s="210"/>
      <c r="Q205" s="415"/>
      <c r="R205" s="210"/>
      <c r="S205" s="415"/>
      <c r="T205" s="210"/>
      <c r="U205" s="415"/>
      <c r="V205" s="210"/>
      <c r="W205" s="415"/>
      <c r="X205" s="210"/>
      <c r="Y205" s="8"/>
      <c r="Z205" s="8"/>
      <c r="AA205" s="8"/>
      <c r="AB205" s="8"/>
      <c r="AC205" s="8"/>
      <c r="AD205" s="8"/>
      <c r="AE205" s="8"/>
      <c r="AF205" s="8"/>
      <c r="AG205" s="8"/>
      <c r="AH205" s="8"/>
      <c r="AI205" s="8"/>
      <c r="AJ205" s="8"/>
      <c r="AK205" s="8"/>
      <c r="AL205" s="8"/>
      <c r="AM205" s="8"/>
      <c r="AN205" s="8"/>
      <c r="AO205" s="8"/>
      <c r="AP205" s="8"/>
      <c r="AQ205" s="8"/>
      <c r="AR205" s="8"/>
      <c r="AS205" s="8"/>
      <c r="AT205" s="8"/>
    </row>
    <row r="206">
      <c r="A206" s="415"/>
      <c r="B206" s="210"/>
      <c r="C206" s="415"/>
      <c r="D206" s="210"/>
      <c r="E206" s="415"/>
      <c r="F206" s="210"/>
      <c r="G206" s="415"/>
      <c r="H206" s="210"/>
      <c r="I206" s="423"/>
      <c r="J206" s="156"/>
      <c r="K206" s="423"/>
      <c r="L206" s="156"/>
      <c r="M206" s="415"/>
      <c r="N206" s="210"/>
      <c r="O206" s="415"/>
      <c r="P206" s="210"/>
      <c r="Q206" s="415"/>
      <c r="R206" s="210"/>
      <c r="S206" s="415"/>
      <c r="T206" s="210"/>
      <c r="U206" s="415"/>
      <c r="V206" s="210"/>
      <c r="W206" s="415"/>
      <c r="X206" s="210"/>
      <c r="Y206" s="8"/>
      <c r="Z206" s="8"/>
      <c r="AA206" s="8"/>
      <c r="AB206" s="8"/>
      <c r="AC206" s="8"/>
      <c r="AD206" s="8"/>
      <c r="AE206" s="8"/>
      <c r="AF206" s="8"/>
      <c r="AG206" s="8"/>
      <c r="AH206" s="8"/>
      <c r="AI206" s="8"/>
      <c r="AJ206" s="8"/>
      <c r="AK206" s="8"/>
      <c r="AL206" s="8"/>
      <c r="AM206" s="8"/>
      <c r="AN206" s="8"/>
      <c r="AO206" s="8"/>
      <c r="AP206" s="8"/>
      <c r="AQ206" s="8"/>
      <c r="AR206" s="8"/>
      <c r="AS206" s="8"/>
      <c r="AT206" s="8"/>
    </row>
    <row r="207">
      <c r="A207" s="415"/>
      <c r="B207" s="210"/>
      <c r="C207" s="415"/>
      <c r="D207" s="210"/>
      <c r="E207" s="415"/>
      <c r="F207" s="210"/>
      <c r="G207" s="415"/>
      <c r="H207" s="210"/>
      <c r="I207" s="423"/>
      <c r="J207" s="156"/>
      <c r="K207" s="423"/>
      <c r="L207" s="156"/>
      <c r="M207" s="415"/>
      <c r="N207" s="210"/>
      <c r="O207" s="415"/>
      <c r="P207" s="210"/>
      <c r="Q207" s="415"/>
      <c r="R207" s="210"/>
      <c r="S207" s="415"/>
      <c r="T207" s="210"/>
      <c r="U207" s="415"/>
      <c r="V207" s="210"/>
      <c r="W207" s="415"/>
      <c r="X207" s="210"/>
      <c r="Y207" s="8"/>
      <c r="Z207" s="8"/>
      <c r="AA207" s="8"/>
      <c r="AB207" s="8"/>
      <c r="AC207" s="8"/>
      <c r="AD207" s="8"/>
      <c r="AE207" s="8"/>
      <c r="AF207" s="8"/>
      <c r="AG207" s="8"/>
      <c r="AH207" s="8"/>
      <c r="AI207" s="8"/>
      <c r="AJ207" s="8"/>
      <c r="AK207" s="8"/>
      <c r="AL207" s="8"/>
      <c r="AM207" s="8"/>
      <c r="AN207" s="8"/>
      <c r="AO207" s="8"/>
      <c r="AP207" s="8"/>
      <c r="AQ207" s="8"/>
      <c r="AR207" s="8"/>
      <c r="AS207" s="8"/>
      <c r="AT207" s="8"/>
    </row>
    <row r="208">
      <c r="A208" s="415"/>
      <c r="B208" s="210"/>
      <c r="C208" s="415"/>
      <c r="D208" s="210"/>
      <c r="E208" s="415"/>
      <c r="F208" s="210"/>
      <c r="G208" s="415"/>
      <c r="H208" s="210"/>
      <c r="I208" s="423"/>
      <c r="J208" s="156"/>
      <c r="K208" s="423"/>
      <c r="L208" s="156"/>
      <c r="M208" s="415"/>
      <c r="N208" s="210"/>
      <c r="O208" s="415"/>
      <c r="P208" s="210"/>
      <c r="Q208" s="415"/>
      <c r="R208" s="210"/>
      <c r="S208" s="415"/>
      <c r="T208" s="210"/>
      <c r="U208" s="415"/>
      <c r="V208" s="210"/>
      <c r="W208" s="415"/>
      <c r="X208" s="210"/>
      <c r="Y208" s="8"/>
      <c r="Z208" s="8"/>
      <c r="AA208" s="8"/>
      <c r="AB208" s="8"/>
      <c r="AC208" s="8"/>
      <c r="AD208" s="8"/>
      <c r="AE208" s="8"/>
      <c r="AF208" s="8"/>
      <c r="AG208" s="8"/>
      <c r="AH208" s="8"/>
      <c r="AI208" s="8"/>
      <c r="AJ208" s="8"/>
      <c r="AK208" s="8"/>
      <c r="AL208" s="8"/>
      <c r="AM208" s="8"/>
      <c r="AN208" s="8"/>
      <c r="AO208" s="8"/>
      <c r="AP208" s="8"/>
      <c r="AQ208" s="8"/>
      <c r="AR208" s="8"/>
      <c r="AS208" s="8"/>
      <c r="AT208" s="8"/>
    </row>
    <row r="209">
      <c r="A209" s="415"/>
      <c r="B209" s="210"/>
      <c r="C209" s="415"/>
      <c r="D209" s="210"/>
      <c r="E209" s="415"/>
      <c r="F209" s="210"/>
      <c r="G209" s="415"/>
      <c r="H209" s="210"/>
      <c r="I209" s="423"/>
      <c r="J209" s="156"/>
      <c r="K209" s="423"/>
      <c r="L209" s="156"/>
      <c r="M209" s="415"/>
      <c r="N209" s="210"/>
      <c r="O209" s="415"/>
      <c r="P209" s="210"/>
      <c r="Q209" s="415"/>
      <c r="R209" s="210"/>
      <c r="S209" s="415"/>
      <c r="T209" s="210"/>
      <c r="U209" s="415"/>
      <c r="V209" s="210"/>
      <c r="W209" s="415"/>
      <c r="X209" s="210"/>
      <c r="Y209" s="8"/>
      <c r="Z209" s="8"/>
      <c r="AA209" s="8"/>
      <c r="AB209" s="8"/>
      <c r="AC209" s="8"/>
      <c r="AD209" s="8"/>
      <c r="AE209" s="8"/>
      <c r="AF209" s="8"/>
      <c r="AG209" s="8"/>
      <c r="AH209" s="8"/>
      <c r="AI209" s="8"/>
      <c r="AJ209" s="8"/>
      <c r="AK209" s="8"/>
      <c r="AL209" s="8"/>
      <c r="AM209" s="8"/>
      <c r="AN209" s="8"/>
      <c r="AO209" s="8"/>
      <c r="AP209" s="8"/>
      <c r="AQ209" s="8"/>
      <c r="AR209" s="8"/>
      <c r="AS209" s="8"/>
      <c r="AT209" s="8"/>
    </row>
    <row r="210">
      <c r="A210" s="415"/>
      <c r="B210" s="210"/>
      <c r="C210" s="415"/>
      <c r="D210" s="210"/>
      <c r="E210" s="415"/>
      <c r="F210" s="210"/>
      <c r="G210" s="415"/>
      <c r="H210" s="210"/>
      <c r="I210" s="423"/>
      <c r="J210" s="156"/>
      <c r="K210" s="423"/>
      <c r="L210" s="156"/>
      <c r="M210" s="415"/>
      <c r="N210" s="210"/>
      <c r="O210" s="415"/>
      <c r="P210" s="210"/>
      <c r="Q210" s="415"/>
      <c r="R210" s="210"/>
      <c r="S210" s="415"/>
      <c r="T210" s="210"/>
      <c r="U210" s="415"/>
      <c r="V210" s="210"/>
      <c r="W210" s="415"/>
      <c r="X210" s="210"/>
      <c r="Y210" s="8"/>
      <c r="Z210" s="8"/>
      <c r="AA210" s="8"/>
      <c r="AB210" s="8"/>
      <c r="AC210" s="8"/>
      <c r="AD210" s="8"/>
      <c r="AE210" s="8"/>
      <c r="AF210" s="8"/>
      <c r="AG210" s="8"/>
      <c r="AH210" s="8"/>
      <c r="AI210" s="8"/>
      <c r="AJ210" s="8"/>
      <c r="AK210" s="8"/>
      <c r="AL210" s="8"/>
      <c r="AM210" s="8"/>
      <c r="AN210" s="8"/>
      <c r="AO210" s="8"/>
      <c r="AP210" s="8"/>
      <c r="AQ210" s="8"/>
      <c r="AR210" s="8"/>
      <c r="AS210" s="8"/>
      <c r="AT210" s="8"/>
    </row>
    <row r="211">
      <c r="A211" s="415"/>
      <c r="B211" s="210"/>
      <c r="C211" s="415"/>
      <c r="D211" s="210"/>
      <c r="E211" s="415"/>
      <c r="F211" s="210"/>
      <c r="G211" s="415"/>
      <c r="H211" s="210"/>
      <c r="I211" s="423"/>
      <c r="J211" s="156"/>
      <c r="K211" s="423"/>
      <c r="L211" s="156"/>
      <c r="M211" s="415"/>
      <c r="N211" s="210"/>
      <c r="O211" s="415"/>
      <c r="P211" s="210"/>
      <c r="Q211" s="415"/>
      <c r="R211" s="210"/>
      <c r="S211" s="415"/>
      <c r="T211" s="210"/>
      <c r="U211" s="415"/>
      <c r="V211" s="210"/>
      <c r="W211" s="415"/>
      <c r="X211" s="210"/>
      <c r="Y211" s="8"/>
      <c r="Z211" s="8"/>
      <c r="AA211" s="8"/>
      <c r="AB211" s="8"/>
      <c r="AC211" s="8"/>
      <c r="AD211" s="8"/>
      <c r="AE211" s="8"/>
      <c r="AF211" s="8"/>
      <c r="AG211" s="8"/>
      <c r="AH211" s="8"/>
      <c r="AI211" s="8"/>
      <c r="AJ211" s="8"/>
      <c r="AK211" s="8"/>
      <c r="AL211" s="8"/>
      <c r="AM211" s="8"/>
      <c r="AN211" s="8"/>
      <c r="AO211" s="8"/>
      <c r="AP211" s="8"/>
      <c r="AQ211" s="8"/>
      <c r="AR211" s="8"/>
      <c r="AS211" s="8"/>
      <c r="AT211" s="8"/>
    </row>
    <row r="212">
      <c r="A212" s="415"/>
      <c r="B212" s="210"/>
      <c r="C212" s="415"/>
      <c r="D212" s="210"/>
      <c r="E212" s="415"/>
      <c r="F212" s="210"/>
      <c r="G212" s="415"/>
      <c r="H212" s="210"/>
      <c r="I212" s="423"/>
      <c r="J212" s="156"/>
      <c r="K212" s="423"/>
      <c r="L212" s="156"/>
      <c r="M212" s="415"/>
      <c r="N212" s="210"/>
      <c r="O212" s="415"/>
      <c r="P212" s="210"/>
      <c r="Q212" s="415"/>
      <c r="R212" s="210"/>
      <c r="S212" s="415"/>
      <c r="T212" s="210"/>
      <c r="U212" s="415"/>
      <c r="V212" s="210"/>
      <c r="W212" s="415"/>
      <c r="X212" s="210"/>
      <c r="Y212" s="8"/>
      <c r="Z212" s="8"/>
      <c r="AA212" s="8"/>
      <c r="AB212" s="8"/>
      <c r="AC212" s="8"/>
      <c r="AD212" s="8"/>
      <c r="AE212" s="8"/>
      <c r="AF212" s="8"/>
      <c r="AG212" s="8"/>
      <c r="AH212" s="8"/>
      <c r="AI212" s="8"/>
      <c r="AJ212" s="8"/>
      <c r="AK212" s="8"/>
      <c r="AL212" s="8"/>
      <c r="AM212" s="8"/>
      <c r="AN212" s="8"/>
      <c r="AO212" s="8"/>
      <c r="AP212" s="8"/>
      <c r="AQ212" s="8"/>
      <c r="AR212" s="8"/>
      <c r="AS212" s="8"/>
      <c r="AT212" s="8"/>
    </row>
    <row r="213">
      <c r="A213" s="415"/>
      <c r="B213" s="210"/>
      <c r="C213" s="415"/>
      <c r="D213" s="210"/>
      <c r="E213" s="415"/>
      <c r="F213" s="210"/>
      <c r="G213" s="415"/>
      <c r="H213" s="210"/>
      <c r="I213" s="423"/>
      <c r="J213" s="156"/>
      <c r="K213" s="423"/>
      <c r="L213" s="156"/>
      <c r="M213" s="415"/>
      <c r="N213" s="210"/>
      <c r="O213" s="415"/>
      <c r="P213" s="210"/>
      <c r="Q213" s="415"/>
      <c r="R213" s="210"/>
      <c r="S213" s="415"/>
      <c r="T213" s="210"/>
      <c r="U213" s="415"/>
      <c r="V213" s="210"/>
      <c r="W213" s="415"/>
      <c r="X213" s="210"/>
      <c r="Y213" s="8"/>
      <c r="Z213" s="8"/>
      <c r="AA213" s="8"/>
      <c r="AB213" s="8"/>
      <c r="AC213" s="8"/>
      <c r="AD213" s="8"/>
      <c r="AE213" s="8"/>
      <c r="AF213" s="8"/>
      <c r="AG213" s="8"/>
      <c r="AH213" s="8"/>
      <c r="AI213" s="8"/>
      <c r="AJ213" s="8"/>
      <c r="AK213" s="8"/>
      <c r="AL213" s="8"/>
      <c r="AM213" s="8"/>
      <c r="AN213" s="8"/>
      <c r="AO213" s="8"/>
      <c r="AP213" s="8"/>
      <c r="AQ213" s="8"/>
      <c r="AR213" s="8"/>
      <c r="AS213" s="8"/>
      <c r="AT213" s="8"/>
    </row>
    <row r="214">
      <c r="A214" s="415"/>
      <c r="B214" s="210"/>
      <c r="C214" s="415"/>
      <c r="D214" s="210"/>
      <c r="E214" s="415"/>
      <c r="F214" s="210"/>
      <c r="G214" s="415"/>
      <c r="H214" s="210"/>
      <c r="I214" s="423"/>
      <c r="J214" s="156"/>
      <c r="K214" s="423"/>
      <c r="L214" s="156"/>
      <c r="M214" s="415"/>
      <c r="N214" s="210"/>
      <c r="O214" s="415"/>
      <c r="P214" s="210"/>
      <c r="Q214" s="415"/>
      <c r="R214" s="210"/>
      <c r="S214" s="415"/>
      <c r="T214" s="210"/>
      <c r="U214" s="415"/>
      <c r="V214" s="210"/>
      <c r="W214" s="415"/>
      <c r="X214" s="210"/>
      <c r="Y214" s="8"/>
      <c r="Z214" s="8"/>
      <c r="AA214" s="8"/>
      <c r="AB214" s="8"/>
      <c r="AC214" s="8"/>
      <c r="AD214" s="8"/>
      <c r="AE214" s="8"/>
      <c r="AF214" s="8"/>
      <c r="AG214" s="8"/>
      <c r="AH214" s="8"/>
      <c r="AI214" s="8"/>
      <c r="AJ214" s="8"/>
      <c r="AK214" s="8"/>
      <c r="AL214" s="8"/>
      <c r="AM214" s="8"/>
      <c r="AN214" s="8"/>
      <c r="AO214" s="8"/>
      <c r="AP214" s="8"/>
      <c r="AQ214" s="8"/>
      <c r="AR214" s="8"/>
      <c r="AS214" s="8"/>
      <c r="AT214" s="8"/>
    </row>
    <row r="215">
      <c r="A215" s="415"/>
      <c r="B215" s="210"/>
      <c r="C215" s="415"/>
      <c r="D215" s="210"/>
      <c r="E215" s="415"/>
      <c r="F215" s="210"/>
      <c r="G215" s="415"/>
      <c r="H215" s="210"/>
      <c r="I215" s="423"/>
      <c r="J215" s="156"/>
      <c r="K215" s="423"/>
      <c r="L215" s="156"/>
      <c r="M215" s="415"/>
      <c r="N215" s="210"/>
      <c r="O215" s="415"/>
      <c r="P215" s="210"/>
      <c r="Q215" s="415"/>
      <c r="R215" s="210"/>
      <c r="S215" s="415"/>
      <c r="T215" s="210"/>
      <c r="U215" s="415"/>
      <c r="V215" s="210"/>
      <c r="W215" s="415"/>
      <c r="X215" s="210"/>
      <c r="Y215" s="8"/>
      <c r="Z215" s="8"/>
      <c r="AA215" s="8"/>
      <c r="AB215" s="8"/>
      <c r="AC215" s="8"/>
      <c r="AD215" s="8"/>
      <c r="AE215" s="8"/>
      <c r="AF215" s="8"/>
      <c r="AG215" s="8"/>
      <c r="AH215" s="8"/>
      <c r="AI215" s="8"/>
      <c r="AJ215" s="8"/>
      <c r="AK215" s="8"/>
      <c r="AL215" s="8"/>
      <c r="AM215" s="8"/>
      <c r="AN215" s="8"/>
      <c r="AO215" s="8"/>
      <c r="AP215" s="8"/>
      <c r="AQ215" s="8"/>
      <c r="AR215" s="8"/>
      <c r="AS215" s="8"/>
      <c r="AT215" s="8"/>
    </row>
    <row r="216">
      <c r="A216" s="415"/>
      <c r="B216" s="210"/>
      <c r="C216" s="415"/>
      <c r="D216" s="210"/>
      <c r="E216" s="415"/>
      <c r="F216" s="210"/>
      <c r="G216" s="415"/>
      <c r="H216" s="210"/>
      <c r="I216" s="423"/>
      <c r="J216" s="156"/>
      <c r="K216" s="423"/>
      <c r="L216" s="156"/>
      <c r="M216" s="415"/>
      <c r="N216" s="210"/>
      <c r="O216" s="415"/>
      <c r="P216" s="210"/>
      <c r="Q216" s="415"/>
      <c r="R216" s="210"/>
      <c r="S216" s="415"/>
      <c r="T216" s="210"/>
      <c r="U216" s="415"/>
      <c r="V216" s="210"/>
      <c r="W216" s="415"/>
      <c r="X216" s="210"/>
      <c r="Y216" s="8"/>
      <c r="Z216" s="8"/>
      <c r="AA216" s="8"/>
      <c r="AB216" s="8"/>
      <c r="AC216" s="8"/>
      <c r="AD216" s="8"/>
      <c r="AE216" s="8"/>
      <c r="AF216" s="8"/>
      <c r="AG216" s="8"/>
      <c r="AH216" s="8"/>
      <c r="AI216" s="8"/>
      <c r="AJ216" s="8"/>
      <c r="AK216" s="8"/>
      <c r="AL216" s="8"/>
      <c r="AM216" s="8"/>
      <c r="AN216" s="8"/>
      <c r="AO216" s="8"/>
      <c r="AP216" s="8"/>
      <c r="AQ216" s="8"/>
      <c r="AR216" s="8"/>
      <c r="AS216" s="8"/>
      <c r="AT216" s="8"/>
    </row>
    <row r="217">
      <c r="A217" s="415"/>
      <c r="B217" s="210"/>
      <c r="C217" s="415"/>
      <c r="D217" s="210"/>
      <c r="E217" s="415"/>
      <c r="F217" s="210"/>
      <c r="G217" s="415"/>
      <c r="H217" s="210"/>
      <c r="I217" s="423"/>
      <c r="J217" s="156"/>
      <c r="K217" s="423"/>
      <c r="L217" s="156"/>
      <c r="M217" s="415"/>
      <c r="N217" s="210"/>
      <c r="O217" s="415"/>
      <c r="P217" s="210"/>
      <c r="Q217" s="415"/>
      <c r="R217" s="210"/>
      <c r="S217" s="415"/>
      <c r="T217" s="210"/>
      <c r="U217" s="415"/>
      <c r="V217" s="210"/>
      <c r="W217" s="415"/>
      <c r="X217" s="210"/>
      <c r="Y217" s="8"/>
      <c r="Z217" s="8"/>
      <c r="AA217" s="8"/>
      <c r="AB217" s="8"/>
      <c r="AC217" s="8"/>
      <c r="AD217" s="8"/>
      <c r="AE217" s="8"/>
      <c r="AF217" s="8"/>
      <c r="AG217" s="8"/>
      <c r="AH217" s="8"/>
      <c r="AI217" s="8"/>
      <c r="AJ217" s="8"/>
      <c r="AK217" s="8"/>
      <c r="AL217" s="8"/>
      <c r="AM217" s="8"/>
      <c r="AN217" s="8"/>
      <c r="AO217" s="8"/>
      <c r="AP217" s="8"/>
      <c r="AQ217" s="8"/>
      <c r="AR217" s="8"/>
      <c r="AS217" s="8"/>
      <c r="AT217" s="8"/>
    </row>
    <row r="218">
      <c r="A218" s="415"/>
      <c r="B218" s="210"/>
      <c r="C218" s="415"/>
      <c r="D218" s="210"/>
      <c r="E218" s="415"/>
      <c r="F218" s="210"/>
      <c r="G218" s="415"/>
      <c r="H218" s="210"/>
      <c r="I218" s="423"/>
      <c r="J218" s="156"/>
      <c r="K218" s="423"/>
      <c r="L218" s="156"/>
      <c r="M218" s="415"/>
      <c r="N218" s="210"/>
      <c r="O218" s="415"/>
      <c r="P218" s="210"/>
      <c r="Q218" s="415"/>
      <c r="R218" s="210"/>
      <c r="S218" s="415"/>
      <c r="T218" s="210"/>
      <c r="U218" s="415"/>
      <c r="V218" s="210"/>
      <c r="W218" s="415"/>
      <c r="X218" s="210"/>
      <c r="Y218" s="8"/>
      <c r="Z218" s="8"/>
      <c r="AA218" s="8"/>
      <c r="AB218" s="8"/>
      <c r="AC218" s="8"/>
      <c r="AD218" s="8"/>
      <c r="AE218" s="8"/>
      <c r="AF218" s="8"/>
      <c r="AG218" s="8"/>
      <c r="AH218" s="8"/>
      <c r="AI218" s="8"/>
      <c r="AJ218" s="8"/>
      <c r="AK218" s="8"/>
      <c r="AL218" s="8"/>
      <c r="AM218" s="8"/>
      <c r="AN218" s="8"/>
      <c r="AO218" s="8"/>
      <c r="AP218" s="8"/>
      <c r="AQ218" s="8"/>
      <c r="AR218" s="8"/>
      <c r="AS218" s="8"/>
      <c r="AT218" s="8"/>
    </row>
    <row r="219">
      <c r="A219" s="415"/>
      <c r="B219" s="210"/>
      <c r="C219" s="415"/>
      <c r="D219" s="210"/>
      <c r="E219" s="415"/>
      <c r="F219" s="210"/>
      <c r="G219" s="415"/>
      <c r="H219" s="210"/>
      <c r="I219" s="423"/>
      <c r="J219" s="156"/>
      <c r="K219" s="423"/>
      <c r="L219" s="156"/>
      <c r="M219" s="415"/>
      <c r="N219" s="210"/>
      <c r="O219" s="415"/>
      <c r="P219" s="210"/>
      <c r="Q219" s="415"/>
      <c r="R219" s="210"/>
      <c r="S219" s="415"/>
      <c r="T219" s="210"/>
      <c r="U219" s="415"/>
      <c r="V219" s="210"/>
      <c r="W219" s="415"/>
      <c r="X219" s="210"/>
      <c r="Y219" s="8"/>
      <c r="Z219" s="8"/>
      <c r="AA219" s="8"/>
      <c r="AB219" s="8"/>
      <c r="AC219" s="8"/>
      <c r="AD219" s="8"/>
      <c r="AE219" s="8"/>
      <c r="AF219" s="8"/>
      <c r="AG219" s="8"/>
      <c r="AH219" s="8"/>
      <c r="AI219" s="8"/>
      <c r="AJ219" s="8"/>
      <c r="AK219" s="8"/>
      <c r="AL219" s="8"/>
      <c r="AM219" s="8"/>
      <c r="AN219" s="8"/>
      <c r="AO219" s="8"/>
      <c r="AP219" s="8"/>
      <c r="AQ219" s="8"/>
      <c r="AR219" s="8"/>
      <c r="AS219" s="8"/>
      <c r="AT219" s="8"/>
    </row>
    <row r="220">
      <c r="A220" s="415"/>
      <c r="B220" s="210"/>
      <c r="C220" s="415"/>
      <c r="D220" s="210"/>
      <c r="E220" s="415"/>
      <c r="F220" s="210"/>
      <c r="G220" s="415"/>
      <c r="H220" s="210"/>
      <c r="I220" s="423"/>
      <c r="J220" s="156"/>
      <c r="K220" s="423"/>
      <c r="L220" s="156"/>
      <c r="M220" s="415"/>
      <c r="N220" s="210"/>
      <c r="O220" s="415"/>
      <c r="P220" s="210"/>
      <c r="Q220" s="415"/>
      <c r="R220" s="210"/>
      <c r="S220" s="415"/>
      <c r="T220" s="210"/>
      <c r="U220" s="415"/>
      <c r="V220" s="210"/>
      <c r="W220" s="415"/>
      <c r="X220" s="210"/>
      <c r="Y220" s="8"/>
      <c r="Z220" s="8"/>
      <c r="AA220" s="8"/>
      <c r="AB220" s="8"/>
      <c r="AC220" s="8"/>
      <c r="AD220" s="8"/>
      <c r="AE220" s="8"/>
      <c r="AF220" s="8"/>
      <c r="AG220" s="8"/>
      <c r="AH220" s="8"/>
      <c r="AI220" s="8"/>
      <c r="AJ220" s="8"/>
      <c r="AK220" s="8"/>
      <c r="AL220" s="8"/>
      <c r="AM220" s="8"/>
      <c r="AN220" s="8"/>
      <c r="AO220" s="8"/>
      <c r="AP220" s="8"/>
      <c r="AQ220" s="8"/>
      <c r="AR220" s="8"/>
      <c r="AS220" s="8"/>
      <c r="AT220" s="8"/>
    </row>
    <row r="221">
      <c r="A221" s="415"/>
      <c r="B221" s="210"/>
      <c r="C221" s="415"/>
      <c r="D221" s="210"/>
      <c r="E221" s="415"/>
      <c r="F221" s="210"/>
      <c r="G221" s="415"/>
      <c r="H221" s="210"/>
      <c r="I221" s="423"/>
      <c r="J221" s="156"/>
      <c r="K221" s="423"/>
      <c r="L221" s="156"/>
      <c r="M221" s="415"/>
      <c r="N221" s="210"/>
      <c r="O221" s="415"/>
      <c r="P221" s="210"/>
      <c r="Q221" s="415"/>
      <c r="R221" s="210"/>
      <c r="S221" s="415"/>
      <c r="T221" s="210"/>
      <c r="U221" s="415"/>
      <c r="V221" s="210"/>
      <c r="W221" s="415"/>
      <c r="X221" s="210"/>
      <c r="Y221" s="8"/>
      <c r="Z221" s="8"/>
      <c r="AA221" s="8"/>
      <c r="AB221" s="8"/>
      <c r="AC221" s="8"/>
      <c r="AD221" s="8"/>
      <c r="AE221" s="8"/>
      <c r="AF221" s="8"/>
      <c r="AG221" s="8"/>
      <c r="AH221" s="8"/>
      <c r="AI221" s="8"/>
      <c r="AJ221" s="8"/>
      <c r="AK221" s="8"/>
      <c r="AL221" s="8"/>
      <c r="AM221" s="8"/>
      <c r="AN221" s="8"/>
      <c r="AO221" s="8"/>
      <c r="AP221" s="8"/>
      <c r="AQ221" s="8"/>
      <c r="AR221" s="8"/>
      <c r="AS221" s="8"/>
      <c r="AT221" s="8"/>
    </row>
    <row r="222">
      <c r="A222" s="415"/>
      <c r="B222" s="210"/>
      <c r="C222" s="415"/>
      <c r="D222" s="210"/>
      <c r="E222" s="415"/>
      <c r="F222" s="210"/>
      <c r="G222" s="415"/>
      <c r="H222" s="210"/>
      <c r="I222" s="423"/>
      <c r="J222" s="156"/>
      <c r="K222" s="423"/>
      <c r="L222" s="156"/>
      <c r="M222" s="415"/>
      <c r="N222" s="210"/>
      <c r="O222" s="415"/>
      <c r="P222" s="210"/>
      <c r="Q222" s="415"/>
      <c r="R222" s="210"/>
      <c r="S222" s="415"/>
      <c r="T222" s="210"/>
      <c r="U222" s="415"/>
      <c r="V222" s="210"/>
      <c r="W222" s="415"/>
      <c r="X222" s="210"/>
      <c r="Y222" s="8"/>
      <c r="Z222" s="8"/>
      <c r="AA222" s="8"/>
      <c r="AB222" s="8"/>
      <c r="AC222" s="8"/>
      <c r="AD222" s="8"/>
      <c r="AE222" s="8"/>
      <c r="AF222" s="8"/>
      <c r="AG222" s="8"/>
      <c r="AH222" s="8"/>
      <c r="AI222" s="8"/>
      <c r="AJ222" s="8"/>
      <c r="AK222" s="8"/>
      <c r="AL222" s="8"/>
      <c r="AM222" s="8"/>
      <c r="AN222" s="8"/>
      <c r="AO222" s="8"/>
      <c r="AP222" s="8"/>
      <c r="AQ222" s="8"/>
      <c r="AR222" s="8"/>
      <c r="AS222" s="8"/>
      <c r="AT222" s="8"/>
    </row>
    <row r="223">
      <c r="A223" s="415"/>
      <c r="B223" s="210"/>
      <c r="C223" s="415"/>
      <c r="D223" s="210"/>
      <c r="E223" s="415"/>
      <c r="F223" s="210"/>
      <c r="G223" s="415"/>
      <c r="H223" s="210"/>
      <c r="I223" s="423"/>
      <c r="J223" s="156"/>
      <c r="K223" s="423"/>
      <c r="L223" s="156"/>
      <c r="M223" s="415"/>
      <c r="N223" s="210"/>
      <c r="O223" s="415"/>
      <c r="P223" s="210"/>
      <c r="Q223" s="415"/>
      <c r="R223" s="210"/>
      <c r="S223" s="415"/>
      <c r="T223" s="210"/>
      <c r="U223" s="415"/>
      <c r="V223" s="210"/>
      <c r="W223" s="415"/>
      <c r="X223" s="210"/>
      <c r="Y223" s="8"/>
      <c r="Z223" s="8"/>
      <c r="AA223" s="8"/>
      <c r="AB223" s="8"/>
      <c r="AC223" s="8"/>
      <c r="AD223" s="8"/>
      <c r="AE223" s="8"/>
      <c r="AF223" s="8"/>
      <c r="AG223" s="8"/>
      <c r="AH223" s="8"/>
      <c r="AI223" s="8"/>
      <c r="AJ223" s="8"/>
      <c r="AK223" s="8"/>
      <c r="AL223" s="8"/>
      <c r="AM223" s="8"/>
      <c r="AN223" s="8"/>
      <c r="AO223" s="8"/>
      <c r="AP223" s="8"/>
      <c r="AQ223" s="8"/>
      <c r="AR223" s="8"/>
      <c r="AS223" s="8"/>
      <c r="AT223" s="8"/>
    </row>
    <row r="224">
      <c r="A224" s="415"/>
      <c r="B224" s="210"/>
      <c r="C224" s="415"/>
      <c r="D224" s="210"/>
      <c r="E224" s="415"/>
      <c r="F224" s="210"/>
      <c r="G224" s="415"/>
      <c r="H224" s="210"/>
      <c r="I224" s="423"/>
      <c r="J224" s="156"/>
      <c r="K224" s="423"/>
      <c r="L224" s="156"/>
      <c r="M224" s="415"/>
      <c r="N224" s="210"/>
      <c r="O224" s="415"/>
      <c r="P224" s="210"/>
      <c r="Q224" s="415"/>
      <c r="R224" s="210"/>
      <c r="S224" s="415"/>
      <c r="T224" s="210"/>
      <c r="U224" s="415"/>
      <c r="V224" s="210"/>
      <c r="W224" s="415"/>
      <c r="X224" s="210"/>
      <c r="Y224" s="8"/>
      <c r="Z224" s="8"/>
      <c r="AA224" s="8"/>
      <c r="AB224" s="8"/>
      <c r="AC224" s="8"/>
      <c r="AD224" s="8"/>
      <c r="AE224" s="8"/>
      <c r="AF224" s="8"/>
      <c r="AG224" s="8"/>
      <c r="AH224" s="8"/>
      <c r="AI224" s="8"/>
      <c r="AJ224" s="8"/>
      <c r="AK224" s="8"/>
      <c r="AL224" s="8"/>
      <c r="AM224" s="8"/>
      <c r="AN224" s="8"/>
      <c r="AO224" s="8"/>
      <c r="AP224" s="8"/>
      <c r="AQ224" s="8"/>
      <c r="AR224" s="8"/>
      <c r="AS224" s="8"/>
      <c r="AT224" s="8"/>
    </row>
    <row r="225">
      <c r="A225" s="415"/>
      <c r="B225" s="210"/>
      <c r="C225" s="415"/>
      <c r="D225" s="210"/>
      <c r="E225" s="415"/>
      <c r="F225" s="210"/>
      <c r="G225" s="415"/>
      <c r="H225" s="210"/>
      <c r="I225" s="423"/>
      <c r="J225" s="156"/>
      <c r="K225" s="423"/>
      <c r="L225" s="156"/>
      <c r="M225" s="415"/>
      <c r="N225" s="210"/>
      <c r="O225" s="415"/>
      <c r="P225" s="210"/>
      <c r="Q225" s="415"/>
      <c r="R225" s="210"/>
      <c r="S225" s="415"/>
      <c r="T225" s="210"/>
      <c r="U225" s="415"/>
      <c r="V225" s="210"/>
      <c r="W225" s="415"/>
      <c r="X225" s="210"/>
      <c r="Y225" s="8"/>
      <c r="Z225" s="8"/>
      <c r="AA225" s="8"/>
      <c r="AB225" s="8"/>
      <c r="AC225" s="8"/>
      <c r="AD225" s="8"/>
      <c r="AE225" s="8"/>
      <c r="AF225" s="8"/>
      <c r="AG225" s="8"/>
      <c r="AH225" s="8"/>
      <c r="AI225" s="8"/>
      <c r="AJ225" s="8"/>
      <c r="AK225" s="8"/>
      <c r="AL225" s="8"/>
      <c r="AM225" s="8"/>
      <c r="AN225" s="8"/>
      <c r="AO225" s="8"/>
      <c r="AP225" s="8"/>
      <c r="AQ225" s="8"/>
      <c r="AR225" s="8"/>
      <c r="AS225" s="8"/>
      <c r="AT225" s="8"/>
    </row>
    <row r="226">
      <c r="A226" s="415"/>
      <c r="B226" s="210"/>
      <c r="C226" s="415"/>
      <c r="D226" s="210"/>
      <c r="E226" s="415"/>
      <c r="F226" s="210"/>
      <c r="G226" s="415"/>
      <c r="H226" s="210"/>
      <c r="I226" s="423"/>
      <c r="J226" s="156"/>
      <c r="K226" s="423"/>
      <c r="L226" s="156"/>
      <c r="M226" s="415"/>
      <c r="N226" s="210"/>
      <c r="O226" s="415"/>
      <c r="P226" s="210"/>
      <c r="Q226" s="415"/>
      <c r="R226" s="210"/>
      <c r="S226" s="415"/>
      <c r="T226" s="210"/>
      <c r="U226" s="415"/>
      <c r="V226" s="210"/>
      <c r="W226" s="415"/>
      <c r="X226" s="210"/>
      <c r="Y226" s="8"/>
      <c r="Z226" s="8"/>
      <c r="AA226" s="8"/>
      <c r="AB226" s="8"/>
      <c r="AC226" s="8"/>
      <c r="AD226" s="8"/>
      <c r="AE226" s="8"/>
      <c r="AF226" s="8"/>
      <c r="AG226" s="8"/>
      <c r="AH226" s="8"/>
      <c r="AI226" s="8"/>
      <c r="AJ226" s="8"/>
      <c r="AK226" s="8"/>
      <c r="AL226" s="8"/>
      <c r="AM226" s="8"/>
      <c r="AN226" s="8"/>
      <c r="AO226" s="8"/>
      <c r="AP226" s="8"/>
      <c r="AQ226" s="8"/>
      <c r="AR226" s="8"/>
      <c r="AS226" s="8"/>
      <c r="AT226" s="8"/>
    </row>
    <row r="227">
      <c r="A227" s="415"/>
      <c r="B227" s="210"/>
      <c r="C227" s="415"/>
      <c r="D227" s="210"/>
      <c r="E227" s="415"/>
      <c r="F227" s="210"/>
      <c r="G227" s="415"/>
      <c r="H227" s="210"/>
      <c r="I227" s="423"/>
      <c r="J227" s="156"/>
      <c r="K227" s="423"/>
      <c r="L227" s="156"/>
      <c r="M227" s="415"/>
      <c r="N227" s="210"/>
      <c r="O227" s="415"/>
      <c r="P227" s="210"/>
      <c r="Q227" s="415"/>
      <c r="R227" s="210"/>
      <c r="S227" s="415"/>
      <c r="T227" s="210"/>
      <c r="U227" s="415"/>
      <c r="V227" s="210"/>
      <c r="W227" s="415"/>
      <c r="X227" s="210"/>
      <c r="Y227" s="8"/>
      <c r="Z227" s="8"/>
      <c r="AA227" s="8"/>
      <c r="AB227" s="8"/>
      <c r="AC227" s="8"/>
      <c r="AD227" s="8"/>
      <c r="AE227" s="8"/>
      <c r="AF227" s="8"/>
      <c r="AG227" s="8"/>
      <c r="AH227" s="8"/>
      <c r="AI227" s="8"/>
      <c r="AJ227" s="8"/>
      <c r="AK227" s="8"/>
      <c r="AL227" s="8"/>
      <c r="AM227" s="8"/>
      <c r="AN227" s="8"/>
      <c r="AO227" s="8"/>
      <c r="AP227" s="8"/>
      <c r="AQ227" s="8"/>
      <c r="AR227" s="8"/>
      <c r="AS227" s="8"/>
      <c r="AT227" s="8"/>
    </row>
    <row r="228">
      <c r="A228" s="415"/>
      <c r="B228" s="210"/>
      <c r="C228" s="415"/>
      <c r="D228" s="210"/>
      <c r="E228" s="415"/>
      <c r="F228" s="210"/>
      <c r="G228" s="415"/>
      <c r="H228" s="210"/>
      <c r="I228" s="423"/>
      <c r="J228" s="156"/>
      <c r="K228" s="423"/>
      <c r="L228" s="156"/>
      <c r="M228" s="415"/>
      <c r="N228" s="210"/>
      <c r="O228" s="415"/>
      <c r="P228" s="210"/>
      <c r="Q228" s="415"/>
      <c r="R228" s="210"/>
      <c r="S228" s="415"/>
      <c r="T228" s="210"/>
      <c r="U228" s="415"/>
      <c r="V228" s="210"/>
      <c r="W228" s="415"/>
      <c r="X228" s="210"/>
      <c r="Y228" s="8"/>
      <c r="Z228" s="8"/>
      <c r="AA228" s="8"/>
      <c r="AB228" s="8"/>
      <c r="AC228" s="8"/>
      <c r="AD228" s="8"/>
      <c r="AE228" s="8"/>
      <c r="AF228" s="8"/>
      <c r="AG228" s="8"/>
      <c r="AH228" s="8"/>
      <c r="AI228" s="8"/>
      <c r="AJ228" s="8"/>
      <c r="AK228" s="8"/>
      <c r="AL228" s="8"/>
      <c r="AM228" s="8"/>
      <c r="AN228" s="8"/>
      <c r="AO228" s="8"/>
      <c r="AP228" s="8"/>
      <c r="AQ228" s="8"/>
      <c r="AR228" s="8"/>
      <c r="AS228" s="8"/>
      <c r="AT228" s="8"/>
    </row>
    <row r="229">
      <c r="A229" s="415"/>
      <c r="B229" s="210"/>
      <c r="C229" s="415"/>
      <c r="D229" s="210"/>
      <c r="E229" s="415"/>
      <c r="F229" s="210"/>
      <c r="G229" s="415"/>
      <c r="H229" s="210"/>
      <c r="I229" s="423"/>
      <c r="J229" s="156"/>
      <c r="K229" s="423"/>
      <c r="L229" s="156"/>
      <c r="M229" s="415"/>
      <c r="N229" s="210"/>
      <c r="O229" s="415"/>
      <c r="P229" s="210"/>
      <c r="Q229" s="415"/>
      <c r="R229" s="210"/>
      <c r="S229" s="415"/>
      <c r="T229" s="210"/>
      <c r="U229" s="415"/>
      <c r="V229" s="210"/>
      <c r="W229" s="415"/>
      <c r="X229" s="210"/>
      <c r="Y229" s="8"/>
      <c r="Z229" s="8"/>
      <c r="AA229" s="8"/>
      <c r="AB229" s="8"/>
      <c r="AC229" s="8"/>
      <c r="AD229" s="8"/>
      <c r="AE229" s="8"/>
      <c r="AF229" s="8"/>
      <c r="AG229" s="8"/>
      <c r="AH229" s="8"/>
      <c r="AI229" s="8"/>
      <c r="AJ229" s="8"/>
      <c r="AK229" s="8"/>
      <c r="AL229" s="8"/>
      <c r="AM229" s="8"/>
      <c r="AN229" s="8"/>
      <c r="AO229" s="8"/>
      <c r="AP229" s="8"/>
      <c r="AQ229" s="8"/>
      <c r="AR229" s="8"/>
      <c r="AS229" s="8"/>
      <c r="AT229" s="8"/>
    </row>
    <row r="230">
      <c r="A230" s="415"/>
      <c r="B230" s="210"/>
      <c r="C230" s="415"/>
      <c r="D230" s="210"/>
      <c r="E230" s="415"/>
      <c r="F230" s="210"/>
      <c r="G230" s="415"/>
      <c r="H230" s="210"/>
      <c r="I230" s="423"/>
      <c r="J230" s="156"/>
      <c r="K230" s="423"/>
      <c r="L230" s="156"/>
      <c r="M230" s="415"/>
      <c r="N230" s="210"/>
      <c r="O230" s="415"/>
      <c r="P230" s="210"/>
      <c r="Q230" s="415"/>
      <c r="R230" s="210"/>
      <c r="S230" s="415"/>
      <c r="T230" s="210"/>
      <c r="U230" s="415"/>
      <c r="V230" s="210"/>
      <c r="W230" s="415"/>
      <c r="X230" s="210"/>
      <c r="Y230" s="8"/>
      <c r="Z230" s="8"/>
      <c r="AA230" s="8"/>
      <c r="AB230" s="8"/>
      <c r="AC230" s="8"/>
      <c r="AD230" s="8"/>
      <c r="AE230" s="8"/>
      <c r="AF230" s="8"/>
      <c r="AG230" s="8"/>
      <c r="AH230" s="8"/>
      <c r="AI230" s="8"/>
      <c r="AJ230" s="8"/>
      <c r="AK230" s="8"/>
      <c r="AL230" s="8"/>
      <c r="AM230" s="8"/>
      <c r="AN230" s="8"/>
      <c r="AO230" s="8"/>
      <c r="AP230" s="8"/>
      <c r="AQ230" s="8"/>
      <c r="AR230" s="8"/>
      <c r="AS230" s="8"/>
      <c r="AT230" s="8"/>
    </row>
    <row r="231">
      <c r="A231" s="415"/>
      <c r="B231" s="210"/>
      <c r="C231" s="415"/>
      <c r="D231" s="210"/>
      <c r="E231" s="415"/>
      <c r="F231" s="210"/>
      <c r="G231" s="415"/>
      <c r="H231" s="210"/>
      <c r="I231" s="423"/>
      <c r="J231" s="156"/>
      <c r="K231" s="423"/>
      <c r="L231" s="156"/>
      <c r="M231" s="415"/>
      <c r="N231" s="210"/>
      <c r="O231" s="415"/>
      <c r="P231" s="210"/>
      <c r="Q231" s="415"/>
      <c r="R231" s="210"/>
      <c r="S231" s="415"/>
      <c r="T231" s="210"/>
      <c r="U231" s="415"/>
      <c r="V231" s="210"/>
      <c r="W231" s="415"/>
      <c r="X231" s="210"/>
      <c r="Y231" s="8"/>
      <c r="Z231" s="8"/>
      <c r="AA231" s="8"/>
      <c r="AB231" s="8"/>
      <c r="AC231" s="8"/>
      <c r="AD231" s="8"/>
      <c r="AE231" s="8"/>
      <c r="AF231" s="8"/>
      <c r="AG231" s="8"/>
      <c r="AH231" s="8"/>
      <c r="AI231" s="8"/>
      <c r="AJ231" s="8"/>
      <c r="AK231" s="8"/>
      <c r="AL231" s="8"/>
      <c r="AM231" s="8"/>
      <c r="AN231" s="8"/>
      <c r="AO231" s="8"/>
      <c r="AP231" s="8"/>
      <c r="AQ231" s="8"/>
      <c r="AR231" s="8"/>
      <c r="AS231" s="8"/>
      <c r="AT231" s="8"/>
    </row>
    <row r="232">
      <c r="A232" s="415"/>
      <c r="B232" s="210"/>
      <c r="C232" s="415"/>
      <c r="D232" s="210"/>
      <c r="E232" s="415"/>
      <c r="F232" s="210"/>
      <c r="G232" s="415"/>
      <c r="H232" s="210"/>
      <c r="I232" s="423"/>
      <c r="J232" s="156"/>
      <c r="K232" s="423"/>
      <c r="L232" s="156"/>
      <c r="M232" s="415"/>
      <c r="N232" s="210"/>
      <c r="O232" s="415"/>
      <c r="P232" s="210"/>
      <c r="Q232" s="415"/>
      <c r="R232" s="210"/>
      <c r="S232" s="415"/>
      <c r="T232" s="210"/>
      <c r="U232" s="415"/>
      <c r="V232" s="210"/>
      <c r="W232" s="415"/>
      <c r="X232" s="210"/>
      <c r="Y232" s="8"/>
      <c r="Z232" s="8"/>
      <c r="AA232" s="8"/>
      <c r="AB232" s="8"/>
      <c r="AC232" s="8"/>
      <c r="AD232" s="8"/>
      <c r="AE232" s="8"/>
      <c r="AF232" s="8"/>
      <c r="AG232" s="8"/>
      <c r="AH232" s="8"/>
      <c r="AI232" s="8"/>
      <c r="AJ232" s="8"/>
      <c r="AK232" s="8"/>
      <c r="AL232" s="8"/>
      <c r="AM232" s="8"/>
      <c r="AN232" s="8"/>
      <c r="AO232" s="8"/>
      <c r="AP232" s="8"/>
      <c r="AQ232" s="8"/>
      <c r="AR232" s="8"/>
      <c r="AS232" s="8"/>
      <c r="AT232" s="8"/>
    </row>
    <row r="233">
      <c r="A233" s="415"/>
      <c r="B233" s="210"/>
      <c r="C233" s="415"/>
      <c r="D233" s="210"/>
      <c r="E233" s="415"/>
      <c r="F233" s="210"/>
      <c r="G233" s="415"/>
      <c r="H233" s="210"/>
      <c r="I233" s="423"/>
      <c r="J233" s="156"/>
      <c r="K233" s="423"/>
      <c r="L233" s="156"/>
      <c r="M233" s="415"/>
      <c r="N233" s="210"/>
      <c r="O233" s="415"/>
      <c r="P233" s="210"/>
      <c r="Q233" s="415"/>
      <c r="R233" s="210"/>
      <c r="S233" s="415"/>
      <c r="T233" s="210"/>
      <c r="U233" s="415"/>
      <c r="V233" s="210"/>
      <c r="W233" s="415"/>
      <c r="X233" s="210"/>
      <c r="Y233" s="8"/>
      <c r="Z233" s="8"/>
      <c r="AA233" s="8"/>
      <c r="AB233" s="8"/>
      <c r="AC233" s="8"/>
      <c r="AD233" s="8"/>
      <c r="AE233" s="8"/>
      <c r="AF233" s="8"/>
      <c r="AG233" s="8"/>
      <c r="AH233" s="8"/>
      <c r="AI233" s="8"/>
      <c r="AJ233" s="8"/>
      <c r="AK233" s="8"/>
      <c r="AL233" s="8"/>
      <c r="AM233" s="8"/>
      <c r="AN233" s="8"/>
      <c r="AO233" s="8"/>
      <c r="AP233" s="8"/>
      <c r="AQ233" s="8"/>
      <c r="AR233" s="8"/>
      <c r="AS233" s="8"/>
      <c r="AT233" s="8"/>
    </row>
    <row r="234">
      <c r="A234" s="415"/>
      <c r="B234" s="210"/>
      <c r="C234" s="415"/>
      <c r="D234" s="210"/>
      <c r="E234" s="415"/>
      <c r="F234" s="210"/>
      <c r="G234" s="415"/>
      <c r="H234" s="210"/>
      <c r="I234" s="423"/>
      <c r="J234" s="156"/>
      <c r="K234" s="423"/>
      <c r="L234" s="156"/>
      <c r="M234" s="415"/>
      <c r="N234" s="210"/>
      <c r="O234" s="415"/>
      <c r="P234" s="210"/>
      <c r="Q234" s="415"/>
      <c r="R234" s="210"/>
      <c r="S234" s="415"/>
      <c r="T234" s="210"/>
      <c r="U234" s="415"/>
      <c r="V234" s="210"/>
      <c r="W234" s="415"/>
      <c r="X234" s="210"/>
      <c r="Y234" s="8"/>
      <c r="Z234" s="8"/>
      <c r="AA234" s="8"/>
      <c r="AB234" s="8"/>
      <c r="AC234" s="8"/>
      <c r="AD234" s="8"/>
      <c r="AE234" s="8"/>
      <c r="AF234" s="8"/>
      <c r="AG234" s="8"/>
      <c r="AH234" s="8"/>
      <c r="AI234" s="8"/>
      <c r="AJ234" s="8"/>
      <c r="AK234" s="8"/>
      <c r="AL234" s="8"/>
      <c r="AM234" s="8"/>
      <c r="AN234" s="8"/>
      <c r="AO234" s="8"/>
      <c r="AP234" s="8"/>
      <c r="AQ234" s="8"/>
      <c r="AR234" s="8"/>
      <c r="AS234" s="8"/>
      <c r="AT234" s="8"/>
    </row>
    <row r="235">
      <c r="A235" s="415"/>
      <c r="B235" s="210"/>
      <c r="C235" s="415"/>
      <c r="D235" s="210"/>
      <c r="E235" s="415"/>
      <c r="F235" s="210"/>
      <c r="G235" s="415"/>
      <c r="H235" s="210"/>
      <c r="I235" s="423"/>
      <c r="J235" s="156"/>
      <c r="K235" s="423"/>
      <c r="L235" s="156"/>
      <c r="M235" s="415"/>
      <c r="N235" s="210"/>
      <c r="O235" s="415"/>
      <c r="P235" s="210"/>
      <c r="Q235" s="415"/>
      <c r="R235" s="210"/>
      <c r="S235" s="415"/>
      <c r="T235" s="210"/>
      <c r="U235" s="415"/>
      <c r="V235" s="210"/>
      <c r="W235" s="415"/>
      <c r="X235" s="210"/>
      <c r="Y235" s="8"/>
      <c r="Z235" s="8"/>
      <c r="AA235" s="8"/>
      <c r="AB235" s="8"/>
      <c r="AC235" s="8"/>
      <c r="AD235" s="8"/>
      <c r="AE235" s="8"/>
      <c r="AF235" s="8"/>
      <c r="AG235" s="8"/>
      <c r="AH235" s="8"/>
      <c r="AI235" s="8"/>
      <c r="AJ235" s="8"/>
      <c r="AK235" s="8"/>
      <c r="AL235" s="8"/>
      <c r="AM235" s="8"/>
      <c r="AN235" s="8"/>
      <c r="AO235" s="8"/>
      <c r="AP235" s="8"/>
      <c r="AQ235" s="8"/>
      <c r="AR235" s="8"/>
      <c r="AS235" s="8"/>
      <c r="AT235" s="8"/>
    </row>
    <row r="236">
      <c r="A236" s="415"/>
      <c r="B236" s="210"/>
      <c r="C236" s="415"/>
      <c r="D236" s="210"/>
      <c r="E236" s="415"/>
      <c r="F236" s="210"/>
      <c r="G236" s="415"/>
      <c r="H236" s="210"/>
      <c r="I236" s="423"/>
      <c r="J236" s="156"/>
      <c r="K236" s="423"/>
      <c r="L236" s="156"/>
      <c r="M236" s="415"/>
      <c r="N236" s="210"/>
      <c r="O236" s="415"/>
      <c r="P236" s="210"/>
      <c r="Q236" s="415"/>
      <c r="R236" s="210"/>
      <c r="S236" s="415"/>
      <c r="T236" s="210"/>
      <c r="U236" s="415"/>
      <c r="V236" s="210"/>
      <c r="W236" s="415"/>
      <c r="X236" s="210"/>
      <c r="Y236" s="8"/>
      <c r="Z236" s="8"/>
      <c r="AA236" s="8"/>
      <c r="AB236" s="8"/>
      <c r="AC236" s="8"/>
      <c r="AD236" s="8"/>
      <c r="AE236" s="8"/>
      <c r="AF236" s="8"/>
      <c r="AG236" s="8"/>
      <c r="AH236" s="8"/>
      <c r="AI236" s="8"/>
      <c r="AJ236" s="8"/>
      <c r="AK236" s="8"/>
      <c r="AL236" s="8"/>
      <c r="AM236" s="8"/>
      <c r="AN236" s="8"/>
      <c r="AO236" s="8"/>
      <c r="AP236" s="8"/>
      <c r="AQ236" s="8"/>
      <c r="AR236" s="8"/>
      <c r="AS236" s="8"/>
      <c r="AT236" s="8"/>
    </row>
    <row r="237">
      <c r="A237" s="415"/>
      <c r="B237" s="210"/>
      <c r="C237" s="415"/>
      <c r="D237" s="210"/>
      <c r="E237" s="415"/>
      <c r="F237" s="210"/>
      <c r="G237" s="415"/>
      <c r="H237" s="210"/>
      <c r="I237" s="423"/>
      <c r="J237" s="156"/>
      <c r="K237" s="423"/>
      <c r="L237" s="156"/>
      <c r="M237" s="415"/>
      <c r="N237" s="210"/>
      <c r="O237" s="415"/>
      <c r="P237" s="210"/>
      <c r="Q237" s="415"/>
      <c r="R237" s="210"/>
      <c r="S237" s="415"/>
      <c r="T237" s="210"/>
      <c r="U237" s="415"/>
      <c r="V237" s="210"/>
      <c r="W237" s="415"/>
      <c r="X237" s="210"/>
      <c r="Y237" s="8"/>
      <c r="Z237" s="8"/>
      <c r="AA237" s="8"/>
      <c r="AB237" s="8"/>
      <c r="AC237" s="8"/>
      <c r="AD237" s="8"/>
      <c r="AE237" s="8"/>
      <c r="AF237" s="8"/>
      <c r="AG237" s="8"/>
      <c r="AH237" s="8"/>
      <c r="AI237" s="8"/>
      <c r="AJ237" s="8"/>
      <c r="AK237" s="8"/>
      <c r="AL237" s="8"/>
      <c r="AM237" s="8"/>
      <c r="AN237" s="8"/>
      <c r="AO237" s="8"/>
      <c r="AP237" s="8"/>
      <c r="AQ237" s="8"/>
      <c r="AR237" s="8"/>
      <c r="AS237" s="8"/>
      <c r="AT237" s="8"/>
    </row>
    <row r="238">
      <c r="A238" s="415"/>
      <c r="B238" s="210"/>
      <c r="C238" s="415"/>
      <c r="D238" s="210"/>
      <c r="E238" s="415"/>
      <c r="F238" s="210"/>
      <c r="G238" s="415"/>
      <c r="H238" s="210"/>
      <c r="I238" s="423"/>
      <c r="J238" s="156"/>
      <c r="K238" s="423"/>
      <c r="L238" s="156"/>
      <c r="M238" s="415"/>
      <c r="N238" s="210"/>
      <c r="O238" s="415"/>
      <c r="P238" s="210"/>
      <c r="Q238" s="415"/>
      <c r="R238" s="210"/>
      <c r="S238" s="415"/>
      <c r="T238" s="210"/>
      <c r="U238" s="415"/>
      <c r="V238" s="210"/>
      <c r="W238" s="415"/>
      <c r="X238" s="210"/>
      <c r="Y238" s="8"/>
      <c r="Z238" s="8"/>
      <c r="AA238" s="8"/>
      <c r="AB238" s="8"/>
      <c r="AC238" s="8"/>
      <c r="AD238" s="8"/>
      <c r="AE238" s="8"/>
      <c r="AF238" s="8"/>
      <c r="AG238" s="8"/>
      <c r="AH238" s="8"/>
      <c r="AI238" s="8"/>
      <c r="AJ238" s="8"/>
      <c r="AK238" s="8"/>
      <c r="AL238" s="8"/>
      <c r="AM238" s="8"/>
      <c r="AN238" s="8"/>
      <c r="AO238" s="8"/>
      <c r="AP238" s="8"/>
      <c r="AQ238" s="8"/>
      <c r="AR238" s="8"/>
      <c r="AS238" s="8"/>
      <c r="AT238" s="8"/>
    </row>
    <row r="239">
      <c r="A239" s="415"/>
      <c r="B239" s="210"/>
      <c r="C239" s="415"/>
      <c r="D239" s="210"/>
      <c r="E239" s="415"/>
      <c r="F239" s="210"/>
      <c r="G239" s="415"/>
      <c r="H239" s="210"/>
      <c r="I239" s="423"/>
      <c r="J239" s="156"/>
      <c r="K239" s="423"/>
      <c r="L239" s="156"/>
      <c r="M239" s="415"/>
      <c r="N239" s="210"/>
      <c r="O239" s="415"/>
      <c r="P239" s="210"/>
      <c r="Q239" s="415"/>
      <c r="R239" s="210"/>
      <c r="S239" s="415"/>
      <c r="T239" s="210"/>
      <c r="U239" s="415"/>
      <c r="V239" s="210"/>
      <c r="W239" s="415"/>
      <c r="X239" s="210"/>
      <c r="Y239" s="8"/>
      <c r="Z239" s="8"/>
      <c r="AA239" s="8"/>
      <c r="AB239" s="8"/>
      <c r="AC239" s="8"/>
      <c r="AD239" s="8"/>
      <c r="AE239" s="8"/>
      <c r="AF239" s="8"/>
      <c r="AG239" s="8"/>
      <c r="AH239" s="8"/>
      <c r="AI239" s="8"/>
      <c r="AJ239" s="8"/>
      <c r="AK239" s="8"/>
      <c r="AL239" s="8"/>
      <c r="AM239" s="8"/>
      <c r="AN239" s="8"/>
      <c r="AO239" s="8"/>
      <c r="AP239" s="8"/>
      <c r="AQ239" s="8"/>
      <c r="AR239" s="8"/>
      <c r="AS239" s="8"/>
      <c r="AT239" s="8"/>
    </row>
    <row r="240">
      <c r="A240" s="415"/>
      <c r="B240" s="210"/>
      <c r="C240" s="415"/>
      <c r="D240" s="210"/>
      <c r="E240" s="415"/>
      <c r="F240" s="210"/>
      <c r="G240" s="415"/>
      <c r="H240" s="210"/>
      <c r="I240" s="423"/>
      <c r="J240" s="156"/>
      <c r="K240" s="423"/>
      <c r="L240" s="156"/>
      <c r="M240" s="415"/>
      <c r="N240" s="210"/>
      <c r="O240" s="415"/>
      <c r="P240" s="210"/>
      <c r="Q240" s="415"/>
      <c r="R240" s="210"/>
      <c r="S240" s="415"/>
      <c r="T240" s="210"/>
      <c r="U240" s="415"/>
      <c r="V240" s="210"/>
      <c r="W240" s="415"/>
      <c r="X240" s="210"/>
      <c r="Y240" s="8"/>
      <c r="Z240" s="8"/>
      <c r="AA240" s="8"/>
      <c r="AB240" s="8"/>
      <c r="AC240" s="8"/>
      <c r="AD240" s="8"/>
      <c r="AE240" s="8"/>
      <c r="AF240" s="8"/>
      <c r="AG240" s="8"/>
      <c r="AH240" s="8"/>
      <c r="AI240" s="8"/>
      <c r="AJ240" s="8"/>
      <c r="AK240" s="8"/>
      <c r="AL240" s="8"/>
      <c r="AM240" s="8"/>
      <c r="AN240" s="8"/>
      <c r="AO240" s="8"/>
      <c r="AP240" s="8"/>
      <c r="AQ240" s="8"/>
      <c r="AR240" s="8"/>
      <c r="AS240" s="8"/>
      <c r="AT240" s="8"/>
    </row>
    <row r="241">
      <c r="A241" s="415"/>
      <c r="B241" s="210"/>
      <c r="C241" s="415"/>
      <c r="D241" s="210"/>
      <c r="E241" s="415"/>
      <c r="F241" s="210"/>
      <c r="G241" s="415"/>
      <c r="H241" s="210"/>
      <c r="I241" s="423"/>
      <c r="J241" s="156"/>
      <c r="K241" s="423"/>
      <c r="L241" s="156"/>
      <c r="M241" s="415"/>
      <c r="N241" s="210"/>
      <c r="O241" s="415"/>
      <c r="P241" s="210"/>
      <c r="Q241" s="415"/>
      <c r="R241" s="210"/>
      <c r="S241" s="415"/>
      <c r="T241" s="210"/>
      <c r="U241" s="415"/>
      <c r="V241" s="210"/>
      <c r="W241" s="415"/>
      <c r="X241" s="210"/>
      <c r="Y241" s="8"/>
      <c r="Z241" s="8"/>
      <c r="AA241" s="8"/>
      <c r="AB241" s="8"/>
      <c r="AC241" s="8"/>
      <c r="AD241" s="8"/>
      <c r="AE241" s="8"/>
      <c r="AF241" s="8"/>
      <c r="AG241" s="8"/>
      <c r="AH241" s="8"/>
      <c r="AI241" s="8"/>
      <c r="AJ241" s="8"/>
      <c r="AK241" s="8"/>
      <c r="AL241" s="8"/>
      <c r="AM241" s="8"/>
      <c r="AN241" s="8"/>
      <c r="AO241" s="8"/>
      <c r="AP241" s="8"/>
      <c r="AQ241" s="8"/>
      <c r="AR241" s="8"/>
      <c r="AS241" s="8"/>
      <c r="AT241" s="8"/>
    </row>
    <row r="242">
      <c r="A242" s="415"/>
      <c r="B242" s="210"/>
      <c r="C242" s="415"/>
      <c r="D242" s="210"/>
      <c r="E242" s="415"/>
      <c r="F242" s="210"/>
      <c r="G242" s="415"/>
      <c r="H242" s="210"/>
      <c r="I242" s="423"/>
      <c r="J242" s="156"/>
      <c r="K242" s="423"/>
      <c r="L242" s="156"/>
      <c r="M242" s="415"/>
      <c r="N242" s="210"/>
      <c r="O242" s="415"/>
      <c r="P242" s="210"/>
      <c r="Q242" s="415"/>
      <c r="R242" s="210"/>
      <c r="S242" s="415"/>
      <c r="T242" s="210"/>
      <c r="U242" s="415"/>
      <c r="V242" s="210"/>
      <c r="W242" s="415"/>
      <c r="X242" s="210"/>
      <c r="Y242" s="8"/>
      <c r="Z242" s="8"/>
      <c r="AA242" s="8"/>
      <c r="AB242" s="8"/>
      <c r="AC242" s="8"/>
      <c r="AD242" s="8"/>
      <c r="AE242" s="8"/>
      <c r="AF242" s="8"/>
      <c r="AG242" s="8"/>
      <c r="AH242" s="8"/>
      <c r="AI242" s="8"/>
      <c r="AJ242" s="8"/>
      <c r="AK242" s="8"/>
      <c r="AL242" s="8"/>
      <c r="AM242" s="8"/>
      <c r="AN242" s="8"/>
      <c r="AO242" s="8"/>
      <c r="AP242" s="8"/>
      <c r="AQ242" s="8"/>
      <c r="AR242" s="8"/>
      <c r="AS242" s="8"/>
      <c r="AT242" s="8"/>
    </row>
    <row r="243">
      <c r="A243" s="415"/>
      <c r="B243" s="210"/>
      <c r="C243" s="415"/>
      <c r="D243" s="210"/>
      <c r="E243" s="415"/>
      <c r="F243" s="210"/>
      <c r="G243" s="415"/>
      <c r="H243" s="210"/>
      <c r="I243" s="423"/>
      <c r="J243" s="156"/>
      <c r="K243" s="423"/>
      <c r="L243" s="156"/>
      <c r="M243" s="415"/>
      <c r="N243" s="210"/>
      <c r="O243" s="415"/>
      <c r="P243" s="210"/>
      <c r="Q243" s="415"/>
      <c r="R243" s="210"/>
      <c r="S243" s="415"/>
      <c r="T243" s="210"/>
      <c r="U243" s="415"/>
      <c r="V243" s="210"/>
      <c r="W243" s="415"/>
      <c r="X243" s="210"/>
      <c r="Y243" s="8"/>
      <c r="Z243" s="8"/>
      <c r="AA243" s="8"/>
      <c r="AB243" s="8"/>
      <c r="AC243" s="8"/>
      <c r="AD243" s="8"/>
      <c r="AE243" s="8"/>
      <c r="AF243" s="8"/>
      <c r="AG243" s="8"/>
      <c r="AH243" s="8"/>
      <c r="AI243" s="8"/>
      <c r="AJ243" s="8"/>
      <c r="AK243" s="8"/>
      <c r="AL243" s="8"/>
      <c r="AM243" s="8"/>
      <c r="AN243" s="8"/>
      <c r="AO243" s="8"/>
      <c r="AP243" s="8"/>
      <c r="AQ243" s="8"/>
      <c r="AR243" s="8"/>
      <c r="AS243" s="8"/>
      <c r="AT243" s="8"/>
    </row>
    <row r="244">
      <c r="A244" s="415"/>
      <c r="B244" s="210"/>
      <c r="C244" s="415"/>
      <c r="D244" s="210"/>
      <c r="E244" s="415"/>
      <c r="F244" s="210"/>
      <c r="G244" s="415"/>
      <c r="H244" s="210"/>
      <c r="I244" s="423"/>
      <c r="J244" s="156"/>
      <c r="K244" s="423"/>
      <c r="L244" s="156"/>
      <c r="M244" s="415"/>
      <c r="N244" s="210"/>
      <c r="O244" s="415"/>
      <c r="P244" s="210"/>
      <c r="Q244" s="415"/>
      <c r="R244" s="210"/>
      <c r="S244" s="415"/>
      <c r="T244" s="210"/>
      <c r="U244" s="415"/>
      <c r="V244" s="210"/>
      <c r="W244" s="415"/>
      <c r="X244" s="210"/>
      <c r="Y244" s="8"/>
      <c r="Z244" s="8"/>
      <c r="AA244" s="8"/>
      <c r="AB244" s="8"/>
      <c r="AC244" s="8"/>
      <c r="AD244" s="8"/>
      <c r="AE244" s="8"/>
      <c r="AF244" s="8"/>
      <c r="AG244" s="8"/>
      <c r="AH244" s="8"/>
      <c r="AI244" s="8"/>
      <c r="AJ244" s="8"/>
      <c r="AK244" s="8"/>
      <c r="AL244" s="8"/>
      <c r="AM244" s="8"/>
      <c r="AN244" s="8"/>
      <c r="AO244" s="8"/>
      <c r="AP244" s="8"/>
      <c r="AQ244" s="8"/>
      <c r="AR244" s="8"/>
      <c r="AS244" s="8"/>
      <c r="AT244" s="8"/>
    </row>
    <row r="245">
      <c r="A245" s="415"/>
      <c r="B245" s="210"/>
      <c r="C245" s="415"/>
      <c r="D245" s="210"/>
      <c r="E245" s="415"/>
      <c r="F245" s="210"/>
      <c r="G245" s="415"/>
      <c r="H245" s="210"/>
      <c r="I245" s="423"/>
      <c r="J245" s="156"/>
      <c r="K245" s="423"/>
      <c r="L245" s="156"/>
      <c r="M245" s="415"/>
      <c r="N245" s="210"/>
      <c r="O245" s="415"/>
      <c r="P245" s="210"/>
      <c r="Q245" s="415"/>
      <c r="R245" s="210"/>
      <c r="S245" s="415"/>
      <c r="T245" s="210"/>
      <c r="U245" s="415"/>
      <c r="V245" s="210"/>
      <c r="W245" s="415"/>
      <c r="X245" s="210"/>
      <c r="Y245" s="8"/>
      <c r="Z245" s="8"/>
      <c r="AA245" s="8"/>
      <c r="AB245" s="8"/>
      <c r="AC245" s="8"/>
      <c r="AD245" s="8"/>
      <c r="AE245" s="8"/>
      <c r="AF245" s="8"/>
      <c r="AG245" s="8"/>
      <c r="AH245" s="8"/>
      <c r="AI245" s="8"/>
      <c r="AJ245" s="8"/>
      <c r="AK245" s="8"/>
      <c r="AL245" s="8"/>
      <c r="AM245" s="8"/>
      <c r="AN245" s="8"/>
      <c r="AO245" s="8"/>
      <c r="AP245" s="8"/>
      <c r="AQ245" s="8"/>
      <c r="AR245" s="8"/>
      <c r="AS245" s="8"/>
      <c r="AT245" s="8"/>
    </row>
    <row r="246">
      <c r="A246" s="415"/>
      <c r="B246" s="210"/>
      <c r="C246" s="415"/>
      <c r="D246" s="210"/>
      <c r="E246" s="415"/>
      <c r="F246" s="210"/>
      <c r="G246" s="415"/>
      <c r="H246" s="210"/>
      <c r="I246" s="423"/>
      <c r="J246" s="156"/>
      <c r="K246" s="423"/>
      <c r="L246" s="156"/>
      <c r="M246" s="415"/>
      <c r="N246" s="210"/>
      <c r="O246" s="415"/>
      <c r="P246" s="210"/>
      <c r="Q246" s="415"/>
      <c r="R246" s="210"/>
      <c r="S246" s="415"/>
      <c r="T246" s="210"/>
      <c r="U246" s="415"/>
      <c r="V246" s="210"/>
      <c r="W246" s="415"/>
      <c r="X246" s="210"/>
      <c r="Y246" s="8"/>
      <c r="Z246" s="8"/>
      <c r="AA246" s="8"/>
      <c r="AB246" s="8"/>
      <c r="AC246" s="8"/>
      <c r="AD246" s="8"/>
      <c r="AE246" s="8"/>
      <c r="AF246" s="8"/>
      <c r="AG246" s="8"/>
      <c r="AH246" s="8"/>
      <c r="AI246" s="8"/>
      <c r="AJ246" s="8"/>
      <c r="AK246" s="8"/>
      <c r="AL246" s="8"/>
      <c r="AM246" s="8"/>
      <c r="AN246" s="8"/>
      <c r="AO246" s="8"/>
      <c r="AP246" s="8"/>
      <c r="AQ246" s="8"/>
      <c r="AR246" s="8"/>
      <c r="AS246" s="8"/>
      <c r="AT246" s="8"/>
    </row>
    <row r="247">
      <c r="A247" s="415"/>
      <c r="B247" s="210"/>
      <c r="C247" s="415"/>
      <c r="D247" s="210"/>
      <c r="E247" s="415"/>
      <c r="F247" s="210"/>
      <c r="G247" s="415"/>
      <c r="H247" s="210"/>
      <c r="I247" s="423"/>
      <c r="J247" s="156"/>
      <c r="K247" s="423"/>
      <c r="L247" s="156"/>
      <c r="M247" s="415"/>
      <c r="N247" s="210"/>
      <c r="O247" s="415"/>
      <c r="P247" s="210"/>
      <c r="Q247" s="415"/>
      <c r="R247" s="210"/>
      <c r="S247" s="415"/>
      <c r="T247" s="210"/>
      <c r="U247" s="415"/>
      <c r="V247" s="210"/>
      <c r="W247" s="415"/>
      <c r="X247" s="210"/>
      <c r="Y247" s="8"/>
      <c r="Z247" s="8"/>
      <c r="AA247" s="8"/>
      <c r="AB247" s="8"/>
      <c r="AC247" s="8"/>
      <c r="AD247" s="8"/>
      <c r="AE247" s="8"/>
      <c r="AF247" s="8"/>
      <c r="AG247" s="8"/>
      <c r="AH247" s="8"/>
      <c r="AI247" s="8"/>
      <c r="AJ247" s="8"/>
      <c r="AK247" s="8"/>
      <c r="AL247" s="8"/>
      <c r="AM247" s="8"/>
      <c r="AN247" s="8"/>
      <c r="AO247" s="8"/>
      <c r="AP247" s="8"/>
      <c r="AQ247" s="8"/>
      <c r="AR247" s="8"/>
      <c r="AS247" s="8"/>
      <c r="AT247" s="8"/>
    </row>
    <row r="248">
      <c r="A248" s="415"/>
      <c r="B248" s="210"/>
      <c r="C248" s="415"/>
      <c r="D248" s="210"/>
      <c r="E248" s="415"/>
      <c r="F248" s="210"/>
      <c r="G248" s="415"/>
      <c r="H248" s="210"/>
      <c r="I248" s="423"/>
      <c r="J248" s="156"/>
      <c r="K248" s="423"/>
      <c r="L248" s="156"/>
      <c r="M248" s="415"/>
      <c r="N248" s="210"/>
      <c r="O248" s="415"/>
      <c r="P248" s="210"/>
      <c r="Q248" s="415"/>
      <c r="R248" s="210"/>
      <c r="S248" s="415"/>
      <c r="T248" s="210"/>
      <c r="U248" s="415"/>
      <c r="V248" s="210"/>
      <c r="W248" s="415"/>
      <c r="X248" s="210"/>
      <c r="Y248" s="8"/>
      <c r="Z248" s="8"/>
      <c r="AA248" s="8"/>
      <c r="AB248" s="8"/>
      <c r="AC248" s="8"/>
      <c r="AD248" s="8"/>
      <c r="AE248" s="8"/>
      <c r="AF248" s="8"/>
      <c r="AG248" s="8"/>
      <c r="AH248" s="8"/>
      <c r="AI248" s="8"/>
      <c r="AJ248" s="8"/>
      <c r="AK248" s="8"/>
      <c r="AL248" s="8"/>
      <c r="AM248" s="8"/>
      <c r="AN248" s="8"/>
      <c r="AO248" s="8"/>
      <c r="AP248" s="8"/>
      <c r="AQ248" s="8"/>
      <c r="AR248" s="8"/>
      <c r="AS248" s="8"/>
      <c r="AT248" s="8"/>
    </row>
    <row r="249">
      <c r="A249" s="415"/>
      <c r="B249" s="210"/>
      <c r="C249" s="415"/>
      <c r="D249" s="210"/>
      <c r="E249" s="415"/>
      <c r="F249" s="210"/>
      <c r="G249" s="415"/>
      <c r="H249" s="210"/>
      <c r="I249" s="423"/>
      <c r="J249" s="156"/>
      <c r="K249" s="423"/>
      <c r="L249" s="156"/>
      <c r="M249" s="415"/>
      <c r="N249" s="210"/>
      <c r="O249" s="415"/>
      <c r="P249" s="210"/>
      <c r="Q249" s="415"/>
      <c r="R249" s="210"/>
      <c r="S249" s="415"/>
      <c r="T249" s="210"/>
      <c r="U249" s="415"/>
      <c r="V249" s="210"/>
      <c r="W249" s="415"/>
      <c r="X249" s="210"/>
      <c r="Y249" s="8"/>
      <c r="Z249" s="8"/>
      <c r="AA249" s="8"/>
      <c r="AB249" s="8"/>
      <c r="AC249" s="8"/>
      <c r="AD249" s="8"/>
      <c r="AE249" s="8"/>
      <c r="AF249" s="8"/>
      <c r="AG249" s="8"/>
      <c r="AH249" s="8"/>
      <c r="AI249" s="8"/>
      <c r="AJ249" s="8"/>
      <c r="AK249" s="8"/>
      <c r="AL249" s="8"/>
      <c r="AM249" s="8"/>
      <c r="AN249" s="8"/>
      <c r="AO249" s="8"/>
      <c r="AP249" s="8"/>
      <c r="AQ249" s="8"/>
      <c r="AR249" s="8"/>
      <c r="AS249" s="8"/>
      <c r="AT249" s="8"/>
    </row>
    <row r="250">
      <c r="A250" s="415"/>
      <c r="B250" s="210"/>
      <c r="C250" s="415"/>
      <c r="D250" s="210"/>
      <c r="E250" s="415"/>
      <c r="F250" s="210"/>
      <c r="G250" s="415"/>
      <c r="H250" s="210"/>
      <c r="I250" s="423"/>
      <c r="J250" s="156"/>
      <c r="K250" s="423"/>
      <c r="L250" s="156"/>
      <c r="M250" s="415"/>
      <c r="N250" s="210"/>
      <c r="O250" s="415"/>
      <c r="P250" s="210"/>
      <c r="Q250" s="415"/>
      <c r="R250" s="210"/>
      <c r="S250" s="415"/>
      <c r="T250" s="210"/>
      <c r="U250" s="415"/>
      <c r="V250" s="210"/>
      <c r="W250" s="415"/>
      <c r="X250" s="210"/>
      <c r="Y250" s="8"/>
      <c r="Z250" s="8"/>
      <c r="AA250" s="8"/>
      <c r="AB250" s="8"/>
      <c r="AC250" s="8"/>
      <c r="AD250" s="8"/>
      <c r="AE250" s="8"/>
      <c r="AF250" s="8"/>
      <c r="AG250" s="8"/>
      <c r="AH250" s="8"/>
      <c r="AI250" s="8"/>
      <c r="AJ250" s="8"/>
      <c r="AK250" s="8"/>
      <c r="AL250" s="8"/>
      <c r="AM250" s="8"/>
      <c r="AN250" s="8"/>
      <c r="AO250" s="8"/>
      <c r="AP250" s="8"/>
      <c r="AQ250" s="8"/>
      <c r="AR250" s="8"/>
      <c r="AS250" s="8"/>
      <c r="AT250" s="8"/>
    </row>
    <row r="251">
      <c r="A251" s="415"/>
      <c r="B251" s="210"/>
      <c r="C251" s="415"/>
      <c r="D251" s="210"/>
      <c r="E251" s="415"/>
      <c r="F251" s="210"/>
      <c r="G251" s="415"/>
      <c r="H251" s="210"/>
      <c r="I251" s="423"/>
      <c r="J251" s="156"/>
      <c r="K251" s="423"/>
      <c r="L251" s="156"/>
      <c r="M251" s="415"/>
      <c r="N251" s="210"/>
      <c r="O251" s="415"/>
      <c r="P251" s="210"/>
      <c r="Q251" s="415"/>
      <c r="R251" s="210"/>
      <c r="S251" s="415"/>
      <c r="T251" s="210"/>
      <c r="U251" s="415"/>
      <c r="V251" s="210"/>
      <c r="W251" s="415"/>
      <c r="X251" s="210"/>
      <c r="Y251" s="8"/>
      <c r="Z251" s="8"/>
      <c r="AA251" s="8"/>
      <c r="AB251" s="8"/>
      <c r="AC251" s="8"/>
      <c r="AD251" s="8"/>
      <c r="AE251" s="8"/>
      <c r="AF251" s="8"/>
      <c r="AG251" s="8"/>
      <c r="AH251" s="8"/>
      <c r="AI251" s="8"/>
      <c r="AJ251" s="8"/>
      <c r="AK251" s="8"/>
      <c r="AL251" s="8"/>
      <c r="AM251" s="8"/>
      <c r="AN251" s="8"/>
      <c r="AO251" s="8"/>
      <c r="AP251" s="8"/>
      <c r="AQ251" s="8"/>
      <c r="AR251" s="8"/>
      <c r="AS251" s="8"/>
      <c r="AT251" s="8"/>
    </row>
    <row r="252">
      <c r="A252" s="415"/>
      <c r="B252" s="210"/>
      <c r="C252" s="415"/>
      <c r="D252" s="210"/>
      <c r="E252" s="415"/>
      <c r="F252" s="210"/>
      <c r="G252" s="415"/>
      <c r="H252" s="210"/>
      <c r="I252" s="423"/>
      <c r="J252" s="156"/>
      <c r="K252" s="423"/>
      <c r="L252" s="156"/>
      <c r="M252" s="415"/>
      <c r="N252" s="210"/>
      <c r="O252" s="415"/>
      <c r="P252" s="210"/>
      <c r="Q252" s="415"/>
      <c r="R252" s="210"/>
      <c r="S252" s="415"/>
      <c r="T252" s="210"/>
      <c r="U252" s="415"/>
      <c r="V252" s="210"/>
      <c r="W252" s="415"/>
      <c r="X252" s="210"/>
      <c r="Y252" s="8"/>
      <c r="Z252" s="8"/>
      <c r="AA252" s="8"/>
      <c r="AB252" s="8"/>
      <c r="AC252" s="8"/>
      <c r="AD252" s="8"/>
      <c r="AE252" s="8"/>
      <c r="AF252" s="8"/>
      <c r="AG252" s="8"/>
      <c r="AH252" s="8"/>
      <c r="AI252" s="8"/>
      <c r="AJ252" s="8"/>
      <c r="AK252" s="8"/>
      <c r="AL252" s="8"/>
      <c r="AM252" s="8"/>
      <c r="AN252" s="8"/>
      <c r="AO252" s="8"/>
      <c r="AP252" s="8"/>
      <c r="AQ252" s="8"/>
      <c r="AR252" s="8"/>
      <c r="AS252" s="8"/>
      <c r="AT252" s="8"/>
    </row>
    <row r="253">
      <c r="A253" s="415"/>
      <c r="B253" s="210"/>
      <c r="C253" s="415"/>
      <c r="D253" s="210"/>
      <c r="E253" s="415"/>
      <c r="F253" s="210"/>
      <c r="G253" s="415"/>
      <c r="H253" s="210"/>
      <c r="I253" s="423"/>
      <c r="J253" s="156"/>
      <c r="K253" s="423"/>
      <c r="L253" s="156"/>
      <c r="M253" s="415"/>
      <c r="N253" s="210"/>
      <c r="O253" s="415"/>
      <c r="P253" s="210"/>
      <c r="Q253" s="415"/>
      <c r="R253" s="210"/>
      <c r="S253" s="415"/>
      <c r="T253" s="210"/>
      <c r="U253" s="415"/>
      <c r="V253" s="210"/>
      <c r="W253" s="415"/>
      <c r="X253" s="210"/>
      <c r="Y253" s="8"/>
      <c r="Z253" s="8"/>
      <c r="AA253" s="8"/>
      <c r="AB253" s="8"/>
      <c r="AC253" s="8"/>
      <c r="AD253" s="8"/>
      <c r="AE253" s="8"/>
      <c r="AF253" s="8"/>
      <c r="AG253" s="8"/>
      <c r="AH253" s="8"/>
      <c r="AI253" s="8"/>
      <c r="AJ253" s="8"/>
      <c r="AK253" s="8"/>
      <c r="AL253" s="8"/>
      <c r="AM253" s="8"/>
      <c r="AN253" s="8"/>
      <c r="AO253" s="8"/>
      <c r="AP253" s="8"/>
      <c r="AQ253" s="8"/>
      <c r="AR253" s="8"/>
      <c r="AS253" s="8"/>
      <c r="AT253" s="8"/>
    </row>
    <row r="254">
      <c r="A254" s="415"/>
      <c r="B254" s="210"/>
      <c r="C254" s="415"/>
      <c r="D254" s="210"/>
      <c r="E254" s="415"/>
      <c r="F254" s="210"/>
      <c r="G254" s="415"/>
      <c r="H254" s="210"/>
      <c r="I254" s="423"/>
      <c r="J254" s="156"/>
      <c r="K254" s="423"/>
      <c r="L254" s="156"/>
      <c r="M254" s="415"/>
      <c r="N254" s="210"/>
      <c r="O254" s="415"/>
      <c r="P254" s="210"/>
      <c r="Q254" s="415"/>
      <c r="R254" s="210"/>
      <c r="S254" s="415"/>
      <c r="T254" s="210"/>
      <c r="U254" s="415"/>
      <c r="V254" s="210"/>
      <c r="W254" s="415"/>
      <c r="X254" s="210"/>
      <c r="Y254" s="8"/>
      <c r="Z254" s="8"/>
      <c r="AA254" s="8"/>
      <c r="AB254" s="8"/>
      <c r="AC254" s="8"/>
      <c r="AD254" s="8"/>
      <c r="AE254" s="8"/>
      <c r="AF254" s="8"/>
      <c r="AG254" s="8"/>
      <c r="AH254" s="8"/>
      <c r="AI254" s="8"/>
      <c r="AJ254" s="8"/>
      <c r="AK254" s="8"/>
      <c r="AL254" s="8"/>
      <c r="AM254" s="8"/>
      <c r="AN254" s="8"/>
      <c r="AO254" s="8"/>
      <c r="AP254" s="8"/>
      <c r="AQ254" s="8"/>
      <c r="AR254" s="8"/>
      <c r="AS254" s="8"/>
      <c r="AT254" s="8"/>
    </row>
    <row r="255">
      <c r="A255" s="415"/>
      <c r="B255" s="210"/>
      <c r="C255" s="415"/>
      <c r="D255" s="210"/>
      <c r="E255" s="415"/>
      <c r="F255" s="210"/>
      <c r="G255" s="415"/>
      <c r="H255" s="210"/>
      <c r="I255" s="423"/>
      <c r="J255" s="156"/>
      <c r="K255" s="423"/>
      <c r="L255" s="156"/>
      <c r="M255" s="415"/>
      <c r="N255" s="210"/>
      <c r="O255" s="415"/>
      <c r="P255" s="210"/>
      <c r="Q255" s="415"/>
      <c r="R255" s="210"/>
      <c r="S255" s="415"/>
      <c r="T255" s="210"/>
      <c r="U255" s="415"/>
      <c r="V255" s="210"/>
      <c r="W255" s="415"/>
      <c r="X255" s="210"/>
      <c r="Y255" s="8"/>
      <c r="Z255" s="8"/>
      <c r="AA255" s="8"/>
      <c r="AB255" s="8"/>
      <c r="AC255" s="8"/>
      <c r="AD255" s="8"/>
      <c r="AE255" s="8"/>
      <c r="AF255" s="8"/>
      <c r="AG255" s="8"/>
      <c r="AH255" s="8"/>
      <c r="AI255" s="8"/>
      <c r="AJ255" s="8"/>
      <c r="AK255" s="8"/>
      <c r="AL255" s="8"/>
      <c r="AM255" s="8"/>
      <c r="AN255" s="8"/>
      <c r="AO255" s="8"/>
      <c r="AP255" s="8"/>
      <c r="AQ255" s="8"/>
      <c r="AR255" s="8"/>
      <c r="AS255" s="8"/>
      <c r="AT255" s="8"/>
    </row>
    <row r="256">
      <c r="A256" s="415"/>
      <c r="B256" s="210"/>
      <c r="C256" s="415"/>
      <c r="D256" s="210"/>
      <c r="E256" s="415"/>
      <c r="F256" s="210"/>
      <c r="G256" s="415"/>
      <c r="H256" s="210"/>
      <c r="I256" s="423"/>
      <c r="J256" s="156"/>
      <c r="K256" s="423"/>
      <c r="L256" s="156"/>
      <c r="M256" s="415"/>
      <c r="N256" s="210"/>
      <c r="O256" s="415"/>
      <c r="P256" s="210"/>
      <c r="Q256" s="415"/>
      <c r="R256" s="210"/>
      <c r="S256" s="415"/>
      <c r="T256" s="210"/>
      <c r="U256" s="415"/>
      <c r="V256" s="210"/>
      <c r="W256" s="415"/>
      <c r="X256" s="210"/>
      <c r="Y256" s="8"/>
      <c r="Z256" s="8"/>
      <c r="AA256" s="8"/>
      <c r="AB256" s="8"/>
      <c r="AC256" s="8"/>
      <c r="AD256" s="8"/>
      <c r="AE256" s="8"/>
      <c r="AF256" s="8"/>
      <c r="AG256" s="8"/>
      <c r="AH256" s="8"/>
      <c r="AI256" s="8"/>
      <c r="AJ256" s="8"/>
      <c r="AK256" s="8"/>
      <c r="AL256" s="8"/>
      <c r="AM256" s="8"/>
      <c r="AN256" s="8"/>
      <c r="AO256" s="8"/>
      <c r="AP256" s="8"/>
      <c r="AQ256" s="8"/>
      <c r="AR256" s="8"/>
      <c r="AS256" s="8"/>
      <c r="AT256" s="8"/>
    </row>
    <row r="257">
      <c r="A257" s="415"/>
      <c r="B257" s="210"/>
      <c r="C257" s="415"/>
      <c r="D257" s="210"/>
      <c r="E257" s="415"/>
      <c r="F257" s="210"/>
      <c r="G257" s="415"/>
      <c r="H257" s="210"/>
      <c r="I257" s="423"/>
      <c r="J257" s="156"/>
      <c r="K257" s="423"/>
      <c r="L257" s="156"/>
      <c r="M257" s="415"/>
      <c r="N257" s="210"/>
      <c r="O257" s="415"/>
      <c r="P257" s="210"/>
      <c r="Q257" s="415"/>
      <c r="R257" s="210"/>
      <c r="S257" s="415"/>
      <c r="T257" s="210"/>
      <c r="U257" s="415"/>
      <c r="V257" s="210"/>
      <c r="W257" s="415"/>
      <c r="X257" s="210"/>
      <c r="Y257" s="8"/>
      <c r="Z257" s="8"/>
      <c r="AA257" s="8"/>
      <c r="AB257" s="8"/>
      <c r="AC257" s="8"/>
      <c r="AD257" s="8"/>
      <c r="AE257" s="8"/>
      <c r="AF257" s="8"/>
      <c r="AG257" s="8"/>
      <c r="AH257" s="8"/>
      <c r="AI257" s="8"/>
      <c r="AJ257" s="8"/>
      <c r="AK257" s="8"/>
      <c r="AL257" s="8"/>
      <c r="AM257" s="8"/>
      <c r="AN257" s="8"/>
      <c r="AO257" s="8"/>
      <c r="AP257" s="8"/>
      <c r="AQ257" s="8"/>
      <c r="AR257" s="8"/>
      <c r="AS257" s="8"/>
      <c r="AT257" s="8"/>
    </row>
    <row r="258">
      <c r="A258" s="415"/>
      <c r="B258" s="210"/>
      <c r="C258" s="415"/>
      <c r="D258" s="210"/>
      <c r="E258" s="415"/>
      <c r="F258" s="210"/>
      <c r="G258" s="415"/>
      <c r="H258" s="210"/>
      <c r="I258" s="423"/>
      <c r="J258" s="156"/>
      <c r="K258" s="423"/>
      <c r="L258" s="156"/>
      <c r="M258" s="415"/>
      <c r="N258" s="210"/>
      <c r="O258" s="415"/>
      <c r="P258" s="210"/>
      <c r="Q258" s="415"/>
      <c r="R258" s="210"/>
      <c r="S258" s="415"/>
      <c r="T258" s="210"/>
      <c r="U258" s="415"/>
      <c r="V258" s="210"/>
      <c r="W258" s="415"/>
      <c r="X258" s="210"/>
      <c r="Y258" s="8"/>
      <c r="Z258" s="8"/>
      <c r="AA258" s="8"/>
      <c r="AB258" s="8"/>
      <c r="AC258" s="8"/>
      <c r="AD258" s="8"/>
      <c r="AE258" s="8"/>
      <c r="AF258" s="8"/>
      <c r="AG258" s="8"/>
      <c r="AH258" s="8"/>
      <c r="AI258" s="8"/>
      <c r="AJ258" s="8"/>
      <c r="AK258" s="8"/>
      <c r="AL258" s="8"/>
      <c r="AM258" s="8"/>
      <c r="AN258" s="8"/>
      <c r="AO258" s="8"/>
      <c r="AP258" s="8"/>
      <c r="AQ258" s="8"/>
      <c r="AR258" s="8"/>
      <c r="AS258" s="8"/>
      <c r="AT258" s="8"/>
    </row>
    <row r="259">
      <c r="A259" s="415"/>
      <c r="B259" s="210"/>
      <c r="C259" s="415"/>
      <c r="D259" s="210"/>
      <c r="E259" s="415"/>
      <c r="F259" s="210"/>
      <c r="G259" s="415"/>
      <c r="H259" s="210"/>
      <c r="I259" s="423"/>
      <c r="J259" s="156"/>
      <c r="K259" s="423"/>
      <c r="L259" s="156"/>
      <c r="M259" s="415"/>
      <c r="N259" s="210"/>
      <c r="O259" s="415"/>
      <c r="P259" s="210"/>
      <c r="Q259" s="415"/>
      <c r="R259" s="210"/>
      <c r="S259" s="415"/>
      <c r="T259" s="210"/>
      <c r="U259" s="415"/>
      <c r="V259" s="210"/>
      <c r="W259" s="415"/>
      <c r="X259" s="210"/>
      <c r="Y259" s="8"/>
      <c r="Z259" s="8"/>
      <c r="AA259" s="8"/>
      <c r="AB259" s="8"/>
      <c r="AC259" s="8"/>
      <c r="AD259" s="8"/>
      <c r="AE259" s="8"/>
      <c r="AF259" s="8"/>
      <c r="AG259" s="8"/>
      <c r="AH259" s="8"/>
      <c r="AI259" s="8"/>
      <c r="AJ259" s="8"/>
      <c r="AK259" s="8"/>
      <c r="AL259" s="8"/>
      <c r="AM259" s="8"/>
      <c r="AN259" s="8"/>
      <c r="AO259" s="8"/>
      <c r="AP259" s="8"/>
      <c r="AQ259" s="8"/>
      <c r="AR259" s="8"/>
      <c r="AS259" s="8"/>
      <c r="AT259" s="8"/>
    </row>
    <row r="260">
      <c r="A260" s="415"/>
      <c r="B260" s="210"/>
      <c r="C260" s="415"/>
      <c r="D260" s="210"/>
      <c r="E260" s="415"/>
      <c r="F260" s="210"/>
      <c r="G260" s="415"/>
      <c r="H260" s="210"/>
      <c r="I260" s="423"/>
      <c r="J260" s="156"/>
      <c r="K260" s="423"/>
      <c r="L260" s="156"/>
      <c r="M260" s="415"/>
      <c r="N260" s="210"/>
      <c r="O260" s="415"/>
      <c r="P260" s="210"/>
      <c r="Q260" s="415"/>
      <c r="R260" s="210"/>
      <c r="S260" s="415"/>
      <c r="T260" s="210"/>
      <c r="U260" s="415"/>
      <c r="V260" s="210"/>
      <c r="W260" s="415"/>
      <c r="X260" s="210"/>
      <c r="Y260" s="8"/>
      <c r="Z260" s="8"/>
      <c r="AA260" s="8"/>
      <c r="AB260" s="8"/>
      <c r="AC260" s="8"/>
      <c r="AD260" s="8"/>
      <c r="AE260" s="8"/>
      <c r="AF260" s="8"/>
      <c r="AG260" s="8"/>
      <c r="AH260" s="8"/>
      <c r="AI260" s="8"/>
      <c r="AJ260" s="8"/>
      <c r="AK260" s="8"/>
      <c r="AL260" s="8"/>
      <c r="AM260" s="8"/>
      <c r="AN260" s="8"/>
      <c r="AO260" s="8"/>
      <c r="AP260" s="8"/>
      <c r="AQ260" s="8"/>
      <c r="AR260" s="8"/>
      <c r="AS260" s="8"/>
      <c r="AT260" s="8"/>
    </row>
    <row r="261">
      <c r="A261" s="415"/>
      <c r="B261" s="210"/>
      <c r="C261" s="415"/>
      <c r="D261" s="210"/>
      <c r="E261" s="415"/>
      <c r="F261" s="210"/>
      <c r="G261" s="415"/>
      <c r="H261" s="210"/>
      <c r="I261" s="423"/>
      <c r="J261" s="156"/>
      <c r="K261" s="423"/>
      <c r="L261" s="156"/>
      <c r="M261" s="415"/>
      <c r="N261" s="210"/>
      <c r="O261" s="415"/>
      <c r="P261" s="210"/>
      <c r="Q261" s="415"/>
      <c r="R261" s="210"/>
      <c r="S261" s="415"/>
      <c r="T261" s="210"/>
      <c r="U261" s="415"/>
      <c r="V261" s="210"/>
      <c r="W261" s="415"/>
      <c r="X261" s="210"/>
      <c r="Y261" s="8"/>
      <c r="Z261" s="8"/>
      <c r="AA261" s="8"/>
      <c r="AB261" s="8"/>
      <c r="AC261" s="8"/>
      <c r="AD261" s="8"/>
      <c r="AE261" s="8"/>
      <c r="AF261" s="8"/>
      <c r="AG261" s="8"/>
      <c r="AH261" s="8"/>
      <c r="AI261" s="8"/>
      <c r="AJ261" s="8"/>
      <c r="AK261" s="8"/>
      <c r="AL261" s="8"/>
      <c r="AM261" s="8"/>
      <c r="AN261" s="8"/>
      <c r="AO261" s="8"/>
      <c r="AP261" s="8"/>
      <c r="AQ261" s="8"/>
      <c r="AR261" s="8"/>
      <c r="AS261" s="8"/>
      <c r="AT261" s="8"/>
    </row>
    <row r="262">
      <c r="A262" s="415"/>
      <c r="B262" s="210"/>
      <c r="C262" s="415"/>
      <c r="D262" s="210"/>
      <c r="E262" s="415"/>
      <c r="F262" s="210"/>
      <c r="G262" s="415"/>
      <c r="H262" s="210"/>
      <c r="I262" s="423"/>
      <c r="J262" s="156"/>
      <c r="K262" s="423"/>
      <c r="L262" s="156"/>
      <c r="M262" s="415"/>
      <c r="N262" s="210"/>
      <c r="O262" s="415"/>
      <c r="P262" s="210"/>
      <c r="Q262" s="415"/>
      <c r="R262" s="210"/>
      <c r="S262" s="415"/>
      <c r="T262" s="210"/>
      <c r="U262" s="415"/>
      <c r="V262" s="210"/>
      <c r="W262" s="415"/>
      <c r="X262" s="210"/>
      <c r="Y262" s="8"/>
      <c r="Z262" s="8"/>
      <c r="AA262" s="8"/>
      <c r="AB262" s="8"/>
      <c r="AC262" s="8"/>
      <c r="AD262" s="8"/>
      <c r="AE262" s="8"/>
      <c r="AF262" s="8"/>
      <c r="AG262" s="8"/>
      <c r="AH262" s="8"/>
      <c r="AI262" s="8"/>
      <c r="AJ262" s="8"/>
      <c r="AK262" s="8"/>
      <c r="AL262" s="8"/>
      <c r="AM262" s="8"/>
      <c r="AN262" s="8"/>
      <c r="AO262" s="8"/>
      <c r="AP262" s="8"/>
      <c r="AQ262" s="8"/>
      <c r="AR262" s="8"/>
      <c r="AS262" s="8"/>
      <c r="AT262" s="8"/>
    </row>
    <row r="263">
      <c r="A263" s="415"/>
      <c r="B263" s="210"/>
      <c r="C263" s="415"/>
      <c r="D263" s="210"/>
      <c r="E263" s="415"/>
      <c r="F263" s="210"/>
      <c r="G263" s="415"/>
      <c r="H263" s="210"/>
      <c r="I263" s="423"/>
      <c r="J263" s="156"/>
      <c r="K263" s="423"/>
      <c r="L263" s="156"/>
      <c r="M263" s="415"/>
      <c r="N263" s="210"/>
      <c r="O263" s="415"/>
      <c r="P263" s="210"/>
      <c r="Q263" s="415"/>
      <c r="R263" s="210"/>
      <c r="S263" s="415"/>
      <c r="T263" s="210"/>
      <c r="U263" s="415"/>
      <c r="V263" s="210"/>
      <c r="W263" s="415"/>
      <c r="X263" s="210"/>
      <c r="Y263" s="8"/>
      <c r="Z263" s="8"/>
      <c r="AA263" s="8"/>
      <c r="AB263" s="8"/>
      <c r="AC263" s="8"/>
      <c r="AD263" s="8"/>
      <c r="AE263" s="8"/>
      <c r="AF263" s="8"/>
      <c r="AG263" s="8"/>
      <c r="AH263" s="8"/>
      <c r="AI263" s="8"/>
      <c r="AJ263" s="8"/>
      <c r="AK263" s="8"/>
      <c r="AL263" s="8"/>
      <c r="AM263" s="8"/>
      <c r="AN263" s="8"/>
      <c r="AO263" s="8"/>
      <c r="AP263" s="8"/>
      <c r="AQ263" s="8"/>
      <c r="AR263" s="8"/>
      <c r="AS263" s="8"/>
      <c r="AT263" s="8"/>
    </row>
    <row r="264">
      <c r="A264" s="415"/>
      <c r="B264" s="210"/>
      <c r="C264" s="415"/>
      <c r="D264" s="210"/>
      <c r="E264" s="415"/>
      <c r="F264" s="210"/>
      <c r="G264" s="415"/>
      <c r="H264" s="210"/>
      <c r="I264" s="423"/>
      <c r="J264" s="156"/>
      <c r="K264" s="423"/>
      <c r="L264" s="156"/>
      <c r="M264" s="415"/>
      <c r="N264" s="210"/>
      <c r="O264" s="415"/>
      <c r="P264" s="210"/>
      <c r="Q264" s="415"/>
      <c r="R264" s="210"/>
      <c r="S264" s="415"/>
      <c r="T264" s="210"/>
      <c r="U264" s="415"/>
      <c r="V264" s="210"/>
      <c r="W264" s="415"/>
      <c r="X264" s="210"/>
      <c r="Y264" s="8"/>
      <c r="Z264" s="8"/>
      <c r="AA264" s="8"/>
      <c r="AB264" s="8"/>
      <c r="AC264" s="8"/>
      <c r="AD264" s="8"/>
      <c r="AE264" s="8"/>
      <c r="AF264" s="8"/>
      <c r="AG264" s="8"/>
      <c r="AH264" s="8"/>
      <c r="AI264" s="8"/>
      <c r="AJ264" s="8"/>
      <c r="AK264" s="8"/>
      <c r="AL264" s="8"/>
      <c r="AM264" s="8"/>
      <c r="AN264" s="8"/>
      <c r="AO264" s="8"/>
      <c r="AP264" s="8"/>
      <c r="AQ264" s="8"/>
      <c r="AR264" s="8"/>
      <c r="AS264" s="8"/>
      <c r="AT264" s="8"/>
    </row>
    <row r="265">
      <c r="A265" s="415"/>
      <c r="B265" s="210"/>
      <c r="C265" s="415"/>
      <c r="D265" s="210"/>
      <c r="E265" s="415"/>
      <c r="F265" s="210"/>
      <c r="G265" s="415"/>
      <c r="H265" s="210"/>
      <c r="I265" s="423"/>
      <c r="J265" s="156"/>
      <c r="K265" s="423"/>
      <c r="L265" s="156"/>
      <c r="M265" s="415"/>
      <c r="N265" s="210"/>
      <c r="O265" s="415"/>
      <c r="P265" s="210"/>
      <c r="Q265" s="415"/>
      <c r="R265" s="210"/>
      <c r="S265" s="415"/>
      <c r="T265" s="210"/>
      <c r="U265" s="415"/>
      <c r="V265" s="210"/>
      <c r="W265" s="415"/>
      <c r="X265" s="210"/>
      <c r="Y265" s="8"/>
      <c r="Z265" s="8"/>
      <c r="AA265" s="8"/>
      <c r="AB265" s="8"/>
      <c r="AC265" s="8"/>
      <c r="AD265" s="8"/>
      <c r="AE265" s="8"/>
      <c r="AF265" s="8"/>
      <c r="AG265" s="8"/>
      <c r="AH265" s="8"/>
      <c r="AI265" s="8"/>
      <c r="AJ265" s="8"/>
      <c r="AK265" s="8"/>
      <c r="AL265" s="8"/>
      <c r="AM265" s="8"/>
      <c r="AN265" s="8"/>
      <c r="AO265" s="8"/>
      <c r="AP265" s="8"/>
      <c r="AQ265" s="8"/>
      <c r="AR265" s="8"/>
      <c r="AS265" s="8"/>
      <c r="AT265" s="8"/>
    </row>
    <row r="266">
      <c r="A266" s="415"/>
      <c r="B266" s="210"/>
      <c r="C266" s="415"/>
      <c r="D266" s="210"/>
      <c r="E266" s="415"/>
      <c r="F266" s="210"/>
      <c r="G266" s="415"/>
      <c r="H266" s="210"/>
      <c r="I266" s="423"/>
      <c r="J266" s="156"/>
      <c r="K266" s="423"/>
      <c r="L266" s="156"/>
      <c r="M266" s="415"/>
      <c r="N266" s="210"/>
      <c r="O266" s="415"/>
      <c r="P266" s="210"/>
      <c r="Q266" s="415"/>
      <c r="R266" s="210"/>
      <c r="S266" s="415"/>
      <c r="T266" s="210"/>
      <c r="U266" s="415"/>
      <c r="V266" s="210"/>
      <c r="W266" s="415"/>
      <c r="X266" s="210"/>
      <c r="Y266" s="8"/>
      <c r="Z266" s="8"/>
      <c r="AA266" s="8"/>
      <c r="AB266" s="8"/>
      <c r="AC266" s="8"/>
      <c r="AD266" s="8"/>
      <c r="AE266" s="8"/>
      <c r="AF266" s="8"/>
      <c r="AG266" s="8"/>
      <c r="AH266" s="8"/>
      <c r="AI266" s="8"/>
      <c r="AJ266" s="8"/>
      <c r="AK266" s="8"/>
      <c r="AL266" s="8"/>
      <c r="AM266" s="8"/>
      <c r="AN266" s="8"/>
      <c r="AO266" s="8"/>
      <c r="AP266" s="8"/>
      <c r="AQ266" s="8"/>
      <c r="AR266" s="8"/>
      <c r="AS266" s="8"/>
      <c r="AT266" s="8"/>
    </row>
    <row r="267">
      <c r="A267" s="415"/>
      <c r="B267" s="210"/>
      <c r="C267" s="415"/>
      <c r="D267" s="210"/>
      <c r="E267" s="415"/>
      <c r="F267" s="210"/>
      <c r="G267" s="415"/>
      <c r="H267" s="210"/>
      <c r="I267" s="423"/>
      <c r="J267" s="156"/>
      <c r="K267" s="423"/>
      <c r="L267" s="156"/>
      <c r="M267" s="415"/>
      <c r="N267" s="210"/>
      <c r="O267" s="415"/>
      <c r="P267" s="210"/>
      <c r="Q267" s="415"/>
      <c r="R267" s="210"/>
      <c r="S267" s="415"/>
      <c r="T267" s="210"/>
      <c r="U267" s="415"/>
      <c r="V267" s="210"/>
      <c r="W267" s="415"/>
      <c r="X267" s="210"/>
      <c r="Y267" s="8"/>
      <c r="Z267" s="8"/>
      <c r="AA267" s="8"/>
      <c r="AB267" s="8"/>
      <c r="AC267" s="8"/>
      <c r="AD267" s="8"/>
      <c r="AE267" s="8"/>
      <c r="AF267" s="8"/>
      <c r="AG267" s="8"/>
      <c r="AH267" s="8"/>
      <c r="AI267" s="8"/>
      <c r="AJ267" s="8"/>
      <c r="AK267" s="8"/>
      <c r="AL267" s="8"/>
      <c r="AM267" s="8"/>
      <c r="AN267" s="8"/>
      <c r="AO267" s="8"/>
      <c r="AP267" s="8"/>
      <c r="AQ267" s="8"/>
      <c r="AR267" s="8"/>
      <c r="AS267" s="8"/>
      <c r="AT267" s="8"/>
    </row>
    <row r="268">
      <c r="A268" s="415"/>
      <c r="B268" s="210"/>
      <c r="C268" s="415"/>
      <c r="D268" s="210"/>
      <c r="E268" s="415"/>
      <c r="F268" s="210"/>
      <c r="G268" s="415"/>
      <c r="H268" s="210"/>
      <c r="I268" s="423"/>
      <c r="J268" s="156"/>
      <c r="K268" s="423"/>
      <c r="L268" s="156"/>
      <c r="M268" s="415"/>
      <c r="N268" s="210"/>
      <c r="O268" s="415"/>
      <c r="P268" s="210"/>
      <c r="Q268" s="415"/>
      <c r="R268" s="210"/>
      <c r="S268" s="415"/>
      <c r="T268" s="210"/>
      <c r="U268" s="415"/>
      <c r="V268" s="210"/>
      <c r="W268" s="415"/>
      <c r="X268" s="210"/>
      <c r="Y268" s="8"/>
      <c r="Z268" s="8"/>
      <c r="AA268" s="8"/>
      <c r="AB268" s="8"/>
      <c r="AC268" s="8"/>
      <c r="AD268" s="8"/>
      <c r="AE268" s="8"/>
      <c r="AF268" s="8"/>
      <c r="AG268" s="8"/>
      <c r="AH268" s="8"/>
      <c r="AI268" s="8"/>
      <c r="AJ268" s="8"/>
      <c r="AK268" s="8"/>
      <c r="AL268" s="8"/>
      <c r="AM268" s="8"/>
      <c r="AN268" s="8"/>
      <c r="AO268" s="8"/>
      <c r="AP268" s="8"/>
      <c r="AQ268" s="8"/>
      <c r="AR268" s="8"/>
      <c r="AS268" s="8"/>
      <c r="AT268" s="8"/>
    </row>
    <row r="269">
      <c r="A269" s="415"/>
      <c r="B269" s="210"/>
      <c r="C269" s="415"/>
      <c r="D269" s="210"/>
      <c r="E269" s="415"/>
      <c r="F269" s="210"/>
      <c r="G269" s="415"/>
      <c r="H269" s="210"/>
      <c r="I269" s="423"/>
      <c r="J269" s="156"/>
      <c r="K269" s="423"/>
      <c r="L269" s="156"/>
      <c r="M269" s="415"/>
      <c r="N269" s="210"/>
      <c r="O269" s="415"/>
      <c r="P269" s="210"/>
      <c r="Q269" s="415"/>
      <c r="R269" s="210"/>
      <c r="S269" s="415"/>
      <c r="T269" s="210"/>
      <c r="U269" s="415"/>
      <c r="V269" s="210"/>
      <c r="W269" s="415"/>
      <c r="X269" s="210"/>
      <c r="Y269" s="8"/>
      <c r="Z269" s="8"/>
      <c r="AA269" s="8"/>
      <c r="AB269" s="8"/>
      <c r="AC269" s="8"/>
      <c r="AD269" s="8"/>
      <c r="AE269" s="8"/>
      <c r="AF269" s="8"/>
      <c r="AG269" s="8"/>
      <c r="AH269" s="8"/>
      <c r="AI269" s="8"/>
      <c r="AJ269" s="8"/>
      <c r="AK269" s="8"/>
      <c r="AL269" s="8"/>
      <c r="AM269" s="8"/>
      <c r="AN269" s="8"/>
      <c r="AO269" s="8"/>
      <c r="AP269" s="8"/>
      <c r="AQ269" s="8"/>
      <c r="AR269" s="8"/>
      <c r="AS269" s="8"/>
      <c r="AT269" s="8"/>
    </row>
    <row r="270">
      <c r="A270" s="415"/>
      <c r="B270" s="210"/>
      <c r="C270" s="415"/>
      <c r="D270" s="210"/>
      <c r="E270" s="415"/>
      <c r="F270" s="210"/>
      <c r="G270" s="415"/>
      <c r="H270" s="210"/>
      <c r="I270" s="423"/>
      <c r="J270" s="156"/>
      <c r="K270" s="423"/>
      <c r="L270" s="156"/>
      <c r="M270" s="415"/>
      <c r="N270" s="210"/>
      <c r="O270" s="415"/>
      <c r="P270" s="210"/>
      <c r="Q270" s="415"/>
      <c r="R270" s="210"/>
      <c r="S270" s="415"/>
      <c r="T270" s="210"/>
      <c r="U270" s="415"/>
      <c r="V270" s="210"/>
      <c r="W270" s="415"/>
      <c r="X270" s="210"/>
      <c r="Y270" s="8"/>
      <c r="Z270" s="8"/>
      <c r="AA270" s="8"/>
      <c r="AB270" s="8"/>
      <c r="AC270" s="8"/>
      <c r="AD270" s="8"/>
      <c r="AE270" s="8"/>
      <c r="AF270" s="8"/>
      <c r="AG270" s="8"/>
      <c r="AH270" s="8"/>
      <c r="AI270" s="8"/>
      <c r="AJ270" s="8"/>
      <c r="AK270" s="8"/>
      <c r="AL270" s="8"/>
      <c r="AM270" s="8"/>
      <c r="AN270" s="8"/>
      <c r="AO270" s="8"/>
      <c r="AP270" s="8"/>
      <c r="AQ270" s="8"/>
      <c r="AR270" s="8"/>
      <c r="AS270" s="8"/>
      <c r="AT270" s="8"/>
    </row>
    <row r="271">
      <c r="A271" s="415"/>
      <c r="B271" s="210"/>
      <c r="C271" s="415"/>
      <c r="D271" s="210"/>
      <c r="E271" s="415"/>
      <c r="F271" s="210"/>
      <c r="G271" s="415"/>
      <c r="H271" s="210"/>
      <c r="I271" s="423"/>
      <c r="J271" s="156"/>
      <c r="K271" s="423"/>
      <c r="L271" s="156"/>
      <c r="M271" s="415"/>
      <c r="N271" s="210"/>
      <c r="O271" s="415"/>
      <c r="P271" s="210"/>
      <c r="Q271" s="415"/>
      <c r="R271" s="210"/>
      <c r="S271" s="415"/>
      <c r="T271" s="210"/>
      <c r="U271" s="415"/>
      <c r="V271" s="210"/>
      <c r="W271" s="415"/>
      <c r="X271" s="210"/>
      <c r="Y271" s="8"/>
      <c r="Z271" s="8"/>
      <c r="AA271" s="8"/>
      <c r="AB271" s="8"/>
      <c r="AC271" s="8"/>
      <c r="AD271" s="8"/>
      <c r="AE271" s="8"/>
      <c r="AF271" s="8"/>
      <c r="AG271" s="8"/>
      <c r="AH271" s="8"/>
      <c r="AI271" s="8"/>
      <c r="AJ271" s="8"/>
      <c r="AK271" s="8"/>
      <c r="AL271" s="8"/>
      <c r="AM271" s="8"/>
      <c r="AN271" s="8"/>
      <c r="AO271" s="8"/>
      <c r="AP271" s="8"/>
      <c r="AQ271" s="8"/>
      <c r="AR271" s="8"/>
      <c r="AS271" s="8"/>
      <c r="AT271" s="8"/>
    </row>
    <row r="272">
      <c r="A272" s="415"/>
      <c r="B272" s="210"/>
      <c r="C272" s="415"/>
      <c r="D272" s="210"/>
      <c r="E272" s="415"/>
      <c r="F272" s="210"/>
      <c r="G272" s="415"/>
      <c r="H272" s="210"/>
      <c r="I272" s="423"/>
      <c r="J272" s="156"/>
      <c r="K272" s="423"/>
      <c r="L272" s="156"/>
      <c r="M272" s="415"/>
      <c r="N272" s="210"/>
      <c r="O272" s="415"/>
      <c r="P272" s="210"/>
      <c r="Q272" s="415"/>
      <c r="R272" s="210"/>
      <c r="S272" s="415"/>
      <c r="T272" s="210"/>
      <c r="U272" s="415"/>
      <c r="V272" s="210"/>
      <c r="W272" s="415"/>
      <c r="X272" s="210"/>
      <c r="Y272" s="8"/>
      <c r="Z272" s="8"/>
      <c r="AA272" s="8"/>
      <c r="AB272" s="8"/>
      <c r="AC272" s="8"/>
      <c r="AD272" s="8"/>
      <c r="AE272" s="8"/>
      <c r="AF272" s="8"/>
      <c r="AG272" s="8"/>
      <c r="AH272" s="8"/>
      <c r="AI272" s="8"/>
      <c r="AJ272" s="8"/>
      <c r="AK272" s="8"/>
      <c r="AL272" s="8"/>
      <c r="AM272" s="8"/>
      <c r="AN272" s="8"/>
      <c r="AO272" s="8"/>
      <c r="AP272" s="8"/>
      <c r="AQ272" s="8"/>
      <c r="AR272" s="8"/>
      <c r="AS272" s="8"/>
      <c r="AT272" s="8"/>
    </row>
    <row r="273">
      <c r="A273" s="415"/>
      <c r="B273" s="210"/>
      <c r="C273" s="415"/>
      <c r="D273" s="210"/>
      <c r="E273" s="415"/>
      <c r="F273" s="210"/>
      <c r="G273" s="415"/>
      <c r="H273" s="210"/>
      <c r="I273" s="423"/>
      <c r="J273" s="156"/>
      <c r="K273" s="423"/>
      <c r="L273" s="156"/>
      <c r="M273" s="415"/>
      <c r="N273" s="210"/>
      <c r="O273" s="415"/>
      <c r="P273" s="210"/>
      <c r="Q273" s="415"/>
      <c r="R273" s="210"/>
      <c r="S273" s="415"/>
      <c r="T273" s="210"/>
      <c r="U273" s="415"/>
      <c r="V273" s="210"/>
      <c r="W273" s="415"/>
      <c r="X273" s="210"/>
      <c r="Y273" s="8"/>
      <c r="Z273" s="8"/>
      <c r="AA273" s="8"/>
      <c r="AB273" s="8"/>
      <c r="AC273" s="8"/>
      <c r="AD273" s="8"/>
      <c r="AE273" s="8"/>
      <c r="AF273" s="8"/>
      <c r="AG273" s="8"/>
      <c r="AH273" s="8"/>
      <c r="AI273" s="8"/>
      <c r="AJ273" s="8"/>
      <c r="AK273" s="8"/>
      <c r="AL273" s="8"/>
      <c r="AM273" s="8"/>
      <c r="AN273" s="8"/>
      <c r="AO273" s="8"/>
      <c r="AP273" s="8"/>
      <c r="AQ273" s="8"/>
      <c r="AR273" s="8"/>
      <c r="AS273" s="8"/>
      <c r="AT273" s="8"/>
    </row>
    <row r="274">
      <c r="A274" s="415"/>
      <c r="B274" s="210"/>
      <c r="C274" s="415"/>
      <c r="D274" s="210"/>
      <c r="E274" s="415"/>
      <c r="F274" s="210"/>
      <c r="G274" s="415"/>
      <c r="H274" s="210"/>
      <c r="I274" s="423"/>
      <c r="J274" s="156"/>
      <c r="K274" s="423"/>
      <c r="L274" s="156"/>
      <c r="M274" s="415"/>
      <c r="N274" s="210"/>
      <c r="O274" s="415"/>
      <c r="P274" s="210"/>
      <c r="Q274" s="415"/>
      <c r="R274" s="210"/>
      <c r="S274" s="415"/>
      <c r="T274" s="210"/>
      <c r="U274" s="415"/>
      <c r="V274" s="210"/>
      <c r="W274" s="415"/>
      <c r="X274" s="210"/>
      <c r="Y274" s="8"/>
      <c r="Z274" s="8"/>
      <c r="AA274" s="8"/>
      <c r="AB274" s="8"/>
      <c r="AC274" s="8"/>
      <c r="AD274" s="8"/>
      <c r="AE274" s="8"/>
      <c r="AF274" s="8"/>
      <c r="AG274" s="8"/>
      <c r="AH274" s="8"/>
      <c r="AI274" s="8"/>
      <c r="AJ274" s="8"/>
      <c r="AK274" s="8"/>
      <c r="AL274" s="8"/>
      <c r="AM274" s="8"/>
      <c r="AN274" s="8"/>
      <c r="AO274" s="8"/>
      <c r="AP274" s="8"/>
      <c r="AQ274" s="8"/>
      <c r="AR274" s="8"/>
      <c r="AS274" s="8"/>
      <c r="AT274" s="8"/>
    </row>
    <row r="275">
      <c r="A275" s="415"/>
      <c r="B275" s="210"/>
      <c r="C275" s="415"/>
      <c r="D275" s="210"/>
      <c r="E275" s="415"/>
      <c r="F275" s="210"/>
      <c r="G275" s="415"/>
      <c r="H275" s="210"/>
      <c r="I275" s="423"/>
      <c r="J275" s="156"/>
      <c r="K275" s="423"/>
      <c r="L275" s="156"/>
      <c r="M275" s="415"/>
      <c r="N275" s="210"/>
      <c r="O275" s="415"/>
      <c r="P275" s="210"/>
      <c r="Q275" s="415"/>
      <c r="R275" s="210"/>
      <c r="S275" s="415"/>
      <c r="T275" s="210"/>
      <c r="U275" s="415"/>
      <c r="V275" s="210"/>
      <c r="W275" s="415"/>
      <c r="X275" s="210"/>
      <c r="Y275" s="8"/>
      <c r="Z275" s="8"/>
      <c r="AA275" s="8"/>
      <c r="AB275" s="8"/>
      <c r="AC275" s="8"/>
      <c r="AD275" s="8"/>
      <c r="AE275" s="8"/>
      <c r="AF275" s="8"/>
      <c r="AG275" s="8"/>
      <c r="AH275" s="8"/>
      <c r="AI275" s="8"/>
      <c r="AJ275" s="8"/>
      <c r="AK275" s="8"/>
      <c r="AL275" s="8"/>
      <c r="AM275" s="8"/>
      <c r="AN275" s="8"/>
      <c r="AO275" s="8"/>
      <c r="AP275" s="8"/>
      <c r="AQ275" s="8"/>
      <c r="AR275" s="8"/>
      <c r="AS275" s="8"/>
      <c r="AT275" s="8"/>
    </row>
    <row r="276">
      <c r="A276" s="415"/>
      <c r="B276" s="210"/>
      <c r="C276" s="415"/>
      <c r="D276" s="210"/>
      <c r="E276" s="415"/>
      <c r="F276" s="210"/>
      <c r="G276" s="415"/>
      <c r="H276" s="210"/>
      <c r="I276" s="423"/>
      <c r="J276" s="156"/>
      <c r="K276" s="423"/>
      <c r="L276" s="156"/>
      <c r="M276" s="415"/>
      <c r="N276" s="210"/>
      <c r="O276" s="415"/>
      <c r="P276" s="210"/>
      <c r="Q276" s="415"/>
      <c r="R276" s="210"/>
      <c r="S276" s="415"/>
      <c r="T276" s="210"/>
      <c r="U276" s="415"/>
      <c r="V276" s="210"/>
      <c r="W276" s="415"/>
      <c r="X276" s="210"/>
      <c r="Y276" s="8"/>
      <c r="Z276" s="8"/>
      <c r="AA276" s="8"/>
      <c r="AB276" s="8"/>
      <c r="AC276" s="8"/>
      <c r="AD276" s="8"/>
      <c r="AE276" s="8"/>
      <c r="AF276" s="8"/>
      <c r="AG276" s="8"/>
      <c r="AH276" s="8"/>
      <c r="AI276" s="8"/>
      <c r="AJ276" s="8"/>
      <c r="AK276" s="8"/>
      <c r="AL276" s="8"/>
      <c r="AM276" s="8"/>
      <c r="AN276" s="8"/>
      <c r="AO276" s="8"/>
      <c r="AP276" s="8"/>
      <c r="AQ276" s="8"/>
      <c r="AR276" s="8"/>
      <c r="AS276" s="8"/>
      <c r="AT276" s="8"/>
    </row>
    <row r="277">
      <c r="A277" s="415"/>
      <c r="B277" s="210"/>
      <c r="C277" s="415"/>
      <c r="D277" s="210"/>
      <c r="E277" s="415"/>
      <c r="F277" s="210"/>
      <c r="G277" s="415"/>
      <c r="H277" s="210"/>
      <c r="I277" s="423"/>
      <c r="J277" s="156"/>
      <c r="K277" s="423"/>
      <c r="L277" s="156"/>
      <c r="M277" s="415"/>
      <c r="N277" s="210"/>
      <c r="O277" s="415"/>
      <c r="P277" s="210"/>
      <c r="Q277" s="415"/>
      <c r="R277" s="210"/>
      <c r="S277" s="415"/>
      <c r="T277" s="210"/>
      <c r="U277" s="415"/>
      <c r="V277" s="210"/>
      <c r="W277" s="415"/>
      <c r="X277" s="210"/>
      <c r="Y277" s="8"/>
      <c r="Z277" s="8"/>
      <c r="AA277" s="8"/>
      <c r="AB277" s="8"/>
      <c r="AC277" s="8"/>
      <c r="AD277" s="8"/>
      <c r="AE277" s="8"/>
      <c r="AF277" s="8"/>
      <c r="AG277" s="8"/>
      <c r="AH277" s="8"/>
      <c r="AI277" s="8"/>
      <c r="AJ277" s="8"/>
      <c r="AK277" s="8"/>
      <c r="AL277" s="8"/>
      <c r="AM277" s="8"/>
      <c r="AN277" s="8"/>
      <c r="AO277" s="8"/>
      <c r="AP277" s="8"/>
      <c r="AQ277" s="8"/>
      <c r="AR277" s="8"/>
      <c r="AS277" s="8"/>
      <c r="AT277" s="8"/>
    </row>
    <row r="278">
      <c r="A278" s="415"/>
      <c r="B278" s="210"/>
      <c r="C278" s="415"/>
      <c r="D278" s="210"/>
      <c r="E278" s="415"/>
      <c r="F278" s="210"/>
      <c r="G278" s="415"/>
      <c r="H278" s="210"/>
      <c r="I278" s="423"/>
      <c r="J278" s="156"/>
      <c r="K278" s="423"/>
      <c r="L278" s="156"/>
      <c r="M278" s="415"/>
      <c r="N278" s="210"/>
      <c r="O278" s="415"/>
      <c r="P278" s="210"/>
      <c r="Q278" s="415"/>
      <c r="R278" s="210"/>
      <c r="S278" s="415"/>
      <c r="T278" s="210"/>
      <c r="U278" s="415"/>
      <c r="V278" s="210"/>
      <c r="W278" s="415"/>
      <c r="X278" s="210"/>
      <c r="Y278" s="8"/>
      <c r="Z278" s="8"/>
      <c r="AA278" s="8"/>
      <c r="AB278" s="8"/>
      <c r="AC278" s="8"/>
      <c r="AD278" s="8"/>
      <c r="AE278" s="8"/>
      <c r="AF278" s="8"/>
      <c r="AG278" s="8"/>
      <c r="AH278" s="8"/>
      <c r="AI278" s="8"/>
      <c r="AJ278" s="8"/>
      <c r="AK278" s="8"/>
      <c r="AL278" s="8"/>
      <c r="AM278" s="8"/>
      <c r="AN278" s="8"/>
      <c r="AO278" s="8"/>
      <c r="AP278" s="8"/>
      <c r="AQ278" s="8"/>
      <c r="AR278" s="8"/>
      <c r="AS278" s="8"/>
      <c r="AT278" s="8"/>
    </row>
    <row r="279">
      <c r="A279" s="415"/>
      <c r="B279" s="210"/>
      <c r="C279" s="415"/>
      <c r="D279" s="210"/>
      <c r="E279" s="415"/>
      <c r="F279" s="210"/>
      <c r="G279" s="415"/>
      <c r="H279" s="210"/>
      <c r="I279" s="423"/>
      <c r="J279" s="156"/>
      <c r="K279" s="423"/>
      <c r="L279" s="156"/>
      <c r="M279" s="415"/>
      <c r="N279" s="210"/>
      <c r="O279" s="415"/>
      <c r="P279" s="210"/>
      <c r="Q279" s="415"/>
      <c r="R279" s="210"/>
      <c r="S279" s="415"/>
      <c r="T279" s="210"/>
      <c r="U279" s="415"/>
      <c r="V279" s="210"/>
      <c r="W279" s="415"/>
      <c r="X279" s="210"/>
      <c r="Y279" s="8"/>
      <c r="Z279" s="8"/>
      <c r="AA279" s="8"/>
      <c r="AB279" s="8"/>
      <c r="AC279" s="8"/>
      <c r="AD279" s="8"/>
      <c r="AE279" s="8"/>
      <c r="AF279" s="8"/>
      <c r="AG279" s="8"/>
      <c r="AH279" s="8"/>
      <c r="AI279" s="8"/>
      <c r="AJ279" s="8"/>
      <c r="AK279" s="8"/>
      <c r="AL279" s="8"/>
      <c r="AM279" s="8"/>
      <c r="AN279" s="8"/>
      <c r="AO279" s="8"/>
      <c r="AP279" s="8"/>
      <c r="AQ279" s="8"/>
      <c r="AR279" s="8"/>
      <c r="AS279" s="8"/>
      <c r="AT279" s="8"/>
    </row>
    <row r="280">
      <c r="A280" s="415"/>
      <c r="B280" s="210"/>
      <c r="C280" s="415"/>
      <c r="D280" s="210"/>
      <c r="E280" s="415"/>
      <c r="F280" s="210"/>
      <c r="G280" s="415"/>
      <c r="H280" s="210"/>
      <c r="I280" s="423"/>
      <c r="J280" s="156"/>
      <c r="K280" s="423"/>
      <c r="L280" s="156"/>
      <c r="M280" s="415"/>
      <c r="N280" s="210"/>
      <c r="O280" s="415"/>
      <c r="P280" s="210"/>
      <c r="Q280" s="415"/>
      <c r="R280" s="210"/>
      <c r="S280" s="415"/>
      <c r="T280" s="210"/>
      <c r="U280" s="415"/>
      <c r="V280" s="210"/>
      <c r="W280" s="415"/>
      <c r="X280" s="210"/>
      <c r="Y280" s="8"/>
      <c r="Z280" s="8"/>
      <c r="AA280" s="8"/>
      <c r="AB280" s="8"/>
      <c r="AC280" s="8"/>
      <c r="AD280" s="8"/>
      <c r="AE280" s="8"/>
      <c r="AF280" s="8"/>
      <c r="AG280" s="8"/>
      <c r="AH280" s="8"/>
      <c r="AI280" s="8"/>
      <c r="AJ280" s="8"/>
      <c r="AK280" s="8"/>
      <c r="AL280" s="8"/>
      <c r="AM280" s="8"/>
      <c r="AN280" s="8"/>
      <c r="AO280" s="8"/>
      <c r="AP280" s="8"/>
      <c r="AQ280" s="8"/>
      <c r="AR280" s="8"/>
      <c r="AS280" s="8"/>
      <c r="AT280" s="8"/>
    </row>
    <row r="281">
      <c r="A281" s="415"/>
      <c r="B281" s="210"/>
      <c r="C281" s="415"/>
      <c r="D281" s="210"/>
      <c r="E281" s="415"/>
      <c r="F281" s="210"/>
      <c r="G281" s="415"/>
      <c r="H281" s="210"/>
      <c r="I281" s="423"/>
      <c r="J281" s="156"/>
      <c r="K281" s="423"/>
      <c r="L281" s="156"/>
      <c r="M281" s="415"/>
      <c r="N281" s="210"/>
      <c r="O281" s="415"/>
      <c r="P281" s="210"/>
      <c r="Q281" s="415"/>
      <c r="R281" s="210"/>
      <c r="S281" s="415"/>
      <c r="T281" s="210"/>
      <c r="U281" s="415"/>
      <c r="V281" s="210"/>
      <c r="W281" s="415"/>
      <c r="X281" s="210"/>
      <c r="Y281" s="8"/>
      <c r="Z281" s="8"/>
      <c r="AA281" s="8"/>
      <c r="AB281" s="8"/>
      <c r="AC281" s="8"/>
      <c r="AD281" s="8"/>
      <c r="AE281" s="8"/>
      <c r="AF281" s="8"/>
      <c r="AG281" s="8"/>
      <c r="AH281" s="8"/>
      <c r="AI281" s="8"/>
      <c r="AJ281" s="8"/>
      <c r="AK281" s="8"/>
      <c r="AL281" s="8"/>
      <c r="AM281" s="8"/>
      <c r="AN281" s="8"/>
      <c r="AO281" s="8"/>
      <c r="AP281" s="8"/>
      <c r="AQ281" s="8"/>
      <c r="AR281" s="8"/>
      <c r="AS281" s="8"/>
      <c r="AT281" s="8"/>
    </row>
    <row r="282">
      <c r="A282" s="415"/>
      <c r="B282" s="210"/>
      <c r="C282" s="415"/>
      <c r="D282" s="210"/>
      <c r="E282" s="415"/>
      <c r="F282" s="210"/>
      <c r="G282" s="415"/>
      <c r="H282" s="210"/>
      <c r="I282" s="423"/>
      <c r="J282" s="156"/>
      <c r="K282" s="423"/>
      <c r="L282" s="156"/>
      <c r="M282" s="415"/>
      <c r="N282" s="210"/>
      <c r="O282" s="415"/>
      <c r="P282" s="210"/>
      <c r="Q282" s="415"/>
      <c r="R282" s="210"/>
      <c r="S282" s="415"/>
      <c r="T282" s="210"/>
      <c r="U282" s="415"/>
      <c r="V282" s="210"/>
      <c r="W282" s="415"/>
      <c r="X282" s="210"/>
      <c r="Y282" s="8"/>
      <c r="Z282" s="8"/>
      <c r="AA282" s="8"/>
      <c r="AB282" s="8"/>
      <c r="AC282" s="8"/>
      <c r="AD282" s="8"/>
      <c r="AE282" s="8"/>
      <c r="AF282" s="8"/>
      <c r="AG282" s="8"/>
      <c r="AH282" s="8"/>
      <c r="AI282" s="8"/>
      <c r="AJ282" s="8"/>
      <c r="AK282" s="8"/>
      <c r="AL282" s="8"/>
      <c r="AM282" s="8"/>
      <c r="AN282" s="8"/>
      <c r="AO282" s="8"/>
      <c r="AP282" s="8"/>
      <c r="AQ282" s="8"/>
      <c r="AR282" s="8"/>
      <c r="AS282" s="8"/>
      <c r="AT282" s="8"/>
    </row>
    <row r="283">
      <c r="A283" s="415"/>
      <c r="B283" s="210"/>
      <c r="C283" s="415"/>
      <c r="D283" s="210"/>
      <c r="E283" s="415"/>
      <c r="F283" s="210"/>
      <c r="G283" s="415"/>
      <c r="H283" s="210"/>
      <c r="I283" s="423"/>
      <c r="J283" s="156"/>
      <c r="K283" s="423"/>
      <c r="L283" s="156"/>
      <c r="M283" s="415"/>
      <c r="N283" s="210"/>
      <c r="O283" s="415"/>
      <c r="P283" s="210"/>
      <c r="Q283" s="415"/>
      <c r="R283" s="210"/>
      <c r="S283" s="415"/>
      <c r="T283" s="210"/>
      <c r="U283" s="415"/>
      <c r="V283" s="210"/>
      <c r="W283" s="415"/>
      <c r="X283" s="210"/>
      <c r="Y283" s="8"/>
      <c r="Z283" s="8"/>
      <c r="AA283" s="8"/>
      <c r="AB283" s="8"/>
      <c r="AC283" s="8"/>
      <c r="AD283" s="8"/>
      <c r="AE283" s="8"/>
      <c r="AF283" s="8"/>
      <c r="AG283" s="8"/>
      <c r="AH283" s="8"/>
      <c r="AI283" s="8"/>
      <c r="AJ283" s="8"/>
      <c r="AK283" s="8"/>
      <c r="AL283" s="8"/>
      <c r="AM283" s="8"/>
      <c r="AN283" s="8"/>
      <c r="AO283" s="8"/>
      <c r="AP283" s="8"/>
      <c r="AQ283" s="8"/>
      <c r="AR283" s="8"/>
      <c r="AS283" s="8"/>
      <c r="AT283" s="8"/>
    </row>
    <row r="284">
      <c r="A284" s="415"/>
      <c r="B284" s="210"/>
      <c r="C284" s="415"/>
      <c r="D284" s="210"/>
      <c r="E284" s="415"/>
      <c r="F284" s="210"/>
      <c r="G284" s="415"/>
      <c r="H284" s="210"/>
      <c r="I284" s="423"/>
      <c r="J284" s="156"/>
      <c r="K284" s="423"/>
      <c r="L284" s="156"/>
      <c r="M284" s="415"/>
      <c r="N284" s="210"/>
      <c r="O284" s="415"/>
      <c r="P284" s="210"/>
      <c r="Q284" s="415"/>
      <c r="R284" s="210"/>
      <c r="S284" s="415"/>
      <c r="T284" s="210"/>
      <c r="U284" s="415"/>
      <c r="V284" s="210"/>
      <c r="W284" s="415"/>
      <c r="X284" s="210"/>
      <c r="Y284" s="8"/>
      <c r="Z284" s="8"/>
      <c r="AA284" s="8"/>
      <c r="AB284" s="8"/>
      <c r="AC284" s="8"/>
      <c r="AD284" s="8"/>
      <c r="AE284" s="8"/>
      <c r="AF284" s="8"/>
      <c r="AG284" s="8"/>
      <c r="AH284" s="8"/>
      <c r="AI284" s="8"/>
      <c r="AJ284" s="8"/>
      <c r="AK284" s="8"/>
      <c r="AL284" s="8"/>
      <c r="AM284" s="8"/>
      <c r="AN284" s="8"/>
      <c r="AO284" s="8"/>
      <c r="AP284" s="8"/>
      <c r="AQ284" s="8"/>
      <c r="AR284" s="8"/>
      <c r="AS284" s="8"/>
      <c r="AT284" s="8"/>
    </row>
    <row r="285">
      <c r="A285" s="415"/>
      <c r="B285" s="210"/>
      <c r="C285" s="415"/>
      <c r="D285" s="210"/>
      <c r="E285" s="415"/>
      <c r="F285" s="210"/>
      <c r="G285" s="415"/>
      <c r="H285" s="210"/>
      <c r="I285" s="423"/>
      <c r="J285" s="156"/>
      <c r="K285" s="423"/>
      <c r="L285" s="156"/>
      <c r="M285" s="415"/>
      <c r="N285" s="210"/>
      <c r="O285" s="415"/>
      <c r="P285" s="210"/>
      <c r="Q285" s="415"/>
      <c r="R285" s="210"/>
      <c r="S285" s="415"/>
      <c r="T285" s="210"/>
      <c r="U285" s="415"/>
      <c r="V285" s="210"/>
      <c r="W285" s="415"/>
      <c r="X285" s="210"/>
      <c r="Y285" s="8"/>
      <c r="Z285" s="8"/>
      <c r="AA285" s="8"/>
      <c r="AB285" s="8"/>
      <c r="AC285" s="8"/>
      <c r="AD285" s="8"/>
      <c r="AE285" s="8"/>
      <c r="AF285" s="8"/>
      <c r="AG285" s="8"/>
      <c r="AH285" s="8"/>
      <c r="AI285" s="8"/>
      <c r="AJ285" s="8"/>
      <c r="AK285" s="8"/>
      <c r="AL285" s="8"/>
      <c r="AM285" s="8"/>
      <c r="AN285" s="8"/>
      <c r="AO285" s="8"/>
      <c r="AP285" s="8"/>
      <c r="AQ285" s="8"/>
      <c r="AR285" s="8"/>
      <c r="AS285" s="8"/>
      <c r="AT285" s="8"/>
    </row>
    <row r="286">
      <c r="A286" s="415"/>
      <c r="B286" s="210"/>
      <c r="C286" s="415"/>
      <c r="D286" s="210"/>
      <c r="E286" s="415"/>
      <c r="F286" s="210"/>
      <c r="G286" s="415"/>
      <c r="H286" s="210"/>
      <c r="I286" s="423"/>
      <c r="J286" s="156"/>
      <c r="K286" s="423"/>
      <c r="L286" s="156"/>
      <c r="M286" s="415"/>
      <c r="N286" s="210"/>
      <c r="O286" s="415"/>
      <c r="P286" s="210"/>
      <c r="Q286" s="415"/>
      <c r="R286" s="210"/>
      <c r="S286" s="415"/>
      <c r="T286" s="210"/>
      <c r="U286" s="415"/>
      <c r="V286" s="210"/>
      <c r="W286" s="415"/>
      <c r="X286" s="210"/>
      <c r="Y286" s="8"/>
      <c r="Z286" s="8"/>
      <c r="AA286" s="8"/>
      <c r="AB286" s="8"/>
      <c r="AC286" s="8"/>
      <c r="AD286" s="8"/>
      <c r="AE286" s="8"/>
      <c r="AF286" s="8"/>
      <c r="AG286" s="8"/>
      <c r="AH286" s="8"/>
      <c r="AI286" s="8"/>
      <c r="AJ286" s="8"/>
      <c r="AK286" s="8"/>
      <c r="AL286" s="8"/>
      <c r="AM286" s="8"/>
      <c r="AN286" s="8"/>
      <c r="AO286" s="8"/>
      <c r="AP286" s="8"/>
      <c r="AQ286" s="8"/>
      <c r="AR286" s="8"/>
      <c r="AS286" s="8"/>
      <c r="AT286" s="8"/>
    </row>
    <row r="287">
      <c r="A287" s="415"/>
      <c r="B287" s="210"/>
      <c r="C287" s="415"/>
      <c r="D287" s="210"/>
      <c r="E287" s="415"/>
      <c r="F287" s="210"/>
      <c r="G287" s="415"/>
      <c r="H287" s="210"/>
      <c r="I287" s="423"/>
      <c r="J287" s="156"/>
      <c r="K287" s="423"/>
      <c r="L287" s="156"/>
      <c r="M287" s="415"/>
      <c r="N287" s="210"/>
      <c r="O287" s="415"/>
      <c r="P287" s="210"/>
      <c r="Q287" s="415"/>
      <c r="R287" s="210"/>
      <c r="S287" s="415"/>
      <c r="T287" s="210"/>
      <c r="U287" s="415"/>
      <c r="V287" s="210"/>
      <c r="W287" s="415"/>
      <c r="X287" s="210"/>
      <c r="Y287" s="8"/>
      <c r="Z287" s="8"/>
      <c r="AA287" s="8"/>
      <c r="AB287" s="8"/>
      <c r="AC287" s="8"/>
      <c r="AD287" s="8"/>
      <c r="AE287" s="8"/>
      <c r="AF287" s="8"/>
      <c r="AG287" s="8"/>
      <c r="AH287" s="8"/>
      <c r="AI287" s="8"/>
      <c r="AJ287" s="8"/>
      <c r="AK287" s="8"/>
      <c r="AL287" s="8"/>
      <c r="AM287" s="8"/>
      <c r="AN287" s="8"/>
      <c r="AO287" s="8"/>
      <c r="AP287" s="8"/>
      <c r="AQ287" s="8"/>
      <c r="AR287" s="8"/>
      <c r="AS287" s="8"/>
      <c r="AT287" s="8"/>
    </row>
    <row r="288">
      <c r="A288" s="415"/>
      <c r="B288" s="210"/>
      <c r="C288" s="415"/>
      <c r="D288" s="210"/>
      <c r="E288" s="415"/>
      <c r="F288" s="210"/>
      <c r="G288" s="415"/>
      <c r="H288" s="210"/>
      <c r="I288" s="423"/>
      <c r="J288" s="156"/>
      <c r="K288" s="423"/>
      <c r="L288" s="156"/>
      <c r="M288" s="415"/>
      <c r="N288" s="210"/>
      <c r="O288" s="415"/>
      <c r="P288" s="210"/>
      <c r="Q288" s="415"/>
      <c r="R288" s="210"/>
      <c r="S288" s="415"/>
      <c r="T288" s="210"/>
      <c r="U288" s="415"/>
      <c r="V288" s="210"/>
      <c r="W288" s="415"/>
      <c r="X288" s="210"/>
      <c r="Y288" s="8"/>
      <c r="Z288" s="8"/>
      <c r="AA288" s="8"/>
      <c r="AB288" s="8"/>
      <c r="AC288" s="8"/>
      <c r="AD288" s="8"/>
      <c r="AE288" s="8"/>
      <c r="AF288" s="8"/>
      <c r="AG288" s="8"/>
      <c r="AH288" s="8"/>
      <c r="AI288" s="8"/>
      <c r="AJ288" s="8"/>
      <c r="AK288" s="8"/>
      <c r="AL288" s="8"/>
      <c r="AM288" s="8"/>
      <c r="AN288" s="8"/>
      <c r="AO288" s="8"/>
      <c r="AP288" s="8"/>
      <c r="AQ288" s="8"/>
      <c r="AR288" s="8"/>
      <c r="AS288" s="8"/>
      <c r="AT288" s="8"/>
    </row>
    <row r="289">
      <c r="A289" s="415"/>
      <c r="B289" s="210"/>
      <c r="C289" s="415"/>
      <c r="D289" s="210"/>
      <c r="E289" s="415"/>
      <c r="F289" s="210"/>
      <c r="G289" s="415"/>
      <c r="H289" s="210"/>
      <c r="I289" s="423"/>
      <c r="J289" s="156"/>
      <c r="K289" s="423"/>
      <c r="L289" s="156"/>
      <c r="M289" s="415"/>
      <c r="N289" s="210"/>
      <c r="O289" s="415"/>
      <c r="P289" s="210"/>
      <c r="Q289" s="415"/>
      <c r="R289" s="210"/>
      <c r="S289" s="415"/>
      <c r="T289" s="210"/>
      <c r="U289" s="415"/>
      <c r="V289" s="210"/>
      <c r="W289" s="415"/>
      <c r="X289" s="210"/>
      <c r="Y289" s="8"/>
      <c r="Z289" s="8"/>
      <c r="AA289" s="8"/>
      <c r="AB289" s="8"/>
      <c r="AC289" s="8"/>
      <c r="AD289" s="8"/>
      <c r="AE289" s="8"/>
      <c r="AF289" s="8"/>
      <c r="AG289" s="8"/>
      <c r="AH289" s="8"/>
      <c r="AI289" s="8"/>
      <c r="AJ289" s="8"/>
      <c r="AK289" s="8"/>
      <c r="AL289" s="8"/>
      <c r="AM289" s="8"/>
      <c r="AN289" s="8"/>
      <c r="AO289" s="8"/>
      <c r="AP289" s="8"/>
      <c r="AQ289" s="8"/>
      <c r="AR289" s="8"/>
      <c r="AS289" s="8"/>
      <c r="AT289" s="8"/>
    </row>
    <row r="290">
      <c r="A290" s="415"/>
      <c r="B290" s="210"/>
      <c r="C290" s="415"/>
      <c r="D290" s="210"/>
      <c r="E290" s="415"/>
      <c r="F290" s="210"/>
      <c r="G290" s="415"/>
      <c r="H290" s="210"/>
      <c r="I290" s="423"/>
      <c r="J290" s="156"/>
      <c r="K290" s="423"/>
      <c r="L290" s="156"/>
      <c r="M290" s="415"/>
      <c r="N290" s="210"/>
      <c r="O290" s="415"/>
      <c r="P290" s="210"/>
      <c r="Q290" s="415"/>
      <c r="R290" s="210"/>
      <c r="S290" s="415"/>
      <c r="T290" s="210"/>
      <c r="U290" s="415"/>
      <c r="V290" s="210"/>
      <c r="W290" s="415"/>
      <c r="X290" s="210"/>
      <c r="Y290" s="8"/>
      <c r="Z290" s="8"/>
      <c r="AA290" s="8"/>
      <c r="AB290" s="8"/>
      <c r="AC290" s="8"/>
      <c r="AD290" s="8"/>
      <c r="AE290" s="8"/>
      <c r="AF290" s="8"/>
      <c r="AG290" s="8"/>
      <c r="AH290" s="8"/>
      <c r="AI290" s="8"/>
      <c r="AJ290" s="8"/>
      <c r="AK290" s="8"/>
      <c r="AL290" s="8"/>
      <c r="AM290" s="8"/>
      <c r="AN290" s="8"/>
      <c r="AO290" s="8"/>
      <c r="AP290" s="8"/>
      <c r="AQ290" s="8"/>
      <c r="AR290" s="8"/>
      <c r="AS290" s="8"/>
      <c r="AT290" s="8"/>
    </row>
    <row r="291">
      <c r="A291" s="415"/>
      <c r="B291" s="210"/>
      <c r="C291" s="415"/>
      <c r="D291" s="210"/>
      <c r="E291" s="415"/>
      <c r="F291" s="210"/>
      <c r="G291" s="415"/>
      <c r="H291" s="210"/>
      <c r="I291" s="423"/>
      <c r="J291" s="156"/>
      <c r="K291" s="423"/>
      <c r="L291" s="156"/>
      <c r="M291" s="415"/>
      <c r="N291" s="210"/>
      <c r="O291" s="415"/>
      <c r="P291" s="210"/>
      <c r="Q291" s="415"/>
      <c r="R291" s="210"/>
      <c r="S291" s="415"/>
      <c r="T291" s="210"/>
      <c r="U291" s="415"/>
      <c r="V291" s="210"/>
      <c r="W291" s="415"/>
      <c r="X291" s="210"/>
      <c r="Y291" s="8"/>
      <c r="Z291" s="8"/>
      <c r="AA291" s="8"/>
      <c r="AB291" s="8"/>
      <c r="AC291" s="8"/>
      <c r="AD291" s="8"/>
      <c r="AE291" s="8"/>
      <c r="AF291" s="8"/>
      <c r="AG291" s="8"/>
      <c r="AH291" s="8"/>
      <c r="AI291" s="8"/>
      <c r="AJ291" s="8"/>
      <c r="AK291" s="8"/>
      <c r="AL291" s="8"/>
      <c r="AM291" s="8"/>
      <c r="AN291" s="8"/>
      <c r="AO291" s="8"/>
      <c r="AP291" s="8"/>
      <c r="AQ291" s="8"/>
      <c r="AR291" s="8"/>
      <c r="AS291" s="8"/>
      <c r="AT291" s="8"/>
    </row>
    <row r="292">
      <c r="A292" s="415"/>
      <c r="B292" s="210"/>
      <c r="C292" s="415"/>
      <c r="D292" s="210"/>
      <c r="E292" s="415"/>
      <c r="F292" s="210"/>
      <c r="G292" s="415"/>
      <c r="H292" s="210"/>
      <c r="I292" s="423"/>
      <c r="J292" s="156"/>
      <c r="K292" s="423"/>
      <c r="L292" s="156"/>
      <c r="M292" s="415"/>
      <c r="N292" s="210"/>
      <c r="O292" s="415"/>
      <c r="P292" s="210"/>
      <c r="Q292" s="415"/>
      <c r="R292" s="210"/>
      <c r="S292" s="415"/>
      <c r="T292" s="210"/>
      <c r="U292" s="415"/>
      <c r="V292" s="210"/>
      <c r="W292" s="415"/>
      <c r="X292" s="210"/>
      <c r="Y292" s="8"/>
      <c r="Z292" s="8"/>
      <c r="AA292" s="8"/>
      <c r="AB292" s="8"/>
      <c r="AC292" s="8"/>
      <c r="AD292" s="8"/>
      <c r="AE292" s="8"/>
      <c r="AF292" s="8"/>
      <c r="AG292" s="8"/>
      <c r="AH292" s="8"/>
      <c r="AI292" s="8"/>
      <c r="AJ292" s="8"/>
      <c r="AK292" s="8"/>
      <c r="AL292" s="8"/>
      <c r="AM292" s="8"/>
      <c r="AN292" s="8"/>
      <c r="AO292" s="8"/>
      <c r="AP292" s="8"/>
      <c r="AQ292" s="8"/>
      <c r="AR292" s="8"/>
      <c r="AS292" s="8"/>
      <c r="AT292" s="8"/>
    </row>
    <row r="293">
      <c r="A293" s="415"/>
      <c r="B293" s="210"/>
      <c r="C293" s="415"/>
      <c r="D293" s="210"/>
      <c r="E293" s="415"/>
      <c r="F293" s="210"/>
      <c r="G293" s="415"/>
      <c r="H293" s="210"/>
      <c r="I293" s="423"/>
      <c r="J293" s="156"/>
      <c r="K293" s="423"/>
      <c r="L293" s="156"/>
      <c r="M293" s="415"/>
      <c r="N293" s="210"/>
      <c r="O293" s="415"/>
      <c r="P293" s="210"/>
      <c r="Q293" s="415"/>
      <c r="R293" s="210"/>
      <c r="S293" s="415"/>
      <c r="T293" s="210"/>
      <c r="U293" s="415"/>
      <c r="V293" s="210"/>
      <c r="W293" s="415"/>
      <c r="X293" s="210"/>
      <c r="Y293" s="8"/>
      <c r="Z293" s="8"/>
      <c r="AA293" s="8"/>
      <c r="AB293" s="8"/>
      <c r="AC293" s="8"/>
      <c r="AD293" s="8"/>
      <c r="AE293" s="8"/>
      <c r="AF293" s="8"/>
      <c r="AG293" s="8"/>
      <c r="AH293" s="8"/>
      <c r="AI293" s="8"/>
      <c r="AJ293" s="8"/>
      <c r="AK293" s="8"/>
      <c r="AL293" s="8"/>
      <c r="AM293" s="8"/>
      <c r="AN293" s="8"/>
      <c r="AO293" s="8"/>
      <c r="AP293" s="8"/>
      <c r="AQ293" s="8"/>
      <c r="AR293" s="8"/>
      <c r="AS293" s="8"/>
      <c r="AT293" s="8"/>
    </row>
    <row r="294">
      <c r="A294" s="415"/>
      <c r="B294" s="210"/>
      <c r="C294" s="415"/>
      <c r="D294" s="210"/>
      <c r="E294" s="415"/>
      <c r="F294" s="210"/>
      <c r="G294" s="415"/>
      <c r="H294" s="210"/>
      <c r="I294" s="423"/>
      <c r="J294" s="156"/>
      <c r="K294" s="423"/>
      <c r="L294" s="156"/>
      <c r="M294" s="415"/>
      <c r="N294" s="210"/>
      <c r="O294" s="415"/>
      <c r="P294" s="210"/>
      <c r="Q294" s="415"/>
      <c r="R294" s="210"/>
      <c r="S294" s="415"/>
      <c r="T294" s="210"/>
      <c r="U294" s="415"/>
      <c r="V294" s="210"/>
      <c r="W294" s="415"/>
      <c r="X294" s="210"/>
      <c r="Y294" s="8"/>
      <c r="Z294" s="8"/>
      <c r="AA294" s="8"/>
      <c r="AB294" s="8"/>
      <c r="AC294" s="8"/>
      <c r="AD294" s="8"/>
      <c r="AE294" s="8"/>
      <c r="AF294" s="8"/>
      <c r="AG294" s="8"/>
      <c r="AH294" s="8"/>
      <c r="AI294" s="8"/>
      <c r="AJ294" s="8"/>
      <c r="AK294" s="8"/>
      <c r="AL294" s="8"/>
      <c r="AM294" s="8"/>
      <c r="AN294" s="8"/>
      <c r="AO294" s="8"/>
      <c r="AP294" s="8"/>
      <c r="AQ294" s="8"/>
      <c r="AR294" s="8"/>
      <c r="AS294" s="8"/>
      <c r="AT294" s="8"/>
    </row>
    <row r="295">
      <c r="A295" s="415"/>
      <c r="B295" s="210"/>
      <c r="C295" s="415"/>
      <c r="D295" s="210"/>
      <c r="E295" s="415"/>
      <c r="F295" s="210"/>
      <c r="G295" s="415"/>
      <c r="H295" s="210"/>
      <c r="I295" s="423"/>
      <c r="J295" s="156"/>
      <c r="K295" s="423"/>
      <c r="L295" s="156"/>
      <c r="M295" s="415"/>
      <c r="N295" s="210"/>
      <c r="O295" s="415"/>
      <c r="P295" s="210"/>
      <c r="Q295" s="415"/>
      <c r="R295" s="210"/>
      <c r="S295" s="415"/>
      <c r="T295" s="210"/>
      <c r="U295" s="415"/>
      <c r="V295" s="210"/>
      <c r="W295" s="415"/>
      <c r="X295" s="210"/>
      <c r="Y295" s="8"/>
      <c r="Z295" s="8"/>
      <c r="AA295" s="8"/>
      <c r="AB295" s="8"/>
      <c r="AC295" s="8"/>
      <c r="AD295" s="8"/>
      <c r="AE295" s="8"/>
      <c r="AF295" s="8"/>
      <c r="AG295" s="8"/>
      <c r="AH295" s="8"/>
      <c r="AI295" s="8"/>
      <c r="AJ295" s="8"/>
      <c r="AK295" s="8"/>
      <c r="AL295" s="8"/>
      <c r="AM295" s="8"/>
      <c r="AN295" s="8"/>
      <c r="AO295" s="8"/>
      <c r="AP295" s="8"/>
      <c r="AQ295" s="8"/>
      <c r="AR295" s="8"/>
      <c r="AS295" s="8"/>
      <c r="AT295" s="8"/>
    </row>
    <row r="296">
      <c r="A296" s="415"/>
      <c r="B296" s="210"/>
      <c r="C296" s="415"/>
      <c r="D296" s="210"/>
      <c r="E296" s="415"/>
      <c r="F296" s="210"/>
      <c r="G296" s="415"/>
      <c r="H296" s="210"/>
      <c r="I296" s="423"/>
      <c r="J296" s="156"/>
      <c r="K296" s="423"/>
      <c r="L296" s="156"/>
      <c r="M296" s="415"/>
      <c r="N296" s="210"/>
      <c r="O296" s="415"/>
      <c r="P296" s="210"/>
      <c r="Q296" s="415"/>
      <c r="R296" s="210"/>
      <c r="S296" s="415"/>
      <c r="T296" s="210"/>
      <c r="U296" s="415"/>
      <c r="V296" s="210"/>
      <c r="W296" s="415"/>
      <c r="X296" s="210"/>
      <c r="Y296" s="8"/>
      <c r="Z296" s="8"/>
      <c r="AA296" s="8"/>
      <c r="AB296" s="8"/>
      <c r="AC296" s="8"/>
      <c r="AD296" s="8"/>
      <c r="AE296" s="8"/>
      <c r="AF296" s="8"/>
      <c r="AG296" s="8"/>
      <c r="AH296" s="8"/>
      <c r="AI296" s="8"/>
      <c r="AJ296" s="8"/>
      <c r="AK296" s="8"/>
      <c r="AL296" s="8"/>
      <c r="AM296" s="8"/>
      <c r="AN296" s="8"/>
      <c r="AO296" s="8"/>
      <c r="AP296" s="8"/>
      <c r="AQ296" s="8"/>
      <c r="AR296" s="8"/>
      <c r="AS296" s="8"/>
      <c r="AT296" s="8"/>
    </row>
    <row r="297">
      <c r="A297" s="415"/>
      <c r="B297" s="210"/>
      <c r="C297" s="415"/>
      <c r="D297" s="210"/>
      <c r="E297" s="415"/>
      <c r="F297" s="210"/>
      <c r="G297" s="415"/>
      <c r="H297" s="210"/>
      <c r="I297" s="423"/>
      <c r="J297" s="156"/>
      <c r="K297" s="423"/>
      <c r="L297" s="156"/>
      <c r="M297" s="415"/>
      <c r="N297" s="210"/>
      <c r="O297" s="415"/>
      <c r="P297" s="210"/>
      <c r="Q297" s="415"/>
      <c r="R297" s="210"/>
      <c r="S297" s="415"/>
      <c r="T297" s="210"/>
      <c r="U297" s="415"/>
      <c r="V297" s="210"/>
      <c r="W297" s="415"/>
      <c r="X297" s="210"/>
      <c r="Y297" s="8"/>
      <c r="Z297" s="8"/>
      <c r="AA297" s="8"/>
      <c r="AB297" s="8"/>
      <c r="AC297" s="8"/>
      <c r="AD297" s="8"/>
      <c r="AE297" s="8"/>
      <c r="AF297" s="8"/>
      <c r="AG297" s="8"/>
      <c r="AH297" s="8"/>
      <c r="AI297" s="8"/>
      <c r="AJ297" s="8"/>
      <c r="AK297" s="8"/>
      <c r="AL297" s="8"/>
      <c r="AM297" s="8"/>
      <c r="AN297" s="8"/>
      <c r="AO297" s="8"/>
      <c r="AP297" s="8"/>
      <c r="AQ297" s="8"/>
      <c r="AR297" s="8"/>
      <c r="AS297" s="8"/>
      <c r="AT297" s="8"/>
    </row>
    <row r="298">
      <c r="A298" s="415"/>
      <c r="B298" s="210"/>
      <c r="C298" s="415"/>
      <c r="D298" s="210"/>
      <c r="E298" s="415"/>
      <c r="F298" s="210"/>
      <c r="G298" s="415"/>
      <c r="H298" s="210"/>
      <c r="I298" s="423"/>
      <c r="J298" s="156"/>
      <c r="K298" s="423"/>
      <c r="L298" s="156"/>
      <c r="M298" s="415"/>
      <c r="N298" s="210"/>
      <c r="O298" s="415"/>
      <c r="P298" s="210"/>
      <c r="Q298" s="415"/>
      <c r="R298" s="210"/>
      <c r="S298" s="415"/>
      <c r="T298" s="210"/>
      <c r="U298" s="415"/>
      <c r="V298" s="210"/>
      <c r="W298" s="415"/>
      <c r="X298" s="210"/>
      <c r="Y298" s="8"/>
      <c r="Z298" s="8"/>
      <c r="AA298" s="8"/>
      <c r="AB298" s="8"/>
      <c r="AC298" s="8"/>
      <c r="AD298" s="8"/>
      <c r="AE298" s="8"/>
      <c r="AF298" s="8"/>
      <c r="AG298" s="8"/>
      <c r="AH298" s="8"/>
      <c r="AI298" s="8"/>
      <c r="AJ298" s="8"/>
      <c r="AK298" s="8"/>
      <c r="AL298" s="8"/>
      <c r="AM298" s="8"/>
      <c r="AN298" s="8"/>
      <c r="AO298" s="8"/>
      <c r="AP298" s="8"/>
      <c r="AQ298" s="8"/>
      <c r="AR298" s="8"/>
      <c r="AS298" s="8"/>
      <c r="AT298" s="8"/>
    </row>
    <row r="299">
      <c r="A299" s="415"/>
      <c r="B299" s="210"/>
      <c r="C299" s="415"/>
      <c r="D299" s="210"/>
      <c r="E299" s="415"/>
      <c r="F299" s="210"/>
      <c r="G299" s="415"/>
      <c r="H299" s="210"/>
      <c r="I299" s="423"/>
      <c r="J299" s="156"/>
      <c r="K299" s="423"/>
      <c r="L299" s="156"/>
      <c r="M299" s="415"/>
      <c r="N299" s="210"/>
      <c r="O299" s="415"/>
      <c r="P299" s="210"/>
      <c r="Q299" s="415"/>
      <c r="R299" s="210"/>
      <c r="S299" s="415"/>
      <c r="T299" s="210"/>
      <c r="U299" s="415"/>
      <c r="V299" s="210"/>
      <c r="W299" s="415"/>
      <c r="X299" s="210"/>
      <c r="Y299" s="8"/>
      <c r="Z299" s="8"/>
      <c r="AA299" s="8"/>
      <c r="AB299" s="8"/>
      <c r="AC299" s="8"/>
      <c r="AD299" s="8"/>
      <c r="AE299" s="8"/>
      <c r="AF299" s="8"/>
      <c r="AG299" s="8"/>
      <c r="AH299" s="8"/>
      <c r="AI299" s="8"/>
      <c r="AJ299" s="8"/>
      <c r="AK299" s="8"/>
      <c r="AL299" s="8"/>
      <c r="AM299" s="8"/>
      <c r="AN299" s="8"/>
      <c r="AO299" s="8"/>
      <c r="AP299" s="8"/>
      <c r="AQ299" s="8"/>
      <c r="AR299" s="8"/>
      <c r="AS299" s="8"/>
      <c r="AT299" s="8"/>
    </row>
    <row r="300">
      <c r="A300" s="415"/>
      <c r="B300" s="210"/>
      <c r="C300" s="415"/>
      <c r="D300" s="210"/>
      <c r="E300" s="415"/>
      <c r="F300" s="210"/>
      <c r="G300" s="415"/>
      <c r="H300" s="210"/>
      <c r="I300" s="423"/>
      <c r="J300" s="156"/>
      <c r="K300" s="423"/>
      <c r="L300" s="156"/>
      <c r="M300" s="415"/>
      <c r="N300" s="210"/>
      <c r="O300" s="415"/>
      <c r="P300" s="210"/>
      <c r="Q300" s="423"/>
      <c r="R300" s="156"/>
      <c r="S300" s="415"/>
      <c r="T300" s="210"/>
      <c r="U300" s="415"/>
      <c r="V300" s="210"/>
      <c r="W300" s="415"/>
      <c r="X300" s="210"/>
      <c r="Y300" s="8"/>
      <c r="Z300" s="8"/>
      <c r="AA300" s="8"/>
      <c r="AB300" s="8"/>
      <c r="AC300" s="8"/>
      <c r="AD300" s="8"/>
      <c r="AE300" s="8"/>
      <c r="AF300" s="8"/>
      <c r="AG300" s="8"/>
      <c r="AH300" s="8"/>
      <c r="AI300" s="8"/>
      <c r="AJ300" s="8"/>
      <c r="AK300" s="8"/>
      <c r="AL300" s="8"/>
      <c r="AM300" s="8"/>
      <c r="AN300" s="8"/>
      <c r="AO300" s="8"/>
      <c r="AP300" s="8"/>
      <c r="AQ300" s="8"/>
      <c r="AR300" s="8"/>
      <c r="AS300" s="8"/>
      <c r="AT300" s="8"/>
    </row>
    <row r="301">
      <c r="A301" s="415"/>
      <c r="B301" s="210"/>
      <c r="C301" s="415"/>
      <c r="D301" s="210"/>
      <c r="E301" s="415"/>
      <c r="F301" s="210"/>
      <c r="G301" s="415"/>
      <c r="H301" s="210"/>
      <c r="I301" s="423"/>
      <c r="J301" s="156"/>
      <c r="K301" s="423"/>
      <c r="L301" s="156"/>
      <c r="M301" s="415"/>
      <c r="N301" s="210"/>
      <c r="O301" s="415"/>
      <c r="P301" s="210"/>
      <c r="Q301" s="423"/>
      <c r="R301" s="156"/>
      <c r="S301" s="415"/>
      <c r="T301" s="210"/>
      <c r="U301" s="415"/>
      <c r="V301" s="210"/>
      <c r="W301" s="415"/>
      <c r="X301" s="210"/>
      <c r="Y301" s="8"/>
      <c r="Z301" s="8"/>
      <c r="AA301" s="8"/>
      <c r="AB301" s="8"/>
      <c r="AC301" s="8"/>
      <c r="AD301" s="8"/>
      <c r="AE301" s="8"/>
      <c r="AF301" s="8"/>
      <c r="AG301" s="8"/>
      <c r="AH301" s="8"/>
      <c r="AI301" s="8"/>
      <c r="AJ301" s="8"/>
      <c r="AK301" s="8"/>
      <c r="AL301" s="8"/>
      <c r="AM301" s="8"/>
      <c r="AN301" s="8"/>
      <c r="AO301" s="8"/>
      <c r="AP301" s="8"/>
      <c r="AQ301" s="8"/>
      <c r="AR301" s="8"/>
      <c r="AS301" s="8"/>
      <c r="AT301" s="8"/>
    </row>
    <row r="302">
      <c r="A302" s="415"/>
      <c r="B302" s="210"/>
      <c r="C302" s="415"/>
      <c r="D302" s="210"/>
      <c r="E302" s="415"/>
      <c r="F302" s="210"/>
      <c r="G302" s="415"/>
      <c r="H302" s="210"/>
      <c r="I302" s="423"/>
      <c r="J302" s="156"/>
      <c r="K302" s="423"/>
      <c r="L302" s="156"/>
      <c r="M302" s="415"/>
      <c r="N302" s="210"/>
      <c r="O302" s="415"/>
      <c r="P302" s="210"/>
      <c r="Q302" s="423"/>
      <c r="R302" s="156"/>
      <c r="S302" s="415"/>
      <c r="T302" s="210"/>
      <c r="U302" s="415"/>
      <c r="V302" s="210"/>
      <c r="W302" s="415"/>
      <c r="X302" s="210"/>
      <c r="Y302" s="8"/>
      <c r="Z302" s="8"/>
      <c r="AA302" s="8"/>
      <c r="AB302" s="8"/>
      <c r="AC302" s="8"/>
      <c r="AD302" s="8"/>
      <c r="AE302" s="8"/>
      <c r="AF302" s="8"/>
      <c r="AG302" s="8"/>
      <c r="AH302" s="8"/>
      <c r="AI302" s="8"/>
      <c r="AJ302" s="8"/>
      <c r="AK302" s="8"/>
      <c r="AL302" s="8"/>
      <c r="AM302" s="8"/>
      <c r="AN302" s="8"/>
      <c r="AO302" s="8"/>
      <c r="AP302" s="8"/>
      <c r="AQ302" s="8"/>
      <c r="AR302" s="8"/>
      <c r="AS302" s="8"/>
      <c r="AT302" s="8"/>
    </row>
    <row r="303">
      <c r="A303" s="415"/>
      <c r="B303" s="210"/>
      <c r="C303" s="415"/>
      <c r="D303" s="210"/>
      <c r="E303" s="415"/>
      <c r="F303" s="210"/>
      <c r="G303" s="415"/>
      <c r="H303" s="210"/>
      <c r="I303" s="423"/>
      <c r="J303" s="156"/>
      <c r="K303" s="423"/>
      <c r="L303" s="156"/>
      <c r="M303" s="415"/>
      <c r="N303" s="210"/>
      <c r="O303" s="415"/>
      <c r="P303" s="210"/>
      <c r="Q303" s="423"/>
      <c r="R303" s="156"/>
      <c r="S303" s="415"/>
      <c r="T303" s="210"/>
      <c r="U303" s="415"/>
      <c r="V303" s="210"/>
      <c r="W303" s="415"/>
      <c r="X303" s="210"/>
      <c r="Y303" s="8"/>
      <c r="Z303" s="8"/>
      <c r="AA303" s="8"/>
      <c r="AB303" s="8"/>
      <c r="AC303" s="8"/>
      <c r="AD303" s="8"/>
      <c r="AE303" s="8"/>
      <c r="AF303" s="8"/>
      <c r="AG303" s="8"/>
      <c r="AH303" s="8"/>
      <c r="AI303" s="8"/>
      <c r="AJ303" s="8"/>
      <c r="AK303" s="8"/>
      <c r="AL303" s="8"/>
      <c r="AM303" s="8"/>
      <c r="AN303" s="8"/>
      <c r="AO303" s="8"/>
      <c r="AP303" s="8"/>
      <c r="AQ303" s="8"/>
      <c r="AR303" s="8"/>
      <c r="AS303" s="8"/>
      <c r="AT303" s="8"/>
    </row>
    <row r="304">
      <c r="A304" s="415"/>
      <c r="B304" s="210"/>
      <c r="C304" s="415"/>
      <c r="D304" s="210"/>
      <c r="E304" s="415"/>
      <c r="F304" s="210"/>
      <c r="G304" s="415"/>
      <c r="H304" s="210"/>
      <c r="I304" s="423"/>
      <c r="J304" s="156"/>
      <c r="K304" s="423"/>
      <c r="L304" s="156"/>
      <c r="M304" s="415"/>
      <c r="N304" s="210"/>
      <c r="O304" s="415"/>
      <c r="P304" s="210"/>
      <c r="Q304" s="423"/>
      <c r="R304" s="156"/>
      <c r="S304" s="415"/>
      <c r="T304" s="210"/>
      <c r="U304" s="415"/>
      <c r="V304" s="210"/>
      <c r="W304" s="415"/>
      <c r="X304" s="210"/>
      <c r="Y304" s="8"/>
      <c r="Z304" s="8"/>
      <c r="AA304" s="8"/>
      <c r="AB304" s="8"/>
      <c r="AC304" s="8"/>
      <c r="AD304" s="8"/>
      <c r="AE304" s="8"/>
      <c r="AF304" s="8"/>
      <c r="AG304" s="8"/>
      <c r="AH304" s="8"/>
      <c r="AI304" s="8"/>
      <c r="AJ304" s="8"/>
      <c r="AK304" s="8"/>
      <c r="AL304" s="8"/>
      <c r="AM304" s="8"/>
      <c r="AN304" s="8"/>
      <c r="AO304" s="8"/>
      <c r="AP304" s="8"/>
      <c r="AQ304" s="8"/>
      <c r="AR304" s="8"/>
      <c r="AS304" s="8"/>
      <c r="AT304" s="8"/>
    </row>
    <row r="305">
      <c r="A305" s="415"/>
      <c r="B305" s="210"/>
      <c r="C305" s="415"/>
      <c r="D305" s="210"/>
      <c r="E305" s="415"/>
      <c r="F305" s="210"/>
      <c r="G305" s="415"/>
      <c r="H305" s="210"/>
      <c r="I305" s="423"/>
      <c r="J305" s="156"/>
      <c r="K305" s="423"/>
      <c r="L305" s="156"/>
      <c r="M305" s="415"/>
      <c r="N305" s="210"/>
      <c r="O305" s="415"/>
      <c r="P305" s="210"/>
      <c r="Q305" s="423"/>
      <c r="R305" s="156"/>
      <c r="S305" s="415"/>
      <c r="T305" s="210"/>
      <c r="U305" s="415"/>
      <c r="V305" s="210"/>
      <c r="W305" s="415"/>
      <c r="X305" s="210"/>
      <c r="Y305" s="8"/>
      <c r="Z305" s="8"/>
      <c r="AA305" s="8"/>
      <c r="AB305" s="8"/>
      <c r="AC305" s="8"/>
      <c r="AD305" s="8"/>
      <c r="AE305" s="8"/>
      <c r="AF305" s="8"/>
      <c r="AG305" s="8"/>
      <c r="AH305" s="8"/>
      <c r="AI305" s="8"/>
      <c r="AJ305" s="8"/>
      <c r="AK305" s="8"/>
      <c r="AL305" s="8"/>
      <c r="AM305" s="8"/>
      <c r="AN305" s="8"/>
      <c r="AO305" s="8"/>
      <c r="AP305" s="8"/>
      <c r="AQ305" s="8"/>
      <c r="AR305" s="8"/>
      <c r="AS305" s="8"/>
      <c r="AT305" s="8"/>
    </row>
    <row r="306">
      <c r="A306" s="415"/>
      <c r="B306" s="210"/>
      <c r="C306" s="415"/>
      <c r="D306" s="210"/>
      <c r="E306" s="415"/>
      <c r="F306" s="210"/>
      <c r="G306" s="415"/>
      <c r="H306" s="210"/>
      <c r="I306" s="423"/>
      <c r="J306" s="156"/>
      <c r="K306" s="423"/>
      <c r="L306" s="156"/>
      <c r="M306" s="415"/>
      <c r="N306" s="210"/>
      <c r="O306" s="415"/>
      <c r="P306" s="210"/>
      <c r="Q306" s="423"/>
      <c r="R306" s="156"/>
      <c r="S306" s="415"/>
      <c r="T306" s="210"/>
      <c r="U306" s="415"/>
      <c r="V306" s="210"/>
      <c r="W306" s="415"/>
      <c r="X306" s="210"/>
      <c r="Y306" s="8"/>
      <c r="Z306" s="8"/>
      <c r="AA306" s="8"/>
      <c r="AB306" s="8"/>
      <c r="AC306" s="8"/>
      <c r="AD306" s="8"/>
      <c r="AE306" s="8"/>
      <c r="AF306" s="8"/>
      <c r="AG306" s="8"/>
      <c r="AH306" s="8"/>
      <c r="AI306" s="8"/>
      <c r="AJ306" s="8"/>
      <c r="AK306" s="8"/>
      <c r="AL306" s="8"/>
      <c r="AM306" s="8"/>
      <c r="AN306" s="8"/>
      <c r="AO306" s="8"/>
      <c r="AP306" s="8"/>
      <c r="AQ306" s="8"/>
      <c r="AR306" s="8"/>
      <c r="AS306" s="8"/>
      <c r="AT306" s="8"/>
    </row>
    <row r="307">
      <c r="A307" s="415"/>
      <c r="B307" s="210"/>
      <c r="C307" s="415"/>
      <c r="D307" s="210"/>
      <c r="E307" s="415"/>
      <c r="F307" s="210"/>
      <c r="G307" s="415"/>
      <c r="H307" s="210"/>
      <c r="I307" s="423"/>
      <c r="J307" s="156"/>
      <c r="K307" s="423"/>
      <c r="L307" s="156"/>
      <c r="M307" s="415"/>
      <c r="N307" s="210"/>
      <c r="O307" s="415"/>
      <c r="P307" s="210"/>
      <c r="Q307" s="423"/>
      <c r="R307" s="156"/>
      <c r="S307" s="415"/>
      <c r="T307" s="210"/>
      <c r="U307" s="415"/>
      <c r="V307" s="210"/>
      <c r="W307" s="415"/>
      <c r="X307" s="210"/>
      <c r="Y307" s="8"/>
      <c r="Z307" s="8"/>
      <c r="AA307" s="8"/>
      <c r="AB307" s="8"/>
      <c r="AC307" s="8"/>
      <c r="AD307" s="8"/>
      <c r="AE307" s="8"/>
      <c r="AF307" s="8"/>
      <c r="AG307" s="8"/>
      <c r="AH307" s="8"/>
      <c r="AI307" s="8"/>
      <c r="AJ307" s="8"/>
      <c r="AK307" s="8"/>
      <c r="AL307" s="8"/>
      <c r="AM307" s="8"/>
      <c r="AN307" s="8"/>
      <c r="AO307" s="8"/>
      <c r="AP307" s="8"/>
      <c r="AQ307" s="8"/>
      <c r="AR307" s="8"/>
      <c r="AS307" s="8"/>
      <c r="AT307" s="8"/>
    </row>
    <row r="308">
      <c r="A308" s="415"/>
      <c r="B308" s="210"/>
      <c r="C308" s="415"/>
      <c r="D308" s="210"/>
      <c r="E308" s="415"/>
      <c r="F308" s="210"/>
      <c r="G308" s="415"/>
      <c r="H308" s="210"/>
      <c r="I308" s="423"/>
      <c r="J308" s="156"/>
      <c r="K308" s="423"/>
      <c r="L308" s="156"/>
      <c r="M308" s="415"/>
      <c r="N308" s="210"/>
      <c r="O308" s="415"/>
      <c r="P308" s="210"/>
      <c r="Q308" s="423"/>
      <c r="R308" s="156"/>
      <c r="S308" s="415"/>
      <c r="T308" s="210"/>
      <c r="U308" s="415"/>
      <c r="V308" s="210"/>
      <c r="W308" s="415"/>
      <c r="X308" s="210"/>
      <c r="Y308" s="8"/>
      <c r="Z308" s="8"/>
      <c r="AA308" s="8"/>
      <c r="AB308" s="8"/>
      <c r="AC308" s="8"/>
      <c r="AD308" s="8"/>
      <c r="AE308" s="8"/>
      <c r="AF308" s="8"/>
      <c r="AG308" s="8"/>
      <c r="AH308" s="8"/>
      <c r="AI308" s="8"/>
      <c r="AJ308" s="8"/>
      <c r="AK308" s="8"/>
      <c r="AL308" s="8"/>
      <c r="AM308" s="8"/>
      <c r="AN308" s="8"/>
      <c r="AO308" s="8"/>
      <c r="AP308" s="8"/>
      <c r="AQ308" s="8"/>
      <c r="AR308" s="8"/>
      <c r="AS308" s="8"/>
      <c r="AT308" s="8"/>
    </row>
    <row r="309">
      <c r="A309" s="415"/>
      <c r="B309" s="210"/>
      <c r="C309" s="415"/>
      <c r="D309" s="210"/>
      <c r="E309" s="415"/>
      <c r="F309" s="210"/>
      <c r="G309" s="415"/>
      <c r="H309" s="210"/>
      <c r="I309" s="423"/>
      <c r="J309" s="156"/>
      <c r="K309" s="423"/>
      <c r="L309" s="156"/>
      <c r="M309" s="415"/>
      <c r="N309" s="210"/>
      <c r="O309" s="415"/>
      <c r="P309" s="210"/>
      <c r="Q309" s="423"/>
      <c r="R309" s="156"/>
      <c r="S309" s="415"/>
      <c r="T309" s="210"/>
      <c r="U309" s="415"/>
      <c r="V309" s="210"/>
      <c r="W309" s="415"/>
      <c r="X309" s="210"/>
      <c r="Y309" s="8"/>
      <c r="Z309" s="8"/>
      <c r="AA309" s="8"/>
      <c r="AB309" s="8"/>
      <c r="AC309" s="8"/>
      <c r="AD309" s="8"/>
      <c r="AE309" s="8"/>
      <c r="AF309" s="8"/>
      <c r="AG309" s="8"/>
      <c r="AH309" s="8"/>
      <c r="AI309" s="8"/>
      <c r="AJ309" s="8"/>
      <c r="AK309" s="8"/>
      <c r="AL309" s="8"/>
      <c r="AM309" s="8"/>
      <c r="AN309" s="8"/>
      <c r="AO309" s="8"/>
      <c r="AP309" s="8"/>
      <c r="AQ309" s="8"/>
      <c r="AR309" s="8"/>
      <c r="AS309" s="8"/>
      <c r="AT309" s="8"/>
    </row>
    <row r="310">
      <c r="A310" s="415"/>
      <c r="B310" s="210"/>
      <c r="C310" s="415"/>
      <c r="D310" s="210"/>
      <c r="E310" s="415"/>
      <c r="F310" s="210"/>
      <c r="G310" s="415"/>
      <c r="H310" s="210"/>
      <c r="I310" s="423"/>
      <c r="J310" s="156"/>
      <c r="K310" s="423"/>
      <c r="L310" s="156"/>
      <c r="M310" s="415"/>
      <c r="N310" s="210"/>
      <c r="O310" s="415"/>
      <c r="P310" s="210"/>
      <c r="Q310" s="423"/>
      <c r="R310" s="156"/>
      <c r="S310" s="415"/>
      <c r="T310" s="210"/>
      <c r="U310" s="415"/>
      <c r="V310" s="210"/>
      <c r="W310" s="415"/>
      <c r="X310" s="210"/>
      <c r="Y310" s="8"/>
      <c r="Z310" s="8"/>
      <c r="AA310" s="8"/>
      <c r="AB310" s="8"/>
      <c r="AC310" s="8"/>
      <c r="AD310" s="8"/>
      <c r="AE310" s="8"/>
      <c r="AF310" s="8"/>
      <c r="AG310" s="8"/>
      <c r="AH310" s="8"/>
      <c r="AI310" s="8"/>
      <c r="AJ310" s="8"/>
      <c r="AK310" s="8"/>
      <c r="AL310" s="8"/>
      <c r="AM310" s="8"/>
      <c r="AN310" s="8"/>
      <c r="AO310" s="8"/>
      <c r="AP310" s="8"/>
      <c r="AQ310" s="8"/>
      <c r="AR310" s="8"/>
      <c r="AS310" s="8"/>
      <c r="AT310" s="8"/>
    </row>
    <row r="311">
      <c r="A311" s="415"/>
      <c r="B311" s="210"/>
      <c r="C311" s="415"/>
      <c r="D311" s="210"/>
      <c r="E311" s="415"/>
      <c r="F311" s="210"/>
      <c r="G311" s="415"/>
      <c r="H311" s="210"/>
      <c r="I311" s="423"/>
      <c r="J311" s="156"/>
      <c r="K311" s="423"/>
      <c r="L311" s="156"/>
      <c r="M311" s="415"/>
      <c r="N311" s="210"/>
      <c r="O311" s="415"/>
      <c r="P311" s="210"/>
      <c r="Q311" s="423"/>
      <c r="R311" s="156"/>
      <c r="S311" s="415"/>
      <c r="T311" s="210"/>
      <c r="U311" s="415"/>
      <c r="V311" s="210"/>
      <c r="W311" s="415"/>
      <c r="X311" s="210"/>
      <c r="Y311" s="8"/>
      <c r="Z311" s="8"/>
      <c r="AA311" s="8"/>
      <c r="AB311" s="8"/>
      <c r="AC311" s="8"/>
      <c r="AD311" s="8"/>
      <c r="AE311" s="8"/>
      <c r="AF311" s="8"/>
      <c r="AG311" s="8"/>
      <c r="AH311" s="8"/>
      <c r="AI311" s="8"/>
      <c r="AJ311" s="8"/>
      <c r="AK311" s="8"/>
      <c r="AL311" s="8"/>
      <c r="AM311" s="8"/>
      <c r="AN311" s="8"/>
      <c r="AO311" s="8"/>
      <c r="AP311" s="8"/>
      <c r="AQ311" s="8"/>
      <c r="AR311" s="8"/>
      <c r="AS311" s="8"/>
      <c r="AT311" s="8"/>
    </row>
    <row r="312">
      <c r="A312" s="415"/>
      <c r="B312" s="210"/>
      <c r="C312" s="415"/>
      <c r="D312" s="210"/>
      <c r="E312" s="415"/>
      <c r="F312" s="210"/>
      <c r="G312" s="415"/>
      <c r="H312" s="210"/>
      <c r="I312" s="423"/>
      <c r="J312" s="156"/>
      <c r="K312" s="423"/>
      <c r="L312" s="156"/>
      <c r="M312" s="415"/>
      <c r="N312" s="210"/>
      <c r="O312" s="415"/>
      <c r="P312" s="210"/>
      <c r="Q312" s="423"/>
      <c r="R312" s="156"/>
      <c r="S312" s="415"/>
      <c r="T312" s="210"/>
      <c r="U312" s="415"/>
      <c r="V312" s="210"/>
      <c r="W312" s="415"/>
      <c r="X312" s="210"/>
      <c r="Y312" s="8"/>
      <c r="Z312" s="8"/>
      <c r="AA312" s="8"/>
      <c r="AB312" s="8"/>
      <c r="AC312" s="8"/>
      <c r="AD312" s="8"/>
      <c r="AE312" s="8"/>
      <c r="AF312" s="8"/>
      <c r="AG312" s="8"/>
      <c r="AH312" s="8"/>
      <c r="AI312" s="8"/>
      <c r="AJ312" s="8"/>
      <c r="AK312" s="8"/>
      <c r="AL312" s="8"/>
      <c r="AM312" s="8"/>
      <c r="AN312" s="8"/>
      <c r="AO312" s="8"/>
      <c r="AP312" s="8"/>
      <c r="AQ312" s="8"/>
      <c r="AR312" s="8"/>
      <c r="AS312" s="8"/>
      <c r="AT312" s="8"/>
    </row>
    <row r="313">
      <c r="A313" s="415"/>
      <c r="B313" s="210"/>
      <c r="C313" s="415"/>
      <c r="D313" s="210"/>
      <c r="E313" s="415"/>
      <c r="F313" s="210"/>
      <c r="G313" s="415"/>
      <c r="H313" s="210"/>
      <c r="I313" s="423"/>
      <c r="J313" s="156"/>
      <c r="K313" s="423"/>
      <c r="L313" s="156"/>
      <c r="M313" s="415"/>
      <c r="N313" s="210"/>
      <c r="O313" s="415"/>
      <c r="P313" s="210"/>
      <c r="Q313" s="423"/>
      <c r="R313" s="156"/>
      <c r="S313" s="415"/>
      <c r="T313" s="210"/>
      <c r="U313" s="415"/>
      <c r="V313" s="210"/>
      <c r="W313" s="415"/>
      <c r="X313" s="210"/>
      <c r="Y313" s="8"/>
      <c r="Z313" s="8"/>
      <c r="AA313" s="8"/>
      <c r="AB313" s="8"/>
      <c r="AC313" s="8"/>
      <c r="AD313" s="8"/>
      <c r="AE313" s="8"/>
      <c r="AF313" s="8"/>
      <c r="AG313" s="8"/>
      <c r="AH313" s="8"/>
      <c r="AI313" s="8"/>
      <c r="AJ313" s="8"/>
      <c r="AK313" s="8"/>
      <c r="AL313" s="8"/>
      <c r="AM313" s="8"/>
      <c r="AN313" s="8"/>
      <c r="AO313" s="8"/>
      <c r="AP313" s="8"/>
      <c r="AQ313" s="8"/>
      <c r="AR313" s="8"/>
      <c r="AS313" s="8"/>
      <c r="AT313" s="8"/>
    </row>
    <row r="314">
      <c r="A314" s="415"/>
      <c r="B314" s="210"/>
      <c r="C314" s="415"/>
      <c r="D314" s="210"/>
      <c r="E314" s="415"/>
      <c r="F314" s="210"/>
      <c r="G314" s="415"/>
      <c r="H314" s="210"/>
      <c r="I314" s="423"/>
      <c r="J314" s="156"/>
      <c r="K314" s="423"/>
      <c r="L314" s="156"/>
      <c r="M314" s="415"/>
      <c r="N314" s="210"/>
      <c r="O314" s="415"/>
      <c r="P314" s="210"/>
      <c r="Q314" s="423"/>
      <c r="R314" s="156"/>
      <c r="S314" s="415"/>
      <c r="T314" s="210"/>
      <c r="U314" s="415"/>
      <c r="V314" s="210"/>
      <c r="W314" s="415"/>
      <c r="X314" s="210"/>
      <c r="Y314" s="8"/>
      <c r="Z314" s="8"/>
      <c r="AA314" s="8"/>
      <c r="AB314" s="8"/>
      <c r="AC314" s="8"/>
      <c r="AD314" s="8"/>
      <c r="AE314" s="8"/>
      <c r="AF314" s="8"/>
      <c r="AG314" s="8"/>
      <c r="AH314" s="8"/>
      <c r="AI314" s="8"/>
      <c r="AJ314" s="8"/>
      <c r="AK314" s="8"/>
      <c r="AL314" s="8"/>
      <c r="AM314" s="8"/>
      <c r="AN314" s="8"/>
      <c r="AO314" s="8"/>
      <c r="AP314" s="8"/>
      <c r="AQ314" s="8"/>
      <c r="AR314" s="8"/>
      <c r="AS314" s="8"/>
      <c r="AT314" s="8"/>
    </row>
    <row r="315">
      <c r="A315" s="415"/>
      <c r="B315" s="210"/>
      <c r="C315" s="415"/>
      <c r="D315" s="210"/>
      <c r="E315" s="415"/>
      <c r="F315" s="210"/>
      <c r="G315" s="415"/>
      <c r="H315" s="210"/>
      <c r="I315" s="423"/>
      <c r="J315" s="156"/>
      <c r="K315" s="423"/>
      <c r="L315" s="156"/>
      <c r="M315" s="415"/>
      <c r="N315" s="210"/>
      <c r="O315" s="415"/>
      <c r="P315" s="210"/>
      <c r="Q315" s="423"/>
      <c r="R315" s="156"/>
      <c r="S315" s="415"/>
      <c r="T315" s="210"/>
      <c r="U315" s="415"/>
      <c r="V315" s="210"/>
      <c r="W315" s="415"/>
      <c r="X315" s="210"/>
      <c r="Y315" s="8"/>
      <c r="Z315" s="8"/>
      <c r="AA315" s="8"/>
      <c r="AB315" s="8"/>
      <c r="AC315" s="8"/>
      <c r="AD315" s="8"/>
      <c r="AE315" s="8"/>
      <c r="AF315" s="8"/>
      <c r="AG315" s="8"/>
      <c r="AH315" s="8"/>
      <c r="AI315" s="8"/>
      <c r="AJ315" s="8"/>
      <c r="AK315" s="8"/>
      <c r="AL315" s="8"/>
      <c r="AM315" s="8"/>
      <c r="AN315" s="8"/>
      <c r="AO315" s="8"/>
      <c r="AP315" s="8"/>
      <c r="AQ315" s="8"/>
      <c r="AR315" s="8"/>
      <c r="AS315" s="8"/>
      <c r="AT315" s="8"/>
    </row>
    <row r="316">
      <c r="A316" s="415"/>
      <c r="B316" s="210"/>
      <c r="C316" s="415"/>
      <c r="D316" s="210"/>
      <c r="E316" s="415"/>
      <c r="F316" s="210"/>
      <c r="G316" s="415"/>
      <c r="H316" s="210"/>
      <c r="I316" s="423"/>
      <c r="J316" s="156"/>
      <c r="K316" s="423"/>
      <c r="L316" s="156"/>
      <c r="M316" s="415"/>
      <c r="N316" s="210"/>
      <c r="O316" s="415"/>
      <c r="P316" s="210"/>
      <c r="Q316" s="423"/>
      <c r="R316" s="156"/>
      <c r="S316" s="415"/>
      <c r="T316" s="210"/>
      <c r="U316" s="415"/>
      <c r="V316" s="210"/>
      <c r="W316" s="415"/>
      <c r="X316" s="210"/>
      <c r="Y316" s="8"/>
      <c r="Z316" s="8"/>
      <c r="AA316" s="8"/>
      <c r="AB316" s="8"/>
      <c r="AC316" s="8"/>
      <c r="AD316" s="8"/>
      <c r="AE316" s="8"/>
      <c r="AF316" s="8"/>
      <c r="AG316" s="8"/>
      <c r="AH316" s="8"/>
      <c r="AI316" s="8"/>
      <c r="AJ316" s="8"/>
      <c r="AK316" s="8"/>
      <c r="AL316" s="8"/>
      <c r="AM316" s="8"/>
      <c r="AN316" s="8"/>
      <c r="AO316" s="8"/>
      <c r="AP316" s="8"/>
      <c r="AQ316" s="8"/>
      <c r="AR316" s="8"/>
      <c r="AS316" s="8"/>
      <c r="AT316" s="8"/>
    </row>
    <row r="317">
      <c r="A317" s="415"/>
      <c r="B317" s="210"/>
      <c r="C317" s="415"/>
      <c r="D317" s="210"/>
      <c r="E317" s="415"/>
      <c r="F317" s="210"/>
      <c r="G317" s="415"/>
      <c r="H317" s="210"/>
      <c r="I317" s="423"/>
      <c r="J317" s="156"/>
      <c r="K317" s="423"/>
      <c r="L317" s="156"/>
      <c r="M317" s="415"/>
      <c r="N317" s="210"/>
      <c r="O317" s="415"/>
      <c r="P317" s="210"/>
      <c r="Q317" s="423"/>
      <c r="R317" s="156"/>
      <c r="S317" s="415"/>
      <c r="T317" s="210"/>
      <c r="U317" s="415"/>
      <c r="V317" s="210"/>
      <c r="W317" s="415"/>
      <c r="X317" s="210"/>
      <c r="Y317" s="8"/>
      <c r="Z317" s="8"/>
      <c r="AA317" s="8"/>
      <c r="AB317" s="8"/>
      <c r="AC317" s="8"/>
      <c r="AD317" s="8"/>
      <c r="AE317" s="8"/>
      <c r="AF317" s="8"/>
      <c r="AG317" s="8"/>
      <c r="AH317" s="8"/>
      <c r="AI317" s="8"/>
      <c r="AJ317" s="8"/>
      <c r="AK317" s="8"/>
      <c r="AL317" s="8"/>
      <c r="AM317" s="8"/>
      <c r="AN317" s="8"/>
      <c r="AO317" s="8"/>
      <c r="AP317" s="8"/>
      <c r="AQ317" s="8"/>
      <c r="AR317" s="8"/>
      <c r="AS317" s="8"/>
      <c r="AT317" s="8"/>
    </row>
    <row r="318">
      <c r="A318" s="415"/>
      <c r="B318" s="210"/>
      <c r="C318" s="415"/>
      <c r="D318" s="210"/>
      <c r="E318" s="415"/>
      <c r="F318" s="210"/>
      <c r="G318" s="415"/>
      <c r="H318" s="210"/>
      <c r="I318" s="423"/>
      <c r="J318" s="156"/>
      <c r="K318" s="423"/>
      <c r="L318" s="156"/>
      <c r="M318" s="415"/>
      <c r="N318" s="210"/>
      <c r="O318" s="415"/>
      <c r="P318" s="210"/>
      <c r="Q318" s="423"/>
      <c r="R318" s="156"/>
      <c r="S318" s="415"/>
      <c r="T318" s="210"/>
      <c r="U318" s="415"/>
      <c r="V318" s="210"/>
      <c r="W318" s="415"/>
      <c r="X318" s="210"/>
      <c r="Y318" s="8"/>
      <c r="Z318" s="8"/>
      <c r="AA318" s="8"/>
      <c r="AB318" s="8"/>
      <c r="AC318" s="8"/>
      <c r="AD318" s="8"/>
      <c r="AE318" s="8"/>
      <c r="AF318" s="8"/>
      <c r="AG318" s="8"/>
      <c r="AH318" s="8"/>
      <c r="AI318" s="8"/>
      <c r="AJ318" s="8"/>
      <c r="AK318" s="8"/>
      <c r="AL318" s="8"/>
      <c r="AM318" s="8"/>
      <c r="AN318" s="8"/>
      <c r="AO318" s="8"/>
      <c r="AP318" s="8"/>
      <c r="AQ318" s="8"/>
      <c r="AR318" s="8"/>
      <c r="AS318" s="8"/>
      <c r="AT318" s="8"/>
    </row>
    <row r="319">
      <c r="A319" s="415"/>
      <c r="B319" s="210"/>
      <c r="C319" s="415"/>
      <c r="D319" s="210"/>
      <c r="E319" s="415"/>
      <c r="F319" s="210"/>
      <c r="G319" s="415"/>
      <c r="H319" s="210"/>
      <c r="I319" s="423"/>
      <c r="J319" s="156"/>
      <c r="K319" s="423"/>
      <c r="L319" s="156"/>
      <c r="M319" s="415"/>
      <c r="N319" s="210"/>
      <c r="O319" s="415"/>
      <c r="P319" s="210"/>
      <c r="Q319" s="423"/>
      <c r="R319" s="156"/>
      <c r="S319" s="415"/>
      <c r="T319" s="210"/>
      <c r="U319" s="415"/>
      <c r="V319" s="210"/>
      <c r="W319" s="415"/>
      <c r="X319" s="210"/>
      <c r="Y319" s="8"/>
      <c r="Z319" s="8"/>
      <c r="AA319" s="8"/>
      <c r="AB319" s="8"/>
      <c r="AC319" s="8"/>
      <c r="AD319" s="8"/>
      <c r="AE319" s="8"/>
      <c r="AF319" s="8"/>
      <c r="AG319" s="8"/>
      <c r="AH319" s="8"/>
      <c r="AI319" s="8"/>
      <c r="AJ319" s="8"/>
      <c r="AK319" s="8"/>
      <c r="AL319" s="8"/>
      <c r="AM319" s="8"/>
      <c r="AN319" s="8"/>
      <c r="AO319" s="8"/>
      <c r="AP319" s="8"/>
      <c r="AQ319" s="8"/>
      <c r="AR319" s="8"/>
      <c r="AS319" s="8"/>
      <c r="AT319" s="8"/>
    </row>
    <row r="320">
      <c r="A320" s="415"/>
      <c r="B320" s="210"/>
      <c r="C320" s="415"/>
      <c r="D320" s="210"/>
      <c r="E320" s="415"/>
      <c r="F320" s="210"/>
      <c r="G320" s="415"/>
      <c r="H320" s="210"/>
      <c r="I320" s="423"/>
      <c r="J320" s="156"/>
      <c r="K320" s="423"/>
      <c r="L320" s="156"/>
      <c r="M320" s="415"/>
      <c r="N320" s="210"/>
      <c r="O320" s="415"/>
      <c r="P320" s="210"/>
      <c r="Q320" s="423"/>
      <c r="R320" s="156"/>
      <c r="S320" s="415"/>
      <c r="T320" s="210"/>
      <c r="U320" s="415"/>
      <c r="V320" s="210"/>
      <c r="W320" s="415"/>
      <c r="X320" s="210"/>
      <c r="Y320" s="8"/>
      <c r="Z320" s="8"/>
      <c r="AA320" s="8"/>
      <c r="AB320" s="8"/>
      <c r="AC320" s="8"/>
      <c r="AD320" s="8"/>
      <c r="AE320" s="8"/>
      <c r="AF320" s="8"/>
      <c r="AG320" s="8"/>
      <c r="AH320" s="8"/>
      <c r="AI320" s="8"/>
      <c r="AJ320" s="8"/>
      <c r="AK320" s="8"/>
      <c r="AL320" s="8"/>
      <c r="AM320" s="8"/>
      <c r="AN320" s="8"/>
      <c r="AO320" s="8"/>
      <c r="AP320" s="8"/>
      <c r="AQ320" s="8"/>
      <c r="AR320" s="8"/>
      <c r="AS320" s="8"/>
      <c r="AT320" s="8"/>
    </row>
    <row r="321">
      <c r="A321" s="415"/>
      <c r="B321" s="210"/>
      <c r="C321" s="415"/>
      <c r="D321" s="210"/>
      <c r="E321" s="415"/>
      <c r="F321" s="210"/>
      <c r="G321" s="415"/>
      <c r="H321" s="210"/>
      <c r="I321" s="423"/>
      <c r="J321" s="156"/>
      <c r="K321" s="423"/>
      <c r="L321" s="156"/>
      <c r="M321" s="415"/>
      <c r="N321" s="210"/>
      <c r="O321" s="415"/>
      <c r="P321" s="210"/>
      <c r="Q321" s="423"/>
      <c r="R321" s="156"/>
      <c r="S321" s="415"/>
      <c r="T321" s="210"/>
      <c r="U321" s="415"/>
      <c r="V321" s="210"/>
      <c r="W321" s="415"/>
      <c r="X321" s="210"/>
      <c r="Y321" s="8"/>
      <c r="Z321" s="8"/>
      <c r="AA321" s="8"/>
      <c r="AB321" s="8"/>
      <c r="AC321" s="8"/>
      <c r="AD321" s="8"/>
      <c r="AE321" s="8"/>
      <c r="AF321" s="8"/>
      <c r="AG321" s="8"/>
      <c r="AH321" s="8"/>
      <c r="AI321" s="8"/>
      <c r="AJ321" s="8"/>
      <c r="AK321" s="8"/>
      <c r="AL321" s="8"/>
      <c r="AM321" s="8"/>
      <c r="AN321" s="8"/>
      <c r="AO321" s="8"/>
      <c r="AP321" s="8"/>
      <c r="AQ321" s="8"/>
      <c r="AR321" s="8"/>
      <c r="AS321" s="8"/>
      <c r="AT321" s="8"/>
    </row>
    <row r="322">
      <c r="A322" s="415"/>
      <c r="B322" s="210"/>
      <c r="C322" s="415"/>
      <c r="D322" s="210"/>
      <c r="E322" s="415"/>
      <c r="F322" s="210"/>
      <c r="G322" s="415"/>
      <c r="H322" s="210"/>
      <c r="I322" s="423"/>
      <c r="J322" s="156"/>
      <c r="K322" s="423"/>
      <c r="L322" s="156"/>
      <c r="M322" s="415"/>
      <c r="N322" s="210"/>
      <c r="O322" s="415"/>
      <c r="P322" s="210"/>
      <c r="Q322" s="423"/>
      <c r="R322" s="156"/>
      <c r="S322" s="415"/>
      <c r="T322" s="210"/>
      <c r="U322" s="415"/>
      <c r="V322" s="210"/>
      <c r="W322" s="415"/>
      <c r="X322" s="210"/>
      <c r="Y322" s="8"/>
      <c r="Z322" s="8"/>
      <c r="AA322" s="8"/>
      <c r="AB322" s="8"/>
      <c r="AC322" s="8"/>
      <c r="AD322" s="8"/>
      <c r="AE322" s="8"/>
      <c r="AF322" s="8"/>
      <c r="AG322" s="8"/>
      <c r="AH322" s="8"/>
      <c r="AI322" s="8"/>
      <c r="AJ322" s="8"/>
      <c r="AK322" s="8"/>
      <c r="AL322" s="8"/>
      <c r="AM322" s="8"/>
      <c r="AN322" s="8"/>
      <c r="AO322" s="8"/>
      <c r="AP322" s="8"/>
      <c r="AQ322" s="8"/>
      <c r="AR322" s="8"/>
      <c r="AS322" s="8"/>
      <c r="AT322" s="8"/>
    </row>
    <row r="323">
      <c r="A323" s="415"/>
      <c r="B323" s="210"/>
      <c r="C323" s="415"/>
      <c r="D323" s="210"/>
      <c r="E323" s="415"/>
      <c r="F323" s="210"/>
      <c r="G323" s="415"/>
      <c r="H323" s="210"/>
      <c r="I323" s="423"/>
      <c r="J323" s="156"/>
      <c r="K323" s="423"/>
      <c r="L323" s="156"/>
      <c r="M323" s="415"/>
      <c r="N323" s="210"/>
      <c r="O323" s="415"/>
      <c r="P323" s="210"/>
      <c r="Q323" s="423"/>
      <c r="R323" s="156"/>
      <c r="S323" s="415"/>
      <c r="T323" s="210"/>
      <c r="U323" s="415"/>
      <c r="V323" s="210"/>
      <c r="W323" s="415"/>
      <c r="X323" s="210"/>
      <c r="Y323" s="8"/>
      <c r="Z323" s="8"/>
      <c r="AA323" s="8"/>
      <c r="AB323" s="8"/>
      <c r="AC323" s="8"/>
      <c r="AD323" s="8"/>
      <c r="AE323" s="8"/>
      <c r="AF323" s="8"/>
      <c r="AG323" s="8"/>
      <c r="AH323" s="8"/>
      <c r="AI323" s="8"/>
      <c r="AJ323" s="8"/>
      <c r="AK323" s="8"/>
      <c r="AL323" s="8"/>
      <c r="AM323" s="8"/>
      <c r="AN323" s="8"/>
      <c r="AO323" s="8"/>
      <c r="AP323" s="8"/>
      <c r="AQ323" s="8"/>
      <c r="AR323" s="8"/>
      <c r="AS323" s="8"/>
      <c r="AT323" s="8"/>
    </row>
    <row r="324">
      <c r="A324" s="415"/>
      <c r="B324" s="210"/>
      <c r="C324" s="415"/>
      <c r="D324" s="210"/>
      <c r="E324" s="415"/>
      <c r="F324" s="210"/>
      <c r="G324" s="415"/>
      <c r="H324" s="210"/>
      <c r="I324" s="423"/>
      <c r="J324" s="156"/>
      <c r="K324" s="423"/>
      <c r="L324" s="156"/>
      <c r="M324" s="415"/>
      <c r="N324" s="210"/>
      <c r="O324" s="415"/>
      <c r="P324" s="210"/>
      <c r="Q324" s="423"/>
      <c r="R324" s="156"/>
      <c r="S324" s="415"/>
      <c r="T324" s="210"/>
      <c r="U324" s="415"/>
      <c r="V324" s="210"/>
      <c r="W324" s="415"/>
      <c r="X324" s="210"/>
      <c r="Y324" s="8"/>
      <c r="Z324" s="8"/>
      <c r="AA324" s="8"/>
      <c r="AB324" s="8"/>
      <c r="AC324" s="8"/>
      <c r="AD324" s="8"/>
      <c r="AE324" s="8"/>
      <c r="AF324" s="8"/>
      <c r="AG324" s="8"/>
      <c r="AH324" s="8"/>
      <c r="AI324" s="8"/>
      <c r="AJ324" s="8"/>
      <c r="AK324" s="8"/>
      <c r="AL324" s="8"/>
      <c r="AM324" s="8"/>
      <c r="AN324" s="8"/>
      <c r="AO324" s="8"/>
      <c r="AP324" s="8"/>
      <c r="AQ324" s="8"/>
      <c r="AR324" s="8"/>
      <c r="AS324" s="8"/>
      <c r="AT324" s="8"/>
    </row>
    <row r="325">
      <c r="A325" s="415"/>
      <c r="B325" s="210"/>
      <c r="C325" s="415"/>
      <c r="D325" s="210"/>
      <c r="E325" s="415"/>
      <c r="F325" s="210"/>
      <c r="G325" s="415"/>
      <c r="H325" s="210"/>
      <c r="I325" s="423"/>
      <c r="J325" s="156"/>
      <c r="K325" s="423"/>
      <c r="L325" s="156"/>
      <c r="M325" s="415"/>
      <c r="N325" s="210"/>
      <c r="O325" s="415"/>
      <c r="P325" s="210"/>
      <c r="Q325" s="423"/>
      <c r="R325" s="156"/>
      <c r="S325" s="415"/>
      <c r="T325" s="210"/>
      <c r="U325" s="415"/>
      <c r="V325" s="210"/>
      <c r="W325" s="415"/>
      <c r="X325" s="210"/>
      <c r="Y325" s="8"/>
      <c r="Z325" s="8"/>
      <c r="AA325" s="8"/>
      <c r="AB325" s="8"/>
      <c r="AC325" s="8"/>
      <c r="AD325" s="8"/>
      <c r="AE325" s="8"/>
      <c r="AF325" s="8"/>
      <c r="AG325" s="8"/>
      <c r="AH325" s="8"/>
      <c r="AI325" s="8"/>
      <c r="AJ325" s="8"/>
      <c r="AK325" s="8"/>
      <c r="AL325" s="8"/>
      <c r="AM325" s="8"/>
      <c r="AN325" s="8"/>
      <c r="AO325" s="8"/>
      <c r="AP325" s="8"/>
      <c r="AQ325" s="8"/>
      <c r="AR325" s="8"/>
      <c r="AS325" s="8"/>
      <c r="AT325" s="8"/>
    </row>
    <row r="326">
      <c r="A326" s="415"/>
      <c r="B326" s="210"/>
      <c r="C326" s="415"/>
      <c r="D326" s="210"/>
      <c r="E326" s="415"/>
      <c r="F326" s="210"/>
      <c r="G326" s="415"/>
      <c r="H326" s="210"/>
      <c r="I326" s="423"/>
      <c r="J326" s="156"/>
      <c r="K326" s="423"/>
      <c r="L326" s="156"/>
      <c r="M326" s="415"/>
      <c r="N326" s="210"/>
      <c r="O326" s="415"/>
      <c r="P326" s="210"/>
      <c r="Q326" s="423"/>
      <c r="R326" s="156"/>
      <c r="S326" s="415"/>
      <c r="T326" s="210"/>
      <c r="U326" s="415"/>
      <c r="V326" s="210"/>
      <c r="W326" s="415"/>
      <c r="X326" s="210"/>
      <c r="Y326" s="8"/>
      <c r="Z326" s="8"/>
      <c r="AA326" s="8"/>
      <c r="AB326" s="8"/>
      <c r="AC326" s="8"/>
      <c r="AD326" s="8"/>
      <c r="AE326" s="8"/>
      <c r="AF326" s="8"/>
      <c r="AG326" s="8"/>
      <c r="AH326" s="8"/>
      <c r="AI326" s="8"/>
      <c r="AJ326" s="8"/>
      <c r="AK326" s="8"/>
      <c r="AL326" s="8"/>
      <c r="AM326" s="8"/>
      <c r="AN326" s="8"/>
      <c r="AO326" s="8"/>
      <c r="AP326" s="8"/>
      <c r="AQ326" s="8"/>
      <c r="AR326" s="8"/>
      <c r="AS326" s="8"/>
      <c r="AT326" s="8"/>
    </row>
    <row r="327">
      <c r="A327" s="415"/>
      <c r="B327" s="210"/>
      <c r="C327" s="415"/>
      <c r="D327" s="210"/>
      <c r="E327" s="415"/>
      <c r="F327" s="210"/>
      <c r="G327" s="415"/>
      <c r="H327" s="210"/>
      <c r="I327" s="423"/>
      <c r="J327" s="156"/>
      <c r="K327" s="423"/>
      <c r="L327" s="156"/>
      <c r="M327" s="415"/>
      <c r="N327" s="210"/>
      <c r="O327" s="415"/>
      <c r="P327" s="210"/>
      <c r="Q327" s="423"/>
      <c r="R327" s="156"/>
      <c r="S327" s="415"/>
      <c r="T327" s="210"/>
      <c r="U327" s="415"/>
      <c r="V327" s="210"/>
      <c r="W327" s="415"/>
      <c r="X327" s="210"/>
      <c r="Y327" s="8"/>
      <c r="Z327" s="8"/>
      <c r="AA327" s="8"/>
      <c r="AB327" s="8"/>
      <c r="AC327" s="8"/>
      <c r="AD327" s="8"/>
      <c r="AE327" s="8"/>
      <c r="AF327" s="8"/>
      <c r="AG327" s="8"/>
      <c r="AH327" s="8"/>
      <c r="AI327" s="8"/>
      <c r="AJ327" s="8"/>
      <c r="AK327" s="8"/>
      <c r="AL327" s="8"/>
      <c r="AM327" s="8"/>
      <c r="AN327" s="8"/>
      <c r="AO327" s="8"/>
      <c r="AP327" s="8"/>
      <c r="AQ327" s="8"/>
      <c r="AR327" s="8"/>
      <c r="AS327" s="8"/>
      <c r="AT327" s="8"/>
    </row>
    <row r="328">
      <c r="A328" s="415"/>
      <c r="B328" s="210"/>
      <c r="C328" s="415"/>
      <c r="D328" s="210"/>
      <c r="E328" s="415"/>
      <c r="F328" s="210"/>
      <c r="G328" s="415"/>
      <c r="H328" s="210"/>
      <c r="I328" s="423"/>
      <c r="J328" s="156"/>
      <c r="K328" s="423"/>
      <c r="L328" s="156"/>
      <c r="M328" s="415"/>
      <c r="N328" s="210"/>
      <c r="O328" s="415"/>
      <c r="P328" s="210"/>
      <c r="Q328" s="423"/>
      <c r="R328" s="156"/>
      <c r="S328" s="415"/>
      <c r="T328" s="210"/>
      <c r="U328" s="415"/>
      <c r="V328" s="210"/>
      <c r="W328" s="415"/>
      <c r="X328" s="210"/>
      <c r="Y328" s="8"/>
      <c r="Z328" s="8"/>
      <c r="AA328" s="8"/>
      <c r="AB328" s="8"/>
      <c r="AC328" s="8"/>
      <c r="AD328" s="8"/>
      <c r="AE328" s="8"/>
      <c r="AF328" s="8"/>
      <c r="AG328" s="8"/>
      <c r="AH328" s="8"/>
      <c r="AI328" s="8"/>
      <c r="AJ328" s="8"/>
      <c r="AK328" s="8"/>
      <c r="AL328" s="8"/>
      <c r="AM328" s="8"/>
      <c r="AN328" s="8"/>
      <c r="AO328" s="8"/>
      <c r="AP328" s="8"/>
      <c r="AQ328" s="8"/>
      <c r="AR328" s="8"/>
      <c r="AS328" s="8"/>
      <c r="AT328" s="8"/>
    </row>
    <row r="329">
      <c r="A329" s="415"/>
      <c r="B329" s="210"/>
      <c r="C329" s="415"/>
      <c r="D329" s="210"/>
      <c r="E329" s="415"/>
      <c r="F329" s="210"/>
      <c r="G329" s="415"/>
      <c r="H329" s="210"/>
      <c r="I329" s="423"/>
      <c r="J329" s="156"/>
      <c r="K329" s="423"/>
      <c r="L329" s="156"/>
      <c r="M329" s="415"/>
      <c r="N329" s="210"/>
      <c r="O329" s="415"/>
      <c r="P329" s="210"/>
      <c r="Q329" s="423"/>
      <c r="R329" s="156"/>
      <c r="S329" s="415"/>
      <c r="T329" s="210"/>
      <c r="U329" s="415"/>
      <c r="V329" s="210"/>
      <c r="W329" s="415"/>
      <c r="X329" s="210"/>
      <c r="Y329" s="8"/>
      <c r="Z329" s="8"/>
      <c r="AA329" s="8"/>
      <c r="AB329" s="8"/>
      <c r="AC329" s="8"/>
      <c r="AD329" s="8"/>
      <c r="AE329" s="8"/>
      <c r="AF329" s="8"/>
      <c r="AG329" s="8"/>
      <c r="AH329" s="8"/>
      <c r="AI329" s="8"/>
      <c r="AJ329" s="8"/>
      <c r="AK329" s="8"/>
      <c r="AL329" s="8"/>
      <c r="AM329" s="8"/>
      <c r="AN329" s="8"/>
      <c r="AO329" s="8"/>
      <c r="AP329" s="8"/>
      <c r="AQ329" s="8"/>
      <c r="AR329" s="8"/>
      <c r="AS329" s="8"/>
      <c r="AT329" s="8"/>
    </row>
    <row r="330">
      <c r="A330" s="415"/>
      <c r="B330" s="210"/>
      <c r="C330" s="415"/>
      <c r="D330" s="210"/>
      <c r="E330" s="415"/>
      <c r="F330" s="210"/>
      <c r="G330" s="415"/>
      <c r="H330" s="210"/>
      <c r="I330" s="423"/>
      <c r="J330" s="156"/>
      <c r="K330" s="423"/>
      <c r="L330" s="156"/>
      <c r="M330" s="415"/>
      <c r="N330" s="210"/>
      <c r="O330" s="415"/>
      <c r="P330" s="210"/>
      <c r="Q330" s="423"/>
      <c r="R330" s="156"/>
      <c r="S330" s="415"/>
      <c r="T330" s="210"/>
      <c r="U330" s="415"/>
      <c r="V330" s="210"/>
      <c r="W330" s="415"/>
      <c r="X330" s="210"/>
      <c r="Y330" s="8"/>
      <c r="Z330" s="8"/>
      <c r="AA330" s="8"/>
      <c r="AB330" s="8"/>
      <c r="AC330" s="8"/>
      <c r="AD330" s="8"/>
      <c r="AE330" s="8"/>
      <c r="AF330" s="8"/>
      <c r="AG330" s="8"/>
      <c r="AH330" s="8"/>
      <c r="AI330" s="8"/>
      <c r="AJ330" s="8"/>
      <c r="AK330" s="8"/>
      <c r="AL330" s="8"/>
      <c r="AM330" s="8"/>
      <c r="AN330" s="8"/>
      <c r="AO330" s="8"/>
      <c r="AP330" s="8"/>
      <c r="AQ330" s="8"/>
      <c r="AR330" s="8"/>
      <c r="AS330" s="8"/>
      <c r="AT330" s="8"/>
    </row>
    <row r="331">
      <c r="A331" s="415"/>
      <c r="B331" s="210"/>
      <c r="C331" s="415"/>
      <c r="D331" s="210"/>
      <c r="E331" s="415"/>
      <c r="F331" s="210"/>
      <c r="G331" s="415"/>
      <c r="H331" s="210"/>
      <c r="I331" s="423"/>
      <c r="J331" s="156"/>
      <c r="K331" s="423"/>
      <c r="L331" s="156"/>
      <c r="M331" s="415"/>
      <c r="N331" s="210"/>
      <c r="O331" s="415"/>
      <c r="P331" s="210"/>
      <c r="Q331" s="423"/>
      <c r="R331" s="156"/>
      <c r="S331" s="415"/>
      <c r="T331" s="210"/>
      <c r="U331" s="415"/>
      <c r="V331" s="210"/>
      <c r="W331" s="415"/>
      <c r="X331" s="210"/>
      <c r="Y331" s="8"/>
      <c r="Z331" s="8"/>
      <c r="AA331" s="8"/>
      <c r="AB331" s="8"/>
      <c r="AC331" s="8"/>
      <c r="AD331" s="8"/>
      <c r="AE331" s="8"/>
      <c r="AF331" s="8"/>
      <c r="AG331" s="8"/>
      <c r="AH331" s="8"/>
      <c r="AI331" s="8"/>
      <c r="AJ331" s="8"/>
      <c r="AK331" s="8"/>
      <c r="AL331" s="8"/>
      <c r="AM331" s="8"/>
      <c r="AN331" s="8"/>
      <c r="AO331" s="8"/>
      <c r="AP331" s="8"/>
      <c r="AQ331" s="8"/>
      <c r="AR331" s="8"/>
      <c r="AS331" s="8"/>
      <c r="AT331" s="8"/>
    </row>
    <row r="332">
      <c r="A332" s="415"/>
      <c r="B332" s="210"/>
      <c r="C332" s="415"/>
      <c r="D332" s="210"/>
      <c r="E332" s="415"/>
      <c r="F332" s="210"/>
      <c r="G332" s="415"/>
      <c r="H332" s="210"/>
      <c r="I332" s="423"/>
      <c r="J332" s="156"/>
      <c r="K332" s="423"/>
      <c r="L332" s="156"/>
      <c r="M332" s="415"/>
      <c r="N332" s="210"/>
      <c r="O332" s="415"/>
      <c r="P332" s="210"/>
      <c r="Q332" s="423"/>
      <c r="R332" s="156"/>
      <c r="S332" s="415"/>
      <c r="T332" s="210"/>
      <c r="U332" s="415"/>
      <c r="V332" s="210"/>
      <c r="W332" s="415"/>
      <c r="X332" s="210"/>
      <c r="Y332" s="8"/>
      <c r="Z332" s="8"/>
      <c r="AA332" s="8"/>
      <c r="AB332" s="8"/>
      <c r="AC332" s="8"/>
      <c r="AD332" s="8"/>
      <c r="AE332" s="8"/>
      <c r="AF332" s="8"/>
      <c r="AG332" s="8"/>
      <c r="AH332" s="8"/>
      <c r="AI332" s="8"/>
      <c r="AJ332" s="8"/>
      <c r="AK332" s="8"/>
      <c r="AL332" s="8"/>
      <c r="AM332" s="8"/>
      <c r="AN332" s="8"/>
      <c r="AO332" s="8"/>
      <c r="AP332" s="8"/>
      <c r="AQ332" s="8"/>
      <c r="AR332" s="8"/>
      <c r="AS332" s="8"/>
      <c r="AT332" s="8"/>
    </row>
    <row r="333">
      <c r="A333" s="415"/>
      <c r="B333" s="210"/>
      <c r="C333" s="415"/>
      <c r="D333" s="210"/>
      <c r="E333" s="415"/>
      <c r="F333" s="210"/>
      <c r="G333" s="415"/>
      <c r="H333" s="210"/>
      <c r="I333" s="423"/>
      <c r="J333" s="156"/>
      <c r="K333" s="423"/>
      <c r="L333" s="156"/>
      <c r="M333" s="415"/>
      <c r="N333" s="210"/>
      <c r="O333" s="415"/>
      <c r="P333" s="210"/>
      <c r="Q333" s="423"/>
      <c r="R333" s="156"/>
      <c r="S333" s="415"/>
      <c r="T333" s="210"/>
      <c r="U333" s="415"/>
      <c r="V333" s="210"/>
      <c r="W333" s="415"/>
      <c r="X333" s="210"/>
      <c r="Y333" s="8"/>
      <c r="Z333" s="8"/>
      <c r="AA333" s="8"/>
      <c r="AB333" s="8"/>
      <c r="AC333" s="8"/>
      <c r="AD333" s="8"/>
      <c r="AE333" s="8"/>
      <c r="AF333" s="8"/>
      <c r="AG333" s="8"/>
      <c r="AH333" s="8"/>
      <c r="AI333" s="8"/>
      <c r="AJ333" s="8"/>
      <c r="AK333" s="8"/>
      <c r="AL333" s="8"/>
      <c r="AM333" s="8"/>
      <c r="AN333" s="8"/>
      <c r="AO333" s="8"/>
      <c r="AP333" s="8"/>
      <c r="AQ333" s="8"/>
      <c r="AR333" s="8"/>
      <c r="AS333" s="8"/>
      <c r="AT333" s="8"/>
    </row>
    <row r="334">
      <c r="A334" s="415"/>
      <c r="B334" s="210"/>
      <c r="C334" s="415"/>
      <c r="D334" s="210"/>
      <c r="E334" s="415"/>
      <c r="F334" s="210"/>
      <c r="G334" s="415"/>
      <c r="H334" s="210"/>
      <c r="I334" s="423"/>
      <c r="J334" s="156"/>
      <c r="K334" s="423"/>
      <c r="L334" s="156"/>
      <c r="M334" s="415"/>
      <c r="N334" s="210"/>
      <c r="O334" s="415"/>
      <c r="P334" s="210"/>
      <c r="Q334" s="423"/>
      <c r="R334" s="156"/>
      <c r="S334" s="415"/>
      <c r="T334" s="210"/>
      <c r="U334" s="415"/>
      <c r="V334" s="210"/>
      <c r="W334" s="415"/>
      <c r="X334" s="210"/>
      <c r="Y334" s="8"/>
      <c r="Z334" s="8"/>
      <c r="AA334" s="8"/>
      <c r="AB334" s="8"/>
      <c r="AC334" s="8"/>
      <c r="AD334" s="8"/>
      <c r="AE334" s="8"/>
      <c r="AF334" s="8"/>
      <c r="AG334" s="8"/>
      <c r="AH334" s="8"/>
      <c r="AI334" s="8"/>
      <c r="AJ334" s="8"/>
      <c r="AK334" s="8"/>
      <c r="AL334" s="8"/>
      <c r="AM334" s="8"/>
      <c r="AN334" s="8"/>
      <c r="AO334" s="8"/>
      <c r="AP334" s="8"/>
      <c r="AQ334" s="8"/>
      <c r="AR334" s="8"/>
      <c r="AS334" s="8"/>
      <c r="AT334" s="8"/>
    </row>
    <row r="335">
      <c r="A335" s="415"/>
      <c r="B335" s="210"/>
      <c r="C335" s="415"/>
      <c r="D335" s="210"/>
      <c r="E335" s="415"/>
      <c r="F335" s="210"/>
      <c r="G335" s="415"/>
      <c r="H335" s="210"/>
      <c r="I335" s="423"/>
      <c r="J335" s="156"/>
      <c r="K335" s="423"/>
      <c r="L335" s="156"/>
      <c r="M335" s="415"/>
      <c r="N335" s="210"/>
      <c r="O335" s="415"/>
      <c r="P335" s="210"/>
      <c r="Q335" s="423"/>
      <c r="R335" s="156"/>
      <c r="S335" s="415"/>
      <c r="T335" s="210"/>
      <c r="U335" s="415"/>
      <c r="V335" s="210"/>
      <c r="W335" s="415"/>
      <c r="X335" s="210"/>
      <c r="Y335" s="8"/>
      <c r="Z335" s="8"/>
      <c r="AA335" s="8"/>
      <c r="AB335" s="8"/>
      <c r="AC335" s="8"/>
      <c r="AD335" s="8"/>
      <c r="AE335" s="8"/>
      <c r="AF335" s="8"/>
      <c r="AG335" s="8"/>
      <c r="AH335" s="8"/>
      <c r="AI335" s="8"/>
      <c r="AJ335" s="8"/>
      <c r="AK335" s="8"/>
      <c r="AL335" s="8"/>
      <c r="AM335" s="8"/>
      <c r="AN335" s="8"/>
      <c r="AO335" s="8"/>
      <c r="AP335" s="8"/>
      <c r="AQ335" s="8"/>
      <c r="AR335" s="8"/>
      <c r="AS335" s="8"/>
      <c r="AT335" s="8"/>
    </row>
    <row r="336">
      <c r="A336" s="415"/>
      <c r="B336" s="210"/>
      <c r="C336" s="415"/>
      <c r="D336" s="210"/>
      <c r="E336" s="415"/>
      <c r="F336" s="210"/>
      <c r="G336" s="415"/>
      <c r="H336" s="210"/>
      <c r="I336" s="423"/>
      <c r="J336" s="156"/>
      <c r="K336" s="423"/>
      <c r="L336" s="156"/>
      <c r="M336" s="415"/>
      <c r="N336" s="210"/>
      <c r="O336" s="415"/>
      <c r="P336" s="210"/>
      <c r="Q336" s="423"/>
      <c r="R336" s="156"/>
      <c r="S336" s="415"/>
      <c r="T336" s="210"/>
      <c r="U336" s="415"/>
      <c r="V336" s="210"/>
      <c r="W336" s="415"/>
      <c r="X336" s="210"/>
      <c r="Y336" s="8"/>
      <c r="Z336" s="8"/>
      <c r="AA336" s="8"/>
      <c r="AB336" s="8"/>
      <c r="AC336" s="8"/>
      <c r="AD336" s="8"/>
      <c r="AE336" s="8"/>
      <c r="AF336" s="8"/>
      <c r="AG336" s="8"/>
      <c r="AH336" s="8"/>
      <c r="AI336" s="8"/>
      <c r="AJ336" s="8"/>
      <c r="AK336" s="8"/>
      <c r="AL336" s="8"/>
      <c r="AM336" s="8"/>
      <c r="AN336" s="8"/>
      <c r="AO336" s="8"/>
      <c r="AP336" s="8"/>
      <c r="AQ336" s="8"/>
      <c r="AR336" s="8"/>
      <c r="AS336" s="8"/>
      <c r="AT336" s="8"/>
    </row>
    <row r="337">
      <c r="A337" s="415"/>
      <c r="B337" s="210"/>
      <c r="C337" s="415"/>
      <c r="D337" s="210"/>
      <c r="E337" s="415"/>
      <c r="F337" s="210"/>
      <c r="G337" s="415"/>
      <c r="H337" s="210"/>
      <c r="I337" s="423"/>
      <c r="J337" s="156"/>
      <c r="K337" s="423"/>
      <c r="L337" s="156"/>
      <c r="M337" s="415"/>
      <c r="N337" s="210"/>
      <c r="O337" s="415"/>
      <c r="P337" s="210"/>
      <c r="Q337" s="423"/>
      <c r="R337" s="156"/>
      <c r="S337" s="415"/>
      <c r="T337" s="210"/>
      <c r="U337" s="415"/>
      <c r="V337" s="210"/>
      <c r="W337" s="415"/>
      <c r="X337" s="210"/>
      <c r="Y337" s="8"/>
      <c r="Z337" s="8"/>
      <c r="AA337" s="8"/>
      <c r="AB337" s="8"/>
      <c r="AC337" s="8"/>
      <c r="AD337" s="8"/>
      <c r="AE337" s="8"/>
      <c r="AF337" s="8"/>
      <c r="AG337" s="8"/>
      <c r="AH337" s="8"/>
      <c r="AI337" s="8"/>
      <c r="AJ337" s="8"/>
      <c r="AK337" s="8"/>
      <c r="AL337" s="8"/>
      <c r="AM337" s="8"/>
      <c r="AN337" s="8"/>
      <c r="AO337" s="8"/>
      <c r="AP337" s="8"/>
      <c r="AQ337" s="8"/>
      <c r="AR337" s="8"/>
      <c r="AS337" s="8"/>
      <c r="AT337" s="8"/>
    </row>
    <row r="338">
      <c r="A338" s="415"/>
      <c r="B338" s="210"/>
      <c r="C338" s="415"/>
      <c r="D338" s="210"/>
      <c r="E338" s="415"/>
      <c r="F338" s="210"/>
      <c r="G338" s="415"/>
      <c r="H338" s="210"/>
      <c r="I338" s="423"/>
      <c r="J338" s="156"/>
      <c r="K338" s="423"/>
      <c r="L338" s="156"/>
      <c r="M338" s="415"/>
      <c r="N338" s="210"/>
      <c r="O338" s="415"/>
      <c r="P338" s="210"/>
      <c r="Q338" s="423"/>
      <c r="R338" s="156"/>
      <c r="S338" s="415"/>
      <c r="T338" s="210"/>
      <c r="U338" s="415"/>
      <c r="V338" s="210"/>
      <c r="W338" s="415"/>
      <c r="X338" s="210"/>
      <c r="Y338" s="8"/>
      <c r="Z338" s="8"/>
      <c r="AA338" s="8"/>
      <c r="AB338" s="8"/>
      <c r="AC338" s="8"/>
      <c r="AD338" s="8"/>
      <c r="AE338" s="8"/>
      <c r="AF338" s="8"/>
      <c r="AG338" s="8"/>
      <c r="AH338" s="8"/>
      <c r="AI338" s="8"/>
      <c r="AJ338" s="8"/>
      <c r="AK338" s="8"/>
      <c r="AL338" s="8"/>
      <c r="AM338" s="8"/>
      <c r="AN338" s="8"/>
      <c r="AO338" s="8"/>
      <c r="AP338" s="8"/>
      <c r="AQ338" s="8"/>
      <c r="AR338" s="8"/>
      <c r="AS338" s="8"/>
      <c r="AT338" s="8"/>
    </row>
    <row r="339">
      <c r="A339" s="415"/>
      <c r="B339" s="210"/>
      <c r="C339" s="415"/>
      <c r="D339" s="210"/>
      <c r="E339" s="415"/>
      <c r="F339" s="210"/>
      <c r="G339" s="415"/>
      <c r="H339" s="210"/>
      <c r="I339" s="423"/>
      <c r="J339" s="156"/>
      <c r="K339" s="423"/>
      <c r="L339" s="156"/>
      <c r="M339" s="415"/>
      <c r="N339" s="210"/>
      <c r="O339" s="415"/>
      <c r="P339" s="210"/>
      <c r="Q339" s="423"/>
      <c r="R339" s="156"/>
      <c r="S339" s="415"/>
      <c r="T339" s="210"/>
      <c r="U339" s="415"/>
      <c r="V339" s="210"/>
      <c r="W339" s="415"/>
      <c r="X339" s="210"/>
      <c r="Y339" s="8"/>
      <c r="Z339" s="8"/>
      <c r="AA339" s="8"/>
      <c r="AB339" s="8"/>
      <c r="AC339" s="8"/>
      <c r="AD339" s="8"/>
      <c r="AE339" s="8"/>
      <c r="AF339" s="8"/>
      <c r="AG339" s="8"/>
      <c r="AH339" s="8"/>
      <c r="AI339" s="8"/>
      <c r="AJ339" s="8"/>
      <c r="AK339" s="8"/>
      <c r="AL339" s="8"/>
      <c r="AM339" s="8"/>
      <c r="AN339" s="8"/>
      <c r="AO339" s="8"/>
      <c r="AP339" s="8"/>
      <c r="AQ339" s="8"/>
      <c r="AR339" s="8"/>
      <c r="AS339" s="8"/>
      <c r="AT339" s="8"/>
    </row>
    <row r="340">
      <c r="A340" s="415"/>
      <c r="B340" s="210"/>
      <c r="C340" s="415"/>
      <c r="D340" s="210"/>
      <c r="E340" s="415"/>
      <c r="F340" s="210"/>
      <c r="G340" s="415"/>
      <c r="H340" s="210"/>
      <c r="I340" s="423"/>
      <c r="J340" s="156"/>
      <c r="K340" s="423"/>
      <c r="L340" s="156"/>
      <c r="M340" s="415"/>
      <c r="N340" s="210"/>
      <c r="O340" s="415"/>
      <c r="P340" s="210"/>
      <c r="Q340" s="423"/>
      <c r="R340" s="156"/>
      <c r="S340" s="415"/>
      <c r="T340" s="210"/>
      <c r="U340" s="415"/>
      <c r="V340" s="210"/>
      <c r="W340" s="415"/>
      <c r="X340" s="210"/>
      <c r="Y340" s="8"/>
      <c r="Z340" s="8"/>
      <c r="AA340" s="8"/>
      <c r="AB340" s="8"/>
      <c r="AC340" s="8"/>
      <c r="AD340" s="8"/>
      <c r="AE340" s="8"/>
      <c r="AF340" s="8"/>
      <c r="AG340" s="8"/>
      <c r="AH340" s="8"/>
      <c r="AI340" s="8"/>
      <c r="AJ340" s="8"/>
      <c r="AK340" s="8"/>
      <c r="AL340" s="8"/>
      <c r="AM340" s="8"/>
      <c r="AN340" s="8"/>
      <c r="AO340" s="8"/>
      <c r="AP340" s="8"/>
      <c r="AQ340" s="8"/>
      <c r="AR340" s="8"/>
      <c r="AS340" s="8"/>
      <c r="AT340" s="8"/>
    </row>
    <row r="341">
      <c r="A341" s="415"/>
      <c r="B341" s="210"/>
      <c r="C341" s="415"/>
      <c r="D341" s="210"/>
      <c r="E341" s="415"/>
      <c r="F341" s="210"/>
      <c r="G341" s="415"/>
      <c r="H341" s="210"/>
      <c r="I341" s="423"/>
      <c r="J341" s="156"/>
      <c r="K341" s="423"/>
      <c r="L341" s="156"/>
      <c r="M341" s="415"/>
      <c r="N341" s="210"/>
      <c r="O341" s="415"/>
      <c r="P341" s="210"/>
      <c r="Q341" s="423"/>
      <c r="R341" s="156"/>
      <c r="S341" s="415"/>
      <c r="T341" s="210"/>
      <c r="U341" s="415"/>
      <c r="V341" s="210"/>
      <c r="W341" s="415"/>
      <c r="X341" s="210"/>
      <c r="Y341" s="8"/>
      <c r="Z341" s="8"/>
      <c r="AA341" s="8"/>
      <c r="AB341" s="8"/>
      <c r="AC341" s="8"/>
      <c r="AD341" s="8"/>
      <c r="AE341" s="8"/>
      <c r="AF341" s="8"/>
      <c r="AG341" s="8"/>
      <c r="AH341" s="8"/>
      <c r="AI341" s="8"/>
      <c r="AJ341" s="8"/>
      <c r="AK341" s="8"/>
      <c r="AL341" s="8"/>
      <c r="AM341" s="8"/>
      <c r="AN341" s="8"/>
      <c r="AO341" s="8"/>
      <c r="AP341" s="8"/>
      <c r="AQ341" s="8"/>
      <c r="AR341" s="8"/>
      <c r="AS341" s="8"/>
      <c r="AT341" s="8"/>
    </row>
    <row r="342">
      <c r="A342" s="415"/>
      <c r="B342" s="210"/>
      <c r="C342" s="415"/>
      <c r="D342" s="210"/>
      <c r="E342" s="415"/>
      <c r="F342" s="210"/>
      <c r="G342" s="415"/>
      <c r="H342" s="210"/>
      <c r="I342" s="423"/>
      <c r="J342" s="156"/>
      <c r="K342" s="423"/>
      <c r="L342" s="156"/>
      <c r="M342" s="415"/>
      <c r="N342" s="210"/>
      <c r="O342" s="415"/>
      <c r="P342" s="210"/>
      <c r="Q342" s="423"/>
      <c r="R342" s="156"/>
      <c r="S342" s="415"/>
      <c r="T342" s="210"/>
      <c r="U342" s="415"/>
      <c r="V342" s="210"/>
      <c r="W342" s="415"/>
      <c r="X342" s="210"/>
      <c r="Y342" s="8"/>
      <c r="Z342" s="8"/>
      <c r="AA342" s="8"/>
      <c r="AB342" s="8"/>
      <c r="AC342" s="8"/>
      <c r="AD342" s="8"/>
      <c r="AE342" s="8"/>
      <c r="AF342" s="8"/>
      <c r="AG342" s="8"/>
      <c r="AH342" s="8"/>
      <c r="AI342" s="8"/>
      <c r="AJ342" s="8"/>
      <c r="AK342" s="8"/>
      <c r="AL342" s="8"/>
      <c r="AM342" s="8"/>
      <c r="AN342" s="8"/>
      <c r="AO342" s="8"/>
      <c r="AP342" s="8"/>
      <c r="AQ342" s="8"/>
      <c r="AR342" s="8"/>
      <c r="AS342" s="8"/>
      <c r="AT342" s="8"/>
    </row>
    <row r="343">
      <c r="A343" s="415"/>
      <c r="B343" s="210"/>
      <c r="C343" s="415"/>
      <c r="D343" s="210"/>
      <c r="E343" s="415"/>
      <c r="F343" s="210"/>
      <c r="G343" s="415"/>
      <c r="H343" s="210"/>
      <c r="I343" s="423"/>
      <c r="J343" s="156"/>
      <c r="K343" s="423"/>
      <c r="L343" s="156"/>
      <c r="M343" s="415"/>
      <c r="N343" s="210"/>
      <c r="O343" s="415"/>
      <c r="P343" s="210"/>
      <c r="Q343" s="423"/>
      <c r="R343" s="156"/>
      <c r="S343" s="415"/>
      <c r="T343" s="210"/>
      <c r="U343" s="415"/>
      <c r="V343" s="210"/>
      <c r="W343" s="415"/>
      <c r="X343" s="210"/>
      <c r="Y343" s="8"/>
      <c r="Z343" s="8"/>
      <c r="AA343" s="8"/>
      <c r="AB343" s="8"/>
      <c r="AC343" s="8"/>
      <c r="AD343" s="8"/>
      <c r="AE343" s="8"/>
      <c r="AF343" s="8"/>
      <c r="AG343" s="8"/>
      <c r="AH343" s="8"/>
      <c r="AI343" s="8"/>
      <c r="AJ343" s="8"/>
      <c r="AK343" s="8"/>
      <c r="AL343" s="8"/>
      <c r="AM343" s="8"/>
      <c r="AN343" s="8"/>
      <c r="AO343" s="8"/>
      <c r="AP343" s="8"/>
      <c r="AQ343" s="8"/>
      <c r="AR343" s="8"/>
      <c r="AS343" s="8"/>
      <c r="AT343" s="8"/>
    </row>
    <row r="344">
      <c r="A344" s="415"/>
      <c r="B344" s="210"/>
      <c r="C344" s="415"/>
      <c r="D344" s="210"/>
      <c r="E344" s="415"/>
      <c r="F344" s="210"/>
      <c r="G344" s="415"/>
      <c r="H344" s="210"/>
      <c r="I344" s="423"/>
      <c r="J344" s="156"/>
      <c r="K344" s="423"/>
      <c r="L344" s="156"/>
      <c r="M344" s="415"/>
      <c r="N344" s="210"/>
      <c r="O344" s="415"/>
      <c r="P344" s="210"/>
      <c r="Q344" s="423"/>
      <c r="R344" s="156"/>
      <c r="S344" s="415"/>
      <c r="T344" s="210"/>
      <c r="U344" s="415"/>
      <c r="V344" s="210"/>
      <c r="W344" s="415"/>
      <c r="X344" s="210"/>
      <c r="Y344" s="8"/>
      <c r="Z344" s="8"/>
      <c r="AA344" s="8"/>
      <c r="AB344" s="8"/>
      <c r="AC344" s="8"/>
      <c r="AD344" s="8"/>
      <c r="AE344" s="8"/>
      <c r="AF344" s="8"/>
      <c r="AG344" s="8"/>
      <c r="AH344" s="8"/>
      <c r="AI344" s="8"/>
      <c r="AJ344" s="8"/>
      <c r="AK344" s="8"/>
      <c r="AL344" s="8"/>
      <c r="AM344" s="8"/>
      <c r="AN344" s="8"/>
      <c r="AO344" s="8"/>
      <c r="AP344" s="8"/>
      <c r="AQ344" s="8"/>
      <c r="AR344" s="8"/>
      <c r="AS344" s="8"/>
      <c r="AT344" s="8"/>
    </row>
    <row r="345">
      <c r="A345" s="415"/>
      <c r="B345" s="210"/>
      <c r="C345" s="415"/>
      <c r="D345" s="210"/>
      <c r="E345" s="415"/>
      <c r="F345" s="210"/>
      <c r="G345" s="415"/>
      <c r="H345" s="210"/>
      <c r="I345" s="423"/>
      <c r="J345" s="156"/>
      <c r="K345" s="423"/>
      <c r="L345" s="156"/>
      <c r="M345" s="415"/>
      <c r="N345" s="210"/>
      <c r="O345" s="415"/>
      <c r="P345" s="210"/>
      <c r="Q345" s="423"/>
      <c r="R345" s="156"/>
      <c r="S345" s="415"/>
      <c r="T345" s="210"/>
      <c r="U345" s="415"/>
      <c r="V345" s="210"/>
      <c r="W345" s="415"/>
      <c r="X345" s="210"/>
      <c r="Y345" s="8"/>
      <c r="Z345" s="8"/>
      <c r="AA345" s="8"/>
      <c r="AB345" s="8"/>
      <c r="AC345" s="8"/>
      <c r="AD345" s="8"/>
      <c r="AE345" s="8"/>
      <c r="AF345" s="8"/>
      <c r="AG345" s="8"/>
      <c r="AH345" s="8"/>
      <c r="AI345" s="8"/>
      <c r="AJ345" s="8"/>
      <c r="AK345" s="8"/>
      <c r="AL345" s="8"/>
      <c r="AM345" s="8"/>
      <c r="AN345" s="8"/>
      <c r="AO345" s="8"/>
      <c r="AP345" s="8"/>
      <c r="AQ345" s="8"/>
      <c r="AR345" s="8"/>
      <c r="AS345" s="8"/>
      <c r="AT345" s="8"/>
    </row>
    <row r="346">
      <c r="A346" s="415"/>
      <c r="B346" s="210"/>
      <c r="C346" s="415"/>
      <c r="D346" s="210"/>
      <c r="E346" s="415"/>
      <c r="F346" s="210"/>
      <c r="G346" s="415"/>
      <c r="H346" s="210"/>
      <c r="I346" s="423"/>
      <c r="J346" s="156"/>
      <c r="K346" s="423"/>
      <c r="L346" s="156"/>
      <c r="M346" s="415"/>
      <c r="N346" s="210"/>
      <c r="O346" s="415"/>
      <c r="P346" s="210"/>
      <c r="Q346" s="423"/>
      <c r="R346" s="156"/>
      <c r="S346" s="415"/>
      <c r="T346" s="210"/>
      <c r="U346" s="415"/>
      <c r="V346" s="210"/>
      <c r="W346" s="415"/>
      <c r="X346" s="210"/>
      <c r="Y346" s="8"/>
      <c r="Z346" s="8"/>
      <c r="AA346" s="8"/>
      <c r="AB346" s="8"/>
      <c r="AC346" s="8"/>
      <c r="AD346" s="8"/>
      <c r="AE346" s="8"/>
      <c r="AF346" s="8"/>
      <c r="AG346" s="8"/>
      <c r="AH346" s="8"/>
      <c r="AI346" s="8"/>
      <c r="AJ346" s="8"/>
      <c r="AK346" s="8"/>
      <c r="AL346" s="8"/>
      <c r="AM346" s="8"/>
      <c r="AN346" s="8"/>
      <c r="AO346" s="8"/>
      <c r="AP346" s="8"/>
      <c r="AQ346" s="8"/>
      <c r="AR346" s="8"/>
      <c r="AS346" s="8"/>
      <c r="AT346" s="8"/>
    </row>
    <row r="347">
      <c r="A347" s="415"/>
      <c r="B347" s="210"/>
      <c r="C347" s="415"/>
      <c r="D347" s="210"/>
      <c r="E347" s="415"/>
      <c r="F347" s="210"/>
      <c r="G347" s="415"/>
      <c r="H347" s="210"/>
      <c r="I347" s="423"/>
      <c r="J347" s="156"/>
      <c r="K347" s="423"/>
      <c r="L347" s="156"/>
      <c r="M347" s="415"/>
      <c r="N347" s="210"/>
      <c r="O347" s="415"/>
      <c r="P347" s="210"/>
      <c r="Q347" s="423"/>
      <c r="R347" s="156"/>
      <c r="S347" s="415"/>
      <c r="T347" s="210"/>
      <c r="U347" s="415"/>
      <c r="V347" s="210"/>
      <c r="W347" s="415"/>
      <c r="X347" s="210"/>
      <c r="Y347" s="8"/>
      <c r="Z347" s="8"/>
      <c r="AA347" s="8"/>
      <c r="AB347" s="8"/>
      <c r="AC347" s="8"/>
      <c r="AD347" s="8"/>
      <c r="AE347" s="8"/>
      <c r="AF347" s="8"/>
      <c r="AG347" s="8"/>
      <c r="AH347" s="8"/>
      <c r="AI347" s="8"/>
      <c r="AJ347" s="8"/>
      <c r="AK347" s="8"/>
      <c r="AL347" s="8"/>
      <c r="AM347" s="8"/>
      <c r="AN347" s="8"/>
      <c r="AO347" s="8"/>
      <c r="AP347" s="8"/>
      <c r="AQ347" s="8"/>
      <c r="AR347" s="8"/>
      <c r="AS347" s="8"/>
      <c r="AT347" s="8"/>
    </row>
    <row r="348">
      <c r="A348" s="415"/>
      <c r="B348" s="210"/>
      <c r="C348" s="415"/>
      <c r="D348" s="210"/>
      <c r="E348" s="415"/>
      <c r="F348" s="210"/>
      <c r="G348" s="415"/>
      <c r="H348" s="210"/>
      <c r="I348" s="423"/>
      <c r="J348" s="156"/>
      <c r="K348" s="423"/>
      <c r="L348" s="156"/>
      <c r="M348" s="415"/>
      <c r="N348" s="210"/>
      <c r="O348" s="415"/>
      <c r="P348" s="210"/>
      <c r="Q348" s="423"/>
      <c r="R348" s="156"/>
      <c r="S348" s="415"/>
      <c r="T348" s="210"/>
      <c r="U348" s="415"/>
      <c r="V348" s="210"/>
      <c r="W348" s="415"/>
      <c r="X348" s="210"/>
      <c r="Y348" s="8"/>
      <c r="Z348" s="8"/>
      <c r="AA348" s="8"/>
      <c r="AB348" s="8"/>
      <c r="AC348" s="8"/>
      <c r="AD348" s="8"/>
      <c r="AE348" s="8"/>
      <c r="AF348" s="8"/>
      <c r="AG348" s="8"/>
      <c r="AH348" s="8"/>
      <c r="AI348" s="8"/>
      <c r="AJ348" s="8"/>
      <c r="AK348" s="8"/>
      <c r="AL348" s="8"/>
      <c r="AM348" s="8"/>
      <c r="AN348" s="8"/>
      <c r="AO348" s="8"/>
      <c r="AP348" s="8"/>
      <c r="AQ348" s="8"/>
      <c r="AR348" s="8"/>
      <c r="AS348" s="8"/>
      <c r="AT348" s="8"/>
    </row>
    <row r="349">
      <c r="A349" s="415"/>
      <c r="B349" s="210"/>
      <c r="C349" s="415"/>
      <c r="D349" s="210"/>
      <c r="E349" s="415"/>
      <c r="F349" s="210"/>
      <c r="G349" s="415"/>
      <c r="H349" s="210"/>
      <c r="I349" s="423"/>
      <c r="J349" s="156"/>
      <c r="K349" s="423"/>
      <c r="L349" s="156"/>
      <c r="M349" s="415"/>
      <c r="N349" s="210"/>
      <c r="O349" s="415"/>
      <c r="P349" s="210"/>
      <c r="Q349" s="423"/>
      <c r="R349" s="156"/>
      <c r="S349" s="415"/>
      <c r="T349" s="210"/>
      <c r="U349" s="415"/>
      <c r="V349" s="210"/>
      <c r="W349" s="415"/>
      <c r="X349" s="210"/>
      <c r="Y349" s="8"/>
      <c r="Z349" s="8"/>
      <c r="AA349" s="8"/>
      <c r="AB349" s="8"/>
      <c r="AC349" s="8"/>
      <c r="AD349" s="8"/>
      <c r="AE349" s="8"/>
      <c r="AF349" s="8"/>
      <c r="AG349" s="8"/>
      <c r="AH349" s="8"/>
      <c r="AI349" s="8"/>
      <c r="AJ349" s="8"/>
      <c r="AK349" s="8"/>
      <c r="AL349" s="8"/>
      <c r="AM349" s="8"/>
      <c r="AN349" s="8"/>
      <c r="AO349" s="8"/>
      <c r="AP349" s="8"/>
      <c r="AQ349" s="8"/>
      <c r="AR349" s="8"/>
      <c r="AS349" s="8"/>
      <c r="AT349" s="8"/>
    </row>
    <row r="350">
      <c r="A350" s="415"/>
      <c r="B350" s="210"/>
      <c r="C350" s="415"/>
      <c r="D350" s="210"/>
      <c r="E350" s="415"/>
      <c r="F350" s="210"/>
      <c r="G350" s="415"/>
      <c r="H350" s="210"/>
      <c r="I350" s="423"/>
      <c r="J350" s="156"/>
      <c r="K350" s="423"/>
      <c r="L350" s="156"/>
      <c r="M350" s="415"/>
      <c r="N350" s="210"/>
      <c r="O350" s="415"/>
      <c r="P350" s="210"/>
      <c r="Q350" s="423"/>
      <c r="R350" s="156"/>
      <c r="S350" s="415"/>
      <c r="T350" s="210"/>
      <c r="U350" s="415"/>
      <c r="V350" s="210"/>
      <c r="W350" s="415"/>
      <c r="X350" s="210"/>
      <c r="Y350" s="8"/>
      <c r="Z350" s="8"/>
      <c r="AA350" s="8"/>
      <c r="AB350" s="8"/>
      <c r="AC350" s="8"/>
      <c r="AD350" s="8"/>
      <c r="AE350" s="8"/>
      <c r="AF350" s="8"/>
      <c r="AG350" s="8"/>
      <c r="AH350" s="8"/>
      <c r="AI350" s="8"/>
      <c r="AJ350" s="8"/>
      <c r="AK350" s="8"/>
      <c r="AL350" s="8"/>
      <c r="AM350" s="8"/>
      <c r="AN350" s="8"/>
      <c r="AO350" s="8"/>
      <c r="AP350" s="8"/>
      <c r="AQ350" s="8"/>
      <c r="AR350" s="8"/>
      <c r="AS350" s="8"/>
      <c r="AT350" s="8"/>
    </row>
    <row r="351">
      <c r="A351" s="415"/>
      <c r="B351" s="210"/>
      <c r="C351" s="415"/>
      <c r="D351" s="210"/>
      <c r="E351" s="415"/>
      <c r="F351" s="210"/>
      <c r="G351" s="415"/>
      <c r="H351" s="210"/>
      <c r="I351" s="423"/>
      <c r="J351" s="156"/>
      <c r="K351" s="423"/>
      <c r="L351" s="156"/>
      <c r="M351" s="415"/>
      <c r="N351" s="210"/>
      <c r="O351" s="415"/>
      <c r="P351" s="210"/>
      <c r="Q351" s="423"/>
      <c r="R351" s="156"/>
      <c r="S351" s="415"/>
      <c r="T351" s="210"/>
      <c r="U351" s="415"/>
      <c r="V351" s="210"/>
      <c r="W351" s="415"/>
      <c r="X351" s="210"/>
      <c r="Y351" s="8"/>
      <c r="Z351" s="8"/>
      <c r="AA351" s="8"/>
      <c r="AB351" s="8"/>
      <c r="AC351" s="8"/>
      <c r="AD351" s="8"/>
      <c r="AE351" s="8"/>
      <c r="AF351" s="8"/>
      <c r="AG351" s="8"/>
      <c r="AH351" s="8"/>
      <c r="AI351" s="8"/>
      <c r="AJ351" s="8"/>
      <c r="AK351" s="8"/>
      <c r="AL351" s="8"/>
      <c r="AM351" s="8"/>
      <c r="AN351" s="8"/>
      <c r="AO351" s="8"/>
      <c r="AP351" s="8"/>
      <c r="AQ351" s="8"/>
      <c r="AR351" s="8"/>
      <c r="AS351" s="8"/>
      <c r="AT351" s="8"/>
    </row>
    <row r="352">
      <c r="A352" s="415"/>
      <c r="B352" s="210"/>
      <c r="C352" s="415"/>
      <c r="D352" s="210"/>
      <c r="E352" s="415"/>
      <c r="F352" s="210"/>
      <c r="G352" s="415"/>
      <c r="H352" s="210"/>
      <c r="I352" s="423"/>
      <c r="J352" s="156"/>
      <c r="K352" s="423"/>
      <c r="L352" s="156"/>
      <c r="M352" s="415"/>
      <c r="N352" s="210"/>
      <c r="O352" s="415"/>
      <c r="P352" s="210"/>
      <c r="Q352" s="423"/>
      <c r="R352" s="156"/>
      <c r="S352" s="415"/>
      <c r="T352" s="210"/>
      <c r="U352" s="415"/>
      <c r="V352" s="210"/>
      <c r="W352" s="415"/>
      <c r="X352" s="210"/>
      <c r="Y352" s="8"/>
      <c r="Z352" s="8"/>
      <c r="AA352" s="8"/>
      <c r="AB352" s="8"/>
      <c r="AC352" s="8"/>
      <c r="AD352" s="8"/>
      <c r="AE352" s="8"/>
      <c r="AF352" s="8"/>
      <c r="AG352" s="8"/>
      <c r="AH352" s="8"/>
      <c r="AI352" s="8"/>
      <c r="AJ352" s="8"/>
      <c r="AK352" s="8"/>
      <c r="AL352" s="8"/>
      <c r="AM352" s="8"/>
      <c r="AN352" s="8"/>
      <c r="AO352" s="8"/>
      <c r="AP352" s="8"/>
      <c r="AQ352" s="8"/>
      <c r="AR352" s="8"/>
      <c r="AS352" s="8"/>
      <c r="AT352" s="8"/>
    </row>
    <row r="353">
      <c r="A353" s="415"/>
      <c r="B353" s="210"/>
      <c r="C353" s="415"/>
      <c r="D353" s="210"/>
      <c r="E353" s="415"/>
      <c r="F353" s="210"/>
      <c r="G353" s="415"/>
      <c r="H353" s="210"/>
      <c r="I353" s="423"/>
      <c r="J353" s="156"/>
      <c r="K353" s="423"/>
      <c r="L353" s="156"/>
      <c r="M353" s="415"/>
      <c r="N353" s="210"/>
      <c r="O353" s="415"/>
      <c r="P353" s="210"/>
      <c r="Q353" s="423"/>
      <c r="R353" s="156"/>
      <c r="S353" s="415"/>
      <c r="T353" s="210"/>
      <c r="U353" s="415"/>
      <c r="V353" s="210"/>
      <c r="W353" s="415"/>
      <c r="X353" s="210"/>
      <c r="Y353" s="8"/>
      <c r="Z353" s="8"/>
      <c r="AA353" s="8"/>
      <c r="AB353" s="8"/>
      <c r="AC353" s="8"/>
      <c r="AD353" s="8"/>
      <c r="AE353" s="8"/>
      <c r="AF353" s="8"/>
      <c r="AG353" s="8"/>
      <c r="AH353" s="8"/>
      <c r="AI353" s="8"/>
      <c r="AJ353" s="8"/>
      <c r="AK353" s="8"/>
      <c r="AL353" s="8"/>
      <c r="AM353" s="8"/>
      <c r="AN353" s="8"/>
      <c r="AO353" s="8"/>
      <c r="AP353" s="8"/>
      <c r="AQ353" s="8"/>
      <c r="AR353" s="8"/>
      <c r="AS353" s="8"/>
      <c r="AT353" s="8"/>
    </row>
    <row r="354">
      <c r="A354" s="415"/>
      <c r="B354" s="210"/>
      <c r="C354" s="415"/>
      <c r="D354" s="210"/>
      <c r="E354" s="415"/>
      <c r="F354" s="210"/>
      <c r="G354" s="415"/>
      <c r="H354" s="210"/>
      <c r="I354" s="423"/>
      <c r="J354" s="156"/>
      <c r="K354" s="423"/>
      <c r="L354" s="156"/>
      <c r="M354" s="415"/>
      <c r="N354" s="210"/>
      <c r="O354" s="415"/>
      <c r="P354" s="210"/>
      <c r="Q354" s="423"/>
      <c r="R354" s="156"/>
      <c r="S354" s="415"/>
      <c r="T354" s="210"/>
      <c r="U354" s="415"/>
      <c r="V354" s="210"/>
      <c r="W354" s="415"/>
      <c r="X354" s="210"/>
      <c r="Y354" s="8"/>
      <c r="Z354" s="8"/>
      <c r="AA354" s="8"/>
      <c r="AB354" s="8"/>
      <c r="AC354" s="8"/>
      <c r="AD354" s="8"/>
      <c r="AE354" s="8"/>
      <c r="AF354" s="8"/>
      <c r="AG354" s="8"/>
      <c r="AH354" s="8"/>
      <c r="AI354" s="8"/>
      <c r="AJ354" s="8"/>
      <c r="AK354" s="8"/>
      <c r="AL354" s="8"/>
      <c r="AM354" s="8"/>
      <c r="AN354" s="8"/>
      <c r="AO354" s="8"/>
      <c r="AP354" s="8"/>
      <c r="AQ354" s="8"/>
      <c r="AR354" s="8"/>
      <c r="AS354" s="8"/>
      <c r="AT354" s="8"/>
    </row>
    <row r="355">
      <c r="A355" s="415"/>
      <c r="B355" s="210"/>
      <c r="C355" s="415"/>
      <c r="D355" s="210"/>
      <c r="E355" s="415"/>
      <c r="F355" s="210"/>
      <c r="G355" s="415"/>
      <c r="H355" s="210"/>
      <c r="I355" s="423"/>
      <c r="J355" s="156"/>
      <c r="K355" s="423"/>
      <c r="L355" s="156"/>
      <c r="M355" s="415"/>
      <c r="N355" s="210"/>
      <c r="O355" s="415"/>
      <c r="P355" s="210"/>
      <c r="Q355" s="423"/>
      <c r="R355" s="156"/>
      <c r="S355" s="415"/>
      <c r="T355" s="210"/>
      <c r="U355" s="415"/>
      <c r="V355" s="210"/>
      <c r="W355" s="415"/>
      <c r="X355" s="210"/>
      <c r="Y355" s="8"/>
      <c r="Z355" s="8"/>
      <c r="AA355" s="8"/>
      <c r="AB355" s="8"/>
      <c r="AC355" s="8"/>
      <c r="AD355" s="8"/>
      <c r="AE355" s="8"/>
      <c r="AF355" s="8"/>
      <c r="AG355" s="8"/>
      <c r="AH355" s="8"/>
      <c r="AI355" s="8"/>
      <c r="AJ355" s="8"/>
      <c r="AK355" s="8"/>
      <c r="AL355" s="8"/>
      <c r="AM355" s="8"/>
      <c r="AN355" s="8"/>
      <c r="AO355" s="8"/>
      <c r="AP355" s="8"/>
      <c r="AQ355" s="8"/>
      <c r="AR355" s="8"/>
      <c r="AS355" s="8"/>
      <c r="AT355" s="8"/>
    </row>
    <row r="356">
      <c r="A356" s="415"/>
      <c r="B356" s="210"/>
      <c r="C356" s="415"/>
      <c r="D356" s="210"/>
      <c r="E356" s="415"/>
      <c r="F356" s="210"/>
      <c r="G356" s="415"/>
      <c r="H356" s="210"/>
      <c r="I356" s="423"/>
      <c r="J356" s="156"/>
      <c r="K356" s="423"/>
      <c r="L356" s="156"/>
      <c r="M356" s="415"/>
      <c r="N356" s="210"/>
      <c r="O356" s="415"/>
      <c r="P356" s="210"/>
      <c r="Q356" s="423"/>
      <c r="R356" s="156"/>
      <c r="S356" s="415"/>
      <c r="T356" s="210"/>
      <c r="U356" s="415"/>
      <c r="V356" s="210"/>
      <c r="W356" s="415"/>
      <c r="X356" s="210"/>
      <c r="Y356" s="8"/>
      <c r="Z356" s="8"/>
      <c r="AA356" s="8"/>
      <c r="AB356" s="8"/>
      <c r="AC356" s="8"/>
      <c r="AD356" s="8"/>
      <c r="AE356" s="8"/>
      <c r="AF356" s="8"/>
      <c r="AG356" s="8"/>
      <c r="AH356" s="8"/>
      <c r="AI356" s="8"/>
      <c r="AJ356" s="8"/>
      <c r="AK356" s="8"/>
      <c r="AL356" s="8"/>
      <c r="AM356" s="8"/>
      <c r="AN356" s="8"/>
      <c r="AO356" s="8"/>
      <c r="AP356" s="8"/>
      <c r="AQ356" s="8"/>
      <c r="AR356" s="8"/>
      <c r="AS356" s="8"/>
      <c r="AT356" s="8"/>
    </row>
    <row r="357">
      <c r="A357" s="415"/>
      <c r="B357" s="210"/>
      <c r="C357" s="415"/>
      <c r="D357" s="210"/>
      <c r="E357" s="415"/>
      <c r="F357" s="210"/>
      <c r="G357" s="415"/>
      <c r="H357" s="210"/>
      <c r="I357" s="423"/>
      <c r="J357" s="156"/>
      <c r="K357" s="423"/>
      <c r="L357" s="156"/>
      <c r="M357" s="415"/>
      <c r="N357" s="210"/>
      <c r="O357" s="415"/>
      <c r="P357" s="210"/>
      <c r="Q357" s="423"/>
      <c r="R357" s="156"/>
      <c r="S357" s="415"/>
      <c r="T357" s="210"/>
      <c r="U357" s="415"/>
      <c r="V357" s="210"/>
      <c r="W357" s="415"/>
      <c r="X357" s="210"/>
      <c r="Y357" s="8"/>
      <c r="Z357" s="8"/>
      <c r="AA357" s="8"/>
      <c r="AB357" s="8"/>
      <c r="AC357" s="8"/>
      <c r="AD357" s="8"/>
      <c r="AE357" s="8"/>
      <c r="AF357" s="8"/>
      <c r="AG357" s="8"/>
      <c r="AH357" s="8"/>
      <c r="AI357" s="8"/>
      <c r="AJ357" s="8"/>
      <c r="AK357" s="8"/>
      <c r="AL357" s="8"/>
      <c r="AM357" s="8"/>
      <c r="AN357" s="8"/>
      <c r="AO357" s="8"/>
      <c r="AP357" s="8"/>
      <c r="AQ357" s="8"/>
      <c r="AR357" s="8"/>
      <c r="AS357" s="8"/>
      <c r="AT357" s="8"/>
    </row>
    <row r="358">
      <c r="A358" s="415"/>
      <c r="B358" s="210"/>
      <c r="C358" s="415"/>
      <c r="D358" s="210"/>
      <c r="E358" s="415"/>
      <c r="F358" s="210"/>
      <c r="G358" s="415"/>
      <c r="H358" s="210"/>
      <c r="I358" s="423"/>
      <c r="J358" s="156"/>
      <c r="K358" s="423"/>
      <c r="L358" s="156"/>
      <c r="M358" s="415"/>
      <c r="N358" s="210"/>
      <c r="O358" s="415"/>
      <c r="P358" s="210"/>
      <c r="Q358" s="423"/>
      <c r="R358" s="156"/>
      <c r="S358" s="415"/>
      <c r="T358" s="210"/>
      <c r="U358" s="415"/>
      <c r="V358" s="210"/>
      <c r="W358" s="415"/>
      <c r="X358" s="210"/>
      <c r="Y358" s="8"/>
      <c r="Z358" s="8"/>
      <c r="AA358" s="8"/>
      <c r="AB358" s="8"/>
      <c r="AC358" s="8"/>
      <c r="AD358" s="8"/>
      <c r="AE358" s="8"/>
      <c r="AF358" s="8"/>
      <c r="AG358" s="8"/>
      <c r="AH358" s="8"/>
      <c r="AI358" s="8"/>
      <c r="AJ358" s="8"/>
      <c r="AK358" s="8"/>
      <c r="AL358" s="8"/>
      <c r="AM358" s="8"/>
      <c r="AN358" s="8"/>
      <c r="AO358" s="8"/>
      <c r="AP358" s="8"/>
      <c r="AQ358" s="8"/>
      <c r="AR358" s="8"/>
      <c r="AS358" s="8"/>
      <c r="AT358" s="8"/>
    </row>
    <row r="359">
      <c r="A359" s="415"/>
      <c r="B359" s="210"/>
      <c r="C359" s="415"/>
      <c r="D359" s="210"/>
      <c r="E359" s="415"/>
      <c r="F359" s="210"/>
      <c r="G359" s="415"/>
      <c r="H359" s="210"/>
      <c r="I359" s="423"/>
      <c r="J359" s="156"/>
      <c r="K359" s="423"/>
      <c r="L359" s="156"/>
      <c r="M359" s="415"/>
      <c r="N359" s="210"/>
      <c r="O359" s="415"/>
      <c r="P359" s="210"/>
      <c r="Q359" s="423"/>
      <c r="R359" s="156"/>
      <c r="S359" s="415"/>
      <c r="T359" s="210"/>
      <c r="U359" s="415"/>
      <c r="V359" s="210"/>
      <c r="W359" s="415"/>
      <c r="X359" s="210"/>
      <c r="Y359" s="8"/>
      <c r="Z359" s="8"/>
      <c r="AA359" s="8"/>
      <c r="AB359" s="8"/>
      <c r="AC359" s="8"/>
      <c r="AD359" s="8"/>
      <c r="AE359" s="8"/>
      <c r="AF359" s="8"/>
      <c r="AG359" s="8"/>
      <c r="AH359" s="8"/>
      <c r="AI359" s="8"/>
      <c r="AJ359" s="8"/>
      <c r="AK359" s="8"/>
      <c r="AL359" s="8"/>
      <c r="AM359" s="8"/>
      <c r="AN359" s="8"/>
      <c r="AO359" s="8"/>
      <c r="AP359" s="8"/>
      <c r="AQ359" s="8"/>
      <c r="AR359" s="8"/>
      <c r="AS359" s="8"/>
      <c r="AT359" s="8"/>
    </row>
    <row r="360">
      <c r="A360" s="415"/>
      <c r="B360" s="210"/>
      <c r="C360" s="415"/>
      <c r="D360" s="210"/>
      <c r="E360" s="415"/>
      <c r="F360" s="210"/>
      <c r="G360" s="415"/>
      <c r="H360" s="210"/>
      <c r="I360" s="423"/>
      <c r="J360" s="156"/>
      <c r="K360" s="423"/>
      <c r="L360" s="156"/>
      <c r="M360" s="415"/>
      <c r="N360" s="210"/>
      <c r="O360" s="415"/>
      <c r="P360" s="210"/>
      <c r="Q360" s="423"/>
      <c r="R360" s="156"/>
      <c r="S360" s="415"/>
      <c r="T360" s="210"/>
      <c r="U360" s="415"/>
      <c r="V360" s="210"/>
      <c r="W360" s="415"/>
      <c r="X360" s="210"/>
      <c r="Y360" s="8"/>
      <c r="Z360" s="8"/>
      <c r="AA360" s="8"/>
      <c r="AB360" s="8"/>
      <c r="AC360" s="8"/>
      <c r="AD360" s="8"/>
      <c r="AE360" s="8"/>
      <c r="AF360" s="8"/>
      <c r="AG360" s="8"/>
      <c r="AH360" s="8"/>
      <c r="AI360" s="8"/>
      <c r="AJ360" s="8"/>
      <c r="AK360" s="8"/>
      <c r="AL360" s="8"/>
      <c r="AM360" s="8"/>
      <c r="AN360" s="8"/>
      <c r="AO360" s="8"/>
      <c r="AP360" s="8"/>
      <c r="AQ360" s="8"/>
      <c r="AR360" s="8"/>
      <c r="AS360" s="8"/>
      <c r="AT360" s="8"/>
    </row>
    <row r="361">
      <c r="A361" s="415"/>
      <c r="B361" s="210"/>
      <c r="C361" s="415"/>
      <c r="D361" s="210"/>
      <c r="E361" s="415"/>
      <c r="F361" s="210"/>
      <c r="G361" s="415"/>
      <c r="H361" s="210"/>
      <c r="I361" s="423"/>
      <c r="J361" s="156"/>
      <c r="K361" s="423"/>
      <c r="L361" s="156"/>
      <c r="M361" s="415"/>
      <c r="N361" s="210"/>
      <c r="O361" s="415"/>
      <c r="P361" s="210"/>
      <c r="Q361" s="423"/>
      <c r="R361" s="156"/>
      <c r="S361" s="415"/>
      <c r="T361" s="210"/>
      <c r="U361" s="415"/>
      <c r="V361" s="210"/>
      <c r="W361" s="415"/>
      <c r="X361" s="210"/>
      <c r="Y361" s="8"/>
      <c r="Z361" s="8"/>
      <c r="AA361" s="8"/>
      <c r="AB361" s="8"/>
      <c r="AC361" s="8"/>
      <c r="AD361" s="8"/>
      <c r="AE361" s="8"/>
      <c r="AF361" s="8"/>
      <c r="AG361" s="8"/>
      <c r="AH361" s="8"/>
      <c r="AI361" s="8"/>
      <c r="AJ361" s="8"/>
      <c r="AK361" s="8"/>
      <c r="AL361" s="8"/>
      <c r="AM361" s="8"/>
      <c r="AN361" s="8"/>
      <c r="AO361" s="8"/>
      <c r="AP361" s="8"/>
      <c r="AQ361" s="8"/>
      <c r="AR361" s="8"/>
      <c r="AS361" s="8"/>
      <c r="AT361" s="8"/>
    </row>
    <row r="362">
      <c r="A362" s="415"/>
      <c r="B362" s="210"/>
      <c r="C362" s="415"/>
      <c r="D362" s="210"/>
      <c r="E362" s="415"/>
      <c r="F362" s="210"/>
      <c r="G362" s="415"/>
      <c r="H362" s="210"/>
      <c r="I362" s="423"/>
      <c r="J362" s="156"/>
      <c r="K362" s="423"/>
      <c r="L362" s="156"/>
      <c r="M362" s="415"/>
      <c r="N362" s="210"/>
      <c r="O362" s="415"/>
      <c r="P362" s="210"/>
      <c r="Q362" s="423"/>
      <c r="R362" s="156"/>
      <c r="S362" s="415"/>
      <c r="T362" s="210"/>
      <c r="U362" s="415"/>
      <c r="V362" s="210"/>
      <c r="W362" s="415"/>
      <c r="X362" s="210"/>
      <c r="Y362" s="8"/>
      <c r="Z362" s="8"/>
      <c r="AA362" s="8"/>
      <c r="AB362" s="8"/>
      <c r="AC362" s="8"/>
      <c r="AD362" s="8"/>
      <c r="AE362" s="8"/>
      <c r="AF362" s="8"/>
      <c r="AG362" s="8"/>
      <c r="AH362" s="8"/>
      <c r="AI362" s="8"/>
      <c r="AJ362" s="8"/>
      <c r="AK362" s="8"/>
      <c r="AL362" s="8"/>
      <c r="AM362" s="8"/>
      <c r="AN362" s="8"/>
      <c r="AO362" s="8"/>
      <c r="AP362" s="8"/>
      <c r="AQ362" s="8"/>
      <c r="AR362" s="8"/>
      <c r="AS362" s="8"/>
      <c r="AT362" s="8"/>
    </row>
    <row r="363">
      <c r="A363" s="415"/>
      <c r="B363" s="210"/>
      <c r="C363" s="415"/>
      <c r="D363" s="210"/>
      <c r="E363" s="415"/>
      <c r="F363" s="210"/>
      <c r="G363" s="415"/>
      <c r="H363" s="210"/>
      <c r="I363" s="423"/>
      <c r="J363" s="156"/>
      <c r="K363" s="423"/>
      <c r="L363" s="156"/>
      <c r="M363" s="415"/>
      <c r="N363" s="210"/>
      <c r="O363" s="415"/>
      <c r="P363" s="210"/>
      <c r="Q363" s="423"/>
      <c r="R363" s="156"/>
      <c r="S363" s="415"/>
      <c r="T363" s="210"/>
      <c r="U363" s="415"/>
      <c r="V363" s="210"/>
      <c r="W363" s="415"/>
      <c r="X363" s="210"/>
      <c r="Y363" s="8"/>
      <c r="Z363" s="8"/>
      <c r="AA363" s="8"/>
      <c r="AB363" s="8"/>
      <c r="AC363" s="8"/>
      <c r="AD363" s="8"/>
      <c r="AE363" s="8"/>
      <c r="AF363" s="8"/>
      <c r="AG363" s="8"/>
      <c r="AH363" s="8"/>
      <c r="AI363" s="8"/>
      <c r="AJ363" s="8"/>
      <c r="AK363" s="8"/>
      <c r="AL363" s="8"/>
      <c r="AM363" s="8"/>
      <c r="AN363" s="8"/>
      <c r="AO363" s="8"/>
      <c r="AP363" s="8"/>
      <c r="AQ363" s="8"/>
      <c r="AR363" s="8"/>
      <c r="AS363" s="8"/>
      <c r="AT363" s="8"/>
    </row>
    <row r="364">
      <c r="A364" s="415"/>
      <c r="B364" s="210"/>
      <c r="C364" s="415"/>
      <c r="D364" s="210"/>
      <c r="E364" s="415"/>
      <c r="F364" s="210"/>
      <c r="G364" s="415"/>
      <c r="H364" s="210"/>
      <c r="I364" s="423"/>
      <c r="J364" s="156"/>
      <c r="K364" s="423"/>
      <c r="L364" s="156"/>
      <c r="M364" s="415"/>
      <c r="N364" s="210"/>
      <c r="O364" s="415"/>
      <c r="P364" s="210"/>
      <c r="Q364" s="423"/>
      <c r="R364" s="156"/>
      <c r="S364" s="415"/>
      <c r="T364" s="210"/>
      <c r="U364" s="415"/>
      <c r="V364" s="210"/>
      <c r="W364" s="415"/>
      <c r="X364" s="210"/>
      <c r="Y364" s="8"/>
      <c r="Z364" s="8"/>
      <c r="AA364" s="8"/>
      <c r="AB364" s="8"/>
      <c r="AC364" s="8"/>
      <c r="AD364" s="8"/>
      <c r="AE364" s="8"/>
      <c r="AF364" s="8"/>
      <c r="AG364" s="8"/>
      <c r="AH364" s="8"/>
      <c r="AI364" s="8"/>
      <c r="AJ364" s="8"/>
      <c r="AK364" s="8"/>
      <c r="AL364" s="8"/>
      <c r="AM364" s="8"/>
      <c r="AN364" s="8"/>
      <c r="AO364" s="8"/>
      <c r="AP364" s="8"/>
      <c r="AQ364" s="8"/>
      <c r="AR364" s="8"/>
      <c r="AS364" s="8"/>
      <c r="AT364" s="8"/>
    </row>
    <row r="365">
      <c r="A365" s="415"/>
      <c r="B365" s="210"/>
      <c r="C365" s="415"/>
      <c r="D365" s="210"/>
      <c r="E365" s="415"/>
      <c r="F365" s="210"/>
      <c r="G365" s="415"/>
      <c r="H365" s="210"/>
      <c r="I365" s="423"/>
      <c r="J365" s="156"/>
      <c r="K365" s="423"/>
      <c r="L365" s="156"/>
      <c r="M365" s="415"/>
      <c r="N365" s="210"/>
      <c r="O365" s="415"/>
      <c r="P365" s="210"/>
      <c r="Q365" s="423"/>
      <c r="R365" s="156"/>
      <c r="S365" s="415"/>
      <c r="T365" s="210"/>
      <c r="U365" s="415"/>
      <c r="V365" s="210"/>
      <c r="W365" s="415"/>
      <c r="X365" s="210"/>
      <c r="Y365" s="8"/>
      <c r="Z365" s="8"/>
      <c r="AA365" s="8"/>
      <c r="AB365" s="8"/>
      <c r="AC365" s="8"/>
      <c r="AD365" s="8"/>
      <c r="AE365" s="8"/>
      <c r="AF365" s="8"/>
      <c r="AG365" s="8"/>
      <c r="AH365" s="8"/>
      <c r="AI365" s="8"/>
      <c r="AJ365" s="8"/>
      <c r="AK365" s="8"/>
      <c r="AL365" s="8"/>
      <c r="AM365" s="8"/>
      <c r="AN365" s="8"/>
      <c r="AO365" s="8"/>
      <c r="AP365" s="8"/>
      <c r="AQ365" s="8"/>
      <c r="AR365" s="8"/>
      <c r="AS365" s="8"/>
      <c r="AT365" s="8"/>
    </row>
    <row r="366">
      <c r="A366" s="415"/>
      <c r="B366" s="210"/>
      <c r="C366" s="415"/>
      <c r="D366" s="210"/>
      <c r="E366" s="415"/>
      <c r="F366" s="210"/>
      <c r="G366" s="415"/>
      <c r="H366" s="210"/>
      <c r="I366" s="423"/>
      <c r="J366" s="156"/>
      <c r="K366" s="423"/>
      <c r="L366" s="156"/>
      <c r="M366" s="415"/>
      <c r="N366" s="210"/>
      <c r="O366" s="415"/>
      <c r="P366" s="210"/>
      <c r="Q366" s="423"/>
      <c r="R366" s="156"/>
      <c r="S366" s="415"/>
      <c r="T366" s="210"/>
      <c r="U366" s="415"/>
      <c r="V366" s="210"/>
      <c r="W366" s="415"/>
      <c r="X366" s="210"/>
      <c r="Y366" s="8"/>
      <c r="Z366" s="8"/>
      <c r="AA366" s="8"/>
      <c r="AB366" s="8"/>
      <c r="AC366" s="8"/>
      <c r="AD366" s="8"/>
      <c r="AE366" s="8"/>
      <c r="AF366" s="8"/>
      <c r="AG366" s="8"/>
      <c r="AH366" s="8"/>
      <c r="AI366" s="8"/>
      <c r="AJ366" s="8"/>
      <c r="AK366" s="8"/>
      <c r="AL366" s="8"/>
      <c r="AM366" s="8"/>
      <c r="AN366" s="8"/>
      <c r="AO366" s="8"/>
      <c r="AP366" s="8"/>
      <c r="AQ366" s="8"/>
      <c r="AR366" s="8"/>
      <c r="AS366" s="8"/>
      <c r="AT366" s="8"/>
    </row>
    <row r="367">
      <c r="A367" s="415"/>
      <c r="B367" s="210"/>
      <c r="C367" s="415"/>
      <c r="D367" s="210"/>
      <c r="E367" s="415"/>
      <c r="F367" s="210"/>
      <c r="G367" s="415"/>
      <c r="H367" s="210"/>
      <c r="I367" s="423"/>
      <c r="J367" s="156"/>
      <c r="K367" s="423"/>
      <c r="L367" s="156"/>
      <c r="M367" s="415"/>
      <c r="N367" s="210"/>
      <c r="O367" s="415"/>
      <c r="P367" s="210"/>
      <c r="Q367" s="423"/>
      <c r="R367" s="156"/>
      <c r="S367" s="415"/>
      <c r="T367" s="210"/>
      <c r="U367" s="415"/>
      <c r="V367" s="210"/>
      <c r="W367" s="415"/>
      <c r="X367" s="210"/>
      <c r="Y367" s="8"/>
      <c r="Z367" s="8"/>
      <c r="AA367" s="8"/>
      <c r="AB367" s="8"/>
      <c r="AC367" s="8"/>
      <c r="AD367" s="8"/>
      <c r="AE367" s="8"/>
      <c r="AF367" s="8"/>
      <c r="AG367" s="8"/>
      <c r="AH367" s="8"/>
      <c r="AI367" s="8"/>
      <c r="AJ367" s="8"/>
      <c r="AK367" s="8"/>
      <c r="AL367" s="8"/>
      <c r="AM367" s="8"/>
      <c r="AN367" s="8"/>
      <c r="AO367" s="8"/>
      <c r="AP367" s="8"/>
      <c r="AQ367" s="8"/>
      <c r="AR367" s="8"/>
      <c r="AS367" s="8"/>
      <c r="AT367" s="8"/>
    </row>
    <row r="368">
      <c r="A368" s="415"/>
      <c r="B368" s="210"/>
      <c r="C368" s="415"/>
      <c r="D368" s="210"/>
      <c r="E368" s="415"/>
      <c r="F368" s="210"/>
      <c r="G368" s="415"/>
      <c r="H368" s="210"/>
      <c r="I368" s="423"/>
      <c r="J368" s="156"/>
      <c r="K368" s="423"/>
      <c r="L368" s="156"/>
      <c r="M368" s="415"/>
      <c r="N368" s="210"/>
      <c r="O368" s="415"/>
      <c r="P368" s="210"/>
      <c r="Q368" s="423"/>
      <c r="R368" s="156"/>
      <c r="S368" s="415"/>
      <c r="T368" s="210"/>
      <c r="U368" s="415"/>
      <c r="V368" s="210"/>
      <c r="W368" s="415"/>
      <c r="X368" s="210"/>
      <c r="Y368" s="8"/>
      <c r="Z368" s="8"/>
      <c r="AA368" s="8"/>
      <c r="AB368" s="8"/>
      <c r="AC368" s="8"/>
      <c r="AD368" s="8"/>
      <c r="AE368" s="8"/>
      <c r="AF368" s="8"/>
      <c r="AG368" s="8"/>
      <c r="AH368" s="8"/>
      <c r="AI368" s="8"/>
      <c r="AJ368" s="8"/>
      <c r="AK368" s="8"/>
      <c r="AL368" s="8"/>
      <c r="AM368" s="8"/>
      <c r="AN368" s="8"/>
      <c r="AO368" s="8"/>
      <c r="AP368" s="8"/>
      <c r="AQ368" s="8"/>
      <c r="AR368" s="8"/>
      <c r="AS368" s="8"/>
      <c r="AT368" s="8"/>
    </row>
    <row r="369">
      <c r="A369" s="415"/>
      <c r="B369" s="210"/>
      <c r="C369" s="415"/>
      <c r="D369" s="210"/>
      <c r="E369" s="415"/>
      <c r="F369" s="210"/>
      <c r="G369" s="415"/>
      <c r="H369" s="210"/>
      <c r="I369" s="423"/>
      <c r="J369" s="156"/>
      <c r="K369" s="423"/>
      <c r="L369" s="156"/>
      <c r="M369" s="415"/>
      <c r="N369" s="210"/>
      <c r="O369" s="415"/>
      <c r="P369" s="210"/>
      <c r="Q369" s="423"/>
      <c r="R369" s="156"/>
      <c r="S369" s="415"/>
      <c r="T369" s="210"/>
      <c r="U369" s="415"/>
      <c r="V369" s="210"/>
      <c r="W369" s="415"/>
      <c r="X369" s="210"/>
      <c r="Y369" s="8"/>
      <c r="Z369" s="8"/>
      <c r="AA369" s="8"/>
      <c r="AB369" s="8"/>
      <c r="AC369" s="8"/>
      <c r="AD369" s="8"/>
      <c r="AE369" s="8"/>
      <c r="AF369" s="8"/>
      <c r="AG369" s="8"/>
      <c r="AH369" s="8"/>
      <c r="AI369" s="8"/>
      <c r="AJ369" s="8"/>
      <c r="AK369" s="8"/>
      <c r="AL369" s="8"/>
      <c r="AM369" s="8"/>
      <c r="AN369" s="8"/>
      <c r="AO369" s="8"/>
      <c r="AP369" s="8"/>
      <c r="AQ369" s="8"/>
      <c r="AR369" s="8"/>
      <c r="AS369" s="8"/>
      <c r="AT369" s="8"/>
    </row>
    <row r="370">
      <c r="A370" s="415"/>
      <c r="B370" s="210"/>
      <c r="C370" s="415"/>
      <c r="D370" s="210"/>
      <c r="E370" s="415"/>
      <c r="F370" s="210"/>
      <c r="G370" s="415"/>
      <c r="H370" s="210"/>
      <c r="I370" s="423"/>
      <c r="J370" s="156"/>
      <c r="K370" s="423"/>
      <c r="L370" s="156"/>
      <c r="M370" s="415"/>
      <c r="N370" s="210"/>
      <c r="O370" s="415"/>
      <c r="P370" s="210"/>
      <c r="Q370" s="423"/>
      <c r="R370" s="156"/>
      <c r="S370" s="415"/>
      <c r="T370" s="210"/>
      <c r="U370" s="415"/>
      <c r="V370" s="210"/>
      <c r="W370" s="415"/>
      <c r="X370" s="210"/>
      <c r="Y370" s="8"/>
      <c r="Z370" s="8"/>
      <c r="AA370" s="8"/>
      <c r="AB370" s="8"/>
      <c r="AC370" s="8"/>
      <c r="AD370" s="8"/>
      <c r="AE370" s="8"/>
      <c r="AF370" s="8"/>
      <c r="AG370" s="8"/>
      <c r="AH370" s="8"/>
      <c r="AI370" s="8"/>
      <c r="AJ370" s="8"/>
      <c r="AK370" s="8"/>
      <c r="AL370" s="8"/>
      <c r="AM370" s="8"/>
      <c r="AN370" s="8"/>
      <c r="AO370" s="8"/>
      <c r="AP370" s="8"/>
      <c r="AQ370" s="8"/>
      <c r="AR370" s="8"/>
      <c r="AS370" s="8"/>
      <c r="AT370" s="8"/>
    </row>
    <row r="371">
      <c r="A371" s="415"/>
      <c r="B371" s="210"/>
      <c r="C371" s="415"/>
      <c r="D371" s="210"/>
      <c r="E371" s="415"/>
      <c r="F371" s="210"/>
      <c r="G371" s="415"/>
      <c r="H371" s="210"/>
      <c r="I371" s="423"/>
      <c r="J371" s="156"/>
      <c r="K371" s="423"/>
      <c r="L371" s="156"/>
      <c r="M371" s="415"/>
      <c r="N371" s="210"/>
      <c r="O371" s="415"/>
      <c r="P371" s="210"/>
      <c r="Q371" s="423"/>
      <c r="R371" s="156"/>
      <c r="S371" s="415"/>
      <c r="T371" s="210"/>
      <c r="U371" s="415"/>
      <c r="V371" s="210"/>
      <c r="W371" s="415"/>
      <c r="X371" s="210"/>
      <c r="Y371" s="8"/>
      <c r="Z371" s="8"/>
      <c r="AA371" s="8"/>
      <c r="AB371" s="8"/>
      <c r="AC371" s="8"/>
      <c r="AD371" s="8"/>
      <c r="AE371" s="8"/>
      <c r="AF371" s="8"/>
      <c r="AG371" s="8"/>
      <c r="AH371" s="8"/>
      <c r="AI371" s="8"/>
      <c r="AJ371" s="8"/>
      <c r="AK371" s="8"/>
      <c r="AL371" s="8"/>
      <c r="AM371" s="8"/>
      <c r="AN371" s="8"/>
      <c r="AO371" s="8"/>
      <c r="AP371" s="8"/>
      <c r="AQ371" s="8"/>
      <c r="AR371" s="8"/>
      <c r="AS371" s="8"/>
      <c r="AT371" s="8"/>
    </row>
    <row r="372">
      <c r="A372" s="415"/>
      <c r="B372" s="210"/>
      <c r="C372" s="415"/>
      <c r="D372" s="210"/>
      <c r="E372" s="415"/>
      <c r="F372" s="210"/>
      <c r="G372" s="415"/>
      <c r="H372" s="210"/>
      <c r="I372" s="423"/>
      <c r="J372" s="156"/>
      <c r="K372" s="423"/>
      <c r="L372" s="156"/>
      <c r="M372" s="415"/>
      <c r="N372" s="210"/>
      <c r="O372" s="415"/>
      <c r="P372" s="210"/>
      <c r="Q372" s="423"/>
      <c r="R372" s="156"/>
      <c r="S372" s="415"/>
      <c r="T372" s="210"/>
      <c r="U372" s="415"/>
      <c r="V372" s="210"/>
      <c r="W372" s="415"/>
      <c r="X372" s="210"/>
      <c r="Y372" s="8"/>
      <c r="Z372" s="8"/>
      <c r="AA372" s="8"/>
      <c r="AB372" s="8"/>
      <c r="AC372" s="8"/>
      <c r="AD372" s="8"/>
      <c r="AE372" s="8"/>
      <c r="AF372" s="8"/>
      <c r="AG372" s="8"/>
      <c r="AH372" s="8"/>
      <c r="AI372" s="8"/>
      <c r="AJ372" s="8"/>
      <c r="AK372" s="8"/>
      <c r="AL372" s="8"/>
      <c r="AM372" s="8"/>
      <c r="AN372" s="8"/>
      <c r="AO372" s="8"/>
      <c r="AP372" s="8"/>
      <c r="AQ372" s="8"/>
      <c r="AR372" s="8"/>
      <c r="AS372" s="8"/>
      <c r="AT372" s="8"/>
    </row>
    <row r="373">
      <c r="A373" s="415"/>
      <c r="B373" s="210"/>
      <c r="C373" s="415"/>
      <c r="D373" s="210"/>
      <c r="E373" s="415"/>
      <c r="F373" s="210"/>
      <c r="G373" s="415"/>
      <c r="H373" s="210"/>
      <c r="I373" s="423"/>
      <c r="J373" s="156"/>
      <c r="K373" s="423"/>
      <c r="L373" s="156"/>
      <c r="M373" s="415"/>
      <c r="N373" s="210"/>
      <c r="O373" s="415"/>
      <c r="P373" s="210"/>
      <c r="Q373" s="423"/>
      <c r="R373" s="156"/>
      <c r="S373" s="415"/>
      <c r="T373" s="210"/>
      <c r="U373" s="415"/>
      <c r="V373" s="210"/>
      <c r="W373" s="415"/>
      <c r="X373" s="210"/>
      <c r="Y373" s="8"/>
      <c r="Z373" s="8"/>
      <c r="AA373" s="8"/>
      <c r="AB373" s="8"/>
      <c r="AC373" s="8"/>
      <c r="AD373" s="8"/>
      <c r="AE373" s="8"/>
      <c r="AF373" s="8"/>
      <c r="AG373" s="8"/>
      <c r="AH373" s="8"/>
      <c r="AI373" s="8"/>
      <c r="AJ373" s="8"/>
      <c r="AK373" s="8"/>
      <c r="AL373" s="8"/>
      <c r="AM373" s="8"/>
      <c r="AN373" s="8"/>
      <c r="AO373" s="8"/>
      <c r="AP373" s="8"/>
      <c r="AQ373" s="8"/>
      <c r="AR373" s="8"/>
      <c r="AS373" s="8"/>
      <c r="AT373" s="8"/>
    </row>
    <row r="374">
      <c r="A374" s="415"/>
      <c r="B374" s="210"/>
      <c r="C374" s="415"/>
      <c r="D374" s="210"/>
      <c r="E374" s="415"/>
      <c r="F374" s="210"/>
      <c r="G374" s="415"/>
      <c r="H374" s="210"/>
      <c r="I374" s="423"/>
      <c r="J374" s="156"/>
      <c r="K374" s="423"/>
      <c r="L374" s="156"/>
      <c r="M374" s="415"/>
      <c r="N374" s="210"/>
      <c r="O374" s="415"/>
      <c r="P374" s="210"/>
      <c r="Q374" s="423"/>
      <c r="R374" s="156"/>
      <c r="S374" s="415"/>
      <c r="T374" s="210"/>
      <c r="U374" s="415"/>
      <c r="V374" s="210"/>
      <c r="W374" s="415"/>
      <c r="X374" s="210"/>
      <c r="Y374" s="8"/>
      <c r="Z374" s="8"/>
      <c r="AA374" s="8"/>
      <c r="AB374" s="8"/>
      <c r="AC374" s="8"/>
      <c r="AD374" s="8"/>
      <c r="AE374" s="8"/>
      <c r="AF374" s="8"/>
      <c r="AG374" s="8"/>
      <c r="AH374" s="8"/>
      <c r="AI374" s="8"/>
      <c r="AJ374" s="8"/>
      <c r="AK374" s="8"/>
      <c r="AL374" s="8"/>
      <c r="AM374" s="8"/>
      <c r="AN374" s="8"/>
      <c r="AO374" s="8"/>
      <c r="AP374" s="8"/>
      <c r="AQ374" s="8"/>
      <c r="AR374" s="8"/>
      <c r="AS374" s="8"/>
      <c r="AT374" s="8"/>
    </row>
    <row r="375">
      <c r="A375" s="415"/>
      <c r="B375" s="210"/>
      <c r="C375" s="415"/>
      <c r="D375" s="210"/>
      <c r="E375" s="415"/>
      <c r="F375" s="210"/>
      <c r="G375" s="415"/>
      <c r="H375" s="210"/>
      <c r="I375" s="423"/>
      <c r="J375" s="156"/>
      <c r="K375" s="423"/>
      <c r="L375" s="156"/>
      <c r="M375" s="415"/>
      <c r="N375" s="210"/>
      <c r="O375" s="415"/>
      <c r="P375" s="210"/>
      <c r="Q375" s="423"/>
      <c r="R375" s="156"/>
      <c r="S375" s="415"/>
      <c r="T375" s="210"/>
      <c r="U375" s="415"/>
      <c r="V375" s="210"/>
      <c r="W375" s="415"/>
      <c r="X375" s="210"/>
      <c r="Y375" s="8"/>
      <c r="Z375" s="8"/>
      <c r="AA375" s="8"/>
      <c r="AB375" s="8"/>
      <c r="AC375" s="8"/>
      <c r="AD375" s="8"/>
      <c r="AE375" s="8"/>
      <c r="AF375" s="8"/>
      <c r="AG375" s="8"/>
      <c r="AH375" s="8"/>
      <c r="AI375" s="8"/>
      <c r="AJ375" s="8"/>
      <c r="AK375" s="8"/>
      <c r="AL375" s="8"/>
      <c r="AM375" s="8"/>
      <c r="AN375" s="8"/>
      <c r="AO375" s="8"/>
      <c r="AP375" s="8"/>
      <c r="AQ375" s="8"/>
      <c r="AR375" s="8"/>
      <c r="AS375" s="8"/>
      <c r="AT375" s="8"/>
    </row>
    <row r="376">
      <c r="A376" s="415"/>
      <c r="B376" s="210"/>
      <c r="C376" s="415"/>
      <c r="D376" s="210"/>
      <c r="E376" s="415"/>
      <c r="F376" s="210"/>
      <c r="G376" s="415"/>
      <c r="H376" s="210"/>
      <c r="I376" s="423"/>
      <c r="J376" s="156"/>
      <c r="K376" s="423"/>
      <c r="L376" s="156"/>
      <c r="M376" s="415"/>
      <c r="N376" s="210"/>
      <c r="O376" s="415"/>
      <c r="P376" s="210"/>
      <c r="Q376" s="423"/>
      <c r="R376" s="156"/>
      <c r="S376" s="415"/>
      <c r="T376" s="210"/>
      <c r="U376" s="415"/>
      <c r="V376" s="210"/>
      <c r="W376" s="415"/>
      <c r="X376" s="210"/>
      <c r="Y376" s="8"/>
      <c r="Z376" s="8"/>
      <c r="AA376" s="8"/>
      <c r="AB376" s="8"/>
      <c r="AC376" s="8"/>
      <c r="AD376" s="8"/>
      <c r="AE376" s="8"/>
      <c r="AF376" s="8"/>
      <c r="AG376" s="8"/>
      <c r="AH376" s="8"/>
      <c r="AI376" s="8"/>
      <c r="AJ376" s="8"/>
      <c r="AK376" s="8"/>
      <c r="AL376" s="8"/>
      <c r="AM376" s="8"/>
      <c r="AN376" s="8"/>
      <c r="AO376" s="8"/>
      <c r="AP376" s="8"/>
      <c r="AQ376" s="8"/>
      <c r="AR376" s="8"/>
      <c r="AS376" s="8"/>
      <c r="AT376" s="8"/>
    </row>
    <row r="377">
      <c r="A377" s="415"/>
      <c r="B377" s="210"/>
      <c r="C377" s="415"/>
      <c r="D377" s="210"/>
      <c r="E377" s="415"/>
      <c r="F377" s="210"/>
      <c r="G377" s="415"/>
      <c r="H377" s="210"/>
      <c r="I377" s="423"/>
      <c r="J377" s="156"/>
      <c r="K377" s="423"/>
      <c r="L377" s="156"/>
      <c r="M377" s="415"/>
      <c r="N377" s="210"/>
      <c r="O377" s="415"/>
      <c r="P377" s="210"/>
      <c r="Q377" s="423"/>
      <c r="R377" s="156"/>
      <c r="S377" s="415"/>
      <c r="T377" s="210"/>
      <c r="U377" s="415"/>
      <c r="V377" s="210"/>
      <c r="W377" s="415"/>
      <c r="X377" s="210"/>
      <c r="Y377" s="8"/>
      <c r="Z377" s="8"/>
      <c r="AA377" s="8"/>
      <c r="AB377" s="8"/>
      <c r="AC377" s="8"/>
      <c r="AD377" s="8"/>
      <c r="AE377" s="8"/>
      <c r="AF377" s="8"/>
      <c r="AG377" s="8"/>
      <c r="AH377" s="8"/>
      <c r="AI377" s="8"/>
      <c r="AJ377" s="8"/>
      <c r="AK377" s="8"/>
      <c r="AL377" s="8"/>
      <c r="AM377" s="8"/>
      <c r="AN377" s="8"/>
      <c r="AO377" s="8"/>
      <c r="AP377" s="8"/>
      <c r="AQ377" s="8"/>
      <c r="AR377" s="8"/>
      <c r="AS377" s="8"/>
      <c r="AT377" s="8"/>
    </row>
    <row r="378">
      <c r="A378" s="415"/>
      <c r="B378" s="210"/>
      <c r="C378" s="415"/>
      <c r="D378" s="210"/>
      <c r="E378" s="415"/>
      <c r="F378" s="210"/>
      <c r="G378" s="415"/>
      <c r="H378" s="210"/>
      <c r="I378" s="423"/>
      <c r="J378" s="156"/>
      <c r="K378" s="423"/>
      <c r="L378" s="156"/>
      <c r="M378" s="415"/>
      <c r="N378" s="210"/>
      <c r="O378" s="415"/>
      <c r="P378" s="210"/>
      <c r="Q378" s="423"/>
      <c r="R378" s="156"/>
      <c r="S378" s="415"/>
      <c r="T378" s="210"/>
      <c r="U378" s="415"/>
      <c r="V378" s="210"/>
      <c r="W378" s="415"/>
      <c r="X378" s="210"/>
      <c r="Y378" s="8"/>
      <c r="Z378" s="8"/>
      <c r="AA378" s="8"/>
      <c r="AB378" s="8"/>
      <c r="AC378" s="8"/>
      <c r="AD378" s="8"/>
      <c r="AE378" s="8"/>
      <c r="AF378" s="8"/>
      <c r="AG378" s="8"/>
      <c r="AH378" s="8"/>
      <c r="AI378" s="8"/>
      <c r="AJ378" s="8"/>
      <c r="AK378" s="8"/>
      <c r="AL378" s="8"/>
      <c r="AM378" s="8"/>
      <c r="AN378" s="8"/>
      <c r="AO378" s="8"/>
      <c r="AP378" s="8"/>
      <c r="AQ378" s="8"/>
      <c r="AR378" s="8"/>
      <c r="AS378" s="8"/>
      <c r="AT378" s="8"/>
    </row>
    <row r="379">
      <c r="A379" s="415"/>
      <c r="B379" s="210"/>
      <c r="C379" s="415"/>
      <c r="D379" s="210"/>
      <c r="E379" s="415"/>
      <c r="F379" s="210"/>
      <c r="G379" s="415"/>
      <c r="H379" s="210"/>
      <c r="I379" s="423"/>
      <c r="J379" s="156"/>
      <c r="K379" s="423"/>
      <c r="L379" s="156"/>
      <c r="M379" s="415"/>
      <c r="N379" s="210"/>
      <c r="O379" s="415"/>
      <c r="P379" s="210"/>
      <c r="Q379" s="423"/>
      <c r="R379" s="156"/>
      <c r="S379" s="415"/>
      <c r="T379" s="210"/>
      <c r="U379" s="415"/>
      <c r="V379" s="210"/>
      <c r="W379" s="415"/>
      <c r="X379" s="210"/>
      <c r="Y379" s="8"/>
      <c r="Z379" s="8"/>
      <c r="AA379" s="8"/>
      <c r="AB379" s="8"/>
      <c r="AC379" s="8"/>
      <c r="AD379" s="8"/>
      <c r="AE379" s="8"/>
      <c r="AF379" s="8"/>
      <c r="AG379" s="8"/>
      <c r="AH379" s="8"/>
      <c r="AI379" s="8"/>
      <c r="AJ379" s="8"/>
      <c r="AK379" s="8"/>
      <c r="AL379" s="8"/>
      <c r="AM379" s="8"/>
      <c r="AN379" s="8"/>
      <c r="AO379" s="8"/>
      <c r="AP379" s="8"/>
      <c r="AQ379" s="8"/>
      <c r="AR379" s="8"/>
      <c r="AS379" s="8"/>
      <c r="AT379" s="8"/>
    </row>
    <row r="380">
      <c r="A380" s="415"/>
      <c r="B380" s="210"/>
      <c r="C380" s="415"/>
      <c r="D380" s="210"/>
      <c r="E380" s="415"/>
      <c r="F380" s="210"/>
      <c r="G380" s="415"/>
      <c r="H380" s="210"/>
      <c r="I380" s="423"/>
      <c r="J380" s="156"/>
      <c r="K380" s="423"/>
      <c r="L380" s="156"/>
      <c r="M380" s="415"/>
      <c r="N380" s="210"/>
      <c r="O380" s="415"/>
      <c r="P380" s="210"/>
      <c r="Q380" s="423"/>
      <c r="R380" s="156"/>
      <c r="S380" s="415"/>
      <c r="T380" s="210"/>
      <c r="U380" s="415"/>
      <c r="V380" s="210"/>
      <c r="W380" s="415"/>
      <c r="X380" s="210"/>
      <c r="Y380" s="8"/>
      <c r="Z380" s="8"/>
      <c r="AA380" s="8"/>
      <c r="AB380" s="8"/>
      <c r="AC380" s="8"/>
      <c r="AD380" s="8"/>
      <c r="AE380" s="8"/>
      <c r="AF380" s="8"/>
      <c r="AG380" s="8"/>
      <c r="AH380" s="8"/>
      <c r="AI380" s="8"/>
      <c r="AJ380" s="8"/>
      <c r="AK380" s="8"/>
      <c r="AL380" s="8"/>
      <c r="AM380" s="8"/>
      <c r="AN380" s="8"/>
      <c r="AO380" s="8"/>
      <c r="AP380" s="8"/>
      <c r="AQ380" s="8"/>
      <c r="AR380" s="8"/>
      <c r="AS380" s="8"/>
      <c r="AT380" s="8"/>
    </row>
    <row r="381">
      <c r="A381" s="415"/>
      <c r="B381" s="210"/>
      <c r="C381" s="415"/>
      <c r="D381" s="210"/>
      <c r="E381" s="415"/>
      <c r="F381" s="210"/>
      <c r="G381" s="415"/>
      <c r="H381" s="210"/>
      <c r="I381" s="423"/>
      <c r="J381" s="156"/>
      <c r="K381" s="423"/>
      <c r="L381" s="156"/>
      <c r="M381" s="415"/>
      <c r="N381" s="210"/>
      <c r="O381" s="415"/>
      <c r="P381" s="210"/>
      <c r="Q381" s="423"/>
      <c r="R381" s="156"/>
      <c r="S381" s="415"/>
      <c r="T381" s="210"/>
      <c r="U381" s="415"/>
      <c r="V381" s="210"/>
      <c r="W381" s="415"/>
      <c r="X381" s="210"/>
      <c r="Y381" s="8"/>
      <c r="Z381" s="8"/>
      <c r="AA381" s="8"/>
      <c r="AB381" s="8"/>
      <c r="AC381" s="8"/>
      <c r="AD381" s="8"/>
      <c r="AE381" s="8"/>
      <c r="AF381" s="8"/>
      <c r="AG381" s="8"/>
      <c r="AH381" s="8"/>
      <c r="AI381" s="8"/>
      <c r="AJ381" s="8"/>
      <c r="AK381" s="8"/>
      <c r="AL381" s="8"/>
      <c r="AM381" s="8"/>
      <c r="AN381" s="8"/>
      <c r="AO381" s="8"/>
      <c r="AP381" s="8"/>
      <c r="AQ381" s="8"/>
      <c r="AR381" s="8"/>
      <c r="AS381" s="8"/>
      <c r="AT381" s="8"/>
    </row>
    <row r="382">
      <c r="A382" s="415"/>
      <c r="B382" s="210"/>
      <c r="C382" s="415"/>
      <c r="D382" s="210"/>
      <c r="E382" s="415"/>
      <c r="F382" s="210"/>
      <c r="G382" s="415"/>
      <c r="H382" s="210"/>
      <c r="I382" s="423"/>
      <c r="J382" s="156"/>
      <c r="K382" s="423"/>
      <c r="L382" s="156"/>
      <c r="M382" s="415"/>
      <c r="N382" s="210"/>
      <c r="O382" s="415"/>
      <c r="P382" s="210"/>
      <c r="Q382" s="423"/>
      <c r="R382" s="156"/>
      <c r="S382" s="415"/>
      <c r="T382" s="210"/>
      <c r="U382" s="415"/>
      <c r="V382" s="210"/>
      <c r="W382" s="415"/>
      <c r="X382" s="210"/>
      <c r="Y382" s="8"/>
      <c r="Z382" s="8"/>
      <c r="AA382" s="8"/>
      <c r="AB382" s="8"/>
      <c r="AC382" s="8"/>
      <c r="AD382" s="8"/>
      <c r="AE382" s="8"/>
      <c r="AF382" s="8"/>
      <c r="AG382" s="8"/>
      <c r="AH382" s="8"/>
      <c r="AI382" s="8"/>
      <c r="AJ382" s="8"/>
      <c r="AK382" s="8"/>
      <c r="AL382" s="8"/>
      <c r="AM382" s="8"/>
      <c r="AN382" s="8"/>
      <c r="AO382" s="8"/>
      <c r="AP382" s="8"/>
      <c r="AQ382" s="8"/>
      <c r="AR382" s="8"/>
      <c r="AS382" s="8"/>
      <c r="AT382" s="8"/>
    </row>
    <row r="383">
      <c r="A383" s="415"/>
      <c r="B383" s="210"/>
      <c r="C383" s="415"/>
      <c r="D383" s="210"/>
      <c r="E383" s="415"/>
      <c r="F383" s="210"/>
      <c r="G383" s="415"/>
      <c r="H383" s="210"/>
      <c r="I383" s="423"/>
      <c r="J383" s="156"/>
      <c r="K383" s="423"/>
      <c r="L383" s="156"/>
      <c r="M383" s="415"/>
      <c r="N383" s="210"/>
      <c r="O383" s="415"/>
      <c r="P383" s="210"/>
      <c r="Q383" s="423"/>
      <c r="R383" s="156"/>
      <c r="S383" s="415"/>
      <c r="T383" s="210"/>
      <c r="U383" s="415"/>
      <c r="V383" s="210"/>
      <c r="W383" s="415"/>
      <c r="X383" s="210"/>
      <c r="Y383" s="8"/>
      <c r="Z383" s="8"/>
      <c r="AA383" s="8"/>
      <c r="AB383" s="8"/>
      <c r="AC383" s="8"/>
      <c r="AD383" s="8"/>
      <c r="AE383" s="8"/>
      <c r="AF383" s="8"/>
      <c r="AG383" s="8"/>
      <c r="AH383" s="8"/>
      <c r="AI383" s="8"/>
      <c r="AJ383" s="8"/>
      <c r="AK383" s="8"/>
      <c r="AL383" s="8"/>
      <c r="AM383" s="8"/>
      <c r="AN383" s="8"/>
      <c r="AO383" s="8"/>
      <c r="AP383" s="8"/>
      <c r="AQ383" s="8"/>
      <c r="AR383" s="8"/>
      <c r="AS383" s="8"/>
      <c r="AT383" s="8"/>
    </row>
    <row r="384">
      <c r="A384" s="415"/>
      <c r="B384" s="210"/>
      <c r="C384" s="415"/>
      <c r="D384" s="210"/>
      <c r="E384" s="415"/>
      <c r="F384" s="210"/>
      <c r="G384" s="415"/>
      <c r="H384" s="210"/>
      <c r="I384" s="423"/>
      <c r="J384" s="156"/>
      <c r="K384" s="423"/>
      <c r="L384" s="156"/>
      <c r="M384" s="415"/>
      <c r="N384" s="210"/>
      <c r="O384" s="415"/>
      <c r="P384" s="210"/>
      <c r="Q384" s="423"/>
      <c r="R384" s="156"/>
      <c r="S384" s="415"/>
      <c r="T384" s="210"/>
      <c r="U384" s="415"/>
      <c r="V384" s="210"/>
      <c r="W384" s="415"/>
      <c r="X384" s="210"/>
      <c r="Y384" s="8"/>
      <c r="Z384" s="8"/>
      <c r="AA384" s="8"/>
      <c r="AB384" s="8"/>
      <c r="AC384" s="8"/>
      <c r="AD384" s="8"/>
      <c r="AE384" s="8"/>
      <c r="AF384" s="8"/>
      <c r="AG384" s="8"/>
      <c r="AH384" s="8"/>
      <c r="AI384" s="8"/>
      <c r="AJ384" s="8"/>
      <c r="AK384" s="8"/>
      <c r="AL384" s="8"/>
      <c r="AM384" s="8"/>
      <c r="AN384" s="8"/>
      <c r="AO384" s="8"/>
      <c r="AP384" s="8"/>
      <c r="AQ384" s="8"/>
      <c r="AR384" s="8"/>
      <c r="AS384" s="8"/>
      <c r="AT384" s="8"/>
    </row>
    <row r="385">
      <c r="A385" s="415"/>
      <c r="B385" s="210"/>
      <c r="C385" s="415"/>
      <c r="D385" s="210"/>
      <c r="E385" s="415"/>
      <c r="F385" s="210"/>
      <c r="G385" s="415"/>
      <c r="H385" s="210"/>
      <c r="I385" s="423"/>
      <c r="J385" s="156"/>
      <c r="K385" s="423"/>
      <c r="L385" s="156"/>
      <c r="M385" s="415"/>
      <c r="N385" s="210"/>
      <c r="O385" s="415"/>
      <c r="P385" s="210"/>
      <c r="Q385" s="423"/>
      <c r="R385" s="156"/>
      <c r="S385" s="415"/>
      <c r="T385" s="210"/>
      <c r="U385" s="415"/>
      <c r="V385" s="210"/>
      <c r="W385" s="415"/>
      <c r="X385" s="210"/>
      <c r="Y385" s="8"/>
      <c r="Z385" s="8"/>
      <c r="AA385" s="8"/>
      <c r="AB385" s="8"/>
      <c r="AC385" s="8"/>
      <c r="AD385" s="8"/>
      <c r="AE385" s="8"/>
      <c r="AF385" s="8"/>
      <c r="AG385" s="8"/>
      <c r="AH385" s="8"/>
      <c r="AI385" s="8"/>
      <c r="AJ385" s="8"/>
      <c r="AK385" s="8"/>
      <c r="AL385" s="8"/>
      <c r="AM385" s="8"/>
      <c r="AN385" s="8"/>
      <c r="AO385" s="8"/>
      <c r="AP385" s="8"/>
      <c r="AQ385" s="8"/>
      <c r="AR385" s="8"/>
      <c r="AS385" s="8"/>
      <c r="AT385" s="8"/>
    </row>
    <row r="386">
      <c r="A386" s="415"/>
      <c r="B386" s="210"/>
      <c r="C386" s="415"/>
      <c r="D386" s="210"/>
      <c r="E386" s="415"/>
      <c r="F386" s="210"/>
      <c r="G386" s="415"/>
      <c r="H386" s="210"/>
      <c r="I386" s="423"/>
      <c r="J386" s="156"/>
      <c r="K386" s="423"/>
      <c r="L386" s="156"/>
      <c r="M386" s="415"/>
      <c r="N386" s="210"/>
      <c r="O386" s="415"/>
      <c r="P386" s="210"/>
      <c r="Q386" s="423"/>
      <c r="R386" s="156"/>
      <c r="S386" s="415"/>
      <c r="T386" s="210"/>
      <c r="U386" s="415"/>
      <c r="V386" s="210"/>
      <c r="W386" s="415"/>
      <c r="X386" s="210"/>
      <c r="Y386" s="8"/>
      <c r="Z386" s="8"/>
      <c r="AA386" s="8"/>
      <c r="AB386" s="8"/>
      <c r="AC386" s="8"/>
      <c r="AD386" s="8"/>
      <c r="AE386" s="8"/>
      <c r="AF386" s="8"/>
      <c r="AG386" s="8"/>
      <c r="AH386" s="8"/>
      <c r="AI386" s="8"/>
      <c r="AJ386" s="8"/>
      <c r="AK386" s="8"/>
      <c r="AL386" s="8"/>
      <c r="AM386" s="8"/>
      <c r="AN386" s="8"/>
      <c r="AO386" s="8"/>
      <c r="AP386" s="8"/>
      <c r="AQ386" s="8"/>
      <c r="AR386" s="8"/>
      <c r="AS386" s="8"/>
      <c r="AT386" s="8"/>
    </row>
    <row r="387">
      <c r="A387" s="415"/>
      <c r="B387" s="210"/>
      <c r="C387" s="415"/>
      <c r="D387" s="210"/>
      <c r="E387" s="415"/>
      <c r="F387" s="210"/>
      <c r="G387" s="415"/>
      <c r="H387" s="210"/>
      <c r="I387" s="423"/>
      <c r="J387" s="156"/>
      <c r="K387" s="423"/>
      <c r="L387" s="156"/>
      <c r="M387" s="415"/>
      <c r="N387" s="210"/>
      <c r="O387" s="415"/>
      <c r="P387" s="210"/>
      <c r="Q387" s="423"/>
      <c r="R387" s="156"/>
      <c r="S387" s="415"/>
      <c r="T387" s="210"/>
      <c r="U387" s="415"/>
      <c r="V387" s="210"/>
      <c r="W387" s="415"/>
      <c r="X387" s="210"/>
      <c r="Y387" s="8"/>
      <c r="Z387" s="8"/>
      <c r="AA387" s="8"/>
      <c r="AB387" s="8"/>
      <c r="AC387" s="8"/>
      <c r="AD387" s="8"/>
      <c r="AE387" s="8"/>
      <c r="AF387" s="8"/>
      <c r="AG387" s="8"/>
      <c r="AH387" s="8"/>
      <c r="AI387" s="8"/>
      <c r="AJ387" s="8"/>
      <c r="AK387" s="8"/>
      <c r="AL387" s="8"/>
      <c r="AM387" s="8"/>
      <c r="AN387" s="8"/>
      <c r="AO387" s="8"/>
      <c r="AP387" s="8"/>
      <c r="AQ387" s="8"/>
      <c r="AR387" s="8"/>
      <c r="AS387" s="8"/>
      <c r="AT387" s="8"/>
    </row>
    <row r="388">
      <c r="A388" s="415"/>
      <c r="B388" s="210"/>
      <c r="C388" s="415"/>
      <c r="D388" s="210"/>
      <c r="E388" s="415"/>
      <c r="F388" s="210"/>
      <c r="G388" s="415"/>
      <c r="H388" s="210"/>
      <c r="I388" s="423"/>
      <c r="J388" s="156"/>
      <c r="K388" s="423"/>
      <c r="L388" s="156"/>
      <c r="M388" s="415"/>
      <c r="N388" s="210"/>
      <c r="O388" s="415"/>
      <c r="P388" s="210"/>
      <c r="Q388" s="423"/>
      <c r="R388" s="156"/>
      <c r="S388" s="415"/>
      <c r="T388" s="210"/>
      <c r="U388" s="415"/>
      <c r="V388" s="210"/>
      <c r="W388" s="415"/>
      <c r="X388" s="210"/>
      <c r="Y388" s="8"/>
      <c r="Z388" s="8"/>
      <c r="AA388" s="8"/>
      <c r="AB388" s="8"/>
      <c r="AC388" s="8"/>
      <c r="AD388" s="8"/>
      <c r="AE388" s="8"/>
      <c r="AF388" s="8"/>
      <c r="AG388" s="8"/>
      <c r="AH388" s="8"/>
      <c r="AI388" s="8"/>
      <c r="AJ388" s="8"/>
      <c r="AK388" s="8"/>
      <c r="AL388" s="8"/>
      <c r="AM388" s="8"/>
      <c r="AN388" s="8"/>
      <c r="AO388" s="8"/>
      <c r="AP388" s="8"/>
      <c r="AQ388" s="8"/>
      <c r="AR388" s="8"/>
      <c r="AS388" s="8"/>
      <c r="AT388" s="8"/>
    </row>
    <row r="389">
      <c r="A389" s="415"/>
      <c r="B389" s="210"/>
      <c r="C389" s="415"/>
      <c r="D389" s="210"/>
      <c r="E389" s="415"/>
      <c r="F389" s="210"/>
      <c r="G389" s="415"/>
      <c r="H389" s="210"/>
      <c r="I389" s="423"/>
      <c r="J389" s="156"/>
      <c r="K389" s="423"/>
      <c r="L389" s="156"/>
      <c r="M389" s="415"/>
      <c r="N389" s="210"/>
      <c r="O389" s="415"/>
      <c r="P389" s="210"/>
      <c r="Q389" s="423"/>
      <c r="R389" s="156"/>
      <c r="S389" s="415"/>
      <c r="T389" s="210"/>
      <c r="U389" s="415"/>
      <c r="V389" s="210"/>
      <c r="W389" s="415"/>
      <c r="X389" s="210"/>
      <c r="Y389" s="8"/>
      <c r="Z389" s="8"/>
      <c r="AA389" s="8"/>
      <c r="AB389" s="8"/>
      <c r="AC389" s="8"/>
      <c r="AD389" s="8"/>
      <c r="AE389" s="8"/>
      <c r="AF389" s="8"/>
      <c r="AG389" s="8"/>
      <c r="AH389" s="8"/>
      <c r="AI389" s="8"/>
      <c r="AJ389" s="8"/>
      <c r="AK389" s="8"/>
      <c r="AL389" s="8"/>
      <c r="AM389" s="8"/>
      <c r="AN389" s="8"/>
      <c r="AO389" s="8"/>
      <c r="AP389" s="8"/>
      <c r="AQ389" s="8"/>
      <c r="AR389" s="8"/>
      <c r="AS389" s="8"/>
      <c r="AT389" s="8"/>
    </row>
    <row r="390">
      <c r="A390" s="415"/>
      <c r="B390" s="210"/>
      <c r="C390" s="415"/>
      <c r="D390" s="210"/>
      <c r="E390" s="415"/>
      <c r="F390" s="210"/>
      <c r="G390" s="415"/>
      <c r="H390" s="210"/>
      <c r="I390" s="423"/>
      <c r="J390" s="156"/>
      <c r="K390" s="423"/>
      <c r="L390" s="156"/>
      <c r="M390" s="415"/>
      <c r="N390" s="210"/>
      <c r="O390" s="415"/>
      <c r="P390" s="210"/>
      <c r="Q390" s="423"/>
      <c r="R390" s="156"/>
      <c r="S390" s="415"/>
      <c r="T390" s="210"/>
      <c r="U390" s="415"/>
      <c r="V390" s="210"/>
      <c r="W390" s="415"/>
      <c r="X390" s="210"/>
      <c r="Y390" s="8"/>
      <c r="Z390" s="8"/>
      <c r="AA390" s="8"/>
      <c r="AB390" s="8"/>
      <c r="AC390" s="8"/>
      <c r="AD390" s="8"/>
      <c r="AE390" s="8"/>
      <c r="AF390" s="8"/>
      <c r="AG390" s="8"/>
      <c r="AH390" s="8"/>
      <c r="AI390" s="8"/>
      <c r="AJ390" s="8"/>
      <c r="AK390" s="8"/>
      <c r="AL390" s="8"/>
      <c r="AM390" s="8"/>
      <c r="AN390" s="8"/>
      <c r="AO390" s="8"/>
      <c r="AP390" s="8"/>
      <c r="AQ390" s="8"/>
      <c r="AR390" s="8"/>
      <c r="AS390" s="8"/>
      <c r="AT390" s="8"/>
    </row>
    <row r="391">
      <c r="A391" s="415"/>
      <c r="B391" s="210"/>
      <c r="C391" s="415"/>
      <c r="D391" s="210"/>
      <c r="E391" s="415"/>
      <c r="F391" s="210"/>
      <c r="G391" s="415"/>
      <c r="H391" s="210"/>
      <c r="I391" s="423"/>
      <c r="J391" s="156"/>
      <c r="K391" s="423"/>
      <c r="L391" s="156"/>
      <c r="M391" s="415"/>
      <c r="N391" s="210"/>
      <c r="O391" s="415"/>
      <c r="P391" s="210"/>
      <c r="Q391" s="423"/>
      <c r="R391" s="156"/>
      <c r="S391" s="415"/>
      <c r="T391" s="210"/>
      <c r="U391" s="415"/>
      <c r="V391" s="210"/>
      <c r="W391" s="415"/>
      <c r="X391" s="210"/>
      <c r="Y391" s="8"/>
      <c r="Z391" s="8"/>
      <c r="AA391" s="8"/>
      <c r="AB391" s="8"/>
      <c r="AC391" s="8"/>
      <c r="AD391" s="8"/>
      <c r="AE391" s="8"/>
      <c r="AF391" s="8"/>
      <c r="AG391" s="8"/>
      <c r="AH391" s="8"/>
      <c r="AI391" s="8"/>
      <c r="AJ391" s="8"/>
      <c r="AK391" s="8"/>
      <c r="AL391" s="8"/>
      <c r="AM391" s="8"/>
      <c r="AN391" s="8"/>
      <c r="AO391" s="8"/>
      <c r="AP391" s="8"/>
      <c r="AQ391" s="8"/>
      <c r="AR391" s="8"/>
      <c r="AS391" s="8"/>
      <c r="AT391" s="8"/>
    </row>
    <row r="392">
      <c r="A392" s="415"/>
      <c r="B392" s="210"/>
      <c r="C392" s="415"/>
      <c r="D392" s="210"/>
      <c r="E392" s="415"/>
      <c r="F392" s="210"/>
      <c r="G392" s="415"/>
      <c r="H392" s="210"/>
      <c r="I392" s="423"/>
      <c r="J392" s="156"/>
      <c r="K392" s="423"/>
      <c r="L392" s="156"/>
      <c r="M392" s="415"/>
      <c r="N392" s="210"/>
      <c r="O392" s="415"/>
      <c r="P392" s="210"/>
      <c r="Q392" s="423"/>
      <c r="R392" s="156"/>
      <c r="S392" s="415"/>
      <c r="T392" s="210"/>
      <c r="U392" s="415"/>
      <c r="V392" s="210"/>
      <c r="W392" s="415"/>
      <c r="X392" s="210"/>
      <c r="Y392" s="8"/>
      <c r="Z392" s="8"/>
      <c r="AA392" s="8"/>
      <c r="AB392" s="8"/>
      <c r="AC392" s="8"/>
      <c r="AD392" s="8"/>
      <c r="AE392" s="8"/>
      <c r="AF392" s="8"/>
      <c r="AG392" s="8"/>
      <c r="AH392" s="8"/>
      <c r="AI392" s="8"/>
      <c r="AJ392" s="8"/>
      <c r="AK392" s="8"/>
      <c r="AL392" s="8"/>
      <c r="AM392" s="8"/>
      <c r="AN392" s="8"/>
      <c r="AO392" s="8"/>
      <c r="AP392" s="8"/>
      <c r="AQ392" s="8"/>
      <c r="AR392" s="8"/>
      <c r="AS392" s="8"/>
      <c r="AT392" s="8"/>
    </row>
    <row r="393">
      <c r="A393" s="415"/>
      <c r="B393" s="210"/>
      <c r="C393" s="415"/>
      <c r="D393" s="210"/>
      <c r="E393" s="415"/>
      <c r="F393" s="210"/>
      <c r="G393" s="415"/>
      <c r="H393" s="210"/>
      <c r="I393" s="423"/>
      <c r="J393" s="156"/>
      <c r="K393" s="423"/>
      <c r="L393" s="156"/>
      <c r="M393" s="415"/>
      <c r="N393" s="210"/>
      <c r="O393" s="415"/>
      <c r="P393" s="210"/>
      <c r="Q393" s="423"/>
      <c r="R393" s="156"/>
      <c r="S393" s="415"/>
      <c r="T393" s="210"/>
      <c r="U393" s="415"/>
      <c r="V393" s="210"/>
      <c r="W393" s="415"/>
      <c r="X393" s="210"/>
      <c r="Y393" s="8"/>
      <c r="Z393" s="8"/>
      <c r="AA393" s="8"/>
      <c r="AB393" s="8"/>
      <c r="AC393" s="8"/>
      <c r="AD393" s="8"/>
      <c r="AE393" s="8"/>
      <c r="AF393" s="8"/>
      <c r="AG393" s="8"/>
      <c r="AH393" s="8"/>
      <c r="AI393" s="8"/>
      <c r="AJ393" s="8"/>
      <c r="AK393" s="8"/>
      <c r="AL393" s="8"/>
      <c r="AM393" s="8"/>
      <c r="AN393" s="8"/>
      <c r="AO393" s="8"/>
      <c r="AP393" s="8"/>
      <c r="AQ393" s="8"/>
      <c r="AR393" s="8"/>
      <c r="AS393" s="8"/>
      <c r="AT393" s="8"/>
    </row>
    <row r="394">
      <c r="A394" s="415"/>
      <c r="B394" s="210"/>
      <c r="C394" s="415"/>
      <c r="D394" s="210"/>
      <c r="E394" s="415"/>
      <c r="F394" s="210"/>
      <c r="G394" s="415"/>
      <c r="H394" s="210"/>
      <c r="I394" s="423"/>
      <c r="J394" s="156"/>
      <c r="K394" s="423"/>
      <c r="L394" s="156"/>
      <c r="M394" s="415"/>
      <c r="N394" s="210"/>
      <c r="O394" s="415"/>
      <c r="P394" s="210"/>
      <c r="Q394" s="423"/>
      <c r="R394" s="156"/>
      <c r="S394" s="415"/>
      <c r="T394" s="210"/>
      <c r="U394" s="415"/>
      <c r="V394" s="210"/>
      <c r="W394" s="415"/>
      <c r="X394" s="210"/>
      <c r="Y394" s="8"/>
      <c r="Z394" s="8"/>
      <c r="AA394" s="8"/>
      <c r="AB394" s="8"/>
      <c r="AC394" s="8"/>
      <c r="AD394" s="8"/>
      <c r="AE394" s="8"/>
      <c r="AF394" s="8"/>
      <c r="AG394" s="8"/>
      <c r="AH394" s="8"/>
      <c r="AI394" s="8"/>
      <c r="AJ394" s="8"/>
      <c r="AK394" s="8"/>
      <c r="AL394" s="8"/>
      <c r="AM394" s="8"/>
      <c r="AN394" s="8"/>
      <c r="AO394" s="8"/>
      <c r="AP394" s="8"/>
      <c r="AQ394" s="8"/>
      <c r="AR394" s="8"/>
      <c r="AS394" s="8"/>
      <c r="AT394" s="8"/>
    </row>
    <row r="395">
      <c r="A395" s="415"/>
      <c r="B395" s="210"/>
      <c r="C395" s="415"/>
      <c r="D395" s="210"/>
      <c r="E395" s="415"/>
      <c r="F395" s="210"/>
      <c r="G395" s="415"/>
      <c r="H395" s="210"/>
      <c r="I395" s="423"/>
      <c r="J395" s="156"/>
      <c r="K395" s="423"/>
      <c r="L395" s="156"/>
      <c r="M395" s="415"/>
      <c r="N395" s="210"/>
      <c r="O395" s="415"/>
      <c r="P395" s="210"/>
      <c r="Q395" s="423"/>
      <c r="R395" s="156"/>
      <c r="S395" s="415"/>
      <c r="T395" s="210"/>
      <c r="U395" s="415"/>
      <c r="V395" s="210"/>
      <c r="W395" s="415"/>
      <c r="X395" s="210"/>
      <c r="Y395" s="8"/>
      <c r="Z395" s="8"/>
      <c r="AA395" s="8"/>
      <c r="AB395" s="8"/>
      <c r="AC395" s="8"/>
      <c r="AD395" s="8"/>
      <c r="AE395" s="8"/>
      <c r="AF395" s="8"/>
      <c r="AG395" s="8"/>
      <c r="AH395" s="8"/>
      <c r="AI395" s="8"/>
      <c r="AJ395" s="8"/>
      <c r="AK395" s="8"/>
      <c r="AL395" s="8"/>
      <c r="AM395" s="8"/>
      <c r="AN395" s="8"/>
      <c r="AO395" s="8"/>
      <c r="AP395" s="8"/>
      <c r="AQ395" s="8"/>
      <c r="AR395" s="8"/>
      <c r="AS395" s="8"/>
      <c r="AT395" s="8"/>
    </row>
    <row r="396">
      <c r="A396" s="415"/>
      <c r="B396" s="210"/>
      <c r="C396" s="415"/>
      <c r="D396" s="210"/>
      <c r="E396" s="415"/>
      <c r="F396" s="210"/>
      <c r="G396" s="415"/>
      <c r="H396" s="210"/>
      <c r="I396" s="423"/>
      <c r="J396" s="156"/>
      <c r="K396" s="423"/>
      <c r="L396" s="156"/>
      <c r="M396" s="415"/>
      <c r="N396" s="210"/>
      <c r="O396" s="415"/>
      <c r="P396" s="210"/>
      <c r="Q396" s="423"/>
      <c r="R396" s="156"/>
      <c r="S396" s="415"/>
      <c r="T396" s="210"/>
      <c r="U396" s="415"/>
      <c r="V396" s="210"/>
      <c r="W396" s="415"/>
      <c r="X396" s="210"/>
      <c r="Y396" s="8"/>
      <c r="Z396" s="8"/>
      <c r="AA396" s="8"/>
      <c r="AB396" s="8"/>
      <c r="AC396" s="8"/>
      <c r="AD396" s="8"/>
      <c r="AE396" s="8"/>
      <c r="AF396" s="8"/>
      <c r="AG396" s="8"/>
      <c r="AH396" s="8"/>
      <c r="AI396" s="8"/>
      <c r="AJ396" s="8"/>
      <c r="AK396" s="8"/>
      <c r="AL396" s="8"/>
      <c r="AM396" s="8"/>
      <c r="AN396" s="8"/>
      <c r="AO396" s="8"/>
      <c r="AP396" s="8"/>
      <c r="AQ396" s="8"/>
      <c r="AR396" s="8"/>
      <c r="AS396" s="8"/>
      <c r="AT396" s="8"/>
    </row>
    <row r="397">
      <c r="A397" s="415"/>
      <c r="B397" s="210"/>
      <c r="C397" s="415"/>
      <c r="D397" s="210"/>
      <c r="E397" s="415"/>
      <c r="F397" s="210"/>
      <c r="G397" s="415"/>
      <c r="H397" s="210"/>
      <c r="I397" s="423"/>
      <c r="J397" s="156"/>
      <c r="K397" s="423"/>
      <c r="L397" s="156"/>
      <c r="M397" s="415"/>
      <c r="N397" s="210"/>
      <c r="O397" s="415"/>
      <c r="P397" s="210"/>
      <c r="Q397" s="423"/>
      <c r="R397" s="156"/>
      <c r="S397" s="415"/>
      <c r="T397" s="210"/>
      <c r="U397" s="415"/>
      <c r="V397" s="210"/>
      <c r="W397" s="415"/>
      <c r="X397" s="210"/>
      <c r="Y397" s="8"/>
      <c r="Z397" s="8"/>
      <c r="AA397" s="8"/>
      <c r="AB397" s="8"/>
      <c r="AC397" s="8"/>
      <c r="AD397" s="8"/>
      <c r="AE397" s="8"/>
      <c r="AF397" s="8"/>
      <c r="AG397" s="8"/>
      <c r="AH397" s="8"/>
      <c r="AI397" s="8"/>
      <c r="AJ397" s="8"/>
      <c r="AK397" s="8"/>
      <c r="AL397" s="8"/>
      <c r="AM397" s="8"/>
      <c r="AN397" s="8"/>
      <c r="AO397" s="8"/>
      <c r="AP397" s="8"/>
      <c r="AQ397" s="8"/>
      <c r="AR397" s="8"/>
      <c r="AS397" s="8"/>
      <c r="AT397" s="8"/>
    </row>
    <row r="398">
      <c r="A398" s="415"/>
      <c r="B398" s="210"/>
      <c r="C398" s="415"/>
      <c r="D398" s="210"/>
      <c r="E398" s="415"/>
      <c r="F398" s="210"/>
      <c r="G398" s="415"/>
      <c r="H398" s="210"/>
      <c r="I398" s="423"/>
      <c r="J398" s="156"/>
      <c r="K398" s="423"/>
      <c r="L398" s="156"/>
      <c r="M398" s="415"/>
      <c r="N398" s="210"/>
      <c r="O398" s="415"/>
      <c r="P398" s="210"/>
      <c r="Q398" s="423"/>
      <c r="R398" s="156"/>
      <c r="S398" s="415"/>
      <c r="T398" s="210"/>
      <c r="U398" s="415"/>
      <c r="V398" s="210"/>
      <c r="W398" s="415"/>
      <c r="X398" s="210"/>
      <c r="Y398" s="8"/>
      <c r="Z398" s="8"/>
      <c r="AA398" s="8"/>
      <c r="AB398" s="8"/>
      <c r="AC398" s="8"/>
      <c r="AD398" s="8"/>
      <c r="AE398" s="8"/>
      <c r="AF398" s="8"/>
      <c r="AG398" s="8"/>
      <c r="AH398" s="8"/>
      <c r="AI398" s="8"/>
      <c r="AJ398" s="8"/>
      <c r="AK398" s="8"/>
      <c r="AL398" s="8"/>
      <c r="AM398" s="8"/>
      <c r="AN398" s="8"/>
      <c r="AO398" s="8"/>
      <c r="AP398" s="8"/>
      <c r="AQ398" s="8"/>
      <c r="AR398" s="8"/>
      <c r="AS398" s="8"/>
      <c r="AT398" s="8"/>
    </row>
    <row r="399">
      <c r="A399" s="415"/>
      <c r="B399" s="210"/>
      <c r="C399" s="415"/>
      <c r="D399" s="210"/>
      <c r="E399" s="415"/>
      <c r="F399" s="210"/>
      <c r="G399" s="415"/>
      <c r="H399" s="210"/>
      <c r="I399" s="423"/>
      <c r="J399" s="156"/>
      <c r="K399" s="423"/>
      <c r="L399" s="156"/>
      <c r="M399" s="415"/>
      <c r="N399" s="210"/>
      <c r="O399" s="415"/>
      <c r="P399" s="210"/>
      <c r="Q399" s="423"/>
      <c r="R399" s="156"/>
      <c r="S399" s="415"/>
      <c r="T399" s="210"/>
      <c r="U399" s="415"/>
      <c r="V399" s="210"/>
      <c r="W399" s="415"/>
      <c r="X399" s="210"/>
      <c r="Y399" s="8"/>
      <c r="Z399" s="8"/>
      <c r="AA399" s="8"/>
      <c r="AB399" s="8"/>
      <c r="AC399" s="8"/>
      <c r="AD399" s="8"/>
      <c r="AE399" s="8"/>
      <c r="AF399" s="8"/>
      <c r="AG399" s="8"/>
      <c r="AH399" s="8"/>
      <c r="AI399" s="8"/>
      <c r="AJ399" s="8"/>
      <c r="AK399" s="8"/>
      <c r="AL399" s="8"/>
      <c r="AM399" s="8"/>
      <c r="AN399" s="8"/>
      <c r="AO399" s="8"/>
      <c r="AP399" s="8"/>
      <c r="AQ399" s="8"/>
      <c r="AR399" s="8"/>
      <c r="AS399" s="8"/>
      <c r="AT399" s="8"/>
    </row>
    <row r="400">
      <c r="A400" s="415"/>
      <c r="B400" s="210"/>
      <c r="C400" s="415"/>
      <c r="D400" s="210"/>
      <c r="E400" s="415"/>
      <c r="F400" s="210"/>
      <c r="G400" s="415"/>
      <c r="H400" s="210"/>
      <c r="I400" s="423"/>
      <c r="J400" s="156"/>
      <c r="K400" s="423"/>
      <c r="L400" s="156"/>
      <c r="M400" s="415"/>
      <c r="N400" s="210"/>
      <c r="O400" s="415"/>
      <c r="P400" s="210"/>
      <c r="Q400" s="423"/>
      <c r="R400" s="156"/>
      <c r="S400" s="415"/>
      <c r="T400" s="210"/>
      <c r="U400" s="415"/>
      <c r="V400" s="210"/>
      <c r="W400" s="415"/>
      <c r="X400" s="210"/>
      <c r="Y400" s="8"/>
      <c r="Z400" s="8"/>
      <c r="AA400" s="8"/>
      <c r="AB400" s="8"/>
      <c r="AC400" s="8"/>
      <c r="AD400" s="8"/>
      <c r="AE400" s="8"/>
      <c r="AF400" s="8"/>
      <c r="AG400" s="8"/>
      <c r="AH400" s="8"/>
      <c r="AI400" s="8"/>
      <c r="AJ400" s="8"/>
      <c r="AK400" s="8"/>
      <c r="AL400" s="8"/>
      <c r="AM400" s="8"/>
      <c r="AN400" s="8"/>
      <c r="AO400" s="8"/>
      <c r="AP400" s="8"/>
      <c r="AQ400" s="8"/>
      <c r="AR400" s="8"/>
      <c r="AS400" s="8"/>
      <c r="AT400" s="8"/>
    </row>
    <row r="401">
      <c r="A401" s="415"/>
      <c r="B401" s="210"/>
      <c r="C401" s="415"/>
      <c r="D401" s="210"/>
      <c r="E401" s="415"/>
      <c r="F401" s="210"/>
      <c r="G401" s="415"/>
      <c r="H401" s="210"/>
      <c r="I401" s="423"/>
      <c r="J401" s="156"/>
      <c r="K401" s="423"/>
      <c r="L401" s="156"/>
      <c r="M401" s="415"/>
      <c r="N401" s="210"/>
      <c r="O401" s="415"/>
      <c r="P401" s="210"/>
      <c r="Q401" s="423"/>
      <c r="R401" s="156"/>
      <c r="S401" s="415"/>
      <c r="T401" s="210"/>
      <c r="U401" s="415"/>
      <c r="V401" s="210"/>
      <c r="W401" s="415"/>
      <c r="X401" s="210"/>
      <c r="Y401" s="8"/>
      <c r="Z401" s="8"/>
      <c r="AA401" s="8"/>
      <c r="AB401" s="8"/>
      <c r="AC401" s="8"/>
      <c r="AD401" s="8"/>
      <c r="AE401" s="8"/>
      <c r="AF401" s="8"/>
      <c r="AG401" s="8"/>
      <c r="AH401" s="8"/>
      <c r="AI401" s="8"/>
      <c r="AJ401" s="8"/>
      <c r="AK401" s="8"/>
      <c r="AL401" s="8"/>
      <c r="AM401" s="8"/>
      <c r="AN401" s="8"/>
      <c r="AO401" s="8"/>
      <c r="AP401" s="8"/>
      <c r="AQ401" s="8"/>
      <c r="AR401" s="8"/>
      <c r="AS401" s="8"/>
      <c r="AT401" s="8"/>
    </row>
    <row r="402">
      <c r="A402" s="415"/>
      <c r="B402" s="210"/>
      <c r="C402" s="415"/>
      <c r="D402" s="210"/>
      <c r="E402" s="415"/>
      <c r="F402" s="210"/>
      <c r="G402" s="415"/>
      <c r="H402" s="210"/>
      <c r="I402" s="423"/>
      <c r="J402" s="156"/>
      <c r="K402" s="423"/>
      <c r="L402" s="156"/>
      <c r="M402" s="415"/>
      <c r="N402" s="210"/>
      <c r="O402" s="415"/>
      <c r="P402" s="210"/>
      <c r="Q402" s="423"/>
      <c r="R402" s="156"/>
      <c r="S402" s="415"/>
      <c r="T402" s="210"/>
      <c r="U402" s="415"/>
      <c r="V402" s="210"/>
      <c r="W402" s="415"/>
      <c r="X402" s="210"/>
      <c r="Y402" s="8"/>
      <c r="Z402" s="8"/>
      <c r="AA402" s="8"/>
      <c r="AB402" s="8"/>
      <c r="AC402" s="8"/>
      <c r="AD402" s="8"/>
      <c r="AE402" s="8"/>
      <c r="AF402" s="8"/>
      <c r="AG402" s="8"/>
      <c r="AH402" s="8"/>
      <c r="AI402" s="8"/>
      <c r="AJ402" s="8"/>
      <c r="AK402" s="8"/>
      <c r="AL402" s="8"/>
      <c r="AM402" s="8"/>
      <c r="AN402" s="8"/>
      <c r="AO402" s="8"/>
      <c r="AP402" s="8"/>
      <c r="AQ402" s="8"/>
      <c r="AR402" s="8"/>
      <c r="AS402" s="8"/>
      <c r="AT402" s="8"/>
    </row>
    <row r="403">
      <c r="A403" s="415"/>
      <c r="B403" s="210"/>
      <c r="C403" s="415"/>
      <c r="D403" s="210"/>
      <c r="E403" s="415"/>
      <c r="F403" s="210"/>
      <c r="G403" s="415"/>
      <c r="H403" s="210"/>
      <c r="I403" s="423"/>
      <c r="J403" s="156"/>
      <c r="K403" s="423"/>
      <c r="L403" s="156"/>
      <c r="M403" s="415"/>
      <c r="N403" s="210"/>
      <c r="O403" s="415"/>
      <c r="P403" s="210"/>
      <c r="Q403" s="423"/>
      <c r="R403" s="156"/>
      <c r="S403" s="415"/>
      <c r="T403" s="210"/>
      <c r="U403" s="415"/>
      <c r="V403" s="210"/>
      <c r="W403" s="415"/>
      <c r="X403" s="210"/>
      <c r="Y403" s="8"/>
      <c r="Z403" s="8"/>
      <c r="AA403" s="8"/>
      <c r="AB403" s="8"/>
      <c r="AC403" s="8"/>
      <c r="AD403" s="8"/>
      <c r="AE403" s="8"/>
      <c r="AF403" s="8"/>
      <c r="AG403" s="8"/>
      <c r="AH403" s="8"/>
      <c r="AI403" s="8"/>
      <c r="AJ403" s="8"/>
      <c r="AK403" s="8"/>
      <c r="AL403" s="8"/>
      <c r="AM403" s="8"/>
      <c r="AN403" s="8"/>
      <c r="AO403" s="8"/>
      <c r="AP403" s="8"/>
      <c r="AQ403" s="8"/>
      <c r="AR403" s="8"/>
      <c r="AS403" s="8"/>
      <c r="AT403" s="8"/>
    </row>
    <row r="404">
      <c r="A404" s="415"/>
      <c r="B404" s="210"/>
      <c r="C404" s="415"/>
      <c r="D404" s="210"/>
      <c r="E404" s="415"/>
      <c r="F404" s="210"/>
      <c r="G404" s="415"/>
      <c r="H404" s="210"/>
      <c r="I404" s="423"/>
      <c r="J404" s="156"/>
      <c r="K404" s="423"/>
      <c r="L404" s="156"/>
      <c r="M404" s="415"/>
      <c r="N404" s="210"/>
      <c r="O404" s="415"/>
      <c r="P404" s="210"/>
      <c r="Q404" s="423"/>
      <c r="R404" s="156"/>
      <c r="S404" s="415"/>
      <c r="T404" s="210"/>
      <c r="U404" s="415"/>
      <c r="V404" s="210"/>
      <c r="W404" s="415"/>
      <c r="X404" s="210"/>
      <c r="Y404" s="8"/>
      <c r="Z404" s="8"/>
      <c r="AA404" s="8"/>
      <c r="AB404" s="8"/>
      <c r="AC404" s="8"/>
      <c r="AD404" s="8"/>
      <c r="AE404" s="8"/>
      <c r="AF404" s="8"/>
      <c r="AG404" s="8"/>
      <c r="AH404" s="8"/>
      <c r="AI404" s="8"/>
      <c r="AJ404" s="8"/>
      <c r="AK404" s="8"/>
      <c r="AL404" s="8"/>
      <c r="AM404" s="8"/>
      <c r="AN404" s="8"/>
      <c r="AO404" s="8"/>
      <c r="AP404" s="8"/>
      <c r="AQ404" s="8"/>
      <c r="AR404" s="8"/>
      <c r="AS404" s="8"/>
      <c r="AT404" s="8"/>
    </row>
    <row r="405">
      <c r="A405" s="415"/>
      <c r="B405" s="210"/>
      <c r="C405" s="415"/>
      <c r="D405" s="210"/>
      <c r="E405" s="415"/>
      <c r="F405" s="210"/>
      <c r="G405" s="415"/>
      <c r="H405" s="210"/>
      <c r="I405" s="423"/>
      <c r="J405" s="156"/>
      <c r="K405" s="423"/>
      <c r="L405" s="156"/>
      <c r="M405" s="415"/>
      <c r="N405" s="210"/>
      <c r="O405" s="415"/>
      <c r="P405" s="210"/>
      <c r="Q405" s="423"/>
      <c r="R405" s="452"/>
      <c r="S405" s="415"/>
      <c r="T405" s="210"/>
      <c r="U405" s="415"/>
      <c r="V405" s="210"/>
      <c r="W405" s="415"/>
      <c r="X405" s="210"/>
      <c r="Y405" s="8"/>
      <c r="Z405" s="8"/>
      <c r="AA405" s="8"/>
      <c r="AB405" s="8"/>
      <c r="AC405" s="8"/>
      <c r="AD405" s="8"/>
      <c r="AE405" s="8"/>
      <c r="AF405" s="8"/>
      <c r="AG405" s="8"/>
      <c r="AH405" s="8"/>
      <c r="AI405" s="8"/>
      <c r="AJ405" s="8"/>
      <c r="AK405" s="8"/>
      <c r="AL405" s="8"/>
      <c r="AM405" s="8"/>
      <c r="AN405" s="8"/>
      <c r="AO405" s="8"/>
      <c r="AP405" s="8"/>
      <c r="AQ405" s="8"/>
      <c r="AR405" s="8"/>
      <c r="AS405" s="8"/>
      <c r="AT405" s="8"/>
    </row>
    <row r="406">
      <c r="A406" s="415"/>
      <c r="B406" s="210"/>
      <c r="C406" s="415"/>
      <c r="D406" s="210"/>
      <c r="E406" s="415"/>
      <c r="F406" s="210"/>
      <c r="G406" s="415"/>
      <c r="H406" s="210"/>
      <c r="I406" s="423"/>
      <c r="J406" s="156"/>
      <c r="K406" s="423"/>
      <c r="L406" s="156"/>
      <c r="M406" s="415"/>
      <c r="N406" s="210"/>
      <c r="O406" s="415"/>
      <c r="P406" s="210"/>
      <c r="Q406" s="423"/>
      <c r="R406" s="452"/>
      <c r="S406" s="415"/>
      <c r="T406" s="210"/>
      <c r="U406" s="415"/>
      <c r="V406" s="210"/>
      <c r="W406" s="415"/>
      <c r="X406" s="210"/>
      <c r="Y406" s="8"/>
      <c r="Z406" s="8"/>
      <c r="AA406" s="8"/>
      <c r="AB406" s="8"/>
      <c r="AC406" s="8"/>
      <c r="AD406" s="8"/>
      <c r="AE406" s="8"/>
      <c r="AF406" s="8"/>
      <c r="AG406" s="8"/>
      <c r="AH406" s="8"/>
      <c r="AI406" s="8"/>
      <c r="AJ406" s="8"/>
      <c r="AK406" s="8"/>
      <c r="AL406" s="8"/>
      <c r="AM406" s="8"/>
      <c r="AN406" s="8"/>
      <c r="AO406" s="8"/>
      <c r="AP406" s="8"/>
      <c r="AQ406" s="8"/>
      <c r="AR406" s="8"/>
      <c r="AS406" s="8"/>
      <c r="AT406" s="8"/>
    </row>
    <row r="407">
      <c r="A407" s="415"/>
      <c r="B407" s="210"/>
      <c r="C407" s="415"/>
      <c r="D407" s="210"/>
      <c r="E407" s="415"/>
      <c r="F407" s="210"/>
      <c r="G407" s="415"/>
      <c r="H407" s="210"/>
      <c r="I407" s="423"/>
      <c r="J407" s="156"/>
      <c r="K407" s="423"/>
      <c r="L407" s="156"/>
      <c r="M407" s="415"/>
      <c r="N407" s="210"/>
      <c r="O407" s="415"/>
      <c r="P407" s="210"/>
      <c r="Q407" s="423"/>
      <c r="R407" s="452"/>
      <c r="S407" s="415"/>
      <c r="T407" s="210"/>
      <c r="U407" s="415"/>
      <c r="V407" s="210"/>
      <c r="W407" s="415"/>
      <c r="X407" s="210"/>
      <c r="Y407" s="8"/>
      <c r="Z407" s="8"/>
      <c r="AA407" s="8"/>
      <c r="AB407" s="8"/>
      <c r="AC407" s="8"/>
      <c r="AD407" s="8"/>
      <c r="AE407" s="8"/>
      <c r="AF407" s="8"/>
      <c r="AG407" s="8"/>
      <c r="AH407" s="8"/>
      <c r="AI407" s="8"/>
      <c r="AJ407" s="8"/>
      <c r="AK407" s="8"/>
      <c r="AL407" s="8"/>
      <c r="AM407" s="8"/>
      <c r="AN407" s="8"/>
      <c r="AO407" s="8"/>
      <c r="AP407" s="8"/>
      <c r="AQ407" s="8"/>
      <c r="AR407" s="8"/>
      <c r="AS407" s="8"/>
      <c r="AT407" s="8"/>
    </row>
    <row r="408">
      <c r="A408" s="415"/>
      <c r="B408" s="210"/>
      <c r="C408" s="415"/>
      <c r="D408" s="210"/>
      <c r="E408" s="415"/>
      <c r="F408" s="210"/>
      <c r="G408" s="415"/>
      <c r="H408" s="210"/>
      <c r="I408" s="423"/>
      <c r="J408" s="156"/>
      <c r="K408" s="423"/>
      <c r="L408" s="156"/>
      <c r="M408" s="415"/>
      <c r="N408" s="210"/>
      <c r="O408" s="415"/>
      <c r="P408" s="210"/>
      <c r="Q408" s="423"/>
      <c r="R408" s="452"/>
      <c r="S408" s="415"/>
      <c r="T408" s="210"/>
      <c r="U408" s="415"/>
      <c r="V408" s="210"/>
      <c r="W408" s="415"/>
      <c r="X408" s="210"/>
      <c r="Y408" s="8"/>
      <c r="Z408" s="8"/>
      <c r="AA408" s="8"/>
      <c r="AB408" s="8"/>
      <c r="AC408" s="8"/>
      <c r="AD408" s="8"/>
      <c r="AE408" s="8"/>
      <c r="AF408" s="8"/>
      <c r="AG408" s="8"/>
      <c r="AH408" s="8"/>
      <c r="AI408" s="8"/>
      <c r="AJ408" s="8"/>
      <c r="AK408" s="8"/>
      <c r="AL408" s="8"/>
      <c r="AM408" s="8"/>
      <c r="AN408" s="8"/>
      <c r="AO408" s="8"/>
      <c r="AP408" s="8"/>
      <c r="AQ408" s="8"/>
      <c r="AR408" s="8"/>
      <c r="AS408" s="8"/>
      <c r="AT408" s="8"/>
    </row>
    <row r="409">
      <c r="A409" s="415"/>
      <c r="B409" s="210"/>
      <c r="C409" s="415"/>
      <c r="D409" s="210"/>
      <c r="E409" s="415"/>
      <c r="F409" s="210"/>
      <c r="G409" s="415"/>
      <c r="H409" s="210"/>
      <c r="I409" s="423"/>
      <c r="J409" s="156"/>
      <c r="K409" s="423"/>
      <c r="L409" s="156"/>
      <c r="M409" s="415"/>
      <c r="N409" s="210"/>
      <c r="O409" s="415"/>
      <c r="P409" s="210"/>
      <c r="Q409" s="423"/>
      <c r="R409" s="452"/>
      <c r="S409" s="415"/>
      <c r="T409" s="210"/>
      <c r="U409" s="415"/>
      <c r="V409" s="210"/>
      <c r="W409" s="415"/>
      <c r="X409" s="210"/>
      <c r="Y409" s="8"/>
      <c r="Z409" s="8"/>
      <c r="AA409" s="8"/>
      <c r="AB409" s="8"/>
      <c r="AC409" s="8"/>
      <c r="AD409" s="8"/>
      <c r="AE409" s="8"/>
      <c r="AF409" s="8"/>
      <c r="AG409" s="8"/>
      <c r="AH409" s="8"/>
      <c r="AI409" s="8"/>
      <c r="AJ409" s="8"/>
      <c r="AK409" s="8"/>
      <c r="AL409" s="8"/>
      <c r="AM409" s="8"/>
      <c r="AN409" s="8"/>
      <c r="AO409" s="8"/>
      <c r="AP409" s="8"/>
      <c r="AQ409" s="8"/>
      <c r="AR409" s="8"/>
      <c r="AS409" s="8"/>
      <c r="AT409" s="8"/>
    </row>
    <row r="410">
      <c r="A410" s="415"/>
      <c r="B410" s="210"/>
      <c r="C410" s="415"/>
      <c r="D410" s="210"/>
      <c r="E410" s="415"/>
      <c r="F410" s="210"/>
      <c r="G410" s="415"/>
      <c r="H410" s="210"/>
      <c r="I410" s="423"/>
      <c r="J410" s="156"/>
      <c r="K410" s="423"/>
      <c r="L410" s="156"/>
      <c r="M410" s="415"/>
      <c r="N410" s="210"/>
      <c r="O410" s="415"/>
      <c r="P410" s="210"/>
      <c r="Q410" s="423"/>
      <c r="R410" s="452"/>
      <c r="S410" s="415"/>
      <c r="T410" s="210"/>
      <c r="U410" s="415"/>
      <c r="V410" s="210"/>
      <c r="W410" s="415"/>
      <c r="X410" s="210"/>
      <c r="Y410" s="8"/>
      <c r="Z410" s="8"/>
      <c r="AA410" s="8"/>
      <c r="AB410" s="8"/>
      <c r="AC410" s="8"/>
      <c r="AD410" s="8"/>
      <c r="AE410" s="8"/>
      <c r="AF410" s="8"/>
      <c r="AG410" s="8"/>
      <c r="AH410" s="8"/>
      <c r="AI410" s="8"/>
      <c r="AJ410" s="8"/>
      <c r="AK410" s="8"/>
      <c r="AL410" s="8"/>
      <c r="AM410" s="8"/>
      <c r="AN410" s="8"/>
      <c r="AO410" s="8"/>
      <c r="AP410" s="8"/>
      <c r="AQ410" s="8"/>
      <c r="AR410" s="8"/>
      <c r="AS410" s="8"/>
      <c r="AT410" s="8"/>
    </row>
    <row r="411">
      <c r="A411" s="415"/>
      <c r="B411" s="210"/>
      <c r="C411" s="415"/>
      <c r="D411" s="210"/>
      <c r="E411" s="415"/>
      <c r="F411" s="210"/>
      <c r="G411" s="415"/>
      <c r="H411" s="210"/>
      <c r="I411" s="423"/>
      <c r="J411" s="156"/>
      <c r="K411" s="423"/>
      <c r="L411" s="156"/>
      <c r="M411" s="415"/>
      <c r="N411" s="210"/>
      <c r="O411" s="415"/>
      <c r="P411" s="210"/>
      <c r="Q411" s="423"/>
      <c r="R411" s="452"/>
      <c r="S411" s="415"/>
      <c r="T411" s="210"/>
      <c r="U411" s="415"/>
      <c r="V411" s="210"/>
      <c r="W411" s="415"/>
      <c r="X411" s="210"/>
      <c r="Y411" s="8"/>
      <c r="Z411" s="8"/>
      <c r="AA411" s="8"/>
      <c r="AB411" s="8"/>
      <c r="AC411" s="8"/>
      <c r="AD411" s="8"/>
      <c r="AE411" s="8"/>
      <c r="AF411" s="8"/>
      <c r="AG411" s="8"/>
      <c r="AH411" s="8"/>
      <c r="AI411" s="8"/>
      <c r="AJ411" s="8"/>
      <c r="AK411" s="8"/>
      <c r="AL411" s="8"/>
      <c r="AM411" s="8"/>
      <c r="AN411" s="8"/>
      <c r="AO411" s="8"/>
      <c r="AP411" s="8"/>
      <c r="AQ411" s="8"/>
      <c r="AR411" s="8"/>
      <c r="AS411" s="8"/>
      <c r="AT411" s="8"/>
    </row>
    <row r="412">
      <c r="A412" s="415"/>
      <c r="B412" s="210"/>
      <c r="C412" s="415"/>
      <c r="D412" s="210"/>
      <c r="E412" s="415"/>
      <c r="F412" s="210"/>
      <c r="G412" s="415"/>
      <c r="H412" s="210"/>
      <c r="I412" s="423"/>
      <c r="J412" s="156"/>
      <c r="K412" s="423"/>
      <c r="L412" s="156"/>
      <c r="M412" s="415"/>
      <c r="N412" s="210"/>
      <c r="O412" s="415"/>
      <c r="P412" s="210"/>
      <c r="Q412" s="423"/>
      <c r="R412" s="452"/>
      <c r="S412" s="415"/>
      <c r="T412" s="210"/>
      <c r="U412" s="415"/>
      <c r="V412" s="210"/>
      <c r="W412" s="415"/>
      <c r="X412" s="210"/>
      <c r="Y412" s="8"/>
      <c r="Z412" s="8"/>
      <c r="AA412" s="8"/>
      <c r="AB412" s="8"/>
      <c r="AC412" s="8"/>
      <c r="AD412" s="8"/>
      <c r="AE412" s="8"/>
      <c r="AF412" s="8"/>
      <c r="AG412" s="8"/>
      <c r="AH412" s="8"/>
      <c r="AI412" s="8"/>
      <c r="AJ412" s="8"/>
      <c r="AK412" s="8"/>
      <c r="AL412" s="8"/>
      <c r="AM412" s="8"/>
      <c r="AN412" s="8"/>
      <c r="AO412" s="8"/>
      <c r="AP412" s="8"/>
      <c r="AQ412" s="8"/>
      <c r="AR412" s="8"/>
      <c r="AS412" s="8"/>
      <c r="AT412" s="8"/>
    </row>
    <row r="413">
      <c r="A413" s="415"/>
      <c r="B413" s="210"/>
      <c r="C413" s="415"/>
      <c r="D413" s="210"/>
      <c r="E413" s="415"/>
      <c r="F413" s="210"/>
      <c r="G413" s="415"/>
      <c r="H413" s="210"/>
      <c r="I413" s="423"/>
      <c r="J413" s="156"/>
      <c r="K413" s="423"/>
      <c r="L413" s="156"/>
      <c r="M413" s="415"/>
      <c r="N413" s="210"/>
      <c r="O413" s="415"/>
      <c r="P413" s="210"/>
      <c r="Q413" s="423"/>
      <c r="R413" s="452"/>
      <c r="S413" s="415"/>
      <c r="T413" s="210"/>
      <c r="U413" s="415"/>
      <c r="V413" s="210"/>
      <c r="W413" s="415"/>
      <c r="X413" s="210"/>
      <c r="Y413" s="8"/>
      <c r="Z413" s="8"/>
      <c r="AA413" s="8"/>
      <c r="AB413" s="8"/>
      <c r="AC413" s="8"/>
      <c r="AD413" s="8"/>
      <c r="AE413" s="8"/>
      <c r="AF413" s="8"/>
      <c r="AG413" s="8"/>
      <c r="AH413" s="8"/>
      <c r="AI413" s="8"/>
      <c r="AJ413" s="8"/>
      <c r="AK413" s="8"/>
      <c r="AL413" s="8"/>
      <c r="AM413" s="8"/>
      <c r="AN413" s="8"/>
      <c r="AO413" s="8"/>
      <c r="AP413" s="8"/>
      <c r="AQ413" s="8"/>
      <c r="AR413" s="8"/>
      <c r="AS413" s="8"/>
      <c r="AT413" s="8"/>
    </row>
    <row r="414">
      <c r="A414" s="415"/>
      <c r="B414" s="210"/>
      <c r="C414" s="415"/>
      <c r="D414" s="210"/>
      <c r="E414" s="415"/>
      <c r="F414" s="210"/>
      <c r="G414" s="415"/>
      <c r="H414" s="210"/>
      <c r="I414" s="423"/>
      <c r="J414" s="156"/>
      <c r="K414" s="423"/>
      <c r="L414" s="156"/>
      <c r="M414" s="415"/>
      <c r="N414" s="210"/>
      <c r="O414" s="415"/>
      <c r="P414" s="210"/>
      <c r="Q414" s="423"/>
      <c r="R414" s="452"/>
      <c r="S414" s="415"/>
      <c r="T414" s="210"/>
      <c r="U414" s="415"/>
      <c r="V414" s="210"/>
      <c r="W414" s="415"/>
      <c r="X414" s="210"/>
      <c r="Y414" s="8"/>
      <c r="Z414" s="8"/>
      <c r="AA414" s="8"/>
      <c r="AB414" s="8"/>
      <c r="AC414" s="8"/>
      <c r="AD414" s="8"/>
      <c r="AE414" s="8"/>
      <c r="AF414" s="8"/>
      <c r="AG414" s="8"/>
      <c r="AH414" s="8"/>
      <c r="AI414" s="8"/>
      <c r="AJ414" s="8"/>
      <c r="AK414" s="8"/>
      <c r="AL414" s="8"/>
      <c r="AM414" s="8"/>
      <c r="AN414" s="8"/>
      <c r="AO414" s="8"/>
      <c r="AP414" s="8"/>
      <c r="AQ414" s="8"/>
      <c r="AR414" s="8"/>
      <c r="AS414" s="8"/>
      <c r="AT414" s="8"/>
    </row>
    <row r="415">
      <c r="A415" s="415"/>
      <c r="B415" s="210"/>
      <c r="C415" s="415"/>
      <c r="D415" s="210"/>
      <c r="E415" s="415"/>
      <c r="F415" s="210"/>
      <c r="G415" s="415"/>
      <c r="H415" s="210"/>
      <c r="I415" s="423"/>
      <c r="J415" s="156"/>
      <c r="K415" s="423"/>
      <c r="L415" s="156"/>
      <c r="M415" s="415"/>
      <c r="N415" s="210"/>
      <c r="O415" s="415"/>
      <c r="P415" s="210"/>
      <c r="Q415" s="423"/>
      <c r="R415" s="452"/>
      <c r="S415" s="415"/>
      <c r="T415" s="210"/>
      <c r="U415" s="415"/>
      <c r="V415" s="210"/>
      <c r="W415" s="415"/>
      <c r="X415" s="210"/>
      <c r="Y415" s="8"/>
      <c r="Z415" s="8"/>
      <c r="AA415" s="8"/>
      <c r="AB415" s="8"/>
      <c r="AC415" s="8"/>
      <c r="AD415" s="8"/>
      <c r="AE415" s="8"/>
      <c r="AF415" s="8"/>
      <c r="AG415" s="8"/>
      <c r="AH415" s="8"/>
      <c r="AI415" s="8"/>
      <c r="AJ415" s="8"/>
      <c r="AK415" s="8"/>
      <c r="AL415" s="8"/>
      <c r="AM415" s="8"/>
      <c r="AN415" s="8"/>
      <c r="AO415" s="8"/>
      <c r="AP415" s="8"/>
      <c r="AQ415" s="8"/>
      <c r="AR415" s="8"/>
      <c r="AS415" s="8"/>
      <c r="AT415" s="8"/>
    </row>
    <row r="416">
      <c r="A416" s="415"/>
      <c r="B416" s="210"/>
      <c r="C416" s="415"/>
      <c r="D416" s="210"/>
      <c r="E416" s="415"/>
      <c r="F416" s="210"/>
      <c r="G416" s="415"/>
      <c r="H416" s="210"/>
      <c r="I416" s="423"/>
      <c r="J416" s="156"/>
      <c r="K416" s="423"/>
      <c r="L416" s="156"/>
      <c r="M416" s="415"/>
      <c r="N416" s="210"/>
      <c r="O416" s="415"/>
      <c r="P416" s="210"/>
      <c r="Q416" s="423"/>
      <c r="R416" s="452"/>
      <c r="S416" s="415"/>
      <c r="T416" s="210"/>
      <c r="U416" s="415"/>
      <c r="V416" s="210"/>
      <c r="W416" s="415"/>
      <c r="X416" s="210"/>
      <c r="Y416" s="8"/>
      <c r="Z416" s="8"/>
      <c r="AA416" s="8"/>
      <c r="AB416" s="8"/>
      <c r="AC416" s="8"/>
      <c r="AD416" s="8"/>
      <c r="AE416" s="8"/>
      <c r="AF416" s="8"/>
      <c r="AG416" s="8"/>
      <c r="AH416" s="8"/>
      <c r="AI416" s="8"/>
      <c r="AJ416" s="8"/>
      <c r="AK416" s="8"/>
      <c r="AL416" s="8"/>
      <c r="AM416" s="8"/>
      <c r="AN416" s="8"/>
      <c r="AO416" s="8"/>
      <c r="AP416" s="8"/>
      <c r="AQ416" s="8"/>
      <c r="AR416" s="8"/>
      <c r="AS416" s="8"/>
      <c r="AT416" s="8"/>
    </row>
    <row r="417">
      <c r="A417" s="415"/>
      <c r="B417" s="210"/>
      <c r="C417" s="415"/>
      <c r="D417" s="210"/>
      <c r="E417" s="415"/>
      <c r="F417" s="210"/>
      <c r="G417" s="415"/>
      <c r="H417" s="210"/>
      <c r="I417" s="423"/>
      <c r="J417" s="156"/>
      <c r="K417" s="423"/>
      <c r="L417" s="156"/>
      <c r="M417" s="415"/>
      <c r="N417" s="210"/>
      <c r="O417" s="415"/>
      <c r="P417" s="210"/>
      <c r="Q417" s="423"/>
      <c r="R417" s="452"/>
      <c r="S417" s="415"/>
      <c r="T417" s="210"/>
      <c r="U417" s="415"/>
      <c r="V417" s="210"/>
      <c r="W417" s="415"/>
      <c r="X417" s="210"/>
      <c r="Y417" s="8"/>
      <c r="Z417" s="8"/>
      <c r="AA417" s="8"/>
      <c r="AB417" s="8"/>
      <c r="AC417" s="8"/>
      <c r="AD417" s="8"/>
      <c r="AE417" s="8"/>
      <c r="AF417" s="8"/>
      <c r="AG417" s="8"/>
      <c r="AH417" s="8"/>
      <c r="AI417" s="8"/>
      <c r="AJ417" s="8"/>
      <c r="AK417" s="8"/>
      <c r="AL417" s="8"/>
      <c r="AM417" s="8"/>
      <c r="AN417" s="8"/>
      <c r="AO417" s="8"/>
      <c r="AP417" s="8"/>
      <c r="AQ417" s="8"/>
      <c r="AR417" s="8"/>
      <c r="AS417" s="8"/>
      <c r="AT417" s="8"/>
    </row>
    <row r="418">
      <c r="A418" s="415"/>
      <c r="B418" s="210"/>
      <c r="C418" s="415"/>
      <c r="D418" s="210"/>
      <c r="E418" s="415"/>
      <c r="F418" s="210"/>
      <c r="G418" s="415"/>
      <c r="H418" s="210"/>
      <c r="I418" s="423"/>
      <c r="J418" s="156"/>
      <c r="K418" s="423"/>
      <c r="L418" s="156"/>
      <c r="M418" s="415"/>
      <c r="N418" s="210"/>
      <c r="O418" s="415"/>
      <c r="P418" s="210"/>
      <c r="Q418" s="423"/>
      <c r="R418" s="452"/>
      <c r="S418" s="415"/>
      <c r="T418" s="210"/>
      <c r="U418" s="415"/>
      <c r="V418" s="210"/>
      <c r="W418" s="415"/>
      <c r="X418" s="210"/>
      <c r="Y418" s="8"/>
      <c r="Z418" s="8"/>
      <c r="AA418" s="8"/>
      <c r="AB418" s="8"/>
      <c r="AC418" s="8"/>
      <c r="AD418" s="8"/>
      <c r="AE418" s="8"/>
      <c r="AF418" s="8"/>
      <c r="AG418" s="8"/>
      <c r="AH418" s="8"/>
      <c r="AI418" s="8"/>
      <c r="AJ418" s="8"/>
      <c r="AK418" s="8"/>
      <c r="AL418" s="8"/>
      <c r="AM418" s="8"/>
      <c r="AN418" s="8"/>
      <c r="AO418" s="8"/>
      <c r="AP418" s="8"/>
      <c r="AQ418" s="8"/>
      <c r="AR418" s="8"/>
      <c r="AS418" s="8"/>
      <c r="AT418" s="8"/>
    </row>
    <row r="419">
      <c r="A419" s="415"/>
      <c r="B419" s="210"/>
      <c r="C419" s="415"/>
      <c r="D419" s="210"/>
      <c r="E419" s="415"/>
      <c r="F419" s="210"/>
      <c r="G419" s="415"/>
      <c r="H419" s="210"/>
      <c r="I419" s="423"/>
      <c r="J419" s="156"/>
      <c r="K419" s="423"/>
      <c r="L419" s="156"/>
      <c r="M419" s="415"/>
      <c r="N419" s="210"/>
      <c r="O419" s="415"/>
      <c r="P419" s="210"/>
      <c r="Q419" s="423"/>
      <c r="R419" s="452"/>
      <c r="S419" s="415"/>
      <c r="T419" s="210"/>
      <c r="U419" s="415"/>
      <c r="V419" s="210"/>
      <c r="W419" s="415"/>
      <c r="X419" s="210"/>
      <c r="Y419" s="8"/>
      <c r="Z419" s="8"/>
      <c r="AA419" s="8"/>
      <c r="AB419" s="8"/>
      <c r="AC419" s="8"/>
      <c r="AD419" s="8"/>
      <c r="AE419" s="8"/>
      <c r="AF419" s="8"/>
      <c r="AG419" s="8"/>
      <c r="AH419" s="8"/>
      <c r="AI419" s="8"/>
      <c r="AJ419" s="8"/>
      <c r="AK419" s="8"/>
      <c r="AL419" s="8"/>
      <c r="AM419" s="8"/>
      <c r="AN419" s="8"/>
      <c r="AO419" s="8"/>
      <c r="AP419" s="8"/>
      <c r="AQ419" s="8"/>
      <c r="AR419" s="8"/>
      <c r="AS419" s="8"/>
      <c r="AT419" s="8"/>
    </row>
    <row r="420">
      <c r="A420" s="415"/>
      <c r="B420" s="210"/>
      <c r="C420" s="415"/>
      <c r="D420" s="210"/>
      <c r="E420" s="415"/>
      <c r="F420" s="210"/>
      <c r="G420" s="415"/>
      <c r="H420" s="210"/>
      <c r="I420" s="423"/>
      <c r="J420" s="156"/>
      <c r="K420" s="423"/>
      <c r="L420" s="156"/>
      <c r="M420" s="415"/>
      <c r="N420" s="210"/>
      <c r="O420" s="415"/>
      <c r="P420" s="210"/>
      <c r="Q420" s="423"/>
      <c r="R420" s="452"/>
      <c r="S420" s="415"/>
      <c r="T420" s="210"/>
      <c r="U420" s="415"/>
      <c r="V420" s="210"/>
      <c r="W420" s="415"/>
      <c r="X420" s="210"/>
      <c r="Y420" s="8"/>
      <c r="Z420" s="8"/>
      <c r="AA420" s="8"/>
      <c r="AB420" s="8"/>
      <c r="AC420" s="8"/>
      <c r="AD420" s="8"/>
      <c r="AE420" s="8"/>
      <c r="AF420" s="8"/>
      <c r="AG420" s="8"/>
      <c r="AH420" s="8"/>
      <c r="AI420" s="8"/>
      <c r="AJ420" s="8"/>
      <c r="AK420" s="8"/>
      <c r="AL420" s="8"/>
      <c r="AM420" s="8"/>
      <c r="AN420" s="8"/>
      <c r="AO420" s="8"/>
      <c r="AP420" s="8"/>
      <c r="AQ420" s="8"/>
      <c r="AR420" s="8"/>
      <c r="AS420" s="8"/>
      <c r="AT420" s="8"/>
    </row>
    <row r="421">
      <c r="A421" s="415"/>
      <c r="B421" s="210"/>
      <c r="C421" s="415"/>
      <c r="D421" s="210"/>
      <c r="E421" s="415"/>
      <c r="F421" s="210"/>
      <c r="G421" s="415"/>
      <c r="H421" s="210"/>
      <c r="I421" s="423"/>
      <c r="J421" s="156"/>
      <c r="K421" s="423"/>
      <c r="L421" s="156"/>
      <c r="M421" s="415"/>
      <c r="N421" s="210"/>
      <c r="O421" s="415"/>
      <c r="P421" s="210"/>
      <c r="Q421" s="423"/>
      <c r="R421" s="452"/>
      <c r="S421" s="415"/>
      <c r="T421" s="210"/>
      <c r="U421" s="415"/>
      <c r="V421" s="210"/>
      <c r="W421" s="415"/>
      <c r="X421" s="210"/>
      <c r="Y421" s="8"/>
      <c r="Z421" s="8"/>
      <c r="AA421" s="8"/>
      <c r="AB421" s="8"/>
      <c r="AC421" s="8"/>
      <c r="AD421" s="8"/>
      <c r="AE421" s="8"/>
      <c r="AF421" s="8"/>
      <c r="AG421" s="8"/>
      <c r="AH421" s="8"/>
      <c r="AI421" s="8"/>
      <c r="AJ421" s="8"/>
      <c r="AK421" s="8"/>
      <c r="AL421" s="8"/>
      <c r="AM421" s="8"/>
      <c r="AN421" s="8"/>
      <c r="AO421" s="8"/>
      <c r="AP421" s="8"/>
      <c r="AQ421" s="8"/>
      <c r="AR421" s="8"/>
      <c r="AS421" s="8"/>
      <c r="AT421" s="8"/>
    </row>
    <row r="422">
      <c r="A422" s="415"/>
      <c r="B422" s="210"/>
      <c r="C422" s="415"/>
      <c r="D422" s="210"/>
      <c r="E422" s="415"/>
      <c r="F422" s="210"/>
      <c r="G422" s="415"/>
      <c r="H422" s="210"/>
      <c r="I422" s="423"/>
      <c r="J422" s="156"/>
      <c r="K422" s="423"/>
      <c r="L422" s="156"/>
      <c r="M422" s="415"/>
      <c r="N422" s="210"/>
      <c r="O422" s="415"/>
      <c r="P422" s="210"/>
      <c r="Q422" s="423"/>
      <c r="R422" s="452"/>
      <c r="S422" s="415"/>
      <c r="T422" s="210"/>
      <c r="U422" s="415"/>
      <c r="V422" s="210"/>
      <c r="W422" s="415"/>
      <c r="X422" s="210"/>
      <c r="Y422" s="8"/>
      <c r="Z422" s="8"/>
      <c r="AA422" s="8"/>
      <c r="AB422" s="8"/>
      <c r="AC422" s="8"/>
      <c r="AD422" s="8"/>
      <c r="AE422" s="8"/>
      <c r="AF422" s="8"/>
      <c r="AG422" s="8"/>
      <c r="AH422" s="8"/>
      <c r="AI422" s="8"/>
      <c r="AJ422" s="8"/>
      <c r="AK422" s="8"/>
      <c r="AL422" s="8"/>
      <c r="AM422" s="8"/>
      <c r="AN422" s="8"/>
      <c r="AO422" s="8"/>
      <c r="AP422" s="8"/>
      <c r="AQ422" s="8"/>
      <c r="AR422" s="8"/>
      <c r="AS422" s="8"/>
      <c r="AT422" s="8"/>
    </row>
    <row r="423">
      <c r="A423" s="415"/>
      <c r="B423" s="210"/>
      <c r="C423" s="415"/>
      <c r="D423" s="210"/>
      <c r="E423" s="415"/>
      <c r="F423" s="210"/>
      <c r="G423" s="415"/>
      <c r="H423" s="210"/>
      <c r="I423" s="423"/>
      <c r="J423" s="156"/>
      <c r="K423" s="423"/>
      <c r="L423" s="156"/>
      <c r="M423" s="415"/>
      <c r="N423" s="210"/>
      <c r="O423" s="415"/>
      <c r="P423" s="210"/>
      <c r="Q423" s="423"/>
      <c r="R423" s="452"/>
      <c r="S423" s="415"/>
      <c r="T423" s="210"/>
      <c r="U423" s="415"/>
      <c r="V423" s="210"/>
      <c r="W423" s="415"/>
      <c r="X423" s="210"/>
      <c r="Y423" s="8"/>
      <c r="Z423" s="8"/>
      <c r="AA423" s="8"/>
      <c r="AB423" s="8"/>
      <c r="AC423" s="8"/>
      <c r="AD423" s="8"/>
      <c r="AE423" s="8"/>
      <c r="AF423" s="8"/>
      <c r="AG423" s="8"/>
      <c r="AH423" s="8"/>
      <c r="AI423" s="8"/>
      <c r="AJ423" s="8"/>
      <c r="AK423" s="8"/>
      <c r="AL423" s="8"/>
      <c r="AM423" s="8"/>
      <c r="AN423" s="8"/>
      <c r="AO423" s="8"/>
      <c r="AP423" s="8"/>
      <c r="AQ423" s="8"/>
      <c r="AR423" s="8"/>
      <c r="AS423" s="8"/>
      <c r="AT423" s="8"/>
    </row>
    <row r="424">
      <c r="A424" s="415"/>
      <c r="B424" s="210"/>
      <c r="C424" s="415"/>
      <c r="D424" s="210"/>
      <c r="E424" s="415"/>
      <c r="F424" s="210"/>
      <c r="G424" s="415"/>
      <c r="H424" s="210"/>
      <c r="I424" s="423"/>
      <c r="J424" s="156"/>
      <c r="K424" s="423"/>
      <c r="L424" s="156"/>
      <c r="M424" s="415"/>
      <c r="N424" s="210"/>
      <c r="O424" s="415"/>
      <c r="P424" s="210"/>
      <c r="Q424" s="423"/>
      <c r="R424" s="452"/>
      <c r="S424" s="415"/>
      <c r="T424" s="210"/>
      <c r="U424" s="415"/>
      <c r="V424" s="210"/>
      <c r="W424" s="415"/>
      <c r="X424" s="210"/>
      <c r="Y424" s="8"/>
      <c r="Z424" s="8"/>
      <c r="AA424" s="8"/>
      <c r="AB424" s="8"/>
      <c r="AC424" s="8"/>
      <c r="AD424" s="8"/>
      <c r="AE424" s="8"/>
      <c r="AF424" s="8"/>
      <c r="AG424" s="8"/>
      <c r="AH424" s="8"/>
      <c r="AI424" s="8"/>
      <c r="AJ424" s="8"/>
      <c r="AK424" s="8"/>
      <c r="AL424" s="8"/>
      <c r="AM424" s="8"/>
      <c r="AN424" s="8"/>
      <c r="AO424" s="8"/>
      <c r="AP424" s="8"/>
      <c r="AQ424" s="8"/>
      <c r="AR424" s="8"/>
      <c r="AS424" s="8"/>
      <c r="AT424" s="8"/>
    </row>
    <row r="425">
      <c r="A425" s="415"/>
      <c r="B425" s="210"/>
      <c r="C425" s="415"/>
      <c r="D425" s="210"/>
      <c r="E425" s="415"/>
      <c r="F425" s="210"/>
      <c r="G425" s="415"/>
      <c r="H425" s="210"/>
      <c r="I425" s="423"/>
      <c r="J425" s="156"/>
      <c r="K425" s="423"/>
      <c r="L425" s="156"/>
      <c r="M425" s="415"/>
      <c r="N425" s="210"/>
      <c r="O425" s="415"/>
      <c r="P425" s="210"/>
      <c r="Q425" s="423"/>
      <c r="R425" s="452"/>
      <c r="S425" s="415"/>
      <c r="T425" s="210"/>
      <c r="U425" s="415"/>
      <c r="V425" s="210"/>
      <c r="W425" s="415"/>
      <c r="X425" s="210"/>
      <c r="Y425" s="8"/>
      <c r="Z425" s="8"/>
      <c r="AA425" s="8"/>
      <c r="AB425" s="8"/>
      <c r="AC425" s="8"/>
      <c r="AD425" s="8"/>
      <c r="AE425" s="8"/>
      <c r="AF425" s="8"/>
      <c r="AG425" s="8"/>
      <c r="AH425" s="8"/>
      <c r="AI425" s="8"/>
      <c r="AJ425" s="8"/>
      <c r="AK425" s="8"/>
      <c r="AL425" s="8"/>
      <c r="AM425" s="8"/>
      <c r="AN425" s="8"/>
      <c r="AO425" s="8"/>
      <c r="AP425" s="8"/>
      <c r="AQ425" s="8"/>
      <c r="AR425" s="8"/>
      <c r="AS425" s="8"/>
      <c r="AT425" s="8"/>
    </row>
    <row r="426">
      <c r="A426" s="415"/>
      <c r="B426" s="210"/>
      <c r="C426" s="415"/>
      <c r="D426" s="210"/>
      <c r="E426" s="415"/>
      <c r="F426" s="210"/>
      <c r="G426" s="415"/>
      <c r="H426" s="210"/>
      <c r="I426" s="423"/>
      <c r="J426" s="156"/>
      <c r="K426" s="423"/>
      <c r="L426" s="156"/>
      <c r="M426" s="415"/>
      <c r="N426" s="210"/>
      <c r="O426" s="415"/>
      <c r="P426" s="210"/>
      <c r="Q426" s="423"/>
      <c r="R426" s="452"/>
      <c r="S426" s="415"/>
      <c r="T426" s="210"/>
      <c r="U426" s="415"/>
      <c r="V426" s="210"/>
      <c r="W426" s="415"/>
      <c r="X426" s="210"/>
      <c r="Y426" s="8"/>
      <c r="Z426" s="8"/>
      <c r="AA426" s="8"/>
      <c r="AB426" s="8"/>
      <c r="AC426" s="8"/>
      <c r="AD426" s="8"/>
      <c r="AE426" s="8"/>
      <c r="AF426" s="8"/>
      <c r="AG426" s="8"/>
      <c r="AH426" s="8"/>
      <c r="AI426" s="8"/>
      <c r="AJ426" s="8"/>
      <c r="AK426" s="8"/>
      <c r="AL426" s="8"/>
      <c r="AM426" s="8"/>
      <c r="AN426" s="8"/>
      <c r="AO426" s="8"/>
      <c r="AP426" s="8"/>
      <c r="AQ426" s="8"/>
      <c r="AR426" s="8"/>
      <c r="AS426" s="8"/>
      <c r="AT426" s="8"/>
    </row>
    <row r="427">
      <c r="A427" s="415"/>
      <c r="B427" s="210"/>
      <c r="C427" s="415"/>
      <c r="D427" s="210"/>
      <c r="E427" s="415"/>
      <c r="F427" s="210"/>
      <c r="G427" s="415"/>
      <c r="H427" s="210"/>
      <c r="I427" s="423"/>
      <c r="J427" s="156"/>
      <c r="K427" s="423"/>
      <c r="L427" s="156"/>
      <c r="M427" s="415"/>
      <c r="N427" s="210"/>
      <c r="O427" s="415"/>
      <c r="P427" s="210"/>
      <c r="Q427" s="423"/>
      <c r="R427" s="452"/>
      <c r="S427" s="415"/>
      <c r="T427" s="210"/>
      <c r="U427" s="415"/>
      <c r="V427" s="210"/>
      <c r="W427" s="415"/>
      <c r="X427" s="210"/>
      <c r="Y427" s="8"/>
      <c r="Z427" s="8"/>
      <c r="AA427" s="8"/>
      <c r="AB427" s="8"/>
      <c r="AC427" s="8"/>
      <c r="AD427" s="8"/>
      <c r="AE427" s="8"/>
      <c r="AF427" s="8"/>
      <c r="AG427" s="8"/>
      <c r="AH427" s="8"/>
      <c r="AI427" s="8"/>
      <c r="AJ427" s="8"/>
      <c r="AK427" s="8"/>
      <c r="AL427" s="8"/>
      <c r="AM427" s="8"/>
      <c r="AN427" s="8"/>
      <c r="AO427" s="8"/>
      <c r="AP427" s="8"/>
      <c r="AQ427" s="8"/>
      <c r="AR427" s="8"/>
      <c r="AS427" s="8"/>
      <c r="AT427" s="8"/>
    </row>
    <row r="428">
      <c r="A428" s="415"/>
      <c r="B428" s="210"/>
      <c r="C428" s="415"/>
      <c r="D428" s="210"/>
      <c r="E428" s="415"/>
      <c r="F428" s="210"/>
      <c r="G428" s="415"/>
      <c r="H428" s="210"/>
      <c r="I428" s="423"/>
      <c r="J428" s="156"/>
      <c r="K428" s="423"/>
      <c r="L428" s="156"/>
      <c r="M428" s="415"/>
      <c r="N428" s="210"/>
      <c r="O428" s="415"/>
      <c r="P428" s="210"/>
      <c r="Q428" s="423"/>
      <c r="R428" s="452"/>
      <c r="S428" s="415"/>
      <c r="T428" s="210"/>
      <c r="U428" s="415"/>
      <c r="V428" s="210"/>
      <c r="W428" s="415"/>
      <c r="X428" s="210"/>
      <c r="Y428" s="8"/>
      <c r="Z428" s="8"/>
      <c r="AA428" s="8"/>
      <c r="AB428" s="8"/>
      <c r="AC428" s="8"/>
      <c r="AD428" s="8"/>
      <c r="AE428" s="8"/>
      <c r="AF428" s="8"/>
      <c r="AG428" s="8"/>
      <c r="AH428" s="8"/>
      <c r="AI428" s="8"/>
      <c r="AJ428" s="8"/>
      <c r="AK428" s="8"/>
      <c r="AL428" s="8"/>
      <c r="AM428" s="8"/>
      <c r="AN428" s="8"/>
      <c r="AO428" s="8"/>
      <c r="AP428" s="8"/>
      <c r="AQ428" s="8"/>
      <c r="AR428" s="8"/>
      <c r="AS428" s="8"/>
      <c r="AT428" s="8"/>
    </row>
    <row r="429">
      <c r="A429" s="415"/>
      <c r="B429" s="210"/>
      <c r="C429" s="415"/>
      <c r="D429" s="210"/>
      <c r="E429" s="415"/>
      <c r="F429" s="210"/>
      <c r="G429" s="415"/>
      <c r="H429" s="210"/>
      <c r="I429" s="423"/>
      <c r="J429" s="156"/>
      <c r="K429" s="423"/>
      <c r="L429" s="156"/>
      <c r="M429" s="415"/>
      <c r="N429" s="210"/>
      <c r="O429" s="415"/>
      <c r="P429" s="210"/>
      <c r="Q429" s="423"/>
      <c r="R429" s="452"/>
      <c r="S429" s="415"/>
      <c r="T429" s="210"/>
      <c r="U429" s="415"/>
      <c r="V429" s="210"/>
      <c r="W429" s="415"/>
      <c r="X429" s="210"/>
      <c r="Y429" s="8"/>
      <c r="Z429" s="8"/>
      <c r="AA429" s="8"/>
      <c r="AB429" s="8"/>
      <c r="AC429" s="8"/>
      <c r="AD429" s="8"/>
      <c r="AE429" s="8"/>
      <c r="AF429" s="8"/>
      <c r="AG429" s="8"/>
      <c r="AH429" s="8"/>
      <c r="AI429" s="8"/>
      <c r="AJ429" s="8"/>
      <c r="AK429" s="8"/>
      <c r="AL429" s="8"/>
      <c r="AM429" s="8"/>
      <c r="AN429" s="8"/>
      <c r="AO429" s="8"/>
      <c r="AP429" s="8"/>
      <c r="AQ429" s="8"/>
      <c r="AR429" s="8"/>
      <c r="AS429" s="8"/>
      <c r="AT429" s="8"/>
    </row>
    <row r="430">
      <c r="A430" s="415"/>
      <c r="B430" s="210"/>
      <c r="C430" s="415"/>
      <c r="D430" s="210"/>
      <c r="E430" s="415"/>
      <c r="F430" s="210"/>
      <c r="G430" s="415"/>
      <c r="H430" s="210"/>
      <c r="I430" s="423"/>
      <c r="J430" s="156"/>
      <c r="K430" s="423"/>
      <c r="L430" s="156"/>
      <c r="M430" s="415"/>
      <c r="N430" s="210"/>
      <c r="O430" s="415"/>
      <c r="P430" s="210"/>
      <c r="Q430" s="423"/>
      <c r="R430" s="452"/>
      <c r="S430" s="415"/>
      <c r="T430" s="210"/>
      <c r="U430" s="415"/>
      <c r="V430" s="210"/>
      <c r="W430" s="415"/>
      <c r="X430" s="210"/>
      <c r="Y430" s="8"/>
      <c r="Z430" s="8"/>
      <c r="AA430" s="8"/>
      <c r="AB430" s="8"/>
      <c r="AC430" s="8"/>
      <c r="AD430" s="8"/>
      <c r="AE430" s="8"/>
      <c r="AF430" s="8"/>
      <c r="AG430" s="8"/>
      <c r="AH430" s="8"/>
      <c r="AI430" s="8"/>
      <c r="AJ430" s="8"/>
      <c r="AK430" s="8"/>
      <c r="AL430" s="8"/>
      <c r="AM430" s="8"/>
      <c r="AN430" s="8"/>
      <c r="AO430" s="8"/>
      <c r="AP430" s="8"/>
      <c r="AQ430" s="8"/>
      <c r="AR430" s="8"/>
      <c r="AS430" s="8"/>
      <c r="AT430" s="8"/>
    </row>
    <row r="431">
      <c r="A431" s="415"/>
      <c r="B431" s="210"/>
      <c r="C431" s="415"/>
      <c r="D431" s="210"/>
      <c r="E431" s="415"/>
      <c r="F431" s="210"/>
      <c r="G431" s="415"/>
      <c r="H431" s="210"/>
      <c r="I431" s="423"/>
      <c r="J431" s="156"/>
      <c r="K431" s="423"/>
      <c r="L431" s="156"/>
      <c r="M431" s="415"/>
      <c r="N431" s="210"/>
      <c r="O431" s="415"/>
      <c r="P431" s="210"/>
      <c r="Q431" s="423"/>
      <c r="R431" s="452"/>
      <c r="S431" s="415"/>
      <c r="T431" s="210"/>
      <c r="U431" s="415"/>
      <c r="V431" s="210"/>
      <c r="W431" s="415"/>
      <c r="X431" s="210"/>
      <c r="Y431" s="8"/>
      <c r="Z431" s="8"/>
      <c r="AA431" s="8"/>
      <c r="AB431" s="8"/>
      <c r="AC431" s="8"/>
      <c r="AD431" s="8"/>
      <c r="AE431" s="8"/>
      <c r="AF431" s="8"/>
      <c r="AG431" s="8"/>
      <c r="AH431" s="8"/>
      <c r="AI431" s="8"/>
      <c r="AJ431" s="8"/>
      <c r="AK431" s="8"/>
      <c r="AL431" s="8"/>
      <c r="AM431" s="8"/>
      <c r="AN431" s="8"/>
      <c r="AO431" s="8"/>
      <c r="AP431" s="8"/>
      <c r="AQ431" s="8"/>
      <c r="AR431" s="8"/>
      <c r="AS431" s="8"/>
      <c r="AT431" s="8"/>
    </row>
    <row r="432">
      <c r="A432" s="415"/>
      <c r="B432" s="210"/>
      <c r="C432" s="415"/>
      <c r="D432" s="210"/>
      <c r="E432" s="415"/>
      <c r="F432" s="210"/>
      <c r="G432" s="415"/>
      <c r="H432" s="210"/>
      <c r="I432" s="423"/>
      <c r="J432" s="156"/>
      <c r="K432" s="423"/>
      <c r="L432" s="156"/>
      <c r="M432" s="415"/>
      <c r="N432" s="210"/>
      <c r="O432" s="415"/>
      <c r="P432" s="210"/>
      <c r="Q432" s="423"/>
      <c r="R432" s="452"/>
      <c r="S432" s="415"/>
      <c r="T432" s="210"/>
      <c r="U432" s="415"/>
      <c r="V432" s="210"/>
      <c r="W432" s="415"/>
      <c r="X432" s="210"/>
      <c r="Y432" s="8"/>
      <c r="Z432" s="8"/>
      <c r="AA432" s="8"/>
      <c r="AB432" s="8"/>
      <c r="AC432" s="8"/>
      <c r="AD432" s="8"/>
      <c r="AE432" s="8"/>
      <c r="AF432" s="8"/>
      <c r="AG432" s="8"/>
      <c r="AH432" s="8"/>
      <c r="AI432" s="8"/>
      <c r="AJ432" s="8"/>
      <c r="AK432" s="8"/>
      <c r="AL432" s="8"/>
      <c r="AM432" s="8"/>
      <c r="AN432" s="8"/>
      <c r="AO432" s="8"/>
      <c r="AP432" s="8"/>
      <c r="AQ432" s="8"/>
      <c r="AR432" s="8"/>
      <c r="AS432" s="8"/>
      <c r="AT432" s="8"/>
    </row>
    <row r="433">
      <c r="A433" s="415"/>
      <c r="B433" s="210"/>
      <c r="C433" s="415"/>
      <c r="D433" s="210"/>
      <c r="E433" s="415"/>
      <c r="F433" s="210"/>
      <c r="G433" s="415"/>
      <c r="H433" s="210"/>
      <c r="I433" s="423"/>
      <c r="J433" s="156"/>
      <c r="K433" s="423"/>
      <c r="L433" s="156"/>
      <c r="M433" s="415"/>
      <c r="N433" s="210"/>
      <c r="O433" s="415"/>
      <c r="P433" s="210"/>
      <c r="Q433" s="423"/>
      <c r="R433" s="452"/>
      <c r="S433" s="415"/>
      <c r="T433" s="210"/>
      <c r="U433" s="415"/>
      <c r="V433" s="210"/>
      <c r="W433" s="415"/>
      <c r="X433" s="210"/>
      <c r="Y433" s="8"/>
      <c r="Z433" s="8"/>
      <c r="AA433" s="8"/>
      <c r="AB433" s="8"/>
      <c r="AC433" s="8"/>
      <c r="AD433" s="8"/>
      <c r="AE433" s="8"/>
      <c r="AF433" s="8"/>
      <c r="AG433" s="8"/>
      <c r="AH433" s="8"/>
      <c r="AI433" s="8"/>
      <c r="AJ433" s="8"/>
      <c r="AK433" s="8"/>
      <c r="AL433" s="8"/>
      <c r="AM433" s="8"/>
      <c r="AN433" s="8"/>
      <c r="AO433" s="8"/>
      <c r="AP433" s="8"/>
      <c r="AQ433" s="8"/>
      <c r="AR433" s="8"/>
      <c r="AS433" s="8"/>
      <c r="AT433" s="8"/>
    </row>
    <row r="434">
      <c r="A434" s="415"/>
      <c r="B434" s="210"/>
      <c r="C434" s="415"/>
      <c r="D434" s="210"/>
      <c r="E434" s="415"/>
      <c r="F434" s="210"/>
      <c r="G434" s="415"/>
      <c r="H434" s="210"/>
      <c r="I434" s="423"/>
      <c r="J434" s="156"/>
      <c r="K434" s="423"/>
      <c r="L434" s="156"/>
      <c r="M434" s="415"/>
      <c r="N434" s="210"/>
      <c r="O434" s="415"/>
      <c r="P434" s="210"/>
      <c r="Q434" s="423"/>
      <c r="R434" s="452"/>
      <c r="S434" s="415"/>
      <c r="T434" s="210"/>
      <c r="U434" s="415"/>
      <c r="V434" s="210"/>
      <c r="W434" s="415"/>
      <c r="X434" s="210"/>
      <c r="Y434" s="8"/>
      <c r="Z434" s="8"/>
      <c r="AA434" s="8"/>
      <c r="AB434" s="8"/>
      <c r="AC434" s="8"/>
      <c r="AD434" s="8"/>
      <c r="AE434" s="8"/>
      <c r="AF434" s="8"/>
      <c r="AG434" s="8"/>
      <c r="AH434" s="8"/>
      <c r="AI434" s="8"/>
      <c r="AJ434" s="8"/>
      <c r="AK434" s="8"/>
      <c r="AL434" s="8"/>
      <c r="AM434" s="8"/>
      <c r="AN434" s="8"/>
      <c r="AO434" s="8"/>
      <c r="AP434" s="8"/>
      <c r="AQ434" s="8"/>
      <c r="AR434" s="8"/>
      <c r="AS434" s="8"/>
      <c r="AT434" s="8"/>
    </row>
    <row r="435">
      <c r="A435" s="415"/>
      <c r="B435" s="210"/>
      <c r="C435" s="415"/>
      <c r="D435" s="210"/>
      <c r="E435" s="415"/>
      <c r="F435" s="210"/>
      <c r="G435" s="415"/>
      <c r="H435" s="210"/>
      <c r="I435" s="423"/>
      <c r="J435" s="156"/>
      <c r="K435" s="423"/>
      <c r="L435" s="156"/>
      <c r="M435" s="415"/>
      <c r="N435" s="210"/>
      <c r="O435" s="415"/>
      <c r="P435" s="210"/>
      <c r="Q435" s="423"/>
      <c r="R435" s="452"/>
      <c r="S435" s="415"/>
      <c r="T435" s="210"/>
      <c r="U435" s="415"/>
      <c r="V435" s="210"/>
      <c r="W435" s="415"/>
      <c r="X435" s="210"/>
      <c r="Y435" s="8"/>
      <c r="Z435" s="8"/>
      <c r="AA435" s="8"/>
      <c r="AB435" s="8"/>
      <c r="AC435" s="8"/>
      <c r="AD435" s="8"/>
      <c r="AE435" s="8"/>
      <c r="AF435" s="8"/>
      <c r="AG435" s="8"/>
      <c r="AH435" s="8"/>
      <c r="AI435" s="8"/>
      <c r="AJ435" s="8"/>
      <c r="AK435" s="8"/>
      <c r="AL435" s="8"/>
      <c r="AM435" s="8"/>
      <c r="AN435" s="8"/>
      <c r="AO435" s="8"/>
      <c r="AP435" s="8"/>
      <c r="AQ435" s="8"/>
      <c r="AR435" s="8"/>
      <c r="AS435" s="8"/>
      <c r="AT435" s="8"/>
    </row>
    <row r="436">
      <c r="A436" s="415"/>
      <c r="B436" s="210"/>
      <c r="C436" s="415"/>
      <c r="D436" s="210"/>
      <c r="E436" s="415"/>
      <c r="F436" s="210"/>
      <c r="G436" s="415"/>
      <c r="H436" s="210"/>
      <c r="I436" s="423"/>
      <c r="J436" s="156"/>
      <c r="K436" s="423"/>
      <c r="L436" s="156"/>
      <c r="M436" s="415"/>
      <c r="N436" s="210"/>
      <c r="O436" s="415"/>
      <c r="P436" s="210"/>
      <c r="Q436" s="423"/>
      <c r="R436" s="452"/>
      <c r="S436" s="415"/>
      <c r="T436" s="210"/>
      <c r="U436" s="415"/>
      <c r="V436" s="210"/>
      <c r="W436" s="415"/>
      <c r="X436" s="210"/>
      <c r="Y436" s="8"/>
      <c r="Z436" s="8"/>
      <c r="AA436" s="8"/>
      <c r="AB436" s="8"/>
      <c r="AC436" s="8"/>
      <c r="AD436" s="8"/>
      <c r="AE436" s="8"/>
      <c r="AF436" s="8"/>
      <c r="AG436" s="8"/>
      <c r="AH436" s="8"/>
      <c r="AI436" s="8"/>
      <c r="AJ436" s="8"/>
      <c r="AK436" s="8"/>
      <c r="AL436" s="8"/>
      <c r="AM436" s="8"/>
      <c r="AN436" s="8"/>
      <c r="AO436" s="8"/>
      <c r="AP436" s="8"/>
      <c r="AQ436" s="8"/>
      <c r="AR436" s="8"/>
      <c r="AS436" s="8"/>
      <c r="AT436" s="8"/>
    </row>
    <row r="437">
      <c r="A437" s="415"/>
      <c r="B437" s="210"/>
      <c r="C437" s="415"/>
      <c r="D437" s="210"/>
      <c r="E437" s="415"/>
      <c r="F437" s="210"/>
      <c r="G437" s="415"/>
      <c r="H437" s="210"/>
      <c r="I437" s="423"/>
      <c r="J437" s="156"/>
      <c r="K437" s="423"/>
      <c r="L437" s="156"/>
      <c r="M437" s="415"/>
      <c r="N437" s="210"/>
      <c r="O437" s="415"/>
      <c r="P437" s="210"/>
      <c r="Q437" s="423"/>
      <c r="R437" s="452"/>
      <c r="S437" s="415"/>
      <c r="T437" s="210"/>
      <c r="U437" s="415"/>
      <c r="V437" s="210"/>
      <c r="W437" s="415"/>
      <c r="X437" s="210"/>
      <c r="Y437" s="8"/>
      <c r="Z437" s="8"/>
      <c r="AA437" s="8"/>
      <c r="AB437" s="8"/>
      <c r="AC437" s="8"/>
      <c r="AD437" s="8"/>
      <c r="AE437" s="8"/>
      <c r="AF437" s="8"/>
      <c r="AG437" s="8"/>
      <c r="AH437" s="8"/>
      <c r="AI437" s="8"/>
      <c r="AJ437" s="8"/>
      <c r="AK437" s="8"/>
      <c r="AL437" s="8"/>
      <c r="AM437" s="8"/>
      <c r="AN437" s="8"/>
      <c r="AO437" s="8"/>
      <c r="AP437" s="8"/>
      <c r="AQ437" s="8"/>
      <c r="AR437" s="8"/>
      <c r="AS437" s="8"/>
      <c r="AT437" s="8"/>
    </row>
    <row r="438">
      <c r="A438" s="415"/>
      <c r="B438" s="210"/>
      <c r="C438" s="415"/>
      <c r="D438" s="210"/>
      <c r="E438" s="415"/>
      <c r="F438" s="210"/>
      <c r="G438" s="415"/>
      <c r="H438" s="210"/>
      <c r="I438" s="423"/>
      <c r="J438" s="156"/>
      <c r="K438" s="423"/>
      <c r="L438" s="156"/>
      <c r="M438" s="415"/>
      <c r="N438" s="210"/>
      <c r="O438" s="415"/>
      <c r="P438" s="210"/>
      <c r="Q438" s="423"/>
      <c r="R438" s="452"/>
      <c r="S438" s="415"/>
      <c r="T438" s="210"/>
      <c r="U438" s="415"/>
      <c r="V438" s="210"/>
      <c r="W438" s="415"/>
      <c r="X438" s="210"/>
      <c r="Y438" s="8"/>
      <c r="Z438" s="8"/>
      <c r="AA438" s="8"/>
      <c r="AB438" s="8"/>
      <c r="AC438" s="8"/>
      <c r="AD438" s="8"/>
      <c r="AE438" s="8"/>
      <c r="AF438" s="8"/>
      <c r="AG438" s="8"/>
      <c r="AH438" s="8"/>
      <c r="AI438" s="8"/>
      <c r="AJ438" s="8"/>
      <c r="AK438" s="8"/>
      <c r="AL438" s="8"/>
      <c r="AM438" s="8"/>
      <c r="AN438" s="8"/>
      <c r="AO438" s="8"/>
      <c r="AP438" s="8"/>
      <c r="AQ438" s="8"/>
      <c r="AR438" s="8"/>
      <c r="AS438" s="8"/>
      <c r="AT438" s="8"/>
    </row>
    <row r="439">
      <c r="A439" s="415"/>
      <c r="B439" s="210"/>
      <c r="C439" s="415"/>
      <c r="D439" s="210"/>
      <c r="E439" s="415"/>
      <c r="F439" s="210"/>
      <c r="G439" s="415"/>
      <c r="H439" s="210"/>
      <c r="I439" s="423"/>
      <c r="J439" s="156"/>
      <c r="K439" s="423"/>
      <c r="L439" s="156"/>
      <c r="M439" s="415"/>
      <c r="N439" s="210"/>
      <c r="O439" s="415"/>
      <c r="P439" s="210"/>
      <c r="Q439" s="423"/>
      <c r="R439" s="452"/>
      <c r="S439" s="415"/>
      <c r="T439" s="210"/>
      <c r="U439" s="415"/>
      <c r="V439" s="210"/>
      <c r="W439" s="415"/>
      <c r="X439" s="210"/>
      <c r="Y439" s="8"/>
      <c r="Z439" s="8"/>
      <c r="AA439" s="8"/>
      <c r="AB439" s="8"/>
      <c r="AC439" s="8"/>
      <c r="AD439" s="8"/>
      <c r="AE439" s="8"/>
      <c r="AF439" s="8"/>
      <c r="AG439" s="8"/>
      <c r="AH439" s="8"/>
      <c r="AI439" s="8"/>
      <c r="AJ439" s="8"/>
      <c r="AK439" s="8"/>
      <c r="AL439" s="8"/>
      <c r="AM439" s="8"/>
      <c r="AN439" s="8"/>
      <c r="AO439" s="8"/>
      <c r="AP439" s="8"/>
      <c r="AQ439" s="8"/>
      <c r="AR439" s="8"/>
      <c r="AS439" s="8"/>
      <c r="AT439" s="8"/>
    </row>
    <row r="440">
      <c r="A440" s="415"/>
      <c r="B440" s="210"/>
      <c r="C440" s="415"/>
      <c r="D440" s="210"/>
      <c r="E440" s="415"/>
      <c r="F440" s="210"/>
      <c r="G440" s="415"/>
      <c r="H440" s="210"/>
      <c r="I440" s="423"/>
      <c r="J440" s="156"/>
      <c r="K440" s="423"/>
      <c r="L440" s="156"/>
      <c r="M440" s="415"/>
      <c r="N440" s="210"/>
      <c r="O440" s="415"/>
      <c r="P440" s="210"/>
      <c r="Q440" s="423"/>
      <c r="R440" s="452"/>
      <c r="S440" s="415"/>
      <c r="T440" s="210"/>
      <c r="U440" s="415"/>
      <c r="V440" s="210"/>
      <c r="W440" s="415"/>
      <c r="X440" s="210"/>
      <c r="Y440" s="8"/>
      <c r="Z440" s="8"/>
      <c r="AA440" s="8"/>
      <c r="AB440" s="8"/>
      <c r="AC440" s="8"/>
      <c r="AD440" s="8"/>
      <c r="AE440" s="8"/>
      <c r="AF440" s="8"/>
      <c r="AG440" s="8"/>
      <c r="AH440" s="8"/>
      <c r="AI440" s="8"/>
      <c r="AJ440" s="8"/>
      <c r="AK440" s="8"/>
      <c r="AL440" s="8"/>
      <c r="AM440" s="8"/>
      <c r="AN440" s="8"/>
      <c r="AO440" s="8"/>
      <c r="AP440" s="8"/>
      <c r="AQ440" s="8"/>
      <c r="AR440" s="8"/>
      <c r="AS440" s="8"/>
      <c r="AT440" s="8"/>
    </row>
    <row r="441">
      <c r="A441" s="415"/>
      <c r="B441" s="210"/>
      <c r="C441" s="415"/>
      <c r="D441" s="210"/>
      <c r="E441" s="415"/>
      <c r="F441" s="210"/>
      <c r="G441" s="415"/>
      <c r="H441" s="210"/>
      <c r="I441" s="423"/>
      <c r="J441" s="156"/>
      <c r="K441" s="423"/>
      <c r="L441" s="156"/>
      <c r="M441" s="415"/>
      <c r="N441" s="210"/>
      <c r="O441" s="415"/>
      <c r="P441" s="210"/>
      <c r="Q441" s="423"/>
      <c r="R441" s="452"/>
      <c r="S441" s="415"/>
      <c r="T441" s="210"/>
      <c r="U441" s="415"/>
      <c r="V441" s="210"/>
      <c r="W441" s="415"/>
      <c r="X441" s="210"/>
      <c r="Y441" s="8"/>
      <c r="Z441" s="8"/>
      <c r="AA441" s="8"/>
      <c r="AB441" s="8"/>
      <c r="AC441" s="8"/>
      <c r="AD441" s="8"/>
      <c r="AE441" s="8"/>
      <c r="AF441" s="8"/>
      <c r="AG441" s="8"/>
      <c r="AH441" s="8"/>
      <c r="AI441" s="8"/>
      <c r="AJ441" s="8"/>
      <c r="AK441" s="8"/>
      <c r="AL441" s="8"/>
      <c r="AM441" s="8"/>
      <c r="AN441" s="8"/>
      <c r="AO441" s="8"/>
      <c r="AP441" s="8"/>
      <c r="AQ441" s="8"/>
      <c r="AR441" s="8"/>
      <c r="AS441" s="8"/>
      <c r="AT441" s="8"/>
    </row>
    <row r="442">
      <c r="A442" s="415"/>
      <c r="B442" s="210"/>
      <c r="C442" s="415"/>
      <c r="D442" s="210"/>
      <c r="E442" s="415"/>
      <c r="F442" s="210"/>
      <c r="G442" s="415"/>
      <c r="H442" s="210"/>
      <c r="I442" s="423"/>
      <c r="J442" s="156"/>
      <c r="K442" s="423"/>
      <c r="L442" s="156"/>
      <c r="M442" s="415"/>
      <c r="N442" s="210"/>
      <c r="O442" s="415"/>
      <c r="P442" s="210"/>
      <c r="Q442" s="423"/>
      <c r="R442" s="452"/>
      <c r="S442" s="415"/>
      <c r="T442" s="210"/>
      <c r="U442" s="415"/>
      <c r="V442" s="210"/>
      <c r="W442" s="415"/>
      <c r="X442" s="210"/>
      <c r="Y442" s="8"/>
      <c r="Z442" s="8"/>
      <c r="AA442" s="8"/>
      <c r="AB442" s="8"/>
      <c r="AC442" s="8"/>
      <c r="AD442" s="8"/>
      <c r="AE442" s="8"/>
      <c r="AF442" s="8"/>
      <c r="AG442" s="8"/>
      <c r="AH442" s="8"/>
      <c r="AI442" s="8"/>
      <c r="AJ442" s="8"/>
      <c r="AK442" s="8"/>
      <c r="AL442" s="8"/>
      <c r="AM442" s="8"/>
      <c r="AN442" s="8"/>
      <c r="AO442" s="8"/>
      <c r="AP442" s="8"/>
      <c r="AQ442" s="8"/>
      <c r="AR442" s="8"/>
      <c r="AS442" s="8"/>
      <c r="AT442" s="8"/>
    </row>
    <row r="443">
      <c r="A443" s="415"/>
      <c r="B443" s="210"/>
      <c r="C443" s="415"/>
      <c r="D443" s="210"/>
      <c r="E443" s="415"/>
      <c r="F443" s="210"/>
      <c r="G443" s="415"/>
      <c r="H443" s="210"/>
      <c r="I443" s="423"/>
      <c r="J443" s="156"/>
      <c r="K443" s="423"/>
      <c r="L443" s="156"/>
      <c r="M443" s="415"/>
      <c r="N443" s="210"/>
      <c r="O443" s="415"/>
      <c r="P443" s="210"/>
      <c r="Q443" s="423"/>
      <c r="R443" s="452"/>
      <c r="S443" s="415"/>
      <c r="T443" s="210"/>
      <c r="U443" s="415"/>
      <c r="V443" s="210"/>
      <c r="W443" s="415"/>
      <c r="X443" s="210"/>
      <c r="Y443" s="8"/>
      <c r="Z443" s="8"/>
      <c r="AA443" s="8"/>
      <c r="AB443" s="8"/>
      <c r="AC443" s="8"/>
      <c r="AD443" s="8"/>
      <c r="AE443" s="8"/>
      <c r="AF443" s="8"/>
      <c r="AG443" s="8"/>
      <c r="AH443" s="8"/>
      <c r="AI443" s="8"/>
      <c r="AJ443" s="8"/>
      <c r="AK443" s="8"/>
      <c r="AL443" s="8"/>
      <c r="AM443" s="8"/>
      <c r="AN443" s="8"/>
      <c r="AO443" s="8"/>
      <c r="AP443" s="8"/>
      <c r="AQ443" s="8"/>
      <c r="AR443" s="8"/>
      <c r="AS443" s="8"/>
      <c r="AT443" s="8"/>
    </row>
    <row r="444">
      <c r="A444" s="415"/>
      <c r="B444" s="210"/>
      <c r="C444" s="415"/>
      <c r="D444" s="210"/>
      <c r="E444" s="415"/>
      <c r="F444" s="210"/>
      <c r="G444" s="415"/>
      <c r="H444" s="210"/>
      <c r="I444" s="423"/>
      <c r="J444" s="156"/>
      <c r="K444" s="423"/>
      <c r="L444" s="156"/>
      <c r="M444" s="415"/>
      <c r="N444" s="210"/>
      <c r="O444" s="415"/>
      <c r="P444" s="210"/>
      <c r="Q444" s="423"/>
      <c r="R444" s="452"/>
      <c r="S444" s="415"/>
      <c r="T444" s="210"/>
      <c r="U444" s="415"/>
      <c r="V444" s="210"/>
      <c r="W444" s="415"/>
      <c r="X444" s="210"/>
      <c r="Y444" s="8"/>
      <c r="Z444" s="8"/>
      <c r="AA444" s="8"/>
      <c r="AB444" s="8"/>
      <c r="AC444" s="8"/>
      <c r="AD444" s="8"/>
      <c r="AE444" s="8"/>
      <c r="AF444" s="8"/>
      <c r="AG444" s="8"/>
      <c r="AH444" s="8"/>
      <c r="AI444" s="8"/>
      <c r="AJ444" s="8"/>
      <c r="AK444" s="8"/>
      <c r="AL444" s="8"/>
      <c r="AM444" s="8"/>
      <c r="AN444" s="8"/>
      <c r="AO444" s="8"/>
      <c r="AP444" s="8"/>
      <c r="AQ444" s="8"/>
      <c r="AR444" s="8"/>
      <c r="AS444" s="8"/>
      <c r="AT444" s="8"/>
    </row>
    <row r="445">
      <c r="A445" s="415"/>
      <c r="B445" s="210"/>
      <c r="C445" s="415"/>
      <c r="D445" s="210"/>
      <c r="E445" s="415"/>
      <c r="F445" s="210"/>
      <c r="G445" s="415"/>
      <c r="H445" s="210"/>
      <c r="I445" s="423"/>
      <c r="J445" s="156"/>
      <c r="K445" s="423"/>
      <c r="L445" s="156"/>
      <c r="M445" s="415"/>
      <c r="N445" s="210"/>
      <c r="O445" s="415"/>
      <c r="P445" s="210"/>
      <c r="Q445" s="423"/>
      <c r="R445" s="452"/>
      <c r="S445" s="415"/>
      <c r="T445" s="210"/>
      <c r="U445" s="415"/>
      <c r="V445" s="210"/>
      <c r="W445" s="415"/>
      <c r="X445" s="210"/>
      <c r="Y445" s="8"/>
      <c r="Z445" s="8"/>
      <c r="AA445" s="8"/>
      <c r="AB445" s="8"/>
      <c r="AC445" s="8"/>
      <c r="AD445" s="8"/>
      <c r="AE445" s="8"/>
      <c r="AF445" s="8"/>
      <c r="AG445" s="8"/>
      <c r="AH445" s="8"/>
      <c r="AI445" s="8"/>
      <c r="AJ445" s="8"/>
      <c r="AK445" s="8"/>
      <c r="AL445" s="8"/>
      <c r="AM445" s="8"/>
      <c r="AN445" s="8"/>
      <c r="AO445" s="8"/>
      <c r="AP445" s="8"/>
      <c r="AQ445" s="8"/>
      <c r="AR445" s="8"/>
      <c r="AS445" s="8"/>
      <c r="AT445" s="8"/>
    </row>
    <row r="446">
      <c r="A446" s="415"/>
      <c r="B446" s="210"/>
      <c r="C446" s="415"/>
      <c r="D446" s="210"/>
      <c r="E446" s="415"/>
      <c r="F446" s="210"/>
      <c r="G446" s="415"/>
      <c r="H446" s="210"/>
      <c r="I446" s="423"/>
      <c r="J446" s="156"/>
      <c r="K446" s="423"/>
      <c r="L446" s="156"/>
      <c r="M446" s="415"/>
      <c r="N446" s="210"/>
      <c r="O446" s="415"/>
      <c r="P446" s="210"/>
      <c r="Q446" s="423"/>
      <c r="R446" s="452"/>
      <c r="S446" s="415"/>
      <c r="T446" s="210"/>
      <c r="U446" s="415"/>
      <c r="V446" s="210"/>
      <c r="W446" s="415"/>
      <c r="X446" s="210"/>
      <c r="Y446" s="8"/>
      <c r="Z446" s="8"/>
      <c r="AA446" s="8"/>
      <c r="AB446" s="8"/>
      <c r="AC446" s="8"/>
      <c r="AD446" s="8"/>
      <c r="AE446" s="8"/>
      <c r="AF446" s="8"/>
      <c r="AG446" s="8"/>
      <c r="AH446" s="8"/>
      <c r="AI446" s="8"/>
      <c r="AJ446" s="8"/>
      <c r="AK446" s="8"/>
      <c r="AL446" s="8"/>
      <c r="AM446" s="8"/>
      <c r="AN446" s="8"/>
      <c r="AO446" s="8"/>
      <c r="AP446" s="8"/>
      <c r="AQ446" s="8"/>
      <c r="AR446" s="8"/>
      <c r="AS446" s="8"/>
      <c r="AT446" s="8"/>
    </row>
    <row r="447">
      <c r="A447" s="415"/>
      <c r="B447" s="210"/>
      <c r="C447" s="415"/>
      <c r="D447" s="210"/>
      <c r="E447" s="415"/>
      <c r="F447" s="210"/>
      <c r="G447" s="415"/>
      <c r="H447" s="210"/>
      <c r="I447" s="423"/>
      <c r="J447" s="156"/>
      <c r="K447" s="423"/>
      <c r="L447" s="156"/>
      <c r="M447" s="415"/>
      <c r="N447" s="210"/>
      <c r="O447" s="415"/>
      <c r="P447" s="210"/>
      <c r="Q447" s="423"/>
      <c r="R447" s="452"/>
      <c r="S447" s="415"/>
      <c r="T447" s="210"/>
      <c r="U447" s="415"/>
      <c r="V447" s="210"/>
      <c r="W447" s="415"/>
      <c r="X447" s="210"/>
      <c r="Y447" s="8"/>
      <c r="Z447" s="8"/>
      <c r="AA447" s="8"/>
      <c r="AB447" s="8"/>
      <c r="AC447" s="8"/>
      <c r="AD447" s="8"/>
      <c r="AE447" s="8"/>
      <c r="AF447" s="8"/>
      <c r="AG447" s="8"/>
      <c r="AH447" s="8"/>
      <c r="AI447" s="8"/>
      <c r="AJ447" s="8"/>
      <c r="AK447" s="8"/>
      <c r="AL447" s="8"/>
      <c r="AM447" s="8"/>
      <c r="AN447" s="8"/>
      <c r="AO447" s="8"/>
      <c r="AP447" s="8"/>
      <c r="AQ447" s="8"/>
      <c r="AR447" s="8"/>
      <c r="AS447" s="8"/>
      <c r="AT447" s="8"/>
    </row>
    <row r="448">
      <c r="A448" s="415"/>
      <c r="B448" s="210"/>
      <c r="C448" s="415"/>
      <c r="D448" s="210"/>
      <c r="E448" s="415"/>
      <c r="F448" s="210"/>
      <c r="G448" s="415"/>
      <c r="H448" s="210"/>
      <c r="I448" s="423"/>
      <c r="J448" s="156"/>
      <c r="K448" s="423"/>
      <c r="L448" s="156"/>
      <c r="M448" s="415"/>
      <c r="N448" s="210"/>
      <c r="O448" s="415"/>
      <c r="P448" s="210"/>
      <c r="Q448" s="423"/>
      <c r="R448" s="452"/>
      <c r="S448" s="415"/>
      <c r="T448" s="210"/>
      <c r="U448" s="415"/>
      <c r="V448" s="210"/>
      <c r="W448" s="415"/>
      <c r="X448" s="210"/>
      <c r="Y448" s="8"/>
      <c r="Z448" s="8"/>
      <c r="AA448" s="8"/>
      <c r="AB448" s="8"/>
      <c r="AC448" s="8"/>
      <c r="AD448" s="8"/>
      <c r="AE448" s="8"/>
      <c r="AF448" s="8"/>
      <c r="AG448" s="8"/>
      <c r="AH448" s="8"/>
      <c r="AI448" s="8"/>
      <c r="AJ448" s="8"/>
      <c r="AK448" s="8"/>
      <c r="AL448" s="8"/>
      <c r="AM448" s="8"/>
      <c r="AN448" s="8"/>
      <c r="AO448" s="8"/>
      <c r="AP448" s="8"/>
      <c r="AQ448" s="8"/>
      <c r="AR448" s="8"/>
      <c r="AS448" s="8"/>
      <c r="AT448" s="8"/>
    </row>
    <row r="449">
      <c r="A449" s="415"/>
      <c r="B449" s="210"/>
      <c r="C449" s="415"/>
      <c r="D449" s="210"/>
      <c r="E449" s="415"/>
      <c r="F449" s="210"/>
      <c r="G449" s="415"/>
      <c r="H449" s="210"/>
      <c r="I449" s="423"/>
      <c r="J449" s="156"/>
      <c r="K449" s="423"/>
      <c r="L449" s="156"/>
      <c r="M449" s="415"/>
      <c r="N449" s="210"/>
      <c r="O449" s="415"/>
      <c r="P449" s="210"/>
      <c r="Q449" s="423"/>
      <c r="R449" s="452"/>
      <c r="S449" s="415"/>
      <c r="T449" s="210"/>
      <c r="U449" s="415"/>
      <c r="V449" s="210"/>
      <c r="W449" s="415"/>
      <c r="X449" s="210"/>
      <c r="Y449" s="8"/>
      <c r="Z449" s="8"/>
      <c r="AA449" s="8"/>
      <c r="AB449" s="8"/>
      <c r="AC449" s="8"/>
      <c r="AD449" s="8"/>
      <c r="AE449" s="8"/>
      <c r="AF449" s="8"/>
      <c r="AG449" s="8"/>
      <c r="AH449" s="8"/>
      <c r="AI449" s="8"/>
      <c r="AJ449" s="8"/>
      <c r="AK449" s="8"/>
      <c r="AL449" s="8"/>
      <c r="AM449" s="8"/>
      <c r="AN449" s="8"/>
      <c r="AO449" s="8"/>
      <c r="AP449" s="8"/>
      <c r="AQ449" s="8"/>
      <c r="AR449" s="8"/>
      <c r="AS449" s="8"/>
      <c r="AT449" s="8"/>
    </row>
    <row r="450">
      <c r="A450" s="415"/>
      <c r="B450" s="210"/>
      <c r="C450" s="415"/>
      <c r="D450" s="210"/>
      <c r="E450" s="415"/>
      <c r="F450" s="210"/>
      <c r="G450" s="415"/>
      <c r="H450" s="210"/>
      <c r="I450" s="423"/>
      <c r="J450" s="156"/>
      <c r="K450" s="423"/>
      <c r="L450" s="156"/>
      <c r="M450" s="415"/>
      <c r="N450" s="210"/>
      <c r="O450" s="415"/>
      <c r="P450" s="210"/>
      <c r="Q450" s="423"/>
      <c r="R450" s="452"/>
      <c r="S450" s="415"/>
      <c r="T450" s="210"/>
      <c r="U450" s="415"/>
      <c r="V450" s="210"/>
      <c r="W450" s="415"/>
      <c r="X450" s="210"/>
      <c r="Y450" s="8"/>
      <c r="Z450" s="8"/>
      <c r="AA450" s="8"/>
      <c r="AB450" s="8"/>
      <c r="AC450" s="8"/>
      <c r="AD450" s="8"/>
      <c r="AE450" s="8"/>
      <c r="AF450" s="8"/>
      <c r="AG450" s="8"/>
      <c r="AH450" s="8"/>
      <c r="AI450" s="8"/>
      <c r="AJ450" s="8"/>
      <c r="AK450" s="8"/>
      <c r="AL450" s="8"/>
      <c r="AM450" s="8"/>
      <c r="AN450" s="8"/>
      <c r="AO450" s="8"/>
      <c r="AP450" s="8"/>
      <c r="AQ450" s="8"/>
      <c r="AR450" s="8"/>
      <c r="AS450" s="8"/>
      <c r="AT450" s="8"/>
    </row>
    <row r="451">
      <c r="A451" s="415"/>
      <c r="B451" s="210"/>
      <c r="C451" s="415"/>
      <c r="D451" s="210"/>
      <c r="E451" s="415"/>
      <c r="F451" s="210"/>
      <c r="G451" s="415"/>
      <c r="H451" s="210"/>
      <c r="I451" s="423"/>
      <c r="J451" s="156"/>
      <c r="K451" s="423"/>
      <c r="L451" s="156"/>
      <c r="M451" s="415"/>
      <c r="N451" s="210"/>
      <c r="O451" s="415"/>
      <c r="P451" s="210"/>
      <c r="Q451" s="423"/>
      <c r="R451" s="452"/>
      <c r="S451" s="415"/>
      <c r="T451" s="210"/>
      <c r="U451" s="415"/>
      <c r="V451" s="210"/>
      <c r="W451" s="415"/>
      <c r="X451" s="210"/>
      <c r="Y451" s="8"/>
      <c r="Z451" s="8"/>
      <c r="AA451" s="8"/>
      <c r="AB451" s="8"/>
      <c r="AC451" s="8"/>
      <c r="AD451" s="8"/>
      <c r="AE451" s="8"/>
      <c r="AF451" s="8"/>
      <c r="AG451" s="8"/>
      <c r="AH451" s="8"/>
      <c r="AI451" s="8"/>
      <c r="AJ451" s="8"/>
      <c r="AK451" s="8"/>
      <c r="AL451" s="8"/>
      <c r="AM451" s="8"/>
      <c r="AN451" s="8"/>
      <c r="AO451" s="8"/>
      <c r="AP451" s="8"/>
      <c r="AQ451" s="8"/>
      <c r="AR451" s="8"/>
      <c r="AS451" s="8"/>
      <c r="AT451" s="8"/>
    </row>
    <row r="452">
      <c r="A452" s="415"/>
      <c r="B452" s="210"/>
      <c r="C452" s="415"/>
      <c r="D452" s="210"/>
      <c r="E452" s="415"/>
      <c r="F452" s="210"/>
      <c r="G452" s="415"/>
      <c r="H452" s="210"/>
      <c r="I452" s="423"/>
      <c r="J452" s="156"/>
      <c r="K452" s="423"/>
      <c r="L452" s="156"/>
      <c r="M452" s="415"/>
      <c r="N452" s="210"/>
      <c r="O452" s="415"/>
      <c r="P452" s="210"/>
      <c r="Q452" s="423"/>
      <c r="R452" s="452"/>
      <c r="S452" s="415"/>
      <c r="T452" s="210"/>
      <c r="U452" s="415"/>
      <c r="V452" s="210"/>
      <c r="W452" s="415"/>
      <c r="X452" s="210"/>
      <c r="Y452" s="8"/>
      <c r="Z452" s="8"/>
      <c r="AA452" s="8"/>
      <c r="AB452" s="8"/>
      <c r="AC452" s="8"/>
      <c r="AD452" s="8"/>
      <c r="AE452" s="8"/>
      <c r="AF452" s="8"/>
      <c r="AG452" s="8"/>
      <c r="AH452" s="8"/>
      <c r="AI452" s="8"/>
      <c r="AJ452" s="8"/>
      <c r="AK452" s="8"/>
      <c r="AL452" s="8"/>
      <c r="AM452" s="8"/>
      <c r="AN452" s="8"/>
      <c r="AO452" s="8"/>
      <c r="AP452" s="8"/>
      <c r="AQ452" s="8"/>
      <c r="AR452" s="8"/>
      <c r="AS452" s="8"/>
      <c r="AT452" s="8"/>
    </row>
    <row r="453">
      <c r="A453" s="415"/>
      <c r="B453" s="210"/>
      <c r="C453" s="415"/>
      <c r="D453" s="210"/>
      <c r="E453" s="415"/>
      <c r="F453" s="210"/>
      <c r="G453" s="415"/>
      <c r="H453" s="210"/>
      <c r="I453" s="423"/>
      <c r="J453" s="156"/>
      <c r="K453" s="423"/>
      <c r="L453" s="156"/>
      <c r="M453" s="415"/>
      <c r="N453" s="210"/>
      <c r="O453" s="415"/>
      <c r="P453" s="210"/>
      <c r="Q453" s="423"/>
      <c r="R453" s="452"/>
      <c r="S453" s="415"/>
      <c r="T453" s="210"/>
      <c r="U453" s="415"/>
      <c r="V453" s="210"/>
      <c r="W453" s="415"/>
      <c r="X453" s="210"/>
      <c r="Y453" s="8"/>
      <c r="Z453" s="8"/>
      <c r="AA453" s="8"/>
      <c r="AB453" s="8"/>
      <c r="AC453" s="8"/>
      <c r="AD453" s="8"/>
      <c r="AE453" s="8"/>
      <c r="AF453" s="8"/>
      <c r="AG453" s="8"/>
      <c r="AH453" s="8"/>
      <c r="AI453" s="8"/>
      <c r="AJ453" s="8"/>
      <c r="AK453" s="8"/>
      <c r="AL453" s="8"/>
      <c r="AM453" s="8"/>
      <c r="AN453" s="8"/>
      <c r="AO453" s="8"/>
      <c r="AP453" s="8"/>
      <c r="AQ453" s="8"/>
      <c r="AR453" s="8"/>
      <c r="AS453" s="8"/>
      <c r="AT453" s="8"/>
    </row>
    <row r="454">
      <c r="A454" s="415"/>
      <c r="B454" s="210"/>
      <c r="C454" s="415"/>
      <c r="D454" s="210"/>
      <c r="E454" s="415"/>
      <c r="F454" s="210"/>
      <c r="G454" s="415"/>
      <c r="H454" s="210"/>
      <c r="I454" s="423"/>
      <c r="J454" s="156"/>
      <c r="K454" s="423"/>
      <c r="L454" s="156"/>
      <c r="M454" s="415"/>
      <c r="N454" s="210"/>
      <c r="O454" s="415"/>
      <c r="P454" s="210"/>
      <c r="Q454" s="423"/>
      <c r="R454" s="452"/>
      <c r="S454" s="415"/>
      <c r="T454" s="210"/>
      <c r="U454" s="415"/>
      <c r="V454" s="210"/>
      <c r="W454" s="415"/>
      <c r="X454" s="210"/>
      <c r="Y454" s="8"/>
      <c r="Z454" s="8"/>
      <c r="AA454" s="8"/>
      <c r="AB454" s="8"/>
      <c r="AC454" s="8"/>
      <c r="AD454" s="8"/>
      <c r="AE454" s="8"/>
      <c r="AF454" s="8"/>
      <c r="AG454" s="8"/>
      <c r="AH454" s="8"/>
      <c r="AI454" s="8"/>
      <c r="AJ454" s="8"/>
      <c r="AK454" s="8"/>
      <c r="AL454" s="8"/>
      <c r="AM454" s="8"/>
      <c r="AN454" s="8"/>
      <c r="AO454" s="8"/>
      <c r="AP454" s="8"/>
      <c r="AQ454" s="8"/>
      <c r="AR454" s="8"/>
      <c r="AS454" s="8"/>
      <c r="AT454" s="8"/>
    </row>
    <row r="455">
      <c r="A455" s="415"/>
      <c r="B455" s="210"/>
      <c r="C455" s="415"/>
      <c r="D455" s="210"/>
      <c r="E455" s="415"/>
      <c r="F455" s="210"/>
      <c r="G455" s="415"/>
      <c r="H455" s="210"/>
      <c r="I455" s="423"/>
      <c r="J455" s="156"/>
      <c r="K455" s="423"/>
      <c r="L455" s="156"/>
      <c r="M455" s="415"/>
      <c r="N455" s="210"/>
      <c r="O455" s="415"/>
      <c r="P455" s="210"/>
      <c r="Q455" s="423"/>
      <c r="R455" s="452"/>
      <c r="S455" s="415"/>
      <c r="T455" s="210"/>
      <c r="U455" s="415"/>
      <c r="V455" s="210"/>
      <c r="W455" s="415"/>
      <c r="X455" s="210"/>
      <c r="Y455" s="8"/>
      <c r="Z455" s="8"/>
      <c r="AA455" s="8"/>
      <c r="AB455" s="8"/>
      <c r="AC455" s="8"/>
      <c r="AD455" s="8"/>
      <c r="AE455" s="8"/>
      <c r="AF455" s="8"/>
      <c r="AG455" s="8"/>
      <c r="AH455" s="8"/>
      <c r="AI455" s="8"/>
      <c r="AJ455" s="8"/>
      <c r="AK455" s="8"/>
      <c r="AL455" s="8"/>
      <c r="AM455" s="8"/>
      <c r="AN455" s="8"/>
      <c r="AO455" s="8"/>
      <c r="AP455" s="8"/>
      <c r="AQ455" s="8"/>
      <c r="AR455" s="8"/>
      <c r="AS455" s="8"/>
      <c r="AT455" s="8"/>
    </row>
    <row r="456">
      <c r="A456" s="415"/>
      <c r="B456" s="210"/>
      <c r="C456" s="415"/>
      <c r="D456" s="210"/>
      <c r="E456" s="415"/>
      <c r="F456" s="210"/>
      <c r="G456" s="415"/>
      <c r="H456" s="210"/>
      <c r="I456" s="423"/>
      <c r="J456" s="156"/>
      <c r="K456" s="423"/>
      <c r="L456" s="156"/>
      <c r="M456" s="415"/>
      <c r="N456" s="210"/>
      <c r="O456" s="415"/>
      <c r="P456" s="210"/>
      <c r="Q456" s="423"/>
      <c r="R456" s="452"/>
      <c r="S456" s="415"/>
      <c r="T456" s="210"/>
      <c r="U456" s="415"/>
      <c r="V456" s="210"/>
      <c r="W456" s="415"/>
      <c r="X456" s="210"/>
      <c r="Y456" s="8"/>
      <c r="Z456" s="8"/>
      <c r="AA456" s="8"/>
      <c r="AB456" s="8"/>
      <c r="AC456" s="8"/>
      <c r="AD456" s="8"/>
      <c r="AE456" s="8"/>
      <c r="AF456" s="8"/>
      <c r="AG456" s="8"/>
      <c r="AH456" s="8"/>
      <c r="AI456" s="8"/>
      <c r="AJ456" s="8"/>
      <c r="AK456" s="8"/>
      <c r="AL456" s="8"/>
      <c r="AM456" s="8"/>
      <c r="AN456" s="8"/>
      <c r="AO456" s="8"/>
      <c r="AP456" s="8"/>
      <c r="AQ456" s="8"/>
      <c r="AR456" s="8"/>
      <c r="AS456" s="8"/>
      <c r="AT456" s="8"/>
    </row>
    <row r="457">
      <c r="A457" s="415"/>
      <c r="B457" s="210"/>
      <c r="C457" s="415"/>
      <c r="D457" s="210"/>
      <c r="E457" s="415"/>
      <c r="F457" s="210"/>
      <c r="G457" s="415"/>
      <c r="H457" s="210"/>
      <c r="I457" s="423"/>
      <c r="J457" s="156"/>
      <c r="K457" s="423"/>
      <c r="L457" s="156"/>
      <c r="M457" s="415"/>
      <c r="N457" s="210"/>
      <c r="O457" s="415"/>
      <c r="P457" s="210"/>
      <c r="Q457" s="423"/>
      <c r="R457" s="452"/>
      <c r="S457" s="415"/>
      <c r="T457" s="210"/>
      <c r="U457" s="415"/>
      <c r="V457" s="210"/>
      <c r="W457" s="415"/>
      <c r="X457" s="210"/>
      <c r="Y457" s="8"/>
      <c r="Z457" s="8"/>
      <c r="AA457" s="8"/>
      <c r="AB457" s="8"/>
      <c r="AC457" s="8"/>
      <c r="AD457" s="8"/>
      <c r="AE457" s="8"/>
      <c r="AF457" s="8"/>
      <c r="AG457" s="8"/>
      <c r="AH457" s="8"/>
      <c r="AI457" s="8"/>
      <c r="AJ457" s="8"/>
      <c r="AK457" s="8"/>
      <c r="AL457" s="8"/>
      <c r="AM457" s="8"/>
      <c r="AN457" s="8"/>
      <c r="AO457" s="8"/>
      <c r="AP457" s="8"/>
      <c r="AQ457" s="8"/>
      <c r="AR457" s="8"/>
      <c r="AS457" s="8"/>
      <c r="AT457" s="8"/>
    </row>
    <row r="458">
      <c r="A458" s="415"/>
      <c r="B458" s="210"/>
      <c r="C458" s="415"/>
      <c r="D458" s="210"/>
      <c r="E458" s="415"/>
      <c r="F458" s="210"/>
      <c r="G458" s="415"/>
      <c r="H458" s="210"/>
      <c r="I458" s="423"/>
      <c r="J458" s="156"/>
      <c r="K458" s="423"/>
      <c r="L458" s="156"/>
      <c r="M458" s="415"/>
      <c r="N458" s="210"/>
      <c r="O458" s="415"/>
      <c r="P458" s="210"/>
      <c r="Q458" s="423"/>
      <c r="R458" s="452"/>
      <c r="S458" s="415"/>
      <c r="T458" s="210"/>
      <c r="U458" s="415"/>
      <c r="V458" s="210"/>
      <c r="W458" s="415"/>
      <c r="X458" s="210"/>
      <c r="Y458" s="8"/>
      <c r="Z458" s="8"/>
      <c r="AA458" s="8"/>
      <c r="AB458" s="8"/>
      <c r="AC458" s="8"/>
      <c r="AD458" s="8"/>
      <c r="AE458" s="8"/>
      <c r="AF458" s="8"/>
      <c r="AG458" s="8"/>
      <c r="AH458" s="8"/>
      <c r="AI458" s="8"/>
      <c r="AJ458" s="8"/>
      <c r="AK458" s="8"/>
      <c r="AL458" s="8"/>
      <c r="AM458" s="8"/>
      <c r="AN458" s="8"/>
      <c r="AO458" s="8"/>
      <c r="AP458" s="8"/>
      <c r="AQ458" s="8"/>
      <c r="AR458" s="8"/>
      <c r="AS458" s="8"/>
      <c r="AT458" s="8"/>
    </row>
    <row r="459">
      <c r="A459" s="415"/>
      <c r="B459" s="210"/>
      <c r="C459" s="415"/>
      <c r="D459" s="210"/>
      <c r="E459" s="415"/>
      <c r="F459" s="210"/>
      <c r="G459" s="415"/>
      <c r="H459" s="210"/>
      <c r="I459" s="423"/>
      <c r="J459" s="156"/>
      <c r="K459" s="423"/>
      <c r="L459" s="156"/>
      <c r="M459" s="415"/>
      <c r="N459" s="210"/>
      <c r="O459" s="415"/>
      <c r="P459" s="210"/>
      <c r="Q459" s="423"/>
      <c r="R459" s="452"/>
      <c r="S459" s="415"/>
      <c r="T459" s="210"/>
      <c r="U459" s="415"/>
      <c r="V459" s="210"/>
      <c r="W459" s="415"/>
      <c r="X459" s="210"/>
      <c r="Y459" s="8"/>
      <c r="Z459" s="8"/>
      <c r="AA459" s="8"/>
      <c r="AB459" s="8"/>
      <c r="AC459" s="8"/>
      <c r="AD459" s="8"/>
      <c r="AE459" s="8"/>
      <c r="AF459" s="8"/>
      <c r="AG459" s="8"/>
      <c r="AH459" s="8"/>
      <c r="AI459" s="8"/>
      <c r="AJ459" s="8"/>
      <c r="AK459" s="8"/>
      <c r="AL459" s="8"/>
      <c r="AM459" s="8"/>
      <c r="AN459" s="8"/>
      <c r="AO459" s="8"/>
      <c r="AP459" s="8"/>
      <c r="AQ459" s="8"/>
      <c r="AR459" s="8"/>
      <c r="AS459" s="8"/>
      <c r="AT459" s="8"/>
    </row>
    <row r="460">
      <c r="A460" s="415"/>
      <c r="B460" s="210"/>
      <c r="C460" s="415"/>
      <c r="D460" s="210"/>
      <c r="E460" s="415"/>
      <c r="F460" s="210"/>
      <c r="G460" s="415"/>
      <c r="H460" s="210"/>
      <c r="I460" s="423"/>
      <c r="J460" s="156"/>
      <c r="K460" s="423"/>
      <c r="L460" s="156"/>
      <c r="M460" s="415"/>
      <c r="N460" s="210"/>
      <c r="O460" s="415"/>
      <c r="P460" s="210"/>
      <c r="Q460" s="452"/>
      <c r="R460" s="452"/>
      <c r="S460" s="415"/>
      <c r="T460" s="210"/>
      <c r="U460" s="415"/>
      <c r="V460" s="210"/>
      <c r="W460" s="415"/>
      <c r="X460" s="210"/>
      <c r="Y460" s="8"/>
      <c r="Z460" s="8"/>
      <c r="AA460" s="8"/>
      <c r="AB460" s="8"/>
      <c r="AC460" s="8"/>
      <c r="AD460" s="8"/>
      <c r="AE460" s="8"/>
      <c r="AF460" s="8"/>
      <c r="AG460" s="8"/>
      <c r="AH460" s="8"/>
      <c r="AI460" s="8"/>
      <c r="AJ460" s="8"/>
      <c r="AK460" s="8"/>
      <c r="AL460" s="8"/>
      <c r="AM460" s="8"/>
      <c r="AN460" s="8"/>
      <c r="AO460" s="8"/>
      <c r="AP460" s="8"/>
      <c r="AQ460" s="8"/>
      <c r="AR460" s="8"/>
      <c r="AS460" s="8"/>
      <c r="AT460" s="8"/>
    </row>
    <row r="461">
      <c r="A461" s="415"/>
      <c r="B461" s="210"/>
      <c r="C461" s="415"/>
      <c r="D461" s="210"/>
      <c r="E461" s="415"/>
      <c r="F461" s="210"/>
      <c r="G461" s="415"/>
      <c r="H461" s="210"/>
      <c r="I461" s="423"/>
      <c r="J461" s="156"/>
      <c r="K461" s="423"/>
      <c r="L461" s="156"/>
      <c r="M461" s="415"/>
      <c r="N461" s="210"/>
      <c r="O461" s="415"/>
      <c r="P461" s="210"/>
      <c r="Q461" s="452"/>
      <c r="R461" s="452"/>
      <c r="S461" s="415"/>
      <c r="T461" s="210"/>
      <c r="U461" s="415"/>
      <c r="V461" s="210"/>
      <c r="W461" s="415"/>
      <c r="X461" s="210"/>
      <c r="Y461" s="8"/>
      <c r="Z461" s="8"/>
      <c r="AA461" s="8"/>
      <c r="AB461" s="8"/>
      <c r="AC461" s="8"/>
      <c r="AD461" s="8"/>
      <c r="AE461" s="8"/>
      <c r="AF461" s="8"/>
      <c r="AG461" s="8"/>
      <c r="AH461" s="8"/>
      <c r="AI461" s="8"/>
      <c r="AJ461" s="8"/>
      <c r="AK461" s="8"/>
      <c r="AL461" s="8"/>
      <c r="AM461" s="8"/>
      <c r="AN461" s="8"/>
      <c r="AO461" s="8"/>
      <c r="AP461" s="8"/>
      <c r="AQ461" s="8"/>
      <c r="AR461" s="8"/>
      <c r="AS461" s="8"/>
      <c r="AT461" s="8"/>
    </row>
    <row r="462">
      <c r="A462" s="415"/>
      <c r="B462" s="210"/>
      <c r="C462" s="415"/>
      <c r="D462" s="210"/>
      <c r="E462" s="415"/>
      <c r="F462" s="210"/>
      <c r="G462" s="415"/>
      <c r="H462" s="210"/>
      <c r="I462" s="423"/>
      <c r="J462" s="156"/>
      <c r="K462" s="423"/>
      <c r="L462" s="156"/>
      <c r="M462" s="415"/>
      <c r="N462" s="210"/>
      <c r="O462" s="415"/>
      <c r="P462" s="210"/>
      <c r="Q462" s="452"/>
      <c r="R462" s="452"/>
      <c r="S462" s="415"/>
      <c r="T462" s="210"/>
      <c r="U462" s="415"/>
      <c r="V462" s="210"/>
      <c r="W462" s="415"/>
      <c r="X462" s="210"/>
      <c r="Y462" s="8"/>
      <c r="Z462" s="8"/>
      <c r="AA462" s="8"/>
      <c r="AB462" s="8"/>
      <c r="AC462" s="8"/>
      <c r="AD462" s="8"/>
      <c r="AE462" s="8"/>
      <c r="AF462" s="8"/>
      <c r="AG462" s="8"/>
      <c r="AH462" s="8"/>
      <c r="AI462" s="8"/>
      <c r="AJ462" s="8"/>
      <c r="AK462" s="8"/>
      <c r="AL462" s="8"/>
      <c r="AM462" s="8"/>
      <c r="AN462" s="8"/>
      <c r="AO462" s="8"/>
      <c r="AP462" s="8"/>
      <c r="AQ462" s="8"/>
      <c r="AR462" s="8"/>
      <c r="AS462" s="8"/>
      <c r="AT462" s="8"/>
    </row>
    <row r="463">
      <c r="A463" s="415"/>
      <c r="B463" s="210"/>
      <c r="C463" s="415"/>
      <c r="D463" s="210"/>
      <c r="E463" s="415"/>
      <c r="F463" s="210"/>
      <c r="G463" s="415"/>
      <c r="H463" s="210"/>
      <c r="I463" s="423"/>
      <c r="J463" s="156"/>
      <c r="K463" s="423"/>
      <c r="L463" s="156"/>
      <c r="M463" s="415"/>
      <c r="N463" s="210"/>
      <c r="O463" s="415"/>
      <c r="P463" s="210"/>
      <c r="Q463" s="452"/>
      <c r="R463" s="452"/>
      <c r="S463" s="415"/>
      <c r="T463" s="210"/>
      <c r="U463" s="415"/>
      <c r="V463" s="210"/>
      <c r="W463" s="415"/>
      <c r="X463" s="210"/>
      <c r="Y463" s="8"/>
      <c r="Z463" s="8"/>
      <c r="AA463" s="8"/>
      <c r="AB463" s="8"/>
      <c r="AC463" s="8"/>
      <c r="AD463" s="8"/>
      <c r="AE463" s="8"/>
      <c r="AF463" s="8"/>
      <c r="AG463" s="8"/>
      <c r="AH463" s="8"/>
      <c r="AI463" s="8"/>
      <c r="AJ463" s="8"/>
      <c r="AK463" s="8"/>
      <c r="AL463" s="8"/>
      <c r="AM463" s="8"/>
      <c r="AN463" s="8"/>
      <c r="AO463" s="8"/>
      <c r="AP463" s="8"/>
      <c r="AQ463" s="8"/>
      <c r="AR463" s="8"/>
      <c r="AS463" s="8"/>
      <c r="AT463" s="8"/>
    </row>
    <row r="464">
      <c r="A464" s="415"/>
      <c r="B464" s="210"/>
      <c r="C464" s="415"/>
      <c r="D464" s="210"/>
      <c r="E464" s="415"/>
      <c r="F464" s="210"/>
      <c r="G464" s="415"/>
      <c r="H464" s="210"/>
      <c r="I464" s="423"/>
      <c r="J464" s="156"/>
      <c r="K464" s="423"/>
      <c r="L464" s="156"/>
      <c r="M464" s="415"/>
      <c r="N464" s="210"/>
      <c r="O464" s="415"/>
      <c r="P464" s="210"/>
      <c r="Q464" s="452"/>
      <c r="R464" s="452"/>
      <c r="S464" s="415"/>
      <c r="T464" s="210"/>
      <c r="U464" s="415"/>
      <c r="V464" s="210"/>
      <c r="W464" s="415"/>
      <c r="X464" s="210"/>
      <c r="Y464" s="8"/>
      <c r="Z464" s="8"/>
      <c r="AA464" s="8"/>
      <c r="AB464" s="8"/>
      <c r="AC464" s="8"/>
      <c r="AD464" s="8"/>
      <c r="AE464" s="8"/>
      <c r="AF464" s="8"/>
      <c r="AG464" s="8"/>
      <c r="AH464" s="8"/>
      <c r="AI464" s="8"/>
      <c r="AJ464" s="8"/>
      <c r="AK464" s="8"/>
      <c r="AL464" s="8"/>
      <c r="AM464" s="8"/>
      <c r="AN464" s="8"/>
      <c r="AO464" s="8"/>
      <c r="AP464" s="8"/>
      <c r="AQ464" s="8"/>
      <c r="AR464" s="8"/>
      <c r="AS464" s="8"/>
      <c r="AT464" s="8"/>
    </row>
    <row r="465">
      <c r="A465" s="415"/>
      <c r="B465" s="210"/>
      <c r="C465" s="415"/>
      <c r="D465" s="210"/>
      <c r="E465" s="415"/>
      <c r="F465" s="210"/>
      <c r="G465" s="415"/>
      <c r="H465" s="210"/>
      <c r="I465" s="423"/>
      <c r="J465" s="156"/>
      <c r="K465" s="423"/>
      <c r="L465" s="156"/>
      <c r="M465" s="415"/>
      <c r="N465" s="210"/>
      <c r="O465" s="415"/>
      <c r="P465" s="210"/>
      <c r="Q465" s="452"/>
      <c r="R465" s="452"/>
      <c r="S465" s="415"/>
      <c r="T465" s="210"/>
      <c r="U465" s="415"/>
      <c r="V465" s="210"/>
      <c r="W465" s="415"/>
      <c r="X465" s="210"/>
      <c r="Y465" s="8"/>
      <c r="Z465" s="8"/>
      <c r="AA465" s="8"/>
      <c r="AB465" s="8"/>
      <c r="AC465" s="8"/>
      <c r="AD465" s="8"/>
      <c r="AE465" s="8"/>
      <c r="AF465" s="8"/>
      <c r="AG465" s="8"/>
      <c r="AH465" s="8"/>
      <c r="AI465" s="8"/>
      <c r="AJ465" s="8"/>
      <c r="AK465" s="8"/>
      <c r="AL465" s="8"/>
      <c r="AM465" s="8"/>
      <c r="AN465" s="8"/>
      <c r="AO465" s="8"/>
      <c r="AP465" s="8"/>
      <c r="AQ465" s="8"/>
      <c r="AR465" s="8"/>
      <c r="AS465" s="8"/>
      <c r="AT465" s="8"/>
    </row>
    <row r="466">
      <c r="A466" s="415"/>
      <c r="B466" s="210"/>
      <c r="C466" s="415"/>
      <c r="D466" s="210"/>
      <c r="E466" s="415"/>
      <c r="F466" s="210"/>
      <c r="G466" s="415"/>
      <c r="H466" s="210"/>
      <c r="I466" s="423"/>
      <c r="J466" s="156"/>
      <c r="K466" s="423"/>
      <c r="L466" s="156"/>
      <c r="M466" s="415"/>
      <c r="N466" s="210"/>
      <c r="O466" s="415"/>
      <c r="P466" s="210"/>
      <c r="Q466" s="452"/>
      <c r="R466" s="452"/>
      <c r="S466" s="415"/>
      <c r="T466" s="210"/>
      <c r="U466" s="415"/>
      <c r="V466" s="210"/>
      <c r="W466" s="415"/>
      <c r="X466" s="210"/>
      <c r="Y466" s="8"/>
      <c r="Z466" s="8"/>
      <c r="AA466" s="8"/>
      <c r="AB466" s="8"/>
      <c r="AC466" s="8"/>
      <c r="AD466" s="8"/>
      <c r="AE466" s="8"/>
      <c r="AF466" s="8"/>
      <c r="AG466" s="8"/>
      <c r="AH466" s="8"/>
      <c r="AI466" s="8"/>
      <c r="AJ466" s="8"/>
      <c r="AK466" s="8"/>
      <c r="AL466" s="8"/>
      <c r="AM466" s="8"/>
      <c r="AN466" s="8"/>
      <c r="AO466" s="8"/>
      <c r="AP466" s="8"/>
      <c r="AQ466" s="8"/>
      <c r="AR466" s="8"/>
      <c r="AS466" s="8"/>
      <c r="AT466" s="8"/>
    </row>
    <row r="467">
      <c r="A467" s="415"/>
      <c r="B467" s="210"/>
      <c r="C467" s="415"/>
      <c r="D467" s="210"/>
      <c r="E467" s="415"/>
      <c r="F467" s="210"/>
      <c r="G467" s="415"/>
      <c r="H467" s="210"/>
      <c r="I467" s="423"/>
      <c r="J467" s="156"/>
      <c r="K467" s="423"/>
      <c r="L467" s="156"/>
      <c r="M467" s="415"/>
      <c r="N467" s="210"/>
      <c r="O467" s="415"/>
      <c r="P467" s="210"/>
      <c r="Q467" s="452"/>
      <c r="R467" s="452"/>
      <c r="S467" s="415"/>
      <c r="T467" s="210"/>
      <c r="U467" s="415"/>
      <c r="V467" s="210"/>
      <c r="W467" s="415"/>
      <c r="X467" s="210"/>
      <c r="Y467" s="8"/>
      <c r="Z467" s="8"/>
      <c r="AA467" s="8"/>
      <c r="AB467" s="8"/>
      <c r="AC467" s="8"/>
      <c r="AD467" s="8"/>
      <c r="AE467" s="8"/>
      <c r="AF467" s="8"/>
      <c r="AG467" s="8"/>
      <c r="AH467" s="8"/>
      <c r="AI467" s="8"/>
      <c r="AJ467" s="8"/>
      <c r="AK467" s="8"/>
      <c r="AL467" s="8"/>
      <c r="AM467" s="8"/>
      <c r="AN467" s="8"/>
      <c r="AO467" s="8"/>
      <c r="AP467" s="8"/>
      <c r="AQ467" s="8"/>
      <c r="AR467" s="8"/>
      <c r="AS467" s="8"/>
      <c r="AT467" s="8"/>
    </row>
    <row r="468">
      <c r="A468" s="415"/>
      <c r="B468" s="210"/>
      <c r="C468" s="415"/>
      <c r="D468" s="210"/>
      <c r="E468" s="415"/>
      <c r="F468" s="210"/>
      <c r="G468" s="415"/>
      <c r="H468" s="210"/>
      <c r="I468" s="423"/>
      <c r="J468" s="156"/>
      <c r="K468" s="423"/>
      <c r="L468" s="156"/>
      <c r="M468" s="415"/>
      <c r="N468" s="210"/>
      <c r="O468" s="415"/>
      <c r="P468" s="210"/>
      <c r="Q468" s="452"/>
      <c r="R468" s="452"/>
      <c r="S468" s="415"/>
      <c r="T468" s="210"/>
      <c r="U468" s="415"/>
      <c r="V468" s="210"/>
      <c r="W468" s="415"/>
      <c r="X468" s="210"/>
      <c r="Y468" s="8"/>
      <c r="Z468" s="8"/>
      <c r="AA468" s="8"/>
      <c r="AB468" s="8"/>
      <c r="AC468" s="8"/>
      <c r="AD468" s="8"/>
      <c r="AE468" s="8"/>
      <c r="AF468" s="8"/>
      <c r="AG468" s="8"/>
      <c r="AH468" s="8"/>
      <c r="AI468" s="8"/>
      <c r="AJ468" s="8"/>
      <c r="AK468" s="8"/>
      <c r="AL468" s="8"/>
      <c r="AM468" s="8"/>
      <c r="AN468" s="8"/>
      <c r="AO468" s="8"/>
      <c r="AP468" s="8"/>
      <c r="AQ468" s="8"/>
      <c r="AR468" s="8"/>
      <c r="AS468" s="8"/>
      <c r="AT468" s="8"/>
    </row>
    <row r="469">
      <c r="A469" s="415"/>
      <c r="B469" s="210"/>
      <c r="C469" s="415"/>
      <c r="D469" s="210"/>
      <c r="E469" s="415"/>
      <c r="F469" s="210"/>
      <c r="G469" s="415"/>
      <c r="H469" s="210"/>
      <c r="I469" s="423"/>
      <c r="J469" s="156"/>
      <c r="K469" s="423"/>
      <c r="L469" s="156"/>
      <c r="M469" s="415"/>
      <c r="N469" s="210"/>
      <c r="O469" s="415"/>
      <c r="P469" s="210"/>
      <c r="Q469" s="452"/>
      <c r="R469" s="452"/>
      <c r="S469" s="415"/>
      <c r="T469" s="210"/>
      <c r="U469" s="415"/>
      <c r="V469" s="210"/>
      <c r="W469" s="415"/>
      <c r="X469" s="210"/>
      <c r="Y469" s="8"/>
      <c r="Z469" s="8"/>
      <c r="AA469" s="8"/>
      <c r="AB469" s="8"/>
      <c r="AC469" s="8"/>
      <c r="AD469" s="8"/>
      <c r="AE469" s="8"/>
      <c r="AF469" s="8"/>
      <c r="AG469" s="8"/>
      <c r="AH469" s="8"/>
      <c r="AI469" s="8"/>
      <c r="AJ469" s="8"/>
      <c r="AK469" s="8"/>
      <c r="AL469" s="8"/>
      <c r="AM469" s="8"/>
      <c r="AN469" s="8"/>
      <c r="AO469" s="8"/>
      <c r="AP469" s="8"/>
      <c r="AQ469" s="8"/>
      <c r="AR469" s="8"/>
      <c r="AS469" s="8"/>
      <c r="AT469" s="8"/>
    </row>
    <row r="470">
      <c r="A470" s="415"/>
      <c r="B470" s="210"/>
      <c r="C470" s="415"/>
      <c r="D470" s="210"/>
      <c r="E470" s="415"/>
      <c r="F470" s="210"/>
      <c r="G470" s="415"/>
      <c r="H470" s="210"/>
      <c r="I470" s="423"/>
      <c r="J470" s="156"/>
      <c r="K470" s="423"/>
      <c r="L470" s="156"/>
      <c r="M470" s="415"/>
      <c r="N470" s="210"/>
      <c r="O470" s="415"/>
      <c r="P470" s="210"/>
      <c r="Q470" s="452"/>
      <c r="R470" s="452"/>
      <c r="S470" s="415"/>
      <c r="T470" s="210"/>
      <c r="U470" s="415"/>
      <c r="V470" s="210"/>
      <c r="W470" s="415"/>
      <c r="X470" s="210"/>
      <c r="Y470" s="8"/>
      <c r="Z470" s="8"/>
      <c r="AA470" s="8"/>
      <c r="AB470" s="8"/>
      <c r="AC470" s="8"/>
      <c r="AD470" s="8"/>
      <c r="AE470" s="8"/>
      <c r="AF470" s="8"/>
      <c r="AG470" s="8"/>
      <c r="AH470" s="8"/>
      <c r="AI470" s="8"/>
      <c r="AJ470" s="8"/>
      <c r="AK470" s="8"/>
      <c r="AL470" s="8"/>
      <c r="AM470" s="8"/>
      <c r="AN470" s="8"/>
      <c r="AO470" s="8"/>
      <c r="AP470" s="8"/>
      <c r="AQ470" s="8"/>
      <c r="AR470" s="8"/>
      <c r="AS470" s="8"/>
      <c r="AT470" s="8"/>
    </row>
    <row r="471">
      <c r="A471" s="415"/>
      <c r="B471" s="210"/>
      <c r="C471" s="415"/>
      <c r="D471" s="210"/>
      <c r="E471" s="415"/>
      <c r="F471" s="210"/>
      <c r="G471" s="415"/>
      <c r="H471" s="210"/>
      <c r="I471" s="423"/>
      <c r="J471" s="156"/>
      <c r="K471" s="423"/>
      <c r="L471" s="156"/>
      <c r="M471" s="415"/>
      <c r="N471" s="210"/>
      <c r="O471" s="415"/>
      <c r="P471" s="210"/>
      <c r="Q471" s="452"/>
      <c r="R471" s="452"/>
      <c r="S471" s="415"/>
      <c r="T471" s="210"/>
      <c r="U471" s="415"/>
      <c r="V471" s="210"/>
      <c r="W471" s="415"/>
      <c r="X471" s="210"/>
      <c r="Y471" s="8"/>
      <c r="Z471" s="8"/>
      <c r="AA471" s="8"/>
      <c r="AB471" s="8"/>
      <c r="AC471" s="8"/>
      <c r="AD471" s="8"/>
      <c r="AE471" s="8"/>
      <c r="AF471" s="8"/>
      <c r="AG471" s="8"/>
      <c r="AH471" s="8"/>
      <c r="AI471" s="8"/>
      <c r="AJ471" s="8"/>
      <c r="AK471" s="8"/>
      <c r="AL471" s="8"/>
      <c r="AM471" s="8"/>
      <c r="AN471" s="8"/>
      <c r="AO471" s="8"/>
      <c r="AP471" s="8"/>
      <c r="AQ471" s="8"/>
      <c r="AR471" s="8"/>
      <c r="AS471" s="8"/>
      <c r="AT471" s="8"/>
    </row>
    <row r="472">
      <c r="A472" s="415"/>
      <c r="B472" s="210"/>
      <c r="C472" s="415"/>
      <c r="D472" s="210"/>
      <c r="E472" s="415"/>
      <c r="F472" s="210"/>
      <c r="G472" s="415"/>
      <c r="H472" s="210"/>
      <c r="I472" s="423"/>
      <c r="J472" s="156"/>
      <c r="K472" s="423"/>
      <c r="L472" s="156"/>
      <c r="M472" s="415"/>
      <c r="N472" s="210"/>
      <c r="O472" s="415"/>
      <c r="P472" s="210"/>
      <c r="Q472" s="452"/>
      <c r="R472" s="452"/>
      <c r="S472" s="415"/>
      <c r="T472" s="210"/>
      <c r="U472" s="415"/>
      <c r="V472" s="210"/>
      <c r="W472" s="415"/>
      <c r="X472" s="210"/>
      <c r="Y472" s="8"/>
      <c r="Z472" s="8"/>
      <c r="AA472" s="8"/>
      <c r="AB472" s="8"/>
      <c r="AC472" s="8"/>
      <c r="AD472" s="8"/>
      <c r="AE472" s="8"/>
      <c r="AF472" s="8"/>
      <c r="AG472" s="8"/>
      <c r="AH472" s="8"/>
      <c r="AI472" s="8"/>
      <c r="AJ472" s="8"/>
      <c r="AK472" s="8"/>
      <c r="AL472" s="8"/>
      <c r="AM472" s="8"/>
      <c r="AN472" s="8"/>
      <c r="AO472" s="8"/>
      <c r="AP472" s="8"/>
      <c r="AQ472" s="8"/>
      <c r="AR472" s="8"/>
      <c r="AS472" s="8"/>
      <c r="AT472" s="8"/>
    </row>
    <row r="473">
      <c r="A473" s="415"/>
      <c r="B473" s="210"/>
      <c r="C473" s="415"/>
      <c r="D473" s="210"/>
      <c r="E473" s="415"/>
      <c r="F473" s="210"/>
      <c r="G473" s="415"/>
      <c r="H473" s="210"/>
      <c r="I473" s="423"/>
      <c r="J473" s="156"/>
      <c r="K473" s="423"/>
      <c r="L473" s="156"/>
      <c r="M473" s="415"/>
      <c r="N473" s="210"/>
      <c r="O473" s="415"/>
      <c r="P473" s="210"/>
      <c r="Q473" s="452"/>
      <c r="R473" s="452"/>
      <c r="S473" s="415"/>
      <c r="T473" s="210"/>
      <c r="U473" s="415"/>
      <c r="V473" s="210"/>
      <c r="W473" s="415"/>
      <c r="X473" s="210"/>
      <c r="Y473" s="8"/>
      <c r="Z473" s="8"/>
      <c r="AA473" s="8"/>
      <c r="AB473" s="8"/>
      <c r="AC473" s="8"/>
      <c r="AD473" s="8"/>
      <c r="AE473" s="8"/>
      <c r="AF473" s="8"/>
      <c r="AG473" s="8"/>
      <c r="AH473" s="8"/>
      <c r="AI473" s="8"/>
      <c r="AJ473" s="8"/>
      <c r="AK473" s="8"/>
      <c r="AL473" s="8"/>
      <c r="AM473" s="8"/>
      <c r="AN473" s="8"/>
      <c r="AO473" s="8"/>
      <c r="AP473" s="8"/>
      <c r="AQ473" s="8"/>
      <c r="AR473" s="8"/>
      <c r="AS473" s="8"/>
      <c r="AT473" s="8"/>
    </row>
    <row r="474">
      <c r="A474" s="415"/>
      <c r="B474" s="210"/>
      <c r="C474" s="415"/>
      <c r="D474" s="210"/>
      <c r="E474" s="415"/>
      <c r="F474" s="210"/>
      <c r="G474" s="415"/>
      <c r="H474" s="210"/>
      <c r="I474" s="423"/>
      <c r="J474" s="156"/>
      <c r="K474" s="423"/>
      <c r="L474" s="156"/>
      <c r="M474" s="415"/>
      <c r="N474" s="210"/>
      <c r="O474" s="415"/>
      <c r="P474" s="210"/>
      <c r="Q474" s="452"/>
      <c r="R474" s="452"/>
      <c r="S474" s="415"/>
      <c r="T474" s="210"/>
      <c r="U474" s="415"/>
      <c r="V474" s="210"/>
      <c r="W474" s="415"/>
      <c r="X474" s="210"/>
      <c r="Y474" s="8"/>
      <c r="Z474" s="8"/>
      <c r="AA474" s="8"/>
      <c r="AB474" s="8"/>
      <c r="AC474" s="8"/>
      <c r="AD474" s="8"/>
      <c r="AE474" s="8"/>
      <c r="AF474" s="8"/>
      <c r="AG474" s="8"/>
      <c r="AH474" s="8"/>
      <c r="AI474" s="8"/>
      <c r="AJ474" s="8"/>
      <c r="AK474" s="8"/>
      <c r="AL474" s="8"/>
      <c r="AM474" s="8"/>
      <c r="AN474" s="8"/>
      <c r="AO474" s="8"/>
      <c r="AP474" s="8"/>
      <c r="AQ474" s="8"/>
      <c r="AR474" s="8"/>
      <c r="AS474" s="8"/>
      <c r="AT474" s="8"/>
    </row>
    <row r="475">
      <c r="A475" s="415"/>
      <c r="B475" s="210"/>
      <c r="C475" s="415"/>
      <c r="D475" s="210"/>
      <c r="E475" s="415"/>
      <c r="F475" s="210"/>
      <c r="G475" s="415"/>
      <c r="H475" s="210"/>
      <c r="I475" s="423"/>
      <c r="J475" s="156"/>
      <c r="K475" s="423"/>
      <c r="L475" s="156"/>
      <c r="M475" s="415"/>
      <c r="N475" s="210"/>
      <c r="O475" s="415"/>
      <c r="P475" s="210"/>
      <c r="Q475" s="452"/>
      <c r="R475" s="452"/>
      <c r="S475" s="415"/>
      <c r="T475" s="210"/>
      <c r="U475" s="415"/>
      <c r="V475" s="210"/>
      <c r="W475" s="415"/>
      <c r="X475" s="210"/>
      <c r="Y475" s="8"/>
      <c r="Z475" s="8"/>
      <c r="AA475" s="8"/>
      <c r="AB475" s="8"/>
      <c r="AC475" s="8"/>
      <c r="AD475" s="8"/>
      <c r="AE475" s="8"/>
      <c r="AF475" s="8"/>
      <c r="AG475" s="8"/>
      <c r="AH475" s="8"/>
      <c r="AI475" s="8"/>
      <c r="AJ475" s="8"/>
      <c r="AK475" s="8"/>
      <c r="AL475" s="8"/>
      <c r="AM475" s="8"/>
      <c r="AN475" s="8"/>
      <c r="AO475" s="8"/>
      <c r="AP475" s="8"/>
      <c r="AQ475" s="8"/>
      <c r="AR475" s="8"/>
      <c r="AS475" s="8"/>
      <c r="AT475" s="8"/>
    </row>
    <row r="476">
      <c r="A476" s="415"/>
      <c r="B476" s="210"/>
      <c r="C476" s="415"/>
      <c r="D476" s="210"/>
      <c r="E476" s="415"/>
      <c r="F476" s="210"/>
      <c r="G476" s="415"/>
      <c r="H476" s="210"/>
      <c r="I476" s="423"/>
      <c r="J476" s="156"/>
      <c r="K476" s="423"/>
      <c r="L476" s="156"/>
      <c r="M476" s="415"/>
      <c r="N476" s="210"/>
      <c r="O476" s="415"/>
      <c r="P476" s="210"/>
      <c r="Q476" s="452"/>
      <c r="R476" s="452"/>
      <c r="S476" s="415"/>
      <c r="T476" s="210"/>
      <c r="U476" s="415"/>
      <c r="V476" s="210"/>
      <c r="W476" s="415"/>
      <c r="X476" s="210"/>
      <c r="Y476" s="8"/>
      <c r="Z476" s="8"/>
      <c r="AA476" s="8"/>
      <c r="AB476" s="8"/>
      <c r="AC476" s="8"/>
      <c r="AD476" s="8"/>
      <c r="AE476" s="8"/>
      <c r="AF476" s="8"/>
      <c r="AG476" s="8"/>
      <c r="AH476" s="8"/>
      <c r="AI476" s="8"/>
      <c r="AJ476" s="8"/>
      <c r="AK476" s="8"/>
      <c r="AL476" s="8"/>
      <c r="AM476" s="8"/>
      <c r="AN476" s="8"/>
      <c r="AO476" s="8"/>
      <c r="AP476" s="8"/>
      <c r="AQ476" s="8"/>
      <c r="AR476" s="8"/>
      <c r="AS476" s="8"/>
      <c r="AT476" s="8"/>
    </row>
    <row r="477">
      <c r="A477" s="415"/>
      <c r="B477" s="210"/>
      <c r="C477" s="415"/>
      <c r="D477" s="210"/>
      <c r="E477" s="415"/>
      <c r="F477" s="210"/>
      <c r="G477" s="415"/>
      <c r="H477" s="210"/>
      <c r="I477" s="423"/>
      <c r="J477" s="156"/>
      <c r="K477" s="423"/>
      <c r="L477" s="156"/>
      <c r="M477" s="415"/>
      <c r="N477" s="210"/>
      <c r="O477" s="415"/>
      <c r="P477" s="210"/>
      <c r="Q477" s="452"/>
      <c r="R477" s="452"/>
      <c r="S477" s="415"/>
      <c r="T477" s="210"/>
      <c r="U477" s="415"/>
      <c r="V477" s="210"/>
      <c r="W477" s="415"/>
      <c r="X477" s="210"/>
      <c r="Y477" s="8"/>
      <c r="Z477" s="8"/>
      <c r="AA477" s="8"/>
      <c r="AB477" s="8"/>
      <c r="AC477" s="8"/>
      <c r="AD477" s="8"/>
      <c r="AE477" s="8"/>
      <c r="AF477" s="8"/>
      <c r="AG477" s="8"/>
      <c r="AH477" s="8"/>
      <c r="AI477" s="8"/>
      <c r="AJ477" s="8"/>
      <c r="AK477" s="8"/>
      <c r="AL477" s="8"/>
      <c r="AM477" s="8"/>
      <c r="AN477" s="8"/>
      <c r="AO477" s="8"/>
      <c r="AP477" s="8"/>
      <c r="AQ477" s="8"/>
      <c r="AR477" s="8"/>
      <c r="AS477" s="8"/>
      <c r="AT477" s="8"/>
    </row>
    <row r="478">
      <c r="A478" s="415"/>
      <c r="B478" s="210"/>
      <c r="C478" s="415"/>
      <c r="D478" s="210"/>
      <c r="E478" s="415"/>
      <c r="F478" s="210"/>
      <c r="G478" s="415"/>
      <c r="H478" s="210"/>
      <c r="I478" s="423"/>
      <c r="J478" s="156"/>
      <c r="K478" s="423"/>
      <c r="L478" s="156"/>
      <c r="M478" s="415"/>
      <c r="N478" s="210"/>
      <c r="O478" s="415"/>
      <c r="P478" s="210"/>
      <c r="Q478" s="452"/>
      <c r="R478" s="452"/>
      <c r="S478" s="415"/>
      <c r="T478" s="210"/>
      <c r="U478" s="415"/>
      <c r="V478" s="210"/>
      <c r="W478" s="415"/>
      <c r="X478" s="210"/>
      <c r="Y478" s="8"/>
      <c r="Z478" s="8"/>
      <c r="AA478" s="8"/>
      <c r="AB478" s="8"/>
      <c r="AC478" s="8"/>
      <c r="AD478" s="8"/>
      <c r="AE478" s="8"/>
      <c r="AF478" s="8"/>
      <c r="AG478" s="8"/>
      <c r="AH478" s="8"/>
      <c r="AI478" s="8"/>
      <c r="AJ478" s="8"/>
      <c r="AK478" s="8"/>
      <c r="AL478" s="8"/>
      <c r="AM478" s="8"/>
      <c r="AN478" s="8"/>
      <c r="AO478" s="8"/>
      <c r="AP478" s="8"/>
      <c r="AQ478" s="8"/>
      <c r="AR478" s="8"/>
      <c r="AS478" s="8"/>
      <c r="AT478" s="8"/>
    </row>
    <row r="479">
      <c r="A479" s="415"/>
      <c r="B479" s="210"/>
      <c r="C479" s="415"/>
      <c r="D479" s="210"/>
      <c r="E479" s="415"/>
      <c r="F479" s="210"/>
      <c r="G479" s="415"/>
      <c r="H479" s="210"/>
      <c r="I479" s="423"/>
      <c r="J479" s="156"/>
      <c r="K479" s="423"/>
      <c r="L479" s="156"/>
      <c r="M479" s="415"/>
      <c r="N479" s="210"/>
      <c r="O479" s="415"/>
      <c r="P479" s="210"/>
      <c r="Q479" s="452"/>
      <c r="R479" s="452"/>
      <c r="S479" s="415"/>
      <c r="T479" s="210"/>
      <c r="U479" s="415"/>
      <c r="V479" s="210"/>
      <c r="W479" s="415"/>
      <c r="X479" s="210"/>
      <c r="Y479" s="8"/>
      <c r="Z479" s="8"/>
      <c r="AA479" s="8"/>
      <c r="AB479" s="8"/>
      <c r="AC479" s="8"/>
      <c r="AD479" s="8"/>
      <c r="AE479" s="8"/>
      <c r="AF479" s="8"/>
      <c r="AG479" s="8"/>
      <c r="AH479" s="8"/>
      <c r="AI479" s="8"/>
      <c r="AJ479" s="8"/>
      <c r="AK479" s="8"/>
      <c r="AL479" s="8"/>
      <c r="AM479" s="8"/>
      <c r="AN479" s="8"/>
      <c r="AO479" s="8"/>
      <c r="AP479" s="8"/>
      <c r="AQ479" s="8"/>
      <c r="AR479" s="8"/>
      <c r="AS479" s="8"/>
      <c r="AT479" s="8"/>
    </row>
    <row r="480">
      <c r="A480" s="415"/>
      <c r="B480" s="210"/>
      <c r="C480" s="415"/>
      <c r="D480" s="210"/>
      <c r="E480" s="415"/>
      <c r="F480" s="210"/>
      <c r="G480" s="415"/>
      <c r="H480" s="210"/>
      <c r="I480" s="423"/>
      <c r="J480" s="156"/>
      <c r="K480" s="423"/>
      <c r="L480" s="156"/>
      <c r="M480" s="415"/>
      <c r="N480" s="210"/>
      <c r="O480" s="415"/>
      <c r="P480" s="210"/>
      <c r="Q480" s="452"/>
      <c r="R480" s="452"/>
      <c r="S480" s="415"/>
      <c r="T480" s="210"/>
      <c r="U480" s="415"/>
      <c r="V480" s="210"/>
      <c r="W480" s="415"/>
      <c r="X480" s="210"/>
      <c r="Y480" s="8"/>
      <c r="Z480" s="8"/>
      <c r="AA480" s="8"/>
      <c r="AB480" s="8"/>
      <c r="AC480" s="8"/>
      <c r="AD480" s="8"/>
      <c r="AE480" s="8"/>
      <c r="AF480" s="8"/>
      <c r="AG480" s="8"/>
      <c r="AH480" s="8"/>
      <c r="AI480" s="8"/>
      <c r="AJ480" s="8"/>
      <c r="AK480" s="8"/>
      <c r="AL480" s="8"/>
      <c r="AM480" s="8"/>
      <c r="AN480" s="8"/>
      <c r="AO480" s="8"/>
      <c r="AP480" s="8"/>
      <c r="AQ480" s="8"/>
      <c r="AR480" s="8"/>
      <c r="AS480" s="8"/>
      <c r="AT480" s="8"/>
    </row>
    <row r="481">
      <c r="A481" s="415"/>
      <c r="B481" s="210"/>
      <c r="C481" s="415"/>
      <c r="D481" s="210"/>
      <c r="E481" s="415"/>
      <c r="F481" s="210"/>
      <c r="G481" s="415"/>
      <c r="H481" s="210"/>
      <c r="I481" s="423"/>
      <c r="J481" s="156"/>
      <c r="K481" s="423"/>
      <c r="L481" s="156"/>
      <c r="M481" s="415"/>
      <c r="N481" s="210"/>
      <c r="O481" s="415"/>
      <c r="P481" s="210"/>
      <c r="Q481" s="452"/>
      <c r="R481" s="452"/>
      <c r="S481" s="415"/>
      <c r="T481" s="210"/>
      <c r="U481" s="415"/>
      <c r="V481" s="210"/>
      <c r="W481" s="415"/>
      <c r="X481" s="210"/>
      <c r="Y481" s="8"/>
      <c r="Z481" s="8"/>
      <c r="AA481" s="8"/>
      <c r="AB481" s="8"/>
      <c r="AC481" s="8"/>
      <c r="AD481" s="8"/>
      <c r="AE481" s="8"/>
      <c r="AF481" s="8"/>
      <c r="AG481" s="8"/>
      <c r="AH481" s="8"/>
      <c r="AI481" s="8"/>
      <c r="AJ481" s="8"/>
      <c r="AK481" s="8"/>
      <c r="AL481" s="8"/>
      <c r="AM481" s="8"/>
      <c r="AN481" s="8"/>
      <c r="AO481" s="8"/>
      <c r="AP481" s="8"/>
      <c r="AQ481" s="8"/>
      <c r="AR481" s="8"/>
      <c r="AS481" s="8"/>
      <c r="AT481" s="8"/>
    </row>
    <row r="482">
      <c r="A482" s="415"/>
      <c r="B482" s="210"/>
      <c r="C482" s="415"/>
      <c r="D482" s="210"/>
      <c r="E482" s="415"/>
      <c r="F482" s="210"/>
      <c r="G482" s="415"/>
      <c r="H482" s="210"/>
      <c r="I482" s="423"/>
      <c r="J482" s="156"/>
      <c r="K482" s="423"/>
      <c r="L482" s="156"/>
      <c r="M482" s="415"/>
      <c r="N482" s="210"/>
      <c r="O482" s="415"/>
      <c r="P482" s="210"/>
      <c r="Q482" s="452"/>
      <c r="R482" s="452"/>
      <c r="S482" s="415"/>
      <c r="T482" s="210"/>
      <c r="U482" s="415"/>
      <c r="V482" s="210"/>
      <c r="W482" s="415"/>
      <c r="X482" s="210"/>
      <c r="Y482" s="8"/>
      <c r="Z482" s="8"/>
      <c r="AA482" s="8"/>
      <c r="AB482" s="8"/>
      <c r="AC482" s="8"/>
      <c r="AD482" s="8"/>
      <c r="AE482" s="8"/>
      <c r="AF482" s="8"/>
      <c r="AG482" s="8"/>
      <c r="AH482" s="8"/>
      <c r="AI482" s="8"/>
      <c r="AJ482" s="8"/>
      <c r="AK482" s="8"/>
      <c r="AL482" s="8"/>
      <c r="AM482" s="8"/>
      <c r="AN482" s="8"/>
      <c r="AO482" s="8"/>
      <c r="AP482" s="8"/>
      <c r="AQ482" s="8"/>
      <c r="AR482" s="8"/>
      <c r="AS482" s="8"/>
      <c r="AT482" s="8"/>
    </row>
    <row r="483">
      <c r="A483" s="415"/>
      <c r="B483" s="210"/>
      <c r="C483" s="415"/>
      <c r="D483" s="210"/>
      <c r="E483" s="415"/>
      <c r="F483" s="210"/>
      <c r="G483" s="415"/>
      <c r="H483" s="210"/>
      <c r="I483" s="423"/>
      <c r="J483" s="156"/>
      <c r="K483" s="423"/>
      <c r="L483" s="156"/>
      <c r="M483" s="415"/>
      <c r="N483" s="210"/>
      <c r="O483" s="415"/>
      <c r="P483" s="210"/>
      <c r="Q483" s="452"/>
      <c r="R483" s="452"/>
      <c r="S483" s="415"/>
      <c r="T483" s="210"/>
      <c r="U483" s="415"/>
      <c r="V483" s="210"/>
      <c r="W483" s="415"/>
      <c r="X483" s="210"/>
      <c r="Y483" s="8"/>
      <c r="Z483" s="8"/>
      <c r="AA483" s="8"/>
      <c r="AB483" s="8"/>
      <c r="AC483" s="8"/>
      <c r="AD483" s="8"/>
      <c r="AE483" s="8"/>
      <c r="AF483" s="8"/>
      <c r="AG483" s="8"/>
      <c r="AH483" s="8"/>
      <c r="AI483" s="8"/>
      <c r="AJ483" s="8"/>
      <c r="AK483" s="8"/>
      <c r="AL483" s="8"/>
      <c r="AM483" s="8"/>
      <c r="AN483" s="8"/>
      <c r="AO483" s="8"/>
      <c r="AP483" s="8"/>
      <c r="AQ483" s="8"/>
      <c r="AR483" s="8"/>
      <c r="AS483" s="8"/>
      <c r="AT483" s="8"/>
    </row>
    <row r="484">
      <c r="A484" s="415"/>
      <c r="B484" s="210"/>
      <c r="C484" s="415"/>
      <c r="D484" s="210"/>
      <c r="E484" s="415"/>
      <c r="F484" s="210"/>
      <c r="G484" s="415"/>
      <c r="H484" s="210"/>
      <c r="I484" s="423"/>
      <c r="J484" s="156"/>
      <c r="K484" s="423"/>
      <c r="L484" s="156"/>
      <c r="M484" s="415"/>
      <c r="N484" s="210"/>
      <c r="O484" s="415"/>
      <c r="P484" s="210"/>
      <c r="Q484" s="452"/>
      <c r="R484" s="452"/>
      <c r="S484" s="415"/>
      <c r="T484" s="210"/>
      <c r="U484" s="415"/>
      <c r="V484" s="210"/>
      <c r="W484" s="415"/>
      <c r="X484" s="210"/>
      <c r="Y484" s="8"/>
      <c r="Z484" s="8"/>
      <c r="AA484" s="8"/>
      <c r="AB484" s="8"/>
      <c r="AC484" s="8"/>
      <c r="AD484" s="8"/>
      <c r="AE484" s="8"/>
      <c r="AF484" s="8"/>
      <c r="AG484" s="8"/>
      <c r="AH484" s="8"/>
      <c r="AI484" s="8"/>
      <c r="AJ484" s="8"/>
      <c r="AK484" s="8"/>
      <c r="AL484" s="8"/>
      <c r="AM484" s="8"/>
      <c r="AN484" s="8"/>
      <c r="AO484" s="8"/>
      <c r="AP484" s="8"/>
      <c r="AQ484" s="8"/>
      <c r="AR484" s="8"/>
      <c r="AS484" s="8"/>
      <c r="AT484" s="8"/>
    </row>
    <row r="485">
      <c r="A485" s="415"/>
      <c r="B485" s="210"/>
      <c r="C485" s="415"/>
      <c r="D485" s="210"/>
      <c r="E485" s="415"/>
      <c r="F485" s="210"/>
      <c r="G485" s="415"/>
      <c r="H485" s="210"/>
      <c r="I485" s="423"/>
      <c r="J485" s="156"/>
      <c r="K485" s="423"/>
      <c r="L485" s="156"/>
      <c r="M485" s="415"/>
      <c r="N485" s="210"/>
      <c r="O485" s="415"/>
      <c r="P485" s="210"/>
      <c r="Q485" s="452"/>
      <c r="R485" s="452"/>
      <c r="S485" s="415"/>
      <c r="T485" s="210"/>
      <c r="U485" s="415"/>
      <c r="V485" s="210"/>
      <c r="W485" s="415"/>
      <c r="X485" s="210"/>
      <c r="Y485" s="8"/>
      <c r="Z485" s="8"/>
      <c r="AA485" s="8"/>
      <c r="AB485" s="8"/>
      <c r="AC485" s="8"/>
      <c r="AD485" s="8"/>
      <c r="AE485" s="8"/>
      <c r="AF485" s="8"/>
      <c r="AG485" s="8"/>
      <c r="AH485" s="8"/>
      <c r="AI485" s="8"/>
      <c r="AJ485" s="8"/>
      <c r="AK485" s="8"/>
      <c r="AL485" s="8"/>
      <c r="AM485" s="8"/>
      <c r="AN485" s="8"/>
      <c r="AO485" s="8"/>
      <c r="AP485" s="8"/>
      <c r="AQ485" s="8"/>
      <c r="AR485" s="8"/>
      <c r="AS485" s="8"/>
      <c r="AT485" s="8"/>
    </row>
    <row r="486">
      <c r="A486" s="415"/>
      <c r="B486" s="210"/>
      <c r="C486" s="415"/>
      <c r="D486" s="210"/>
      <c r="E486" s="415"/>
      <c r="F486" s="210"/>
      <c r="G486" s="415"/>
      <c r="H486" s="210"/>
      <c r="I486" s="423"/>
      <c r="J486" s="156"/>
      <c r="K486" s="423"/>
      <c r="L486" s="156"/>
      <c r="M486" s="415"/>
      <c r="N486" s="210"/>
      <c r="O486" s="415"/>
      <c r="P486" s="210"/>
      <c r="Q486" s="452"/>
      <c r="R486" s="452"/>
      <c r="S486" s="415"/>
      <c r="T486" s="210"/>
      <c r="U486" s="415"/>
      <c r="V486" s="210"/>
      <c r="W486" s="415"/>
      <c r="X486" s="210"/>
      <c r="Y486" s="8"/>
      <c r="Z486" s="8"/>
      <c r="AA486" s="8"/>
      <c r="AB486" s="8"/>
      <c r="AC486" s="8"/>
      <c r="AD486" s="8"/>
      <c r="AE486" s="8"/>
      <c r="AF486" s="8"/>
      <c r="AG486" s="8"/>
      <c r="AH486" s="8"/>
      <c r="AI486" s="8"/>
      <c r="AJ486" s="8"/>
      <c r="AK486" s="8"/>
      <c r="AL486" s="8"/>
      <c r="AM486" s="8"/>
      <c r="AN486" s="8"/>
      <c r="AO486" s="8"/>
      <c r="AP486" s="8"/>
      <c r="AQ486" s="8"/>
      <c r="AR486" s="8"/>
      <c r="AS486" s="8"/>
      <c r="AT486" s="8"/>
    </row>
    <row r="487">
      <c r="A487" s="415"/>
      <c r="B487" s="210"/>
      <c r="C487" s="415"/>
      <c r="D487" s="210"/>
      <c r="E487" s="415"/>
      <c r="F487" s="210"/>
      <c r="G487" s="415"/>
      <c r="H487" s="210"/>
      <c r="I487" s="423"/>
      <c r="J487" s="156"/>
      <c r="K487" s="423"/>
      <c r="L487" s="156"/>
      <c r="M487" s="415"/>
      <c r="N487" s="210"/>
      <c r="O487" s="415"/>
      <c r="P487" s="210"/>
      <c r="Q487" s="452"/>
      <c r="R487" s="452"/>
      <c r="S487" s="415"/>
      <c r="T487" s="210"/>
      <c r="U487" s="415"/>
      <c r="V487" s="210"/>
      <c r="W487" s="415"/>
      <c r="X487" s="210"/>
      <c r="Y487" s="8"/>
      <c r="Z487" s="8"/>
      <c r="AA487" s="8"/>
      <c r="AB487" s="8"/>
      <c r="AC487" s="8"/>
      <c r="AD487" s="8"/>
      <c r="AE487" s="8"/>
      <c r="AF487" s="8"/>
      <c r="AG487" s="8"/>
      <c r="AH487" s="8"/>
      <c r="AI487" s="8"/>
      <c r="AJ487" s="8"/>
      <c r="AK487" s="8"/>
      <c r="AL487" s="8"/>
      <c r="AM487" s="8"/>
      <c r="AN487" s="8"/>
      <c r="AO487" s="8"/>
      <c r="AP487" s="8"/>
      <c r="AQ487" s="8"/>
      <c r="AR487" s="8"/>
      <c r="AS487" s="8"/>
      <c r="AT487" s="8"/>
    </row>
    <row r="488">
      <c r="A488" s="415"/>
      <c r="B488" s="210"/>
      <c r="C488" s="415"/>
      <c r="D488" s="210"/>
      <c r="E488" s="415"/>
      <c r="F488" s="210"/>
      <c r="G488" s="415"/>
      <c r="H488" s="210"/>
      <c r="I488" s="423"/>
      <c r="J488" s="156"/>
      <c r="K488" s="423"/>
      <c r="L488" s="156"/>
      <c r="M488" s="415"/>
      <c r="N488" s="210"/>
      <c r="O488" s="415"/>
      <c r="P488" s="210"/>
      <c r="Q488" s="452"/>
      <c r="R488" s="452"/>
      <c r="S488" s="415"/>
      <c r="T488" s="210"/>
      <c r="U488" s="415"/>
      <c r="V488" s="210"/>
      <c r="W488" s="415"/>
      <c r="X488" s="210"/>
      <c r="Y488" s="8"/>
      <c r="Z488" s="8"/>
      <c r="AA488" s="8"/>
      <c r="AB488" s="8"/>
      <c r="AC488" s="8"/>
      <c r="AD488" s="8"/>
      <c r="AE488" s="8"/>
      <c r="AF488" s="8"/>
      <c r="AG488" s="8"/>
      <c r="AH488" s="8"/>
      <c r="AI488" s="8"/>
      <c r="AJ488" s="8"/>
      <c r="AK488" s="8"/>
      <c r="AL488" s="8"/>
      <c r="AM488" s="8"/>
      <c r="AN488" s="8"/>
      <c r="AO488" s="8"/>
      <c r="AP488" s="8"/>
      <c r="AQ488" s="8"/>
      <c r="AR488" s="8"/>
      <c r="AS488" s="8"/>
      <c r="AT488" s="8"/>
    </row>
    <row r="489">
      <c r="A489" s="415"/>
      <c r="B489" s="210"/>
      <c r="C489" s="415"/>
      <c r="D489" s="210"/>
      <c r="E489" s="415"/>
      <c r="F489" s="210"/>
      <c r="G489" s="415"/>
      <c r="H489" s="210"/>
      <c r="I489" s="423"/>
      <c r="J489" s="156"/>
      <c r="K489" s="423"/>
      <c r="L489" s="156"/>
      <c r="M489" s="415"/>
      <c r="N489" s="210"/>
      <c r="O489" s="415"/>
      <c r="P489" s="210"/>
      <c r="Q489" s="452"/>
      <c r="R489" s="452"/>
      <c r="S489" s="415"/>
      <c r="T489" s="210"/>
      <c r="U489" s="415"/>
      <c r="V489" s="210"/>
      <c r="W489" s="415"/>
      <c r="X489" s="210"/>
      <c r="Y489" s="8"/>
      <c r="Z489" s="8"/>
      <c r="AA489" s="8"/>
      <c r="AB489" s="8"/>
      <c r="AC489" s="8"/>
      <c r="AD489" s="8"/>
      <c r="AE489" s="8"/>
      <c r="AF489" s="8"/>
      <c r="AG489" s="8"/>
      <c r="AH489" s="8"/>
      <c r="AI489" s="8"/>
      <c r="AJ489" s="8"/>
      <c r="AK489" s="8"/>
      <c r="AL489" s="8"/>
      <c r="AM489" s="8"/>
      <c r="AN489" s="8"/>
      <c r="AO489" s="8"/>
      <c r="AP489" s="8"/>
      <c r="AQ489" s="8"/>
      <c r="AR489" s="8"/>
      <c r="AS489" s="8"/>
      <c r="AT489" s="8"/>
    </row>
    <row r="490">
      <c r="A490" s="415"/>
      <c r="B490" s="210"/>
      <c r="C490" s="415"/>
      <c r="D490" s="210"/>
      <c r="E490" s="415"/>
      <c r="F490" s="210"/>
      <c r="G490" s="415"/>
      <c r="H490" s="210"/>
      <c r="I490" s="423"/>
      <c r="J490" s="156"/>
      <c r="K490" s="423"/>
      <c r="L490" s="156"/>
      <c r="M490" s="415"/>
      <c r="N490" s="210"/>
      <c r="O490" s="415"/>
      <c r="P490" s="210"/>
      <c r="Q490" s="452"/>
      <c r="R490" s="452"/>
      <c r="S490" s="415"/>
      <c r="T490" s="210"/>
      <c r="U490" s="415"/>
      <c r="V490" s="210"/>
      <c r="W490" s="415"/>
      <c r="X490" s="210"/>
      <c r="Y490" s="8"/>
      <c r="Z490" s="8"/>
      <c r="AA490" s="8"/>
      <c r="AB490" s="8"/>
      <c r="AC490" s="8"/>
      <c r="AD490" s="8"/>
      <c r="AE490" s="8"/>
      <c r="AF490" s="8"/>
      <c r="AG490" s="8"/>
      <c r="AH490" s="8"/>
      <c r="AI490" s="8"/>
      <c r="AJ490" s="8"/>
      <c r="AK490" s="8"/>
      <c r="AL490" s="8"/>
      <c r="AM490" s="8"/>
      <c r="AN490" s="8"/>
      <c r="AO490" s="8"/>
      <c r="AP490" s="8"/>
      <c r="AQ490" s="8"/>
      <c r="AR490" s="8"/>
      <c r="AS490" s="8"/>
      <c r="AT490" s="8"/>
    </row>
    <row r="491">
      <c r="A491" s="415"/>
      <c r="B491" s="210"/>
      <c r="C491" s="415"/>
      <c r="D491" s="210"/>
      <c r="E491" s="415"/>
      <c r="F491" s="210"/>
      <c r="G491" s="415"/>
      <c r="H491" s="210"/>
      <c r="I491" s="423"/>
      <c r="J491" s="156"/>
      <c r="K491" s="423"/>
      <c r="L491" s="156"/>
      <c r="M491" s="415"/>
      <c r="N491" s="210"/>
      <c r="O491" s="415"/>
      <c r="P491" s="210"/>
      <c r="Q491" s="452"/>
      <c r="R491" s="452"/>
      <c r="S491" s="415"/>
      <c r="T491" s="210"/>
      <c r="U491" s="415"/>
      <c r="V491" s="210"/>
      <c r="W491" s="415"/>
      <c r="X491" s="210"/>
      <c r="Y491" s="8"/>
      <c r="Z491" s="8"/>
      <c r="AA491" s="8"/>
      <c r="AB491" s="8"/>
      <c r="AC491" s="8"/>
      <c r="AD491" s="8"/>
      <c r="AE491" s="8"/>
      <c r="AF491" s="8"/>
      <c r="AG491" s="8"/>
      <c r="AH491" s="8"/>
      <c r="AI491" s="8"/>
      <c r="AJ491" s="8"/>
      <c r="AK491" s="8"/>
      <c r="AL491" s="8"/>
      <c r="AM491" s="8"/>
      <c r="AN491" s="8"/>
      <c r="AO491" s="8"/>
      <c r="AP491" s="8"/>
      <c r="AQ491" s="8"/>
      <c r="AR491" s="8"/>
      <c r="AS491" s="8"/>
      <c r="AT491" s="8"/>
    </row>
    <row r="492">
      <c r="A492" s="415"/>
      <c r="B492" s="210"/>
      <c r="C492" s="415"/>
      <c r="D492" s="210"/>
      <c r="E492" s="415"/>
      <c r="F492" s="210"/>
      <c r="G492" s="415"/>
      <c r="H492" s="210"/>
      <c r="I492" s="423"/>
      <c r="J492" s="156"/>
      <c r="K492" s="423"/>
      <c r="L492" s="156"/>
      <c r="M492" s="415"/>
      <c r="N492" s="210"/>
      <c r="O492" s="415"/>
      <c r="P492" s="210"/>
      <c r="Q492" s="452"/>
      <c r="R492" s="452"/>
      <c r="S492" s="415"/>
      <c r="T492" s="210"/>
      <c r="U492" s="415"/>
      <c r="V492" s="210"/>
      <c r="W492" s="415"/>
      <c r="X492" s="210"/>
      <c r="Y492" s="8"/>
      <c r="Z492" s="8"/>
      <c r="AA492" s="8"/>
      <c r="AB492" s="8"/>
      <c r="AC492" s="8"/>
      <c r="AD492" s="8"/>
      <c r="AE492" s="8"/>
      <c r="AF492" s="8"/>
      <c r="AG492" s="8"/>
      <c r="AH492" s="8"/>
      <c r="AI492" s="8"/>
      <c r="AJ492" s="8"/>
      <c r="AK492" s="8"/>
      <c r="AL492" s="8"/>
      <c r="AM492" s="8"/>
      <c r="AN492" s="8"/>
      <c r="AO492" s="8"/>
      <c r="AP492" s="8"/>
      <c r="AQ492" s="8"/>
      <c r="AR492" s="8"/>
      <c r="AS492" s="8"/>
      <c r="AT492" s="8"/>
    </row>
    <row r="493">
      <c r="A493" s="415"/>
      <c r="B493" s="210"/>
      <c r="C493" s="415"/>
      <c r="D493" s="210"/>
      <c r="E493" s="415"/>
      <c r="F493" s="210"/>
      <c r="G493" s="415"/>
      <c r="H493" s="210"/>
      <c r="I493" s="423"/>
      <c r="J493" s="156"/>
      <c r="K493" s="423"/>
      <c r="L493" s="156"/>
      <c r="M493" s="415"/>
      <c r="N493" s="210"/>
      <c r="O493" s="415"/>
      <c r="P493" s="210"/>
      <c r="Q493" s="452"/>
      <c r="R493" s="452"/>
      <c r="S493" s="415"/>
      <c r="T493" s="210"/>
      <c r="U493" s="415"/>
      <c r="V493" s="210"/>
      <c r="W493" s="415"/>
      <c r="X493" s="210"/>
      <c r="Y493" s="8"/>
      <c r="Z493" s="8"/>
      <c r="AA493" s="8"/>
      <c r="AB493" s="8"/>
      <c r="AC493" s="8"/>
      <c r="AD493" s="8"/>
      <c r="AE493" s="8"/>
      <c r="AF493" s="8"/>
      <c r="AG493" s="8"/>
      <c r="AH493" s="8"/>
      <c r="AI493" s="8"/>
      <c r="AJ493" s="8"/>
      <c r="AK493" s="8"/>
      <c r="AL493" s="8"/>
      <c r="AM493" s="8"/>
      <c r="AN493" s="8"/>
      <c r="AO493" s="8"/>
      <c r="AP493" s="8"/>
      <c r="AQ493" s="8"/>
      <c r="AR493" s="8"/>
      <c r="AS493" s="8"/>
      <c r="AT493" s="8"/>
    </row>
    <row r="494">
      <c r="A494" s="415"/>
      <c r="B494" s="210"/>
      <c r="C494" s="415"/>
      <c r="D494" s="210"/>
      <c r="E494" s="415"/>
      <c r="F494" s="210"/>
      <c r="G494" s="415"/>
      <c r="H494" s="210"/>
      <c r="I494" s="423"/>
      <c r="J494" s="156"/>
      <c r="K494" s="423"/>
      <c r="L494" s="156"/>
      <c r="M494" s="415"/>
      <c r="N494" s="210"/>
      <c r="O494" s="415"/>
      <c r="P494" s="210"/>
      <c r="Q494" s="452"/>
      <c r="R494" s="452"/>
      <c r="S494" s="415"/>
      <c r="T494" s="210"/>
      <c r="U494" s="415"/>
      <c r="V494" s="210"/>
      <c r="W494" s="415"/>
      <c r="X494" s="210"/>
      <c r="Y494" s="8"/>
      <c r="Z494" s="8"/>
      <c r="AA494" s="8"/>
      <c r="AB494" s="8"/>
      <c r="AC494" s="8"/>
      <c r="AD494" s="8"/>
      <c r="AE494" s="8"/>
      <c r="AF494" s="8"/>
      <c r="AG494" s="8"/>
      <c r="AH494" s="8"/>
      <c r="AI494" s="8"/>
      <c r="AJ494" s="8"/>
      <c r="AK494" s="8"/>
      <c r="AL494" s="8"/>
      <c r="AM494" s="8"/>
      <c r="AN494" s="8"/>
      <c r="AO494" s="8"/>
      <c r="AP494" s="8"/>
      <c r="AQ494" s="8"/>
      <c r="AR494" s="8"/>
      <c r="AS494" s="8"/>
      <c r="AT494" s="8"/>
    </row>
    <row r="495">
      <c r="A495" s="415"/>
      <c r="B495" s="210"/>
      <c r="C495" s="415"/>
      <c r="D495" s="210"/>
      <c r="E495" s="415"/>
      <c r="F495" s="210"/>
      <c r="G495" s="415"/>
      <c r="H495" s="210"/>
      <c r="I495" s="423"/>
      <c r="J495" s="156"/>
      <c r="K495" s="423"/>
      <c r="L495" s="156"/>
      <c r="M495" s="415"/>
      <c r="N495" s="210"/>
      <c r="O495" s="415"/>
      <c r="P495" s="210"/>
      <c r="Q495" s="452"/>
      <c r="R495" s="452"/>
      <c r="S495" s="415"/>
      <c r="T495" s="210"/>
      <c r="U495" s="415"/>
      <c r="V495" s="210"/>
      <c r="W495" s="415"/>
      <c r="X495" s="210"/>
      <c r="Y495" s="8"/>
      <c r="Z495" s="8"/>
      <c r="AA495" s="8"/>
      <c r="AB495" s="8"/>
      <c r="AC495" s="8"/>
      <c r="AD495" s="8"/>
      <c r="AE495" s="8"/>
      <c r="AF495" s="8"/>
      <c r="AG495" s="8"/>
      <c r="AH495" s="8"/>
      <c r="AI495" s="8"/>
      <c r="AJ495" s="8"/>
      <c r="AK495" s="8"/>
      <c r="AL495" s="8"/>
      <c r="AM495" s="8"/>
      <c r="AN495" s="8"/>
      <c r="AO495" s="8"/>
      <c r="AP495" s="8"/>
      <c r="AQ495" s="8"/>
      <c r="AR495" s="8"/>
      <c r="AS495" s="8"/>
      <c r="AT495" s="8"/>
    </row>
    <row r="496">
      <c r="A496" s="415"/>
      <c r="B496" s="210"/>
      <c r="C496" s="415"/>
      <c r="D496" s="210"/>
      <c r="E496" s="415"/>
      <c r="F496" s="210"/>
      <c r="G496" s="415"/>
      <c r="H496" s="210"/>
      <c r="I496" s="423"/>
      <c r="J496" s="156"/>
      <c r="K496" s="423"/>
      <c r="L496" s="156"/>
      <c r="M496" s="415"/>
      <c r="N496" s="210"/>
      <c r="O496" s="415"/>
      <c r="P496" s="210"/>
      <c r="Q496" s="452"/>
      <c r="R496" s="452"/>
      <c r="S496" s="415"/>
      <c r="T496" s="210"/>
      <c r="U496" s="415"/>
      <c r="V496" s="210"/>
      <c r="W496" s="415"/>
      <c r="X496" s="210"/>
      <c r="Y496" s="8"/>
      <c r="Z496" s="8"/>
      <c r="AA496" s="8"/>
      <c r="AB496" s="8"/>
      <c r="AC496" s="8"/>
      <c r="AD496" s="8"/>
      <c r="AE496" s="8"/>
      <c r="AF496" s="8"/>
      <c r="AG496" s="8"/>
      <c r="AH496" s="8"/>
      <c r="AI496" s="8"/>
      <c r="AJ496" s="8"/>
      <c r="AK496" s="8"/>
      <c r="AL496" s="8"/>
      <c r="AM496" s="8"/>
      <c r="AN496" s="8"/>
      <c r="AO496" s="8"/>
      <c r="AP496" s="8"/>
      <c r="AQ496" s="8"/>
      <c r="AR496" s="8"/>
      <c r="AS496" s="8"/>
      <c r="AT496" s="8"/>
    </row>
    <row r="497">
      <c r="A497" s="415"/>
      <c r="B497" s="210"/>
      <c r="C497" s="415"/>
      <c r="D497" s="210"/>
      <c r="E497" s="415"/>
      <c r="F497" s="210"/>
      <c r="G497" s="415"/>
      <c r="H497" s="210"/>
      <c r="I497" s="423"/>
      <c r="J497" s="156"/>
      <c r="K497" s="423"/>
      <c r="L497" s="156"/>
      <c r="M497" s="415"/>
      <c r="N497" s="210"/>
      <c r="O497" s="415"/>
      <c r="P497" s="210"/>
      <c r="Q497" s="452"/>
      <c r="R497" s="452"/>
      <c r="S497" s="415"/>
      <c r="T497" s="210"/>
      <c r="U497" s="415"/>
      <c r="V497" s="210"/>
      <c r="W497" s="415"/>
      <c r="X497" s="210"/>
      <c r="Y497" s="8"/>
      <c r="Z497" s="8"/>
      <c r="AA497" s="8"/>
      <c r="AB497" s="8"/>
      <c r="AC497" s="8"/>
      <c r="AD497" s="8"/>
      <c r="AE497" s="8"/>
      <c r="AF497" s="8"/>
      <c r="AG497" s="8"/>
      <c r="AH497" s="8"/>
      <c r="AI497" s="8"/>
      <c r="AJ497" s="8"/>
      <c r="AK497" s="8"/>
      <c r="AL497" s="8"/>
      <c r="AM497" s="8"/>
      <c r="AN497" s="8"/>
      <c r="AO497" s="8"/>
      <c r="AP497" s="8"/>
      <c r="AQ497" s="8"/>
      <c r="AR497" s="8"/>
      <c r="AS497" s="8"/>
      <c r="AT497" s="8"/>
    </row>
    <row r="498">
      <c r="A498" s="415"/>
      <c r="B498" s="210"/>
      <c r="C498" s="415"/>
      <c r="D498" s="210"/>
      <c r="E498" s="415"/>
      <c r="F498" s="210"/>
      <c r="G498" s="415"/>
      <c r="H498" s="210"/>
      <c r="I498" s="423"/>
      <c r="J498" s="156"/>
      <c r="K498" s="423"/>
      <c r="L498" s="156"/>
      <c r="M498" s="415"/>
      <c r="N498" s="210"/>
      <c r="O498" s="415"/>
      <c r="P498" s="210"/>
      <c r="Q498" s="452"/>
      <c r="R498" s="452"/>
      <c r="S498" s="415"/>
      <c r="T498" s="210"/>
      <c r="U498" s="415"/>
      <c r="V498" s="210"/>
      <c r="W498" s="415"/>
      <c r="X498" s="210"/>
      <c r="Y498" s="8"/>
      <c r="Z498" s="8"/>
      <c r="AA498" s="8"/>
      <c r="AB498" s="8"/>
      <c r="AC498" s="8"/>
      <c r="AD498" s="8"/>
      <c r="AE498" s="8"/>
      <c r="AF498" s="8"/>
      <c r="AG498" s="8"/>
      <c r="AH498" s="8"/>
      <c r="AI498" s="8"/>
      <c r="AJ498" s="8"/>
      <c r="AK498" s="8"/>
      <c r="AL498" s="8"/>
      <c r="AM498" s="8"/>
      <c r="AN498" s="8"/>
      <c r="AO498" s="8"/>
      <c r="AP498" s="8"/>
      <c r="AQ498" s="8"/>
      <c r="AR498" s="8"/>
      <c r="AS498" s="8"/>
      <c r="AT498" s="8"/>
    </row>
    <row r="499">
      <c r="A499" s="415"/>
      <c r="B499" s="210"/>
      <c r="C499" s="415"/>
      <c r="D499" s="210"/>
      <c r="E499" s="415"/>
      <c r="F499" s="210"/>
      <c r="G499" s="415"/>
      <c r="H499" s="210"/>
      <c r="I499" s="423"/>
      <c r="J499" s="156"/>
      <c r="K499" s="423"/>
      <c r="L499" s="156"/>
      <c r="M499" s="415"/>
      <c r="N499" s="210"/>
      <c r="O499" s="415"/>
      <c r="P499" s="210"/>
      <c r="Q499" s="452"/>
      <c r="R499" s="452"/>
      <c r="S499" s="415"/>
      <c r="T499" s="210"/>
      <c r="U499" s="415"/>
      <c r="V499" s="210"/>
      <c r="W499" s="415"/>
      <c r="X499" s="210"/>
      <c r="Y499" s="8"/>
      <c r="Z499" s="8"/>
      <c r="AA499" s="8"/>
      <c r="AB499" s="8"/>
      <c r="AC499" s="8"/>
      <c r="AD499" s="8"/>
      <c r="AE499" s="8"/>
      <c r="AF499" s="8"/>
      <c r="AG499" s="8"/>
      <c r="AH499" s="8"/>
      <c r="AI499" s="8"/>
      <c r="AJ499" s="8"/>
      <c r="AK499" s="8"/>
      <c r="AL499" s="8"/>
      <c r="AM499" s="8"/>
      <c r="AN499" s="8"/>
      <c r="AO499" s="8"/>
      <c r="AP499" s="8"/>
      <c r="AQ499" s="8"/>
      <c r="AR499" s="8"/>
      <c r="AS499" s="8"/>
      <c r="AT499" s="8"/>
    </row>
    <row r="500">
      <c r="A500" s="415"/>
      <c r="B500" s="210"/>
      <c r="C500" s="415"/>
      <c r="D500" s="210"/>
      <c r="E500" s="415"/>
      <c r="F500" s="210"/>
      <c r="G500" s="415"/>
      <c r="H500" s="210"/>
      <c r="I500" s="423"/>
      <c r="J500" s="156"/>
      <c r="K500" s="423"/>
      <c r="L500" s="156"/>
      <c r="M500" s="415"/>
      <c r="N500" s="210"/>
      <c r="O500" s="415"/>
      <c r="P500" s="210"/>
      <c r="Q500" s="452"/>
      <c r="R500" s="452"/>
      <c r="S500" s="415"/>
      <c r="T500" s="210"/>
      <c r="U500" s="415"/>
      <c r="V500" s="210"/>
      <c r="W500" s="415"/>
      <c r="X500" s="210"/>
      <c r="Y500" s="8"/>
      <c r="Z500" s="8"/>
      <c r="AA500" s="8"/>
      <c r="AB500" s="8"/>
      <c r="AC500" s="8"/>
      <c r="AD500" s="8"/>
      <c r="AE500" s="8"/>
      <c r="AF500" s="8"/>
      <c r="AG500" s="8"/>
      <c r="AH500" s="8"/>
      <c r="AI500" s="8"/>
      <c r="AJ500" s="8"/>
      <c r="AK500" s="8"/>
      <c r="AL500" s="8"/>
      <c r="AM500" s="8"/>
      <c r="AN500" s="8"/>
      <c r="AO500" s="8"/>
      <c r="AP500" s="8"/>
      <c r="AQ500" s="8"/>
      <c r="AR500" s="8"/>
      <c r="AS500" s="8"/>
      <c r="AT500" s="8"/>
    </row>
    <row r="501">
      <c r="A501" s="415"/>
      <c r="B501" s="210"/>
      <c r="C501" s="415"/>
      <c r="D501" s="210"/>
      <c r="E501" s="415"/>
      <c r="F501" s="210"/>
      <c r="G501" s="415"/>
      <c r="H501" s="210"/>
      <c r="I501" s="423"/>
      <c r="J501" s="156"/>
      <c r="K501" s="423"/>
      <c r="L501" s="156"/>
      <c r="M501" s="415"/>
      <c r="N501" s="210"/>
      <c r="O501" s="415"/>
      <c r="P501" s="210"/>
      <c r="Q501" s="452"/>
      <c r="R501" s="452"/>
      <c r="S501" s="415"/>
      <c r="T501" s="210"/>
      <c r="U501" s="415"/>
      <c r="V501" s="210"/>
      <c r="W501" s="415"/>
      <c r="X501" s="210"/>
      <c r="Y501" s="8"/>
      <c r="Z501" s="8"/>
      <c r="AA501" s="8"/>
      <c r="AB501" s="8"/>
      <c r="AC501" s="8"/>
      <c r="AD501" s="8"/>
      <c r="AE501" s="8"/>
      <c r="AF501" s="8"/>
      <c r="AG501" s="8"/>
      <c r="AH501" s="8"/>
      <c r="AI501" s="8"/>
      <c r="AJ501" s="8"/>
      <c r="AK501" s="8"/>
      <c r="AL501" s="8"/>
      <c r="AM501" s="8"/>
      <c r="AN501" s="8"/>
      <c r="AO501" s="8"/>
      <c r="AP501" s="8"/>
      <c r="AQ501" s="8"/>
      <c r="AR501" s="8"/>
      <c r="AS501" s="8"/>
      <c r="AT501" s="8"/>
    </row>
    <row r="502">
      <c r="A502" s="415"/>
      <c r="B502" s="210"/>
      <c r="C502" s="415"/>
      <c r="D502" s="210"/>
      <c r="E502" s="415"/>
      <c r="F502" s="210"/>
      <c r="G502" s="415"/>
      <c r="H502" s="210"/>
      <c r="I502" s="423"/>
      <c r="J502" s="156"/>
      <c r="K502" s="423"/>
      <c r="L502" s="156"/>
      <c r="M502" s="415"/>
      <c r="N502" s="210"/>
      <c r="O502" s="415"/>
      <c r="P502" s="210"/>
      <c r="Q502" s="452"/>
      <c r="R502" s="452"/>
      <c r="S502" s="415"/>
      <c r="T502" s="210"/>
      <c r="U502" s="415"/>
      <c r="V502" s="210"/>
      <c r="W502" s="415"/>
      <c r="X502" s="210"/>
      <c r="Y502" s="8"/>
      <c r="Z502" s="8"/>
      <c r="AA502" s="8"/>
      <c r="AB502" s="8"/>
      <c r="AC502" s="8"/>
      <c r="AD502" s="8"/>
      <c r="AE502" s="8"/>
      <c r="AF502" s="8"/>
      <c r="AG502" s="8"/>
      <c r="AH502" s="8"/>
      <c r="AI502" s="8"/>
      <c r="AJ502" s="8"/>
      <c r="AK502" s="8"/>
      <c r="AL502" s="8"/>
      <c r="AM502" s="8"/>
      <c r="AN502" s="8"/>
      <c r="AO502" s="8"/>
      <c r="AP502" s="8"/>
      <c r="AQ502" s="8"/>
      <c r="AR502" s="8"/>
      <c r="AS502" s="8"/>
      <c r="AT502" s="8"/>
    </row>
    <row r="503">
      <c r="A503" s="415"/>
      <c r="B503" s="210"/>
      <c r="C503" s="415"/>
      <c r="D503" s="210"/>
      <c r="E503" s="415"/>
      <c r="F503" s="210"/>
      <c r="G503" s="415"/>
      <c r="H503" s="210"/>
      <c r="I503" s="423"/>
      <c r="J503" s="156"/>
      <c r="K503" s="423"/>
      <c r="L503" s="156"/>
      <c r="M503" s="415"/>
      <c r="N503" s="210"/>
      <c r="O503" s="415"/>
      <c r="P503" s="210"/>
      <c r="Q503" s="452"/>
      <c r="R503" s="452"/>
      <c r="S503" s="415"/>
      <c r="T503" s="210"/>
      <c r="U503" s="415"/>
      <c r="V503" s="210"/>
      <c r="W503" s="415"/>
      <c r="X503" s="210"/>
      <c r="Y503" s="8"/>
      <c r="Z503" s="8"/>
      <c r="AA503" s="8"/>
      <c r="AB503" s="8"/>
      <c r="AC503" s="8"/>
      <c r="AD503" s="8"/>
      <c r="AE503" s="8"/>
      <c r="AF503" s="8"/>
      <c r="AG503" s="8"/>
      <c r="AH503" s="8"/>
      <c r="AI503" s="8"/>
      <c r="AJ503" s="8"/>
      <c r="AK503" s="8"/>
      <c r="AL503" s="8"/>
      <c r="AM503" s="8"/>
      <c r="AN503" s="8"/>
      <c r="AO503" s="8"/>
      <c r="AP503" s="8"/>
      <c r="AQ503" s="8"/>
      <c r="AR503" s="8"/>
      <c r="AS503" s="8"/>
      <c r="AT503" s="8"/>
    </row>
    <row r="504">
      <c r="A504" s="415"/>
      <c r="B504" s="210"/>
      <c r="C504" s="415"/>
      <c r="D504" s="210"/>
      <c r="E504" s="415"/>
      <c r="F504" s="210"/>
      <c r="G504" s="415"/>
      <c r="H504" s="210"/>
      <c r="I504" s="423"/>
      <c r="J504" s="156"/>
      <c r="K504" s="423"/>
      <c r="L504" s="156"/>
      <c r="M504" s="415"/>
      <c r="N504" s="210"/>
      <c r="O504" s="415"/>
      <c r="P504" s="210"/>
      <c r="Q504" s="452"/>
      <c r="R504" s="452"/>
      <c r="S504" s="415"/>
      <c r="T504" s="210"/>
      <c r="U504" s="415"/>
      <c r="V504" s="210"/>
      <c r="W504" s="415"/>
      <c r="X504" s="210"/>
      <c r="Y504" s="8"/>
      <c r="Z504" s="8"/>
      <c r="AA504" s="8"/>
      <c r="AB504" s="8"/>
      <c r="AC504" s="8"/>
      <c r="AD504" s="8"/>
      <c r="AE504" s="8"/>
      <c r="AF504" s="8"/>
      <c r="AG504" s="8"/>
      <c r="AH504" s="8"/>
      <c r="AI504" s="8"/>
      <c r="AJ504" s="8"/>
      <c r="AK504" s="8"/>
      <c r="AL504" s="8"/>
      <c r="AM504" s="8"/>
      <c r="AN504" s="8"/>
      <c r="AO504" s="8"/>
      <c r="AP504" s="8"/>
      <c r="AQ504" s="8"/>
      <c r="AR504" s="8"/>
      <c r="AS504" s="8"/>
      <c r="AT504" s="8"/>
    </row>
    <row r="505">
      <c r="A505" s="415"/>
      <c r="B505" s="210"/>
      <c r="C505" s="415"/>
      <c r="D505" s="210"/>
      <c r="E505" s="415"/>
      <c r="F505" s="210"/>
      <c r="G505" s="415"/>
      <c r="H505" s="210"/>
      <c r="I505" s="423"/>
      <c r="J505" s="156"/>
      <c r="K505" s="423"/>
      <c r="L505" s="156"/>
      <c r="M505" s="415"/>
      <c r="N505" s="210"/>
      <c r="O505" s="415"/>
      <c r="P505" s="210"/>
      <c r="Q505" s="452"/>
      <c r="R505" s="452"/>
      <c r="S505" s="415"/>
      <c r="T505" s="210"/>
      <c r="U505" s="415"/>
      <c r="V505" s="210"/>
      <c r="W505" s="415"/>
      <c r="X505" s="210"/>
      <c r="Y505" s="8"/>
      <c r="Z505" s="8"/>
      <c r="AA505" s="8"/>
      <c r="AB505" s="8"/>
      <c r="AC505" s="8"/>
      <c r="AD505" s="8"/>
      <c r="AE505" s="8"/>
      <c r="AF505" s="8"/>
      <c r="AG505" s="8"/>
      <c r="AH505" s="8"/>
      <c r="AI505" s="8"/>
      <c r="AJ505" s="8"/>
      <c r="AK505" s="8"/>
      <c r="AL505" s="8"/>
      <c r="AM505" s="8"/>
      <c r="AN505" s="8"/>
      <c r="AO505" s="8"/>
      <c r="AP505" s="8"/>
      <c r="AQ505" s="8"/>
      <c r="AR505" s="8"/>
      <c r="AS505" s="8"/>
      <c r="AT505" s="8"/>
    </row>
    <row r="506">
      <c r="A506" s="415"/>
      <c r="B506" s="210"/>
      <c r="C506" s="415"/>
      <c r="D506" s="210"/>
      <c r="E506" s="415"/>
      <c r="F506" s="210"/>
      <c r="G506" s="415"/>
      <c r="H506" s="210"/>
      <c r="I506" s="423"/>
      <c r="J506" s="156"/>
      <c r="K506" s="423"/>
      <c r="L506" s="156"/>
      <c r="M506" s="415"/>
      <c r="N506" s="210"/>
      <c r="O506" s="415"/>
      <c r="P506" s="210"/>
      <c r="Q506" s="452"/>
      <c r="R506" s="452"/>
      <c r="S506" s="415"/>
      <c r="T506" s="210"/>
      <c r="U506" s="415"/>
      <c r="V506" s="210"/>
      <c r="W506" s="415"/>
      <c r="X506" s="210"/>
      <c r="Y506" s="8"/>
      <c r="Z506" s="8"/>
      <c r="AA506" s="8"/>
      <c r="AB506" s="8"/>
      <c r="AC506" s="8"/>
      <c r="AD506" s="8"/>
      <c r="AE506" s="8"/>
      <c r="AF506" s="8"/>
      <c r="AG506" s="8"/>
      <c r="AH506" s="8"/>
      <c r="AI506" s="8"/>
      <c r="AJ506" s="8"/>
      <c r="AK506" s="8"/>
      <c r="AL506" s="8"/>
      <c r="AM506" s="8"/>
      <c r="AN506" s="8"/>
      <c r="AO506" s="8"/>
      <c r="AP506" s="8"/>
      <c r="AQ506" s="8"/>
      <c r="AR506" s="8"/>
      <c r="AS506" s="8"/>
      <c r="AT506" s="8"/>
    </row>
    <row r="507">
      <c r="A507" s="415"/>
      <c r="B507" s="210"/>
      <c r="C507" s="415"/>
      <c r="D507" s="210"/>
      <c r="E507" s="415"/>
      <c r="F507" s="210"/>
      <c r="G507" s="415"/>
      <c r="H507" s="210"/>
      <c r="I507" s="423"/>
      <c r="J507" s="156"/>
      <c r="K507" s="423"/>
      <c r="L507" s="156"/>
      <c r="M507" s="415"/>
      <c r="N507" s="210"/>
      <c r="O507" s="415"/>
      <c r="P507" s="210"/>
      <c r="Q507" s="452"/>
      <c r="R507" s="452"/>
      <c r="S507" s="415"/>
      <c r="T507" s="210"/>
      <c r="U507" s="415"/>
      <c r="V507" s="210"/>
      <c r="W507" s="415"/>
      <c r="X507" s="210"/>
      <c r="Y507" s="8"/>
      <c r="Z507" s="8"/>
      <c r="AA507" s="8"/>
      <c r="AB507" s="8"/>
      <c r="AC507" s="8"/>
      <c r="AD507" s="8"/>
      <c r="AE507" s="8"/>
      <c r="AF507" s="8"/>
      <c r="AG507" s="8"/>
      <c r="AH507" s="8"/>
      <c r="AI507" s="8"/>
      <c r="AJ507" s="8"/>
      <c r="AK507" s="8"/>
      <c r="AL507" s="8"/>
      <c r="AM507" s="8"/>
      <c r="AN507" s="8"/>
      <c r="AO507" s="8"/>
      <c r="AP507" s="8"/>
      <c r="AQ507" s="8"/>
      <c r="AR507" s="8"/>
      <c r="AS507" s="8"/>
      <c r="AT507" s="8"/>
    </row>
    <row r="508">
      <c r="A508" s="415"/>
      <c r="B508" s="210"/>
      <c r="C508" s="415"/>
      <c r="D508" s="210"/>
      <c r="E508" s="415"/>
      <c r="F508" s="210"/>
      <c r="G508" s="415"/>
      <c r="H508" s="210"/>
      <c r="I508" s="423"/>
      <c r="J508" s="156"/>
      <c r="K508" s="423"/>
      <c r="L508" s="156"/>
      <c r="M508" s="415"/>
      <c r="N508" s="210"/>
      <c r="O508" s="415"/>
      <c r="P508" s="210"/>
      <c r="Q508" s="452"/>
      <c r="R508" s="452"/>
      <c r="S508" s="415"/>
      <c r="T508" s="210"/>
      <c r="U508" s="415"/>
      <c r="V508" s="210"/>
      <c r="W508" s="415"/>
      <c r="X508" s="210"/>
      <c r="Y508" s="8"/>
      <c r="Z508" s="8"/>
      <c r="AA508" s="8"/>
      <c r="AB508" s="8"/>
      <c r="AC508" s="8"/>
      <c r="AD508" s="8"/>
      <c r="AE508" s="8"/>
      <c r="AF508" s="8"/>
      <c r="AG508" s="8"/>
      <c r="AH508" s="8"/>
      <c r="AI508" s="8"/>
      <c r="AJ508" s="8"/>
      <c r="AK508" s="8"/>
      <c r="AL508" s="8"/>
      <c r="AM508" s="8"/>
      <c r="AN508" s="8"/>
      <c r="AO508" s="8"/>
      <c r="AP508" s="8"/>
      <c r="AQ508" s="8"/>
      <c r="AR508" s="8"/>
      <c r="AS508" s="8"/>
      <c r="AT508" s="8"/>
    </row>
    <row r="509">
      <c r="A509" s="415"/>
      <c r="B509" s="210"/>
      <c r="C509" s="415"/>
      <c r="D509" s="210"/>
      <c r="E509" s="415"/>
      <c r="F509" s="210"/>
      <c r="G509" s="415"/>
      <c r="H509" s="210"/>
      <c r="I509" s="423"/>
      <c r="J509" s="156"/>
      <c r="K509" s="423"/>
      <c r="L509" s="156"/>
      <c r="M509" s="415"/>
      <c r="N509" s="210"/>
      <c r="O509" s="415"/>
      <c r="P509" s="210"/>
      <c r="Q509" s="452"/>
      <c r="R509" s="452"/>
      <c r="S509" s="415"/>
      <c r="T509" s="210"/>
      <c r="U509" s="415"/>
      <c r="V509" s="210"/>
      <c r="W509" s="415"/>
      <c r="X509" s="210"/>
      <c r="Y509" s="8"/>
      <c r="Z509" s="8"/>
      <c r="AA509" s="8"/>
      <c r="AB509" s="8"/>
      <c r="AC509" s="8"/>
      <c r="AD509" s="8"/>
      <c r="AE509" s="8"/>
      <c r="AF509" s="8"/>
      <c r="AG509" s="8"/>
      <c r="AH509" s="8"/>
      <c r="AI509" s="8"/>
      <c r="AJ509" s="8"/>
      <c r="AK509" s="8"/>
      <c r="AL509" s="8"/>
      <c r="AM509" s="8"/>
      <c r="AN509" s="8"/>
      <c r="AO509" s="8"/>
      <c r="AP509" s="8"/>
      <c r="AQ509" s="8"/>
      <c r="AR509" s="8"/>
      <c r="AS509" s="8"/>
      <c r="AT509" s="8"/>
    </row>
    <row r="510">
      <c r="A510" s="415"/>
      <c r="B510" s="210"/>
      <c r="C510" s="415"/>
      <c r="D510" s="210"/>
      <c r="E510" s="415"/>
      <c r="F510" s="210"/>
      <c r="G510" s="415"/>
      <c r="H510" s="210"/>
      <c r="I510" s="423"/>
      <c r="J510" s="156"/>
      <c r="K510" s="423"/>
      <c r="L510" s="156"/>
      <c r="M510" s="415"/>
      <c r="N510" s="210"/>
      <c r="O510" s="415"/>
      <c r="P510" s="210"/>
      <c r="Q510" s="452"/>
      <c r="R510" s="452"/>
      <c r="S510" s="415"/>
      <c r="T510" s="210"/>
      <c r="U510" s="415"/>
      <c r="V510" s="210"/>
      <c r="W510" s="415"/>
      <c r="X510" s="210"/>
      <c r="Y510" s="8"/>
      <c r="Z510" s="8"/>
      <c r="AA510" s="8"/>
      <c r="AB510" s="8"/>
      <c r="AC510" s="8"/>
      <c r="AD510" s="8"/>
      <c r="AE510" s="8"/>
      <c r="AF510" s="8"/>
      <c r="AG510" s="8"/>
      <c r="AH510" s="8"/>
      <c r="AI510" s="8"/>
      <c r="AJ510" s="8"/>
      <c r="AK510" s="8"/>
      <c r="AL510" s="8"/>
      <c r="AM510" s="8"/>
      <c r="AN510" s="8"/>
      <c r="AO510" s="8"/>
      <c r="AP510" s="8"/>
      <c r="AQ510" s="8"/>
      <c r="AR510" s="8"/>
      <c r="AS510" s="8"/>
      <c r="AT510" s="8"/>
    </row>
    <row r="511">
      <c r="A511" s="415"/>
      <c r="B511" s="210"/>
      <c r="C511" s="415"/>
      <c r="D511" s="210"/>
      <c r="E511" s="415"/>
      <c r="F511" s="210"/>
      <c r="G511" s="415"/>
      <c r="H511" s="210"/>
      <c r="I511" s="423"/>
      <c r="J511" s="156"/>
      <c r="K511" s="423"/>
      <c r="L511" s="156"/>
      <c r="M511" s="415"/>
      <c r="N511" s="210"/>
      <c r="O511" s="415"/>
      <c r="P511" s="210"/>
      <c r="Q511" s="452"/>
      <c r="R511" s="452"/>
      <c r="S511" s="415"/>
      <c r="T511" s="210"/>
      <c r="U511" s="415"/>
      <c r="V511" s="210"/>
      <c r="W511" s="415"/>
      <c r="X511" s="210"/>
      <c r="Y511" s="8"/>
      <c r="Z511" s="8"/>
      <c r="AA511" s="8"/>
      <c r="AB511" s="8"/>
      <c r="AC511" s="8"/>
      <c r="AD511" s="8"/>
      <c r="AE511" s="8"/>
      <c r="AF511" s="8"/>
      <c r="AG511" s="8"/>
      <c r="AH511" s="8"/>
      <c r="AI511" s="8"/>
      <c r="AJ511" s="8"/>
      <c r="AK511" s="8"/>
      <c r="AL511" s="8"/>
      <c r="AM511" s="8"/>
      <c r="AN511" s="8"/>
      <c r="AO511" s="8"/>
      <c r="AP511" s="8"/>
      <c r="AQ511" s="8"/>
      <c r="AR511" s="8"/>
      <c r="AS511" s="8"/>
      <c r="AT511" s="8"/>
    </row>
    <row r="512">
      <c r="A512" s="415"/>
      <c r="B512" s="210"/>
      <c r="C512" s="415"/>
      <c r="D512" s="210"/>
      <c r="E512" s="415"/>
      <c r="F512" s="210"/>
      <c r="G512" s="415"/>
      <c r="H512" s="210"/>
      <c r="I512" s="423"/>
      <c r="J512" s="156"/>
      <c r="K512" s="423"/>
      <c r="L512" s="156"/>
      <c r="M512" s="415"/>
      <c r="N512" s="210"/>
      <c r="O512" s="415"/>
      <c r="P512" s="210"/>
      <c r="Q512" s="452"/>
      <c r="R512" s="452"/>
      <c r="S512" s="415"/>
      <c r="T512" s="210"/>
      <c r="U512" s="415"/>
      <c r="V512" s="210"/>
      <c r="W512" s="415"/>
      <c r="X512" s="210"/>
      <c r="Y512" s="8"/>
      <c r="Z512" s="8"/>
      <c r="AA512" s="8"/>
      <c r="AB512" s="8"/>
      <c r="AC512" s="8"/>
      <c r="AD512" s="8"/>
      <c r="AE512" s="8"/>
      <c r="AF512" s="8"/>
      <c r="AG512" s="8"/>
      <c r="AH512" s="8"/>
      <c r="AI512" s="8"/>
      <c r="AJ512" s="8"/>
      <c r="AK512" s="8"/>
      <c r="AL512" s="8"/>
      <c r="AM512" s="8"/>
      <c r="AN512" s="8"/>
      <c r="AO512" s="8"/>
      <c r="AP512" s="8"/>
      <c r="AQ512" s="8"/>
      <c r="AR512" s="8"/>
      <c r="AS512" s="8"/>
      <c r="AT512" s="8"/>
    </row>
    <row r="513">
      <c r="A513" s="415"/>
      <c r="B513" s="210"/>
      <c r="C513" s="415"/>
      <c r="D513" s="210"/>
      <c r="E513" s="415"/>
      <c r="F513" s="210"/>
      <c r="G513" s="415"/>
      <c r="H513" s="210"/>
      <c r="I513" s="423"/>
      <c r="J513" s="156"/>
      <c r="K513" s="423"/>
      <c r="L513" s="156"/>
      <c r="M513" s="415"/>
      <c r="N513" s="210"/>
      <c r="O513" s="415"/>
      <c r="P513" s="210"/>
      <c r="Q513" s="452"/>
      <c r="R513" s="452"/>
      <c r="S513" s="415"/>
      <c r="T513" s="210"/>
      <c r="U513" s="415"/>
      <c r="V513" s="210"/>
      <c r="W513" s="415"/>
      <c r="X513" s="210"/>
      <c r="Y513" s="8"/>
      <c r="Z513" s="8"/>
      <c r="AA513" s="8"/>
      <c r="AB513" s="8"/>
      <c r="AC513" s="8"/>
      <c r="AD513" s="8"/>
      <c r="AE513" s="8"/>
      <c r="AF513" s="8"/>
      <c r="AG513" s="8"/>
      <c r="AH513" s="8"/>
      <c r="AI513" s="8"/>
      <c r="AJ513" s="8"/>
      <c r="AK513" s="8"/>
      <c r="AL513" s="8"/>
      <c r="AM513" s="8"/>
      <c r="AN513" s="8"/>
      <c r="AO513" s="8"/>
      <c r="AP513" s="8"/>
      <c r="AQ513" s="8"/>
      <c r="AR513" s="8"/>
      <c r="AS513" s="8"/>
      <c r="AT513" s="8"/>
    </row>
    <row r="514">
      <c r="A514" s="415"/>
      <c r="B514" s="210"/>
      <c r="C514" s="415"/>
      <c r="D514" s="210"/>
      <c r="E514" s="415"/>
      <c r="F514" s="210"/>
      <c r="G514" s="415"/>
      <c r="H514" s="210"/>
      <c r="I514" s="423"/>
      <c r="J514" s="156"/>
      <c r="K514" s="423"/>
      <c r="L514" s="156"/>
      <c r="M514" s="415"/>
      <c r="N514" s="210"/>
      <c r="O514" s="415"/>
      <c r="P514" s="210"/>
      <c r="Q514" s="452"/>
      <c r="R514" s="452"/>
      <c r="S514" s="415"/>
      <c r="T514" s="210"/>
      <c r="U514" s="415"/>
      <c r="V514" s="210"/>
      <c r="W514" s="415"/>
      <c r="X514" s="210"/>
      <c r="Y514" s="8"/>
      <c r="Z514" s="8"/>
      <c r="AA514" s="8"/>
      <c r="AB514" s="8"/>
      <c r="AC514" s="8"/>
      <c r="AD514" s="8"/>
      <c r="AE514" s="8"/>
      <c r="AF514" s="8"/>
      <c r="AG514" s="8"/>
      <c r="AH514" s="8"/>
      <c r="AI514" s="8"/>
      <c r="AJ514" s="8"/>
      <c r="AK514" s="8"/>
      <c r="AL514" s="8"/>
      <c r="AM514" s="8"/>
      <c r="AN514" s="8"/>
      <c r="AO514" s="8"/>
      <c r="AP514" s="8"/>
      <c r="AQ514" s="8"/>
      <c r="AR514" s="8"/>
      <c r="AS514" s="8"/>
      <c r="AT514" s="8"/>
    </row>
    <row r="515">
      <c r="A515" s="415"/>
      <c r="B515" s="210"/>
      <c r="C515" s="415"/>
      <c r="D515" s="210"/>
      <c r="E515" s="415"/>
      <c r="F515" s="210"/>
      <c r="G515" s="415"/>
      <c r="H515" s="210"/>
      <c r="I515" s="423"/>
      <c r="J515" s="156"/>
      <c r="K515" s="423"/>
      <c r="L515" s="156"/>
      <c r="M515" s="415"/>
      <c r="N515" s="210"/>
      <c r="O515" s="415"/>
      <c r="P515" s="210"/>
      <c r="Q515" s="452"/>
      <c r="R515" s="452"/>
      <c r="S515" s="415"/>
      <c r="T515" s="210"/>
      <c r="U515" s="415"/>
      <c r="V515" s="210"/>
      <c r="W515" s="415"/>
      <c r="X515" s="210"/>
      <c r="Y515" s="8"/>
      <c r="Z515" s="8"/>
      <c r="AA515" s="8"/>
      <c r="AB515" s="8"/>
      <c r="AC515" s="8"/>
      <c r="AD515" s="8"/>
      <c r="AE515" s="8"/>
      <c r="AF515" s="8"/>
      <c r="AG515" s="8"/>
      <c r="AH515" s="8"/>
      <c r="AI515" s="8"/>
      <c r="AJ515" s="8"/>
      <c r="AK515" s="8"/>
      <c r="AL515" s="8"/>
      <c r="AM515" s="8"/>
      <c r="AN515" s="8"/>
      <c r="AO515" s="8"/>
      <c r="AP515" s="8"/>
      <c r="AQ515" s="8"/>
      <c r="AR515" s="8"/>
      <c r="AS515" s="8"/>
      <c r="AT515" s="8"/>
    </row>
    <row r="516">
      <c r="A516" s="415"/>
      <c r="B516" s="210"/>
      <c r="C516" s="415"/>
      <c r="D516" s="210"/>
      <c r="E516" s="415"/>
      <c r="F516" s="210"/>
      <c r="G516" s="415"/>
      <c r="H516" s="210"/>
      <c r="I516" s="423"/>
      <c r="J516" s="156"/>
      <c r="K516" s="423"/>
      <c r="L516" s="156"/>
      <c r="M516" s="415"/>
      <c r="N516" s="210"/>
      <c r="O516" s="415"/>
      <c r="P516" s="210"/>
      <c r="Q516" s="452"/>
      <c r="R516" s="452"/>
      <c r="S516" s="415"/>
      <c r="T516" s="210"/>
      <c r="U516" s="415"/>
      <c r="V516" s="210"/>
      <c r="W516" s="415"/>
      <c r="X516" s="210"/>
      <c r="Y516" s="8"/>
      <c r="Z516" s="8"/>
      <c r="AA516" s="8"/>
      <c r="AB516" s="8"/>
      <c r="AC516" s="8"/>
      <c r="AD516" s="8"/>
      <c r="AE516" s="8"/>
      <c r="AF516" s="8"/>
      <c r="AG516" s="8"/>
      <c r="AH516" s="8"/>
      <c r="AI516" s="8"/>
      <c r="AJ516" s="8"/>
      <c r="AK516" s="8"/>
      <c r="AL516" s="8"/>
      <c r="AM516" s="8"/>
      <c r="AN516" s="8"/>
      <c r="AO516" s="8"/>
      <c r="AP516" s="8"/>
      <c r="AQ516" s="8"/>
      <c r="AR516" s="8"/>
      <c r="AS516" s="8"/>
      <c r="AT516" s="8"/>
    </row>
    <row r="517">
      <c r="A517" s="415"/>
      <c r="B517" s="210"/>
      <c r="C517" s="415"/>
      <c r="D517" s="210"/>
      <c r="E517" s="415"/>
      <c r="F517" s="210"/>
      <c r="G517" s="415"/>
      <c r="H517" s="210"/>
      <c r="I517" s="423"/>
      <c r="J517" s="156"/>
      <c r="K517" s="423"/>
      <c r="L517" s="156"/>
      <c r="M517" s="415"/>
      <c r="N517" s="210"/>
      <c r="O517" s="415"/>
      <c r="P517" s="210"/>
      <c r="Q517" s="452"/>
      <c r="R517" s="452"/>
      <c r="S517" s="415"/>
      <c r="T517" s="210"/>
      <c r="U517" s="415"/>
      <c r="V517" s="210"/>
      <c r="W517" s="415"/>
      <c r="X517" s="210"/>
      <c r="Y517" s="8"/>
      <c r="Z517" s="8"/>
      <c r="AA517" s="8"/>
      <c r="AB517" s="8"/>
      <c r="AC517" s="8"/>
      <c r="AD517" s="8"/>
      <c r="AE517" s="8"/>
      <c r="AF517" s="8"/>
      <c r="AG517" s="8"/>
      <c r="AH517" s="8"/>
      <c r="AI517" s="8"/>
      <c r="AJ517" s="8"/>
      <c r="AK517" s="8"/>
      <c r="AL517" s="8"/>
      <c r="AM517" s="8"/>
      <c r="AN517" s="8"/>
      <c r="AO517" s="8"/>
      <c r="AP517" s="8"/>
      <c r="AQ517" s="8"/>
      <c r="AR517" s="8"/>
      <c r="AS517" s="8"/>
      <c r="AT517" s="8"/>
    </row>
    <row r="518">
      <c r="A518" s="415"/>
      <c r="B518" s="210"/>
      <c r="C518" s="415"/>
      <c r="D518" s="210"/>
      <c r="E518" s="415"/>
      <c r="F518" s="210"/>
      <c r="G518" s="415"/>
      <c r="H518" s="210"/>
      <c r="I518" s="423"/>
      <c r="J518" s="156"/>
      <c r="K518" s="423"/>
      <c r="L518" s="156"/>
      <c r="M518" s="415"/>
      <c r="N518" s="210"/>
      <c r="O518" s="415"/>
      <c r="P518" s="210"/>
      <c r="Q518" s="452"/>
      <c r="R518" s="452"/>
      <c r="S518" s="415"/>
      <c r="T518" s="210"/>
      <c r="U518" s="415"/>
      <c r="V518" s="210"/>
      <c r="W518" s="415"/>
      <c r="X518" s="210"/>
      <c r="Y518" s="8"/>
      <c r="Z518" s="8"/>
      <c r="AA518" s="8"/>
      <c r="AB518" s="8"/>
      <c r="AC518" s="8"/>
      <c r="AD518" s="8"/>
      <c r="AE518" s="8"/>
      <c r="AF518" s="8"/>
      <c r="AG518" s="8"/>
      <c r="AH518" s="8"/>
      <c r="AI518" s="8"/>
      <c r="AJ518" s="8"/>
      <c r="AK518" s="8"/>
      <c r="AL518" s="8"/>
      <c r="AM518" s="8"/>
      <c r="AN518" s="8"/>
      <c r="AO518" s="8"/>
      <c r="AP518" s="8"/>
      <c r="AQ518" s="8"/>
      <c r="AR518" s="8"/>
      <c r="AS518" s="8"/>
      <c r="AT518" s="8"/>
    </row>
    <row r="519">
      <c r="A519" s="415"/>
      <c r="B519" s="210"/>
      <c r="C519" s="415"/>
      <c r="D519" s="210"/>
      <c r="E519" s="415"/>
      <c r="F519" s="210"/>
      <c r="G519" s="415"/>
      <c r="H519" s="210"/>
      <c r="I519" s="423"/>
      <c r="J519" s="156"/>
      <c r="K519" s="423"/>
      <c r="L519" s="156"/>
      <c r="M519" s="415"/>
      <c r="N519" s="210"/>
      <c r="O519" s="415"/>
      <c r="P519" s="210"/>
      <c r="Q519" s="452"/>
      <c r="R519" s="452"/>
      <c r="S519" s="415"/>
      <c r="T519" s="210"/>
      <c r="U519" s="415"/>
      <c r="V519" s="210"/>
      <c r="W519" s="415"/>
      <c r="X519" s="210"/>
      <c r="Y519" s="8"/>
      <c r="Z519" s="8"/>
      <c r="AA519" s="8"/>
      <c r="AB519" s="8"/>
      <c r="AC519" s="8"/>
      <c r="AD519" s="8"/>
      <c r="AE519" s="8"/>
      <c r="AF519" s="8"/>
      <c r="AG519" s="8"/>
      <c r="AH519" s="8"/>
      <c r="AI519" s="8"/>
      <c r="AJ519" s="8"/>
      <c r="AK519" s="8"/>
      <c r="AL519" s="8"/>
      <c r="AM519" s="8"/>
      <c r="AN519" s="8"/>
      <c r="AO519" s="8"/>
      <c r="AP519" s="8"/>
      <c r="AQ519" s="8"/>
      <c r="AR519" s="8"/>
      <c r="AS519" s="8"/>
      <c r="AT519" s="8"/>
    </row>
    <row r="520">
      <c r="A520" s="415"/>
      <c r="B520" s="210"/>
      <c r="C520" s="415"/>
      <c r="D520" s="210"/>
      <c r="E520" s="415"/>
      <c r="F520" s="210"/>
      <c r="G520" s="415"/>
      <c r="H520" s="210"/>
      <c r="I520" s="423"/>
      <c r="J520" s="156"/>
      <c r="K520" s="423"/>
      <c r="L520" s="156"/>
      <c r="M520" s="415"/>
      <c r="N520" s="210"/>
      <c r="O520" s="415"/>
      <c r="P520" s="210"/>
      <c r="Q520" s="452"/>
      <c r="R520" s="452"/>
      <c r="S520" s="415"/>
      <c r="T520" s="210"/>
      <c r="U520" s="415"/>
      <c r="V520" s="210"/>
      <c r="W520" s="415"/>
      <c r="X520" s="210"/>
      <c r="Y520" s="8"/>
      <c r="Z520" s="8"/>
      <c r="AA520" s="8"/>
      <c r="AB520" s="8"/>
      <c r="AC520" s="8"/>
      <c r="AD520" s="8"/>
      <c r="AE520" s="8"/>
      <c r="AF520" s="8"/>
      <c r="AG520" s="8"/>
      <c r="AH520" s="8"/>
      <c r="AI520" s="8"/>
      <c r="AJ520" s="8"/>
      <c r="AK520" s="8"/>
      <c r="AL520" s="8"/>
      <c r="AM520" s="8"/>
      <c r="AN520" s="8"/>
      <c r="AO520" s="8"/>
      <c r="AP520" s="8"/>
      <c r="AQ520" s="8"/>
      <c r="AR520" s="8"/>
      <c r="AS520" s="8"/>
      <c r="AT520" s="8"/>
    </row>
    <row r="521">
      <c r="A521" s="415"/>
      <c r="B521" s="210"/>
      <c r="C521" s="415"/>
      <c r="D521" s="210"/>
      <c r="E521" s="415"/>
      <c r="F521" s="210"/>
      <c r="G521" s="415"/>
      <c r="H521" s="210"/>
      <c r="I521" s="423"/>
      <c r="J521" s="156"/>
      <c r="K521" s="423"/>
      <c r="L521" s="156"/>
      <c r="M521" s="415"/>
      <c r="N521" s="210"/>
      <c r="O521" s="415"/>
      <c r="P521" s="210"/>
      <c r="Q521" s="452"/>
      <c r="R521" s="452"/>
      <c r="S521" s="415"/>
      <c r="T521" s="210"/>
      <c r="U521" s="415"/>
      <c r="V521" s="210"/>
      <c r="W521" s="415"/>
      <c r="X521" s="210"/>
      <c r="Y521" s="8"/>
      <c r="Z521" s="8"/>
      <c r="AA521" s="8"/>
      <c r="AB521" s="8"/>
      <c r="AC521" s="8"/>
      <c r="AD521" s="8"/>
      <c r="AE521" s="8"/>
      <c r="AF521" s="8"/>
      <c r="AG521" s="8"/>
      <c r="AH521" s="8"/>
      <c r="AI521" s="8"/>
      <c r="AJ521" s="8"/>
      <c r="AK521" s="8"/>
      <c r="AL521" s="8"/>
      <c r="AM521" s="8"/>
      <c r="AN521" s="8"/>
      <c r="AO521" s="8"/>
      <c r="AP521" s="8"/>
      <c r="AQ521" s="8"/>
      <c r="AR521" s="8"/>
      <c r="AS521" s="8"/>
      <c r="AT521" s="8"/>
    </row>
    <row r="522">
      <c r="A522" s="415"/>
      <c r="B522" s="210"/>
      <c r="C522" s="415"/>
      <c r="D522" s="210"/>
      <c r="E522" s="415"/>
      <c r="F522" s="210"/>
      <c r="G522" s="415"/>
      <c r="H522" s="210"/>
      <c r="I522" s="423"/>
      <c r="J522" s="156"/>
      <c r="K522" s="423"/>
      <c r="L522" s="156"/>
      <c r="M522" s="415"/>
      <c r="N522" s="210"/>
      <c r="O522" s="415"/>
      <c r="P522" s="210"/>
      <c r="Q522" s="452"/>
      <c r="R522" s="452"/>
      <c r="S522" s="415"/>
      <c r="T522" s="210"/>
      <c r="U522" s="415"/>
      <c r="V522" s="210"/>
      <c r="W522" s="415"/>
      <c r="X522" s="210"/>
      <c r="Y522" s="8"/>
      <c r="Z522" s="8"/>
      <c r="AA522" s="8"/>
      <c r="AB522" s="8"/>
      <c r="AC522" s="8"/>
      <c r="AD522" s="8"/>
      <c r="AE522" s="8"/>
      <c r="AF522" s="8"/>
      <c r="AG522" s="8"/>
      <c r="AH522" s="8"/>
      <c r="AI522" s="8"/>
      <c r="AJ522" s="8"/>
      <c r="AK522" s="8"/>
      <c r="AL522" s="8"/>
      <c r="AM522" s="8"/>
      <c r="AN522" s="8"/>
      <c r="AO522" s="8"/>
      <c r="AP522" s="8"/>
      <c r="AQ522" s="8"/>
      <c r="AR522" s="8"/>
      <c r="AS522" s="8"/>
      <c r="AT522" s="8"/>
    </row>
    <row r="523">
      <c r="A523" s="415"/>
      <c r="B523" s="210"/>
      <c r="C523" s="415"/>
      <c r="D523" s="210"/>
      <c r="E523" s="415"/>
      <c r="F523" s="210"/>
      <c r="G523" s="415"/>
      <c r="H523" s="210"/>
      <c r="I523" s="423"/>
      <c r="J523" s="156"/>
      <c r="K523" s="423"/>
      <c r="L523" s="156"/>
      <c r="M523" s="415"/>
      <c r="N523" s="210"/>
      <c r="O523" s="415"/>
      <c r="P523" s="210"/>
      <c r="Q523" s="452"/>
      <c r="R523" s="452"/>
      <c r="S523" s="415"/>
      <c r="T523" s="210"/>
      <c r="U523" s="415"/>
      <c r="V523" s="210"/>
      <c r="W523" s="415"/>
      <c r="X523" s="210"/>
      <c r="Y523" s="8"/>
      <c r="Z523" s="8"/>
      <c r="AA523" s="8"/>
      <c r="AB523" s="8"/>
      <c r="AC523" s="8"/>
      <c r="AD523" s="8"/>
      <c r="AE523" s="8"/>
      <c r="AF523" s="8"/>
      <c r="AG523" s="8"/>
      <c r="AH523" s="8"/>
      <c r="AI523" s="8"/>
      <c r="AJ523" s="8"/>
      <c r="AK523" s="8"/>
      <c r="AL523" s="8"/>
      <c r="AM523" s="8"/>
      <c r="AN523" s="8"/>
      <c r="AO523" s="8"/>
      <c r="AP523" s="8"/>
      <c r="AQ523" s="8"/>
      <c r="AR523" s="8"/>
      <c r="AS523" s="8"/>
      <c r="AT523" s="8"/>
    </row>
    <row r="524">
      <c r="A524" s="415"/>
      <c r="B524" s="210"/>
      <c r="C524" s="415"/>
      <c r="D524" s="210"/>
      <c r="E524" s="415"/>
      <c r="F524" s="210"/>
      <c r="G524" s="415"/>
      <c r="H524" s="210"/>
      <c r="I524" s="423"/>
      <c r="J524" s="156"/>
      <c r="K524" s="423"/>
      <c r="L524" s="156"/>
      <c r="M524" s="415"/>
      <c r="N524" s="210"/>
      <c r="O524" s="415"/>
      <c r="P524" s="210"/>
      <c r="Q524" s="452"/>
      <c r="R524" s="452"/>
      <c r="S524" s="415"/>
      <c r="T524" s="210"/>
      <c r="U524" s="415"/>
      <c r="V524" s="210"/>
      <c r="W524" s="415"/>
      <c r="X524" s="210"/>
      <c r="Y524" s="8"/>
      <c r="Z524" s="8"/>
      <c r="AA524" s="8"/>
      <c r="AB524" s="8"/>
      <c r="AC524" s="8"/>
      <c r="AD524" s="8"/>
      <c r="AE524" s="8"/>
      <c r="AF524" s="8"/>
      <c r="AG524" s="8"/>
      <c r="AH524" s="8"/>
      <c r="AI524" s="8"/>
      <c r="AJ524" s="8"/>
      <c r="AK524" s="8"/>
      <c r="AL524" s="8"/>
      <c r="AM524" s="8"/>
      <c r="AN524" s="8"/>
      <c r="AO524" s="8"/>
      <c r="AP524" s="8"/>
      <c r="AQ524" s="8"/>
      <c r="AR524" s="8"/>
      <c r="AS524" s="8"/>
      <c r="AT524" s="8"/>
    </row>
    <row r="525">
      <c r="A525" s="415"/>
      <c r="B525" s="210"/>
      <c r="C525" s="415"/>
      <c r="D525" s="210"/>
      <c r="E525" s="415"/>
      <c r="F525" s="210"/>
      <c r="G525" s="415"/>
      <c r="H525" s="210"/>
      <c r="I525" s="423"/>
      <c r="J525" s="156"/>
      <c r="K525" s="423"/>
      <c r="L525" s="156"/>
      <c r="M525" s="415"/>
      <c r="N525" s="210"/>
      <c r="O525" s="415"/>
      <c r="P525" s="210"/>
      <c r="Q525" s="452"/>
      <c r="R525" s="452"/>
      <c r="S525" s="415"/>
      <c r="T525" s="210"/>
      <c r="U525" s="415"/>
      <c r="V525" s="210"/>
      <c r="W525" s="415"/>
      <c r="X525" s="210"/>
      <c r="Y525" s="8"/>
      <c r="Z525" s="8"/>
      <c r="AA525" s="8"/>
      <c r="AB525" s="8"/>
      <c r="AC525" s="8"/>
      <c r="AD525" s="8"/>
      <c r="AE525" s="8"/>
      <c r="AF525" s="8"/>
      <c r="AG525" s="8"/>
      <c r="AH525" s="8"/>
      <c r="AI525" s="8"/>
      <c r="AJ525" s="8"/>
      <c r="AK525" s="8"/>
      <c r="AL525" s="8"/>
      <c r="AM525" s="8"/>
      <c r="AN525" s="8"/>
      <c r="AO525" s="8"/>
      <c r="AP525" s="8"/>
      <c r="AQ525" s="8"/>
      <c r="AR525" s="8"/>
      <c r="AS525" s="8"/>
      <c r="AT525" s="8"/>
    </row>
    <row r="526">
      <c r="A526" s="415"/>
      <c r="B526" s="210"/>
      <c r="C526" s="415"/>
      <c r="D526" s="210"/>
      <c r="E526" s="415"/>
      <c r="F526" s="210"/>
      <c r="G526" s="415"/>
      <c r="H526" s="210"/>
      <c r="I526" s="423"/>
      <c r="J526" s="156"/>
      <c r="K526" s="423"/>
      <c r="L526" s="156"/>
      <c r="M526" s="415"/>
      <c r="N526" s="210"/>
      <c r="O526" s="415"/>
      <c r="P526" s="210"/>
      <c r="Q526" s="452"/>
      <c r="R526" s="452"/>
      <c r="S526" s="415"/>
      <c r="T526" s="210"/>
      <c r="U526" s="415"/>
      <c r="V526" s="210"/>
      <c r="W526" s="415"/>
      <c r="X526" s="210"/>
      <c r="Y526" s="8"/>
      <c r="Z526" s="8"/>
      <c r="AA526" s="8"/>
      <c r="AB526" s="8"/>
      <c r="AC526" s="8"/>
      <c r="AD526" s="8"/>
      <c r="AE526" s="8"/>
      <c r="AF526" s="8"/>
      <c r="AG526" s="8"/>
      <c r="AH526" s="8"/>
      <c r="AI526" s="8"/>
      <c r="AJ526" s="8"/>
      <c r="AK526" s="8"/>
      <c r="AL526" s="8"/>
      <c r="AM526" s="8"/>
      <c r="AN526" s="8"/>
      <c r="AO526" s="8"/>
      <c r="AP526" s="8"/>
      <c r="AQ526" s="8"/>
      <c r="AR526" s="8"/>
      <c r="AS526" s="8"/>
      <c r="AT526" s="8"/>
    </row>
    <row r="527">
      <c r="A527" s="415"/>
      <c r="B527" s="210"/>
      <c r="C527" s="415"/>
      <c r="D527" s="210"/>
      <c r="E527" s="415"/>
      <c r="F527" s="210"/>
      <c r="G527" s="415"/>
      <c r="H527" s="210"/>
      <c r="I527" s="423"/>
      <c r="J527" s="156"/>
      <c r="K527" s="423"/>
      <c r="L527" s="156"/>
      <c r="M527" s="415"/>
      <c r="N527" s="210"/>
      <c r="O527" s="415"/>
      <c r="P527" s="210"/>
      <c r="Q527" s="452"/>
      <c r="R527" s="452"/>
      <c r="S527" s="415"/>
      <c r="T527" s="210"/>
      <c r="U527" s="415"/>
      <c r="V527" s="210"/>
      <c r="W527" s="415"/>
      <c r="X527" s="210"/>
      <c r="Y527" s="8"/>
      <c r="Z527" s="8"/>
      <c r="AA527" s="8"/>
      <c r="AB527" s="8"/>
      <c r="AC527" s="8"/>
      <c r="AD527" s="8"/>
      <c r="AE527" s="8"/>
      <c r="AF527" s="8"/>
      <c r="AG527" s="8"/>
      <c r="AH527" s="8"/>
      <c r="AI527" s="8"/>
      <c r="AJ527" s="8"/>
      <c r="AK527" s="8"/>
      <c r="AL527" s="8"/>
      <c r="AM527" s="8"/>
      <c r="AN527" s="8"/>
      <c r="AO527" s="8"/>
      <c r="AP527" s="8"/>
      <c r="AQ527" s="8"/>
      <c r="AR527" s="8"/>
      <c r="AS527" s="8"/>
      <c r="AT527" s="8"/>
    </row>
    <row r="528">
      <c r="A528" s="415"/>
      <c r="B528" s="210"/>
      <c r="C528" s="415"/>
      <c r="D528" s="210"/>
      <c r="E528" s="415"/>
      <c r="F528" s="210"/>
      <c r="G528" s="415"/>
      <c r="H528" s="210"/>
      <c r="I528" s="423"/>
      <c r="J528" s="156"/>
      <c r="K528" s="423"/>
      <c r="L528" s="156"/>
      <c r="M528" s="415"/>
      <c r="N528" s="210"/>
      <c r="O528" s="415"/>
      <c r="P528" s="210"/>
      <c r="Q528" s="452"/>
      <c r="R528" s="452"/>
      <c r="S528" s="415"/>
      <c r="T528" s="210"/>
      <c r="U528" s="415"/>
      <c r="V528" s="210"/>
      <c r="W528" s="415"/>
      <c r="X528" s="210"/>
      <c r="Y528" s="8"/>
      <c r="Z528" s="8"/>
      <c r="AA528" s="8"/>
      <c r="AB528" s="8"/>
      <c r="AC528" s="8"/>
      <c r="AD528" s="8"/>
      <c r="AE528" s="8"/>
      <c r="AF528" s="8"/>
      <c r="AG528" s="8"/>
      <c r="AH528" s="8"/>
      <c r="AI528" s="8"/>
      <c r="AJ528" s="8"/>
      <c r="AK528" s="8"/>
      <c r="AL528" s="8"/>
      <c r="AM528" s="8"/>
      <c r="AN528" s="8"/>
      <c r="AO528" s="8"/>
      <c r="AP528" s="8"/>
      <c r="AQ528" s="8"/>
      <c r="AR528" s="8"/>
      <c r="AS528" s="8"/>
      <c r="AT528" s="8"/>
    </row>
    <row r="529">
      <c r="A529" s="415"/>
      <c r="B529" s="210"/>
      <c r="C529" s="415"/>
      <c r="D529" s="210"/>
      <c r="E529" s="415"/>
      <c r="F529" s="210"/>
      <c r="G529" s="415"/>
      <c r="H529" s="210"/>
      <c r="I529" s="423"/>
      <c r="J529" s="156"/>
      <c r="K529" s="423"/>
      <c r="L529" s="156"/>
      <c r="M529" s="415"/>
      <c r="N529" s="210"/>
      <c r="O529" s="415"/>
      <c r="P529" s="210"/>
      <c r="Q529" s="452"/>
      <c r="R529" s="452"/>
      <c r="S529" s="415"/>
      <c r="T529" s="210"/>
      <c r="U529" s="415"/>
      <c r="V529" s="210"/>
      <c r="W529" s="415"/>
      <c r="X529" s="210"/>
      <c r="Y529" s="8"/>
      <c r="Z529" s="8"/>
      <c r="AA529" s="8"/>
      <c r="AB529" s="8"/>
      <c r="AC529" s="8"/>
      <c r="AD529" s="8"/>
      <c r="AE529" s="8"/>
      <c r="AF529" s="8"/>
      <c r="AG529" s="8"/>
      <c r="AH529" s="8"/>
      <c r="AI529" s="8"/>
      <c r="AJ529" s="8"/>
      <c r="AK529" s="8"/>
      <c r="AL529" s="8"/>
      <c r="AM529" s="8"/>
      <c r="AN529" s="8"/>
      <c r="AO529" s="8"/>
      <c r="AP529" s="8"/>
      <c r="AQ529" s="8"/>
      <c r="AR529" s="8"/>
      <c r="AS529" s="8"/>
      <c r="AT529" s="8"/>
    </row>
    <row r="530">
      <c r="A530" s="415"/>
      <c r="B530" s="210"/>
      <c r="C530" s="415"/>
      <c r="D530" s="210"/>
      <c r="E530" s="415"/>
      <c r="F530" s="210"/>
      <c r="G530" s="415"/>
      <c r="H530" s="210"/>
      <c r="I530" s="423"/>
      <c r="J530" s="156"/>
      <c r="K530" s="423"/>
      <c r="L530" s="156"/>
      <c r="M530" s="415"/>
      <c r="N530" s="210"/>
      <c r="O530" s="415"/>
      <c r="P530" s="210"/>
      <c r="Q530" s="452"/>
      <c r="R530" s="452"/>
      <c r="S530" s="415"/>
      <c r="T530" s="210"/>
      <c r="U530" s="415"/>
      <c r="V530" s="210"/>
      <c r="W530" s="415"/>
      <c r="X530" s="210"/>
      <c r="Y530" s="8"/>
      <c r="Z530" s="8"/>
      <c r="AA530" s="8"/>
      <c r="AB530" s="8"/>
      <c r="AC530" s="8"/>
      <c r="AD530" s="8"/>
      <c r="AE530" s="8"/>
      <c r="AF530" s="8"/>
      <c r="AG530" s="8"/>
      <c r="AH530" s="8"/>
      <c r="AI530" s="8"/>
      <c r="AJ530" s="8"/>
      <c r="AK530" s="8"/>
      <c r="AL530" s="8"/>
      <c r="AM530" s="8"/>
      <c r="AN530" s="8"/>
      <c r="AO530" s="8"/>
      <c r="AP530" s="8"/>
      <c r="AQ530" s="8"/>
      <c r="AR530" s="8"/>
      <c r="AS530" s="8"/>
      <c r="AT530" s="8"/>
    </row>
    <row r="531">
      <c r="A531" s="415"/>
      <c r="B531" s="210"/>
      <c r="C531" s="415"/>
      <c r="D531" s="210"/>
      <c r="E531" s="415"/>
      <c r="F531" s="210"/>
      <c r="G531" s="415"/>
      <c r="H531" s="210"/>
      <c r="I531" s="423"/>
      <c r="J531" s="156"/>
      <c r="K531" s="423"/>
      <c r="L531" s="156"/>
      <c r="M531" s="415"/>
      <c r="N531" s="210"/>
      <c r="O531" s="415"/>
      <c r="P531" s="210"/>
      <c r="Q531" s="452"/>
      <c r="R531" s="452"/>
      <c r="S531" s="415"/>
      <c r="T531" s="210"/>
      <c r="U531" s="415"/>
      <c r="V531" s="210"/>
      <c r="W531" s="415"/>
      <c r="X531" s="210"/>
      <c r="Y531" s="8"/>
      <c r="Z531" s="8"/>
      <c r="AA531" s="8"/>
      <c r="AB531" s="8"/>
      <c r="AC531" s="8"/>
      <c r="AD531" s="8"/>
      <c r="AE531" s="8"/>
      <c r="AF531" s="8"/>
      <c r="AG531" s="8"/>
      <c r="AH531" s="8"/>
      <c r="AI531" s="8"/>
      <c r="AJ531" s="8"/>
      <c r="AK531" s="8"/>
      <c r="AL531" s="8"/>
      <c r="AM531" s="8"/>
      <c r="AN531" s="8"/>
      <c r="AO531" s="8"/>
      <c r="AP531" s="8"/>
      <c r="AQ531" s="8"/>
      <c r="AR531" s="8"/>
      <c r="AS531" s="8"/>
      <c r="AT531" s="8"/>
    </row>
    <row r="532">
      <c r="A532" s="415"/>
      <c r="B532" s="210"/>
      <c r="C532" s="415"/>
      <c r="D532" s="210"/>
      <c r="E532" s="415"/>
      <c r="F532" s="210"/>
      <c r="G532" s="415"/>
      <c r="H532" s="210"/>
      <c r="I532" s="423"/>
      <c r="J532" s="156"/>
      <c r="K532" s="423"/>
      <c r="L532" s="156"/>
      <c r="M532" s="415"/>
      <c r="N532" s="210"/>
      <c r="O532" s="415"/>
      <c r="P532" s="210"/>
      <c r="Q532" s="452"/>
      <c r="R532" s="452"/>
      <c r="S532" s="415"/>
      <c r="T532" s="210"/>
      <c r="U532" s="415"/>
      <c r="V532" s="210"/>
      <c r="W532" s="415"/>
      <c r="X532" s="210"/>
      <c r="Y532" s="8"/>
      <c r="Z532" s="8"/>
      <c r="AA532" s="8"/>
      <c r="AB532" s="8"/>
      <c r="AC532" s="8"/>
      <c r="AD532" s="8"/>
      <c r="AE532" s="8"/>
      <c r="AF532" s="8"/>
      <c r="AG532" s="8"/>
      <c r="AH532" s="8"/>
      <c r="AI532" s="8"/>
      <c r="AJ532" s="8"/>
      <c r="AK532" s="8"/>
      <c r="AL532" s="8"/>
      <c r="AM532" s="8"/>
      <c r="AN532" s="8"/>
      <c r="AO532" s="8"/>
      <c r="AP532" s="8"/>
      <c r="AQ532" s="8"/>
      <c r="AR532" s="8"/>
      <c r="AS532" s="8"/>
      <c r="AT532" s="8"/>
    </row>
    <row r="533">
      <c r="A533" s="415"/>
      <c r="B533" s="210"/>
      <c r="C533" s="415"/>
      <c r="D533" s="210"/>
      <c r="E533" s="415"/>
      <c r="F533" s="210"/>
      <c r="G533" s="415"/>
      <c r="H533" s="210"/>
      <c r="I533" s="423"/>
      <c r="J533" s="156"/>
      <c r="K533" s="423"/>
      <c r="L533" s="156"/>
      <c r="M533" s="415"/>
      <c r="N533" s="210"/>
      <c r="O533" s="415"/>
      <c r="P533" s="210"/>
      <c r="Q533" s="452"/>
      <c r="R533" s="452"/>
      <c r="S533" s="415"/>
      <c r="T533" s="210"/>
      <c r="U533" s="415"/>
      <c r="V533" s="210"/>
      <c r="W533" s="415"/>
      <c r="X533" s="210"/>
      <c r="Y533" s="8"/>
      <c r="Z533" s="8"/>
      <c r="AA533" s="8"/>
      <c r="AB533" s="8"/>
      <c r="AC533" s="8"/>
      <c r="AD533" s="8"/>
      <c r="AE533" s="8"/>
      <c r="AF533" s="8"/>
      <c r="AG533" s="8"/>
      <c r="AH533" s="8"/>
      <c r="AI533" s="8"/>
      <c r="AJ533" s="8"/>
      <c r="AK533" s="8"/>
      <c r="AL533" s="8"/>
      <c r="AM533" s="8"/>
      <c r="AN533" s="8"/>
      <c r="AO533" s="8"/>
      <c r="AP533" s="8"/>
      <c r="AQ533" s="8"/>
      <c r="AR533" s="8"/>
      <c r="AS533" s="8"/>
      <c r="AT533" s="8"/>
    </row>
    <row r="534">
      <c r="A534" s="415"/>
      <c r="B534" s="210"/>
      <c r="C534" s="415"/>
      <c r="D534" s="210"/>
      <c r="E534" s="415"/>
      <c r="F534" s="210"/>
      <c r="G534" s="415"/>
      <c r="H534" s="210"/>
      <c r="I534" s="423"/>
      <c r="J534" s="156"/>
      <c r="K534" s="423"/>
      <c r="L534" s="156"/>
      <c r="M534" s="415"/>
      <c r="N534" s="210"/>
      <c r="O534" s="415"/>
      <c r="P534" s="210"/>
      <c r="Q534" s="452"/>
      <c r="R534" s="452"/>
      <c r="S534" s="415"/>
      <c r="T534" s="210"/>
      <c r="U534" s="415"/>
      <c r="V534" s="210"/>
      <c r="W534" s="415"/>
      <c r="X534" s="210"/>
      <c r="Y534" s="8"/>
      <c r="Z534" s="8"/>
      <c r="AA534" s="8"/>
      <c r="AB534" s="8"/>
      <c r="AC534" s="8"/>
      <c r="AD534" s="8"/>
      <c r="AE534" s="8"/>
      <c r="AF534" s="8"/>
      <c r="AG534" s="8"/>
      <c r="AH534" s="8"/>
      <c r="AI534" s="8"/>
      <c r="AJ534" s="8"/>
      <c r="AK534" s="8"/>
      <c r="AL534" s="8"/>
      <c r="AM534" s="8"/>
      <c r="AN534" s="8"/>
      <c r="AO534" s="8"/>
      <c r="AP534" s="8"/>
      <c r="AQ534" s="8"/>
      <c r="AR534" s="8"/>
      <c r="AS534" s="8"/>
      <c r="AT534" s="8"/>
    </row>
    <row r="535">
      <c r="A535" s="415"/>
      <c r="B535" s="210"/>
      <c r="C535" s="415"/>
      <c r="D535" s="210"/>
      <c r="E535" s="415"/>
      <c r="F535" s="210"/>
      <c r="G535" s="415"/>
      <c r="H535" s="210"/>
      <c r="I535" s="423"/>
      <c r="J535" s="156"/>
      <c r="K535" s="423"/>
      <c r="L535" s="156"/>
      <c r="M535" s="415"/>
      <c r="N535" s="210"/>
      <c r="O535" s="415"/>
      <c r="P535" s="210"/>
      <c r="Q535" s="452"/>
      <c r="R535" s="452"/>
      <c r="S535" s="415"/>
      <c r="T535" s="210"/>
      <c r="U535" s="415"/>
      <c r="V535" s="210"/>
      <c r="W535" s="415"/>
      <c r="X535" s="210"/>
      <c r="Y535" s="8"/>
      <c r="Z535" s="8"/>
      <c r="AA535" s="8"/>
      <c r="AB535" s="8"/>
      <c r="AC535" s="8"/>
      <c r="AD535" s="8"/>
      <c r="AE535" s="8"/>
      <c r="AF535" s="8"/>
      <c r="AG535" s="8"/>
      <c r="AH535" s="8"/>
      <c r="AI535" s="8"/>
      <c r="AJ535" s="8"/>
      <c r="AK535" s="8"/>
      <c r="AL535" s="8"/>
      <c r="AM535" s="8"/>
      <c r="AN535" s="8"/>
      <c r="AO535" s="8"/>
      <c r="AP535" s="8"/>
      <c r="AQ535" s="8"/>
      <c r="AR535" s="8"/>
      <c r="AS535" s="8"/>
      <c r="AT535" s="8"/>
    </row>
    <row r="536">
      <c r="A536" s="415"/>
      <c r="B536" s="210"/>
      <c r="C536" s="415"/>
      <c r="D536" s="210"/>
      <c r="E536" s="415"/>
      <c r="F536" s="210"/>
      <c r="G536" s="415"/>
      <c r="H536" s="210"/>
      <c r="I536" s="423"/>
      <c r="J536" s="156"/>
      <c r="K536" s="423"/>
      <c r="L536" s="156"/>
      <c r="M536" s="415"/>
      <c r="N536" s="210"/>
      <c r="O536" s="415"/>
      <c r="P536" s="210"/>
      <c r="Q536" s="452"/>
      <c r="R536" s="452"/>
      <c r="S536" s="415"/>
      <c r="T536" s="210"/>
      <c r="U536" s="415"/>
      <c r="V536" s="210"/>
      <c r="W536" s="415"/>
      <c r="X536" s="210"/>
      <c r="Y536" s="8"/>
      <c r="Z536" s="8"/>
      <c r="AA536" s="8"/>
      <c r="AB536" s="8"/>
      <c r="AC536" s="8"/>
      <c r="AD536" s="8"/>
      <c r="AE536" s="8"/>
      <c r="AF536" s="8"/>
      <c r="AG536" s="8"/>
      <c r="AH536" s="8"/>
      <c r="AI536" s="8"/>
      <c r="AJ536" s="8"/>
      <c r="AK536" s="8"/>
      <c r="AL536" s="8"/>
      <c r="AM536" s="8"/>
      <c r="AN536" s="8"/>
      <c r="AO536" s="8"/>
      <c r="AP536" s="8"/>
      <c r="AQ536" s="8"/>
      <c r="AR536" s="8"/>
      <c r="AS536" s="8"/>
      <c r="AT536" s="8"/>
    </row>
    <row r="537">
      <c r="A537" s="415"/>
      <c r="B537" s="210"/>
      <c r="C537" s="415"/>
      <c r="D537" s="210"/>
      <c r="E537" s="415"/>
      <c r="F537" s="210"/>
      <c r="G537" s="415"/>
      <c r="H537" s="210"/>
      <c r="I537" s="423"/>
      <c r="J537" s="156"/>
      <c r="K537" s="423"/>
      <c r="L537" s="156"/>
      <c r="M537" s="415"/>
      <c r="N537" s="210"/>
      <c r="O537" s="415"/>
      <c r="P537" s="210"/>
      <c r="Q537" s="452"/>
      <c r="R537" s="452"/>
      <c r="S537" s="415"/>
      <c r="T537" s="210"/>
      <c r="U537" s="415"/>
      <c r="V537" s="210"/>
      <c r="W537" s="415"/>
      <c r="X537" s="210"/>
      <c r="Y537" s="8"/>
      <c r="Z537" s="8"/>
      <c r="AA537" s="8"/>
      <c r="AB537" s="8"/>
      <c r="AC537" s="8"/>
      <c r="AD537" s="8"/>
      <c r="AE537" s="8"/>
      <c r="AF537" s="8"/>
      <c r="AG537" s="8"/>
      <c r="AH537" s="8"/>
      <c r="AI537" s="8"/>
      <c r="AJ537" s="8"/>
      <c r="AK537" s="8"/>
      <c r="AL537" s="8"/>
      <c r="AM537" s="8"/>
      <c r="AN537" s="8"/>
      <c r="AO537" s="8"/>
      <c r="AP537" s="8"/>
      <c r="AQ537" s="8"/>
      <c r="AR537" s="8"/>
      <c r="AS537" s="8"/>
      <c r="AT537" s="8"/>
    </row>
    <row r="538">
      <c r="A538" s="415"/>
      <c r="B538" s="210"/>
      <c r="C538" s="415"/>
      <c r="D538" s="210"/>
      <c r="E538" s="415"/>
      <c r="F538" s="210"/>
      <c r="G538" s="415"/>
      <c r="H538" s="210"/>
      <c r="I538" s="423"/>
      <c r="J538" s="156"/>
      <c r="K538" s="423"/>
      <c r="L538" s="156"/>
      <c r="M538" s="415"/>
      <c r="N538" s="210"/>
      <c r="O538" s="415"/>
      <c r="P538" s="210"/>
      <c r="Q538" s="452"/>
      <c r="R538" s="452"/>
      <c r="S538" s="415"/>
      <c r="T538" s="210"/>
      <c r="U538" s="415"/>
      <c r="V538" s="210"/>
      <c r="W538" s="415"/>
      <c r="X538" s="210"/>
      <c r="Y538" s="8"/>
      <c r="Z538" s="8"/>
      <c r="AA538" s="8"/>
      <c r="AB538" s="8"/>
      <c r="AC538" s="8"/>
      <c r="AD538" s="8"/>
      <c r="AE538" s="8"/>
      <c r="AF538" s="8"/>
      <c r="AG538" s="8"/>
      <c r="AH538" s="8"/>
      <c r="AI538" s="8"/>
      <c r="AJ538" s="8"/>
      <c r="AK538" s="8"/>
      <c r="AL538" s="8"/>
      <c r="AM538" s="8"/>
      <c r="AN538" s="8"/>
      <c r="AO538" s="8"/>
      <c r="AP538" s="8"/>
      <c r="AQ538" s="8"/>
      <c r="AR538" s="8"/>
      <c r="AS538" s="8"/>
      <c r="AT538" s="8"/>
    </row>
    <row r="539">
      <c r="A539" s="415"/>
      <c r="B539" s="210"/>
      <c r="C539" s="415"/>
      <c r="D539" s="210"/>
      <c r="E539" s="415"/>
      <c r="F539" s="210"/>
      <c r="G539" s="415"/>
      <c r="H539" s="210"/>
      <c r="I539" s="423"/>
      <c r="J539" s="156"/>
      <c r="K539" s="423"/>
      <c r="L539" s="156"/>
      <c r="M539" s="415"/>
      <c r="N539" s="210"/>
      <c r="O539" s="415"/>
      <c r="P539" s="210"/>
      <c r="Q539" s="452"/>
      <c r="R539" s="452"/>
      <c r="S539" s="415"/>
      <c r="T539" s="210"/>
      <c r="U539" s="415"/>
      <c r="V539" s="210"/>
      <c r="W539" s="415"/>
      <c r="X539" s="210"/>
      <c r="Y539" s="8"/>
      <c r="Z539" s="8"/>
      <c r="AA539" s="8"/>
      <c r="AB539" s="8"/>
      <c r="AC539" s="8"/>
      <c r="AD539" s="8"/>
      <c r="AE539" s="8"/>
      <c r="AF539" s="8"/>
      <c r="AG539" s="8"/>
      <c r="AH539" s="8"/>
      <c r="AI539" s="8"/>
      <c r="AJ539" s="8"/>
      <c r="AK539" s="8"/>
      <c r="AL539" s="8"/>
      <c r="AM539" s="8"/>
      <c r="AN539" s="8"/>
      <c r="AO539" s="8"/>
      <c r="AP539" s="8"/>
      <c r="AQ539" s="8"/>
      <c r="AR539" s="8"/>
      <c r="AS539" s="8"/>
      <c r="AT539" s="8"/>
    </row>
    <row r="540">
      <c r="A540" s="415"/>
      <c r="B540" s="210"/>
      <c r="C540" s="415"/>
      <c r="D540" s="210"/>
      <c r="E540" s="415"/>
      <c r="F540" s="210"/>
      <c r="G540" s="415"/>
      <c r="H540" s="210"/>
      <c r="I540" s="423"/>
      <c r="J540" s="156"/>
      <c r="K540" s="423"/>
      <c r="L540" s="156"/>
      <c r="M540" s="415"/>
      <c r="N540" s="210"/>
      <c r="O540" s="415"/>
      <c r="P540" s="210"/>
      <c r="Q540" s="452"/>
      <c r="R540" s="452"/>
      <c r="S540" s="415"/>
      <c r="T540" s="210"/>
      <c r="U540" s="415"/>
      <c r="V540" s="210"/>
      <c r="W540" s="415"/>
      <c r="X540" s="210"/>
      <c r="Y540" s="8"/>
      <c r="Z540" s="8"/>
      <c r="AA540" s="8"/>
      <c r="AB540" s="8"/>
      <c r="AC540" s="8"/>
      <c r="AD540" s="8"/>
      <c r="AE540" s="8"/>
      <c r="AF540" s="8"/>
      <c r="AG540" s="8"/>
      <c r="AH540" s="8"/>
      <c r="AI540" s="8"/>
      <c r="AJ540" s="8"/>
      <c r="AK540" s="8"/>
      <c r="AL540" s="8"/>
      <c r="AM540" s="8"/>
      <c r="AN540" s="8"/>
      <c r="AO540" s="8"/>
      <c r="AP540" s="8"/>
      <c r="AQ540" s="8"/>
      <c r="AR540" s="8"/>
      <c r="AS540" s="8"/>
      <c r="AT540" s="8"/>
    </row>
    <row r="541">
      <c r="A541" s="415"/>
      <c r="B541" s="210"/>
      <c r="C541" s="415"/>
      <c r="D541" s="210"/>
      <c r="E541" s="415"/>
      <c r="F541" s="210"/>
      <c r="G541" s="415"/>
      <c r="H541" s="210"/>
      <c r="I541" s="423"/>
      <c r="J541" s="156"/>
      <c r="K541" s="423"/>
      <c r="L541" s="156"/>
      <c r="M541" s="415"/>
      <c r="N541" s="210"/>
      <c r="O541" s="415"/>
      <c r="P541" s="210"/>
      <c r="Q541" s="452"/>
      <c r="R541" s="452"/>
      <c r="S541" s="415"/>
      <c r="T541" s="210"/>
      <c r="U541" s="415"/>
      <c r="V541" s="210"/>
      <c r="W541" s="415"/>
      <c r="X541" s="210"/>
      <c r="Y541" s="8"/>
      <c r="Z541" s="8"/>
      <c r="AA541" s="8"/>
      <c r="AB541" s="8"/>
      <c r="AC541" s="8"/>
      <c r="AD541" s="8"/>
      <c r="AE541" s="8"/>
      <c r="AF541" s="8"/>
      <c r="AG541" s="8"/>
      <c r="AH541" s="8"/>
      <c r="AI541" s="8"/>
      <c r="AJ541" s="8"/>
      <c r="AK541" s="8"/>
      <c r="AL541" s="8"/>
      <c r="AM541" s="8"/>
      <c r="AN541" s="8"/>
      <c r="AO541" s="8"/>
      <c r="AP541" s="8"/>
      <c r="AQ541" s="8"/>
      <c r="AR541" s="8"/>
      <c r="AS541" s="8"/>
      <c r="AT541" s="8"/>
    </row>
    <row r="542">
      <c r="A542" s="415"/>
      <c r="B542" s="210"/>
      <c r="C542" s="415"/>
      <c r="D542" s="210"/>
      <c r="E542" s="415"/>
      <c r="F542" s="210"/>
      <c r="G542" s="415"/>
      <c r="H542" s="210"/>
      <c r="I542" s="423"/>
      <c r="J542" s="156"/>
      <c r="K542" s="423"/>
      <c r="L542" s="156"/>
      <c r="M542" s="415"/>
      <c r="N542" s="210"/>
      <c r="O542" s="415"/>
      <c r="P542" s="210"/>
      <c r="Q542" s="452"/>
      <c r="R542" s="452"/>
      <c r="S542" s="415"/>
      <c r="T542" s="210"/>
      <c r="U542" s="415"/>
      <c r="V542" s="210"/>
      <c r="W542" s="415"/>
      <c r="X542" s="210"/>
      <c r="Y542" s="8"/>
      <c r="Z542" s="8"/>
      <c r="AA542" s="8"/>
      <c r="AB542" s="8"/>
      <c r="AC542" s="8"/>
      <c r="AD542" s="8"/>
      <c r="AE542" s="8"/>
      <c r="AF542" s="8"/>
      <c r="AG542" s="8"/>
      <c r="AH542" s="8"/>
      <c r="AI542" s="8"/>
      <c r="AJ542" s="8"/>
      <c r="AK542" s="8"/>
      <c r="AL542" s="8"/>
      <c r="AM542" s="8"/>
      <c r="AN542" s="8"/>
      <c r="AO542" s="8"/>
      <c r="AP542" s="8"/>
      <c r="AQ542" s="8"/>
      <c r="AR542" s="8"/>
      <c r="AS542" s="8"/>
      <c r="AT542" s="8"/>
    </row>
    <row r="543">
      <c r="A543" s="415"/>
      <c r="B543" s="210"/>
      <c r="C543" s="415"/>
      <c r="D543" s="210"/>
      <c r="E543" s="415"/>
      <c r="F543" s="210"/>
      <c r="G543" s="415"/>
      <c r="H543" s="210"/>
      <c r="I543" s="423"/>
      <c r="J543" s="156"/>
      <c r="K543" s="423"/>
      <c r="L543" s="156"/>
      <c r="M543" s="415"/>
      <c r="N543" s="210"/>
      <c r="O543" s="415"/>
      <c r="P543" s="210"/>
      <c r="Q543" s="452"/>
      <c r="R543" s="452"/>
      <c r="S543" s="415"/>
      <c r="T543" s="210"/>
      <c r="U543" s="415"/>
      <c r="V543" s="210"/>
      <c r="W543" s="415"/>
      <c r="X543" s="210"/>
      <c r="Y543" s="8"/>
      <c r="Z543" s="8"/>
      <c r="AA543" s="8"/>
      <c r="AB543" s="8"/>
      <c r="AC543" s="8"/>
      <c r="AD543" s="8"/>
      <c r="AE543" s="8"/>
      <c r="AF543" s="8"/>
      <c r="AG543" s="8"/>
      <c r="AH543" s="8"/>
      <c r="AI543" s="8"/>
      <c r="AJ543" s="8"/>
      <c r="AK543" s="8"/>
      <c r="AL543" s="8"/>
      <c r="AM543" s="8"/>
      <c r="AN543" s="8"/>
      <c r="AO543" s="8"/>
      <c r="AP543" s="8"/>
      <c r="AQ543" s="8"/>
      <c r="AR543" s="8"/>
      <c r="AS543" s="8"/>
      <c r="AT543" s="8"/>
    </row>
    <row r="544">
      <c r="A544" s="415"/>
      <c r="B544" s="210"/>
      <c r="C544" s="415"/>
      <c r="D544" s="210"/>
      <c r="E544" s="415"/>
      <c r="F544" s="210"/>
      <c r="G544" s="415"/>
      <c r="H544" s="210"/>
      <c r="I544" s="423"/>
      <c r="J544" s="156"/>
      <c r="K544" s="423"/>
      <c r="L544" s="156"/>
      <c r="M544" s="415"/>
      <c r="N544" s="210"/>
      <c r="O544" s="415"/>
      <c r="P544" s="210"/>
      <c r="Q544" s="452"/>
      <c r="R544" s="452"/>
      <c r="S544" s="415"/>
      <c r="T544" s="210"/>
      <c r="U544" s="415"/>
      <c r="V544" s="210"/>
      <c r="W544" s="415"/>
      <c r="X544" s="210"/>
      <c r="Y544" s="8"/>
      <c r="Z544" s="8"/>
      <c r="AA544" s="8"/>
      <c r="AB544" s="8"/>
      <c r="AC544" s="8"/>
      <c r="AD544" s="8"/>
      <c r="AE544" s="8"/>
      <c r="AF544" s="8"/>
      <c r="AG544" s="8"/>
      <c r="AH544" s="8"/>
      <c r="AI544" s="8"/>
      <c r="AJ544" s="8"/>
      <c r="AK544" s="8"/>
      <c r="AL544" s="8"/>
      <c r="AM544" s="8"/>
      <c r="AN544" s="8"/>
      <c r="AO544" s="8"/>
      <c r="AP544" s="8"/>
      <c r="AQ544" s="8"/>
      <c r="AR544" s="8"/>
      <c r="AS544" s="8"/>
      <c r="AT544" s="8"/>
    </row>
    <row r="545">
      <c r="A545" s="415"/>
      <c r="B545" s="210"/>
      <c r="C545" s="415"/>
      <c r="D545" s="210"/>
      <c r="E545" s="415"/>
      <c r="F545" s="210"/>
      <c r="G545" s="415"/>
      <c r="H545" s="210"/>
      <c r="I545" s="423"/>
      <c r="J545" s="156"/>
      <c r="K545" s="423"/>
      <c r="L545" s="156"/>
      <c r="M545" s="415"/>
      <c r="N545" s="210"/>
      <c r="O545" s="415"/>
      <c r="P545" s="210"/>
      <c r="Q545" s="452"/>
      <c r="R545" s="452"/>
      <c r="S545" s="415"/>
      <c r="T545" s="210"/>
      <c r="U545" s="415"/>
      <c r="V545" s="210"/>
      <c r="W545" s="415"/>
      <c r="X545" s="210"/>
      <c r="Y545" s="8"/>
      <c r="Z545" s="8"/>
      <c r="AA545" s="8"/>
      <c r="AB545" s="8"/>
      <c r="AC545" s="8"/>
      <c r="AD545" s="8"/>
      <c r="AE545" s="8"/>
      <c r="AF545" s="8"/>
      <c r="AG545" s="8"/>
      <c r="AH545" s="8"/>
      <c r="AI545" s="8"/>
      <c r="AJ545" s="8"/>
      <c r="AK545" s="8"/>
      <c r="AL545" s="8"/>
      <c r="AM545" s="8"/>
      <c r="AN545" s="8"/>
      <c r="AO545" s="8"/>
      <c r="AP545" s="8"/>
      <c r="AQ545" s="8"/>
      <c r="AR545" s="8"/>
      <c r="AS545" s="8"/>
      <c r="AT545" s="8"/>
    </row>
    <row r="546">
      <c r="A546" s="415"/>
      <c r="B546" s="210"/>
      <c r="C546" s="415"/>
      <c r="D546" s="210"/>
      <c r="E546" s="415"/>
      <c r="F546" s="210"/>
      <c r="G546" s="415"/>
      <c r="H546" s="210"/>
      <c r="I546" s="423"/>
      <c r="J546" s="156"/>
      <c r="K546" s="423"/>
      <c r="L546" s="156"/>
      <c r="M546" s="415"/>
      <c r="N546" s="210"/>
      <c r="O546" s="415"/>
      <c r="P546" s="210"/>
      <c r="Q546" s="452"/>
      <c r="R546" s="452"/>
      <c r="S546" s="415"/>
      <c r="T546" s="210"/>
      <c r="U546" s="415"/>
      <c r="V546" s="210"/>
      <c r="W546" s="415"/>
      <c r="X546" s="210"/>
      <c r="Y546" s="8"/>
      <c r="Z546" s="8"/>
      <c r="AA546" s="8"/>
      <c r="AB546" s="8"/>
      <c r="AC546" s="8"/>
      <c r="AD546" s="8"/>
      <c r="AE546" s="8"/>
      <c r="AF546" s="8"/>
      <c r="AG546" s="8"/>
      <c r="AH546" s="8"/>
      <c r="AI546" s="8"/>
      <c r="AJ546" s="8"/>
      <c r="AK546" s="8"/>
      <c r="AL546" s="8"/>
      <c r="AM546" s="8"/>
      <c r="AN546" s="8"/>
      <c r="AO546" s="8"/>
      <c r="AP546" s="8"/>
      <c r="AQ546" s="8"/>
      <c r="AR546" s="8"/>
      <c r="AS546" s="8"/>
      <c r="AT546" s="8"/>
    </row>
    <row r="547">
      <c r="A547" s="415"/>
      <c r="B547" s="210"/>
      <c r="C547" s="415"/>
      <c r="D547" s="210"/>
      <c r="E547" s="415"/>
      <c r="F547" s="210"/>
      <c r="G547" s="415"/>
      <c r="H547" s="210"/>
      <c r="I547" s="423"/>
      <c r="J547" s="156"/>
      <c r="K547" s="423"/>
      <c r="L547" s="156"/>
      <c r="M547" s="415"/>
      <c r="N547" s="210"/>
      <c r="O547" s="415"/>
      <c r="P547" s="210"/>
      <c r="Q547" s="452"/>
      <c r="R547" s="452"/>
      <c r="S547" s="415"/>
      <c r="T547" s="210"/>
      <c r="U547" s="415"/>
      <c r="V547" s="210"/>
      <c r="W547" s="415"/>
      <c r="X547" s="210"/>
      <c r="Y547" s="8"/>
      <c r="Z547" s="8"/>
      <c r="AA547" s="8"/>
      <c r="AB547" s="8"/>
      <c r="AC547" s="8"/>
      <c r="AD547" s="8"/>
      <c r="AE547" s="8"/>
      <c r="AF547" s="8"/>
      <c r="AG547" s="8"/>
      <c r="AH547" s="8"/>
      <c r="AI547" s="8"/>
      <c r="AJ547" s="8"/>
      <c r="AK547" s="8"/>
      <c r="AL547" s="8"/>
      <c r="AM547" s="8"/>
      <c r="AN547" s="8"/>
      <c r="AO547" s="8"/>
      <c r="AP547" s="8"/>
      <c r="AQ547" s="8"/>
      <c r="AR547" s="8"/>
      <c r="AS547" s="8"/>
      <c r="AT547" s="8"/>
    </row>
    <row r="548">
      <c r="A548" s="415"/>
      <c r="B548" s="210"/>
      <c r="C548" s="415"/>
      <c r="D548" s="210"/>
      <c r="E548" s="415"/>
      <c r="F548" s="210"/>
      <c r="G548" s="415"/>
      <c r="H548" s="210"/>
      <c r="I548" s="423"/>
      <c r="J548" s="156"/>
      <c r="K548" s="423"/>
      <c r="L548" s="156"/>
      <c r="M548" s="415"/>
      <c r="N548" s="210"/>
      <c r="O548" s="415"/>
      <c r="P548" s="210"/>
      <c r="Q548" s="452"/>
      <c r="R548" s="452"/>
      <c r="S548" s="415"/>
      <c r="T548" s="210"/>
      <c r="U548" s="415"/>
      <c r="V548" s="210"/>
      <c r="W548" s="415"/>
      <c r="X548" s="210"/>
      <c r="Y548" s="8"/>
      <c r="Z548" s="8"/>
      <c r="AA548" s="8"/>
      <c r="AB548" s="8"/>
      <c r="AC548" s="8"/>
      <c r="AD548" s="8"/>
      <c r="AE548" s="8"/>
      <c r="AF548" s="8"/>
      <c r="AG548" s="8"/>
      <c r="AH548" s="8"/>
      <c r="AI548" s="8"/>
      <c r="AJ548" s="8"/>
      <c r="AK548" s="8"/>
      <c r="AL548" s="8"/>
      <c r="AM548" s="8"/>
      <c r="AN548" s="8"/>
      <c r="AO548" s="8"/>
      <c r="AP548" s="8"/>
      <c r="AQ548" s="8"/>
      <c r="AR548" s="8"/>
      <c r="AS548" s="8"/>
      <c r="AT548" s="8"/>
    </row>
    <row r="549">
      <c r="A549" s="415"/>
      <c r="B549" s="210"/>
      <c r="C549" s="415"/>
      <c r="D549" s="210"/>
      <c r="E549" s="415"/>
      <c r="F549" s="210"/>
      <c r="G549" s="415"/>
      <c r="H549" s="210"/>
      <c r="I549" s="423"/>
      <c r="J549" s="156"/>
      <c r="K549" s="423"/>
      <c r="L549" s="156"/>
      <c r="M549" s="415"/>
      <c r="N549" s="210"/>
      <c r="O549" s="415"/>
      <c r="P549" s="210"/>
      <c r="Q549" s="452"/>
      <c r="R549" s="452"/>
      <c r="S549" s="415"/>
      <c r="T549" s="210"/>
      <c r="U549" s="415"/>
      <c r="V549" s="210"/>
      <c r="W549" s="415"/>
      <c r="X549" s="210"/>
      <c r="Y549" s="8"/>
      <c r="Z549" s="8"/>
      <c r="AA549" s="8"/>
      <c r="AB549" s="8"/>
      <c r="AC549" s="8"/>
      <c r="AD549" s="8"/>
      <c r="AE549" s="8"/>
      <c r="AF549" s="8"/>
      <c r="AG549" s="8"/>
      <c r="AH549" s="8"/>
      <c r="AI549" s="8"/>
      <c r="AJ549" s="8"/>
      <c r="AK549" s="8"/>
      <c r="AL549" s="8"/>
      <c r="AM549" s="8"/>
      <c r="AN549" s="8"/>
      <c r="AO549" s="8"/>
      <c r="AP549" s="8"/>
      <c r="AQ549" s="8"/>
      <c r="AR549" s="8"/>
      <c r="AS549" s="8"/>
      <c r="AT549" s="8"/>
    </row>
    <row r="550">
      <c r="A550" s="415"/>
      <c r="B550" s="210"/>
      <c r="C550" s="415"/>
      <c r="D550" s="210"/>
      <c r="E550" s="415"/>
      <c r="F550" s="210"/>
      <c r="G550" s="415"/>
      <c r="H550" s="210"/>
      <c r="I550" s="423"/>
      <c r="J550" s="156"/>
      <c r="K550" s="423"/>
      <c r="L550" s="156"/>
      <c r="M550" s="415"/>
      <c r="N550" s="210"/>
      <c r="O550" s="415"/>
      <c r="P550" s="210"/>
      <c r="Q550" s="452"/>
      <c r="R550" s="452"/>
      <c r="S550" s="415"/>
      <c r="T550" s="210"/>
      <c r="U550" s="415"/>
      <c r="V550" s="210"/>
      <c r="W550" s="415"/>
      <c r="X550" s="210"/>
      <c r="Y550" s="8"/>
      <c r="Z550" s="8"/>
      <c r="AA550" s="8"/>
      <c r="AB550" s="8"/>
      <c r="AC550" s="8"/>
      <c r="AD550" s="8"/>
      <c r="AE550" s="8"/>
      <c r="AF550" s="8"/>
      <c r="AG550" s="8"/>
      <c r="AH550" s="8"/>
      <c r="AI550" s="8"/>
      <c r="AJ550" s="8"/>
      <c r="AK550" s="8"/>
      <c r="AL550" s="8"/>
      <c r="AM550" s="8"/>
      <c r="AN550" s="8"/>
      <c r="AO550" s="8"/>
      <c r="AP550" s="8"/>
      <c r="AQ550" s="8"/>
      <c r="AR550" s="8"/>
      <c r="AS550" s="8"/>
      <c r="AT550" s="8"/>
    </row>
    <row r="551">
      <c r="A551" s="415"/>
      <c r="B551" s="210"/>
      <c r="C551" s="415"/>
      <c r="D551" s="210"/>
      <c r="E551" s="415"/>
      <c r="F551" s="210"/>
      <c r="G551" s="415"/>
      <c r="H551" s="210"/>
      <c r="I551" s="423"/>
      <c r="J551" s="156"/>
      <c r="K551" s="423"/>
      <c r="L551" s="156"/>
      <c r="M551" s="415"/>
      <c r="N551" s="210"/>
      <c r="O551" s="415"/>
      <c r="P551" s="210"/>
      <c r="Q551" s="452"/>
      <c r="R551" s="452"/>
      <c r="S551" s="415"/>
      <c r="T551" s="210"/>
      <c r="U551" s="415"/>
      <c r="V551" s="210"/>
      <c r="W551" s="415"/>
      <c r="X551" s="210"/>
      <c r="Y551" s="8"/>
      <c r="Z551" s="8"/>
      <c r="AA551" s="8"/>
      <c r="AB551" s="8"/>
      <c r="AC551" s="8"/>
      <c r="AD551" s="8"/>
      <c r="AE551" s="8"/>
      <c r="AF551" s="8"/>
      <c r="AG551" s="8"/>
      <c r="AH551" s="8"/>
      <c r="AI551" s="8"/>
      <c r="AJ551" s="8"/>
      <c r="AK551" s="8"/>
      <c r="AL551" s="8"/>
      <c r="AM551" s="8"/>
      <c r="AN551" s="8"/>
      <c r="AO551" s="8"/>
      <c r="AP551" s="8"/>
      <c r="AQ551" s="8"/>
      <c r="AR551" s="8"/>
      <c r="AS551" s="8"/>
      <c r="AT551" s="8"/>
    </row>
    <row r="552">
      <c r="A552" s="415"/>
      <c r="B552" s="210"/>
      <c r="C552" s="415"/>
      <c r="D552" s="210"/>
      <c r="E552" s="415"/>
      <c r="F552" s="210"/>
      <c r="G552" s="415"/>
      <c r="H552" s="210"/>
      <c r="I552" s="423"/>
      <c r="J552" s="156"/>
      <c r="K552" s="423"/>
      <c r="L552" s="156"/>
      <c r="M552" s="415"/>
      <c r="N552" s="210"/>
      <c r="O552" s="415"/>
      <c r="P552" s="210"/>
      <c r="Q552" s="452"/>
      <c r="R552" s="452"/>
      <c r="S552" s="415"/>
      <c r="T552" s="210"/>
      <c r="U552" s="415"/>
      <c r="V552" s="210"/>
      <c r="W552" s="415"/>
      <c r="X552" s="210"/>
      <c r="Y552" s="8"/>
      <c r="Z552" s="8"/>
      <c r="AA552" s="8"/>
      <c r="AB552" s="8"/>
      <c r="AC552" s="8"/>
      <c r="AD552" s="8"/>
      <c r="AE552" s="8"/>
      <c r="AF552" s="8"/>
      <c r="AG552" s="8"/>
      <c r="AH552" s="8"/>
      <c r="AI552" s="8"/>
      <c r="AJ552" s="8"/>
      <c r="AK552" s="8"/>
      <c r="AL552" s="8"/>
      <c r="AM552" s="8"/>
      <c r="AN552" s="8"/>
      <c r="AO552" s="8"/>
      <c r="AP552" s="8"/>
      <c r="AQ552" s="8"/>
      <c r="AR552" s="8"/>
      <c r="AS552" s="8"/>
      <c r="AT552" s="8"/>
    </row>
    <row r="553">
      <c r="A553" s="415"/>
      <c r="B553" s="210"/>
      <c r="C553" s="415"/>
      <c r="D553" s="210"/>
      <c r="E553" s="415"/>
      <c r="F553" s="210"/>
      <c r="G553" s="415"/>
      <c r="H553" s="210"/>
      <c r="I553" s="423"/>
      <c r="J553" s="156"/>
      <c r="K553" s="423"/>
      <c r="L553" s="156"/>
      <c r="M553" s="415"/>
      <c r="N553" s="210"/>
      <c r="O553" s="415"/>
      <c r="P553" s="210"/>
      <c r="Q553" s="452"/>
      <c r="R553" s="452"/>
      <c r="S553" s="415"/>
      <c r="T553" s="210"/>
      <c r="U553" s="415"/>
      <c r="V553" s="210"/>
      <c r="W553" s="415"/>
      <c r="X553" s="210"/>
      <c r="Y553" s="8"/>
      <c r="Z553" s="8"/>
      <c r="AA553" s="8"/>
      <c r="AB553" s="8"/>
      <c r="AC553" s="8"/>
      <c r="AD553" s="8"/>
      <c r="AE553" s="8"/>
      <c r="AF553" s="8"/>
      <c r="AG553" s="8"/>
      <c r="AH553" s="8"/>
      <c r="AI553" s="8"/>
      <c r="AJ553" s="8"/>
      <c r="AK553" s="8"/>
      <c r="AL553" s="8"/>
      <c r="AM553" s="8"/>
      <c r="AN553" s="8"/>
      <c r="AO553" s="8"/>
      <c r="AP553" s="8"/>
      <c r="AQ553" s="8"/>
      <c r="AR553" s="8"/>
      <c r="AS553" s="8"/>
      <c r="AT553" s="8"/>
    </row>
    <row r="554">
      <c r="A554" s="415"/>
      <c r="B554" s="210"/>
      <c r="C554" s="415"/>
      <c r="D554" s="210"/>
      <c r="E554" s="415"/>
      <c r="F554" s="210"/>
      <c r="G554" s="415"/>
      <c r="H554" s="210"/>
      <c r="I554" s="423"/>
      <c r="J554" s="156"/>
      <c r="K554" s="423"/>
      <c r="L554" s="156"/>
      <c r="M554" s="415"/>
      <c r="N554" s="210"/>
      <c r="O554" s="415"/>
      <c r="P554" s="210"/>
      <c r="Q554" s="452"/>
      <c r="R554" s="452"/>
      <c r="S554" s="415"/>
      <c r="T554" s="210"/>
      <c r="U554" s="415"/>
      <c r="V554" s="210"/>
      <c r="W554" s="415"/>
      <c r="X554" s="210"/>
      <c r="Y554" s="8"/>
      <c r="Z554" s="8"/>
      <c r="AA554" s="8"/>
      <c r="AB554" s="8"/>
      <c r="AC554" s="8"/>
      <c r="AD554" s="8"/>
      <c r="AE554" s="8"/>
      <c r="AF554" s="8"/>
      <c r="AG554" s="8"/>
      <c r="AH554" s="8"/>
      <c r="AI554" s="8"/>
      <c r="AJ554" s="8"/>
      <c r="AK554" s="8"/>
      <c r="AL554" s="8"/>
      <c r="AM554" s="8"/>
      <c r="AN554" s="8"/>
      <c r="AO554" s="8"/>
      <c r="AP554" s="8"/>
      <c r="AQ554" s="8"/>
      <c r="AR554" s="8"/>
      <c r="AS554" s="8"/>
      <c r="AT554" s="8"/>
    </row>
    <row r="555">
      <c r="A555" s="415"/>
      <c r="B555" s="210"/>
      <c r="C555" s="415"/>
      <c r="D555" s="210"/>
      <c r="E555" s="415"/>
      <c r="F555" s="210"/>
      <c r="G555" s="415"/>
      <c r="H555" s="210"/>
      <c r="I555" s="423"/>
      <c r="J555" s="156"/>
      <c r="K555" s="423"/>
      <c r="L555" s="156"/>
      <c r="M555" s="415"/>
      <c r="N555" s="210"/>
      <c r="O555" s="415"/>
      <c r="P555" s="210"/>
      <c r="Q555" s="452"/>
      <c r="R555" s="452"/>
      <c r="S555" s="415"/>
      <c r="T555" s="210"/>
      <c r="U555" s="415"/>
      <c r="V555" s="210"/>
      <c r="W555" s="415"/>
      <c r="X555" s="210"/>
      <c r="Y555" s="8"/>
      <c r="Z555" s="8"/>
      <c r="AA555" s="8"/>
      <c r="AB555" s="8"/>
      <c r="AC555" s="8"/>
      <c r="AD555" s="8"/>
      <c r="AE555" s="8"/>
      <c r="AF555" s="8"/>
      <c r="AG555" s="8"/>
      <c r="AH555" s="8"/>
      <c r="AI555" s="8"/>
      <c r="AJ555" s="8"/>
      <c r="AK555" s="8"/>
      <c r="AL555" s="8"/>
      <c r="AM555" s="8"/>
      <c r="AN555" s="8"/>
      <c r="AO555" s="8"/>
      <c r="AP555" s="8"/>
      <c r="AQ555" s="8"/>
      <c r="AR555" s="8"/>
      <c r="AS555" s="8"/>
      <c r="AT555" s="8"/>
    </row>
    <row r="556">
      <c r="A556" s="415"/>
      <c r="B556" s="210"/>
      <c r="C556" s="415"/>
      <c r="D556" s="210"/>
      <c r="E556" s="415"/>
      <c r="F556" s="210"/>
      <c r="G556" s="415"/>
      <c r="H556" s="210"/>
      <c r="I556" s="423"/>
      <c r="J556" s="156"/>
      <c r="K556" s="423"/>
      <c r="L556" s="156"/>
      <c r="M556" s="415"/>
      <c r="N556" s="210"/>
      <c r="O556" s="415"/>
      <c r="P556" s="210"/>
      <c r="Q556" s="452"/>
      <c r="R556" s="452"/>
      <c r="S556" s="415"/>
      <c r="T556" s="210"/>
      <c r="U556" s="415"/>
      <c r="V556" s="210"/>
      <c r="W556" s="415"/>
      <c r="X556" s="210"/>
      <c r="Y556" s="8"/>
      <c r="Z556" s="8"/>
      <c r="AA556" s="8"/>
      <c r="AB556" s="8"/>
      <c r="AC556" s="8"/>
      <c r="AD556" s="8"/>
      <c r="AE556" s="8"/>
      <c r="AF556" s="8"/>
      <c r="AG556" s="8"/>
      <c r="AH556" s="8"/>
      <c r="AI556" s="8"/>
      <c r="AJ556" s="8"/>
      <c r="AK556" s="8"/>
      <c r="AL556" s="8"/>
      <c r="AM556" s="8"/>
      <c r="AN556" s="8"/>
      <c r="AO556" s="8"/>
      <c r="AP556" s="8"/>
      <c r="AQ556" s="8"/>
      <c r="AR556" s="8"/>
      <c r="AS556" s="8"/>
      <c r="AT556" s="8"/>
    </row>
    <row r="557">
      <c r="A557" s="415"/>
      <c r="B557" s="210"/>
      <c r="C557" s="415"/>
      <c r="D557" s="210"/>
      <c r="E557" s="415"/>
      <c r="F557" s="210"/>
      <c r="G557" s="415"/>
      <c r="H557" s="210"/>
      <c r="I557" s="423"/>
      <c r="J557" s="156"/>
      <c r="K557" s="423"/>
      <c r="L557" s="156"/>
      <c r="M557" s="415"/>
      <c r="N557" s="210"/>
      <c r="O557" s="415"/>
      <c r="P557" s="210"/>
      <c r="Q557" s="452"/>
      <c r="R557" s="452"/>
      <c r="S557" s="415"/>
      <c r="T557" s="210"/>
      <c r="U557" s="415"/>
      <c r="V557" s="210"/>
      <c r="W557" s="415"/>
      <c r="X557" s="210"/>
      <c r="Y557" s="8"/>
      <c r="Z557" s="8"/>
      <c r="AA557" s="8"/>
      <c r="AB557" s="8"/>
      <c r="AC557" s="8"/>
      <c r="AD557" s="8"/>
      <c r="AE557" s="8"/>
      <c r="AF557" s="8"/>
      <c r="AG557" s="8"/>
      <c r="AH557" s="8"/>
      <c r="AI557" s="8"/>
      <c r="AJ557" s="8"/>
      <c r="AK557" s="8"/>
      <c r="AL557" s="8"/>
      <c r="AM557" s="8"/>
      <c r="AN557" s="8"/>
      <c r="AO557" s="8"/>
      <c r="AP557" s="8"/>
      <c r="AQ557" s="8"/>
      <c r="AR557" s="8"/>
      <c r="AS557" s="8"/>
      <c r="AT557" s="8"/>
    </row>
    <row r="558">
      <c r="A558" s="415"/>
      <c r="B558" s="210"/>
      <c r="C558" s="415"/>
      <c r="D558" s="210"/>
      <c r="E558" s="415"/>
      <c r="F558" s="210"/>
      <c r="G558" s="415"/>
      <c r="H558" s="210"/>
      <c r="I558" s="423"/>
      <c r="J558" s="156"/>
      <c r="K558" s="423"/>
      <c r="L558" s="156"/>
      <c r="M558" s="415"/>
      <c r="N558" s="210"/>
      <c r="O558" s="415"/>
      <c r="P558" s="210"/>
      <c r="Q558" s="452"/>
      <c r="R558" s="452"/>
      <c r="S558" s="415"/>
      <c r="T558" s="210"/>
      <c r="U558" s="415"/>
      <c r="V558" s="210"/>
      <c r="W558" s="415"/>
      <c r="X558" s="210"/>
      <c r="Y558" s="8"/>
      <c r="Z558" s="8"/>
      <c r="AA558" s="8"/>
      <c r="AB558" s="8"/>
      <c r="AC558" s="8"/>
      <c r="AD558" s="8"/>
      <c r="AE558" s="8"/>
      <c r="AF558" s="8"/>
      <c r="AG558" s="8"/>
      <c r="AH558" s="8"/>
      <c r="AI558" s="8"/>
      <c r="AJ558" s="8"/>
      <c r="AK558" s="8"/>
      <c r="AL558" s="8"/>
      <c r="AM558" s="8"/>
      <c r="AN558" s="8"/>
      <c r="AO558" s="8"/>
      <c r="AP558" s="8"/>
      <c r="AQ558" s="8"/>
      <c r="AR558" s="8"/>
      <c r="AS558" s="8"/>
      <c r="AT558" s="8"/>
    </row>
    <row r="559">
      <c r="A559" s="415"/>
      <c r="B559" s="210"/>
      <c r="C559" s="415"/>
      <c r="D559" s="210"/>
      <c r="E559" s="415"/>
      <c r="F559" s="210"/>
      <c r="G559" s="415"/>
      <c r="H559" s="210"/>
      <c r="I559" s="423"/>
      <c r="J559" s="156"/>
      <c r="K559" s="423"/>
      <c r="L559" s="156"/>
      <c r="M559" s="415"/>
      <c r="N559" s="210"/>
      <c r="O559" s="415"/>
      <c r="P559" s="210"/>
      <c r="Q559" s="452"/>
      <c r="R559" s="452"/>
      <c r="S559" s="415"/>
      <c r="T559" s="210"/>
      <c r="U559" s="415"/>
      <c r="V559" s="210"/>
      <c r="W559" s="415"/>
      <c r="X559" s="210"/>
      <c r="Y559" s="8"/>
      <c r="Z559" s="8"/>
      <c r="AA559" s="8"/>
      <c r="AB559" s="8"/>
      <c r="AC559" s="8"/>
      <c r="AD559" s="8"/>
      <c r="AE559" s="8"/>
      <c r="AF559" s="8"/>
      <c r="AG559" s="8"/>
      <c r="AH559" s="8"/>
      <c r="AI559" s="8"/>
      <c r="AJ559" s="8"/>
      <c r="AK559" s="8"/>
      <c r="AL559" s="8"/>
      <c r="AM559" s="8"/>
      <c r="AN559" s="8"/>
      <c r="AO559" s="8"/>
      <c r="AP559" s="8"/>
      <c r="AQ559" s="8"/>
      <c r="AR559" s="8"/>
      <c r="AS559" s="8"/>
      <c r="AT559" s="8"/>
    </row>
    <row r="560">
      <c r="A560" s="415"/>
      <c r="B560" s="210"/>
      <c r="C560" s="415"/>
      <c r="D560" s="210"/>
      <c r="E560" s="415"/>
      <c r="F560" s="210"/>
      <c r="G560" s="415"/>
      <c r="H560" s="210"/>
      <c r="I560" s="423"/>
      <c r="J560" s="156"/>
      <c r="K560" s="423"/>
      <c r="L560" s="156"/>
      <c r="M560" s="415"/>
      <c r="N560" s="210"/>
      <c r="O560" s="415"/>
      <c r="P560" s="210"/>
      <c r="Q560" s="452"/>
      <c r="R560" s="452"/>
      <c r="S560" s="415"/>
      <c r="T560" s="210"/>
      <c r="U560" s="415"/>
      <c r="V560" s="210"/>
      <c r="W560" s="415"/>
      <c r="X560" s="210"/>
      <c r="Y560" s="8"/>
      <c r="Z560" s="8"/>
      <c r="AA560" s="8"/>
      <c r="AB560" s="8"/>
      <c r="AC560" s="8"/>
      <c r="AD560" s="8"/>
      <c r="AE560" s="8"/>
      <c r="AF560" s="8"/>
      <c r="AG560" s="8"/>
      <c r="AH560" s="8"/>
      <c r="AI560" s="8"/>
      <c r="AJ560" s="8"/>
      <c r="AK560" s="8"/>
      <c r="AL560" s="8"/>
      <c r="AM560" s="8"/>
      <c r="AN560" s="8"/>
      <c r="AO560" s="8"/>
      <c r="AP560" s="8"/>
      <c r="AQ560" s="8"/>
      <c r="AR560" s="8"/>
      <c r="AS560" s="8"/>
      <c r="AT560" s="8"/>
    </row>
    <row r="561">
      <c r="A561" s="415"/>
      <c r="B561" s="210"/>
      <c r="C561" s="415"/>
      <c r="D561" s="210"/>
      <c r="E561" s="415"/>
      <c r="F561" s="210"/>
      <c r="G561" s="415"/>
      <c r="H561" s="210"/>
      <c r="I561" s="423"/>
      <c r="J561" s="156"/>
      <c r="K561" s="423"/>
      <c r="L561" s="156"/>
      <c r="M561" s="415"/>
      <c r="N561" s="210"/>
      <c r="O561" s="415"/>
      <c r="P561" s="210"/>
      <c r="Q561" s="452"/>
      <c r="R561" s="452"/>
      <c r="S561" s="415"/>
      <c r="T561" s="210"/>
      <c r="U561" s="415"/>
      <c r="V561" s="210"/>
      <c r="W561" s="415"/>
      <c r="X561" s="210"/>
      <c r="Y561" s="8"/>
      <c r="Z561" s="8"/>
      <c r="AA561" s="8"/>
      <c r="AB561" s="8"/>
      <c r="AC561" s="8"/>
      <c r="AD561" s="8"/>
      <c r="AE561" s="8"/>
      <c r="AF561" s="8"/>
      <c r="AG561" s="8"/>
      <c r="AH561" s="8"/>
      <c r="AI561" s="8"/>
      <c r="AJ561" s="8"/>
      <c r="AK561" s="8"/>
      <c r="AL561" s="8"/>
      <c r="AM561" s="8"/>
      <c r="AN561" s="8"/>
      <c r="AO561" s="8"/>
      <c r="AP561" s="8"/>
      <c r="AQ561" s="8"/>
      <c r="AR561" s="8"/>
      <c r="AS561" s="8"/>
      <c r="AT561" s="8"/>
    </row>
    <row r="562">
      <c r="A562" s="415"/>
      <c r="B562" s="210"/>
      <c r="C562" s="415"/>
      <c r="D562" s="210"/>
      <c r="E562" s="415"/>
      <c r="F562" s="210"/>
      <c r="G562" s="415"/>
      <c r="H562" s="210"/>
      <c r="I562" s="423"/>
      <c r="J562" s="156"/>
      <c r="K562" s="423"/>
      <c r="L562" s="156"/>
      <c r="M562" s="415"/>
      <c r="N562" s="210"/>
      <c r="O562" s="415"/>
      <c r="P562" s="210"/>
      <c r="Q562" s="452"/>
      <c r="R562" s="452"/>
      <c r="S562" s="415"/>
      <c r="T562" s="210"/>
      <c r="U562" s="415"/>
      <c r="V562" s="210"/>
      <c r="W562" s="415"/>
      <c r="X562" s="210"/>
      <c r="Y562" s="8"/>
      <c r="Z562" s="8"/>
      <c r="AA562" s="8"/>
      <c r="AB562" s="8"/>
      <c r="AC562" s="8"/>
      <c r="AD562" s="8"/>
      <c r="AE562" s="8"/>
      <c r="AF562" s="8"/>
      <c r="AG562" s="8"/>
      <c r="AH562" s="8"/>
      <c r="AI562" s="8"/>
      <c r="AJ562" s="8"/>
      <c r="AK562" s="8"/>
      <c r="AL562" s="8"/>
      <c r="AM562" s="8"/>
      <c r="AN562" s="8"/>
      <c r="AO562" s="8"/>
      <c r="AP562" s="8"/>
      <c r="AQ562" s="8"/>
      <c r="AR562" s="8"/>
      <c r="AS562" s="8"/>
      <c r="AT562" s="8"/>
    </row>
    <row r="563">
      <c r="A563" s="415"/>
      <c r="B563" s="210"/>
      <c r="C563" s="415"/>
      <c r="D563" s="210"/>
      <c r="E563" s="415"/>
      <c r="F563" s="210"/>
      <c r="G563" s="415"/>
      <c r="H563" s="210"/>
      <c r="I563" s="423"/>
      <c r="J563" s="156"/>
      <c r="K563" s="423"/>
      <c r="L563" s="156"/>
      <c r="M563" s="415"/>
      <c r="N563" s="210"/>
      <c r="O563" s="415"/>
      <c r="P563" s="210"/>
      <c r="Q563" s="452"/>
      <c r="R563" s="452"/>
      <c r="S563" s="415"/>
      <c r="T563" s="210"/>
      <c r="U563" s="415"/>
      <c r="V563" s="210"/>
      <c r="W563" s="415"/>
      <c r="X563" s="210"/>
      <c r="Y563" s="8"/>
      <c r="Z563" s="8"/>
      <c r="AA563" s="8"/>
      <c r="AB563" s="8"/>
      <c r="AC563" s="8"/>
      <c r="AD563" s="8"/>
      <c r="AE563" s="8"/>
      <c r="AF563" s="8"/>
      <c r="AG563" s="8"/>
      <c r="AH563" s="8"/>
      <c r="AI563" s="8"/>
      <c r="AJ563" s="8"/>
      <c r="AK563" s="8"/>
      <c r="AL563" s="8"/>
      <c r="AM563" s="8"/>
      <c r="AN563" s="8"/>
      <c r="AO563" s="8"/>
      <c r="AP563" s="8"/>
      <c r="AQ563" s="8"/>
      <c r="AR563" s="8"/>
      <c r="AS563" s="8"/>
      <c r="AT563" s="8"/>
    </row>
    <row r="564">
      <c r="A564" s="415"/>
      <c r="B564" s="210"/>
      <c r="C564" s="415"/>
      <c r="D564" s="210"/>
      <c r="E564" s="415"/>
      <c r="F564" s="210"/>
      <c r="G564" s="415"/>
      <c r="H564" s="210"/>
      <c r="I564" s="423"/>
      <c r="J564" s="156"/>
      <c r="K564" s="423"/>
      <c r="L564" s="156"/>
      <c r="M564" s="415"/>
      <c r="N564" s="210"/>
      <c r="O564" s="415"/>
      <c r="P564" s="210"/>
      <c r="Q564" s="452"/>
      <c r="R564" s="452"/>
      <c r="S564" s="415"/>
      <c r="T564" s="210"/>
      <c r="U564" s="415"/>
      <c r="V564" s="210"/>
      <c r="W564" s="415"/>
      <c r="X564" s="210"/>
      <c r="Y564" s="8"/>
      <c r="Z564" s="8"/>
      <c r="AA564" s="8"/>
      <c r="AB564" s="8"/>
      <c r="AC564" s="8"/>
      <c r="AD564" s="8"/>
      <c r="AE564" s="8"/>
      <c r="AF564" s="8"/>
      <c r="AG564" s="8"/>
      <c r="AH564" s="8"/>
      <c r="AI564" s="8"/>
      <c r="AJ564" s="8"/>
      <c r="AK564" s="8"/>
      <c r="AL564" s="8"/>
      <c r="AM564" s="8"/>
      <c r="AN564" s="8"/>
      <c r="AO564" s="8"/>
      <c r="AP564" s="8"/>
      <c r="AQ564" s="8"/>
      <c r="AR564" s="8"/>
      <c r="AS564" s="8"/>
      <c r="AT564" s="8"/>
    </row>
    <row r="565">
      <c r="A565" s="415"/>
      <c r="B565" s="210"/>
      <c r="C565" s="415"/>
      <c r="D565" s="210"/>
      <c r="E565" s="415"/>
      <c r="F565" s="210"/>
      <c r="G565" s="415"/>
      <c r="H565" s="210"/>
      <c r="I565" s="423"/>
      <c r="J565" s="156"/>
      <c r="K565" s="423"/>
      <c r="L565" s="156"/>
      <c r="M565" s="415"/>
      <c r="N565" s="210"/>
      <c r="O565" s="415"/>
      <c r="P565" s="210"/>
      <c r="Q565" s="452"/>
      <c r="R565" s="452"/>
      <c r="S565" s="415"/>
      <c r="T565" s="210"/>
      <c r="U565" s="415"/>
      <c r="V565" s="210"/>
      <c r="W565" s="415"/>
      <c r="X565" s="210"/>
      <c r="Y565" s="8"/>
      <c r="Z565" s="8"/>
      <c r="AA565" s="8"/>
      <c r="AB565" s="8"/>
      <c r="AC565" s="8"/>
      <c r="AD565" s="8"/>
      <c r="AE565" s="8"/>
      <c r="AF565" s="8"/>
      <c r="AG565" s="8"/>
      <c r="AH565" s="8"/>
      <c r="AI565" s="8"/>
      <c r="AJ565" s="8"/>
      <c r="AK565" s="8"/>
      <c r="AL565" s="8"/>
      <c r="AM565" s="8"/>
      <c r="AN565" s="8"/>
      <c r="AO565" s="8"/>
      <c r="AP565" s="8"/>
      <c r="AQ565" s="8"/>
      <c r="AR565" s="8"/>
      <c r="AS565" s="8"/>
      <c r="AT565" s="8"/>
    </row>
    <row r="566">
      <c r="A566" s="415"/>
      <c r="B566" s="210"/>
      <c r="C566" s="415"/>
      <c r="D566" s="210"/>
      <c r="E566" s="415"/>
      <c r="F566" s="210"/>
      <c r="G566" s="415"/>
      <c r="H566" s="210"/>
      <c r="I566" s="423"/>
      <c r="J566" s="156"/>
      <c r="K566" s="423"/>
      <c r="L566" s="156"/>
      <c r="M566" s="415"/>
      <c r="N566" s="210"/>
      <c r="O566" s="415"/>
      <c r="P566" s="210"/>
      <c r="Q566" s="452"/>
      <c r="R566" s="452"/>
      <c r="S566" s="415"/>
      <c r="T566" s="210"/>
      <c r="U566" s="415"/>
      <c r="V566" s="210"/>
      <c r="W566" s="415"/>
      <c r="X566" s="210"/>
      <c r="Y566" s="8"/>
      <c r="Z566" s="8"/>
      <c r="AA566" s="8"/>
      <c r="AB566" s="8"/>
      <c r="AC566" s="8"/>
      <c r="AD566" s="8"/>
      <c r="AE566" s="8"/>
      <c r="AF566" s="8"/>
      <c r="AG566" s="8"/>
      <c r="AH566" s="8"/>
      <c r="AI566" s="8"/>
      <c r="AJ566" s="8"/>
      <c r="AK566" s="8"/>
      <c r="AL566" s="8"/>
      <c r="AM566" s="8"/>
      <c r="AN566" s="8"/>
      <c r="AO566" s="8"/>
      <c r="AP566" s="8"/>
      <c r="AQ566" s="8"/>
      <c r="AR566" s="8"/>
      <c r="AS566" s="8"/>
      <c r="AT566" s="8"/>
    </row>
    <row r="567">
      <c r="A567" s="415"/>
      <c r="B567" s="210"/>
      <c r="C567" s="415"/>
      <c r="D567" s="210"/>
      <c r="E567" s="415"/>
      <c r="F567" s="210"/>
      <c r="G567" s="415"/>
      <c r="H567" s="210"/>
      <c r="I567" s="423"/>
      <c r="J567" s="156"/>
      <c r="K567" s="423"/>
      <c r="L567" s="156"/>
      <c r="M567" s="415"/>
      <c r="N567" s="210"/>
      <c r="O567" s="415"/>
      <c r="P567" s="210"/>
      <c r="Q567" s="452"/>
      <c r="R567" s="452"/>
      <c r="S567" s="415"/>
      <c r="T567" s="210"/>
      <c r="U567" s="415"/>
      <c r="V567" s="210"/>
      <c r="W567" s="415"/>
      <c r="X567" s="210"/>
      <c r="Y567" s="8"/>
      <c r="Z567" s="8"/>
      <c r="AA567" s="8"/>
      <c r="AB567" s="8"/>
      <c r="AC567" s="8"/>
      <c r="AD567" s="8"/>
      <c r="AE567" s="8"/>
      <c r="AF567" s="8"/>
      <c r="AG567" s="8"/>
      <c r="AH567" s="8"/>
      <c r="AI567" s="8"/>
      <c r="AJ567" s="8"/>
      <c r="AK567" s="8"/>
      <c r="AL567" s="8"/>
      <c r="AM567" s="8"/>
      <c r="AN567" s="8"/>
      <c r="AO567" s="8"/>
      <c r="AP567" s="8"/>
      <c r="AQ567" s="8"/>
      <c r="AR567" s="8"/>
      <c r="AS567" s="8"/>
      <c r="AT567" s="8"/>
    </row>
    <row r="568">
      <c r="A568" s="415"/>
      <c r="B568" s="210"/>
      <c r="C568" s="415"/>
      <c r="D568" s="210"/>
      <c r="E568" s="415"/>
      <c r="F568" s="210"/>
      <c r="G568" s="415"/>
      <c r="H568" s="210"/>
      <c r="I568" s="423"/>
      <c r="J568" s="156"/>
      <c r="K568" s="423"/>
      <c r="L568" s="156"/>
      <c r="M568" s="415"/>
      <c r="N568" s="210"/>
      <c r="O568" s="415"/>
      <c r="P568" s="210"/>
      <c r="Q568" s="452"/>
      <c r="R568" s="452"/>
      <c r="S568" s="415"/>
      <c r="T568" s="210"/>
      <c r="U568" s="415"/>
      <c r="V568" s="210"/>
      <c r="W568" s="415"/>
      <c r="X568" s="210"/>
      <c r="Y568" s="8"/>
      <c r="Z568" s="8"/>
      <c r="AA568" s="8"/>
      <c r="AB568" s="8"/>
      <c r="AC568" s="8"/>
      <c r="AD568" s="8"/>
      <c r="AE568" s="8"/>
      <c r="AF568" s="8"/>
      <c r="AG568" s="8"/>
      <c r="AH568" s="8"/>
      <c r="AI568" s="8"/>
      <c r="AJ568" s="8"/>
      <c r="AK568" s="8"/>
      <c r="AL568" s="8"/>
      <c r="AM568" s="8"/>
      <c r="AN568" s="8"/>
      <c r="AO568" s="8"/>
      <c r="AP568" s="8"/>
      <c r="AQ568" s="8"/>
      <c r="AR568" s="8"/>
      <c r="AS568" s="8"/>
      <c r="AT568" s="8"/>
    </row>
    <row r="569">
      <c r="A569" s="415"/>
      <c r="B569" s="210"/>
      <c r="C569" s="415"/>
      <c r="D569" s="210"/>
      <c r="E569" s="415"/>
      <c r="F569" s="210"/>
      <c r="G569" s="415"/>
      <c r="H569" s="210"/>
      <c r="I569" s="423"/>
      <c r="J569" s="156"/>
      <c r="K569" s="423"/>
      <c r="L569" s="156"/>
      <c r="M569" s="415"/>
      <c r="N569" s="210"/>
      <c r="O569" s="415"/>
      <c r="P569" s="210"/>
      <c r="Q569" s="452"/>
      <c r="R569" s="452"/>
      <c r="S569" s="415"/>
      <c r="T569" s="210"/>
      <c r="U569" s="415"/>
      <c r="V569" s="210"/>
      <c r="W569" s="415"/>
      <c r="X569" s="210"/>
      <c r="Y569" s="8"/>
      <c r="Z569" s="8"/>
      <c r="AA569" s="8"/>
      <c r="AB569" s="8"/>
      <c r="AC569" s="8"/>
      <c r="AD569" s="8"/>
      <c r="AE569" s="8"/>
      <c r="AF569" s="8"/>
      <c r="AG569" s="8"/>
      <c r="AH569" s="8"/>
      <c r="AI569" s="8"/>
      <c r="AJ569" s="8"/>
      <c r="AK569" s="8"/>
      <c r="AL569" s="8"/>
      <c r="AM569" s="8"/>
      <c r="AN569" s="8"/>
      <c r="AO569" s="8"/>
      <c r="AP569" s="8"/>
      <c r="AQ569" s="8"/>
      <c r="AR569" s="8"/>
      <c r="AS569" s="8"/>
      <c r="AT569" s="8"/>
    </row>
    <row r="570">
      <c r="A570" s="415"/>
      <c r="B570" s="210"/>
      <c r="C570" s="415"/>
      <c r="D570" s="210"/>
      <c r="E570" s="415"/>
      <c r="F570" s="210"/>
      <c r="G570" s="415"/>
      <c r="H570" s="210"/>
      <c r="I570" s="423"/>
      <c r="J570" s="156"/>
      <c r="K570" s="423"/>
      <c r="L570" s="156"/>
      <c r="M570" s="415"/>
      <c r="N570" s="210"/>
      <c r="O570" s="415"/>
      <c r="P570" s="210"/>
      <c r="Q570" s="452"/>
      <c r="R570" s="452"/>
      <c r="S570" s="415"/>
      <c r="T570" s="210"/>
      <c r="U570" s="415"/>
      <c r="V570" s="210"/>
      <c r="W570" s="415"/>
      <c r="X570" s="210"/>
      <c r="Y570" s="8"/>
      <c r="Z570" s="8"/>
      <c r="AA570" s="8"/>
      <c r="AB570" s="8"/>
      <c r="AC570" s="8"/>
      <c r="AD570" s="8"/>
      <c r="AE570" s="8"/>
      <c r="AF570" s="8"/>
      <c r="AG570" s="8"/>
      <c r="AH570" s="8"/>
      <c r="AI570" s="8"/>
      <c r="AJ570" s="8"/>
      <c r="AK570" s="8"/>
      <c r="AL570" s="8"/>
      <c r="AM570" s="8"/>
      <c r="AN570" s="8"/>
      <c r="AO570" s="8"/>
      <c r="AP570" s="8"/>
      <c r="AQ570" s="8"/>
      <c r="AR570" s="8"/>
      <c r="AS570" s="8"/>
      <c r="AT570" s="8"/>
    </row>
    <row r="571">
      <c r="A571" s="415"/>
      <c r="B571" s="210"/>
      <c r="C571" s="415"/>
      <c r="D571" s="210"/>
      <c r="E571" s="415"/>
      <c r="F571" s="210"/>
      <c r="G571" s="415"/>
      <c r="H571" s="210"/>
      <c r="I571" s="423"/>
      <c r="J571" s="156"/>
      <c r="K571" s="423"/>
      <c r="L571" s="156"/>
      <c r="M571" s="415"/>
      <c r="N571" s="210"/>
      <c r="O571" s="415"/>
      <c r="P571" s="210"/>
      <c r="Q571" s="452"/>
      <c r="R571" s="452"/>
      <c r="S571" s="415"/>
      <c r="T571" s="210"/>
      <c r="U571" s="415"/>
      <c r="V571" s="210"/>
      <c r="W571" s="415"/>
      <c r="X571" s="210"/>
      <c r="Y571" s="8"/>
      <c r="Z571" s="8"/>
      <c r="AA571" s="8"/>
      <c r="AB571" s="8"/>
      <c r="AC571" s="8"/>
      <c r="AD571" s="8"/>
      <c r="AE571" s="8"/>
      <c r="AF571" s="8"/>
      <c r="AG571" s="8"/>
      <c r="AH571" s="8"/>
      <c r="AI571" s="8"/>
      <c r="AJ571" s="8"/>
      <c r="AK571" s="8"/>
      <c r="AL571" s="8"/>
      <c r="AM571" s="8"/>
      <c r="AN571" s="8"/>
      <c r="AO571" s="8"/>
      <c r="AP571" s="8"/>
      <c r="AQ571" s="8"/>
      <c r="AR571" s="8"/>
      <c r="AS571" s="8"/>
      <c r="AT571" s="8"/>
    </row>
    <row r="572">
      <c r="A572" s="415"/>
      <c r="B572" s="210"/>
      <c r="C572" s="415"/>
      <c r="D572" s="210"/>
      <c r="E572" s="415"/>
      <c r="F572" s="210"/>
      <c r="G572" s="415"/>
      <c r="H572" s="210"/>
      <c r="I572" s="423"/>
      <c r="J572" s="156"/>
      <c r="K572" s="423"/>
      <c r="L572" s="156"/>
      <c r="M572" s="415"/>
      <c r="N572" s="210"/>
      <c r="O572" s="415"/>
      <c r="P572" s="210"/>
      <c r="Q572" s="452"/>
      <c r="R572" s="452"/>
      <c r="S572" s="415"/>
      <c r="T572" s="210"/>
      <c r="U572" s="415"/>
      <c r="V572" s="210"/>
      <c r="W572" s="415"/>
      <c r="X572" s="210"/>
      <c r="Y572" s="8"/>
      <c r="Z572" s="8"/>
      <c r="AA572" s="8"/>
      <c r="AB572" s="8"/>
      <c r="AC572" s="8"/>
      <c r="AD572" s="8"/>
      <c r="AE572" s="8"/>
      <c r="AF572" s="8"/>
      <c r="AG572" s="8"/>
      <c r="AH572" s="8"/>
      <c r="AI572" s="8"/>
      <c r="AJ572" s="8"/>
      <c r="AK572" s="8"/>
      <c r="AL572" s="8"/>
      <c r="AM572" s="8"/>
      <c r="AN572" s="8"/>
      <c r="AO572" s="8"/>
      <c r="AP572" s="8"/>
      <c r="AQ572" s="8"/>
      <c r="AR572" s="8"/>
      <c r="AS572" s="8"/>
      <c r="AT572" s="8"/>
    </row>
    <row r="573">
      <c r="A573" s="415"/>
      <c r="B573" s="210"/>
      <c r="C573" s="415"/>
      <c r="D573" s="210"/>
      <c r="E573" s="415"/>
      <c r="F573" s="210"/>
      <c r="G573" s="415"/>
      <c r="H573" s="210"/>
      <c r="I573" s="423"/>
      <c r="J573" s="156"/>
      <c r="K573" s="423"/>
      <c r="L573" s="156"/>
      <c r="M573" s="415"/>
      <c r="N573" s="210"/>
      <c r="O573" s="415"/>
      <c r="P573" s="210"/>
      <c r="Q573" s="452"/>
      <c r="R573" s="452"/>
      <c r="S573" s="415"/>
      <c r="T573" s="210"/>
      <c r="U573" s="415"/>
      <c r="V573" s="210"/>
      <c r="W573" s="415"/>
      <c r="X573" s="210"/>
      <c r="Y573" s="8"/>
      <c r="Z573" s="8"/>
      <c r="AA573" s="8"/>
      <c r="AB573" s="8"/>
      <c r="AC573" s="8"/>
      <c r="AD573" s="8"/>
      <c r="AE573" s="8"/>
      <c r="AF573" s="8"/>
      <c r="AG573" s="8"/>
      <c r="AH573" s="8"/>
      <c r="AI573" s="8"/>
      <c r="AJ573" s="8"/>
      <c r="AK573" s="8"/>
      <c r="AL573" s="8"/>
      <c r="AM573" s="8"/>
      <c r="AN573" s="8"/>
      <c r="AO573" s="8"/>
      <c r="AP573" s="8"/>
      <c r="AQ573" s="8"/>
      <c r="AR573" s="8"/>
      <c r="AS573" s="8"/>
      <c r="AT573" s="8"/>
    </row>
    <row r="574">
      <c r="A574" s="415"/>
      <c r="B574" s="210"/>
      <c r="C574" s="415"/>
      <c r="D574" s="210"/>
      <c r="E574" s="415"/>
      <c r="F574" s="210"/>
      <c r="G574" s="415"/>
      <c r="H574" s="210"/>
      <c r="I574" s="423"/>
      <c r="J574" s="156"/>
      <c r="K574" s="423"/>
      <c r="L574" s="156"/>
      <c r="M574" s="415"/>
      <c r="N574" s="210"/>
      <c r="O574" s="415"/>
      <c r="P574" s="210"/>
      <c r="Q574" s="452"/>
      <c r="R574" s="452"/>
      <c r="S574" s="415"/>
      <c r="T574" s="210"/>
      <c r="U574" s="415"/>
      <c r="V574" s="210"/>
      <c r="W574" s="415"/>
      <c r="X574" s="210"/>
      <c r="Y574" s="8"/>
      <c r="Z574" s="8"/>
      <c r="AA574" s="8"/>
      <c r="AB574" s="8"/>
      <c r="AC574" s="8"/>
      <c r="AD574" s="8"/>
      <c r="AE574" s="8"/>
      <c r="AF574" s="8"/>
      <c r="AG574" s="8"/>
      <c r="AH574" s="8"/>
      <c r="AI574" s="8"/>
      <c r="AJ574" s="8"/>
      <c r="AK574" s="8"/>
      <c r="AL574" s="8"/>
      <c r="AM574" s="8"/>
      <c r="AN574" s="8"/>
      <c r="AO574" s="8"/>
      <c r="AP574" s="8"/>
      <c r="AQ574" s="8"/>
      <c r="AR574" s="8"/>
      <c r="AS574" s="8"/>
      <c r="AT574" s="8"/>
    </row>
    <row r="575">
      <c r="A575" s="415"/>
      <c r="B575" s="210"/>
      <c r="C575" s="415"/>
      <c r="D575" s="210"/>
      <c r="E575" s="415"/>
      <c r="F575" s="210"/>
      <c r="G575" s="415"/>
      <c r="H575" s="210"/>
      <c r="I575" s="423"/>
      <c r="J575" s="156"/>
      <c r="K575" s="423"/>
      <c r="L575" s="156"/>
      <c r="M575" s="415"/>
      <c r="N575" s="210"/>
      <c r="O575" s="415"/>
      <c r="P575" s="210"/>
      <c r="Q575" s="452"/>
      <c r="R575" s="452"/>
      <c r="S575" s="415"/>
      <c r="T575" s="210"/>
      <c r="U575" s="415"/>
      <c r="V575" s="210"/>
      <c r="W575" s="415"/>
      <c r="X575" s="210"/>
      <c r="Y575" s="8"/>
      <c r="Z575" s="8"/>
      <c r="AA575" s="8"/>
      <c r="AB575" s="8"/>
      <c r="AC575" s="8"/>
      <c r="AD575" s="8"/>
      <c r="AE575" s="8"/>
      <c r="AF575" s="8"/>
      <c r="AG575" s="8"/>
      <c r="AH575" s="8"/>
      <c r="AI575" s="8"/>
      <c r="AJ575" s="8"/>
      <c r="AK575" s="8"/>
      <c r="AL575" s="8"/>
      <c r="AM575" s="8"/>
      <c r="AN575" s="8"/>
      <c r="AO575" s="8"/>
      <c r="AP575" s="8"/>
      <c r="AQ575" s="8"/>
      <c r="AR575" s="8"/>
      <c r="AS575" s="8"/>
      <c r="AT575" s="8"/>
    </row>
    <row r="576">
      <c r="A576" s="415"/>
      <c r="B576" s="210"/>
      <c r="C576" s="415"/>
      <c r="D576" s="210"/>
      <c r="E576" s="415"/>
      <c r="F576" s="210"/>
      <c r="G576" s="415"/>
      <c r="H576" s="210"/>
      <c r="I576" s="423"/>
      <c r="J576" s="156"/>
      <c r="K576" s="423"/>
      <c r="L576" s="156"/>
      <c r="M576" s="415"/>
      <c r="N576" s="210"/>
      <c r="O576" s="415"/>
      <c r="P576" s="210"/>
      <c r="Q576" s="452"/>
      <c r="R576" s="452"/>
      <c r="S576" s="415"/>
      <c r="T576" s="210"/>
      <c r="U576" s="415"/>
      <c r="V576" s="210"/>
      <c r="W576" s="415"/>
      <c r="X576" s="210"/>
      <c r="Y576" s="8"/>
      <c r="Z576" s="8"/>
      <c r="AA576" s="8"/>
      <c r="AB576" s="8"/>
      <c r="AC576" s="8"/>
      <c r="AD576" s="8"/>
      <c r="AE576" s="8"/>
      <c r="AF576" s="8"/>
      <c r="AG576" s="8"/>
      <c r="AH576" s="8"/>
      <c r="AI576" s="8"/>
      <c r="AJ576" s="8"/>
      <c r="AK576" s="8"/>
      <c r="AL576" s="8"/>
      <c r="AM576" s="8"/>
      <c r="AN576" s="8"/>
      <c r="AO576" s="8"/>
      <c r="AP576" s="8"/>
      <c r="AQ576" s="8"/>
      <c r="AR576" s="8"/>
      <c r="AS576" s="8"/>
      <c r="AT576" s="8"/>
    </row>
    <row r="577">
      <c r="A577" s="415"/>
      <c r="B577" s="210"/>
      <c r="C577" s="415"/>
      <c r="D577" s="210"/>
      <c r="E577" s="415"/>
      <c r="F577" s="210"/>
      <c r="G577" s="415"/>
      <c r="H577" s="210"/>
      <c r="I577" s="423"/>
      <c r="J577" s="156"/>
      <c r="K577" s="423"/>
      <c r="L577" s="156"/>
      <c r="M577" s="415"/>
      <c r="N577" s="210"/>
      <c r="O577" s="415"/>
      <c r="P577" s="210"/>
      <c r="Q577" s="452"/>
      <c r="R577" s="452"/>
      <c r="S577" s="415"/>
      <c r="T577" s="210"/>
      <c r="U577" s="415"/>
      <c r="V577" s="210"/>
      <c r="W577" s="415"/>
      <c r="X577" s="210"/>
      <c r="Y577" s="8"/>
      <c r="Z577" s="8"/>
      <c r="AA577" s="8"/>
      <c r="AB577" s="8"/>
      <c r="AC577" s="8"/>
      <c r="AD577" s="8"/>
      <c r="AE577" s="8"/>
      <c r="AF577" s="8"/>
      <c r="AG577" s="8"/>
      <c r="AH577" s="8"/>
      <c r="AI577" s="8"/>
      <c r="AJ577" s="8"/>
      <c r="AK577" s="8"/>
      <c r="AL577" s="8"/>
      <c r="AM577" s="8"/>
      <c r="AN577" s="8"/>
      <c r="AO577" s="8"/>
      <c r="AP577" s="8"/>
      <c r="AQ577" s="8"/>
      <c r="AR577" s="8"/>
      <c r="AS577" s="8"/>
      <c r="AT577" s="8"/>
    </row>
    <row r="578">
      <c r="A578" s="415"/>
      <c r="B578" s="210"/>
      <c r="C578" s="415"/>
      <c r="D578" s="210"/>
      <c r="E578" s="415"/>
      <c r="F578" s="210"/>
      <c r="G578" s="415"/>
      <c r="H578" s="210"/>
      <c r="I578" s="423"/>
      <c r="J578" s="156"/>
      <c r="K578" s="423"/>
      <c r="L578" s="156"/>
      <c r="M578" s="415"/>
      <c r="N578" s="210"/>
      <c r="O578" s="415"/>
      <c r="P578" s="210"/>
      <c r="Q578" s="452"/>
      <c r="R578" s="452"/>
      <c r="S578" s="415"/>
      <c r="T578" s="210"/>
      <c r="U578" s="415"/>
      <c r="V578" s="210"/>
      <c r="W578" s="415"/>
      <c r="X578" s="210"/>
      <c r="Y578" s="8"/>
      <c r="Z578" s="8"/>
      <c r="AA578" s="8"/>
      <c r="AB578" s="8"/>
      <c r="AC578" s="8"/>
      <c r="AD578" s="8"/>
      <c r="AE578" s="8"/>
      <c r="AF578" s="8"/>
      <c r="AG578" s="8"/>
      <c r="AH578" s="8"/>
      <c r="AI578" s="8"/>
      <c r="AJ578" s="8"/>
      <c r="AK578" s="8"/>
      <c r="AL578" s="8"/>
      <c r="AM578" s="8"/>
      <c r="AN578" s="8"/>
      <c r="AO578" s="8"/>
      <c r="AP578" s="8"/>
      <c r="AQ578" s="8"/>
      <c r="AR578" s="8"/>
      <c r="AS578" s="8"/>
      <c r="AT578" s="8"/>
    </row>
    <row r="579">
      <c r="A579" s="415"/>
      <c r="B579" s="210"/>
      <c r="C579" s="415"/>
      <c r="D579" s="210"/>
      <c r="E579" s="415"/>
      <c r="F579" s="210"/>
      <c r="G579" s="415"/>
      <c r="H579" s="210"/>
      <c r="I579" s="423"/>
      <c r="J579" s="156"/>
      <c r="K579" s="423"/>
      <c r="L579" s="156"/>
      <c r="M579" s="415"/>
      <c r="N579" s="210"/>
      <c r="O579" s="415"/>
      <c r="P579" s="210"/>
      <c r="Q579" s="452"/>
      <c r="R579" s="452"/>
      <c r="S579" s="415"/>
      <c r="T579" s="210"/>
      <c r="U579" s="415"/>
      <c r="V579" s="210"/>
      <c r="W579" s="415"/>
      <c r="X579" s="210"/>
      <c r="Y579" s="8"/>
      <c r="Z579" s="8"/>
      <c r="AA579" s="8"/>
      <c r="AB579" s="8"/>
      <c r="AC579" s="8"/>
      <c r="AD579" s="8"/>
      <c r="AE579" s="8"/>
      <c r="AF579" s="8"/>
      <c r="AG579" s="8"/>
      <c r="AH579" s="8"/>
      <c r="AI579" s="8"/>
      <c r="AJ579" s="8"/>
      <c r="AK579" s="8"/>
      <c r="AL579" s="8"/>
      <c r="AM579" s="8"/>
      <c r="AN579" s="8"/>
      <c r="AO579" s="8"/>
      <c r="AP579" s="8"/>
      <c r="AQ579" s="8"/>
      <c r="AR579" s="8"/>
      <c r="AS579" s="8"/>
      <c r="AT579" s="8"/>
    </row>
    <row r="580">
      <c r="A580" s="415"/>
      <c r="B580" s="210"/>
      <c r="C580" s="415"/>
      <c r="D580" s="210"/>
      <c r="E580" s="415"/>
      <c r="F580" s="210"/>
      <c r="G580" s="415"/>
      <c r="H580" s="210"/>
      <c r="I580" s="423"/>
      <c r="J580" s="156"/>
      <c r="K580" s="423"/>
      <c r="L580" s="156"/>
      <c r="M580" s="415"/>
      <c r="N580" s="210"/>
      <c r="O580" s="415"/>
      <c r="P580" s="210"/>
      <c r="Q580" s="452"/>
      <c r="R580" s="452"/>
      <c r="S580" s="415"/>
      <c r="T580" s="210"/>
      <c r="U580" s="415"/>
      <c r="V580" s="210"/>
      <c r="W580" s="415"/>
      <c r="X580" s="210"/>
      <c r="Y580" s="8"/>
      <c r="Z580" s="8"/>
      <c r="AA580" s="8"/>
      <c r="AB580" s="8"/>
      <c r="AC580" s="8"/>
      <c r="AD580" s="8"/>
      <c r="AE580" s="8"/>
      <c r="AF580" s="8"/>
      <c r="AG580" s="8"/>
      <c r="AH580" s="8"/>
      <c r="AI580" s="8"/>
      <c r="AJ580" s="8"/>
      <c r="AK580" s="8"/>
      <c r="AL580" s="8"/>
      <c r="AM580" s="8"/>
      <c r="AN580" s="8"/>
      <c r="AO580" s="8"/>
      <c r="AP580" s="8"/>
      <c r="AQ580" s="8"/>
      <c r="AR580" s="8"/>
      <c r="AS580" s="8"/>
      <c r="AT580" s="8"/>
    </row>
    <row r="581">
      <c r="A581" s="415"/>
      <c r="B581" s="210"/>
      <c r="C581" s="415"/>
      <c r="D581" s="210"/>
      <c r="E581" s="415"/>
      <c r="F581" s="210"/>
      <c r="G581" s="415"/>
      <c r="H581" s="210"/>
      <c r="I581" s="423"/>
      <c r="J581" s="156"/>
      <c r="K581" s="423"/>
      <c r="L581" s="156"/>
      <c r="M581" s="415"/>
      <c r="N581" s="210"/>
      <c r="O581" s="415"/>
      <c r="P581" s="210"/>
      <c r="Q581" s="452"/>
      <c r="R581" s="452"/>
      <c r="S581" s="415"/>
      <c r="T581" s="210"/>
      <c r="U581" s="415"/>
      <c r="V581" s="210"/>
      <c r="W581" s="415"/>
      <c r="X581" s="210"/>
      <c r="Y581" s="8"/>
      <c r="Z581" s="8"/>
      <c r="AA581" s="8"/>
      <c r="AB581" s="8"/>
      <c r="AC581" s="8"/>
      <c r="AD581" s="8"/>
      <c r="AE581" s="8"/>
      <c r="AF581" s="8"/>
      <c r="AG581" s="8"/>
      <c r="AH581" s="8"/>
      <c r="AI581" s="8"/>
      <c r="AJ581" s="8"/>
      <c r="AK581" s="8"/>
      <c r="AL581" s="8"/>
      <c r="AM581" s="8"/>
      <c r="AN581" s="8"/>
      <c r="AO581" s="8"/>
      <c r="AP581" s="8"/>
      <c r="AQ581" s="8"/>
      <c r="AR581" s="8"/>
      <c r="AS581" s="8"/>
      <c r="AT581" s="8"/>
    </row>
    <row r="582">
      <c r="A582" s="415"/>
      <c r="B582" s="210"/>
      <c r="C582" s="415"/>
      <c r="D582" s="210"/>
      <c r="E582" s="415"/>
      <c r="F582" s="210"/>
      <c r="G582" s="415"/>
      <c r="H582" s="210"/>
      <c r="I582" s="423"/>
      <c r="J582" s="156"/>
      <c r="K582" s="423"/>
      <c r="L582" s="156"/>
      <c r="M582" s="415"/>
      <c r="N582" s="210"/>
      <c r="O582" s="415"/>
      <c r="P582" s="210"/>
      <c r="Q582" s="452"/>
      <c r="R582" s="452"/>
      <c r="S582" s="415"/>
      <c r="T582" s="210"/>
      <c r="U582" s="415"/>
      <c r="V582" s="210"/>
      <c r="W582" s="415"/>
      <c r="X582" s="210"/>
      <c r="Y582" s="8"/>
      <c r="Z582" s="8"/>
      <c r="AA582" s="8"/>
      <c r="AB582" s="8"/>
      <c r="AC582" s="8"/>
      <c r="AD582" s="8"/>
      <c r="AE582" s="8"/>
      <c r="AF582" s="8"/>
      <c r="AG582" s="8"/>
      <c r="AH582" s="8"/>
      <c r="AI582" s="8"/>
      <c r="AJ582" s="8"/>
      <c r="AK582" s="8"/>
      <c r="AL582" s="8"/>
      <c r="AM582" s="8"/>
      <c r="AN582" s="8"/>
      <c r="AO582" s="8"/>
      <c r="AP582" s="8"/>
      <c r="AQ582" s="8"/>
      <c r="AR582" s="8"/>
      <c r="AS582" s="8"/>
      <c r="AT582" s="8"/>
    </row>
    <row r="583">
      <c r="A583" s="415"/>
      <c r="B583" s="210"/>
      <c r="C583" s="415"/>
      <c r="D583" s="210"/>
      <c r="E583" s="415"/>
      <c r="F583" s="210"/>
      <c r="G583" s="415"/>
      <c r="H583" s="210"/>
      <c r="I583" s="423"/>
      <c r="J583" s="156"/>
      <c r="K583" s="423"/>
      <c r="L583" s="156"/>
      <c r="M583" s="415"/>
      <c r="N583" s="210"/>
      <c r="O583" s="415"/>
      <c r="P583" s="210"/>
      <c r="Q583" s="452"/>
      <c r="R583" s="452"/>
      <c r="S583" s="415"/>
      <c r="T583" s="210"/>
      <c r="U583" s="415"/>
      <c r="V583" s="210"/>
      <c r="W583" s="415"/>
      <c r="X583" s="210"/>
      <c r="Y583" s="8"/>
      <c r="Z583" s="8"/>
      <c r="AA583" s="8"/>
      <c r="AB583" s="8"/>
      <c r="AC583" s="8"/>
      <c r="AD583" s="8"/>
      <c r="AE583" s="8"/>
      <c r="AF583" s="8"/>
      <c r="AG583" s="8"/>
      <c r="AH583" s="8"/>
      <c r="AI583" s="8"/>
      <c r="AJ583" s="8"/>
      <c r="AK583" s="8"/>
      <c r="AL583" s="8"/>
      <c r="AM583" s="8"/>
      <c r="AN583" s="8"/>
      <c r="AO583" s="8"/>
      <c r="AP583" s="8"/>
      <c r="AQ583" s="8"/>
      <c r="AR583" s="8"/>
      <c r="AS583" s="8"/>
      <c r="AT583" s="8"/>
    </row>
    <row r="584">
      <c r="A584" s="415"/>
      <c r="B584" s="210"/>
      <c r="C584" s="415"/>
      <c r="D584" s="210"/>
      <c r="E584" s="415"/>
      <c r="F584" s="210"/>
      <c r="G584" s="415"/>
      <c r="H584" s="210"/>
      <c r="I584" s="423"/>
      <c r="J584" s="156"/>
      <c r="K584" s="423"/>
      <c r="L584" s="156"/>
      <c r="M584" s="415"/>
      <c r="N584" s="210"/>
      <c r="O584" s="415"/>
      <c r="P584" s="210"/>
      <c r="Q584" s="452"/>
      <c r="R584" s="452"/>
      <c r="S584" s="415"/>
      <c r="T584" s="210"/>
      <c r="U584" s="415"/>
      <c r="V584" s="210"/>
      <c r="W584" s="415"/>
      <c r="X584" s="210"/>
      <c r="Y584" s="8"/>
      <c r="Z584" s="8"/>
      <c r="AA584" s="8"/>
      <c r="AB584" s="8"/>
      <c r="AC584" s="8"/>
      <c r="AD584" s="8"/>
      <c r="AE584" s="8"/>
      <c r="AF584" s="8"/>
      <c r="AG584" s="8"/>
      <c r="AH584" s="8"/>
      <c r="AI584" s="8"/>
      <c r="AJ584" s="8"/>
      <c r="AK584" s="8"/>
      <c r="AL584" s="8"/>
      <c r="AM584" s="8"/>
      <c r="AN584" s="8"/>
      <c r="AO584" s="8"/>
      <c r="AP584" s="8"/>
      <c r="AQ584" s="8"/>
      <c r="AR584" s="8"/>
      <c r="AS584" s="8"/>
      <c r="AT584" s="8"/>
    </row>
    <row r="585">
      <c r="A585" s="415"/>
      <c r="B585" s="210"/>
      <c r="C585" s="415"/>
      <c r="D585" s="210"/>
      <c r="E585" s="415"/>
      <c r="F585" s="210"/>
      <c r="G585" s="415"/>
      <c r="H585" s="210"/>
      <c r="I585" s="423"/>
      <c r="J585" s="156"/>
      <c r="K585" s="423"/>
      <c r="L585" s="156"/>
      <c r="M585" s="415"/>
      <c r="N585" s="210"/>
      <c r="O585" s="415"/>
      <c r="P585" s="210"/>
      <c r="Q585" s="452"/>
      <c r="R585" s="452"/>
      <c r="S585" s="415"/>
      <c r="T585" s="210"/>
      <c r="U585" s="415"/>
      <c r="V585" s="210"/>
      <c r="W585" s="415"/>
      <c r="X585" s="210"/>
      <c r="Y585" s="8"/>
      <c r="Z585" s="8"/>
      <c r="AA585" s="8"/>
      <c r="AB585" s="8"/>
      <c r="AC585" s="8"/>
      <c r="AD585" s="8"/>
      <c r="AE585" s="8"/>
      <c r="AF585" s="8"/>
      <c r="AG585" s="8"/>
      <c r="AH585" s="8"/>
      <c r="AI585" s="8"/>
      <c r="AJ585" s="8"/>
      <c r="AK585" s="8"/>
      <c r="AL585" s="8"/>
      <c r="AM585" s="8"/>
      <c r="AN585" s="8"/>
      <c r="AO585" s="8"/>
      <c r="AP585" s="8"/>
      <c r="AQ585" s="8"/>
      <c r="AR585" s="8"/>
      <c r="AS585" s="8"/>
      <c r="AT585" s="8"/>
    </row>
    <row r="586">
      <c r="A586" s="415"/>
      <c r="B586" s="210"/>
      <c r="C586" s="415"/>
      <c r="D586" s="210"/>
      <c r="E586" s="415"/>
      <c r="F586" s="210"/>
      <c r="G586" s="415"/>
      <c r="H586" s="210"/>
      <c r="I586" s="423"/>
      <c r="J586" s="156"/>
      <c r="K586" s="423"/>
      <c r="L586" s="156"/>
      <c r="M586" s="415"/>
      <c r="N586" s="210"/>
      <c r="O586" s="415"/>
      <c r="P586" s="210"/>
      <c r="Q586" s="452"/>
      <c r="R586" s="452"/>
      <c r="S586" s="415"/>
      <c r="T586" s="210"/>
      <c r="U586" s="415"/>
      <c r="V586" s="210"/>
      <c r="W586" s="415"/>
      <c r="X586" s="210"/>
      <c r="Y586" s="8"/>
      <c r="Z586" s="8"/>
      <c r="AA586" s="8"/>
      <c r="AB586" s="8"/>
      <c r="AC586" s="8"/>
      <c r="AD586" s="8"/>
      <c r="AE586" s="8"/>
      <c r="AF586" s="8"/>
      <c r="AG586" s="8"/>
      <c r="AH586" s="8"/>
      <c r="AI586" s="8"/>
      <c r="AJ586" s="8"/>
      <c r="AK586" s="8"/>
      <c r="AL586" s="8"/>
      <c r="AM586" s="8"/>
      <c r="AN586" s="8"/>
      <c r="AO586" s="8"/>
      <c r="AP586" s="8"/>
      <c r="AQ586" s="8"/>
      <c r="AR586" s="8"/>
      <c r="AS586" s="8"/>
      <c r="AT586" s="8"/>
    </row>
    <row r="587">
      <c r="A587" s="415"/>
      <c r="B587" s="210"/>
      <c r="C587" s="415"/>
      <c r="D587" s="210"/>
      <c r="E587" s="415"/>
      <c r="F587" s="210"/>
      <c r="G587" s="415"/>
      <c r="H587" s="210"/>
      <c r="I587" s="423"/>
      <c r="J587" s="156"/>
      <c r="K587" s="423"/>
      <c r="L587" s="156"/>
      <c r="M587" s="415"/>
      <c r="N587" s="210"/>
      <c r="O587" s="415"/>
      <c r="P587" s="210"/>
      <c r="Q587" s="452"/>
      <c r="R587" s="452"/>
      <c r="S587" s="415"/>
      <c r="T587" s="210"/>
      <c r="U587" s="415"/>
      <c r="V587" s="210"/>
      <c r="W587" s="415"/>
      <c r="X587" s="210"/>
      <c r="Y587" s="8"/>
      <c r="Z587" s="8"/>
      <c r="AA587" s="8"/>
      <c r="AB587" s="8"/>
      <c r="AC587" s="8"/>
      <c r="AD587" s="8"/>
      <c r="AE587" s="8"/>
      <c r="AF587" s="8"/>
      <c r="AG587" s="8"/>
      <c r="AH587" s="8"/>
      <c r="AI587" s="8"/>
      <c r="AJ587" s="8"/>
      <c r="AK587" s="8"/>
      <c r="AL587" s="8"/>
      <c r="AM587" s="8"/>
      <c r="AN587" s="8"/>
      <c r="AO587" s="8"/>
      <c r="AP587" s="8"/>
      <c r="AQ587" s="8"/>
      <c r="AR587" s="8"/>
      <c r="AS587" s="8"/>
      <c r="AT587" s="8"/>
    </row>
    <row r="588">
      <c r="A588" s="415"/>
      <c r="B588" s="210"/>
      <c r="C588" s="415"/>
      <c r="D588" s="210"/>
      <c r="E588" s="415"/>
      <c r="F588" s="210"/>
      <c r="G588" s="415"/>
      <c r="H588" s="210"/>
      <c r="I588" s="423"/>
      <c r="J588" s="156"/>
      <c r="K588" s="423"/>
      <c r="L588" s="156"/>
      <c r="M588" s="415"/>
      <c r="N588" s="210"/>
      <c r="O588" s="415"/>
      <c r="P588" s="210"/>
      <c r="Q588" s="452"/>
      <c r="R588" s="452"/>
      <c r="S588" s="415"/>
      <c r="T588" s="210"/>
      <c r="U588" s="415"/>
      <c r="V588" s="210"/>
      <c r="W588" s="415"/>
      <c r="X588" s="210"/>
      <c r="Y588" s="8"/>
      <c r="Z588" s="8"/>
      <c r="AA588" s="8"/>
      <c r="AB588" s="8"/>
      <c r="AC588" s="8"/>
      <c r="AD588" s="8"/>
      <c r="AE588" s="8"/>
      <c r="AF588" s="8"/>
      <c r="AG588" s="8"/>
      <c r="AH588" s="8"/>
      <c r="AI588" s="8"/>
      <c r="AJ588" s="8"/>
      <c r="AK588" s="8"/>
      <c r="AL588" s="8"/>
      <c r="AM588" s="8"/>
      <c r="AN588" s="8"/>
      <c r="AO588" s="8"/>
      <c r="AP588" s="8"/>
      <c r="AQ588" s="8"/>
      <c r="AR588" s="8"/>
      <c r="AS588" s="8"/>
      <c r="AT588" s="8"/>
    </row>
    <row r="589">
      <c r="A589" s="415"/>
      <c r="B589" s="210"/>
      <c r="C589" s="415"/>
      <c r="D589" s="210"/>
      <c r="E589" s="415"/>
      <c r="F589" s="210"/>
      <c r="G589" s="415"/>
      <c r="H589" s="210"/>
      <c r="I589" s="423"/>
      <c r="J589" s="156"/>
      <c r="K589" s="423"/>
      <c r="L589" s="156"/>
      <c r="M589" s="415"/>
      <c r="N589" s="210"/>
      <c r="O589" s="415"/>
      <c r="P589" s="210"/>
      <c r="Q589" s="452"/>
      <c r="R589" s="452"/>
      <c r="S589" s="415"/>
      <c r="T589" s="210"/>
      <c r="U589" s="415"/>
      <c r="V589" s="210"/>
      <c r="W589" s="415"/>
      <c r="X589" s="210"/>
      <c r="Y589" s="8"/>
      <c r="Z589" s="8"/>
      <c r="AA589" s="8"/>
      <c r="AB589" s="8"/>
      <c r="AC589" s="8"/>
      <c r="AD589" s="8"/>
      <c r="AE589" s="8"/>
      <c r="AF589" s="8"/>
      <c r="AG589" s="8"/>
      <c r="AH589" s="8"/>
      <c r="AI589" s="8"/>
      <c r="AJ589" s="8"/>
      <c r="AK589" s="8"/>
      <c r="AL589" s="8"/>
      <c r="AM589" s="8"/>
      <c r="AN589" s="8"/>
      <c r="AO589" s="8"/>
      <c r="AP589" s="8"/>
      <c r="AQ589" s="8"/>
      <c r="AR589" s="8"/>
      <c r="AS589" s="8"/>
      <c r="AT589" s="8"/>
    </row>
    <row r="590">
      <c r="A590" s="415"/>
      <c r="B590" s="210"/>
      <c r="C590" s="415"/>
      <c r="D590" s="210"/>
      <c r="E590" s="415"/>
      <c r="F590" s="210"/>
      <c r="G590" s="415"/>
      <c r="H590" s="210"/>
      <c r="I590" s="423"/>
      <c r="J590" s="156"/>
      <c r="K590" s="423"/>
      <c r="L590" s="156"/>
      <c r="M590" s="415"/>
      <c r="N590" s="210"/>
      <c r="O590" s="415"/>
      <c r="P590" s="210"/>
      <c r="Q590" s="452"/>
      <c r="R590" s="452"/>
      <c r="S590" s="415"/>
      <c r="T590" s="210"/>
      <c r="U590" s="415"/>
      <c r="V590" s="210"/>
      <c r="W590" s="415"/>
      <c r="X590" s="210"/>
      <c r="Y590" s="8"/>
      <c r="Z590" s="8"/>
      <c r="AA590" s="8"/>
      <c r="AB590" s="8"/>
      <c r="AC590" s="8"/>
      <c r="AD590" s="8"/>
      <c r="AE590" s="8"/>
      <c r="AF590" s="8"/>
      <c r="AG590" s="8"/>
      <c r="AH590" s="8"/>
      <c r="AI590" s="8"/>
      <c r="AJ590" s="8"/>
      <c r="AK590" s="8"/>
      <c r="AL590" s="8"/>
      <c r="AM590" s="8"/>
      <c r="AN590" s="8"/>
      <c r="AO590" s="8"/>
      <c r="AP590" s="8"/>
      <c r="AQ590" s="8"/>
      <c r="AR590" s="8"/>
      <c r="AS590" s="8"/>
      <c r="AT590" s="8"/>
    </row>
    <row r="591">
      <c r="A591" s="415"/>
      <c r="B591" s="210"/>
      <c r="C591" s="415"/>
      <c r="D591" s="210"/>
      <c r="E591" s="415"/>
      <c r="F591" s="210"/>
      <c r="G591" s="415"/>
      <c r="H591" s="210"/>
      <c r="I591" s="423"/>
      <c r="J591" s="156"/>
      <c r="K591" s="423"/>
      <c r="L591" s="156"/>
      <c r="M591" s="415"/>
      <c r="N591" s="210"/>
      <c r="O591" s="415"/>
      <c r="P591" s="210"/>
      <c r="Q591" s="452"/>
      <c r="R591" s="452"/>
      <c r="S591" s="415"/>
      <c r="T591" s="210"/>
      <c r="U591" s="415"/>
      <c r="V591" s="210"/>
      <c r="W591" s="415"/>
      <c r="X591" s="210"/>
      <c r="Y591" s="8"/>
      <c r="Z591" s="8"/>
      <c r="AA591" s="8"/>
      <c r="AB591" s="8"/>
      <c r="AC591" s="8"/>
      <c r="AD591" s="8"/>
      <c r="AE591" s="8"/>
      <c r="AF591" s="8"/>
      <c r="AG591" s="8"/>
      <c r="AH591" s="8"/>
      <c r="AI591" s="8"/>
      <c r="AJ591" s="8"/>
      <c r="AK591" s="8"/>
      <c r="AL591" s="8"/>
      <c r="AM591" s="8"/>
      <c r="AN591" s="8"/>
      <c r="AO591" s="8"/>
      <c r="AP591" s="8"/>
      <c r="AQ591" s="8"/>
      <c r="AR591" s="8"/>
      <c r="AS591" s="8"/>
      <c r="AT591" s="8"/>
    </row>
    <row r="592">
      <c r="A592" s="415"/>
      <c r="B592" s="210"/>
      <c r="C592" s="415"/>
      <c r="D592" s="210"/>
      <c r="E592" s="415"/>
      <c r="F592" s="210"/>
      <c r="G592" s="415"/>
      <c r="H592" s="210"/>
      <c r="I592" s="423"/>
      <c r="J592" s="156"/>
      <c r="K592" s="423"/>
      <c r="L592" s="156"/>
      <c r="M592" s="415"/>
      <c r="N592" s="210"/>
      <c r="O592" s="415"/>
      <c r="P592" s="210"/>
      <c r="Q592" s="452"/>
      <c r="R592" s="452"/>
      <c r="S592" s="415"/>
      <c r="T592" s="210"/>
      <c r="U592" s="415"/>
      <c r="V592" s="210"/>
      <c r="W592" s="415"/>
      <c r="X592" s="210"/>
      <c r="Y592" s="8"/>
      <c r="Z592" s="8"/>
      <c r="AA592" s="8"/>
      <c r="AB592" s="8"/>
      <c r="AC592" s="8"/>
      <c r="AD592" s="8"/>
      <c r="AE592" s="8"/>
      <c r="AF592" s="8"/>
      <c r="AG592" s="8"/>
      <c r="AH592" s="8"/>
      <c r="AI592" s="8"/>
      <c r="AJ592" s="8"/>
      <c r="AK592" s="8"/>
      <c r="AL592" s="8"/>
      <c r="AM592" s="8"/>
      <c r="AN592" s="8"/>
      <c r="AO592" s="8"/>
      <c r="AP592" s="8"/>
      <c r="AQ592" s="8"/>
      <c r="AR592" s="8"/>
      <c r="AS592" s="8"/>
      <c r="AT592" s="8"/>
    </row>
    <row r="593">
      <c r="A593" s="415"/>
      <c r="B593" s="210"/>
      <c r="C593" s="415"/>
      <c r="D593" s="210"/>
      <c r="E593" s="415"/>
      <c r="F593" s="210"/>
      <c r="G593" s="415"/>
      <c r="H593" s="210"/>
      <c r="I593" s="423"/>
      <c r="J593" s="156"/>
      <c r="K593" s="423"/>
      <c r="L593" s="156"/>
      <c r="M593" s="415"/>
      <c r="N593" s="210"/>
      <c r="O593" s="415"/>
      <c r="P593" s="210"/>
      <c r="Q593" s="452"/>
      <c r="R593" s="452"/>
      <c r="S593" s="415"/>
      <c r="T593" s="210"/>
      <c r="U593" s="415"/>
      <c r="V593" s="210"/>
      <c r="W593" s="415"/>
      <c r="X593" s="210"/>
      <c r="Y593" s="8"/>
      <c r="Z593" s="8"/>
      <c r="AA593" s="8"/>
      <c r="AB593" s="8"/>
      <c r="AC593" s="8"/>
      <c r="AD593" s="8"/>
      <c r="AE593" s="8"/>
      <c r="AF593" s="8"/>
      <c r="AG593" s="8"/>
      <c r="AH593" s="8"/>
      <c r="AI593" s="8"/>
      <c r="AJ593" s="8"/>
      <c r="AK593" s="8"/>
      <c r="AL593" s="8"/>
      <c r="AM593" s="8"/>
      <c r="AN593" s="8"/>
      <c r="AO593" s="8"/>
      <c r="AP593" s="8"/>
      <c r="AQ593" s="8"/>
      <c r="AR593" s="8"/>
      <c r="AS593" s="8"/>
      <c r="AT593" s="8"/>
    </row>
    <row r="594">
      <c r="A594" s="415"/>
      <c r="B594" s="210"/>
      <c r="C594" s="415"/>
      <c r="D594" s="210"/>
      <c r="E594" s="415"/>
      <c r="F594" s="210"/>
      <c r="G594" s="415"/>
      <c r="H594" s="210"/>
      <c r="I594" s="423"/>
      <c r="J594" s="156"/>
      <c r="K594" s="423"/>
      <c r="L594" s="156"/>
      <c r="M594" s="415"/>
      <c r="N594" s="210"/>
      <c r="O594" s="415"/>
      <c r="P594" s="210"/>
      <c r="Q594" s="452"/>
      <c r="R594" s="452"/>
      <c r="S594" s="415"/>
      <c r="T594" s="210"/>
      <c r="U594" s="415"/>
      <c r="V594" s="210"/>
      <c r="W594" s="415"/>
      <c r="X594" s="210"/>
      <c r="Y594" s="8"/>
      <c r="Z594" s="8"/>
      <c r="AA594" s="8"/>
      <c r="AB594" s="8"/>
      <c r="AC594" s="8"/>
      <c r="AD594" s="8"/>
      <c r="AE594" s="8"/>
      <c r="AF594" s="8"/>
      <c r="AG594" s="8"/>
      <c r="AH594" s="8"/>
      <c r="AI594" s="8"/>
      <c r="AJ594" s="8"/>
      <c r="AK594" s="8"/>
      <c r="AL594" s="8"/>
      <c r="AM594" s="8"/>
      <c r="AN594" s="8"/>
      <c r="AO594" s="8"/>
      <c r="AP594" s="8"/>
      <c r="AQ594" s="8"/>
      <c r="AR594" s="8"/>
      <c r="AS594" s="8"/>
      <c r="AT594" s="8"/>
    </row>
    <row r="595">
      <c r="A595" s="415"/>
      <c r="B595" s="210"/>
      <c r="C595" s="415"/>
      <c r="D595" s="210"/>
      <c r="E595" s="415"/>
      <c r="F595" s="210"/>
      <c r="G595" s="415"/>
      <c r="H595" s="210"/>
      <c r="I595" s="423"/>
      <c r="J595" s="156"/>
      <c r="K595" s="423"/>
      <c r="L595" s="156"/>
      <c r="M595" s="415"/>
      <c r="N595" s="210"/>
      <c r="O595" s="415"/>
      <c r="P595" s="210"/>
      <c r="Q595" s="452"/>
      <c r="R595" s="452"/>
      <c r="S595" s="415"/>
      <c r="T595" s="210"/>
      <c r="U595" s="415"/>
      <c r="V595" s="210"/>
      <c r="W595" s="415"/>
      <c r="X595" s="210"/>
      <c r="Y595" s="8"/>
      <c r="Z595" s="8"/>
      <c r="AA595" s="8"/>
      <c r="AB595" s="8"/>
      <c r="AC595" s="8"/>
      <c r="AD595" s="8"/>
      <c r="AE595" s="8"/>
      <c r="AF595" s="8"/>
      <c r="AG595" s="8"/>
      <c r="AH595" s="8"/>
      <c r="AI595" s="8"/>
      <c r="AJ595" s="8"/>
      <c r="AK595" s="8"/>
      <c r="AL595" s="8"/>
      <c r="AM595" s="8"/>
      <c r="AN595" s="8"/>
      <c r="AO595" s="8"/>
      <c r="AP595" s="8"/>
      <c r="AQ595" s="8"/>
      <c r="AR595" s="8"/>
      <c r="AS595" s="8"/>
      <c r="AT595" s="8"/>
    </row>
    <row r="596">
      <c r="A596" s="415"/>
      <c r="B596" s="210"/>
      <c r="C596" s="415"/>
      <c r="D596" s="210"/>
      <c r="E596" s="415"/>
      <c r="F596" s="210"/>
      <c r="G596" s="415"/>
      <c r="H596" s="210"/>
      <c r="I596" s="423"/>
      <c r="J596" s="156"/>
      <c r="K596" s="423"/>
      <c r="L596" s="156"/>
      <c r="M596" s="415"/>
      <c r="N596" s="210"/>
      <c r="O596" s="415"/>
      <c r="P596" s="210"/>
      <c r="Q596" s="452"/>
      <c r="R596" s="452"/>
      <c r="S596" s="415"/>
      <c r="T596" s="210"/>
      <c r="U596" s="415"/>
      <c r="V596" s="210"/>
      <c r="W596" s="415"/>
      <c r="X596" s="210"/>
      <c r="Y596" s="8"/>
      <c r="Z596" s="8"/>
      <c r="AA596" s="8"/>
      <c r="AB596" s="8"/>
      <c r="AC596" s="8"/>
      <c r="AD596" s="8"/>
      <c r="AE596" s="8"/>
      <c r="AF596" s="8"/>
      <c r="AG596" s="8"/>
      <c r="AH596" s="8"/>
      <c r="AI596" s="8"/>
      <c r="AJ596" s="8"/>
      <c r="AK596" s="8"/>
      <c r="AL596" s="8"/>
      <c r="AM596" s="8"/>
      <c r="AN596" s="8"/>
      <c r="AO596" s="8"/>
      <c r="AP596" s="8"/>
      <c r="AQ596" s="8"/>
      <c r="AR596" s="8"/>
      <c r="AS596" s="8"/>
      <c r="AT596" s="8"/>
    </row>
    <row r="597">
      <c r="A597" s="415"/>
      <c r="B597" s="210"/>
      <c r="C597" s="415"/>
      <c r="D597" s="210"/>
      <c r="E597" s="415"/>
      <c r="F597" s="210"/>
      <c r="G597" s="415"/>
      <c r="H597" s="210"/>
      <c r="I597" s="423"/>
      <c r="J597" s="156"/>
      <c r="K597" s="423"/>
      <c r="L597" s="156"/>
      <c r="M597" s="415"/>
      <c r="N597" s="210"/>
      <c r="O597" s="415"/>
      <c r="P597" s="210"/>
      <c r="Q597" s="452"/>
      <c r="R597" s="452"/>
      <c r="S597" s="415"/>
      <c r="T597" s="210"/>
      <c r="U597" s="415"/>
      <c r="V597" s="210"/>
      <c r="W597" s="415"/>
      <c r="X597" s="210"/>
      <c r="Y597" s="8"/>
      <c r="Z597" s="8"/>
      <c r="AA597" s="8"/>
      <c r="AB597" s="8"/>
      <c r="AC597" s="8"/>
      <c r="AD597" s="8"/>
      <c r="AE597" s="8"/>
      <c r="AF597" s="8"/>
      <c r="AG597" s="8"/>
      <c r="AH597" s="8"/>
      <c r="AI597" s="8"/>
      <c r="AJ597" s="8"/>
      <c r="AK597" s="8"/>
      <c r="AL597" s="8"/>
      <c r="AM597" s="8"/>
      <c r="AN597" s="8"/>
      <c r="AO597" s="8"/>
      <c r="AP597" s="8"/>
      <c r="AQ597" s="8"/>
      <c r="AR597" s="8"/>
      <c r="AS597" s="8"/>
      <c r="AT597" s="8"/>
    </row>
    <row r="598">
      <c r="A598" s="415"/>
      <c r="B598" s="210"/>
      <c r="C598" s="415"/>
      <c r="D598" s="210"/>
      <c r="E598" s="415"/>
      <c r="F598" s="210"/>
      <c r="G598" s="415"/>
      <c r="H598" s="210"/>
      <c r="I598" s="423"/>
      <c r="J598" s="156"/>
      <c r="K598" s="423"/>
      <c r="L598" s="156"/>
      <c r="M598" s="415"/>
      <c r="N598" s="210"/>
      <c r="O598" s="415"/>
      <c r="P598" s="210"/>
      <c r="Q598" s="452"/>
      <c r="R598" s="452"/>
      <c r="S598" s="415"/>
      <c r="T598" s="210"/>
      <c r="U598" s="415"/>
      <c r="V598" s="210"/>
      <c r="W598" s="415"/>
      <c r="X598" s="210"/>
      <c r="Y598" s="8"/>
      <c r="Z598" s="8"/>
      <c r="AA598" s="8"/>
      <c r="AB598" s="8"/>
      <c r="AC598" s="8"/>
      <c r="AD598" s="8"/>
      <c r="AE598" s="8"/>
      <c r="AF598" s="8"/>
      <c r="AG598" s="8"/>
      <c r="AH598" s="8"/>
      <c r="AI598" s="8"/>
      <c r="AJ598" s="8"/>
      <c r="AK598" s="8"/>
      <c r="AL598" s="8"/>
      <c r="AM598" s="8"/>
      <c r="AN598" s="8"/>
      <c r="AO598" s="8"/>
      <c r="AP598" s="8"/>
      <c r="AQ598" s="8"/>
      <c r="AR598" s="8"/>
      <c r="AS598" s="8"/>
      <c r="AT598" s="8"/>
    </row>
    <row r="599">
      <c r="A599" s="415"/>
      <c r="B599" s="210"/>
      <c r="C599" s="415"/>
      <c r="D599" s="210"/>
      <c r="E599" s="415"/>
      <c r="F599" s="210"/>
      <c r="G599" s="415"/>
      <c r="H599" s="210"/>
      <c r="I599" s="423"/>
      <c r="J599" s="156"/>
      <c r="K599" s="423"/>
      <c r="L599" s="156"/>
      <c r="M599" s="415"/>
      <c r="N599" s="210"/>
      <c r="O599" s="415"/>
      <c r="P599" s="210"/>
      <c r="Q599" s="452"/>
      <c r="R599" s="452"/>
      <c r="S599" s="415"/>
      <c r="T599" s="210"/>
      <c r="U599" s="415"/>
      <c r="V599" s="210"/>
      <c r="W599" s="415"/>
      <c r="X599" s="210"/>
      <c r="Y599" s="8"/>
      <c r="Z599" s="8"/>
      <c r="AA599" s="8"/>
      <c r="AB599" s="8"/>
      <c r="AC599" s="8"/>
      <c r="AD599" s="8"/>
      <c r="AE599" s="8"/>
      <c r="AF599" s="8"/>
      <c r="AG599" s="8"/>
      <c r="AH599" s="8"/>
      <c r="AI599" s="8"/>
      <c r="AJ599" s="8"/>
      <c r="AK599" s="8"/>
      <c r="AL599" s="8"/>
      <c r="AM599" s="8"/>
      <c r="AN599" s="8"/>
      <c r="AO599" s="8"/>
      <c r="AP599" s="8"/>
      <c r="AQ599" s="8"/>
      <c r="AR599" s="8"/>
      <c r="AS599" s="8"/>
      <c r="AT599" s="8"/>
    </row>
    <row r="600">
      <c r="A600" s="415"/>
      <c r="B600" s="210"/>
      <c r="C600" s="415"/>
      <c r="D600" s="210"/>
      <c r="E600" s="415"/>
      <c r="F600" s="210"/>
      <c r="G600" s="415"/>
      <c r="H600" s="210"/>
      <c r="I600" s="423"/>
      <c r="J600" s="156"/>
      <c r="K600" s="423"/>
      <c r="L600" s="156"/>
      <c r="M600" s="415"/>
      <c r="N600" s="210"/>
      <c r="O600" s="415"/>
      <c r="P600" s="210"/>
      <c r="Q600" s="452"/>
      <c r="R600" s="452"/>
      <c r="S600" s="415"/>
      <c r="T600" s="210"/>
      <c r="U600" s="415"/>
      <c r="V600" s="210"/>
      <c r="W600" s="415"/>
      <c r="X600" s="210"/>
      <c r="Y600" s="8"/>
      <c r="Z600" s="8"/>
      <c r="AA600" s="8"/>
      <c r="AB600" s="8"/>
      <c r="AC600" s="8"/>
      <c r="AD600" s="8"/>
      <c r="AE600" s="8"/>
      <c r="AF600" s="8"/>
      <c r="AG600" s="8"/>
      <c r="AH600" s="8"/>
      <c r="AI600" s="8"/>
      <c r="AJ600" s="8"/>
      <c r="AK600" s="8"/>
      <c r="AL600" s="8"/>
      <c r="AM600" s="8"/>
      <c r="AN600" s="8"/>
      <c r="AO600" s="8"/>
      <c r="AP600" s="8"/>
      <c r="AQ600" s="8"/>
      <c r="AR600" s="8"/>
      <c r="AS600" s="8"/>
      <c r="AT600" s="8"/>
    </row>
    <row r="601">
      <c r="A601" s="415"/>
      <c r="B601" s="210"/>
      <c r="C601" s="415"/>
      <c r="D601" s="210"/>
      <c r="E601" s="415"/>
      <c r="F601" s="210"/>
      <c r="G601" s="415"/>
      <c r="H601" s="210"/>
      <c r="I601" s="423"/>
      <c r="J601" s="156"/>
      <c r="K601" s="423"/>
      <c r="L601" s="156"/>
      <c r="M601" s="415"/>
      <c r="N601" s="210"/>
      <c r="O601" s="415"/>
      <c r="P601" s="210"/>
      <c r="Q601" s="452"/>
      <c r="R601" s="452"/>
      <c r="S601" s="415"/>
      <c r="T601" s="210"/>
      <c r="U601" s="415"/>
      <c r="V601" s="210"/>
      <c r="W601" s="415"/>
      <c r="X601" s="210"/>
      <c r="Y601" s="8"/>
      <c r="Z601" s="8"/>
      <c r="AA601" s="8"/>
      <c r="AB601" s="8"/>
      <c r="AC601" s="8"/>
      <c r="AD601" s="8"/>
      <c r="AE601" s="8"/>
      <c r="AF601" s="8"/>
      <c r="AG601" s="8"/>
      <c r="AH601" s="8"/>
      <c r="AI601" s="8"/>
      <c r="AJ601" s="8"/>
      <c r="AK601" s="8"/>
      <c r="AL601" s="8"/>
      <c r="AM601" s="8"/>
      <c r="AN601" s="8"/>
      <c r="AO601" s="8"/>
      <c r="AP601" s="8"/>
      <c r="AQ601" s="8"/>
      <c r="AR601" s="8"/>
      <c r="AS601" s="8"/>
      <c r="AT601" s="8"/>
    </row>
    <row r="602">
      <c r="A602" s="415"/>
      <c r="B602" s="210"/>
      <c r="C602" s="415"/>
      <c r="D602" s="210"/>
      <c r="E602" s="415"/>
      <c r="F602" s="210"/>
      <c r="G602" s="415"/>
      <c r="H602" s="210"/>
      <c r="I602" s="423"/>
      <c r="J602" s="156"/>
      <c r="K602" s="423"/>
      <c r="L602" s="156"/>
      <c r="M602" s="415"/>
      <c r="N602" s="210"/>
      <c r="O602" s="415"/>
      <c r="P602" s="210"/>
      <c r="Q602" s="452"/>
      <c r="R602" s="452"/>
      <c r="S602" s="415"/>
      <c r="T602" s="210"/>
      <c r="U602" s="415"/>
      <c r="V602" s="210"/>
      <c r="W602" s="415"/>
      <c r="X602" s="210"/>
      <c r="Y602" s="8"/>
      <c r="Z602" s="8"/>
      <c r="AA602" s="8"/>
      <c r="AB602" s="8"/>
      <c r="AC602" s="8"/>
      <c r="AD602" s="8"/>
      <c r="AE602" s="8"/>
      <c r="AF602" s="8"/>
      <c r="AG602" s="8"/>
      <c r="AH602" s="8"/>
      <c r="AI602" s="8"/>
      <c r="AJ602" s="8"/>
      <c r="AK602" s="8"/>
      <c r="AL602" s="8"/>
      <c r="AM602" s="8"/>
      <c r="AN602" s="8"/>
      <c r="AO602" s="8"/>
      <c r="AP602" s="8"/>
      <c r="AQ602" s="8"/>
      <c r="AR602" s="8"/>
      <c r="AS602" s="8"/>
      <c r="AT602" s="8"/>
    </row>
    <row r="603">
      <c r="A603" s="415"/>
      <c r="B603" s="210"/>
      <c r="C603" s="415"/>
      <c r="D603" s="210"/>
      <c r="E603" s="415"/>
      <c r="F603" s="210"/>
      <c r="G603" s="415"/>
      <c r="H603" s="210"/>
      <c r="I603" s="423"/>
      <c r="J603" s="156"/>
      <c r="K603" s="423"/>
      <c r="L603" s="156"/>
      <c r="M603" s="415"/>
      <c r="N603" s="210"/>
      <c r="O603" s="415"/>
      <c r="P603" s="210"/>
      <c r="Q603" s="452"/>
      <c r="R603" s="452"/>
      <c r="S603" s="415"/>
      <c r="T603" s="210"/>
      <c r="U603" s="415"/>
      <c r="V603" s="210"/>
      <c r="W603" s="415"/>
      <c r="X603" s="210"/>
      <c r="Y603" s="8"/>
      <c r="Z603" s="8"/>
      <c r="AA603" s="8"/>
      <c r="AB603" s="8"/>
      <c r="AC603" s="8"/>
      <c r="AD603" s="8"/>
      <c r="AE603" s="8"/>
      <c r="AF603" s="8"/>
      <c r="AG603" s="8"/>
      <c r="AH603" s="8"/>
      <c r="AI603" s="8"/>
      <c r="AJ603" s="8"/>
      <c r="AK603" s="8"/>
      <c r="AL603" s="8"/>
      <c r="AM603" s="8"/>
      <c r="AN603" s="8"/>
      <c r="AO603" s="8"/>
      <c r="AP603" s="8"/>
      <c r="AQ603" s="8"/>
      <c r="AR603" s="8"/>
      <c r="AS603" s="8"/>
      <c r="AT603" s="8"/>
    </row>
    <row r="604">
      <c r="A604" s="415"/>
      <c r="B604" s="210"/>
      <c r="C604" s="415"/>
      <c r="D604" s="210"/>
      <c r="E604" s="415"/>
      <c r="F604" s="210"/>
      <c r="G604" s="415"/>
      <c r="H604" s="210"/>
      <c r="I604" s="423"/>
      <c r="J604" s="156"/>
      <c r="K604" s="423"/>
      <c r="L604" s="156"/>
      <c r="M604" s="415"/>
      <c r="N604" s="210"/>
      <c r="O604" s="415"/>
      <c r="P604" s="210"/>
      <c r="Q604" s="452"/>
      <c r="R604" s="452"/>
      <c r="S604" s="415"/>
      <c r="T604" s="210"/>
      <c r="U604" s="415"/>
      <c r="V604" s="210"/>
      <c r="W604" s="415"/>
      <c r="X604" s="210"/>
      <c r="Y604" s="8"/>
      <c r="Z604" s="8"/>
      <c r="AA604" s="8"/>
      <c r="AB604" s="8"/>
      <c r="AC604" s="8"/>
      <c r="AD604" s="8"/>
      <c r="AE604" s="8"/>
      <c r="AF604" s="8"/>
      <c r="AG604" s="8"/>
      <c r="AH604" s="8"/>
      <c r="AI604" s="8"/>
      <c r="AJ604" s="8"/>
      <c r="AK604" s="8"/>
      <c r="AL604" s="8"/>
      <c r="AM604" s="8"/>
      <c r="AN604" s="8"/>
      <c r="AO604" s="8"/>
      <c r="AP604" s="8"/>
      <c r="AQ604" s="8"/>
      <c r="AR604" s="8"/>
      <c r="AS604" s="8"/>
      <c r="AT604" s="8"/>
    </row>
    <row r="605">
      <c r="A605" s="415"/>
      <c r="B605" s="210"/>
      <c r="C605" s="415"/>
      <c r="D605" s="210"/>
      <c r="E605" s="415"/>
      <c r="F605" s="210"/>
      <c r="G605" s="415"/>
      <c r="H605" s="210"/>
      <c r="I605" s="423"/>
      <c r="J605" s="156"/>
      <c r="K605" s="423"/>
      <c r="L605" s="156"/>
      <c r="M605" s="415"/>
      <c r="N605" s="210"/>
      <c r="O605" s="415"/>
      <c r="P605" s="210"/>
      <c r="Q605" s="452"/>
      <c r="R605" s="452"/>
      <c r="S605" s="415"/>
      <c r="T605" s="210"/>
      <c r="U605" s="415"/>
      <c r="V605" s="210"/>
      <c r="W605" s="415"/>
      <c r="X605" s="210"/>
      <c r="Y605" s="8"/>
      <c r="Z605" s="8"/>
      <c r="AA605" s="8"/>
      <c r="AB605" s="8"/>
      <c r="AC605" s="8"/>
      <c r="AD605" s="8"/>
      <c r="AE605" s="8"/>
      <c r="AF605" s="8"/>
      <c r="AG605" s="8"/>
      <c r="AH605" s="8"/>
      <c r="AI605" s="8"/>
      <c r="AJ605" s="8"/>
      <c r="AK605" s="8"/>
      <c r="AL605" s="8"/>
      <c r="AM605" s="8"/>
      <c r="AN605" s="8"/>
      <c r="AO605" s="8"/>
      <c r="AP605" s="8"/>
      <c r="AQ605" s="8"/>
      <c r="AR605" s="8"/>
      <c r="AS605" s="8"/>
      <c r="AT605" s="8"/>
    </row>
    <row r="606">
      <c r="A606" s="415"/>
      <c r="B606" s="210"/>
      <c r="C606" s="415"/>
      <c r="D606" s="210"/>
      <c r="E606" s="415"/>
      <c r="F606" s="210"/>
      <c r="G606" s="415"/>
      <c r="H606" s="210"/>
      <c r="I606" s="423"/>
      <c r="J606" s="156"/>
      <c r="K606" s="423"/>
      <c r="L606" s="156"/>
      <c r="M606" s="415"/>
      <c r="N606" s="210"/>
      <c r="O606" s="415"/>
      <c r="P606" s="210"/>
      <c r="Q606" s="452"/>
      <c r="R606" s="452"/>
      <c r="S606" s="415"/>
      <c r="T606" s="210"/>
      <c r="U606" s="415"/>
      <c r="V606" s="210"/>
      <c r="W606" s="415"/>
      <c r="X606" s="210"/>
      <c r="Y606" s="8"/>
      <c r="Z606" s="8"/>
      <c r="AA606" s="8"/>
      <c r="AB606" s="8"/>
      <c r="AC606" s="8"/>
      <c r="AD606" s="8"/>
      <c r="AE606" s="8"/>
      <c r="AF606" s="8"/>
      <c r="AG606" s="8"/>
      <c r="AH606" s="8"/>
      <c r="AI606" s="8"/>
      <c r="AJ606" s="8"/>
      <c r="AK606" s="8"/>
      <c r="AL606" s="8"/>
      <c r="AM606" s="8"/>
      <c r="AN606" s="8"/>
      <c r="AO606" s="8"/>
      <c r="AP606" s="8"/>
      <c r="AQ606" s="8"/>
      <c r="AR606" s="8"/>
      <c r="AS606" s="8"/>
      <c r="AT606" s="8"/>
    </row>
    <row r="607">
      <c r="A607" s="415"/>
      <c r="B607" s="210"/>
      <c r="C607" s="415"/>
      <c r="D607" s="210"/>
      <c r="E607" s="415"/>
      <c r="F607" s="210"/>
      <c r="G607" s="415"/>
      <c r="H607" s="210"/>
      <c r="I607" s="423"/>
      <c r="J607" s="156"/>
      <c r="K607" s="423"/>
      <c r="L607" s="156"/>
      <c r="M607" s="415"/>
      <c r="N607" s="210"/>
      <c r="O607" s="415"/>
      <c r="P607" s="210"/>
      <c r="Q607" s="452"/>
      <c r="R607" s="452"/>
      <c r="S607" s="415"/>
      <c r="T607" s="210"/>
      <c r="U607" s="415"/>
      <c r="V607" s="210"/>
      <c r="W607" s="415"/>
      <c r="X607" s="210"/>
      <c r="Y607" s="8"/>
      <c r="Z607" s="8"/>
      <c r="AA607" s="8"/>
      <c r="AB607" s="8"/>
      <c r="AC607" s="8"/>
      <c r="AD607" s="8"/>
      <c r="AE607" s="8"/>
      <c r="AF607" s="8"/>
      <c r="AG607" s="8"/>
      <c r="AH607" s="8"/>
      <c r="AI607" s="8"/>
      <c r="AJ607" s="8"/>
      <c r="AK607" s="8"/>
      <c r="AL607" s="8"/>
      <c r="AM607" s="8"/>
      <c r="AN607" s="8"/>
      <c r="AO607" s="8"/>
      <c r="AP607" s="8"/>
      <c r="AQ607" s="8"/>
      <c r="AR607" s="8"/>
      <c r="AS607" s="8"/>
      <c r="AT607" s="8"/>
    </row>
    <row r="608">
      <c r="A608" s="415"/>
      <c r="B608" s="210"/>
      <c r="C608" s="415"/>
      <c r="D608" s="210"/>
      <c r="E608" s="415"/>
      <c r="F608" s="210"/>
      <c r="G608" s="415"/>
      <c r="H608" s="210"/>
      <c r="I608" s="423"/>
      <c r="J608" s="156"/>
      <c r="K608" s="423"/>
      <c r="L608" s="156"/>
      <c r="M608" s="415"/>
      <c r="N608" s="210"/>
      <c r="O608" s="415"/>
      <c r="P608" s="210"/>
      <c r="Q608" s="452"/>
      <c r="R608" s="452"/>
      <c r="S608" s="415"/>
      <c r="T608" s="210"/>
      <c r="U608" s="415"/>
      <c r="V608" s="210"/>
      <c r="W608" s="415"/>
      <c r="X608" s="210"/>
      <c r="Y608" s="8"/>
      <c r="Z608" s="8"/>
      <c r="AA608" s="8"/>
      <c r="AB608" s="8"/>
      <c r="AC608" s="8"/>
      <c r="AD608" s="8"/>
      <c r="AE608" s="8"/>
      <c r="AF608" s="8"/>
      <c r="AG608" s="8"/>
      <c r="AH608" s="8"/>
      <c r="AI608" s="8"/>
      <c r="AJ608" s="8"/>
      <c r="AK608" s="8"/>
      <c r="AL608" s="8"/>
      <c r="AM608" s="8"/>
      <c r="AN608" s="8"/>
      <c r="AO608" s="8"/>
      <c r="AP608" s="8"/>
      <c r="AQ608" s="8"/>
      <c r="AR608" s="8"/>
      <c r="AS608" s="8"/>
      <c r="AT608" s="8"/>
    </row>
    <row r="609">
      <c r="A609" s="415"/>
      <c r="B609" s="210"/>
      <c r="C609" s="415"/>
      <c r="D609" s="210"/>
      <c r="E609" s="415"/>
      <c r="F609" s="210"/>
      <c r="G609" s="415"/>
      <c r="H609" s="210"/>
      <c r="I609" s="423"/>
      <c r="J609" s="156"/>
      <c r="K609" s="423"/>
      <c r="L609" s="156"/>
      <c r="M609" s="415"/>
      <c r="N609" s="210"/>
      <c r="O609" s="415"/>
      <c r="P609" s="210"/>
      <c r="Q609" s="452"/>
      <c r="R609" s="452"/>
      <c r="S609" s="415"/>
      <c r="T609" s="210"/>
      <c r="U609" s="415"/>
      <c r="V609" s="210"/>
      <c r="W609" s="415"/>
      <c r="X609" s="210"/>
      <c r="Y609" s="8"/>
      <c r="Z609" s="8"/>
      <c r="AA609" s="8"/>
      <c r="AB609" s="8"/>
      <c r="AC609" s="8"/>
      <c r="AD609" s="8"/>
      <c r="AE609" s="8"/>
      <c r="AF609" s="8"/>
      <c r="AG609" s="8"/>
      <c r="AH609" s="8"/>
      <c r="AI609" s="8"/>
      <c r="AJ609" s="8"/>
      <c r="AK609" s="8"/>
      <c r="AL609" s="8"/>
      <c r="AM609" s="8"/>
      <c r="AN609" s="8"/>
      <c r="AO609" s="8"/>
      <c r="AP609" s="8"/>
      <c r="AQ609" s="8"/>
      <c r="AR609" s="8"/>
      <c r="AS609" s="8"/>
      <c r="AT609" s="8"/>
    </row>
    <row r="610">
      <c r="A610" s="415"/>
      <c r="B610" s="210"/>
      <c r="C610" s="415"/>
      <c r="D610" s="210"/>
      <c r="E610" s="415"/>
      <c r="F610" s="210"/>
      <c r="G610" s="415"/>
      <c r="H610" s="210"/>
      <c r="I610" s="423"/>
      <c r="J610" s="156"/>
      <c r="K610" s="423"/>
      <c r="L610" s="156"/>
      <c r="M610" s="415"/>
      <c r="N610" s="210"/>
      <c r="O610" s="415"/>
      <c r="P610" s="210"/>
      <c r="Q610" s="452"/>
      <c r="R610" s="452"/>
      <c r="S610" s="415"/>
      <c r="T610" s="210"/>
      <c r="U610" s="415"/>
      <c r="V610" s="210"/>
      <c r="W610" s="415"/>
      <c r="X610" s="210"/>
      <c r="Y610" s="8"/>
      <c r="Z610" s="8"/>
      <c r="AA610" s="8"/>
      <c r="AB610" s="8"/>
      <c r="AC610" s="8"/>
      <c r="AD610" s="8"/>
      <c r="AE610" s="8"/>
      <c r="AF610" s="8"/>
      <c r="AG610" s="8"/>
      <c r="AH610" s="8"/>
      <c r="AI610" s="8"/>
      <c r="AJ610" s="8"/>
      <c r="AK610" s="8"/>
      <c r="AL610" s="8"/>
      <c r="AM610" s="8"/>
      <c r="AN610" s="8"/>
      <c r="AO610" s="8"/>
      <c r="AP610" s="8"/>
      <c r="AQ610" s="8"/>
      <c r="AR610" s="8"/>
      <c r="AS610" s="8"/>
      <c r="AT610" s="8"/>
    </row>
    <row r="611">
      <c r="A611" s="415"/>
      <c r="B611" s="210"/>
      <c r="C611" s="415"/>
      <c r="D611" s="210"/>
      <c r="E611" s="415"/>
      <c r="F611" s="210"/>
      <c r="G611" s="415"/>
      <c r="H611" s="210"/>
      <c r="I611" s="423"/>
      <c r="J611" s="156"/>
      <c r="K611" s="423"/>
      <c r="L611" s="156"/>
      <c r="M611" s="415"/>
      <c r="N611" s="210"/>
      <c r="O611" s="415"/>
      <c r="P611" s="210"/>
      <c r="Q611" s="452"/>
      <c r="R611" s="452"/>
      <c r="S611" s="415"/>
      <c r="T611" s="210"/>
      <c r="U611" s="415"/>
      <c r="V611" s="210"/>
      <c r="W611" s="415"/>
      <c r="X611" s="210"/>
      <c r="Y611" s="8"/>
      <c r="Z611" s="8"/>
      <c r="AA611" s="8"/>
      <c r="AB611" s="8"/>
      <c r="AC611" s="8"/>
      <c r="AD611" s="8"/>
      <c r="AE611" s="8"/>
      <c r="AF611" s="8"/>
      <c r="AG611" s="8"/>
      <c r="AH611" s="8"/>
      <c r="AI611" s="8"/>
      <c r="AJ611" s="8"/>
      <c r="AK611" s="8"/>
      <c r="AL611" s="8"/>
      <c r="AM611" s="8"/>
      <c r="AN611" s="8"/>
      <c r="AO611" s="8"/>
      <c r="AP611" s="8"/>
      <c r="AQ611" s="8"/>
      <c r="AR611" s="8"/>
      <c r="AS611" s="8"/>
      <c r="AT611" s="8"/>
    </row>
    <row r="612">
      <c r="A612" s="415"/>
      <c r="B612" s="210"/>
      <c r="C612" s="415"/>
      <c r="D612" s="210"/>
      <c r="E612" s="415"/>
      <c r="F612" s="210"/>
      <c r="G612" s="415"/>
      <c r="H612" s="210"/>
      <c r="I612" s="423"/>
      <c r="J612" s="156"/>
      <c r="K612" s="423"/>
      <c r="L612" s="156"/>
      <c r="M612" s="415"/>
      <c r="N612" s="210"/>
      <c r="O612" s="415"/>
      <c r="P612" s="210"/>
      <c r="Q612" s="452"/>
      <c r="R612" s="452"/>
      <c r="S612" s="415"/>
      <c r="T612" s="210"/>
      <c r="U612" s="415"/>
      <c r="V612" s="210"/>
      <c r="W612" s="415"/>
      <c r="X612" s="210"/>
      <c r="Y612" s="8"/>
      <c r="Z612" s="8"/>
      <c r="AA612" s="8"/>
      <c r="AB612" s="8"/>
      <c r="AC612" s="8"/>
      <c r="AD612" s="8"/>
      <c r="AE612" s="8"/>
      <c r="AF612" s="8"/>
      <c r="AG612" s="8"/>
      <c r="AH612" s="8"/>
      <c r="AI612" s="8"/>
      <c r="AJ612" s="8"/>
      <c r="AK612" s="8"/>
      <c r="AL612" s="8"/>
      <c r="AM612" s="8"/>
      <c r="AN612" s="8"/>
      <c r="AO612" s="8"/>
      <c r="AP612" s="8"/>
      <c r="AQ612" s="8"/>
      <c r="AR612" s="8"/>
      <c r="AS612" s="8"/>
      <c r="AT612" s="8"/>
    </row>
    <row r="613">
      <c r="A613" s="415"/>
      <c r="B613" s="210"/>
      <c r="C613" s="415"/>
      <c r="D613" s="210"/>
      <c r="E613" s="415"/>
      <c r="F613" s="210"/>
      <c r="G613" s="415"/>
      <c r="H613" s="210"/>
      <c r="I613" s="423"/>
      <c r="J613" s="156"/>
      <c r="K613" s="423"/>
      <c r="L613" s="156"/>
      <c r="M613" s="415"/>
      <c r="N613" s="210"/>
      <c r="O613" s="415"/>
      <c r="P613" s="210"/>
      <c r="Q613" s="452"/>
      <c r="R613" s="452"/>
      <c r="S613" s="415"/>
      <c r="T613" s="210"/>
      <c r="U613" s="415"/>
      <c r="V613" s="210"/>
      <c r="W613" s="415"/>
      <c r="X613" s="210"/>
      <c r="Y613" s="8"/>
      <c r="Z613" s="8"/>
      <c r="AA613" s="8"/>
      <c r="AB613" s="8"/>
      <c r="AC613" s="8"/>
      <c r="AD613" s="8"/>
      <c r="AE613" s="8"/>
      <c r="AF613" s="8"/>
      <c r="AG613" s="8"/>
      <c r="AH613" s="8"/>
      <c r="AI613" s="8"/>
      <c r="AJ613" s="8"/>
      <c r="AK613" s="8"/>
      <c r="AL613" s="8"/>
      <c r="AM613" s="8"/>
      <c r="AN613" s="8"/>
      <c r="AO613" s="8"/>
      <c r="AP613" s="8"/>
      <c r="AQ613" s="8"/>
      <c r="AR613" s="8"/>
      <c r="AS613" s="8"/>
      <c r="AT613" s="8"/>
    </row>
    <row r="614">
      <c r="A614" s="415"/>
      <c r="B614" s="210"/>
      <c r="C614" s="415"/>
      <c r="D614" s="210"/>
      <c r="E614" s="415"/>
      <c r="F614" s="210"/>
      <c r="G614" s="415"/>
      <c r="H614" s="210"/>
      <c r="I614" s="423"/>
      <c r="J614" s="156"/>
      <c r="K614" s="423"/>
      <c r="L614" s="156"/>
      <c r="M614" s="415"/>
      <c r="N614" s="210"/>
      <c r="O614" s="415"/>
      <c r="P614" s="210"/>
      <c r="Q614" s="452"/>
      <c r="R614" s="452"/>
      <c r="S614" s="415"/>
      <c r="T614" s="210"/>
      <c r="U614" s="415"/>
      <c r="V614" s="210"/>
      <c r="W614" s="415"/>
      <c r="X614" s="210"/>
      <c r="Y614" s="8"/>
      <c r="Z614" s="8"/>
      <c r="AA614" s="8"/>
      <c r="AB614" s="8"/>
      <c r="AC614" s="8"/>
      <c r="AD614" s="8"/>
      <c r="AE614" s="8"/>
      <c r="AF614" s="8"/>
      <c r="AG614" s="8"/>
      <c r="AH614" s="8"/>
      <c r="AI614" s="8"/>
      <c r="AJ614" s="8"/>
      <c r="AK614" s="8"/>
      <c r="AL614" s="8"/>
      <c r="AM614" s="8"/>
      <c r="AN614" s="8"/>
      <c r="AO614" s="8"/>
      <c r="AP614" s="8"/>
      <c r="AQ614" s="8"/>
      <c r="AR614" s="8"/>
      <c r="AS614" s="8"/>
      <c r="AT614" s="8"/>
    </row>
    <row r="615">
      <c r="A615" s="415"/>
      <c r="B615" s="210"/>
      <c r="C615" s="415"/>
      <c r="D615" s="210"/>
      <c r="E615" s="415"/>
      <c r="F615" s="210"/>
      <c r="G615" s="415"/>
      <c r="H615" s="210"/>
      <c r="I615" s="423"/>
      <c r="J615" s="156"/>
      <c r="K615" s="423"/>
      <c r="L615" s="156"/>
      <c r="M615" s="415"/>
      <c r="N615" s="210"/>
      <c r="O615" s="415"/>
      <c r="P615" s="210"/>
      <c r="Q615" s="452"/>
      <c r="R615" s="452"/>
      <c r="S615" s="415"/>
      <c r="T615" s="210"/>
      <c r="U615" s="415"/>
      <c r="V615" s="210"/>
      <c r="W615" s="415"/>
      <c r="X615" s="210"/>
      <c r="Y615" s="8"/>
      <c r="Z615" s="8"/>
      <c r="AA615" s="8"/>
      <c r="AB615" s="8"/>
      <c r="AC615" s="8"/>
      <c r="AD615" s="8"/>
      <c r="AE615" s="8"/>
      <c r="AF615" s="8"/>
      <c r="AG615" s="8"/>
      <c r="AH615" s="8"/>
      <c r="AI615" s="8"/>
      <c r="AJ615" s="8"/>
      <c r="AK615" s="8"/>
      <c r="AL615" s="8"/>
      <c r="AM615" s="8"/>
      <c r="AN615" s="8"/>
      <c r="AO615" s="8"/>
      <c r="AP615" s="8"/>
      <c r="AQ615" s="8"/>
      <c r="AR615" s="8"/>
      <c r="AS615" s="8"/>
      <c r="AT615" s="8"/>
    </row>
    <row r="616">
      <c r="A616" s="415"/>
      <c r="B616" s="210"/>
      <c r="C616" s="415"/>
      <c r="D616" s="210"/>
      <c r="E616" s="415"/>
      <c r="F616" s="210"/>
      <c r="G616" s="415"/>
      <c r="H616" s="210"/>
      <c r="I616" s="423"/>
      <c r="J616" s="156"/>
      <c r="K616" s="423"/>
      <c r="L616" s="156"/>
      <c r="M616" s="415"/>
      <c r="N616" s="210"/>
      <c r="O616" s="415"/>
      <c r="P616" s="210"/>
      <c r="Q616" s="452"/>
      <c r="R616" s="452"/>
      <c r="S616" s="415"/>
      <c r="T616" s="210"/>
      <c r="U616" s="415"/>
      <c r="V616" s="210"/>
      <c r="W616" s="415"/>
      <c r="X616" s="210"/>
      <c r="Y616" s="8"/>
      <c r="Z616" s="8"/>
      <c r="AA616" s="8"/>
      <c r="AB616" s="8"/>
      <c r="AC616" s="8"/>
      <c r="AD616" s="8"/>
      <c r="AE616" s="8"/>
      <c r="AF616" s="8"/>
      <c r="AG616" s="8"/>
      <c r="AH616" s="8"/>
      <c r="AI616" s="8"/>
      <c r="AJ616" s="8"/>
      <c r="AK616" s="8"/>
      <c r="AL616" s="8"/>
      <c r="AM616" s="8"/>
      <c r="AN616" s="8"/>
      <c r="AO616" s="8"/>
      <c r="AP616" s="8"/>
      <c r="AQ616" s="8"/>
      <c r="AR616" s="8"/>
      <c r="AS616" s="8"/>
      <c r="AT616" s="8"/>
    </row>
    <row r="617">
      <c r="A617" s="415"/>
      <c r="B617" s="210"/>
      <c r="C617" s="415"/>
      <c r="D617" s="210"/>
      <c r="E617" s="415"/>
      <c r="F617" s="210"/>
      <c r="G617" s="415"/>
      <c r="H617" s="210"/>
      <c r="I617" s="423"/>
      <c r="J617" s="156"/>
      <c r="K617" s="423"/>
      <c r="L617" s="156"/>
      <c r="M617" s="415"/>
      <c r="N617" s="210"/>
      <c r="O617" s="415"/>
      <c r="P617" s="210"/>
      <c r="Q617" s="452"/>
      <c r="R617" s="452"/>
      <c r="S617" s="415"/>
      <c r="T617" s="210"/>
      <c r="U617" s="415"/>
      <c r="V617" s="210"/>
      <c r="W617" s="415"/>
      <c r="X617" s="210"/>
      <c r="Y617" s="8"/>
      <c r="Z617" s="8"/>
      <c r="AA617" s="8"/>
      <c r="AB617" s="8"/>
      <c r="AC617" s="8"/>
      <c r="AD617" s="8"/>
      <c r="AE617" s="8"/>
      <c r="AF617" s="8"/>
      <c r="AG617" s="8"/>
      <c r="AH617" s="8"/>
      <c r="AI617" s="8"/>
      <c r="AJ617" s="8"/>
      <c r="AK617" s="8"/>
      <c r="AL617" s="8"/>
      <c r="AM617" s="8"/>
      <c r="AN617" s="8"/>
      <c r="AO617" s="8"/>
      <c r="AP617" s="8"/>
      <c r="AQ617" s="8"/>
      <c r="AR617" s="8"/>
      <c r="AS617" s="8"/>
      <c r="AT617" s="8"/>
    </row>
    <row r="618">
      <c r="A618" s="415"/>
      <c r="B618" s="210"/>
      <c r="C618" s="415"/>
      <c r="D618" s="210"/>
      <c r="E618" s="415"/>
      <c r="F618" s="210"/>
      <c r="G618" s="415"/>
      <c r="H618" s="210"/>
      <c r="I618" s="423"/>
      <c r="J618" s="156"/>
      <c r="K618" s="423"/>
      <c r="L618" s="156"/>
      <c r="M618" s="415"/>
      <c r="N618" s="210"/>
      <c r="O618" s="415"/>
      <c r="P618" s="210"/>
      <c r="Q618" s="452"/>
      <c r="R618" s="452"/>
      <c r="S618" s="415"/>
      <c r="T618" s="210"/>
      <c r="U618" s="415"/>
      <c r="V618" s="210"/>
      <c r="W618" s="415"/>
      <c r="X618" s="210"/>
      <c r="Y618" s="8"/>
      <c r="Z618" s="8"/>
      <c r="AA618" s="8"/>
      <c r="AB618" s="8"/>
      <c r="AC618" s="8"/>
      <c r="AD618" s="8"/>
      <c r="AE618" s="8"/>
      <c r="AF618" s="8"/>
      <c r="AG618" s="8"/>
      <c r="AH618" s="8"/>
      <c r="AI618" s="8"/>
      <c r="AJ618" s="8"/>
      <c r="AK618" s="8"/>
      <c r="AL618" s="8"/>
      <c r="AM618" s="8"/>
      <c r="AN618" s="8"/>
      <c r="AO618" s="8"/>
      <c r="AP618" s="8"/>
      <c r="AQ618" s="8"/>
      <c r="AR618" s="8"/>
      <c r="AS618" s="8"/>
      <c r="AT618" s="8"/>
    </row>
    <row r="619">
      <c r="A619" s="415"/>
      <c r="B619" s="210"/>
      <c r="C619" s="415"/>
      <c r="D619" s="210"/>
      <c r="E619" s="415"/>
      <c r="F619" s="210"/>
      <c r="G619" s="415"/>
      <c r="H619" s="210"/>
      <c r="I619" s="423"/>
      <c r="J619" s="156"/>
      <c r="K619" s="423"/>
      <c r="L619" s="156"/>
      <c r="M619" s="415"/>
      <c r="N619" s="210"/>
      <c r="O619" s="415"/>
      <c r="P619" s="210"/>
      <c r="Q619" s="452"/>
      <c r="R619" s="452"/>
      <c r="S619" s="415"/>
      <c r="T619" s="210"/>
      <c r="U619" s="415"/>
      <c r="V619" s="210"/>
      <c r="W619" s="415"/>
      <c r="X619" s="210"/>
      <c r="Y619" s="8"/>
      <c r="Z619" s="8"/>
      <c r="AA619" s="8"/>
      <c r="AB619" s="8"/>
      <c r="AC619" s="8"/>
      <c r="AD619" s="8"/>
      <c r="AE619" s="8"/>
      <c r="AF619" s="8"/>
      <c r="AG619" s="8"/>
      <c r="AH619" s="8"/>
      <c r="AI619" s="8"/>
      <c r="AJ619" s="8"/>
      <c r="AK619" s="8"/>
      <c r="AL619" s="8"/>
      <c r="AM619" s="8"/>
      <c r="AN619" s="8"/>
      <c r="AO619" s="8"/>
      <c r="AP619" s="8"/>
      <c r="AQ619" s="8"/>
      <c r="AR619" s="8"/>
      <c r="AS619" s="8"/>
      <c r="AT619" s="8"/>
    </row>
    <row r="620">
      <c r="A620" s="415"/>
      <c r="B620" s="210"/>
      <c r="C620" s="415"/>
      <c r="D620" s="210"/>
      <c r="E620" s="415"/>
      <c r="F620" s="210"/>
      <c r="G620" s="415"/>
      <c r="H620" s="210"/>
      <c r="I620" s="423"/>
      <c r="J620" s="156"/>
      <c r="K620" s="423"/>
      <c r="L620" s="156"/>
      <c r="M620" s="415"/>
      <c r="N620" s="210"/>
      <c r="O620" s="415"/>
      <c r="P620" s="210"/>
      <c r="Q620" s="452"/>
      <c r="R620" s="452"/>
      <c r="S620" s="415"/>
      <c r="T620" s="210"/>
      <c r="U620" s="415"/>
      <c r="V620" s="210"/>
      <c r="W620" s="415"/>
      <c r="X620" s="210"/>
      <c r="Y620" s="8"/>
      <c r="Z620" s="8"/>
      <c r="AA620" s="8"/>
      <c r="AB620" s="8"/>
      <c r="AC620" s="8"/>
      <c r="AD620" s="8"/>
      <c r="AE620" s="8"/>
      <c r="AF620" s="8"/>
      <c r="AG620" s="8"/>
      <c r="AH620" s="8"/>
      <c r="AI620" s="8"/>
      <c r="AJ620" s="8"/>
      <c r="AK620" s="8"/>
      <c r="AL620" s="8"/>
      <c r="AM620" s="8"/>
      <c r="AN620" s="8"/>
      <c r="AO620" s="8"/>
      <c r="AP620" s="8"/>
      <c r="AQ620" s="8"/>
      <c r="AR620" s="8"/>
      <c r="AS620" s="8"/>
      <c r="AT620" s="8"/>
    </row>
    <row r="621">
      <c r="A621" s="415"/>
      <c r="B621" s="210"/>
      <c r="C621" s="415"/>
      <c r="D621" s="210"/>
      <c r="E621" s="415"/>
      <c r="F621" s="210"/>
      <c r="G621" s="415"/>
      <c r="H621" s="210"/>
      <c r="I621" s="423"/>
      <c r="J621" s="156"/>
      <c r="K621" s="423"/>
      <c r="L621" s="156"/>
      <c r="M621" s="415"/>
      <c r="N621" s="210"/>
      <c r="O621" s="415"/>
      <c r="P621" s="210"/>
      <c r="Q621" s="452"/>
      <c r="R621" s="452"/>
      <c r="S621" s="415"/>
      <c r="T621" s="210"/>
      <c r="U621" s="415"/>
      <c r="V621" s="210"/>
      <c r="W621" s="415"/>
      <c r="X621" s="210"/>
      <c r="Y621" s="8"/>
      <c r="Z621" s="8"/>
      <c r="AA621" s="8"/>
      <c r="AB621" s="8"/>
      <c r="AC621" s="8"/>
      <c r="AD621" s="8"/>
      <c r="AE621" s="8"/>
      <c r="AF621" s="8"/>
      <c r="AG621" s="8"/>
      <c r="AH621" s="8"/>
      <c r="AI621" s="8"/>
      <c r="AJ621" s="8"/>
      <c r="AK621" s="8"/>
      <c r="AL621" s="8"/>
      <c r="AM621" s="8"/>
      <c r="AN621" s="8"/>
      <c r="AO621" s="8"/>
      <c r="AP621" s="8"/>
      <c r="AQ621" s="8"/>
      <c r="AR621" s="8"/>
      <c r="AS621" s="8"/>
      <c r="AT621" s="8"/>
    </row>
    <row r="622">
      <c r="A622" s="415"/>
      <c r="B622" s="210"/>
      <c r="C622" s="415"/>
      <c r="D622" s="210"/>
      <c r="E622" s="415"/>
      <c r="F622" s="210"/>
      <c r="G622" s="415"/>
      <c r="H622" s="210"/>
      <c r="I622" s="423"/>
      <c r="J622" s="156"/>
      <c r="K622" s="423"/>
      <c r="L622" s="156"/>
      <c r="M622" s="415"/>
      <c r="N622" s="210"/>
      <c r="O622" s="415"/>
      <c r="P622" s="210"/>
      <c r="Q622" s="452"/>
      <c r="R622" s="452"/>
      <c r="S622" s="415"/>
      <c r="T622" s="210"/>
      <c r="U622" s="415"/>
      <c r="V622" s="210"/>
      <c r="W622" s="415"/>
      <c r="X622" s="210"/>
      <c r="Y622" s="8"/>
      <c r="Z622" s="8"/>
      <c r="AA622" s="8"/>
      <c r="AB622" s="8"/>
      <c r="AC622" s="8"/>
      <c r="AD622" s="8"/>
      <c r="AE622" s="8"/>
      <c r="AF622" s="8"/>
      <c r="AG622" s="8"/>
      <c r="AH622" s="8"/>
      <c r="AI622" s="8"/>
      <c r="AJ622" s="8"/>
      <c r="AK622" s="8"/>
      <c r="AL622" s="8"/>
      <c r="AM622" s="8"/>
      <c r="AN622" s="8"/>
      <c r="AO622" s="8"/>
      <c r="AP622" s="8"/>
      <c r="AQ622" s="8"/>
      <c r="AR622" s="8"/>
      <c r="AS622" s="8"/>
      <c r="AT622" s="8"/>
    </row>
    <row r="623">
      <c r="A623" s="415"/>
      <c r="B623" s="210"/>
      <c r="C623" s="415"/>
      <c r="D623" s="210"/>
      <c r="E623" s="415"/>
      <c r="F623" s="210"/>
      <c r="G623" s="415"/>
      <c r="H623" s="210"/>
      <c r="I623" s="423"/>
      <c r="J623" s="156"/>
      <c r="K623" s="423"/>
      <c r="L623" s="156"/>
      <c r="M623" s="415"/>
      <c r="N623" s="210"/>
      <c r="O623" s="415"/>
      <c r="P623" s="210"/>
      <c r="Q623" s="452"/>
      <c r="R623" s="452"/>
      <c r="S623" s="415"/>
      <c r="T623" s="210"/>
      <c r="U623" s="415"/>
      <c r="V623" s="210"/>
      <c r="W623" s="415"/>
      <c r="X623" s="210"/>
      <c r="Y623" s="8"/>
      <c r="Z623" s="8"/>
      <c r="AA623" s="8"/>
      <c r="AB623" s="8"/>
      <c r="AC623" s="8"/>
      <c r="AD623" s="8"/>
      <c r="AE623" s="8"/>
      <c r="AF623" s="8"/>
      <c r="AG623" s="8"/>
      <c r="AH623" s="8"/>
      <c r="AI623" s="8"/>
      <c r="AJ623" s="8"/>
      <c r="AK623" s="8"/>
      <c r="AL623" s="8"/>
      <c r="AM623" s="8"/>
      <c r="AN623" s="8"/>
      <c r="AO623" s="8"/>
      <c r="AP623" s="8"/>
      <c r="AQ623" s="8"/>
      <c r="AR623" s="8"/>
      <c r="AS623" s="8"/>
      <c r="AT623" s="8"/>
    </row>
    <row r="624">
      <c r="A624" s="415"/>
      <c r="B624" s="210"/>
      <c r="C624" s="415"/>
      <c r="D624" s="210"/>
      <c r="E624" s="415"/>
      <c r="F624" s="210"/>
      <c r="G624" s="415"/>
      <c r="H624" s="210"/>
      <c r="I624" s="423"/>
      <c r="J624" s="156"/>
      <c r="K624" s="423"/>
      <c r="L624" s="156"/>
      <c r="M624" s="415"/>
      <c r="N624" s="210"/>
      <c r="O624" s="415"/>
      <c r="P624" s="210"/>
      <c r="Q624" s="452"/>
      <c r="R624" s="452"/>
      <c r="S624" s="415"/>
      <c r="T624" s="210"/>
      <c r="U624" s="415"/>
      <c r="V624" s="210"/>
      <c r="W624" s="415"/>
      <c r="X624" s="210"/>
      <c r="Y624" s="8"/>
      <c r="Z624" s="8"/>
      <c r="AA624" s="8"/>
      <c r="AB624" s="8"/>
      <c r="AC624" s="8"/>
      <c r="AD624" s="8"/>
      <c r="AE624" s="8"/>
      <c r="AF624" s="8"/>
      <c r="AG624" s="8"/>
      <c r="AH624" s="8"/>
      <c r="AI624" s="8"/>
      <c r="AJ624" s="8"/>
      <c r="AK624" s="8"/>
      <c r="AL624" s="8"/>
      <c r="AM624" s="8"/>
      <c r="AN624" s="8"/>
      <c r="AO624" s="8"/>
      <c r="AP624" s="8"/>
      <c r="AQ624" s="8"/>
      <c r="AR624" s="8"/>
      <c r="AS624" s="8"/>
      <c r="AT624" s="8"/>
    </row>
    <row r="625">
      <c r="A625" s="415"/>
      <c r="B625" s="210"/>
      <c r="C625" s="415"/>
      <c r="D625" s="210"/>
      <c r="E625" s="415"/>
      <c r="F625" s="210"/>
      <c r="G625" s="415"/>
      <c r="H625" s="210"/>
      <c r="I625" s="423"/>
      <c r="J625" s="156"/>
      <c r="K625" s="423"/>
      <c r="L625" s="156"/>
      <c r="M625" s="415"/>
      <c r="N625" s="210"/>
      <c r="O625" s="415"/>
      <c r="P625" s="210"/>
      <c r="Q625" s="452"/>
      <c r="R625" s="452"/>
      <c r="S625" s="415"/>
      <c r="T625" s="210"/>
      <c r="U625" s="415"/>
      <c r="V625" s="210"/>
      <c r="W625" s="415"/>
      <c r="X625" s="210"/>
      <c r="Y625" s="8"/>
      <c r="Z625" s="8"/>
      <c r="AA625" s="8"/>
      <c r="AB625" s="8"/>
      <c r="AC625" s="8"/>
      <c r="AD625" s="8"/>
      <c r="AE625" s="8"/>
      <c r="AF625" s="8"/>
      <c r="AG625" s="8"/>
      <c r="AH625" s="8"/>
      <c r="AI625" s="8"/>
      <c r="AJ625" s="8"/>
      <c r="AK625" s="8"/>
      <c r="AL625" s="8"/>
      <c r="AM625" s="8"/>
      <c r="AN625" s="8"/>
      <c r="AO625" s="8"/>
      <c r="AP625" s="8"/>
      <c r="AQ625" s="8"/>
      <c r="AR625" s="8"/>
      <c r="AS625" s="8"/>
      <c r="AT625" s="8"/>
    </row>
    <row r="626">
      <c r="A626" s="415"/>
      <c r="B626" s="210"/>
      <c r="C626" s="415"/>
      <c r="D626" s="210"/>
      <c r="E626" s="415"/>
      <c r="F626" s="210"/>
      <c r="G626" s="415"/>
      <c r="H626" s="210"/>
      <c r="I626" s="423"/>
      <c r="J626" s="156"/>
      <c r="K626" s="423"/>
      <c r="L626" s="156"/>
      <c r="M626" s="415"/>
      <c r="N626" s="210"/>
      <c r="O626" s="415"/>
      <c r="P626" s="210"/>
      <c r="Q626" s="452"/>
      <c r="R626" s="452"/>
      <c r="S626" s="415"/>
      <c r="T626" s="210"/>
      <c r="U626" s="415"/>
      <c r="V626" s="210"/>
      <c r="W626" s="415"/>
      <c r="X626" s="210"/>
      <c r="Y626" s="8"/>
      <c r="Z626" s="8"/>
      <c r="AA626" s="8"/>
      <c r="AB626" s="8"/>
      <c r="AC626" s="8"/>
      <c r="AD626" s="8"/>
      <c r="AE626" s="8"/>
      <c r="AF626" s="8"/>
      <c r="AG626" s="8"/>
      <c r="AH626" s="8"/>
      <c r="AI626" s="8"/>
      <c r="AJ626" s="8"/>
      <c r="AK626" s="8"/>
      <c r="AL626" s="8"/>
      <c r="AM626" s="8"/>
      <c r="AN626" s="8"/>
      <c r="AO626" s="8"/>
      <c r="AP626" s="8"/>
      <c r="AQ626" s="8"/>
      <c r="AR626" s="8"/>
      <c r="AS626" s="8"/>
      <c r="AT626" s="8"/>
    </row>
    <row r="627">
      <c r="A627" s="415"/>
      <c r="B627" s="210"/>
      <c r="C627" s="415"/>
      <c r="D627" s="210"/>
      <c r="E627" s="415"/>
      <c r="F627" s="210"/>
      <c r="G627" s="415"/>
      <c r="H627" s="210"/>
      <c r="I627" s="423"/>
      <c r="J627" s="156"/>
      <c r="K627" s="423"/>
      <c r="L627" s="156"/>
      <c r="M627" s="415"/>
      <c r="N627" s="210"/>
      <c r="O627" s="415"/>
      <c r="P627" s="210"/>
      <c r="Q627" s="452"/>
      <c r="R627" s="452"/>
      <c r="S627" s="415"/>
      <c r="T627" s="210"/>
      <c r="U627" s="415"/>
      <c r="V627" s="210"/>
      <c r="W627" s="415"/>
      <c r="X627" s="210"/>
      <c r="Y627" s="8"/>
      <c r="Z627" s="8"/>
      <c r="AA627" s="8"/>
      <c r="AB627" s="8"/>
      <c r="AC627" s="8"/>
      <c r="AD627" s="8"/>
      <c r="AE627" s="8"/>
      <c r="AF627" s="8"/>
      <c r="AG627" s="8"/>
      <c r="AH627" s="8"/>
      <c r="AI627" s="8"/>
      <c r="AJ627" s="8"/>
      <c r="AK627" s="8"/>
      <c r="AL627" s="8"/>
      <c r="AM627" s="8"/>
      <c r="AN627" s="8"/>
      <c r="AO627" s="8"/>
      <c r="AP627" s="8"/>
      <c r="AQ627" s="8"/>
      <c r="AR627" s="8"/>
      <c r="AS627" s="8"/>
      <c r="AT627" s="8"/>
    </row>
    <row r="628">
      <c r="A628" s="415"/>
      <c r="B628" s="210"/>
      <c r="C628" s="415"/>
      <c r="D628" s="210"/>
      <c r="E628" s="415"/>
      <c r="F628" s="210"/>
      <c r="G628" s="415"/>
      <c r="H628" s="210"/>
      <c r="I628" s="423"/>
      <c r="J628" s="156"/>
      <c r="K628" s="423"/>
      <c r="L628" s="156"/>
      <c r="M628" s="415"/>
      <c r="N628" s="210"/>
      <c r="O628" s="415"/>
      <c r="P628" s="210"/>
      <c r="Q628" s="452"/>
      <c r="R628" s="452"/>
      <c r="S628" s="415"/>
      <c r="T628" s="210"/>
      <c r="U628" s="415"/>
      <c r="V628" s="210"/>
      <c r="W628" s="415"/>
      <c r="X628" s="210"/>
      <c r="Y628" s="8"/>
      <c r="Z628" s="8"/>
      <c r="AA628" s="8"/>
      <c r="AB628" s="8"/>
      <c r="AC628" s="8"/>
      <c r="AD628" s="8"/>
      <c r="AE628" s="8"/>
      <c r="AF628" s="8"/>
      <c r="AG628" s="8"/>
      <c r="AH628" s="8"/>
      <c r="AI628" s="8"/>
      <c r="AJ628" s="8"/>
      <c r="AK628" s="8"/>
      <c r="AL628" s="8"/>
      <c r="AM628" s="8"/>
      <c r="AN628" s="8"/>
      <c r="AO628" s="8"/>
      <c r="AP628" s="8"/>
      <c r="AQ628" s="8"/>
      <c r="AR628" s="8"/>
      <c r="AS628" s="8"/>
      <c r="AT628" s="8"/>
    </row>
    <row r="629">
      <c r="A629" s="415"/>
      <c r="B629" s="210"/>
      <c r="C629" s="415"/>
      <c r="D629" s="210"/>
      <c r="E629" s="415"/>
      <c r="F629" s="210"/>
      <c r="G629" s="415"/>
      <c r="H629" s="210"/>
      <c r="I629" s="423"/>
      <c r="J629" s="156"/>
      <c r="K629" s="423"/>
      <c r="L629" s="156"/>
      <c r="M629" s="415"/>
      <c r="N629" s="210"/>
      <c r="O629" s="415"/>
      <c r="P629" s="210"/>
      <c r="Q629" s="452"/>
      <c r="R629" s="452"/>
      <c r="S629" s="415"/>
      <c r="T629" s="210"/>
      <c r="U629" s="415"/>
      <c r="V629" s="210"/>
      <c r="W629" s="415"/>
      <c r="X629" s="210"/>
      <c r="Y629" s="8"/>
      <c r="Z629" s="8"/>
      <c r="AA629" s="8"/>
      <c r="AB629" s="8"/>
      <c r="AC629" s="8"/>
      <c r="AD629" s="8"/>
      <c r="AE629" s="8"/>
      <c r="AF629" s="8"/>
      <c r="AG629" s="8"/>
      <c r="AH629" s="8"/>
      <c r="AI629" s="8"/>
      <c r="AJ629" s="8"/>
      <c r="AK629" s="8"/>
      <c r="AL629" s="8"/>
      <c r="AM629" s="8"/>
      <c r="AN629" s="8"/>
      <c r="AO629" s="8"/>
      <c r="AP629" s="8"/>
      <c r="AQ629" s="8"/>
      <c r="AR629" s="8"/>
      <c r="AS629" s="8"/>
      <c r="AT629" s="8"/>
    </row>
    <row r="630">
      <c r="A630" s="415"/>
      <c r="B630" s="210"/>
      <c r="C630" s="415"/>
      <c r="D630" s="210"/>
      <c r="E630" s="415"/>
      <c r="F630" s="210"/>
      <c r="G630" s="415"/>
      <c r="H630" s="210"/>
      <c r="I630" s="423"/>
      <c r="J630" s="156"/>
      <c r="K630" s="423"/>
      <c r="L630" s="156"/>
      <c r="M630" s="415"/>
      <c r="N630" s="210"/>
      <c r="O630" s="415"/>
      <c r="P630" s="210"/>
      <c r="Q630" s="452"/>
      <c r="R630" s="452"/>
      <c r="S630" s="415"/>
      <c r="T630" s="210"/>
      <c r="U630" s="415"/>
      <c r="V630" s="210"/>
      <c r="W630" s="415"/>
      <c r="X630" s="210"/>
      <c r="Y630" s="8"/>
      <c r="Z630" s="8"/>
      <c r="AA630" s="8"/>
      <c r="AB630" s="8"/>
      <c r="AC630" s="8"/>
      <c r="AD630" s="8"/>
      <c r="AE630" s="8"/>
      <c r="AF630" s="8"/>
      <c r="AG630" s="8"/>
      <c r="AH630" s="8"/>
      <c r="AI630" s="8"/>
      <c r="AJ630" s="8"/>
      <c r="AK630" s="8"/>
      <c r="AL630" s="8"/>
      <c r="AM630" s="8"/>
      <c r="AN630" s="8"/>
      <c r="AO630" s="8"/>
      <c r="AP630" s="8"/>
      <c r="AQ630" s="8"/>
      <c r="AR630" s="8"/>
      <c r="AS630" s="8"/>
      <c r="AT630" s="8"/>
    </row>
    <row r="631">
      <c r="A631" s="415"/>
      <c r="B631" s="210"/>
      <c r="C631" s="415"/>
      <c r="D631" s="210"/>
      <c r="E631" s="415"/>
      <c r="F631" s="210"/>
      <c r="G631" s="415"/>
      <c r="H631" s="210"/>
      <c r="I631" s="423"/>
      <c r="J631" s="156"/>
      <c r="K631" s="423"/>
      <c r="L631" s="156"/>
      <c r="M631" s="415"/>
      <c r="N631" s="210"/>
      <c r="O631" s="415"/>
      <c r="P631" s="210"/>
      <c r="Q631" s="452"/>
      <c r="R631" s="452"/>
      <c r="S631" s="415"/>
      <c r="T631" s="210"/>
      <c r="U631" s="415"/>
      <c r="V631" s="210"/>
      <c r="W631" s="415"/>
      <c r="X631" s="210"/>
      <c r="Y631" s="8"/>
      <c r="Z631" s="8"/>
      <c r="AA631" s="8"/>
      <c r="AB631" s="8"/>
      <c r="AC631" s="8"/>
      <c r="AD631" s="8"/>
      <c r="AE631" s="8"/>
      <c r="AF631" s="8"/>
      <c r="AG631" s="8"/>
      <c r="AH631" s="8"/>
      <c r="AI631" s="8"/>
      <c r="AJ631" s="8"/>
      <c r="AK631" s="8"/>
      <c r="AL631" s="8"/>
      <c r="AM631" s="8"/>
      <c r="AN631" s="8"/>
      <c r="AO631" s="8"/>
      <c r="AP631" s="8"/>
      <c r="AQ631" s="8"/>
      <c r="AR631" s="8"/>
      <c r="AS631" s="8"/>
      <c r="AT631" s="8"/>
    </row>
    <row r="632">
      <c r="A632" s="415"/>
      <c r="B632" s="210"/>
      <c r="C632" s="415"/>
      <c r="D632" s="210"/>
      <c r="E632" s="415"/>
      <c r="F632" s="210"/>
      <c r="G632" s="415"/>
      <c r="H632" s="210"/>
      <c r="I632" s="423"/>
      <c r="J632" s="156"/>
      <c r="K632" s="423"/>
      <c r="L632" s="156"/>
      <c r="M632" s="415"/>
      <c r="N632" s="210"/>
      <c r="O632" s="415"/>
      <c r="P632" s="210"/>
      <c r="Q632" s="452"/>
      <c r="R632" s="452"/>
      <c r="S632" s="415"/>
      <c r="T632" s="210"/>
      <c r="U632" s="415"/>
      <c r="V632" s="210"/>
      <c r="W632" s="415"/>
      <c r="X632" s="210"/>
      <c r="Y632" s="8"/>
      <c r="Z632" s="8"/>
      <c r="AA632" s="8"/>
      <c r="AB632" s="8"/>
      <c r="AC632" s="8"/>
      <c r="AD632" s="8"/>
      <c r="AE632" s="8"/>
      <c r="AF632" s="8"/>
      <c r="AG632" s="8"/>
      <c r="AH632" s="8"/>
      <c r="AI632" s="8"/>
      <c r="AJ632" s="8"/>
      <c r="AK632" s="8"/>
      <c r="AL632" s="8"/>
      <c r="AM632" s="8"/>
      <c r="AN632" s="8"/>
      <c r="AO632" s="8"/>
      <c r="AP632" s="8"/>
      <c r="AQ632" s="8"/>
      <c r="AR632" s="8"/>
      <c r="AS632" s="8"/>
      <c r="AT632" s="8"/>
    </row>
    <row r="633">
      <c r="A633" s="415"/>
      <c r="B633" s="210"/>
      <c r="C633" s="415"/>
      <c r="D633" s="210"/>
      <c r="E633" s="415"/>
      <c r="F633" s="210"/>
      <c r="G633" s="415"/>
      <c r="H633" s="210"/>
      <c r="I633" s="423"/>
      <c r="J633" s="156"/>
      <c r="K633" s="423"/>
      <c r="L633" s="156"/>
      <c r="M633" s="415"/>
      <c r="N633" s="210"/>
      <c r="O633" s="415"/>
      <c r="P633" s="210"/>
      <c r="Q633" s="452"/>
      <c r="R633" s="452"/>
      <c r="S633" s="415"/>
      <c r="T633" s="210"/>
      <c r="U633" s="415"/>
      <c r="V633" s="210"/>
      <c r="W633" s="415"/>
      <c r="X633" s="210"/>
      <c r="Y633" s="8"/>
      <c r="Z633" s="8"/>
      <c r="AA633" s="8"/>
      <c r="AB633" s="8"/>
      <c r="AC633" s="8"/>
      <c r="AD633" s="8"/>
      <c r="AE633" s="8"/>
      <c r="AF633" s="8"/>
      <c r="AG633" s="8"/>
      <c r="AH633" s="8"/>
      <c r="AI633" s="8"/>
      <c r="AJ633" s="8"/>
      <c r="AK633" s="8"/>
      <c r="AL633" s="8"/>
      <c r="AM633" s="8"/>
      <c r="AN633" s="8"/>
      <c r="AO633" s="8"/>
      <c r="AP633" s="8"/>
      <c r="AQ633" s="8"/>
      <c r="AR633" s="8"/>
      <c r="AS633" s="8"/>
      <c r="AT633" s="8"/>
    </row>
    <row r="634">
      <c r="A634" s="415"/>
      <c r="B634" s="210"/>
      <c r="C634" s="415"/>
      <c r="D634" s="210"/>
      <c r="E634" s="415"/>
      <c r="F634" s="210"/>
      <c r="G634" s="415"/>
      <c r="H634" s="210"/>
      <c r="I634" s="423"/>
      <c r="J634" s="156"/>
      <c r="K634" s="423"/>
      <c r="L634" s="156"/>
      <c r="M634" s="415"/>
      <c r="N634" s="210"/>
      <c r="O634" s="415"/>
      <c r="P634" s="210"/>
      <c r="Q634" s="452"/>
      <c r="R634" s="452"/>
      <c r="S634" s="415"/>
      <c r="T634" s="210"/>
      <c r="U634" s="415"/>
      <c r="V634" s="210"/>
      <c r="W634" s="415"/>
      <c r="X634" s="210"/>
      <c r="Y634" s="8"/>
      <c r="Z634" s="8"/>
      <c r="AA634" s="8"/>
      <c r="AB634" s="8"/>
      <c r="AC634" s="8"/>
      <c r="AD634" s="8"/>
      <c r="AE634" s="8"/>
      <c r="AF634" s="8"/>
      <c r="AG634" s="8"/>
      <c r="AH634" s="8"/>
      <c r="AI634" s="8"/>
      <c r="AJ634" s="8"/>
      <c r="AK634" s="8"/>
      <c r="AL634" s="8"/>
      <c r="AM634" s="8"/>
      <c r="AN634" s="8"/>
      <c r="AO634" s="8"/>
      <c r="AP634" s="8"/>
      <c r="AQ634" s="8"/>
      <c r="AR634" s="8"/>
      <c r="AS634" s="8"/>
      <c r="AT634" s="8"/>
    </row>
    <row r="635">
      <c r="A635" s="415"/>
      <c r="B635" s="210"/>
      <c r="C635" s="415"/>
      <c r="D635" s="210"/>
      <c r="E635" s="415"/>
      <c r="F635" s="210"/>
      <c r="G635" s="415"/>
      <c r="H635" s="210"/>
      <c r="I635" s="423"/>
      <c r="J635" s="156"/>
      <c r="K635" s="423"/>
      <c r="L635" s="156"/>
      <c r="M635" s="415"/>
      <c r="N635" s="210"/>
      <c r="O635" s="415"/>
      <c r="P635" s="210"/>
      <c r="Q635" s="452"/>
      <c r="R635" s="452"/>
      <c r="S635" s="415"/>
      <c r="T635" s="210"/>
      <c r="U635" s="415"/>
      <c r="V635" s="210"/>
      <c r="W635" s="415"/>
      <c r="X635" s="210"/>
      <c r="Y635" s="8"/>
      <c r="Z635" s="8"/>
      <c r="AA635" s="8"/>
      <c r="AB635" s="8"/>
      <c r="AC635" s="8"/>
      <c r="AD635" s="8"/>
      <c r="AE635" s="8"/>
      <c r="AF635" s="8"/>
      <c r="AG635" s="8"/>
      <c r="AH635" s="8"/>
      <c r="AI635" s="8"/>
      <c r="AJ635" s="8"/>
      <c r="AK635" s="8"/>
      <c r="AL635" s="8"/>
      <c r="AM635" s="8"/>
      <c r="AN635" s="8"/>
      <c r="AO635" s="8"/>
      <c r="AP635" s="8"/>
      <c r="AQ635" s="8"/>
      <c r="AR635" s="8"/>
      <c r="AS635" s="8"/>
      <c r="AT635" s="8"/>
    </row>
    <row r="636">
      <c r="A636" s="415"/>
      <c r="B636" s="210"/>
      <c r="C636" s="415"/>
      <c r="D636" s="210"/>
      <c r="E636" s="415"/>
      <c r="F636" s="210"/>
      <c r="G636" s="415"/>
      <c r="H636" s="210"/>
      <c r="I636" s="423"/>
      <c r="J636" s="156"/>
      <c r="K636" s="423"/>
      <c r="L636" s="156"/>
      <c r="M636" s="415"/>
      <c r="N636" s="210"/>
      <c r="O636" s="415"/>
      <c r="P636" s="210"/>
      <c r="Q636" s="452"/>
      <c r="R636" s="452"/>
      <c r="S636" s="415"/>
      <c r="T636" s="210"/>
      <c r="U636" s="415"/>
      <c r="V636" s="210"/>
      <c r="W636" s="415"/>
      <c r="X636" s="210"/>
      <c r="Y636" s="8"/>
      <c r="Z636" s="8"/>
      <c r="AA636" s="8"/>
      <c r="AB636" s="8"/>
      <c r="AC636" s="8"/>
      <c r="AD636" s="8"/>
      <c r="AE636" s="8"/>
      <c r="AF636" s="8"/>
      <c r="AG636" s="8"/>
      <c r="AH636" s="8"/>
      <c r="AI636" s="8"/>
      <c r="AJ636" s="8"/>
      <c r="AK636" s="8"/>
      <c r="AL636" s="8"/>
      <c r="AM636" s="8"/>
      <c r="AN636" s="8"/>
      <c r="AO636" s="8"/>
      <c r="AP636" s="8"/>
      <c r="AQ636" s="8"/>
      <c r="AR636" s="8"/>
      <c r="AS636" s="8"/>
      <c r="AT636" s="8"/>
    </row>
    <row r="637">
      <c r="A637" s="415"/>
      <c r="B637" s="210"/>
      <c r="C637" s="415"/>
      <c r="D637" s="210"/>
      <c r="E637" s="415"/>
      <c r="F637" s="210"/>
      <c r="G637" s="415"/>
      <c r="H637" s="210"/>
      <c r="I637" s="423"/>
      <c r="J637" s="156"/>
      <c r="K637" s="423"/>
      <c r="L637" s="156"/>
      <c r="M637" s="415"/>
      <c r="N637" s="210"/>
      <c r="O637" s="415"/>
      <c r="P637" s="210"/>
      <c r="Q637" s="452"/>
      <c r="R637" s="452"/>
      <c r="S637" s="415"/>
      <c r="T637" s="210"/>
      <c r="U637" s="415"/>
      <c r="V637" s="210"/>
      <c r="W637" s="415"/>
      <c r="X637" s="210"/>
      <c r="Y637" s="8"/>
      <c r="Z637" s="8"/>
      <c r="AA637" s="8"/>
      <c r="AB637" s="8"/>
      <c r="AC637" s="8"/>
      <c r="AD637" s="8"/>
      <c r="AE637" s="8"/>
      <c r="AF637" s="8"/>
      <c r="AG637" s="8"/>
      <c r="AH637" s="8"/>
      <c r="AI637" s="8"/>
      <c r="AJ637" s="8"/>
      <c r="AK637" s="8"/>
      <c r="AL637" s="8"/>
      <c r="AM637" s="8"/>
      <c r="AN637" s="8"/>
      <c r="AO637" s="8"/>
      <c r="AP637" s="8"/>
      <c r="AQ637" s="8"/>
      <c r="AR637" s="8"/>
      <c r="AS637" s="8"/>
      <c r="AT637" s="8"/>
    </row>
    <row r="638">
      <c r="A638" s="415"/>
      <c r="B638" s="210"/>
      <c r="C638" s="415"/>
      <c r="D638" s="210"/>
      <c r="E638" s="415"/>
      <c r="F638" s="210"/>
      <c r="G638" s="415"/>
      <c r="H638" s="210"/>
      <c r="I638" s="423"/>
      <c r="J638" s="156"/>
      <c r="K638" s="423"/>
      <c r="L638" s="156"/>
      <c r="M638" s="415"/>
      <c r="N638" s="210"/>
      <c r="O638" s="415"/>
      <c r="P638" s="210"/>
      <c r="Q638" s="452"/>
      <c r="R638" s="452"/>
      <c r="S638" s="415"/>
      <c r="T638" s="210"/>
      <c r="U638" s="415"/>
      <c r="V638" s="210"/>
      <c r="W638" s="415"/>
      <c r="X638" s="210"/>
      <c r="Y638" s="8"/>
      <c r="Z638" s="8"/>
      <c r="AA638" s="8"/>
      <c r="AB638" s="8"/>
      <c r="AC638" s="8"/>
      <c r="AD638" s="8"/>
      <c r="AE638" s="8"/>
      <c r="AF638" s="8"/>
      <c r="AG638" s="8"/>
      <c r="AH638" s="8"/>
      <c r="AI638" s="8"/>
      <c r="AJ638" s="8"/>
      <c r="AK638" s="8"/>
      <c r="AL638" s="8"/>
      <c r="AM638" s="8"/>
      <c r="AN638" s="8"/>
      <c r="AO638" s="8"/>
      <c r="AP638" s="8"/>
      <c r="AQ638" s="8"/>
      <c r="AR638" s="8"/>
      <c r="AS638" s="8"/>
      <c r="AT638" s="8"/>
    </row>
    <row r="639">
      <c r="A639" s="415"/>
      <c r="B639" s="210"/>
      <c r="C639" s="415"/>
      <c r="D639" s="210"/>
      <c r="E639" s="415"/>
      <c r="F639" s="210"/>
      <c r="G639" s="415"/>
      <c r="H639" s="210"/>
      <c r="I639" s="423"/>
      <c r="J639" s="156"/>
      <c r="K639" s="423"/>
      <c r="L639" s="156"/>
      <c r="M639" s="415"/>
      <c r="N639" s="210"/>
      <c r="O639" s="415"/>
      <c r="P639" s="210"/>
      <c r="Q639" s="452"/>
      <c r="R639" s="452"/>
      <c r="S639" s="415"/>
      <c r="T639" s="210"/>
      <c r="U639" s="415"/>
      <c r="V639" s="210"/>
      <c r="W639" s="415"/>
      <c r="X639" s="210"/>
      <c r="Y639" s="8"/>
      <c r="Z639" s="8"/>
      <c r="AA639" s="8"/>
      <c r="AB639" s="8"/>
      <c r="AC639" s="8"/>
      <c r="AD639" s="8"/>
      <c r="AE639" s="8"/>
      <c r="AF639" s="8"/>
      <c r="AG639" s="8"/>
      <c r="AH639" s="8"/>
      <c r="AI639" s="8"/>
      <c r="AJ639" s="8"/>
      <c r="AK639" s="8"/>
      <c r="AL639" s="8"/>
      <c r="AM639" s="8"/>
      <c r="AN639" s="8"/>
      <c r="AO639" s="8"/>
      <c r="AP639" s="8"/>
      <c r="AQ639" s="8"/>
      <c r="AR639" s="8"/>
      <c r="AS639" s="8"/>
      <c r="AT639" s="8"/>
    </row>
    <row r="640">
      <c r="A640" s="415"/>
      <c r="B640" s="210"/>
      <c r="C640" s="415"/>
      <c r="D640" s="210"/>
      <c r="E640" s="415"/>
      <c r="F640" s="210"/>
      <c r="G640" s="415"/>
      <c r="H640" s="210"/>
      <c r="I640" s="423"/>
      <c r="J640" s="156"/>
      <c r="K640" s="423"/>
      <c r="L640" s="156"/>
      <c r="M640" s="415"/>
      <c r="N640" s="210"/>
      <c r="O640" s="415"/>
      <c r="P640" s="210"/>
      <c r="Q640" s="452"/>
      <c r="R640" s="452"/>
      <c r="S640" s="415"/>
      <c r="T640" s="210"/>
      <c r="U640" s="415"/>
      <c r="V640" s="210"/>
      <c r="W640" s="415"/>
      <c r="X640" s="210"/>
      <c r="Y640" s="8"/>
      <c r="Z640" s="8"/>
      <c r="AA640" s="8"/>
      <c r="AB640" s="8"/>
      <c r="AC640" s="8"/>
      <c r="AD640" s="8"/>
      <c r="AE640" s="8"/>
      <c r="AF640" s="8"/>
      <c r="AG640" s="8"/>
      <c r="AH640" s="8"/>
      <c r="AI640" s="8"/>
      <c r="AJ640" s="8"/>
      <c r="AK640" s="8"/>
      <c r="AL640" s="8"/>
      <c r="AM640" s="8"/>
      <c r="AN640" s="8"/>
      <c r="AO640" s="8"/>
      <c r="AP640" s="8"/>
      <c r="AQ640" s="8"/>
      <c r="AR640" s="8"/>
      <c r="AS640" s="8"/>
      <c r="AT640" s="8"/>
    </row>
    <row r="641">
      <c r="A641" s="415"/>
      <c r="B641" s="210"/>
      <c r="C641" s="415"/>
      <c r="D641" s="210"/>
      <c r="E641" s="415"/>
      <c r="F641" s="210"/>
      <c r="G641" s="415"/>
      <c r="H641" s="210"/>
      <c r="I641" s="423"/>
      <c r="J641" s="156"/>
      <c r="K641" s="423"/>
      <c r="L641" s="156"/>
      <c r="M641" s="415"/>
      <c r="N641" s="210"/>
      <c r="O641" s="415"/>
      <c r="P641" s="210"/>
      <c r="Q641" s="452"/>
      <c r="R641" s="452"/>
      <c r="S641" s="415"/>
      <c r="T641" s="210"/>
      <c r="U641" s="415"/>
      <c r="V641" s="210"/>
      <c r="W641" s="415"/>
      <c r="X641" s="210"/>
      <c r="Y641" s="8"/>
      <c r="Z641" s="8"/>
      <c r="AA641" s="8"/>
      <c r="AB641" s="8"/>
      <c r="AC641" s="8"/>
      <c r="AD641" s="8"/>
      <c r="AE641" s="8"/>
      <c r="AF641" s="8"/>
      <c r="AG641" s="8"/>
      <c r="AH641" s="8"/>
      <c r="AI641" s="8"/>
      <c r="AJ641" s="8"/>
      <c r="AK641" s="8"/>
      <c r="AL641" s="8"/>
      <c r="AM641" s="8"/>
      <c r="AN641" s="8"/>
      <c r="AO641" s="8"/>
      <c r="AP641" s="8"/>
      <c r="AQ641" s="8"/>
      <c r="AR641" s="8"/>
      <c r="AS641" s="8"/>
      <c r="AT641" s="8"/>
    </row>
    <row r="642">
      <c r="A642" s="415"/>
      <c r="B642" s="210"/>
      <c r="C642" s="415"/>
      <c r="D642" s="210"/>
      <c r="E642" s="415"/>
      <c r="F642" s="210"/>
      <c r="G642" s="415"/>
      <c r="H642" s="210"/>
      <c r="I642" s="423"/>
      <c r="J642" s="156"/>
      <c r="K642" s="423"/>
      <c r="L642" s="156"/>
      <c r="M642" s="415"/>
      <c r="N642" s="210"/>
      <c r="O642" s="415"/>
      <c r="P642" s="210"/>
      <c r="Q642" s="452"/>
      <c r="R642" s="452"/>
      <c r="S642" s="415"/>
      <c r="T642" s="210"/>
      <c r="U642" s="415"/>
      <c r="V642" s="210"/>
      <c r="W642" s="415"/>
      <c r="X642" s="210"/>
      <c r="Y642" s="8"/>
      <c r="Z642" s="8"/>
      <c r="AA642" s="8"/>
      <c r="AB642" s="8"/>
      <c r="AC642" s="8"/>
      <c r="AD642" s="8"/>
      <c r="AE642" s="8"/>
      <c r="AF642" s="8"/>
      <c r="AG642" s="8"/>
      <c r="AH642" s="8"/>
      <c r="AI642" s="8"/>
      <c r="AJ642" s="8"/>
      <c r="AK642" s="8"/>
      <c r="AL642" s="8"/>
      <c r="AM642" s="8"/>
      <c r="AN642" s="8"/>
      <c r="AO642" s="8"/>
      <c r="AP642" s="8"/>
      <c r="AQ642" s="8"/>
      <c r="AR642" s="8"/>
      <c r="AS642" s="8"/>
      <c r="AT642" s="8"/>
    </row>
    <row r="643">
      <c r="A643" s="415"/>
      <c r="B643" s="210"/>
      <c r="C643" s="415"/>
      <c r="D643" s="210"/>
      <c r="E643" s="415"/>
      <c r="F643" s="210"/>
      <c r="G643" s="415"/>
      <c r="H643" s="210"/>
      <c r="I643" s="423"/>
      <c r="J643" s="156"/>
      <c r="K643" s="423"/>
      <c r="L643" s="156"/>
      <c r="M643" s="415"/>
      <c r="N643" s="210"/>
      <c r="O643" s="415"/>
      <c r="P643" s="210"/>
      <c r="Q643" s="452"/>
      <c r="R643" s="452"/>
      <c r="S643" s="415"/>
      <c r="T643" s="210"/>
      <c r="U643" s="415"/>
      <c r="V643" s="210"/>
      <c r="W643" s="415"/>
      <c r="X643" s="210"/>
      <c r="Y643" s="8"/>
      <c r="Z643" s="8"/>
      <c r="AA643" s="8"/>
      <c r="AB643" s="8"/>
      <c r="AC643" s="8"/>
      <c r="AD643" s="8"/>
      <c r="AE643" s="8"/>
      <c r="AF643" s="8"/>
      <c r="AG643" s="8"/>
      <c r="AH643" s="8"/>
      <c r="AI643" s="8"/>
      <c r="AJ643" s="8"/>
      <c r="AK643" s="8"/>
      <c r="AL643" s="8"/>
      <c r="AM643" s="8"/>
      <c r="AN643" s="8"/>
      <c r="AO643" s="8"/>
      <c r="AP643" s="8"/>
      <c r="AQ643" s="8"/>
      <c r="AR643" s="8"/>
      <c r="AS643" s="8"/>
      <c r="AT643" s="8"/>
    </row>
    <row r="644">
      <c r="A644" s="415"/>
      <c r="B644" s="210"/>
      <c r="C644" s="415"/>
      <c r="D644" s="210"/>
      <c r="E644" s="415"/>
      <c r="F644" s="210"/>
      <c r="G644" s="415"/>
      <c r="H644" s="210"/>
      <c r="I644" s="423"/>
      <c r="J644" s="156"/>
      <c r="K644" s="423"/>
      <c r="L644" s="156"/>
      <c r="M644" s="415"/>
      <c r="N644" s="210"/>
      <c r="O644" s="415"/>
      <c r="P644" s="210"/>
      <c r="Q644" s="452"/>
      <c r="R644" s="452"/>
      <c r="S644" s="415"/>
      <c r="T644" s="210"/>
      <c r="U644" s="415"/>
      <c r="V644" s="210"/>
      <c r="W644" s="415"/>
      <c r="X644" s="210"/>
      <c r="Y644" s="8"/>
      <c r="Z644" s="8"/>
      <c r="AA644" s="8"/>
      <c r="AB644" s="8"/>
      <c r="AC644" s="8"/>
      <c r="AD644" s="8"/>
      <c r="AE644" s="8"/>
      <c r="AF644" s="8"/>
      <c r="AG644" s="8"/>
      <c r="AH644" s="8"/>
      <c r="AI644" s="8"/>
      <c r="AJ644" s="8"/>
      <c r="AK644" s="8"/>
      <c r="AL644" s="8"/>
      <c r="AM644" s="8"/>
      <c r="AN644" s="8"/>
      <c r="AO644" s="8"/>
      <c r="AP644" s="8"/>
      <c r="AQ644" s="8"/>
      <c r="AR644" s="8"/>
      <c r="AS644" s="8"/>
      <c r="AT644" s="8"/>
    </row>
    <row r="645">
      <c r="A645" s="415"/>
      <c r="B645" s="210"/>
      <c r="C645" s="415"/>
      <c r="D645" s="210"/>
      <c r="E645" s="415"/>
      <c r="F645" s="210"/>
      <c r="G645" s="415"/>
      <c r="H645" s="210"/>
      <c r="I645" s="423"/>
      <c r="J645" s="156"/>
      <c r="K645" s="423"/>
      <c r="L645" s="156"/>
      <c r="M645" s="415"/>
      <c r="N645" s="210"/>
      <c r="O645" s="415"/>
      <c r="P645" s="210"/>
      <c r="Q645" s="452"/>
      <c r="R645" s="452"/>
      <c r="S645" s="415"/>
      <c r="T645" s="210"/>
      <c r="U645" s="415"/>
      <c r="V645" s="210"/>
      <c r="W645" s="415"/>
      <c r="X645" s="210"/>
      <c r="Y645" s="8"/>
      <c r="Z645" s="8"/>
      <c r="AA645" s="8"/>
      <c r="AB645" s="8"/>
      <c r="AC645" s="8"/>
      <c r="AD645" s="8"/>
      <c r="AE645" s="8"/>
      <c r="AF645" s="8"/>
      <c r="AG645" s="8"/>
      <c r="AH645" s="8"/>
      <c r="AI645" s="8"/>
      <c r="AJ645" s="8"/>
      <c r="AK645" s="8"/>
      <c r="AL645" s="8"/>
      <c r="AM645" s="8"/>
      <c r="AN645" s="8"/>
      <c r="AO645" s="8"/>
      <c r="AP645" s="8"/>
      <c r="AQ645" s="8"/>
      <c r="AR645" s="8"/>
      <c r="AS645" s="8"/>
      <c r="AT645" s="8"/>
    </row>
    <row r="646">
      <c r="A646" s="415"/>
      <c r="B646" s="210"/>
      <c r="C646" s="415"/>
      <c r="D646" s="210"/>
      <c r="E646" s="415"/>
      <c r="F646" s="210"/>
      <c r="G646" s="415"/>
      <c r="H646" s="210"/>
      <c r="I646" s="423"/>
      <c r="J646" s="156"/>
      <c r="K646" s="423"/>
      <c r="L646" s="156"/>
      <c r="M646" s="415"/>
      <c r="N646" s="210"/>
      <c r="O646" s="415"/>
      <c r="P646" s="210"/>
      <c r="Q646" s="452"/>
      <c r="R646" s="452"/>
      <c r="S646" s="415"/>
      <c r="T646" s="210"/>
      <c r="U646" s="415"/>
      <c r="V646" s="210"/>
      <c r="W646" s="415"/>
      <c r="X646" s="210"/>
      <c r="Y646" s="8"/>
      <c r="Z646" s="8"/>
      <c r="AA646" s="8"/>
      <c r="AB646" s="8"/>
      <c r="AC646" s="8"/>
      <c r="AD646" s="8"/>
      <c r="AE646" s="8"/>
      <c r="AF646" s="8"/>
      <c r="AG646" s="8"/>
      <c r="AH646" s="8"/>
      <c r="AI646" s="8"/>
      <c r="AJ646" s="8"/>
      <c r="AK646" s="8"/>
      <c r="AL646" s="8"/>
      <c r="AM646" s="8"/>
      <c r="AN646" s="8"/>
      <c r="AO646" s="8"/>
      <c r="AP646" s="8"/>
      <c r="AQ646" s="8"/>
      <c r="AR646" s="8"/>
      <c r="AS646" s="8"/>
      <c r="AT646" s="8"/>
    </row>
    <row r="647">
      <c r="A647" s="415"/>
      <c r="B647" s="210"/>
      <c r="C647" s="415"/>
      <c r="D647" s="210"/>
      <c r="E647" s="415"/>
      <c r="F647" s="210"/>
      <c r="G647" s="415"/>
      <c r="H647" s="210"/>
      <c r="I647" s="423"/>
      <c r="J647" s="156"/>
      <c r="K647" s="423"/>
      <c r="L647" s="156"/>
      <c r="M647" s="415"/>
      <c r="N647" s="210"/>
      <c r="O647" s="415"/>
      <c r="P647" s="210"/>
      <c r="Q647" s="452"/>
      <c r="R647" s="452"/>
      <c r="S647" s="415"/>
      <c r="T647" s="210"/>
      <c r="U647" s="415"/>
      <c r="V647" s="210"/>
      <c r="W647" s="415"/>
      <c r="X647" s="210"/>
      <c r="Y647" s="8"/>
      <c r="Z647" s="8"/>
      <c r="AA647" s="8"/>
      <c r="AB647" s="8"/>
      <c r="AC647" s="8"/>
      <c r="AD647" s="8"/>
      <c r="AE647" s="8"/>
      <c r="AF647" s="8"/>
      <c r="AG647" s="8"/>
      <c r="AH647" s="8"/>
      <c r="AI647" s="8"/>
      <c r="AJ647" s="8"/>
      <c r="AK647" s="8"/>
      <c r="AL647" s="8"/>
      <c r="AM647" s="8"/>
      <c r="AN647" s="8"/>
      <c r="AO647" s="8"/>
      <c r="AP647" s="8"/>
      <c r="AQ647" s="8"/>
      <c r="AR647" s="8"/>
      <c r="AS647" s="8"/>
      <c r="AT647" s="8"/>
    </row>
    <row r="648">
      <c r="A648" s="415"/>
      <c r="B648" s="210"/>
      <c r="C648" s="415"/>
      <c r="D648" s="210"/>
      <c r="E648" s="415"/>
      <c r="F648" s="210"/>
      <c r="G648" s="415"/>
      <c r="H648" s="210"/>
      <c r="I648" s="423"/>
      <c r="J648" s="156"/>
      <c r="K648" s="423"/>
      <c r="L648" s="156"/>
      <c r="M648" s="415"/>
      <c r="N648" s="210"/>
      <c r="O648" s="415"/>
      <c r="P648" s="210"/>
      <c r="Q648" s="452"/>
      <c r="R648" s="452"/>
      <c r="S648" s="415"/>
      <c r="T648" s="210"/>
      <c r="U648" s="415"/>
      <c r="V648" s="210"/>
      <c r="W648" s="415"/>
      <c r="X648" s="210"/>
      <c r="Y648" s="8"/>
      <c r="Z648" s="8"/>
      <c r="AA648" s="8"/>
      <c r="AB648" s="8"/>
      <c r="AC648" s="8"/>
      <c r="AD648" s="8"/>
      <c r="AE648" s="8"/>
      <c r="AF648" s="8"/>
      <c r="AG648" s="8"/>
      <c r="AH648" s="8"/>
      <c r="AI648" s="8"/>
      <c r="AJ648" s="8"/>
      <c r="AK648" s="8"/>
      <c r="AL648" s="8"/>
      <c r="AM648" s="8"/>
      <c r="AN648" s="8"/>
      <c r="AO648" s="8"/>
      <c r="AP648" s="8"/>
      <c r="AQ648" s="8"/>
      <c r="AR648" s="8"/>
      <c r="AS648" s="8"/>
      <c r="AT648" s="8"/>
    </row>
    <row r="649">
      <c r="A649" s="415"/>
      <c r="B649" s="210"/>
      <c r="C649" s="415"/>
      <c r="D649" s="210"/>
      <c r="E649" s="415"/>
      <c r="F649" s="210"/>
      <c r="G649" s="415"/>
      <c r="H649" s="210"/>
      <c r="I649" s="423"/>
      <c r="J649" s="156"/>
      <c r="K649" s="423"/>
      <c r="L649" s="156"/>
      <c r="M649" s="415"/>
      <c r="N649" s="210"/>
      <c r="O649" s="415"/>
      <c r="P649" s="210"/>
      <c r="Q649" s="452"/>
      <c r="R649" s="452"/>
      <c r="S649" s="415"/>
      <c r="T649" s="210"/>
      <c r="U649" s="415"/>
      <c r="V649" s="210"/>
      <c r="W649" s="415"/>
      <c r="X649" s="210"/>
      <c r="Y649" s="8"/>
      <c r="Z649" s="8"/>
      <c r="AA649" s="8"/>
      <c r="AB649" s="8"/>
      <c r="AC649" s="8"/>
      <c r="AD649" s="8"/>
      <c r="AE649" s="8"/>
      <c r="AF649" s="8"/>
      <c r="AG649" s="8"/>
      <c r="AH649" s="8"/>
      <c r="AI649" s="8"/>
      <c r="AJ649" s="8"/>
      <c r="AK649" s="8"/>
      <c r="AL649" s="8"/>
      <c r="AM649" s="8"/>
      <c r="AN649" s="8"/>
      <c r="AO649" s="8"/>
      <c r="AP649" s="8"/>
      <c r="AQ649" s="8"/>
      <c r="AR649" s="8"/>
      <c r="AS649" s="8"/>
      <c r="AT649" s="8"/>
    </row>
    <row r="650">
      <c r="A650" s="415"/>
      <c r="B650" s="210"/>
      <c r="C650" s="415"/>
      <c r="D650" s="210"/>
      <c r="E650" s="415"/>
      <c r="F650" s="210"/>
      <c r="G650" s="415"/>
      <c r="H650" s="210"/>
      <c r="I650" s="423"/>
      <c r="J650" s="156"/>
      <c r="K650" s="423"/>
      <c r="L650" s="156"/>
      <c r="M650" s="415"/>
      <c r="N650" s="210"/>
      <c r="O650" s="415"/>
      <c r="P650" s="210"/>
      <c r="Q650" s="452"/>
      <c r="R650" s="452"/>
      <c r="S650" s="415"/>
      <c r="T650" s="210"/>
      <c r="U650" s="415"/>
      <c r="V650" s="210"/>
      <c r="W650" s="415"/>
      <c r="X650" s="210"/>
      <c r="Y650" s="8"/>
      <c r="Z650" s="8"/>
      <c r="AA650" s="8"/>
      <c r="AB650" s="8"/>
      <c r="AC650" s="8"/>
      <c r="AD650" s="8"/>
      <c r="AE650" s="8"/>
      <c r="AF650" s="8"/>
      <c r="AG650" s="8"/>
      <c r="AH650" s="8"/>
      <c r="AI650" s="8"/>
      <c r="AJ650" s="8"/>
      <c r="AK650" s="8"/>
      <c r="AL650" s="8"/>
      <c r="AM650" s="8"/>
      <c r="AN650" s="8"/>
      <c r="AO650" s="8"/>
      <c r="AP650" s="8"/>
      <c r="AQ650" s="8"/>
      <c r="AR650" s="8"/>
      <c r="AS650" s="8"/>
      <c r="AT650" s="8"/>
    </row>
    <row r="651">
      <c r="A651" s="415"/>
      <c r="B651" s="210"/>
      <c r="C651" s="415"/>
      <c r="D651" s="210"/>
      <c r="E651" s="415"/>
      <c r="F651" s="210"/>
      <c r="G651" s="415"/>
      <c r="H651" s="210"/>
      <c r="I651" s="423"/>
      <c r="J651" s="156"/>
      <c r="K651" s="423"/>
      <c r="L651" s="156"/>
      <c r="M651" s="415"/>
      <c r="N651" s="210"/>
      <c r="O651" s="415"/>
      <c r="P651" s="210"/>
      <c r="Q651" s="452"/>
      <c r="R651" s="452"/>
      <c r="S651" s="415"/>
      <c r="T651" s="210"/>
      <c r="U651" s="415"/>
      <c r="V651" s="210"/>
      <c r="W651" s="415"/>
      <c r="X651" s="210"/>
      <c r="Y651" s="8"/>
      <c r="Z651" s="8"/>
      <c r="AA651" s="8"/>
      <c r="AB651" s="8"/>
      <c r="AC651" s="8"/>
      <c r="AD651" s="8"/>
      <c r="AE651" s="8"/>
      <c r="AF651" s="8"/>
      <c r="AG651" s="8"/>
      <c r="AH651" s="8"/>
      <c r="AI651" s="8"/>
      <c r="AJ651" s="8"/>
      <c r="AK651" s="8"/>
      <c r="AL651" s="8"/>
      <c r="AM651" s="8"/>
      <c r="AN651" s="8"/>
      <c r="AO651" s="8"/>
      <c r="AP651" s="8"/>
      <c r="AQ651" s="8"/>
      <c r="AR651" s="8"/>
      <c r="AS651" s="8"/>
      <c r="AT651" s="8"/>
    </row>
    <row r="652">
      <c r="A652" s="415"/>
      <c r="B652" s="210"/>
      <c r="C652" s="415"/>
      <c r="D652" s="210"/>
      <c r="E652" s="415"/>
      <c r="F652" s="210"/>
      <c r="G652" s="415"/>
      <c r="H652" s="210"/>
      <c r="I652" s="423"/>
      <c r="J652" s="156"/>
      <c r="K652" s="423"/>
      <c r="L652" s="156"/>
      <c r="M652" s="415"/>
      <c r="N652" s="210"/>
      <c r="O652" s="415"/>
      <c r="P652" s="210"/>
      <c r="Q652" s="452"/>
      <c r="R652" s="452"/>
      <c r="S652" s="415"/>
      <c r="T652" s="210"/>
      <c r="U652" s="415"/>
      <c r="V652" s="210"/>
      <c r="W652" s="415"/>
      <c r="X652" s="210"/>
      <c r="Y652" s="8"/>
      <c r="Z652" s="8"/>
      <c r="AA652" s="8"/>
      <c r="AB652" s="8"/>
      <c r="AC652" s="8"/>
      <c r="AD652" s="8"/>
      <c r="AE652" s="8"/>
      <c r="AF652" s="8"/>
      <c r="AG652" s="8"/>
      <c r="AH652" s="8"/>
      <c r="AI652" s="8"/>
      <c r="AJ652" s="8"/>
      <c r="AK652" s="8"/>
      <c r="AL652" s="8"/>
      <c r="AM652" s="8"/>
      <c r="AN652" s="8"/>
      <c r="AO652" s="8"/>
      <c r="AP652" s="8"/>
      <c r="AQ652" s="8"/>
      <c r="AR652" s="8"/>
      <c r="AS652" s="8"/>
      <c r="AT652" s="8"/>
    </row>
    <row r="653">
      <c r="A653" s="415"/>
      <c r="B653" s="210"/>
      <c r="C653" s="415"/>
      <c r="D653" s="210"/>
      <c r="E653" s="415"/>
      <c r="F653" s="210"/>
      <c r="G653" s="415"/>
      <c r="H653" s="210"/>
      <c r="I653" s="423"/>
      <c r="J653" s="156"/>
      <c r="K653" s="423"/>
      <c r="L653" s="156"/>
      <c r="M653" s="415"/>
      <c r="N653" s="210"/>
      <c r="O653" s="415"/>
      <c r="P653" s="210"/>
      <c r="Q653" s="452"/>
      <c r="R653" s="452"/>
      <c r="S653" s="415"/>
      <c r="T653" s="210"/>
      <c r="U653" s="415"/>
      <c r="V653" s="210"/>
      <c r="W653" s="415"/>
      <c r="X653" s="210"/>
      <c r="Y653" s="8"/>
      <c r="Z653" s="8"/>
      <c r="AA653" s="8"/>
      <c r="AB653" s="8"/>
      <c r="AC653" s="8"/>
      <c r="AD653" s="8"/>
      <c r="AE653" s="8"/>
      <c r="AF653" s="8"/>
      <c r="AG653" s="8"/>
      <c r="AH653" s="8"/>
      <c r="AI653" s="8"/>
      <c r="AJ653" s="8"/>
      <c r="AK653" s="8"/>
      <c r="AL653" s="8"/>
      <c r="AM653" s="8"/>
      <c r="AN653" s="8"/>
      <c r="AO653" s="8"/>
      <c r="AP653" s="8"/>
      <c r="AQ653" s="8"/>
      <c r="AR653" s="8"/>
      <c r="AS653" s="8"/>
      <c r="AT653" s="8"/>
    </row>
    <row r="654">
      <c r="A654" s="415"/>
      <c r="B654" s="210"/>
      <c r="C654" s="415"/>
      <c r="D654" s="210"/>
      <c r="E654" s="415"/>
      <c r="F654" s="210"/>
      <c r="G654" s="415"/>
      <c r="H654" s="210"/>
      <c r="I654" s="423"/>
      <c r="J654" s="156"/>
      <c r="K654" s="423"/>
      <c r="L654" s="156"/>
      <c r="M654" s="415"/>
      <c r="N654" s="210"/>
      <c r="O654" s="415"/>
      <c r="P654" s="210"/>
      <c r="Q654" s="452"/>
      <c r="R654" s="452"/>
      <c r="S654" s="415"/>
      <c r="T654" s="210"/>
      <c r="U654" s="415"/>
      <c r="V654" s="210"/>
      <c r="W654" s="415"/>
      <c r="X654" s="210"/>
      <c r="Y654" s="8"/>
      <c r="Z654" s="8"/>
      <c r="AA654" s="8"/>
      <c r="AB654" s="8"/>
      <c r="AC654" s="8"/>
      <c r="AD654" s="8"/>
      <c r="AE654" s="8"/>
      <c r="AF654" s="8"/>
      <c r="AG654" s="8"/>
      <c r="AH654" s="8"/>
      <c r="AI654" s="8"/>
      <c r="AJ654" s="8"/>
      <c r="AK654" s="8"/>
      <c r="AL654" s="8"/>
      <c r="AM654" s="8"/>
      <c r="AN654" s="8"/>
      <c r="AO654" s="8"/>
      <c r="AP654" s="8"/>
      <c r="AQ654" s="8"/>
      <c r="AR654" s="8"/>
      <c r="AS654" s="8"/>
      <c r="AT654" s="8"/>
    </row>
    <row r="655">
      <c r="A655" s="415"/>
      <c r="B655" s="210"/>
      <c r="C655" s="415"/>
      <c r="D655" s="210"/>
      <c r="E655" s="415"/>
      <c r="F655" s="210"/>
      <c r="G655" s="415"/>
      <c r="H655" s="210"/>
      <c r="I655" s="423"/>
      <c r="J655" s="156"/>
      <c r="K655" s="423"/>
      <c r="L655" s="156"/>
      <c r="M655" s="415"/>
      <c r="N655" s="210"/>
      <c r="O655" s="415"/>
      <c r="P655" s="210"/>
      <c r="Q655" s="452"/>
      <c r="R655" s="452"/>
      <c r="S655" s="415"/>
      <c r="T655" s="210"/>
      <c r="U655" s="415"/>
      <c r="V655" s="210"/>
      <c r="W655" s="415"/>
      <c r="X655" s="210"/>
      <c r="Y655" s="8"/>
      <c r="Z655" s="8"/>
      <c r="AA655" s="8"/>
      <c r="AB655" s="8"/>
      <c r="AC655" s="8"/>
      <c r="AD655" s="8"/>
      <c r="AE655" s="8"/>
      <c r="AF655" s="8"/>
      <c r="AG655" s="8"/>
      <c r="AH655" s="8"/>
      <c r="AI655" s="8"/>
      <c r="AJ655" s="8"/>
      <c r="AK655" s="8"/>
      <c r="AL655" s="8"/>
      <c r="AM655" s="8"/>
      <c r="AN655" s="8"/>
      <c r="AO655" s="8"/>
      <c r="AP655" s="8"/>
      <c r="AQ655" s="8"/>
      <c r="AR655" s="8"/>
      <c r="AS655" s="8"/>
      <c r="AT655" s="8"/>
    </row>
    <row r="656">
      <c r="A656" s="415"/>
      <c r="B656" s="210"/>
      <c r="C656" s="415"/>
      <c r="D656" s="210"/>
      <c r="E656" s="415"/>
      <c r="F656" s="210"/>
      <c r="G656" s="415"/>
      <c r="H656" s="210"/>
      <c r="I656" s="423"/>
      <c r="J656" s="156"/>
      <c r="K656" s="423"/>
      <c r="L656" s="156"/>
      <c r="M656" s="415"/>
      <c r="N656" s="210"/>
      <c r="O656" s="415"/>
      <c r="P656" s="210"/>
      <c r="Q656" s="452"/>
      <c r="R656" s="452"/>
      <c r="S656" s="415"/>
      <c r="T656" s="210"/>
      <c r="U656" s="415"/>
      <c r="V656" s="210"/>
      <c r="W656" s="415"/>
      <c r="X656" s="210"/>
      <c r="Y656" s="8"/>
      <c r="Z656" s="8"/>
      <c r="AA656" s="8"/>
      <c r="AB656" s="8"/>
      <c r="AC656" s="8"/>
      <c r="AD656" s="8"/>
      <c r="AE656" s="8"/>
      <c r="AF656" s="8"/>
      <c r="AG656" s="8"/>
      <c r="AH656" s="8"/>
      <c r="AI656" s="8"/>
      <c r="AJ656" s="8"/>
      <c r="AK656" s="8"/>
      <c r="AL656" s="8"/>
      <c r="AM656" s="8"/>
      <c r="AN656" s="8"/>
      <c r="AO656" s="8"/>
      <c r="AP656" s="8"/>
      <c r="AQ656" s="8"/>
      <c r="AR656" s="8"/>
      <c r="AS656" s="8"/>
      <c r="AT656" s="8"/>
    </row>
    <row r="657">
      <c r="A657" s="415"/>
      <c r="B657" s="210"/>
      <c r="C657" s="415"/>
      <c r="D657" s="210"/>
      <c r="E657" s="415"/>
      <c r="F657" s="210"/>
      <c r="G657" s="415"/>
      <c r="H657" s="210"/>
      <c r="I657" s="423"/>
      <c r="J657" s="156"/>
      <c r="K657" s="423"/>
      <c r="L657" s="156"/>
      <c r="M657" s="415"/>
      <c r="N657" s="210"/>
      <c r="O657" s="415"/>
      <c r="P657" s="210"/>
      <c r="Q657" s="452"/>
      <c r="R657" s="452"/>
      <c r="S657" s="415"/>
      <c r="T657" s="210"/>
      <c r="U657" s="415"/>
      <c r="V657" s="210"/>
      <c r="W657" s="415"/>
      <c r="X657" s="210"/>
      <c r="Y657" s="8"/>
      <c r="Z657" s="8"/>
      <c r="AA657" s="8"/>
      <c r="AB657" s="8"/>
      <c r="AC657" s="8"/>
      <c r="AD657" s="8"/>
      <c r="AE657" s="8"/>
      <c r="AF657" s="8"/>
      <c r="AG657" s="8"/>
      <c r="AH657" s="8"/>
      <c r="AI657" s="8"/>
      <c r="AJ657" s="8"/>
      <c r="AK657" s="8"/>
      <c r="AL657" s="8"/>
      <c r="AM657" s="8"/>
      <c r="AN657" s="8"/>
      <c r="AO657" s="8"/>
      <c r="AP657" s="8"/>
      <c r="AQ657" s="8"/>
      <c r="AR657" s="8"/>
      <c r="AS657" s="8"/>
      <c r="AT657" s="8"/>
    </row>
    <row r="658">
      <c r="A658" s="415"/>
      <c r="B658" s="210"/>
      <c r="C658" s="415"/>
      <c r="D658" s="210"/>
      <c r="E658" s="415"/>
      <c r="F658" s="210"/>
      <c r="G658" s="415"/>
      <c r="H658" s="210"/>
      <c r="I658" s="423"/>
      <c r="J658" s="156"/>
      <c r="K658" s="423"/>
      <c r="L658" s="156"/>
      <c r="M658" s="415"/>
      <c r="N658" s="210"/>
      <c r="O658" s="415"/>
      <c r="P658" s="210"/>
      <c r="Q658" s="452"/>
      <c r="R658" s="452"/>
      <c r="S658" s="415"/>
      <c r="T658" s="210"/>
      <c r="U658" s="415"/>
      <c r="V658" s="210"/>
      <c r="W658" s="415"/>
      <c r="X658" s="210"/>
      <c r="Y658" s="8"/>
      <c r="Z658" s="8"/>
      <c r="AA658" s="8"/>
      <c r="AB658" s="8"/>
      <c r="AC658" s="8"/>
      <c r="AD658" s="8"/>
      <c r="AE658" s="8"/>
      <c r="AF658" s="8"/>
      <c r="AG658" s="8"/>
      <c r="AH658" s="8"/>
      <c r="AI658" s="8"/>
      <c r="AJ658" s="8"/>
      <c r="AK658" s="8"/>
      <c r="AL658" s="8"/>
      <c r="AM658" s="8"/>
      <c r="AN658" s="8"/>
      <c r="AO658" s="8"/>
      <c r="AP658" s="8"/>
      <c r="AQ658" s="8"/>
      <c r="AR658" s="8"/>
      <c r="AS658" s="8"/>
      <c r="AT658" s="8"/>
    </row>
    <row r="659">
      <c r="A659" s="415"/>
      <c r="B659" s="210"/>
      <c r="C659" s="415"/>
      <c r="D659" s="210"/>
      <c r="E659" s="415"/>
      <c r="F659" s="210"/>
      <c r="G659" s="415"/>
      <c r="H659" s="210"/>
      <c r="I659" s="423"/>
      <c r="J659" s="156"/>
      <c r="K659" s="423"/>
      <c r="L659" s="156"/>
      <c r="M659" s="415"/>
      <c r="N659" s="210"/>
      <c r="O659" s="415"/>
      <c r="P659" s="210"/>
      <c r="Q659" s="452"/>
      <c r="R659" s="452"/>
      <c r="S659" s="415"/>
      <c r="T659" s="210"/>
      <c r="U659" s="415"/>
      <c r="V659" s="210"/>
      <c r="W659" s="415"/>
      <c r="X659" s="210"/>
      <c r="Y659" s="8"/>
      <c r="Z659" s="8"/>
      <c r="AA659" s="8"/>
      <c r="AB659" s="8"/>
      <c r="AC659" s="8"/>
      <c r="AD659" s="8"/>
      <c r="AE659" s="8"/>
      <c r="AF659" s="8"/>
      <c r="AG659" s="8"/>
      <c r="AH659" s="8"/>
      <c r="AI659" s="8"/>
      <c r="AJ659" s="8"/>
      <c r="AK659" s="8"/>
      <c r="AL659" s="8"/>
      <c r="AM659" s="8"/>
      <c r="AN659" s="8"/>
      <c r="AO659" s="8"/>
      <c r="AP659" s="8"/>
      <c r="AQ659" s="8"/>
      <c r="AR659" s="8"/>
      <c r="AS659" s="8"/>
      <c r="AT659" s="8"/>
    </row>
    <row r="660">
      <c r="A660" s="415"/>
      <c r="B660" s="210"/>
      <c r="C660" s="415"/>
      <c r="D660" s="210"/>
      <c r="E660" s="415"/>
      <c r="F660" s="210"/>
      <c r="G660" s="415"/>
      <c r="H660" s="210"/>
      <c r="I660" s="423"/>
      <c r="J660" s="156"/>
      <c r="K660" s="423"/>
      <c r="L660" s="156"/>
      <c r="M660" s="415"/>
      <c r="N660" s="210"/>
      <c r="O660" s="415"/>
      <c r="P660" s="210"/>
      <c r="Q660" s="452"/>
      <c r="R660" s="452"/>
      <c r="S660" s="415"/>
      <c r="T660" s="210"/>
      <c r="U660" s="415"/>
      <c r="V660" s="210"/>
      <c r="W660" s="415"/>
      <c r="X660" s="210"/>
      <c r="Y660" s="8"/>
      <c r="Z660" s="8"/>
      <c r="AA660" s="8"/>
      <c r="AB660" s="8"/>
      <c r="AC660" s="8"/>
      <c r="AD660" s="8"/>
      <c r="AE660" s="8"/>
      <c r="AF660" s="8"/>
      <c r="AG660" s="8"/>
      <c r="AH660" s="8"/>
      <c r="AI660" s="8"/>
      <c r="AJ660" s="8"/>
      <c r="AK660" s="8"/>
      <c r="AL660" s="8"/>
      <c r="AM660" s="8"/>
      <c r="AN660" s="8"/>
      <c r="AO660" s="8"/>
      <c r="AP660" s="8"/>
      <c r="AQ660" s="8"/>
      <c r="AR660" s="8"/>
      <c r="AS660" s="8"/>
      <c r="AT660" s="8"/>
    </row>
    <row r="661">
      <c r="A661" s="415"/>
      <c r="B661" s="210"/>
      <c r="C661" s="415"/>
      <c r="D661" s="210"/>
      <c r="E661" s="415"/>
      <c r="F661" s="210"/>
      <c r="G661" s="415"/>
      <c r="H661" s="210"/>
      <c r="I661" s="423"/>
      <c r="J661" s="156"/>
      <c r="K661" s="423"/>
      <c r="L661" s="156"/>
      <c r="M661" s="415"/>
      <c r="N661" s="210"/>
      <c r="O661" s="415"/>
      <c r="P661" s="210"/>
      <c r="Q661" s="452"/>
      <c r="R661" s="452"/>
      <c r="S661" s="415"/>
      <c r="T661" s="210"/>
      <c r="U661" s="415"/>
      <c r="V661" s="210"/>
      <c r="W661" s="415"/>
      <c r="X661" s="210"/>
      <c r="Y661" s="8"/>
      <c r="Z661" s="8"/>
      <c r="AA661" s="8"/>
      <c r="AB661" s="8"/>
      <c r="AC661" s="8"/>
      <c r="AD661" s="8"/>
      <c r="AE661" s="8"/>
      <c r="AF661" s="8"/>
      <c r="AG661" s="8"/>
      <c r="AH661" s="8"/>
      <c r="AI661" s="8"/>
      <c r="AJ661" s="8"/>
      <c r="AK661" s="8"/>
      <c r="AL661" s="8"/>
      <c r="AM661" s="8"/>
      <c r="AN661" s="8"/>
      <c r="AO661" s="8"/>
      <c r="AP661" s="8"/>
      <c r="AQ661" s="8"/>
      <c r="AR661" s="8"/>
      <c r="AS661" s="8"/>
      <c r="AT661" s="8"/>
    </row>
    <row r="662">
      <c r="A662" s="415"/>
      <c r="B662" s="210"/>
      <c r="C662" s="415"/>
      <c r="D662" s="210"/>
      <c r="E662" s="415"/>
      <c r="F662" s="210"/>
      <c r="G662" s="415"/>
      <c r="H662" s="210"/>
      <c r="I662" s="423"/>
      <c r="J662" s="156"/>
      <c r="K662" s="423"/>
      <c r="L662" s="156"/>
      <c r="M662" s="415"/>
      <c r="N662" s="210"/>
      <c r="O662" s="415"/>
      <c r="P662" s="210"/>
      <c r="Q662" s="452"/>
      <c r="R662" s="452"/>
      <c r="S662" s="415"/>
      <c r="T662" s="210"/>
      <c r="U662" s="415"/>
      <c r="V662" s="210"/>
      <c r="W662" s="415"/>
      <c r="X662" s="210"/>
      <c r="Y662" s="8"/>
      <c r="Z662" s="8"/>
      <c r="AA662" s="8"/>
      <c r="AB662" s="8"/>
      <c r="AC662" s="8"/>
      <c r="AD662" s="8"/>
      <c r="AE662" s="8"/>
      <c r="AF662" s="8"/>
      <c r="AG662" s="8"/>
      <c r="AH662" s="8"/>
      <c r="AI662" s="8"/>
      <c r="AJ662" s="8"/>
      <c r="AK662" s="8"/>
      <c r="AL662" s="8"/>
      <c r="AM662" s="8"/>
      <c r="AN662" s="8"/>
      <c r="AO662" s="8"/>
      <c r="AP662" s="8"/>
      <c r="AQ662" s="8"/>
      <c r="AR662" s="8"/>
      <c r="AS662" s="8"/>
      <c r="AT662" s="8"/>
    </row>
    <row r="663">
      <c r="A663" s="415"/>
      <c r="B663" s="210"/>
      <c r="C663" s="415"/>
      <c r="D663" s="210"/>
      <c r="E663" s="415"/>
      <c r="F663" s="210"/>
      <c r="G663" s="415"/>
      <c r="H663" s="210"/>
      <c r="I663" s="423"/>
      <c r="J663" s="156"/>
      <c r="K663" s="423"/>
      <c r="L663" s="156"/>
      <c r="M663" s="415"/>
      <c r="N663" s="210"/>
      <c r="O663" s="415"/>
      <c r="P663" s="210"/>
      <c r="Q663" s="452"/>
      <c r="R663" s="452"/>
      <c r="S663" s="415"/>
      <c r="T663" s="210"/>
      <c r="U663" s="415"/>
      <c r="V663" s="210"/>
      <c r="W663" s="415"/>
      <c r="X663" s="210"/>
      <c r="Y663" s="8"/>
      <c r="Z663" s="8"/>
      <c r="AA663" s="8"/>
      <c r="AB663" s="8"/>
      <c r="AC663" s="8"/>
      <c r="AD663" s="8"/>
      <c r="AE663" s="8"/>
      <c r="AF663" s="8"/>
      <c r="AG663" s="8"/>
      <c r="AH663" s="8"/>
      <c r="AI663" s="8"/>
      <c r="AJ663" s="8"/>
      <c r="AK663" s="8"/>
      <c r="AL663" s="8"/>
      <c r="AM663" s="8"/>
      <c r="AN663" s="8"/>
      <c r="AO663" s="8"/>
      <c r="AP663" s="8"/>
      <c r="AQ663" s="8"/>
      <c r="AR663" s="8"/>
      <c r="AS663" s="8"/>
      <c r="AT663" s="8"/>
    </row>
    <row r="664">
      <c r="A664" s="415"/>
      <c r="B664" s="210"/>
      <c r="C664" s="415"/>
      <c r="D664" s="210"/>
      <c r="E664" s="415"/>
      <c r="F664" s="210"/>
      <c r="G664" s="415"/>
      <c r="H664" s="210"/>
      <c r="I664" s="423"/>
      <c r="J664" s="156"/>
      <c r="K664" s="423"/>
      <c r="L664" s="156"/>
      <c r="M664" s="415"/>
      <c r="N664" s="210"/>
      <c r="O664" s="415"/>
      <c r="P664" s="210"/>
      <c r="Q664" s="452"/>
      <c r="R664" s="452"/>
      <c r="S664" s="415"/>
      <c r="T664" s="210"/>
      <c r="U664" s="415"/>
      <c r="V664" s="210"/>
      <c r="W664" s="415"/>
      <c r="X664" s="210"/>
      <c r="Y664" s="8"/>
      <c r="Z664" s="8"/>
      <c r="AA664" s="8"/>
      <c r="AB664" s="8"/>
      <c r="AC664" s="8"/>
      <c r="AD664" s="8"/>
      <c r="AE664" s="8"/>
      <c r="AF664" s="8"/>
      <c r="AG664" s="8"/>
      <c r="AH664" s="8"/>
      <c r="AI664" s="8"/>
      <c r="AJ664" s="8"/>
      <c r="AK664" s="8"/>
      <c r="AL664" s="8"/>
      <c r="AM664" s="8"/>
      <c r="AN664" s="8"/>
      <c r="AO664" s="8"/>
      <c r="AP664" s="8"/>
      <c r="AQ664" s="8"/>
      <c r="AR664" s="8"/>
      <c r="AS664" s="8"/>
      <c r="AT664" s="8"/>
    </row>
    <row r="665">
      <c r="A665" s="415"/>
      <c r="B665" s="210"/>
      <c r="C665" s="415"/>
      <c r="D665" s="210"/>
      <c r="E665" s="415"/>
      <c r="F665" s="210"/>
      <c r="G665" s="415"/>
      <c r="H665" s="210"/>
      <c r="I665" s="423"/>
      <c r="J665" s="156"/>
      <c r="K665" s="423"/>
      <c r="L665" s="156"/>
      <c r="M665" s="415"/>
      <c r="N665" s="210"/>
      <c r="O665" s="415"/>
      <c r="P665" s="210"/>
      <c r="Q665" s="452"/>
      <c r="R665" s="452"/>
      <c r="S665" s="415"/>
      <c r="T665" s="210"/>
      <c r="U665" s="415"/>
      <c r="V665" s="210"/>
      <c r="W665" s="415"/>
      <c r="X665" s="210"/>
      <c r="Y665" s="8"/>
      <c r="Z665" s="8"/>
      <c r="AA665" s="8"/>
      <c r="AB665" s="8"/>
      <c r="AC665" s="8"/>
      <c r="AD665" s="8"/>
      <c r="AE665" s="8"/>
      <c r="AF665" s="8"/>
      <c r="AG665" s="8"/>
      <c r="AH665" s="8"/>
      <c r="AI665" s="8"/>
      <c r="AJ665" s="8"/>
      <c r="AK665" s="8"/>
      <c r="AL665" s="8"/>
      <c r="AM665" s="8"/>
      <c r="AN665" s="8"/>
      <c r="AO665" s="8"/>
      <c r="AP665" s="8"/>
      <c r="AQ665" s="8"/>
      <c r="AR665" s="8"/>
      <c r="AS665" s="8"/>
      <c r="AT665" s="8"/>
    </row>
    <row r="666">
      <c r="A666" s="415"/>
      <c r="B666" s="210"/>
      <c r="C666" s="415"/>
      <c r="D666" s="210"/>
      <c r="E666" s="415"/>
      <c r="F666" s="210"/>
      <c r="G666" s="415"/>
      <c r="H666" s="210"/>
      <c r="I666" s="423"/>
      <c r="J666" s="156"/>
      <c r="K666" s="423"/>
      <c r="L666" s="156"/>
      <c r="M666" s="415"/>
      <c r="N666" s="210"/>
      <c r="O666" s="415"/>
      <c r="P666" s="210"/>
      <c r="Q666" s="452"/>
      <c r="R666" s="452"/>
      <c r="S666" s="415"/>
      <c r="T666" s="210"/>
      <c r="U666" s="415"/>
      <c r="V666" s="210"/>
      <c r="W666" s="415"/>
      <c r="X666" s="210"/>
      <c r="Y666" s="8"/>
      <c r="Z666" s="8"/>
      <c r="AA666" s="8"/>
      <c r="AB666" s="8"/>
      <c r="AC666" s="8"/>
      <c r="AD666" s="8"/>
      <c r="AE666" s="8"/>
      <c r="AF666" s="8"/>
      <c r="AG666" s="8"/>
      <c r="AH666" s="8"/>
      <c r="AI666" s="8"/>
      <c r="AJ666" s="8"/>
      <c r="AK666" s="8"/>
      <c r="AL666" s="8"/>
      <c r="AM666" s="8"/>
      <c r="AN666" s="8"/>
      <c r="AO666" s="8"/>
      <c r="AP666" s="8"/>
      <c r="AQ666" s="8"/>
      <c r="AR666" s="8"/>
      <c r="AS666" s="8"/>
      <c r="AT666" s="8"/>
    </row>
    <row r="667">
      <c r="A667" s="415"/>
      <c r="B667" s="210"/>
      <c r="C667" s="415"/>
      <c r="D667" s="210"/>
      <c r="E667" s="415"/>
      <c r="F667" s="210"/>
      <c r="G667" s="415"/>
      <c r="H667" s="210"/>
      <c r="I667" s="423"/>
      <c r="J667" s="156"/>
      <c r="K667" s="423"/>
      <c r="L667" s="156"/>
      <c r="M667" s="415"/>
      <c r="N667" s="210"/>
      <c r="O667" s="415"/>
      <c r="P667" s="210"/>
      <c r="Q667" s="452"/>
      <c r="R667" s="452"/>
      <c r="S667" s="415"/>
      <c r="T667" s="210"/>
      <c r="U667" s="415"/>
      <c r="V667" s="210"/>
      <c r="W667" s="415"/>
      <c r="X667" s="210"/>
      <c r="Y667" s="8"/>
      <c r="Z667" s="8"/>
      <c r="AA667" s="8"/>
      <c r="AB667" s="8"/>
      <c r="AC667" s="8"/>
      <c r="AD667" s="8"/>
      <c r="AE667" s="8"/>
      <c r="AF667" s="8"/>
      <c r="AG667" s="8"/>
      <c r="AH667" s="8"/>
      <c r="AI667" s="8"/>
      <c r="AJ667" s="8"/>
      <c r="AK667" s="8"/>
      <c r="AL667" s="8"/>
      <c r="AM667" s="8"/>
      <c r="AN667" s="8"/>
      <c r="AO667" s="8"/>
      <c r="AP667" s="8"/>
      <c r="AQ667" s="8"/>
      <c r="AR667" s="8"/>
      <c r="AS667" s="8"/>
      <c r="AT667" s="8"/>
    </row>
    <row r="668">
      <c r="A668" s="415"/>
      <c r="B668" s="210"/>
      <c r="C668" s="415"/>
      <c r="D668" s="210"/>
      <c r="E668" s="415"/>
      <c r="F668" s="210"/>
      <c r="G668" s="415"/>
      <c r="H668" s="210"/>
      <c r="I668" s="423"/>
      <c r="J668" s="156"/>
      <c r="K668" s="423"/>
      <c r="L668" s="156"/>
      <c r="M668" s="415"/>
      <c r="N668" s="210"/>
      <c r="O668" s="415"/>
      <c r="P668" s="210"/>
      <c r="Q668" s="452"/>
      <c r="R668" s="452"/>
      <c r="S668" s="415"/>
      <c r="T668" s="210"/>
      <c r="U668" s="415"/>
      <c r="V668" s="210"/>
      <c r="W668" s="415"/>
      <c r="X668" s="210"/>
      <c r="Y668" s="8"/>
      <c r="Z668" s="8"/>
      <c r="AA668" s="8"/>
      <c r="AB668" s="8"/>
      <c r="AC668" s="8"/>
      <c r="AD668" s="8"/>
      <c r="AE668" s="8"/>
      <c r="AF668" s="8"/>
      <c r="AG668" s="8"/>
      <c r="AH668" s="8"/>
      <c r="AI668" s="8"/>
      <c r="AJ668" s="8"/>
      <c r="AK668" s="8"/>
      <c r="AL668" s="8"/>
      <c r="AM668" s="8"/>
      <c r="AN668" s="8"/>
      <c r="AO668" s="8"/>
      <c r="AP668" s="8"/>
      <c r="AQ668" s="8"/>
      <c r="AR668" s="8"/>
      <c r="AS668" s="8"/>
      <c r="AT668" s="8"/>
    </row>
    <row r="669">
      <c r="A669" s="415"/>
      <c r="B669" s="210"/>
      <c r="C669" s="415"/>
      <c r="D669" s="210"/>
      <c r="E669" s="415"/>
      <c r="F669" s="210"/>
      <c r="G669" s="415"/>
      <c r="H669" s="210"/>
      <c r="I669" s="423"/>
      <c r="J669" s="156"/>
      <c r="K669" s="423"/>
      <c r="L669" s="156"/>
      <c r="M669" s="415"/>
      <c r="N669" s="210"/>
      <c r="O669" s="415"/>
      <c r="P669" s="210"/>
      <c r="Q669" s="452"/>
      <c r="R669" s="452"/>
      <c r="S669" s="415"/>
      <c r="T669" s="210"/>
      <c r="U669" s="415"/>
      <c r="V669" s="210"/>
      <c r="W669" s="415"/>
      <c r="X669" s="210"/>
      <c r="Y669" s="8"/>
      <c r="Z669" s="8"/>
      <c r="AA669" s="8"/>
      <c r="AB669" s="8"/>
      <c r="AC669" s="8"/>
      <c r="AD669" s="8"/>
      <c r="AE669" s="8"/>
      <c r="AF669" s="8"/>
      <c r="AG669" s="8"/>
      <c r="AH669" s="8"/>
      <c r="AI669" s="8"/>
      <c r="AJ669" s="8"/>
      <c r="AK669" s="8"/>
      <c r="AL669" s="8"/>
      <c r="AM669" s="8"/>
      <c r="AN669" s="8"/>
      <c r="AO669" s="8"/>
      <c r="AP669" s="8"/>
      <c r="AQ669" s="8"/>
      <c r="AR669" s="8"/>
      <c r="AS669" s="8"/>
      <c r="AT669" s="8"/>
    </row>
    <row r="670">
      <c r="A670" s="415"/>
      <c r="B670" s="210"/>
      <c r="C670" s="415"/>
      <c r="D670" s="210"/>
      <c r="E670" s="415"/>
      <c r="F670" s="210"/>
      <c r="G670" s="415"/>
      <c r="H670" s="210"/>
      <c r="I670" s="423"/>
      <c r="J670" s="156"/>
      <c r="K670" s="423"/>
      <c r="L670" s="156"/>
      <c r="M670" s="415"/>
      <c r="N670" s="210"/>
      <c r="O670" s="415"/>
      <c r="P670" s="210"/>
      <c r="Q670" s="452"/>
      <c r="R670" s="452"/>
      <c r="S670" s="415"/>
      <c r="T670" s="210"/>
      <c r="U670" s="415"/>
      <c r="V670" s="210"/>
      <c r="W670" s="415"/>
      <c r="X670" s="210"/>
      <c r="Y670" s="8"/>
      <c r="Z670" s="8"/>
      <c r="AA670" s="8"/>
      <c r="AB670" s="8"/>
      <c r="AC670" s="8"/>
      <c r="AD670" s="8"/>
      <c r="AE670" s="8"/>
      <c r="AF670" s="8"/>
      <c r="AG670" s="8"/>
      <c r="AH670" s="8"/>
      <c r="AI670" s="8"/>
      <c r="AJ670" s="8"/>
      <c r="AK670" s="8"/>
      <c r="AL670" s="8"/>
      <c r="AM670" s="8"/>
      <c r="AN670" s="8"/>
      <c r="AO670" s="8"/>
      <c r="AP670" s="8"/>
      <c r="AQ670" s="8"/>
      <c r="AR670" s="8"/>
      <c r="AS670" s="8"/>
      <c r="AT670" s="8"/>
    </row>
    <row r="671">
      <c r="A671" s="415"/>
      <c r="B671" s="210"/>
      <c r="C671" s="415"/>
      <c r="D671" s="210"/>
      <c r="E671" s="415"/>
      <c r="F671" s="210"/>
      <c r="G671" s="415"/>
      <c r="H671" s="210"/>
      <c r="I671" s="423"/>
      <c r="J671" s="156"/>
      <c r="K671" s="423"/>
      <c r="L671" s="156"/>
      <c r="M671" s="415"/>
      <c r="N671" s="210"/>
      <c r="O671" s="415"/>
      <c r="P671" s="210"/>
      <c r="Q671" s="452"/>
      <c r="R671" s="452"/>
      <c r="S671" s="415"/>
      <c r="T671" s="210"/>
      <c r="U671" s="415"/>
      <c r="V671" s="210"/>
      <c r="W671" s="415"/>
      <c r="X671" s="210"/>
      <c r="Y671" s="8"/>
      <c r="Z671" s="8"/>
      <c r="AA671" s="8"/>
      <c r="AB671" s="8"/>
      <c r="AC671" s="8"/>
      <c r="AD671" s="8"/>
      <c r="AE671" s="8"/>
      <c r="AF671" s="8"/>
      <c r="AG671" s="8"/>
      <c r="AH671" s="8"/>
      <c r="AI671" s="8"/>
      <c r="AJ671" s="8"/>
      <c r="AK671" s="8"/>
      <c r="AL671" s="8"/>
      <c r="AM671" s="8"/>
      <c r="AN671" s="8"/>
      <c r="AO671" s="8"/>
      <c r="AP671" s="8"/>
      <c r="AQ671" s="8"/>
      <c r="AR671" s="8"/>
      <c r="AS671" s="8"/>
      <c r="AT671" s="8"/>
    </row>
    <row r="672">
      <c r="A672" s="415"/>
      <c r="B672" s="210"/>
      <c r="C672" s="415"/>
      <c r="D672" s="210"/>
      <c r="E672" s="415"/>
      <c r="F672" s="210"/>
      <c r="G672" s="415"/>
      <c r="H672" s="210"/>
      <c r="I672" s="423"/>
      <c r="J672" s="156"/>
      <c r="K672" s="423"/>
      <c r="L672" s="156"/>
      <c r="M672" s="415"/>
      <c r="N672" s="210"/>
      <c r="O672" s="415"/>
      <c r="P672" s="210"/>
      <c r="Q672" s="452"/>
      <c r="R672" s="452"/>
      <c r="S672" s="415"/>
      <c r="T672" s="210"/>
      <c r="U672" s="415"/>
      <c r="V672" s="210"/>
      <c r="W672" s="415"/>
      <c r="X672" s="210"/>
      <c r="Y672" s="8"/>
      <c r="Z672" s="8"/>
      <c r="AA672" s="8"/>
      <c r="AB672" s="8"/>
      <c r="AC672" s="8"/>
      <c r="AD672" s="8"/>
      <c r="AE672" s="8"/>
      <c r="AF672" s="8"/>
      <c r="AG672" s="8"/>
      <c r="AH672" s="8"/>
      <c r="AI672" s="8"/>
      <c r="AJ672" s="8"/>
      <c r="AK672" s="8"/>
      <c r="AL672" s="8"/>
      <c r="AM672" s="8"/>
      <c r="AN672" s="8"/>
      <c r="AO672" s="8"/>
      <c r="AP672" s="8"/>
      <c r="AQ672" s="8"/>
      <c r="AR672" s="8"/>
      <c r="AS672" s="8"/>
      <c r="AT672" s="8"/>
    </row>
    <row r="673">
      <c r="A673" s="415"/>
      <c r="B673" s="210"/>
      <c r="C673" s="415"/>
      <c r="D673" s="210"/>
      <c r="E673" s="415"/>
      <c r="F673" s="210"/>
      <c r="G673" s="415"/>
      <c r="H673" s="210"/>
      <c r="I673" s="423"/>
      <c r="J673" s="156"/>
      <c r="K673" s="423"/>
      <c r="L673" s="156"/>
      <c r="M673" s="415"/>
      <c r="N673" s="210"/>
      <c r="O673" s="415"/>
      <c r="P673" s="210"/>
      <c r="Q673" s="452"/>
      <c r="R673" s="452"/>
      <c r="S673" s="415"/>
      <c r="T673" s="210"/>
      <c r="U673" s="415"/>
      <c r="V673" s="210"/>
      <c r="W673" s="415"/>
      <c r="X673" s="210"/>
      <c r="Y673" s="8"/>
      <c r="Z673" s="8"/>
      <c r="AA673" s="8"/>
      <c r="AB673" s="8"/>
      <c r="AC673" s="8"/>
      <c r="AD673" s="8"/>
      <c r="AE673" s="8"/>
      <c r="AF673" s="8"/>
      <c r="AG673" s="8"/>
      <c r="AH673" s="8"/>
      <c r="AI673" s="8"/>
      <c r="AJ673" s="8"/>
      <c r="AK673" s="8"/>
      <c r="AL673" s="8"/>
      <c r="AM673" s="8"/>
      <c r="AN673" s="8"/>
      <c r="AO673" s="8"/>
      <c r="AP673" s="8"/>
      <c r="AQ673" s="8"/>
      <c r="AR673" s="8"/>
      <c r="AS673" s="8"/>
      <c r="AT673" s="8"/>
    </row>
    <row r="674">
      <c r="A674" s="415"/>
      <c r="B674" s="210"/>
      <c r="C674" s="415"/>
      <c r="D674" s="210"/>
      <c r="E674" s="415"/>
      <c r="F674" s="210"/>
      <c r="G674" s="415"/>
      <c r="H674" s="210"/>
      <c r="I674" s="423"/>
      <c r="J674" s="156"/>
      <c r="K674" s="423"/>
      <c r="L674" s="156"/>
      <c r="M674" s="415"/>
      <c r="N674" s="210"/>
      <c r="O674" s="415"/>
      <c r="P674" s="210"/>
      <c r="Q674" s="452"/>
      <c r="R674" s="452"/>
      <c r="S674" s="415"/>
      <c r="T674" s="210"/>
      <c r="U674" s="415"/>
      <c r="V674" s="210"/>
      <c r="W674" s="415"/>
      <c r="X674" s="210"/>
      <c r="Y674" s="8"/>
      <c r="Z674" s="8"/>
      <c r="AA674" s="8"/>
      <c r="AB674" s="8"/>
      <c r="AC674" s="8"/>
      <c r="AD674" s="8"/>
      <c r="AE674" s="8"/>
      <c r="AF674" s="8"/>
      <c r="AG674" s="8"/>
      <c r="AH674" s="8"/>
      <c r="AI674" s="8"/>
      <c r="AJ674" s="8"/>
      <c r="AK674" s="8"/>
      <c r="AL674" s="8"/>
      <c r="AM674" s="8"/>
      <c r="AN674" s="8"/>
      <c r="AO674" s="8"/>
      <c r="AP674" s="8"/>
      <c r="AQ674" s="8"/>
      <c r="AR674" s="8"/>
      <c r="AS674" s="8"/>
      <c r="AT674" s="8"/>
    </row>
    <row r="675">
      <c r="A675" s="415"/>
      <c r="B675" s="210"/>
      <c r="C675" s="415"/>
      <c r="D675" s="210"/>
      <c r="E675" s="415"/>
      <c r="F675" s="210"/>
      <c r="G675" s="415"/>
      <c r="H675" s="210"/>
      <c r="I675" s="423"/>
      <c r="J675" s="156"/>
      <c r="K675" s="423"/>
      <c r="L675" s="156"/>
      <c r="M675" s="415"/>
      <c r="N675" s="210"/>
      <c r="O675" s="415"/>
      <c r="P675" s="210"/>
      <c r="Q675" s="452"/>
      <c r="R675" s="452"/>
      <c r="S675" s="415"/>
      <c r="T675" s="210"/>
      <c r="U675" s="415"/>
      <c r="V675" s="210"/>
      <c r="W675" s="415"/>
      <c r="X675" s="210"/>
      <c r="Y675" s="8"/>
      <c r="Z675" s="8"/>
      <c r="AA675" s="8"/>
      <c r="AB675" s="8"/>
      <c r="AC675" s="8"/>
      <c r="AD675" s="8"/>
      <c r="AE675" s="8"/>
      <c r="AF675" s="8"/>
      <c r="AG675" s="8"/>
      <c r="AH675" s="8"/>
      <c r="AI675" s="8"/>
      <c r="AJ675" s="8"/>
      <c r="AK675" s="8"/>
      <c r="AL675" s="8"/>
      <c r="AM675" s="8"/>
      <c r="AN675" s="8"/>
      <c r="AO675" s="8"/>
      <c r="AP675" s="8"/>
      <c r="AQ675" s="8"/>
      <c r="AR675" s="8"/>
      <c r="AS675" s="8"/>
      <c r="AT675" s="8"/>
    </row>
    <row r="676">
      <c r="A676" s="415"/>
      <c r="B676" s="210"/>
      <c r="C676" s="415"/>
      <c r="D676" s="210"/>
      <c r="E676" s="415"/>
      <c r="F676" s="210"/>
      <c r="G676" s="415"/>
      <c r="H676" s="210"/>
      <c r="I676" s="423"/>
      <c r="J676" s="156"/>
      <c r="K676" s="423"/>
      <c r="L676" s="156"/>
      <c r="M676" s="415"/>
      <c r="N676" s="210"/>
      <c r="O676" s="415"/>
      <c r="P676" s="210"/>
      <c r="Q676" s="452"/>
      <c r="R676" s="452"/>
      <c r="S676" s="415"/>
      <c r="T676" s="210"/>
      <c r="U676" s="415"/>
      <c r="V676" s="210"/>
      <c r="W676" s="415"/>
      <c r="X676" s="210"/>
      <c r="Y676" s="8"/>
      <c r="Z676" s="8"/>
      <c r="AA676" s="8"/>
      <c r="AB676" s="8"/>
      <c r="AC676" s="8"/>
      <c r="AD676" s="8"/>
      <c r="AE676" s="8"/>
      <c r="AF676" s="8"/>
      <c r="AG676" s="8"/>
      <c r="AH676" s="8"/>
      <c r="AI676" s="8"/>
      <c r="AJ676" s="8"/>
      <c r="AK676" s="8"/>
      <c r="AL676" s="8"/>
      <c r="AM676" s="8"/>
      <c r="AN676" s="8"/>
      <c r="AO676" s="8"/>
      <c r="AP676" s="8"/>
      <c r="AQ676" s="8"/>
      <c r="AR676" s="8"/>
      <c r="AS676" s="8"/>
      <c r="AT676" s="8"/>
    </row>
    <row r="677">
      <c r="A677" s="415"/>
      <c r="B677" s="210"/>
      <c r="C677" s="415"/>
      <c r="D677" s="210"/>
      <c r="E677" s="415"/>
      <c r="F677" s="210"/>
      <c r="G677" s="415"/>
      <c r="H677" s="210"/>
      <c r="I677" s="423"/>
      <c r="J677" s="156"/>
      <c r="K677" s="423"/>
      <c r="L677" s="156"/>
      <c r="M677" s="415"/>
      <c r="N677" s="210"/>
      <c r="O677" s="415"/>
      <c r="P677" s="210"/>
      <c r="Q677" s="452"/>
      <c r="R677" s="452"/>
      <c r="S677" s="415"/>
      <c r="T677" s="210"/>
      <c r="U677" s="415"/>
      <c r="V677" s="210"/>
      <c r="W677" s="415"/>
      <c r="X677" s="210"/>
      <c r="Y677" s="8"/>
      <c r="Z677" s="8"/>
      <c r="AA677" s="8"/>
      <c r="AB677" s="8"/>
      <c r="AC677" s="8"/>
      <c r="AD677" s="8"/>
      <c r="AE677" s="8"/>
      <c r="AF677" s="8"/>
      <c r="AG677" s="8"/>
      <c r="AH677" s="8"/>
      <c r="AI677" s="8"/>
      <c r="AJ677" s="8"/>
      <c r="AK677" s="8"/>
      <c r="AL677" s="8"/>
      <c r="AM677" s="8"/>
      <c r="AN677" s="8"/>
      <c r="AO677" s="8"/>
      <c r="AP677" s="8"/>
      <c r="AQ677" s="8"/>
      <c r="AR677" s="8"/>
      <c r="AS677" s="8"/>
      <c r="AT677" s="8"/>
    </row>
    <row r="678">
      <c r="A678" s="415"/>
      <c r="B678" s="210"/>
      <c r="C678" s="415"/>
      <c r="D678" s="210"/>
      <c r="E678" s="415"/>
      <c r="F678" s="210"/>
      <c r="G678" s="415"/>
      <c r="H678" s="210"/>
      <c r="I678" s="423"/>
      <c r="J678" s="156"/>
      <c r="K678" s="423"/>
      <c r="L678" s="156"/>
      <c r="M678" s="415"/>
      <c r="N678" s="210"/>
      <c r="O678" s="415"/>
      <c r="P678" s="210"/>
      <c r="Q678" s="452"/>
      <c r="R678" s="452"/>
      <c r="S678" s="415"/>
      <c r="T678" s="210"/>
      <c r="U678" s="415"/>
      <c r="V678" s="210"/>
      <c r="W678" s="415"/>
      <c r="X678" s="210"/>
      <c r="Y678" s="8"/>
      <c r="Z678" s="8"/>
      <c r="AA678" s="8"/>
      <c r="AB678" s="8"/>
      <c r="AC678" s="8"/>
      <c r="AD678" s="8"/>
      <c r="AE678" s="8"/>
      <c r="AF678" s="8"/>
      <c r="AG678" s="8"/>
      <c r="AH678" s="8"/>
      <c r="AI678" s="8"/>
      <c r="AJ678" s="8"/>
      <c r="AK678" s="8"/>
      <c r="AL678" s="8"/>
      <c r="AM678" s="8"/>
      <c r="AN678" s="8"/>
      <c r="AO678" s="8"/>
      <c r="AP678" s="8"/>
      <c r="AQ678" s="8"/>
      <c r="AR678" s="8"/>
      <c r="AS678" s="8"/>
      <c r="AT678" s="8"/>
    </row>
    <row r="679">
      <c r="A679" s="415"/>
      <c r="B679" s="210"/>
      <c r="C679" s="415"/>
      <c r="D679" s="210"/>
      <c r="E679" s="415"/>
      <c r="F679" s="210"/>
      <c r="G679" s="415"/>
      <c r="H679" s="210"/>
      <c r="I679" s="423"/>
      <c r="J679" s="156"/>
      <c r="K679" s="423"/>
      <c r="L679" s="156"/>
      <c r="M679" s="415"/>
      <c r="N679" s="210"/>
      <c r="O679" s="415"/>
      <c r="P679" s="210"/>
      <c r="Q679" s="452"/>
      <c r="R679" s="452"/>
      <c r="S679" s="415"/>
      <c r="T679" s="210"/>
      <c r="U679" s="415"/>
      <c r="V679" s="210"/>
      <c r="W679" s="415"/>
      <c r="X679" s="210"/>
      <c r="Y679" s="8"/>
      <c r="Z679" s="8"/>
      <c r="AA679" s="8"/>
      <c r="AB679" s="8"/>
      <c r="AC679" s="8"/>
      <c r="AD679" s="8"/>
      <c r="AE679" s="8"/>
      <c r="AF679" s="8"/>
      <c r="AG679" s="8"/>
      <c r="AH679" s="8"/>
      <c r="AI679" s="8"/>
      <c r="AJ679" s="8"/>
      <c r="AK679" s="8"/>
      <c r="AL679" s="8"/>
      <c r="AM679" s="8"/>
      <c r="AN679" s="8"/>
      <c r="AO679" s="8"/>
      <c r="AP679" s="8"/>
      <c r="AQ679" s="8"/>
      <c r="AR679" s="8"/>
      <c r="AS679" s="8"/>
      <c r="AT679" s="8"/>
    </row>
    <row r="680">
      <c r="A680" s="415"/>
      <c r="B680" s="210"/>
      <c r="C680" s="415"/>
      <c r="D680" s="210"/>
      <c r="E680" s="415"/>
      <c r="F680" s="210"/>
      <c r="G680" s="415"/>
      <c r="H680" s="210"/>
      <c r="I680" s="423"/>
      <c r="J680" s="156"/>
      <c r="K680" s="423"/>
      <c r="L680" s="156"/>
      <c r="M680" s="415"/>
      <c r="N680" s="210"/>
      <c r="O680" s="415"/>
      <c r="P680" s="210"/>
      <c r="Q680" s="452"/>
      <c r="R680" s="452"/>
      <c r="S680" s="415"/>
      <c r="T680" s="210"/>
      <c r="U680" s="415"/>
      <c r="V680" s="210"/>
      <c r="W680" s="415"/>
      <c r="X680" s="210"/>
      <c r="Y680" s="8"/>
      <c r="Z680" s="8"/>
      <c r="AA680" s="8"/>
      <c r="AB680" s="8"/>
      <c r="AC680" s="8"/>
      <c r="AD680" s="8"/>
      <c r="AE680" s="8"/>
      <c r="AF680" s="8"/>
      <c r="AG680" s="8"/>
      <c r="AH680" s="8"/>
      <c r="AI680" s="8"/>
      <c r="AJ680" s="8"/>
      <c r="AK680" s="8"/>
      <c r="AL680" s="8"/>
      <c r="AM680" s="8"/>
      <c r="AN680" s="8"/>
      <c r="AO680" s="8"/>
      <c r="AP680" s="8"/>
      <c r="AQ680" s="8"/>
      <c r="AR680" s="8"/>
      <c r="AS680" s="8"/>
      <c r="AT680" s="8"/>
    </row>
    <row r="681">
      <c r="A681" s="415"/>
      <c r="B681" s="210"/>
      <c r="C681" s="415"/>
      <c r="D681" s="210"/>
      <c r="E681" s="415"/>
      <c r="F681" s="210"/>
      <c r="G681" s="415"/>
      <c r="H681" s="210"/>
      <c r="I681" s="423"/>
      <c r="J681" s="156"/>
      <c r="K681" s="423"/>
      <c r="L681" s="156"/>
      <c r="M681" s="415"/>
      <c r="N681" s="210"/>
      <c r="O681" s="415"/>
      <c r="P681" s="210"/>
      <c r="Q681" s="452"/>
      <c r="R681" s="452"/>
      <c r="S681" s="415"/>
      <c r="T681" s="210"/>
      <c r="U681" s="415"/>
      <c r="V681" s="210"/>
      <c r="W681" s="415"/>
      <c r="X681" s="210"/>
      <c r="Y681" s="8"/>
      <c r="Z681" s="8"/>
      <c r="AA681" s="8"/>
      <c r="AB681" s="8"/>
      <c r="AC681" s="8"/>
      <c r="AD681" s="8"/>
      <c r="AE681" s="8"/>
      <c r="AF681" s="8"/>
      <c r="AG681" s="8"/>
      <c r="AH681" s="8"/>
      <c r="AI681" s="8"/>
      <c r="AJ681" s="8"/>
      <c r="AK681" s="8"/>
      <c r="AL681" s="8"/>
      <c r="AM681" s="8"/>
      <c r="AN681" s="8"/>
      <c r="AO681" s="8"/>
      <c r="AP681" s="8"/>
      <c r="AQ681" s="8"/>
      <c r="AR681" s="8"/>
      <c r="AS681" s="8"/>
      <c r="AT681" s="8"/>
    </row>
    <row r="682">
      <c r="A682" s="415"/>
      <c r="B682" s="210"/>
      <c r="C682" s="415"/>
      <c r="D682" s="210"/>
      <c r="E682" s="415"/>
      <c r="F682" s="210"/>
      <c r="G682" s="415"/>
      <c r="H682" s="210"/>
      <c r="I682" s="423"/>
      <c r="J682" s="156"/>
      <c r="K682" s="423"/>
      <c r="L682" s="156"/>
      <c r="M682" s="415"/>
      <c r="N682" s="210"/>
      <c r="O682" s="415"/>
      <c r="P682" s="210"/>
      <c r="Q682" s="452"/>
      <c r="R682" s="452"/>
      <c r="S682" s="415"/>
      <c r="T682" s="210"/>
      <c r="U682" s="415"/>
      <c r="V682" s="210"/>
      <c r="W682" s="415"/>
      <c r="X682" s="210"/>
      <c r="Y682" s="8"/>
      <c r="Z682" s="8"/>
      <c r="AA682" s="8"/>
      <c r="AB682" s="8"/>
      <c r="AC682" s="8"/>
      <c r="AD682" s="8"/>
      <c r="AE682" s="8"/>
      <c r="AF682" s="8"/>
      <c r="AG682" s="8"/>
      <c r="AH682" s="8"/>
      <c r="AI682" s="8"/>
      <c r="AJ682" s="8"/>
      <c r="AK682" s="8"/>
      <c r="AL682" s="8"/>
      <c r="AM682" s="8"/>
      <c r="AN682" s="8"/>
      <c r="AO682" s="8"/>
      <c r="AP682" s="8"/>
      <c r="AQ682" s="8"/>
      <c r="AR682" s="8"/>
      <c r="AS682" s="8"/>
      <c r="AT682" s="8"/>
    </row>
    <row r="683">
      <c r="A683" s="415"/>
      <c r="B683" s="210"/>
      <c r="C683" s="415"/>
      <c r="D683" s="210"/>
      <c r="E683" s="415"/>
      <c r="F683" s="210"/>
      <c r="G683" s="415"/>
      <c r="H683" s="210"/>
      <c r="I683" s="423"/>
      <c r="J683" s="156"/>
      <c r="K683" s="423"/>
      <c r="L683" s="156"/>
      <c r="M683" s="415"/>
      <c r="N683" s="210"/>
      <c r="O683" s="415"/>
      <c r="P683" s="210"/>
      <c r="Q683" s="452"/>
      <c r="R683" s="452"/>
      <c r="S683" s="415"/>
      <c r="T683" s="210"/>
      <c r="U683" s="415"/>
      <c r="V683" s="210"/>
      <c r="W683" s="415"/>
      <c r="X683" s="210"/>
      <c r="Y683" s="8"/>
      <c r="Z683" s="8"/>
      <c r="AA683" s="8"/>
      <c r="AB683" s="8"/>
      <c r="AC683" s="8"/>
      <c r="AD683" s="8"/>
      <c r="AE683" s="8"/>
      <c r="AF683" s="8"/>
      <c r="AG683" s="8"/>
      <c r="AH683" s="8"/>
      <c r="AI683" s="8"/>
      <c r="AJ683" s="8"/>
      <c r="AK683" s="8"/>
      <c r="AL683" s="8"/>
      <c r="AM683" s="8"/>
      <c r="AN683" s="8"/>
      <c r="AO683" s="8"/>
      <c r="AP683" s="8"/>
      <c r="AQ683" s="8"/>
      <c r="AR683" s="8"/>
      <c r="AS683" s="8"/>
      <c r="AT683" s="8"/>
    </row>
    <row r="684">
      <c r="A684" s="415"/>
      <c r="B684" s="210"/>
      <c r="C684" s="415"/>
      <c r="D684" s="210"/>
      <c r="E684" s="415"/>
      <c r="F684" s="210"/>
      <c r="G684" s="415"/>
      <c r="H684" s="210"/>
      <c r="I684" s="423"/>
      <c r="J684" s="156"/>
      <c r="K684" s="423"/>
      <c r="L684" s="156"/>
      <c r="M684" s="415"/>
      <c r="N684" s="210"/>
      <c r="O684" s="415"/>
      <c r="P684" s="210"/>
      <c r="Q684" s="452"/>
      <c r="R684" s="452"/>
      <c r="S684" s="415"/>
      <c r="T684" s="210"/>
      <c r="U684" s="415"/>
      <c r="V684" s="210"/>
      <c r="W684" s="415"/>
      <c r="X684" s="210"/>
      <c r="Y684" s="8"/>
      <c r="Z684" s="8"/>
      <c r="AA684" s="8"/>
      <c r="AB684" s="8"/>
      <c r="AC684" s="8"/>
      <c r="AD684" s="8"/>
      <c r="AE684" s="8"/>
      <c r="AF684" s="8"/>
      <c r="AG684" s="8"/>
      <c r="AH684" s="8"/>
      <c r="AI684" s="8"/>
      <c r="AJ684" s="8"/>
      <c r="AK684" s="8"/>
      <c r="AL684" s="8"/>
      <c r="AM684" s="8"/>
      <c r="AN684" s="8"/>
      <c r="AO684" s="8"/>
      <c r="AP684" s="8"/>
      <c r="AQ684" s="8"/>
      <c r="AR684" s="8"/>
      <c r="AS684" s="8"/>
      <c r="AT684" s="8"/>
    </row>
    <row r="685">
      <c r="A685" s="415"/>
      <c r="B685" s="210"/>
      <c r="C685" s="415"/>
      <c r="D685" s="210"/>
      <c r="E685" s="415"/>
      <c r="F685" s="210"/>
      <c r="G685" s="415"/>
      <c r="H685" s="210"/>
      <c r="I685" s="423"/>
      <c r="J685" s="156"/>
      <c r="K685" s="423"/>
      <c r="L685" s="156"/>
      <c r="M685" s="415"/>
      <c r="N685" s="210"/>
      <c r="O685" s="415"/>
      <c r="P685" s="210"/>
      <c r="Q685" s="452"/>
      <c r="R685" s="452"/>
      <c r="S685" s="415"/>
      <c r="T685" s="210"/>
      <c r="U685" s="415"/>
      <c r="V685" s="210"/>
      <c r="W685" s="415"/>
      <c r="X685" s="210"/>
      <c r="Y685" s="8"/>
      <c r="Z685" s="8"/>
      <c r="AA685" s="8"/>
      <c r="AB685" s="8"/>
      <c r="AC685" s="8"/>
      <c r="AD685" s="8"/>
      <c r="AE685" s="8"/>
      <c r="AF685" s="8"/>
      <c r="AG685" s="8"/>
      <c r="AH685" s="8"/>
      <c r="AI685" s="8"/>
      <c r="AJ685" s="8"/>
      <c r="AK685" s="8"/>
      <c r="AL685" s="8"/>
      <c r="AM685" s="8"/>
      <c r="AN685" s="8"/>
      <c r="AO685" s="8"/>
      <c r="AP685" s="8"/>
      <c r="AQ685" s="8"/>
      <c r="AR685" s="8"/>
      <c r="AS685" s="8"/>
      <c r="AT685" s="8"/>
    </row>
    <row r="686">
      <c r="A686" s="415"/>
      <c r="B686" s="210"/>
      <c r="C686" s="415"/>
      <c r="D686" s="210"/>
      <c r="E686" s="415"/>
      <c r="F686" s="210"/>
      <c r="G686" s="415"/>
      <c r="H686" s="210"/>
      <c r="I686" s="423"/>
      <c r="J686" s="156"/>
      <c r="K686" s="423"/>
      <c r="L686" s="156"/>
      <c r="M686" s="415"/>
      <c r="N686" s="210"/>
      <c r="O686" s="415"/>
      <c r="P686" s="210"/>
      <c r="Q686" s="452"/>
      <c r="R686" s="452"/>
      <c r="S686" s="415"/>
      <c r="T686" s="210"/>
      <c r="U686" s="415"/>
      <c r="V686" s="210"/>
      <c r="W686" s="415"/>
      <c r="X686" s="210"/>
      <c r="Y686" s="8"/>
      <c r="Z686" s="8"/>
      <c r="AA686" s="8"/>
      <c r="AB686" s="8"/>
      <c r="AC686" s="8"/>
      <c r="AD686" s="8"/>
      <c r="AE686" s="8"/>
      <c r="AF686" s="8"/>
      <c r="AG686" s="8"/>
      <c r="AH686" s="8"/>
      <c r="AI686" s="8"/>
      <c r="AJ686" s="8"/>
      <c r="AK686" s="8"/>
      <c r="AL686" s="8"/>
      <c r="AM686" s="8"/>
      <c r="AN686" s="8"/>
      <c r="AO686" s="8"/>
      <c r="AP686" s="8"/>
      <c r="AQ686" s="8"/>
      <c r="AR686" s="8"/>
      <c r="AS686" s="8"/>
      <c r="AT686" s="8"/>
    </row>
    <row r="687">
      <c r="A687" s="415"/>
      <c r="B687" s="210"/>
      <c r="C687" s="415"/>
      <c r="D687" s="210"/>
      <c r="E687" s="415"/>
      <c r="F687" s="210"/>
      <c r="G687" s="415"/>
      <c r="H687" s="210"/>
      <c r="I687" s="423"/>
      <c r="J687" s="156"/>
      <c r="K687" s="423"/>
      <c r="L687" s="156"/>
      <c r="M687" s="415"/>
      <c r="N687" s="210"/>
      <c r="O687" s="415"/>
      <c r="P687" s="210"/>
      <c r="Q687" s="452"/>
      <c r="R687" s="452"/>
      <c r="S687" s="415"/>
      <c r="T687" s="210"/>
      <c r="U687" s="415"/>
      <c r="V687" s="210"/>
      <c r="W687" s="415"/>
      <c r="X687" s="210"/>
      <c r="Y687" s="8"/>
      <c r="Z687" s="8"/>
      <c r="AA687" s="8"/>
      <c r="AB687" s="8"/>
      <c r="AC687" s="8"/>
      <c r="AD687" s="8"/>
      <c r="AE687" s="8"/>
      <c r="AF687" s="8"/>
      <c r="AG687" s="8"/>
      <c r="AH687" s="8"/>
      <c r="AI687" s="8"/>
      <c r="AJ687" s="8"/>
      <c r="AK687" s="8"/>
      <c r="AL687" s="8"/>
      <c r="AM687" s="8"/>
      <c r="AN687" s="8"/>
      <c r="AO687" s="8"/>
      <c r="AP687" s="8"/>
      <c r="AQ687" s="8"/>
      <c r="AR687" s="8"/>
      <c r="AS687" s="8"/>
      <c r="AT687" s="8"/>
    </row>
    <row r="688">
      <c r="A688" s="415"/>
      <c r="B688" s="210"/>
      <c r="C688" s="415"/>
      <c r="D688" s="210"/>
      <c r="E688" s="415"/>
      <c r="F688" s="210"/>
      <c r="G688" s="415"/>
      <c r="H688" s="210"/>
      <c r="I688" s="423"/>
      <c r="J688" s="156"/>
      <c r="K688" s="423"/>
      <c r="L688" s="156"/>
      <c r="M688" s="415"/>
      <c r="N688" s="210"/>
      <c r="O688" s="415"/>
      <c r="P688" s="210"/>
      <c r="Q688" s="452"/>
      <c r="R688" s="452"/>
      <c r="S688" s="415"/>
      <c r="T688" s="210"/>
      <c r="U688" s="415"/>
      <c r="V688" s="210"/>
      <c r="W688" s="415"/>
      <c r="X688" s="210"/>
      <c r="Y688" s="8"/>
      <c r="Z688" s="8"/>
      <c r="AA688" s="8"/>
      <c r="AB688" s="8"/>
      <c r="AC688" s="8"/>
      <c r="AD688" s="8"/>
      <c r="AE688" s="8"/>
      <c r="AF688" s="8"/>
      <c r="AG688" s="8"/>
      <c r="AH688" s="8"/>
      <c r="AI688" s="8"/>
      <c r="AJ688" s="8"/>
      <c r="AK688" s="8"/>
      <c r="AL688" s="8"/>
      <c r="AM688" s="8"/>
      <c r="AN688" s="8"/>
      <c r="AO688" s="8"/>
      <c r="AP688" s="8"/>
      <c r="AQ688" s="8"/>
      <c r="AR688" s="8"/>
      <c r="AS688" s="8"/>
      <c r="AT688" s="8"/>
    </row>
    <row r="689">
      <c r="A689" s="415"/>
      <c r="B689" s="210"/>
      <c r="C689" s="415"/>
      <c r="D689" s="210"/>
      <c r="E689" s="415"/>
      <c r="F689" s="210"/>
      <c r="G689" s="415"/>
      <c r="H689" s="210"/>
      <c r="I689" s="423"/>
      <c r="J689" s="156"/>
      <c r="K689" s="423"/>
      <c r="L689" s="156"/>
      <c r="M689" s="415"/>
      <c r="N689" s="210"/>
      <c r="O689" s="415"/>
      <c r="P689" s="210"/>
      <c r="Q689" s="452"/>
      <c r="R689" s="452"/>
      <c r="S689" s="415"/>
      <c r="T689" s="210"/>
      <c r="U689" s="415"/>
      <c r="V689" s="210"/>
      <c r="W689" s="415"/>
      <c r="X689" s="210"/>
      <c r="Y689" s="8"/>
      <c r="Z689" s="8"/>
      <c r="AA689" s="8"/>
      <c r="AB689" s="8"/>
      <c r="AC689" s="8"/>
      <c r="AD689" s="8"/>
      <c r="AE689" s="8"/>
      <c r="AF689" s="8"/>
      <c r="AG689" s="8"/>
      <c r="AH689" s="8"/>
      <c r="AI689" s="8"/>
      <c r="AJ689" s="8"/>
      <c r="AK689" s="8"/>
      <c r="AL689" s="8"/>
      <c r="AM689" s="8"/>
      <c r="AN689" s="8"/>
      <c r="AO689" s="8"/>
      <c r="AP689" s="8"/>
      <c r="AQ689" s="8"/>
      <c r="AR689" s="8"/>
      <c r="AS689" s="8"/>
      <c r="AT689" s="8"/>
    </row>
    <row r="690">
      <c r="A690" s="415"/>
      <c r="B690" s="210"/>
      <c r="C690" s="415"/>
      <c r="D690" s="210"/>
      <c r="E690" s="415"/>
      <c r="F690" s="210"/>
      <c r="G690" s="415"/>
      <c r="H690" s="210"/>
      <c r="I690" s="423"/>
      <c r="J690" s="156"/>
      <c r="K690" s="423"/>
      <c r="L690" s="156"/>
      <c r="M690" s="415"/>
      <c r="N690" s="210"/>
      <c r="O690" s="415"/>
      <c r="P690" s="210"/>
      <c r="Q690" s="452"/>
      <c r="R690" s="452"/>
      <c r="S690" s="415"/>
      <c r="T690" s="210"/>
      <c r="U690" s="415"/>
      <c r="V690" s="210"/>
      <c r="W690" s="415"/>
      <c r="X690" s="210"/>
      <c r="Y690" s="8"/>
      <c r="Z690" s="8"/>
      <c r="AA690" s="8"/>
      <c r="AB690" s="8"/>
      <c r="AC690" s="8"/>
      <c r="AD690" s="8"/>
      <c r="AE690" s="8"/>
      <c r="AF690" s="8"/>
      <c r="AG690" s="8"/>
      <c r="AH690" s="8"/>
      <c r="AI690" s="8"/>
      <c r="AJ690" s="8"/>
      <c r="AK690" s="8"/>
      <c r="AL690" s="8"/>
      <c r="AM690" s="8"/>
      <c r="AN690" s="8"/>
      <c r="AO690" s="8"/>
      <c r="AP690" s="8"/>
      <c r="AQ690" s="8"/>
      <c r="AR690" s="8"/>
      <c r="AS690" s="8"/>
      <c r="AT690" s="8"/>
    </row>
    <row r="691">
      <c r="A691" s="415"/>
      <c r="B691" s="210"/>
      <c r="C691" s="415"/>
      <c r="D691" s="210"/>
      <c r="E691" s="415"/>
      <c r="F691" s="210"/>
      <c r="G691" s="415"/>
      <c r="H691" s="210"/>
      <c r="I691" s="423"/>
      <c r="J691" s="156"/>
      <c r="K691" s="423"/>
      <c r="L691" s="156"/>
      <c r="M691" s="415"/>
      <c r="N691" s="210"/>
      <c r="O691" s="415"/>
      <c r="P691" s="210"/>
      <c r="Q691" s="452"/>
      <c r="R691" s="452"/>
      <c r="S691" s="415"/>
      <c r="T691" s="210"/>
      <c r="U691" s="415"/>
      <c r="V691" s="210"/>
      <c r="W691" s="415"/>
      <c r="X691" s="210"/>
      <c r="Y691" s="8"/>
      <c r="Z691" s="8"/>
      <c r="AA691" s="8"/>
      <c r="AB691" s="8"/>
      <c r="AC691" s="8"/>
      <c r="AD691" s="8"/>
      <c r="AE691" s="8"/>
      <c r="AF691" s="8"/>
      <c r="AG691" s="8"/>
      <c r="AH691" s="8"/>
      <c r="AI691" s="8"/>
      <c r="AJ691" s="8"/>
      <c r="AK691" s="8"/>
      <c r="AL691" s="8"/>
      <c r="AM691" s="8"/>
      <c r="AN691" s="8"/>
      <c r="AO691" s="8"/>
      <c r="AP691" s="8"/>
      <c r="AQ691" s="8"/>
      <c r="AR691" s="8"/>
      <c r="AS691" s="8"/>
      <c r="AT691" s="8"/>
    </row>
    <row r="692">
      <c r="A692" s="415"/>
      <c r="B692" s="210"/>
      <c r="C692" s="415"/>
      <c r="D692" s="210"/>
      <c r="E692" s="415"/>
      <c r="F692" s="210"/>
      <c r="G692" s="415"/>
      <c r="H692" s="210"/>
      <c r="I692" s="423"/>
      <c r="J692" s="156"/>
      <c r="K692" s="423"/>
      <c r="L692" s="156"/>
      <c r="M692" s="415"/>
      <c r="N692" s="210"/>
      <c r="O692" s="415"/>
      <c r="P692" s="210"/>
      <c r="Q692" s="452"/>
      <c r="R692" s="452"/>
      <c r="S692" s="415"/>
      <c r="T692" s="210"/>
      <c r="U692" s="415"/>
      <c r="V692" s="210"/>
      <c r="W692" s="415"/>
      <c r="X692" s="210"/>
      <c r="Y692" s="8"/>
      <c r="Z692" s="8"/>
      <c r="AA692" s="8"/>
      <c r="AB692" s="8"/>
      <c r="AC692" s="8"/>
      <c r="AD692" s="8"/>
      <c r="AE692" s="8"/>
      <c r="AF692" s="8"/>
      <c r="AG692" s="8"/>
      <c r="AH692" s="8"/>
      <c r="AI692" s="8"/>
      <c r="AJ692" s="8"/>
      <c r="AK692" s="8"/>
      <c r="AL692" s="8"/>
      <c r="AM692" s="8"/>
      <c r="AN692" s="8"/>
      <c r="AO692" s="8"/>
      <c r="AP692" s="8"/>
      <c r="AQ692" s="8"/>
      <c r="AR692" s="8"/>
      <c r="AS692" s="8"/>
      <c r="AT692" s="8"/>
    </row>
    <row r="693">
      <c r="A693" s="415"/>
      <c r="B693" s="210"/>
      <c r="C693" s="415"/>
      <c r="D693" s="210"/>
      <c r="E693" s="415"/>
      <c r="F693" s="210"/>
      <c r="G693" s="415"/>
      <c r="H693" s="210"/>
      <c r="I693" s="423"/>
      <c r="J693" s="156"/>
      <c r="K693" s="423"/>
      <c r="L693" s="156"/>
      <c r="M693" s="415"/>
      <c r="N693" s="210"/>
      <c r="O693" s="415"/>
      <c r="P693" s="210"/>
      <c r="Q693" s="452"/>
      <c r="R693" s="452"/>
      <c r="S693" s="415"/>
      <c r="T693" s="210"/>
      <c r="U693" s="415"/>
      <c r="V693" s="210"/>
      <c r="W693" s="415"/>
      <c r="X693" s="210"/>
      <c r="Y693" s="8"/>
      <c r="Z693" s="8"/>
      <c r="AA693" s="8"/>
      <c r="AB693" s="8"/>
      <c r="AC693" s="8"/>
      <c r="AD693" s="8"/>
      <c r="AE693" s="8"/>
      <c r="AF693" s="8"/>
      <c r="AG693" s="8"/>
      <c r="AH693" s="8"/>
      <c r="AI693" s="8"/>
      <c r="AJ693" s="8"/>
      <c r="AK693" s="8"/>
      <c r="AL693" s="8"/>
      <c r="AM693" s="8"/>
      <c r="AN693" s="8"/>
      <c r="AO693" s="8"/>
      <c r="AP693" s="8"/>
      <c r="AQ693" s="8"/>
      <c r="AR693" s="8"/>
      <c r="AS693" s="8"/>
      <c r="AT693" s="8"/>
    </row>
    <row r="694">
      <c r="A694" s="415"/>
      <c r="B694" s="210"/>
      <c r="C694" s="415"/>
      <c r="D694" s="210"/>
      <c r="E694" s="415"/>
      <c r="F694" s="210"/>
      <c r="G694" s="415"/>
      <c r="H694" s="210"/>
      <c r="I694" s="423"/>
      <c r="J694" s="156"/>
      <c r="K694" s="423"/>
      <c r="L694" s="156"/>
      <c r="M694" s="415"/>
      <c r="N694" s="210"/>
      <c r="O694" s="415"/>
      <c r="P694" s="210"/>
      <c r="Q694" s="452"/>
      <c r="R694" s="452"/>
      <c r="S694" s="415"/>
      <c r="T694" s="210"/>
      <c r="U694" s="415"/>
      <c r="V694" s="210"/>
      <c r="W694" s="415"/>
      <c r="X694" s="210"/>
      <c r="Y694" s="8"/>
      <c r="Z694" s="8"/>
      <c r="AA694" s="8"/>
      <c r="AB694" s="8"/>
      <c r="AC694" s="8"/>
      <c r="AD694" s="8"/>
      <c r="AE694" s="8"/>
      <c r="AF694" s="8"/>
      <c r="AG694" s="8"/>
      <c r="AH694" s="8"/>
      <c r="AI694" s="8"/>
      <c r="AJ694" s="8"/>
      <c r="AK694" s="8"/>
      <c r="AL694" s="8"/>
      <c r="AM694" s="8"/>
      <c r="AN694" s="8"/>
      <c r="AO694" s="8"/>
      <c r="AP694" s="8"/>
      <c r="AQ694" s="8"/>
      <c r="AR694" s="8"/>
      <c r="AS694" s="8"/>
      <c r="AT694" s="8"/>
    </row>
    <row r="695">
      <c r="A695" s="415"/>
      <c r="B695" s="210"/>
      <c r="C695" s="415"/>
      <c r="D695" s="210"/>
      <c r="E695" s="415"/>
      <c r="F695" s="210"/>
      <c r="G695" s="415"/>
      <c r="H695" s="210"/>
      <c r="I695" s="423"/>
      <c r="J695" s="156"/>
      <c r="K695" s="423"/>
      <c r="L695" s="156"/>
      <c r="M695" s="415"/>
      <c r="N695" s="210"/>
      <c r="O695" s="415"/>
      <c r="P695" s="210"/>
      <c r="Q695" s="452"/>
      <c r="R695" s="452"/>
      <c r="S695" s="415"/>
      <c r="T695" s="210"/>
      <c r="U695" s="415"/>
      <c r="V695" s="210"/>
      <c r="W695" s="415"/>
      <c r="X695" s="210"/>
      <c r="Y695" s="8"/>
      <c r="Z695" s="8"/>
      <c r="AA695" s="8"/>
      <c r="AB695" s="8"/>
      <c r="AC695" s="8"/>
      <c r="AD695" s="8"/>
      <c r="AE695" s="8"/>
      <c r="AF695" s="8"/>
      <c r="AG695" s="8"/>
      <c r="AH695" s="8"/>
      <c r="AI695" s="8"/>
      <c r="AJ695" s="8"/>
      <c r="AK695" s="8"/>
      <c r="AL695" s="8"/>
      <c r="AM695" s="8"/>
      <c r="AN695" s="8"/>
      <c r="AO695" s="8"/>
      <c r="AP695" s="8"/>
      <c r="AQ695" s="8"/>
      <c r="AR695" s="8"/>
      <c r="AS695" s="8"/>
      <c r="AT695" s="8"/>
    </row>
    <row r="696">
      <c r="A696" s="415"/>
      <c r="B696" s="210"/>
      <c r="C696" s="415"/>
      <c r="D696" s="210"/>
      <c r="E696" s="415"/>
      <c r="F696" s="210"/>
      <c r="G696" s="415"/>
      <c r="H696" s="210"/>
      <c r="I696" s="423"/>
      <c r="J696" s="156"/>
      <c r="K696" s="423"/>
      <c r="L696" s="156"/>
      <c r="M696" s="415"/>
      <c r="N696" s="210"/>
      <c r="O696" s="415"/>
      <c r="P696" s="210"/>
      <c r="Q696" s="452"/>
      <c r="R696" s="452"/>
      <c r="S696" s="415"/>
      <c r="T696" s="210"/>
      <c r="U696" s="415"/>
      <c r="V696" s="210"/>
      <c r="W696" s="415"/>
      <c r="X696" s="210"/>
      <c r="Y696" s="8"/>
      <c r="Z696" s="8"/>
      <c r="AA696" s="8"/>
      <c r="AB696" s="8"/>
      <c r="AC696" s="8"/>
      <c r="AD696" s="8"/>
      <c r="AE696" s="8"/>
      <c r="AF696" s="8"/>
      <c r="AG696" s="8"/>
      <c r="AH696" s="8"/>
      <c r="AI696" s="8"/>
      <c r="AJ696" s="8"/>
      <c r="AK696" s="8"/>
      <c r="AL696" s="8"/>
      <c r="AM696" s="8"/>
      <c r="AN696" s="8"/>
      <c r="AO696" s="8"/>
      <c r="AP696" s="8"/>
      <c r="AQ696" s="8"/>
      <c r="AR696" s="8"/>
      <c r="AS696" s="8"/>
      <c r="AT696" s="8"/>
    </row>
    <row r="697">
      <c r="A697" s="415"/>
      <c r="B697" s="210"/>
      <c r="C697" s="415"/>
      <c r="D697" s="210"/>
      <c r="E697" s="415"/>
      <c r="F697" s="210"/>
      <c r="G697" s="415"/>
      <c r="H697" s="210"/>
      <c r="I697" s="423"/>
      <c r="J697" s="156"/>
      <c r="K697" s="423"/>
      <c r="L697" s="156"/>
      <c r="M697" s="415"/>
      <c r="N697" s="210"/>
      <c r="O697" s="415"/>
      <c r="P697" s="210"/>
      <c r="Q697" s="452"/>
      <c r="R697" s="452"/>
      <c r="S697" s="415"/>
      <c r="T697" s="210"/>
      <c r="U697" s="415"/>
      <c r="V697" s="210"/>
      <c r="W697" s="415"/>
      <c r="X697" s="210"/>
      <c r="Y697" s="8"/>
      <c r="Z697" s="8"/>
      <c r="AA697" s="8"/>
      <c r="AB697" s="8"/>
      <c r="AC697" s="8"/>
      <c r="AD697" s="8"/>
      <c r="AE697" s="8"/>
      <c r="AF697" s="8"/>
      <c r="AG697" s="8"/>
      <c r="AH697" s="8"/>
      <c r="AI697" s="8"/>
      <c r="AJ697" s="8"/>
      <c r="AK697" s="8"/>
      <c r="AL697" s="8"/>
      <c r="AM697" s="8"/>
      <c r="AN697" s="8"/>
      <c r="AO697" s="8"/>
      <c r="AP697" s="8"/>
      <c r="AQ697" s="8"/>
      <c r="AR697" s="8"/>
      <c r="AS697" s="8"/>
      <c r="AT697" s="8"/>
    </row>
    <row r="698">
      <c r="A698" s="415"/>
      <c r="B698" s="210"/>
      <c r="C698" s="415"/>
      <c r="D698" s="210"/>
      <c r="E698" s="415"/>
      <c r="F698" s="210"/>
      <c r="G698" s="415"/>
      <c r="H698" s="210"/>
      <c r="I698" s="423"/>
      <c r="J698" s="156"/>
      <c r="K698" s="423"/>
      <c r="L698" s="156"/>
      <c r="M698" s="415"/>
      <c r="N698" s="210"/>
      <c r="O698" s="415"/>
      <c r="P698" s="210"/>
      <c r="Q698" s="452"/>
      <c r="R698" s="452"/>
      <c r="S698" s="415"/>
      <c r="T698" s="210"/>
      <c r="U698" s="415"/>
      <c r="V698" s="210"/>
      <c r="W698" s="415"/>
      <c r="X698" s="210"/>
      <c r="Y698" s="8"/>
      <c r="Z698" s="8"/>
      <c r="AA698" s="8"/>
      <c r="AB698" s="8"/>
      <c r="AC698" s="8"/>
      <c r="AD698" s="8"/>
      <c r="AE698" s="8"/>
      <c r="AF698" s="8"/>
      <c r="AG698" s="8"/>
      <c r="AH698" s="8"/>
      <c r="AI698" s="8"/>
      <c r="AJ698" s="8"/>
      <c r="AK698" s="8"/>
      <c r="AL698" s="8"/>
      <c r="AM698" s="8"/>
      <c r="AN698" s="8"/>
      <c r="AO698" s="8"/>
      <c r="AP698" s="8"/>
      <c r="AQ698" s="8"/>
      <c r="AR698" s="8"/>
      <c r="AS698" s="8"/>
      <c r="AT698" s="8"/>
    </row>
    <row r="699">
      <c r="A699" s="415"/>
      <c r="B699" s="210"/>
      <c r="C699" s="415"/>
      <c r="D699" s="210"/>
      <c r="E699" s="415"/>
      <c r="F699" s="210"/>
      <c r="G699" s="415"/>
      <c r="H699" s="210"/>
      <c r="I699" s="423"/>
      <c r="J699" s="156"/>
      <c r="K699" s="423"/>
      <c r="L699" s="156"/>
      <c r="M699" s="415"/>
      <c r="N699" s="210"/>
      <c r="O699" s="415"/>
      <c r="P699" s="210"/>
      <c r="Q699" s="452"/>
      <c r="R699" s="452"/>
      <c r="S699" s="415"/>
      <c r="T699" s="210"/>
      <c r="U699" s="415"/>
      <c r="V699" s="210"/>
      <c r="W699" s="415"/>
      <c r="X699" s="210"/>
      <c r="Y699" s="8"/>
      <c r="Z699" s="8"/>
      <c r="AA699" s="8"/>
      <c r="AB699" s="8"/>
      <c r="AC699" s="8"/>
      <c r="AD699" s="8"/>
      <c r="AE699" s="8"/>
      <c r="AF699" s="8"/>
      <c r="AG699" s="8"/>
      <c r="AH699" s="8"/>
      <c r="AI699" s="8"/>
      <c r="AJ699" s="8"/>
      <c r="AK699" s="8"/>
      <c r="AL699" s="8"/>
      <c r="AM699" s="8"/>
      <c r="AN699" s="8"/>
      <c r="AO699" s="8"/>
      <c r="AP699" s="8"/>
      <c r="AQ699" s="8"/>
      <c r="AR699" s="8"/>
      <c r="AS699" s="8"/>
      <c r="AT699" s="8"/>
    </row>
    <row r="700">
      <c r="A700" s="415"/>
      <c r="B700" s="210"/>
      <c r="C700" s="415"/>
      <c r="D700" s="210"/>
      <c r="E700" s="415"/>
      <c r="F700" s="210"/>
      <c r="G700" s="415"/>
      <c r="H700" s="210"/>
      <c r="I700" s="423"/>
      <c r="J700" s="156"/>
      <c r="K700" s="423"/>
      <c r="L700" s="156"/>
      <c r="M700" s="415"/>
      <c r="N700" s="210"/>
      <c r="O700" s="415"/>
      <c r="P700" s="210"/>
      <c r="Q700" s="452"/>
      <c r="R700" s="452"/>
      <c r="S700" s="415"/>
      <c r="T700" s="210"/>
      <c r="U700" s="415"/>
      <c r="V700" s="210"/>
      <c r="W700" s="415"/>
      <c r="X700" s="210"/>
      <c r="Y700" s="8"/>
      <c r="Z700" s="8"/>
      <c r="AA700" s="8"/>
      <c r="AB700" s="8"/>
      <c r="AC700" s="8"/>
      <c r="AD700" s="8"/>
      <c r="AE700" s="8"/>
      <c r="AF700" s="8"/>
      <c r="AG700" s="8"/>
      <c r="AH700" s="8"/>
      <c r="AI700" s="8"/>
      <c r="AJ700" s="8"/>
      <c r="AK700" s="8"/>
      <c r="AL700" s="8"/>
      <c r="AM700" s="8"/>
      <c r="AN700" s="8"/>
      <c r="AO700" s="8"/>
      <c r="AP700" s="8"/>
      <c r="AQ700" s="8"/>
      <c r="AR700" s="8"/>
      <c r="AS700" s="8"/>
      <c r="AT700" s="8"/>
    </row>
    <row r="701">
      <c r="A701" s="415"/>
      <c r="B701" s="210"/>
      <c r="C701" s="415"/>
      <c r="D701" s="210"/>
      <c r="E701" s="415"/>
      <c r="F701" s="210"/>
      <c r="G701" s="415"/>
      <c r="H701" s="210"/>
      <c r="I701" s="423"/>
      <c r="J701" s="156"/>
      <c r="K701" s="423"/>
      <c r="L701" s="156"/>
      <c r="M701" s="415"/>
      <c r="N701" s="210"/>
      <c r="O701" s="415"/>
      <c r="P701" s="210"/>
      <c r="Q701" s="452"/>
      <c r="R701" s="452"/>
      <c r="S701" s="415"/>
      <c r="T701" s="210"/>
      <c r="U701" s="415"/>
      <c r="V701" s="210"/>
      <c r="W701" s="415"/>
      <c r="X701" s="210"/>
      <c r="Y701" s="8"/>
      <c r="Z701" s="8"/>
      <c r="AA701" s="8"/>
      <c r="AB701" s="8"/>
      <c r="AC701" s="8"/>
      <c r="AD701" s="8"/>
      <c r="AE701" s="8"/>
      <c r="AF701" s="8"/>
      <c r="AG701" s="8"/>
      <c r="AH701" s="8"/>
      <c r="AI701" s="8"/>
      <c r="AJ701" s="8"/>
      <c r="AK701" s="8"/>
      <c r="AL701" s="8"/>
      <c r="AM701" s="8"/>
      <c r="AN701" s="8"/>
      <c r="AO701" s="8"/>
      <c r="AP701" s="8"/>
      <c r="AQ701" s="8"/>
      <c r="AR701" s="8"/>
      <c r="AS701" s="8"/>
      <c r="AT701" s="8"/>
    </row>
    <row r="702">
      <c r="A702" s="415"/>
      <c r="B702" s="210"/>
      <c r="C702" s="415"/>
      <c r="D702" s="210"/>
      <c r="E702" s="415"/>
      <c r="F702" s="210"/>
      <c r="G702" s="415"/>
      <c r="H702" s="210"/>
      <c r="I702" s="423"/>
      <c r="J702" s="156"/>
      <c r="K702" s="423"/>
      <c r="L702" s="156"/>
      <c r="M702" s="415"/>
      <c r="N702" s="210"/>
      <c r="O702" s="415"/>
      <c r="P702" s="210"/>
      <c r="Q702" s="452"/>
      <c r="R702" s="452"/>
      <c r="S702" s="415"/>
      <c r="T702" s="210"/>
      <c r="U702" s="415"/>
      <c r="V702" s="210"/>
      <c r="W702" s="415"/>
      <c r="X702" s="210"/>
      <c r="Y702" s="8"/>
      <c r="Z702" s="8"/>
      <c r="AA702" s="8"/>
      <c r="AB702" s="8"/>
      <c r="AC702" s="8"/>
      <c r="AD702" s="8"/>
      <c r="AE702" s="8"/>
      <c r="AF702" s="8"/>
      <c r="AG702" s="8"/>
      <c r="AH702" s="8"/>
      <c r="AI702" s="8"/>
      <c r="AJ702" s="8"/>
      <c r="AK702" s="8"/>
      <c r="AL702" s="8"/>
      <c r="AM702" s="8"/>
      <c r="AN702" s="8"/>
      <c r="AO702" s="8"/>
      <c r="AP702" s="8"/>
      <c r="AQ702" s="8"/>
      <c r="AR702" s="8"/>
      <c r="AS702" s="8"/>
      <c r="AT702" s="8"/>
    </row>
    <row r="703">
      <c r="A703" s="415"/>
      <c r="B703" s="210"/>
      <c r="C703" s="415"/>
      <c r="D703" s="210"/>
      <c r="E703" s="415"/>
      <c r="F703" s="210"/>
      <c r="G703" s="415"/>
      <c r="H703" s="210"/>
      <c r="I703" s="423"/>
      <c r="J703" s="156"/>
      <c r="K703" s="423"/>
      <c r="L703" s="156"/>
      <c r="M703" s="415"/>
      <c r="N703" s="210"/>
      <c r="O703" s="415"/>
      <c r="P703" s="210"/>
      <c r="Q703" s="452"/>
      <c r="R703" s="452"/>
      <c r="S703" s="415"/>
      <c r="T703" s="210"/>
      <c r="U703" s="415"/>
      <c r="V703" s="210"/>
      <c r="W703" s="415"/>
      <c r="X703" s="210"/>
      <c r="Y703" s="8"/>
      <c r="Z703" s="8"/>
      <c r="AA703" s="8"/>
      <c r="AB703" s="8"/>
      <c r="AC703" s="8"/>
      <c r="AD703" s="8"/>
      <c r="AE703" s="8"/>
      <c r="AF703" s="8"/>
      <c r="AG703" s="8"/>
      <c r="AH703" s="8"/>
      <c r="AI703" s="8"/>
      <c r="AJ703" s="8"/>
      <c r="AK703" s="8"/>
      <c r="AL703" s="8"/>
      <c r="AM703" s="8"/>
      <c r="AN703" s="8"/>
      <c r="AO703" s="8"/>
      <c r="AP703" s="8"/>
      <c r="AQ703" s="8"/>
      <c r="AR703" s="8"/>
      <c r="AS703" s="8"/>
      <c r="AT703" s="8"/>
    </row>
    <row r="704">
      <c r="A704" s="415"/>
      <c r="B704" s="210"/>
      <c r="C704" s="415"/>
      <c r="D704" s="210"/>
      <c r="E704" s="415"/>
      <c r="F704" s="210"/>
      <c r="G704" s="415"/>
      <c r="H704" s="210"/>
      <c r="I704" s="423"/>
      <c r="J704" s="156"/>
      <c r="K704" s="423"/>
      <c r="L704" s="156"/>
      <c r="M704" s="415"/>
      <c r="N704" s="210"/>
      <c r="O704" s="415"/>
      <c r="P704" s="210"/>
      <c r="Q704" s="452"/>
      <c r="R704" s="452"/>
      <c r="S704" s="415"/>
      <c r="T704" s="210"/>
      <c r="U704" s="415"/>
      <c r="V704" s="210"/>
      <c r="W704" s="415"/>
      <c r="X704" s="210"/>
      <c r="Y704" s="8"/>
      <c r="Z704" s="8"/>
      <c r="AA704" s="8"/>
      <c r="AB704" s="8"/>
      <c r="AC704" s="8"/>
      <c r="AD704" s="8"/>
      <c r="AE704" s="8"/>
      <c r="AF704" s="8"/>
      <c r="AG704" s="8"/>
      <c r="AH704" s="8"/>
      <c r="AI704" s="8"/>
      <c r="AJ704" s="8"/>
      <c r="AK704" s="8"/>
      <c r="AL704" s="8"/>
      <c r="AM704" s="8"/>
      <c r="AN704" s="8"/>
      <c r="AO704" s="8"/>
      <c r="AP704" s="8"/>
      <c r="AQ704" s="8"/>
      <c r="AR704" s="8"/>
      <c r="AS704" s="8"/>
      <c r="AT704" s="8"/>
    </row>
    <row r="705">
      <c r="A705" s="415"/>
      <c r="B705" s="210"/>
      <c r="C705" s="415"/>
      <c r="D705" s="210"/>
      <c r="E705" s="415"/>
      <c r="F705" s="210"/>
      <c r="G705" s="415"/>
      <c r="H705" s="210"/>
      <c r="I705" s="423"/>
      <c r="J705" s="156"/>
      <c r="K705" s="423"/>
      <c r="L705" s="156"/>
      <c r="M705" s="415"/>
      <c r="N705" s="210"/>
      <c r="O705" s="415"/>
      <c r="P705" s="210"/>
      <c r="Q705" s="452"/>
      <c r="R705" s="452"/>
      <c r="S705" s="415"/>
      <c r="T705" s="210"/>
      <c r="U705" s="415"/>
      <c r="V705" s="210"/>
      <c r="W705" s="415"/>
      <c r="X705" s="210"/>
      <c r="Y705" s="8"/>
      <c r="Z705" s="8"/>
      <c r="AA705" s="8"/>
      <c r="AB705" s="8"/>
      <c r="AC705" s="8"/>
      <c r="AD705" s="8"/>
      <c r="AE705" s="8"/>
      <c r="AF705" s="8"/>
      <c r="AG705" s="8"/>
      <c r="AH705" s="8"/>
      <c r="AI705" s="8"/>
      <c r="AJ705" s="8"/>
      <c r="AK705" s="8"/>
      <c r="AL705" s="8"/>
      <c r="AM705" s="8"/>
      <c r="AN705" s="8"/>
      <c r="AO705" s="8"/>
      <c r="AP705" s="8"/>
      <c r="AQ705" s="8"/>
      <c r="AR705" s="8"/>
      <c r="AS705" s="8"/>
      <c r="AT705" s="8"/>
    </row>
    <row r="706">
      <c r="A706" s="415"/>
      <c r="B706" s="210"/>
      <c r="C706" s="415"/>
      <c r="D706" s="210"/>
      <c r="E706" s="415"/>
      <c r="F706" s="210"/>
      <c r="G706" s="415"/>
      <c r="H706" s="210"/>
      <c r="I706" s="423"/>
      <c r="J706" s="156"/>
      <c r="K706" s="423"/>
      <c r="L706" s="156"/>
      <c r="M706" s="415"/>
      <c r="N706" s="210"/>
      <c r="O706" s="415"/>
      <c r="P706" s="210"/>
      <c r="Q706" s="452"/>
      <c r="R706" s="452"/>
      <c r="S706" s="415"/>
      <c r="T706" s="210"/>
      <c r="U706" s="415"/>
      <c r="V706" s="210"/>
      <c r="W706" s="415"/>
      <c r="X706" s="210"/>
      <c r="Y706" s="8"/>
      <c r="Z706" s="8"/>
      <c r="AA706" s="8"/>
      <c r="AB706" s="8"/>
      <c r="AC706" s="8"/>
      <c r="AD706" s="8"/>
      <c r="AE706" s="8"/>
      <c r="AF706" s="8"/>
      <c r="AG706" s="8"/>
      <c r="AH706" s="8"/>
      <c r="AI706" s="8"/>
      <c r="AJ706" s="8"/>
      <c r="AK706" s="8"/>
      <c r="AL706" s="8"/>
      <c r="AM706" s="8"/>
      <c r="AN706" s="8"/>
      <c r="AO706" s="8"/>
      <c r="AP706" s="8"/>
      <c r="AQ706" s="8"/>
      <c r="AR706" s="8"/>
      <c r="AS706" s="8"/>
      <c r="AT706" s="8"/>
    </row>
    <row r="707">
      <c r="A707" s="415"/>
      <c r="B707" s="210"/>
      <c r="C707" s="415"/>
      <c r="D707" s="210"/>
      <c r="E707" s="415"/>
      <c r="F707" s="210"/>
      <c r="G707" s="415"/>
      <c r="H707" s="210"/>
      <c r="I707" s="423"/>
      <c r="J707" s="156"/>
      <c r="K707" s="423"/>
      <c r="L707" s="156"/>
      <c r="M707" s="415"/>
      <c r="N707" s="210"/>
      <c r="O707" s="415"/>
      <c r="P707" s="210"/>
      <c r="Q707" s="452"/>
      <c r="R707" s="452"/>
      <c r="S707" s="415"/>
      <c r="T707" s="210"/>
      <c r="U707" s="415"/>
      <c r="V707" s="210"/>
      <c r="W707" s="415"/>
      <c r="X707" s="210"/>
      <c r="Y707" s="8"/>
      <c r="Z707" s="8"/>
      <c r="AA707" s="8"/>
      <c r="AB707" s="8"/>
      <c r="AC707" s="8"/>
      <c r="AD707" s="8"/>
      <c r="AE707" s="8"/>
      <c r="AF707" s="8"/>
      <c r="AG707" s="8"/>
      <c r="AH707" s="8"/>
      <c r="AI707" s="8"/>
      <c r="AJ707" s="8"/>
      <c r="AK707" s="8"/>
      <c r="AL707" s="8"/>
      <c r="AM707" s="8"/>
      <c r="AN707" s="8"/>
      <c r="AO707" s="8"/>
      <c r="AP707" s="8"/>
      <c r="AQ707" s="8"/>
      <c r="AR707" s="8"/>
      <c r="AS707" s="8"/>
      <c r="AT707" s="8"/>
    </row>
    <row r="708">
      <c r="A708" s="415"/>
      <c r="B708" s="210"/>
      <c r="C708" s="415"/>
      <c r="D708" s="210"/>
      <c r="E708" s="415"/>
      <c r="F708" s="210"/>
      <c r="G708" s="415"/>
      <c r="H708" s="210"/>
      <c r="I708" s="423"/>
      <c r="J708" s="156"/>
      <c r="K708" s="423"/>
      <c r="L708" s="156"/>
      <c r="M708" s="415"/>
      <c r="N708" s="210"/>
      <c r="O708" s="415"/>
      <c r="P708" s="210"/>
      <c r="Q708" s="452"/>
      <c r="R708" s="452"/>
      <c r="S708" s="415"/>
      <c r="T708" s="210"/>
      <c r="U708" s="415"/>
      <c r="V708" s="210"/>
      <c r="W708" s="415"/>
      <c r="X708" s="210"/>
      <c r="Y708" s="8"/>
      <c r="Z708" s="8"/>
      <c r="AA708" s="8"/>
      <c r="AB708" s="8"/>
      <c r="AC708" s="8"/>
      <c r="AD708" s="8"/>
      <c r="AE708" s="8"/>
      <c r="AF708" s="8"/>
      <c r="AG708" s="8"/>
      <c r="AH708" s="8"/>
      <c r="AI708" s="8"/>
      <c r="AJ708" s="8"/>
      <c r="AK708" s="8"/>
      <c r="AL708" s="8"/>
      <c r="AM708" s="8"/>
      <c r="AN708" s="8"/>
      <c r="AO708" s="8"/>
      <c r="AP708" s="8"/>
      <c r="AQ708" s="8"/>
      <c r="AR708" s="8"/>
      <c r="AS708" s="8"/>
      <c r="AT708" s="8"/>
    </row>
    <row r="709">
      <c r="A709" s="415"/>
      <c r="B709" s="210"/>
      <c r="C709" s="415"/>
      <c r="D709" s="210"/>
      <c r="E709" s="415"/>
      <c r="F709" s="210"/>
      <c r="G709" s="415"/>
      <c r="H709" s="210"/>
      <c r="I709" s="423"/>
      <c r="J709" s="156"/>
      <c r="K709" s="423"/>
      <c r="L709" s="156"/>
      <c r="M709" s="415"/>
      <c r="N709" s="210"/>
      <c r="O709" s="415"/>
      <c r="P709" s="210"/>
      <c r="Q709" s="452"/>
      <c r="R709" s="452"/>
      <c r="S709" s="415"/>
      <c r="T709" s="210"/>
      <c r="U709" s="415"/>
      <c r="V709" s="210"/>
      <c r="W709" s="415"/>
      <c r="X709" s="210"/>
      <c r="Y709" s="8"/>
      <c r="Z709" s="8"/>
      <c r="AA709" s="8"/>
      <c r="AB709" s="8"/>
      <c r="AC709" s="8"/>
      <c r="AD709" s="8"/>
      <c r="AE709" s="8"/>
      <c r="AF709" s="8"/>
      <c r="AG709" s="8"/>
      <c r="AH709" s="8"/>
      <c r="AI709" s="8"/>
      <c r="AJ709" s="8"/>
      <c r="AK709" s="8"/>
      <c r="AL709" s="8"/>
      <c r="AM709" s="8"/>
      <c r="AN709" s="8"/>
      <c r="AO709" s="8"/>
      <c r="AP709" s="8"/>
      <c r="AQ709" s="8"/>
      <c r="AR709" s="8"/>
      <c r="AS709" s="8"/>
      <c r="AT709" s="8"/>
    </row>
    <row r="710">
      <c r="A710" s="415"/>
      <c r="B710" s="210"/>
      <c r="C710" s="415"/>
      <c r="D710" s="210"/>
      <c r="E710" s="415"/>
      <c r="F710" s="210"/>
      <c r="G710" s="415"/>
      <c r="H710" s="210"/>
      <c r="I710" s="423"/>
      <c r="J710" s="156"/>
      <c r="K710" s="423"/>
      <c r="L710" s="156"/>
      <c r="M710" s="415"/>
      <c r="N710" s="210"/>
      <c r="O710" s="415"/>
      <c r="P710" s="210"/>
      <c r="Q710" s="452"/>
      <c r="R710" s="452"/>
      <c r="S710" s="415"/>
      <c r="T710" s="210"/>
      <c r="U710" s="415"/>
      <c r="V710" s="210"/>
      <c r="W710" s="415"/>
      <c r="X710" s="210"/>
      <c r="Y710" s="8"/>
      <c r="Z710" s="8"/>
      <c r="AA710" s="8"/>
      <c r="AB710" s="8"/>
      <c r="AC710" s="8"/>
      <c r="AD710" s="8"/>
      <c r="AE710" s="8"/>
      <c r="AF710" s="8"/>
      <c r="AG710" s="8"/>
      <c r="AH710" s="8"/>
      <c r="AI710" s="8"/>
      <c r="AJ710" s="8"/>
      <c r="AK710" s="8"/>
      <c r="AL710" s="8"/>
      <c r="AM710" s="8"/>
      <c r="AN710" s="8"/>
      <c r="AO710" s="8"/>
      <c r="AP710" s="8"/>
      <c r="AQ710" s="8"/>
      <c r="AR710" s="8"/>
      <c r="AS710" s="8"/>
      <c r="AT710" s="8"/>
    </row>
    <row r="711">
      <c r="A711" s="415"/>
      <c r="B711" s="210"/>
      <c r="C711" s="415"/>
      <c r="D711" s="210"/>
      <c r="E711" s="415"/>
      <c r="F711" s="210"/>
      <c r="G711" s="415"/>
      <c r="H711" s="210"/>
      <c r="I711" s="423"/>
      <c r="J711" s="156"/>
      <c r="K711" s="423"/>
      <c r="L711" s="156"/>
      <c r="M711" s="415"/>
      <c r="N711" s="210"/>
      <c r="O711" s="415"/>
      <c r="P711" s="210"/>
      <c r="Q711" s="452"/>
      <c r="R711" s="452"/>
      <c r="S711" s="415"/>
      <c r="T711" s="210"/>
      <c r="U711" s="415"/>
      <c r="V711" s="210"/>
      <c r="W711" s="415"/>
      <c r="X711" s="210"/>
      <c r="Y711" s="8"/>
      <c r="Z711" s="8"/>
      <c r="AA711" s="8"/>
      <c r="AB711" s="8"/>
      <c r="AC711" s="8"/>
      <c r="AD711" s="8"/>
      <c r="AE711" s="8"/>
      <c r="AF711" s="8"/>
      <c r="AG711" s="8"/>
      <c r="AH711" s="8"/>
      <c r="AI711" s="8"/>
      <c r="AJ711" s="8"/>
      <c r="AK711" s="8"/>
      <c r="AL711" s="8"/>
      <c r="AM711" s="8"/>
      <c r="AN711" s="8"/>
      <c r="AO711" s="8"/>
      <c r="AP711" s="8"/>
      <c r="AQ711" s="8"/>
      <c r="AR711" s="8"/>
      <c r="AS711" s="8"/>
      <c r="AT711" s="8"/>
    </row>
    <row r="712">
      <c r="A712" s="415"/>
      <c r="B712" s="210"/>
      <c r="C712" s="415"/>
      <c r="D712" s="210"/>
      <c r="E712" s="415"/>
      <c r="F712" s="210"/>
      <c r="G712" s="415"/>
      <c r="H712" s="210"/>
      <c r="I712" s="423"/>
      <c r="J712" s="156"/>
      <c r="K712" s="423"/>
      <c r="L712" s="156"/>
      <c r="M712" s="415"/>
      <c r="N712" s="210"/>
      <c r="O712" s="415"/>
      <c r="P712" s="210"/>
      <c r="Q712" s="452"/>
      <c r="R712" s="452"/>
      <c r="S712" s="415"/>
      <c r="T712" s="210"/>
      <c r="U712" s="415"/>
      <c r="V712" s="210"/>
      <c r="W712" s="415"/>
      <c r="X712" s="210"/>
      <c r="Y712" s="8"/>
      <c r="Z712" s="8"/>
      <c r="AA712" s="8"/>
      <c r="AB712" s="8"/>
      <c r="AC712" s="8"/>
      <c r="AD712" s="8"/>
      <c r="AE712" s="8"/>
      <c r="AF712" s="8"/>
      <c r="AG712" s="8"/>
      <c r="AH712" s="8"/>
      <c r="AI712" s="8"/>
      <c r="AJ712" s="8"/>
      <c r="AK712" s="8"/>
      <c r="AL712" s="8"/>
      <c r="AM712" s="8"/>
      <c r="AN712" s="8"/>
      <c r="AO712" s="8"/>
      <c r="AP712" s="8"/>
      <c r="AQ712" s="8"/>
      <c r="AR712" s="8"/>
      <c r="AS712" s="8"/>
      <c r="AT712" s="8"/>
    </row>
    <row r="713">
      <c r="A713" s="415"/>
      <c r="B713" s="210"/>
      <c r="C713" s="415"/>
      <c r="D713" s="210"/>
      <c r="E713" s="415"/>
      <c r="F713" s="210"/>
      <c r="G713" s="415"/>
      <c r="H713" s="210"/>
      <c r="I713" s="423"/>
      <c r="J713" s="156"/>
      <c r="K713" s="423"/>
      <c r="L713" s="156"/>
      <c r="M713" s="415"/>
      <c r="N713" s="210"/>
      <c r="O713" s="415"/>
      <c r="P713" s="210"/>
      <c r="Q713" s="452"/>
      <c r="R713" s="452"/>
      <c r="S713" s="415"/>
      <c r="T713" s="210"/>
      <c r="U713" s="415"/>
      <c r="V713" s="210"/>
      <c r="W713" s="415"/>
      <c r="X713" s="210"/>
      <c r="Y713" s="8"/>
      <c r="Z713" s="8"/>
      <c r="AA713" s="8"/>
      <c r="AB713" s="8"/>
      <c r="AC713" s="8"/>
      <c r="AD713" s="8"/>
      <c r="AE713" s="8"/>
      <c r="AF713" s="8"/>
      <c r="AG713" s="8"/>
      <c r="AH713" s="8"/>
      <c r="AI713" s="8"/>
      <c r="AJ713" s="8"/>
      <c r="AK713" s="8"/>
      <c r="AL713" s="8"/>
      <c r="AM713" s="8"/>
      <c r="AN713" s="8"/>
      <c r="AO713" s="8"/>
      <c r="AP713" s="8"/>
      <c r="AQ713" s="8"/>
      <c r="AR713" s="8"/>
      <c r="AS713" s="8"/>
      <c r="AT713" s="8"/>
    </row>
    <row r="714">
      <c r="A714" s="415"/>
      <c r="B714" s="210"/>
      <c r="C714" s="415"/>
      <c r="D714" s="210"/>
      <c r="E714" s="415"/>
      <c r="F714" s="210"/>
      <c r="G714" s="415"/>
      <c r="H714" s="210"/>
      <c r="I714" s="423"/>
      <c r="J714" s="156"/>
      <c r="K714" s="423"/>
      <c r="L714" s="156"/>
      <c r="M714" s="415"/>
      <c r="N714" s="210"/>
      <c r="O714" s="415"/>
      <c r="P714" s="210"/>
      <c r="Q714" s="452"/>
      <c r="R714" s="452"/>
      <c r="S714" s="415"/>
      <c r="T714" s="210"/>
      <c r="U714" s="415"/>
      <c r="V714" s="210"/>
      <c r="W714" s="415"/>
      <c r="X714" s="210"/>
      <c r="Y714" s="8"/>
      <c r="Z714" s="8"/>
      <c r="AA714" s="8"/>
      <c r="AB714" s="8"/>
      <c r="AC714" s="8"/>
      <c r="AD714" s="8"/>
      <c r="AE714" s="8"/>
      <c r="AF714" s="8"/>
      <c r="AG714" s="8"/>
      <c r="AH714" s="8"/>
      <c r="AI714" s="8"/>
      <c r="AJ714" s="8"/>
      <c r="AK714" s="8"/>
      <c r="AL714" s="8"/>
      <c r="AM714" s="8"/>
      <c r="AN714" s="8"/>
      <c r="AO714" s="8"/>
      <c r="AP714" s="8"/>
      <c r="AQ714" s="8"/>
      <c r="AR714" s="8"/>
      <c r="AS714" s="8"/>
      <c r="AT714" s="8"/>
    </row>
    <row r="715">
      <c r="A715" s="415"/>
      <c r="B715" s="210"/>
      <c r="C715" s="415"/>
      <c r="D715" s="210"/>
      <c r="E715" s="415"/>
      <c r="F715" s="210"/>
      <c r="G715" s="415"/>
      <c r="H715" s="210"/>
      <c r="I715" s="423"/>
      <c r="J715" s="156"/>
      <c r="K715" s="423"/>
      <c r="L715" s="156"/>
      <c r="M715" s="415"/>
      <c r="N715" s="210"/>
      <c r="O715" s="415"/>
      <c r="P715" s="210"/>
      <c r="Q715" s="452"/>
      <c r="R715" s="452"/>
      <c r="S715" s="415"/>
      <c r="T715" s="210"/>
      <c r="U715" s="415"/>
      <c r="V715" s="210"/>
      <c r="W715" s="415"/>
      <c r="X715" s="210"/>
      <c r="Y715" s="8"/>
      <c r="Z715" s="8"/>
      <c r="AA715" s="8"/>
      <c r="AB715" s="8"/>
      <c r="AC715" s="8"/>
      <c r="AD715" s="8"/>
      <c r="AE715" s="8"/>
      <c r="AF715" s="8"/>
      <c r="AG715" s="8"/>
      <c r="AH715" s="8"/>
      <c r="AI715" s="8"/>
      <c r="AJ715" s="8"/>
      <c r="AK715" s="8"/>
      <c r="AL715" s="8"/>
      <c r="AM715" s="8"/>
      <c r="AN715" s="8"/>
      <c r="AO715" s="8"/>
      <c r="AP715" s="8"/>
      <c r="AQ715" s="8"/>
      <c r="AR715" s="8"/>
      <c r="AS715" s="8"/>
      <c r="AT715" s="8"/>
    </row>
    <row r="716">
      <c r="A716" s="415"/>
      <c r="B716" s="210"/>
      <c r="C716" s="415"/>
      <c r="D716" s="210"/>
      <c r="E716" s="415"/>
      <c r="F716" s="210"/>
      <c r="G716" s="415"/>
      <c r="H716" s="210"/>
      <c r="I716" s="423"/>
      <c r="J716" s="156"/>
      <c r="K716" s="423"/>
      <c r="L716" s="156"/>
      <c r="M716" s="415"/>
      <c r="N716" s="210"/>
      <c r="O716" s="415"/>
      <c r="P716" s="210"/>
      <c r="Q716" s="452"/>
      <c r="R716" s="452"/>
      <c r="S716" s="415"/>
      <c r="T716" s="210"/>
      <c r="U716" s="415"/>
      <c r="V716" s="210"/>
      <c r="W716" s="415"/>
      <c r="X716" s="210"/>
      <c r="Y716" s="8"/>
      <c r="Z716" s="8"/>
      <c r="AA716" s="8"/>
      <c r="AB716" s="8"/>
      <c r="AC716" s="8"/>
      <c r="AD716" s="8"/>
      <c r="AE716" s="8"/>
      <c r="AF716" s="8"/>
      <c r="AG716" s="8"/>
      <c r="AH716" s="8"/>
      <c r="AI716" s="8"/>
      <c r="AJ716" s="8"/>
      <c r="AK716" s="8"/>
      <c r="AL716" s="8"/>
      <c r="AM716" s="8"/>
      <c r="AN716" s="8"/>
      <c r="AO716" s="8"/>
      <c r="AP716" s="8"/>
      <c r="AQ716" s="8"/>
      <c r="AR716" s="8"/>
      <c r="AS716" s="8"/>
      <c r="AT716" s="8"/>
    </row>
    <row r="717">
      <c r="A717" s="415"/>
      <c r="B717" s="210"/>
      <c r="C717" s="415"/>
      <c r="D717" s="210"/>
      <c r="E717" s="415"/>
      <c r="F717" s="210"/>
      <c r="G717" s="415"/>
      <c r="H717" s="210"/>
      <c r="I717" s="423"/>
      <c r="J717" s="156"/>
      <c r="K717" s="423"/>
      <c r="L717" s="156"/>
      <c r="M717" s="415"/>
      <c r="N717" s="210"/>
      <c r="O717" s="415"/>
      <c r="P717" s="210"/>
      <c r="Q717" s="452"/>
      <c r="R717" s="452"/>
      <c r="S717" s="415"/>
      <c r="T717" s="210"/>
      <c r="U717" s="415"/>
      <c r="V717" s="210"/>
      <c r="W717" s="415"/>
      <c r="X717" s="210"/>
      <c r="Y717" s="8"/>
      <c r="Z717" s="8"/>
      <c r="AA717" s="8"/>
      <c r="AB717" s="8"/>
      <c r="AC717" s="8"/>
      <c r="AD717" s="8"/>
      <c r="AE717" s="8"/>
      <c r="AF717" s="8"/>
      <c r="AG717" s="8"/>
      <c r="AH717" s="8"/>
      <c r="AI717" s="8"/>
      <c r="AJ717" s="8"/>
      <c r="AK717" s="8"/>
      <c r="AL717" s="8"/>
      <c r="AM717" s="8"/>
      <c r="AN717" s="8"/>
      <c r="AO717" s="8"/>
      <c r="AP717" s="8"/>
      <c r="AQ717" s="8"/>
      <c r="AR717" s="8"/>
      <c r="AS717" s="8"/>
      <c r="AT717" s="8"/>
    </row>
    <row r="718">
      <c r="A718" s="415"/>
      <c r="B718" s="210"/>
      <c r="C718" s="415"/>
      <c r="D718" s="210"/>
      <c r="E718" s="415"/>
      <c r="F718" s="210"/>
      <c r="G718" s="415"/>
      <c r="H718" s="210"/>
      <c r="I718" s="423"/>
      <c r="J718" s="156"/>
      <c r="K718" s="423"/>
      <c r="L718" s="156"/>
      <c r="M718" s="415"/>
      <c r="N718" s="210"/>
      <c r="O718" s="415"/>
      <c r="P718" s="210"/>
      <c r="Q718" s="452"/>
      <c r="R718" s="452"/>
      <c r="S718" s="415"/>
      <c r="T718" s="210"/>
      <c r="U718" s="415"/>
      <c r="V718" s="210"/>
      <c r="W718" s="415"/>
      <c r="X718" s="210"/>
      <c r="Y718" s="8"/>
      <c r="Z718" s="8"/>
      <c r="AA718" s="8"/>
      <c r="AB718" s="8"/>
      <c r="AC718" s="8"/>
      <c r="AD718" s="8"/>
      <c r="AE718" s="8"/>
      <c r="AF718" s="8"/>
      <c r="AG718" s="8"/>
      <c r="AH718" s="8"/>
      <c r="AI718" s="8"/>
      <c r="AJ718" s="8"/>
      <c r="AK718" s="8"/>
      <c r="AL718" s="8"/>
      <c r="AM718" s="8"/>
      <c r="AN718" s="8"/>
      <c r="AO718" s="8"/>
      <c r="AP718" s="8"/>
      <c r="AQ718" s="8"/>
      <c r="AR718" s="8"/>
      <c r="AS718" s="8"/>
      <c r="AT718" s="8"/>
    </row>
    <row r="719">
      <c r="A719" s="415"/>
      <c r="B719" s="210"/>
      <c r="C719" s="415"/>
      <c r="D719" s="210"/>
      <c r="E719" s="415"/>
      <c r="F719" s="210"/>
      <c r="G719" s="415"/>
      <c r="H719" s="210"/>
      <c r="I719" s="423"/>
      <c r="J719" s="156"/>
      <c r="K719" s="423"/>
      <c r="L719" s="156"/>
      <c r="M719" s="415"/>
      <c r="N719" s="210"/>
      <c r="O719" s="415"/>
      <c r="P719" s="210"/>
      <c r="Q719" s="452"/>
      <c r="R719" s="452"/>
      <c r="S719" s="415"/>
      <c r="T719" s="210"/>
      <c r="U719" s="415"/>
      <c r="V719" s="210"/>
      <c r="W719" s="415"/>
      <c r="X719" s="210"/>
      <c r="Y719" s="8"/>
      <c r="Z719" s="8"/>
      <c r="AA719" s="8"/>
      <c r="AB719" s="8"/>
      <c r="AC719" s="8"/>
      <c r="AD719" s="8"/>
      <c r="AE719" s="8"/>
      <c r="AF719" s="8"/>
      <c r="AG719" s="8"/>
      <c r="AH719" s="8"/>
      <c r="AI719" s="8"/>
      <c r="AJ719" s="8"/>
      <c r="AK719" s="8"/>
      <c r="AL719" s="8"/>
      <c r="AM719" s="8"/>
      <c r="AN719" s="8"/>
      <c r="AO719" s="8"/>
      <c r="AP719" s="8"/>
      <c r="AQ719" s="8"/>
      <c r="AR719" s="8"/>
      <c r="AS719" s="8"/>
      <c r="AT719" s="8"/>
    </row>
    <row r="720">
      <c r="A720" s="415"/>
      <c r="B720" s="210"/>
      <c r="C720" s="415"/>
      <c r="D720" s="210"/>
      <c r="E720" s="415"/>
      <c r="F720" s="210"/>
      <c r="G720" s="415"/>
      <c r="H720" s="210"/>
      <c r="I720" s="423"/>
      <c r="J720" s="156"/>
      <c r="K720" s="423"/>
      <c r="L720" s="156"/>
      <c r="M720" s="415"/>
      <c r="N720" s="210"/>
      <c r="O720" s="415"/>
      <c r="P720" s="210"/>
      <c r="Q720" s="452"/>
      <c r="R720" s="452"/>
      <c r="S720" s="415"/>
      <c r="T720" s="210"/>
      <c r="U720" s="415"/>
      <c r="V720" s="210"/>
      <c r="W720" s="415"/>
      <c r="X720" s="210"/>
      <c r="Y720" s="8"/>
      <c r="Z720" s="8"/>
      <c r="AA720" s="8"/>
      <c r="AB720" s="8"/>
      <c r="AC720" s="8"/>
      <c r="AD720" s="8"/>
      <c r="AE720" s="8"/>
      <c r="AF720" s="8"/>
      <c r="AG720" s="8"/>
      <c r="AH720" s="8"/>
      <c r="AI720" s="8"/>
      <c r="AJ720" s="8"/>
      <c r="AK720" s="8"/>
      <c r="AL720" s="8"/>
      <c r="AM720" s="8"/>
      <c r="AN720" s="8"/>
      <c r="AO720" s="8"/>
      <c r="AP720" s="8"/>
      <c r="AQ720" s="8"/>
      <c r="AR720" s="8"/>
      <c r="AS720" s="8"/>
      <c r="AT720" s="8"/>
    </row>
    <row r="721">
      <c r="A721" s="415"/>
      <c r="B721" s="210"/>
      <c r="C721" s="415"/>
      <c r="D721" s="210"/>
      <c r="E721" s="415"/>
      <c r="F721" s="210"/>
      <c r="G721" s="415"/>
      <c r="H721" s="210"/>
      <c r="I721" s="423"/>
      <c r="J721" s="156"/>
      <c r="K721" s="423"/>
      <c r="L721" s="156"/>
      <c r="M721" s="415"/>
      <c r="N721" s="210"/>
      <c r="O721" s="415"/>
      <c r="P721" s="210"/>
      <c r="Q721" s="452"/>
      <c r="R721" s="452"/>
      <c r="S721" s="415"/>
      <c r="T721" s="210"/>
      <c r="U721" s="415"/>
      <c r="V721" s="210"/>
      <c r="W721" s="415"/>
      <c r="X721" s="210"/>
      <c r="Y721" s="8"/>
      <c r="Z721" s="8"/>
      <c r="AA721" s="8"/>
      <c r="AB721" s="8"/>
      <c r="AC721" s="8"/>
      <c r="AD721" s="8"/>
      <c r="AE721" s="8"/>
      <c r="AF721" s="8"/>
      <c r="AG721" s="8"/>
      <c r="AH721" s="8"/>
      <c r="AI721" s="8"/>
      <c r="AJ721" s="8"/>
      <c r="AK721" s="8"/>
      <c r="AL721" s="8"/>
      <c r="AM721" s="8"/>
      <c r="AN721" s="8"/>
      <c r="AO721" s="8"/>
      <c r="AP721" s="8"/>
      <c r="AQ721" s="8"/>
      <c r="AR721" s="8"/>
      <c r="AS721" s="8"/>
      <c r="AT721" s="8"/>
    </row>
    <row r="722">
      <c r="A722" s="415"/>
      <c r="B722" s="210"/>
      <c r="C722" s="415"/>
      <c r="D722" s="210"/>
      <c r="E722" s="415"/>
      <c r="F722" s="210"/>
      <c r="G722" s="415"/>
      <c r="H722" s="210"/>
      <c r="I722" s="423"/>
      <c r="J722" s="156"/>
      <c r="K722" s="423"/>
      <c r="L722" s="156"/>
      <c r="M722" s="415"/>
      <c r="N722" s="210"/>
      <c r="O722" s="415"/>
      <c r="P722" s="210"/>
      <c r="Q722" s="452"/>
      <c r="R722" s="452"/>
      <c r="S722" s="415"/>
      <c r="T722" s="210"/>
      <c r="U722" s="415"/>
      <c r="V722" s="210"/>
      <c r="W722" s="415"/>
      <c r="X722" s="210"/>
      <c r="Y722" s="8"/>
      <c r="Z722" s="8"/>
      <c r="AA722" s="8"/>
      <c r="AB722" s="8"/>
      <c r="AC722" s="8"/>
      <c r="AD722" s="8"/>
      <c r="AE722" s="8"/>
      <c r="AF722" s="8"/>
      <c r="AG722" s="8"/>
      <c r="AH722" s="8"/>
      <c r="AI722" s="8"/>
      <c r="AJ722" s="8"/>
      <c r="AK722" s="8"/>
      <c r="AL722" s="8"/>
      <c r="AM722" s="8"/>
      <c r="AN722" s="8"/>
      <c r="AO722" s="8"/>
      <c r="AP722" s="8"/>
      <c r="AQ722" s="8"/>
      <c r="AR722" s="8"/>
      <c r="AS722" s="8"/>
      <c r="AT722" s="8"/>
    </row>
    <row r="723">
      <c r="A723" s="415"/>
      <c r="B723" s="210"/>
      <c r="C723" s="415"/>
      <c r="D723" s="210"/>
      <c r="E723" s="415"/>
      <c r="F723" s="210"/>
      <c r="G723" s="415"/>
      <c r="H723" s="210"/>
      <c r="I723" s="423"/>
      <c r="J723" s="156"/>
      <c r="K723" s="423"/>
      <c r="L723" s="156"/>
      <c r="M723" s="415"/>
      <c r="N723" s="210"/>
      <c r="O723" s="415"/>
      <c r="P723" s="210"/>
      <c r="Q723" s="452"/>
      <c r="R723" s="452"/>
      <c r="S723" s="415"/>
      <c r="T723" s="210"/>
      <c r="U723" s="415"/>
      <c r="V723" s="210"/>
      <c r="W723" s="415"/>
      <c r="X723" s="210"/>
      <c r="Y723" s="8"/>
      <c r="Z723" s="8"/>
      <c r="AA723" s="8"/>
      <c r="AB723" s="8"/>
      <c r="AC723" s="8"/>
      <c r="AD723" s="8"/>
      <c r="AE723" s="8"/>
      <c r="AF723" s="8"/>
      <c r="AG723" s="8"/>
      <c r="AH723" s="8"/>
      <c r="AI723" s="8"/>
      <c r="AJ723" s="8"/>
      <c r="AK723" s="8"/>
      <c r="AL723" s="8"/>
      <c r="AM723" s="8"/>
      <c r="AN723" s="8"/>
      <c r="AO723" s="8"/>
      <c r="AP723" s="8"/>
      <c r="AQ723" s="8"/>
      <c r="AR723" s="8"/>
      <c r="AS723" s="8"/>
      <c r="AT723" s="8"/>
    </row>
    <row r="724">
      <c r="A724" s="415"/>
      <c r="B724" s="210"/>
      <c r="C724" s="415"/>
      <c r="D724" s="210"/>
      <c r="E724" s="415"/>
      <c r="F724" s="210"/>
      <c r="G724" s="415"/>
      <c r="H724" s="210"/>
      <c r="I724" s="423"/>
      <c r="J724" s="156"/>
      <c r="K724" s="423"/>
      <c r="L724" s="156"/>
      <c r="M724" s="415"/>
      <c r="N724" s="210"/>
      <c r="O724" s="415"/>
      <c r="P724" s="210"/>
      <c r="Q724" s="452"/>
      <c r="R724" s="452"/>
      <c r="S724" s="415"/>
      <c r="T724" s="210"/>
      <c r="U724" s="415"/>
      <c r="V724" s="210"/>
      <c r="W724" s="415"/>
      <c r="X724" s="210"/>
      <c r="Y724" s="8"/>
      <c r="Z724" s="8"/>
      <c r="AA724" s="8"/>
      <c r="AB724" s="8"/>
      <c r="AC724" s="8"/>
      <c r="AD724" s="8"/>
      <c r="AE724" s="8"/>
      <c r="AF724" s="8"/>
      <c r="AG724" s="8"/>
      <c r="AH724" s="8"/>
      <c r="AI724" s="8"/>
      <c r="AJ724" s="8"/>
      <c r="AK724" s="8"/>
      <c r="AL724" s="8"/>
      <c r="AM724" s="8"/>
      <c r="AN724" s="8"/>
      <c r="AO724" s="8"/>
      <c r="AP724" s="8"/>
      <c r="AQ724" s="8"/>
      <c r="AR724" s="8"/>
      <c r="AS724" s="8"/>
      <c r="AT724" s="8"/>
    </row>
    <row r="725">
      <c r="A725" s="415"/>
      <c r="B725" s="210"/>
      <c r="C725" s="415"/>
      <c r="D725" s="210"/>
      <c r="E725" s="415"/>
      <c r="F725" s="210"/>
      <c r="G725" s="415"/>
      <c r="H725" s="210"/>
      <c r="I725" s="423"/>
      <c r="J725" s="156"/>
      <c r="K725" s="423"/>
      <c r="L725" s="156"/>
      <c r="M725" s="415"/>
      <c r="N725" s="210"/>
      <c r="O725" s="415"/>
      <c r="P725" s="210"/>
      <c r="Q725" s="452"/>
      <c r="R725" s="452"/>
      <c r="S725" s="415"/>
      <c r="T725" s="210"/>
      <c r="U725" s="415"/>
      <c r="V725" s="210"/>
      <c r="W725" s="415"/>
      <c r="X725" s="210"/>
      <c r="Y725" s="8"/>
      <c r="Z725" s="8"/>
      <c r="AA725" s="8"/>
      <c r="AB725" s="8"/>
      <c r="AC725" s="8"/>
      <c r="AD725" s="8"/>
      <c r="AE725" s="8"/>
      <c r="AF725" s="8"/>
      <c r="AG725" s="8"/>
      <c r="AH725" s="8"/>
      <c r="AI725" s="8"/>
      <c r="AJ725" s="8"/>
      <c r="AK725" s="8"/>
      <c r="AL725" s="8"/>
      <c r="AM725" s="8"/>
      <c r="AN725" s="8"/>
      <c r="AO725" s="8"/>
      <c r="AP725" s="8"/>
      <c r="AQ725" s="8"/>
      <c r="AR725" s="8"/>
      <c r="AS725" s="8"/>
      <c r="AT725" s="8"/>
    </row>
    <row r="726">
      <c r="A726" s="415"/>
      <c r="B726" s="210"/>
      <c r="C726" s="415"/>
      <c r="D726" s="210"/>
      <c r="E726" s="415"/>
      <c r="F726" s="210"/>
      <c r="G726" s="415"/>
      <c r="H726" s="210"/>
      <c r="I726" s="423"/>
      <c r="J726" s="156"/>
      <c r="K726" s="423"/>
      <c r="L726" s="156"/>
      <c r="M726" s="415"/>
      <c r="N726" s="210"/>
      <c r="O726" s="415"/>
      <c r="P726" s="210"/>
      <c r="Q726" s="452"/>
      <c r="R726" s="452"/>
      <c r="S726" s="415"/>
      <c r="T726" s="210"/>
      <c r="U726" s="415"/>
      <c r="V726" s="210"/>
      <c r="W726" s="415"/>
      <c r="X726" s="210"/>
      <c r="Y726" s="8"/>
      <c r="Z726" s="8"/>
      <c r="AA726" s="8"/>
      <c r="AB726" s="8"/>
      <c r="AC726" s="8"/>
      <c r="AD726" s="8"/>
      <c r="AE726" s="8"/>
      <c r="AF726" s="8"/>
      <c r="AG726" s="8"/>
      <c r="AH726" s="8"/>
      <c r="AI726" s="8"/>
      <c r="AJ726" s="8"/>
      <c r="AK726" s="8"/>
      <c r="AL726" s="8"/>
      <c r="AM726" s="8"/>
      <c r="AN726" s="8"/>
      <c r="AO726" s="8"/>
      <c r="AP726" s="8"/>
      <c r="AQ726" s="8"/>
      <c r="AR726" s="8"/>
      <c r="AS726" s="8"/>
      <c r="AT726" s="8"/>
    </row>
    <row r="727">
      <c r="A727" s="415"/>
      <c r="B727" s="210"/>
      <c r="C727" s="415"/>
      <c r="D727" s="210"/>
      <c r="E727" s="415"/>
      <c r="F727" s="210"/>
      <c r="G727" s="415"/>
      <c r="H727" s="210"/>
      <c r="I727" s="423"/>
      <c r="J727" s="156"/>
      <c r="K727" s="423"/>
      <c r="L727" s="156"/>
      <c r="M727" s="415"/>
      <c r="N727" s="210"/>
      <c r="O727" s="415"/>
      <c r="P727" s="210"/>
      <c r="Q727" s="452"/>
      <c r="R727" s="452"/>
      <c r="S727" s="415"/>
      <c r="T727" s="210"/>
      <c r="U727" s="415"/>
      <c r="V727" s="210"/>
      <c r="W727" s="415"/>
      <c r="X727" s="210"/>
      <c r="Y727" s="8"/>
      <c r="Z727" s="8"/>
      <c r="AA727" s="8"/>
      <c r="AB727" s="8"/>
      <c r="AC727" s="8"/>
      <c r="AD727" s="8"/>
      <c r="AE727" s="8"/>
      <c r="AF727" s="8"/>
      <c r="AG727" s="8"/>
      <c r="AH727" s="8"/>
      <c r="AI727" s="8"/>
      <c r="AJ727" s="8"/>
      <c r="AK727" s="8"/>
      <c r="AL727" s="8"/>
      <c r="AM727" s="8"/>
      <c r="AN727" s="8"/>
      <c r="AO727" s="8"/>
      <c r="AP727" s="8"/>
      <c r="AQ727" s="8"/>
      <c r="AR727" s="8"/>
      <c r="AS727" s="8"/>
      <c r="AT727" s="8"/>
    </row>
    <row r="728">
      <c r="A728" s="415"/>
      <c r="B728" s="210"/>
      <c r="C728" s="415"/>
      <c r="D728" s="210"/>
      <c r="E728" s="415"/>
      <c r="F728" s="210"/>
      <c r="G728" s="415"/>
      <c r="H728" s="210"/>
      <c r="I728" s="423"/>
      <c r="J728" s="156"/>
      <c r="K728" s="423"/>
      <c r="L728" s="156"/>
      <c r="M728" s="415"/>
      <c r="N728" s="210"/>
      <c r="O728" s="415"/>
      <c r="P728" s="210"/>
      <c r="Q728" s="452"/>
      <c r="R728" s="452"/>
      <c r="S728" s="415"/>
      <c r="T728" s="210"/>
      <c r="U728" s="415"/>
      <c r="V728" s="210"/>
      <c r="W728" s="415"/>
      <c r="X728" s="210"/>
      <c r="Y728" s="8"/>
      <c r="Z728" s="8"/>
      <c r="AA728" s="8"/>
      <c r="AB728" s="8"/>
      <c r="AC728" s="8"/>
      <c r="AD728" s="8"/>
      <c r="AE728" s="8"/>
      <c r="AF728" s="8"/>
      <c r="AG728" s="8"/>
      <c r="AH728" s="8"/>
      <c r="AI728" s="8"/>
      <c r="AJ728" s="8"/>
      <c r="AK728" s="8"/>
      <c r="AL728" s="8"/>
      <c r="AM728" s="8"/>
      <c r="AN728" s="8"/>
      <c r="AO728" s="8"/>
      <c r="AP728" s="8"/>
      <c r="AQ728" s="8"/>
      <c r="AR728" s="8"/>
      <c r="AS728" s="8"/>
      <c r="AT728" s="8"/>
    </row>
    <row r="729">
      <c r="A729" s="415"/>
      <c r="B729" s="210"/>
      <c r="C729" s="415"/>
      <c r="D729" s="210"/>
      <c r="E729" s="415"/>
      <c r="F729" s="210"/>
      <c r="G729" s="415"/>
      <c r="H729" s="210"/>
      <c r="I729" s="423"/>
      <c r="J729" s="156"/>
      <c r="K729" s="423"/>
      <c r="L729" s="156"/>
      <c r="M729" s="415"/>
      <c r="N729" s="210"/>
      <c r="O729" s="415"/>
      <c r="P729" s="210"/>
      <c r="Q729" s="452"/>
      <c r="R729" s="452"/>
      <c r="S729" s="415"/>
      <c r="T729" s="210"/>
      <c r="U729" s="415"/>
      <c r="V729" s="210"/>
      <c r="W729" s="415"/>
      <c r="X729" s="210"/>
      <c r="Y729" s="8"/>
      <c r="Z729" s="8"/>
      <c r="AA729" s="8"/>
      <c r="AB729" s="8"/>
      <c r="AC729" s="8"/>
      <c r="AD729" s="8"/>
      <c r="AE729" s="8"/>
      <c r="AF729" s="8"/>
      <c r="AG729" s="8"/>
      <c r="AH729" s="8"/>
      <c r="AI729" s="8"/>
      <c r="AJ729" s="8"/>
      <c r="AK729" s="8"/>
      <c r="AL729" s="8"/>
      <c r="AM729" s="8"/>
      <c r="AN729" s="8"/>
      <c r="AO729" s="8"/>
      <c r="AP729" s="8"/>
      <c r="AQ729" s="8"/>
      <c r="AR729" s="8"/>
      <c r="AS729" s="8"/>
      <c r="AT729" s="8"/>
    </row>
    <row r="730">
      <c r="A730" s="415"/>
      <c r="B730" s="210"/>
      <c r="C730" s="415"/>
      <c r="D730" s="210"/>
      <c r="E730" s="415"/>
      <c r="F730" s="210"/>
      <c r="G730" s="415"/>
      <c r="H730" s="210"/>
      <c r="I730" s="423"/>
      <c r="J730" s="156"/>
      <c r="K730" s="423"/>
      <c r="L730" s="156"/>
      <c r="M730" s="415"/>
      <c r="N730" s="210"/>
      <c r="O730" s="415"/>
      <c r="P730" s="210"/>
      <c r="Q730" s="452"/>
      <c r="R730" s="452"/>
      <c r="S730" s="415"/>
      <c r="T730" s="210"/>
      <c r="U730" s="415"/>
      <c r="V730" s="210"/>
      <c r="W730" s="415"/>
      <c r="X730" s="210"/>
      <c r="Y730" s="8"/>
      <c r="Z730" s="8"/>
      <c r="AA730" s="8"/>
      <c r="AB730" s="8"/>
      <c r="AC730" s="8"/>
      <c r="AD730" s="8"/>
      <c r="AE730" s="8"/>
      <c r="AF730" s="8"/>
      <c r="AG730" s="8"/>
      <c r="AH730" s="8"/>
      <c r="AI730" s="8"/>
      <c r="AJ730" s="8"/>
      <c r="AK730" s="8"/>
      <c r="AL730" s="8"/>
      <c r="AM730" s="8"/>
      <c r="AN730" s="8"/>
      <c r="AO730" s="8"/>
      <c r="AP730" s="8"/>
      <c r="AQ730" s="8"/>
      <c r="AR730" s="8"/>
      <c r="AS730" s="8"/>
      <c r="AT730" s="8"/>
    </row>
    <row r="731">
      <c r="A731" s="415"/>
      <c r="B731" s="210"/>
      <c r="C731" s="415"/>
      <c r="D731" s="210"/>
      <c r="E731" s="415"/>
      <c r="F731" s="210"/>
      <c r="G731" s="415"/>
      <c r="H731" s="210"/>
      <c r="I731" s="423"/>
      <c r="J731" s="156"/>
      <c r="K731" s="423"/>
      <c r="L731" s="156"/>
      <c r="M731" s="415"/>
      <c r="N731" s="210"/>
      <c r="O731" s="415"/>
      <c r="P731" s="210"/>
      <c r="Q731" s="452"/>
      <c r="R731" s="452"/>
      <c r="S731" s="415"/>
      <c r="T731" s="210"/>
      <c r="U731" s="415"/>
      <c r="V731" s="210"/>
      <c r="W731" s="415"/>
      <c r="X731" s="210"/>
      <c r="Y731" s="8"/>
      <c r="Z731" s="8"/>
      <c r="AA731" s="8"/>
      <c r="AB731" s="8"/>
      <c r="AC731" s="8"/>
      <c r="AD731" s="8"/>
      <c r="AE731" s="8"/>
      <c r="AF731" s="8"/>
      <c r="AG731" s="8"/>
      <c r="AH731" s="8"/>
      <c r="AI731" s="8"/>
      <c r="AJ731" s="8"/>
      <c r="AK731" s="8"/>
      <c r="AL731" s="8"/>
      <c r="AM731" s="8"/>
      <c r="AN731" s="8"/>
      <c r="AO731" s="8"/>
      <c r="AP731" s="8"/>
      <c r="AQ731" s="8"/>
      <c r="AR731" s="8"/>
      <c r="AS731" s="8"/>
      <c r="AT731" s="8"/>
    </row>
    <row r="732">
      <c r="A732" s="415"/>
      <c r="B732" s="210"/>
      <c r="C732" s="415"/>
      <c r="D732" s="210"/>
      <c r="E732" s="415"/>
      <c r="F732" s="210"/>
      <c r="G732" s="415"/>
      <c r="H732" s="210"/>
      <c r="I732" s="423"/>
      <c r="J732" s="156"/>
      <c r="K732" s="423"/>
      <c r="L732" s="156"/>
      <c r="M732" s="415"/>
      <c r="N732" s="210"/>
      <c r="O732" s="415"/>
      <c r="P732" s="210"/>
      <c r="Q732" s="452"/>
      <c r="R732" s="452"/>
      <c r="S732" s="415"/>
      <c r="T732" s="210"/>
      <c r="U732" s="415"/>
      <c r="V732" s="210"/>
      <c r="W732" s="415"/>
      <c r="X732" s="210"/>
      <c r="Y732" s="8"/>
      <c r="Z732" s="8"/>
      <c r="AA732" s="8"/>
      <c r="AB732" s="8"/>
      <c r="AC732" s="8"/>
      <c r="AD732" s="8"/>
      <c r="AE732" s="8"/>
      <c r="AF732" s="8"/>
      <c r="AG732" s="8"/>
      <c r="AH732" s="8"/>
      <c r="AI732" s="8"/>
      <c r="AJ732" s="8"/>
      <c r="AK732" s="8"/>
      <c r="AL732" s="8"/>
      <c r="AM732" s="8"/>
      <c r="AN732" s="8"/>
      <c r="AO732" s="8"/>
      <c r="AP732" s="8"/>
      <c r="AQ732" s="8"/>
      <c r="AR732" s="8"/>
      <c r="AS732" s="8"/>
      <c r="AT732" s="8"/>
    </row>
    <row r="733">
      <c r="A733" s="415"/>
      <c r="B733" s="210"/>
      <c r="C733" s="415"/>
      <c r="D733" s="210"/>
      <c r="E733" s="415"/>
      <c r="F733" s="210"/>
      <c r="G733" s="415"/>
      <c r="H733" s="210"/>
      <c r="I733" s="423"/>
      <c r="J733" s="156"/>
      <c r="K733" s="423"/>
      <c r="L733" s="156"/>
      <c r="M733" s="415"/>
      <c r="N733" s="210"/>
      <c r="O733" s="415"/>
      <c r="P733" s="210"/>
      <c r="Q733" s="452"/>
      <c r="R733" s="452"/>
      <c r="S733" s="415"/>
      <c r="T733" s="210"/>
      <c r="U733" s="415"/>
      <c r="V733" s="210"/>
      <c r="W733" s="415"/>
      <c r="X733" s="210"/>
      <c r="Y733" s="8"/>
      <c r="Z733" s="8"/>
      <c r="AA733" s="8"/>
      <c r="AB733" s="8"/>
      <c r="AC733" s="8"/>
      <c r="AD733" s="8"/>
      <c r="AE733" s="8"/>
      <c r="AF733" s="8"/>
      <c r="AG733" s="8"/>
      <c r="AH733" s="8"/>
      <c r="AI733" s="8"/>
      <c r="AJ733" s="8"/>
      <c r="AK733" s="8"/>
      <c r="AL733" s="8"/>
      <c r="AM733" s="8"/>
      <c r="AN733" s="8"/>
      <c r="AO733" s="8"/>
      <c r="AP733" s="8"/>
      <c r="AQ733" s="8"/>
      <c r="AR733" s="8"/>
      <c r="AS733" s="8"/>
      <c r="AT733" s="8"/>
    </row>
    <row r="734">
      <c r="A734" s="415"/>
      <c r="B734" s="210"/>
      <c r="C734" s="415"/>
      <c r="D734" s="210"/>
      <c r="E734" s="415"/>
      <c r="F734" s="210"/>
      <c r="G734" s="415"/>
      <c r="H734" s="210"/>
      <c r="I734" s="423"/>
      <c r="J734" s="156"/>
      <c r="K734" s="423"/>
      <c r="L734" s="156"/>
      <c r="M734" s="415"/>
      <c r="N734" s="210"/>
      <c r="O734" s="415"/>
      <c r="P734" s="210"/>
      <c r="Q734" s="452"/>
      <c r="R734" s="452"/>
      <c r="S734" s="415"/>
      <c r="T734" s="210"/>
      <c r="U734" s="415"/>
      <c r="V734" s="210"/>
      <c r="W734" s="415"/>
      <c r="X734" s="210"/>
      <c r="Y734" s="8"/>
      <c r="Z734" s="8"/>
      <c r="AA734" s="8"/>
      <c r="AB734" s="8"/>
      <c r="AC734" s="8"/>
      <c r="AD734" s="8"/>
      <c r="AE734" s="8"/>
      <c r="AF734" s="8"/>
      <c r="AG734" s="8"/>
      <c r="AH734" s="8"/>
      <c r="AI734" s="8"/>
      <c r="AJ734" s="8"/>
      <c r="AK734" s="8"/>
      <c r="AL734" s="8"/>
      <c r="AM734" s="8"/>
      <c r="AN734" s="8"/>
      <c r="AO734" s="8"/>
      <c r="AP734" s="8"/>
      <c r="AQ734" s="8"/>
      <c r="AR734" s="8"/>
      <c r="AS734" s="8"/>
      <c r="AT734" s="8"/>
    </row>
    <row r="735">
      <c r="A735" s="415"/>
      <c r="B735" s="210"/>
      <c r="C735" s="415"/>
      <c r="D735" s="210"/>
      <c r="E735" s="415"/>
      <c r="F735" s="210"/>
      <c r="G735" s="415"/>
      <c r="H735" s="210"/>
      <c r="I735" s="423"/>
      <c r="J735" s="156"/>
      <c r="K735" s="423"/>
      <c r="L735" s="156"/>
      <c r="M735" s="415"/>
      <c r="N735" s="210"/>
      <c r="O735" s="415"/>
      <c r="P735" s="210"/>
      <c r="Q735" s="452"/>
      <c r="R735" s="452"/>
      <c r="S735" s="415"/>
      <c r="T735" s="210"/>
      <c r="U735" s="415"/>
      <c r="V735" s="210"/>
      <c r="W735" s="415"/>
      <c r="X735" s="210"/>
      <c r="Y735" s="8"/>
      <c r="Z735" s="8"/>
      <c r="AA735" s="8"/>
      <c r="AB735" s="8"/>
      <c r="AC735" s="8"/>
      <c r="AD735" s="8"/>
      <c r="AE735" s="8"/>
      <c r="AF735" s="8"/>
      <c r="AG735" s="8"/>
      <c r="AH735" s="8"/>
      <c r="AI735" s="8"/>
      <c r="AJ735" s="8"/>
      <c r="AK735" s="8"/>
      <c r="AL735" s="8"/>
      <c r="AM735" s="8"/>
      <c r="AN735" s="8"/>
      <c r="AO735" s="8"/>
      <c r="AP735" s="8"/>
      <c r="AQ735" s="8"/>
      <c r="AR735" s="8"/>
      <c r="AS735" s="8"/>
      <c r="AT735" s="8"/>
    </row>
    <row r="736">
      <c r="A736" s="415"/>
      <c r="B736" s="210"/>
      <c r="C736" s="415"/>
      <c r="D736" s="210"/>
      <c r="E736" s="415"/>
      <c r="F736" s="210"/>
      <c r="G736" s="415"/>
      <c r="H736" s="210"/>
      <c r="I736" s="423"/>
      <c r="J736" s="156"/>
      <c r="K736" s="423"/>
      <c r="L736" s="156"/>
      <c r="M736" s="415"/>
      <c r="N736" s="210"/>
      <c r="O736" s="415"/>
      <c r="P736" s="210"/>
      <c r="Q736" s="452"/>
      <c r="R736" s="452"/>
      <c r="S736" s="415"/>
      <c r="T736" s="210"/>
      <c r="U736" s="415"/>
      <c r="V736" s="210"/>
      <c r="W736" s="415"/>
      <c r="X736" s="210"/>
      <c r="Y736" s="8"/>
      <c r="Z736" s="8"/>
      <c r="AA736" s="8"/>
      <c r="AB736" s="8"/>
      <c r="AC736" s="8"/>
      <c r="AD736" s="8"/>
      <c r="AE736" s="8"/>
      <c r="AF736" s="8"/>
      <c r="AG736" s="8"/>
      <c r="AH736" s="8"/>
      <c r="AI736" s="8"/>
      <c r="AJ736" s="8"/>
      <c r="AK736" s="8"/>
      <c r="AL736" s="8"/>
      <c r="AM736" s="8"/>
      <c r="AN736" s="8"/>
      <c r="AO736" s="8"/>
      <c r="AP736" s="8"/>
      <c r="AQ736" s="8"/>
      <c r="AR736" s="8"/>
      <c r="AS736" s="8"/>
      <c r="AT736" s="8"/>
    </row>
    <row r="737">
      <c r="A737" s="415"/>
      <c r="B737" s="210"/>
      <c r="C737" s="415"/>
      <c r="D737" s="210"/>
      <c r="E737" s="415"/>
      <c r="F737" s="210"/>
      <c r="G737" s="415"/>
      <c r="H737" s="210"/>
      <c r="I737" s="423"/>
      <c r="J737" s="156"/>
      <c r="K737" s="423"/>
      <c r="L737" s="156"/>
      <c r="M737" s="415"/>
      <c r="N737" s="210"/>
      <c r="O737" s="415"/>
      <c r="P737" s="210"/>
      <c r="Q737" s="452"/>
      <c r="R737" s="452"/>
      <c r="S737" s="415"/>
      <c r="T737" s="210"/>
      <c r="U737" s="415"/>
      <c r="V737" s="210"/>
      <c r="W737" s="415"/>
      <c r="X737" s="210"/>
      <c r="Y737" s="8"/>
      <c r="Z737" s="8"/>
      <c r="AA737" s="8"/>
      <c r="AB737" s="8"/>
      <c r="AC737" s="8"/>
      <c r="AD737" s="8"/>
      <c r="AE737" s="8"/>
      <c r="AF737" s="8"/>
      <c r="AG737" s="8"/>
      <c r="AH737" s="8"/>
      <c r="AI737" s="8"/>
      <c r="AJ737" s="8"/>
      <c r="AK737" s="8"/>
      <c r="AL737" s="8"/>
      <c r="AM737" s="8"/>
      <c r="AN737" s="8"/>
      <c r="AO737" s="8"/>
      <c r="AP737" s="8"/>
      <c r="AQ737" s="8"/>
      <c r="AR737" s="8"/>
      <c r="AS737" s="8"/>
      <c r="AT737" s="8"/>
    </row>
    <row r="738">
      <c r="A738" s="415"/>
      <c r="B738" s="210"/>
      <c r="C738" s="415"/>
      <c r="D738" s="210"/>
      <c r="E738" s="415"/>
      <c r="F738" s="210"/>
      <c r="G738" s="415"/>
      <c r="H738" s="210"/>
      <c r="I738" s="423"/>
      <c r="J738" s="156"/>
      <c r="K738" s="423"/>
      <c r="L738" s="156"/>
      <c r="M738" s="415"/>
      <c r="N738" s="210"/>
      <c r="O738" s="415"/>
      <c r="P738" s="210"/>
      <c r="Q738" s="452"/>
      <c r="R738" s="452"/>
      <c r="S738" s="415"/>
      <c r="T738" s="210"/>
      <c r="U738" s="415"/>
      <c r="V738" s="210"/>
      <c r="W738" s="415"/>
      <c r="X738" s="210"/>
      <c r="Y738" s="8"/>
      <c r="Z738" s="8"/>
      <c r="AA738" s="8"/>
      <c r="AB738" s="8"/>
      <c r="AC738" s="8"/>
      <c r="AD738" s="8"/>
      <c r="AE738" s="8"/>
      <c r="AF738" s="8"/>
      <c r="AG738" s="8"/>
      <c r="AH738" s="8"/>
      <c r="AI738" s="8"/>
      <c r="AJ738" s="8"/>
      <c r="AK738" s="8"/>
      <c r="AL738" s="8"/>
      <c r="AM738" s="8"/>
      <c r="AN738" s="8"/>
      <c r="AO738" s="8"/>
      <c r="AP738" s="8"/>
      <c r="AQ738" s="8"/>
      <c r="AR738" s="8"/>
      <c r="AS738" s="8"/>
      <c r="AT738" s="8"/>
    </row>
    <row r="739">
      <c r="A739" s="415"/>
      <c r="B739" s="210"/>
      <c r="C739" s="415"/>
      <c r="D739" s="210"/>
      <c r="E739" s="415"/>
      <c r="F739" s="210"/>
      <c r="G739" s="415"/>
      <c r="H739" s="210"/>
      <c r="I739" s="423"/>
      <c r="J739" s="156"/>
      <c r="K739" s="423"/>
      <c r="L739" s="156"/>
      <c r="M739" s="415"/>
      <c r="N739" s="210"/>
      <c r="O739" s="415"/>
      <c r="P739" s="210"/>
      <c r="Q739" s="452"/>
      <c r="R739" s="452"/>
      <c r="S739" s="415"/>
      <c r="T739" s="210"/>
      <c r="U739" s="415"/>
      <c r="V739" s="210"/>
      <c r="W739" s="415"/>
      <c r="X739" s="210"/>
      <c r="Y739" s="8"/>
      <c r="Z739" s="8"/>
      <c r="AA739" s="8"/>
      <c r="AB739" s="8"/>
      <c r="AC739" s="8"/>
      <c r="AD739" s="8"/>
      <c r="AE739" s="8"/>
      <c r="AF739" s="8"/>
      <c r="AG739" s="8"/>
      <c r="AH739" s="8"/>
      <c r="AI739" s="8"/>
      <c r="AJ739" s="8"/>
      <c r="AK739" s="8"/>
      <c r="AL739" s="8"/>
      <c r="AM739" s="8"/>
      <c r="AN739" s="8"/>
      <c r="AO739" s="8"/>
      <c r="AP739" s="8"/>
      <c r="AQ739" s="8"/>
      <c r="AR739" s="8"/>
      <c r="AS739" s="8"/>
      <c r="AT739" s="8"/>
    </row>
    <row r="740">
      <c r="A740" s="415"/>
      <c r="B740" s="210"/>
      <c r="C740" s="415"/>
      <c r="D740" s="210"/>
      <c r="E740" s="415"/>
      <c r="F740" s="210"/>
      <c r="G740" s="415"/>
      <c r="H740" s="210"/>
      <c r="I740" s="423"/>
      <c r="J740" s="156"/>
      <c r="K740" s="423"/>
      <c r="L740" s="156"/>
      <c r="M740" s="415"/>
      <c r="N740" s="210"/>
      <c r="O740" s="415"/>
      <c r="P740" s="210"/>
      <c r="Q740" s="452"/>
      <c r="R740" s="452"/>
      <c r="S740" s="415"/>
      <c r="T740" s="210"/>
      <c r="U740" s="415"/>
      <c r="V740" s="210"/>
      <c r="W740" s="415"/>
      <c r="X740" s="210"/>
      <c r="Y740" s="8"/>
      <c r="Z740" s="8"/>
      <c r="AA740" s="8"/>
      <c r="AB740" s="8"/>
      <c r="AC740" s="8"/>
      <c r="AD740" s="8"/>
      <c r="AE740" s="8"/>
      <c r="AF740" s="8"/>
      <c r="AG740" s="8"/>
      <c r="AH740" s="8"/>
      <c r="AI740" s="8"/>
      <c r="AJ740" s="8"/>
      <c r="AK740" s="8"/>
      <c r="AL740" s="8"/>
      <c r="AM740" s="8"/>
      <c r="AN740" s="8"/>
      <c r="AO740" s="8"/>
      <c r="AP740" s="8"/>
      <c r="AQ740" s="8"/>
      <c r="AR740" s="8"/>
      <c r="AS740" s="8"/>
      <c r="AT740" s="8"/>
    </row>
    <row r="741">
      <c r="A741" s="415"/>
      <c r="B741" s="210"/>
      <c r="C741" s="415"/>
      <c r="D741" s="210"/>
      <c r="E741" s="415"/>
      <c r="F741" s="210"/>
      <c r="G741" s="415"/>
      <c r="H741" s="210"/>
      <c r="I741" s="423"/>
      <c r="J741" s="156"/>
      <c r="K741" s="423"/>
      <c r="L741" s="156"/>
      <c r="M741" s="415"/>
      <c r="N741" s="210"/>
      <c r="O741" s="415"/>
      <c r="P741" s="210"/>
      <c r="Q741" s="452"/>
      <c r="R741" s="452"/>
      <c r="S741" s="415"/>
      <c r="T741" s="210"/>
      <c r="U741" s="415"/>
      <c r="V741" s="210"/>
      <c r="W741" s="415"/>
      <c r="X741" s="210"/>
      <c r="Y741" s="8"/>
      <c r="Z741" s="8"/>
      <c r="AA741" s="8"/>
      <c r="AB741" s="8"/>
      <c r="AC741" s="8"/>
      <c r="AD741" s="8"/>
      <c r="AE741" s="8"/>
      <c r="AF741" s="8"/>
      <c r="AG741" s="8"/>
      <c r="AH741" s="8"/>
      <c r="AI741" s="8"/>
      <c r="AJ741" s="8"/>
      <c r="AK741" s="8"/>
      <c r="AL741" s="8"/>
      <c r="AM741" s="8"/>
      <c r="AN741" s="8"/>
      <c r="AO741" s="8"/>
      <c r="AP741" s="8"/>
      <c r="AQ741" s="8"/>
      <c r="AR741" s="8"/>
      <c r="AS741" s="8"/>
      <c r="AT741" s="8"/>
    </row>
    <row r="742">
      <c r="A742" s="415"/>
      <c r="B742" s="210"/>
      <c r="C742" s="415"/>
      <c r="D742" s="210"/>
      <c r="E742" s="415"/>
      <c r="F742" s="210"/>
      <c r="G742" s="415"/>
      <c r="H742" s="210"/>
      <c r="I742" s="423"/>
      <c r="J742" s="156"/>
      <c r="K742" s="423"/>
      <c r="L742" s="156"/>
      <c r="M742" s="415"/>
      <c r="N742" s="210"/>
      <c r="O742" s="415"/>
      <c r="P742" s="210"/>
      <c r="Q742" s="452"/>
      <c r="R742" s="452"/>
      <c r="S742" s="415"/>
      <c r="T742" s="210"/>
      <c r="U742" s="415"/>
      <c r="V742" s="210"/>
      <c r="W742" s="415"/>
      <c r="X742" s="210"/>
      <c r="Y742" s="8"/>
      <c r="Z742" s="8"/>
      <c r="AA742" s="8"/>
      <c r="AB742" s="8"/>
      <c r="AC742" s="8"/>
      <c r="AD742" s="8"/>
      <c r="AE742" s="8"/>
      <c r="AF742" s="8"/>
      <c r="AG742" s="8"/>
      <c r="AH742" s="8"/>
      <c r="AI742" s="8"/>
      <c r="AJ742" s="8"/>
      <c r="AK742" s="8"/>
      <c r="AL742" s="8"/>
      <c r="AM742" s="8"/>
      <c r="AN742" s="8"/>
      <c r="AO742" s="8"/>
      <c r="AP742" s="8"/>
      <c r="AQ742" s="8"/>
      <c r="AR742" s="8"/>
      <c r="AS742" s="8"/>
      <c r="AT742" s="8"/>
    </row>
    <row r="743">
      <c r="A743" s="415"/>
      <c r="B743" s="210"/>
      <c r="C743" s="415"/>
      <c r="D743" s="210"/>
      <c r="E743" s="415"/>
      <c r="F743" s="210"/>
      <c r="G743" s="415"/>
      <c r="H743" s="210"/>
      <c r="I743" s="423"/>
      <c r="J743" s="156"/>
      <c r="K743" s="423"/>
      <c r="L743" s="156"/>
      <c r="M743" s="415"/>
      <c r="N743" s="210"/>
      <c r="O743" s="415"/>
      <c r="P743" s="210"/>
      <c r="Q743" s="452"/>
      <c r="R743" s="452"/>
      <c r="S743" s="415"/>
      <c r="T743" s="210"/>
      <c r="U743" s="415"/>
      <c r="V743" s="210"/>
      <c r="W743" s="415"/>
      <c r="X743" s="210"/>
      <c r="Y743" s="8"/>
      <c r="Z743" s="8"/>
      <c r="AA743" s="8"/>
      <c r="AB743" s="8"/>
      <c r="AC743" s="8"/>
      <c r="AD743" s="8"/>
      <c r="AE743" s="8"/>
      <c r="AF743" s="8"/>
      <c r="AG743" s="8"/>
      <c r="AH743" s="8"/>
      <c r="AI743" s="8"/>
      <c r="AJ743" s="8"/>
      <c r="AK743" s="8"/>
      <c r="AL743" s="8"/>
      <c r="AM743" s="8"/>
      <c r="AN743" s="8"/>
      <c r="AO743" s="8"/>
      <c r="AP743" s="8"/>
      <c r="AQ743" s="8"/>
      <c r="AR743" s="8"/>
      <c r="AS743" s="8"/>
      <c r="AT743" s="8"/>
    </row>
    <row r="744">
      <c r="A744" s="415"/>
      <c r="B744" s="210"/>
      <c r="C744" s="415"/>
      <c r="D744" s="210"/>
      <c r="E744" s="415"/>
      <c r="F744" s="210"/>
      <c r="G744" s="415"/>
      <c r="H744" s="210"/>
      <c r="I744" s="423"/>
      <c r="J744" s="156"/>
      <c r="K744" s="423"/>
      <c r="L744" s="156"/>
      <c r="M744" s="415"/>
      <c r="N744" s="210"/>
      <c r="O744" s="415"/>
      <c r="P744" s="210"/>
      <c r="Q744" s="452"/>
      <c r="R744" s="452"/>
      <c r="S744" s="415"/>
      <c r="T744" s="210"/>
      <c r="U744" s="415"/>
      <c r="V744" s="210"/>
      <c r="W744" s="415"/>
      <c r="X744" s="210"/>
      <c r="Y744" s="8"/>
      <c r="Z744" s="8"/>
      <c r="AA744" s="8"/>
      <c r="AB744" s="8"/>
      <c r="AC744" s="8"/>
      <c r="AD744" s="8"/>
      <c r="AE744" s="8"/>
      <c r="AF744" s="8"/>
      <c r="AG744" s="8"/>
      <c r="AH744" s="8"/>
      <c r="AI744" s="8"/>
      <c r="AJ744" s="8"/>
      <c r="AK744" s="8"/>
      <c r="AL744" s="8"/>
      <c r="AM744" s="8"/>
      <c r="AN744" s="8"/>
      <c r="AO744" s="8"/>
      <c r="AP744" s="8"/>
      <c r="AQ744" s="8"/>
      <c r="AR744" s="8"/>
      <c r="AS744" s="8"/>
      <c r="AT744" s="8"/>
    </row>
    <row r="745">
      <c r="A745" s="415"/>
      <c r="B745" s="210"/>
      <c r="C745" s="415"/>
      <c r="D745" s="210"/>
      <c r="E745" s="415"/>
      <c r="F745" s="210"/>
      <c r="G745" s="415"/>
      <c r="H745" s="210"/>
      <c r="I745" s="423"/>
      <c r="J745" s="156"/>
      <c r="K745" s="423"/>
      <c r="L745" s="156"/>
      <c r="M745" s="415"/>
      <c r="N745" s="210"/>
      <c r="O745" s="415"/>
      <c r="P745" s="210"/>
      <c r="Q745" s="452"/>
      <c r="R745" s="452"/>
      <c r="S745" s="415"/>
      <c r="T745" s="210"/>
      <c r="U745" s="415"/>
      <c r="V745" s="210"/>
      <c r="W745" s="415"/>
      <c r="X745" s="210"/>
      <c r="Y745" s="8"/>
      <c r="Z745" s="8"/>
      <c r="AA745" s="8"/>
      <c r="AB745" s="8"/>
      <c r="AC745" s="8"/>
      <c r="AD745" s="8"/>
      <c r="AE745" s="8"/>
      <c r="AF745" s="8"/>
      <c r="AG745" s="8"/>
      <c r="AH745" s="8"/>
      <c r="AI745" s="8"/>
      <c r="AJ745" s="8"/>
      <c r="AK745" s="8"/>
      <c r="AL745" s="8"/>
      <c r="AM745" s="8"/>
      <c r="AN745" s="8"/>
      <c r="AO745" s="8"/>
      <c r="AP745" s="8"/>
      <c r="AQ745" s="8"/>
      <c r="AR745" s="8"/>
      <c r="AS745" s="8"/>
      <c r="AT745" s="8"/>
    </row>
    <row r="746">
      <c r="A746" s="415"/>
      <c r="B746" s="210"/>
      <c r="C746" s="415"/>
      <c r="D746" s="210"/>
      <c r="E746" s="415"/>
      <c r="F746" s="210"/>
      <c r="G746" s="415"/>
      <c r="H746" s="210"/>
      <c r="I746" s="423"/>
      <c r="J746" s="156"/>
      <c r="K746" s="423"/>
      <c r="L746" s="156"/>
      <c r="M746" s="415"/>
      <c r="N746" s="210"/>
      <c r="O746" s="415"/>
      <c r="P746" s="210"/>
      <c r="Q746" s="452"/>
      <c r="R746" s="452"/>
      <c r="S746" s="415"/>
      <c r="T746" s="210"/>
      <c r="U746" s="415"/>
      <c r="V746" s="210"/>
      <c r="W746" s="415"/>
      <c r="X746" s="210"/>
      <c r="Y746" s="8"/>
      <c r="Z746" s="8"/>
      <c r="AA746" s="8"/>
      <c r="AB746" s="8"/>
      <c r="AC746" s="8"/>
      <c r="AD746" s="8"/>
      <c r="AE746" s="8"/>
      <c r="AF746" s="8"/>
      <c r="AG746" s="8"/>
      <c r="AH746" s="8"/>
      <c r="AI746" s="8"/>
      <c r="AJ746" s="8"/>
      <c r="AK746" s="8"/>
      <c r="AL746" s="8"/>
      <c r="AM746" s="8"/>
      <c r="AN746" s="8"/>
      <c r="AO746" s="8"/>
      <c r="AP746" s="8"/>
      <c r="AQ746" s="8"/>
      <c r="AR746" s="8"/>
      <c r="AS746" s="8"/>
      <c r="AT746" s="8"/>
    </row>
    <row r="747">
      <c r="A747" s="415"/>
      <c r="B747" s="210"/>
      <c r="C747" s="415"/>
      <c r="D747" s="210"/>
      <c r="E747" s="415"/>
      <c r="F747" s="210"/>
      <c r="G747" s="415"/>
      <c r="H747" s="210"/>
      <c r="I747" s="423"/>
      <c r="J747" s="156"/>
      <c r="K747" s="423"/>
      <c r="L747" s="156"/>
      <c r="M747" s="415"/>
      <c r="N747" s="210"/>
      <c r="O747" s="415"/>
      <c r="P747" s="210"/>
      <c r="Q747" s="452"/>
      <c r="R747" s="452"/>
      <c r="S747" s="415"/>
      <c r="T747" s="210"/>
      <c r="U747" s="415"/>
      <c r="V747" s="210"/>
      <c r="W747" s="415"/>
      <c r="X747" s="210"/>
      <c r="Y747" s="8"/>
      <c r="Z747" s="8"/>
      <c r="AA747" s="8"/>
      <c r="AB747" s="8"/>
      <c r="AC747" s="8"/>
      <c r="AD747" s="8"/>
      <c r="AE747" s="8"/>
      <c r="AF747" s="8"/>
      <c r="AG747" s="8"/>
      <c r="AH747" s="8"/>
      <c r="AI747" s="8"/>
      <c r="AJ747" s="8"/>
      <c r="AK747" s="8"/>
      <c r="AL747" s="8"/>
      <c r="AM747" s="8"/>
      <c r="AN747" s="8"/>
      <c r="AO747" s="8"/>
      <c r="AP747" s="8"/>
      <c r="AQ747" s="8"/>
      <c r="AR747" s="8"/>
      <c r="AS747" s="8"/>
      <c r="AT747" s="8"/>
    </row>
    <row r="748">
      <c r="A748" s="415"/>
      <c r="B748" s="210"/>
      <c r="C748" s="415"/>
      <c r="D748" s="210"/>
      <c r="E748" s="415"/>
      <c r="F748" s="210"/>
      <c r="G748" s="415"/>
      <c r="H748" s="210"/>
      <c r="I748" s="423"/>
      <c r="J748" s="156"/>
      <c r="K748" s="423"/>
      <c r="L748" s="156"/>
      <c r="M748" s="415"/>
      <c r="N748" s="210"/>
      <c r="O748" s="415"/>
      <c r="P748" s="210"/>
      <c r="Q748" s="452"/>
      <c r="R748" s="452"/>
      <c r="S748" s="415"/>
      <c r="T748" s="210"/>
      <c r="U748" s="415"/>
      <c r="V748" s="210"/>
      <c r="W748" s="415"/>
      <c r="X748" s="210"/>
      <c r="Y748" s="8"/>
      <c r="Z748" s="8"/>
      <c r="AA748" s="8"/>
      <c r="AB748" s="8"/>
      <c r="AC748" s="8"/>
      <c r="AD748" s="8"/>
      <c r="AE748" s="8"/>
      <c r="AF748" s="8"/>
      <c r="AG748" s="8"/>
      <c r="AH748" s="8"/>
      <c r="AI748" s="8"/>
      <c r="AJ748" s="8"/>
      <c r="AK748" s="8"/>
      <c r="AL748" s="8"/>
      <c r="AM748" s="8"/>
      <c r="AN748" s="8"/>
      <c r="AO748" s="8"/>
      <c r="AP748" s="8"/>
      <c r="AQ748" s="8"/>
      <c r="AR748" s="8"/>
      <c r="AS748" s="8"/>
      <c r="AT748" s="8"/>
    </row>
    <row r="749">
      <c r="A749" s="415"/>
      <c r="B749" s="210"/>
      <c r="C749" s="415"/>
      <c r="D749" s="210"/>
      <c r="E749" s="415"/>
      <c r="F749" s="210"/>
      <c r="G749" s="415"/>
      <c r="H749" s="210"/>
      <c r="I749" s="423"/>
      <c r="J749" s="156"/>
      <c r="K749" s="423"/>
      <c r="L749" s="156"/>
      <c r="M749" s="415"/>
      <c r="N749" s="210"/>
      <c r="O749" s="415"/>
      <c r="P749" s="210"/>
      <c r="Q749" s="452"/>
      <c r="R749" s="452"/>
      <c r="S749" s="415"/>
      <c r="T749" s="210"/>
      <c r="U749" s="415"/>
      <c r="V749" s="210"/>
      <c r="W749" s="415"/>
      <c r="X749" s="210"/>
      <c r="Y749" s="8"/>
      <c r="Z749" s="8"/>
      <c r="AA749" s="8"/>
      <c r="AB749" s="8"/>
      <c r="AC749" s="8"/>
      <c r="AD749" s="8"/>
      <c r="AE749" s="8"/>
      <c r="AF749" s="8"/>
      <c r="AG749" s="8"/>
      <c r="AH749" s="8"/>
      <c r="AI749" s="8"/>
      <c r="AJ749" s="8"/>
      <c r="AK749" s="8"/>
      <c r="AL749" s="8"/>
      <c r="AM749" s="8"/>
      <c r="AN749" s="8"/>
      <c r="AO749" s="8"/>
      <c r="AP749" s="8"/>
      <c r="AQ749" s="8"/>
      <c r="AR749" s="8"/>
      <c r="AS749" s="8"/>
      <c r="AT749" s="8"/>
    </row>
    <row r="750">
      <c r="A750" s="415"/>
      <c r="B750" s="210"/>
      <c r="C750" s="415"/>
      <c r="D750" s="210"/>
      <c r="E750" s="415"/>
      <c r="F750" s="210"/>
      <c r="G750" s="415"/>
      <c r="H750" s="210"/>
      <c r="I750" s="423"/>
      <c r="J750" s="156"/>
      <c r="K750" s="423"/>
      <c r="L750" s="156"/>
      <c r="M750" s="415"/>
      <c r="N750" s="210"/>
      <c r="O750" s="415"/>
      <c r="P750" s="210"/>
      <c r="Q750" s="452"/>
      <c r="R750" s="452"/>
      <c r="S750" s="415"/>
      <c r="T750" s="210"/>
      <c r="U750" s="415"/>
      <c r="V750" s="210"/>
      <c r="W750" s="415"/>
      <c r="X750" s="210"/>
      <c r="Y750" s="8"/>
      <c r="Z750" s="8"/>
      <c r="AA750" s="8"/>
      <c r="AB750" s="8"/>
      <c r="AC750" s="8"/>
      <c r="AD750" s="8"/>
      <c r="AE750" s="8"/>
      <c r="AF750" s="8"/>
      <c r="AG750" s="8"/>
      <c r="AH750" s="8"/>
      <c r="AI750" s="8"/>
      <c r="AJ750" s="8"/>
      <c r="AK750" s="8"/>
      <c r="AL750" s="8"/>
      <c r="AM750" s="8"/>
      <c r="AN750" s="8"/>
      <c r="AO750" s="8"/>
      <c r="AP750" s="8"/>
      <c r="AQ750" s="8"/>
      <c r="AR750" s="8"/>
      <c r="AS750" s="8"/>
      <c r="AT750" s="8"/>
    </row>
    <row r="751">
      <c r="A751" s="415"/>
      <c r="B751" s="210"/>
      <c r="C751" s="415"/>
      <c r="D751" s="210"/>
      <c r="E751" s="415"/>
      <c r="F751" s="210"/>
      <c r="G751" s="415"/>
      <c r="H751" s="210"/>
      <c r="I751" s="423"/>
      <c r="J751" s="156"/>
      <c r="K751" s="423"/>
      <c r="L751" s="156"/>
      <c r="M751" s="415"/>
      <c r="N751" s="210"/>
      <c r="O751" s="415"/>
      <c r="P751" s="210"/>
      <c r="Q751" s="452"/>
      <c r="R751" s="452"/>
      <c r="S751" s="415"/>
      <c r="T751" s="210"/>
      <c r="U751" s="415"/>
      <c r="V751" s="210"/>
      <c r="W751" s="415"/>
      <c r="X751" s="210"/>
      <c r="Y751" s="8"/>
      <c r="Z751" s="8"/>
      <c r="AA751" s="8"/>
      <c r="AB751" s="8"/>
      <c r="AC751" s="8"/>
      <c r="AD751" s="8"/>
      <c r="AE751" s="8"/>
      <c r="AF751" s="8"/>
      <c r="AG751" s="8"/>
      <c r="AH751" s="8"/>
      <c r="AI751" s="8"/>
      <c r="AJ751" s="8"/>
      <c r="AK751" s="8"/>
      <c r="AL751" s="8"/>
      <c r="AM751" s="8"/>
      <c r="AN751" s="8"/>
      <c r="AO751" s="8"/>
      <c r="AP751" s="8"/>
      <c r="AQ751" s="8"/>
      <c r="AR751" s="8"/>
      <c r="AS751" s="8"/>
      <c r="AT751" s="8"/>
    </row>
    <row r="752">
      <c r="A752" s="415"/>
      <c r="B752" s="210"/>
      <c r="C752" s="415"/>
      <c r="D752" s="210"/>
      <c r="E752" s="415"/>
      <c r="F752" s="210"/>
      <c r="G752" s="415"/>
      <c r="H752" s="210"/>
      <c r="I752" s="423"/>
      <c r="J752" s="156"/>
      <c r="K752" s="423"/>
      <c r="L752" s="156"/>
      <c r="M752" s="415"/>
      <c r="N752" s="210"/>
      <c r="O752" s="415"/>
      <c r="P752" s="210"/>
      <c r="Q752" s="452"/>
      <c r="R752" s="452"/>
      <c r="S752" s="415"/>
      <c r="T752" s="210"/>
      <c r="U752" s="415"/>
      <c r="V752" s="210"/>
      <c r="W752" s="415"/>
      <c r="X752" s="210"/>
      <c r="Y752" s="8"/>
      <c r="Z752" s="8"/>
      <c r="AA752" s="8"/>
      <c r="AB752" s="8"/>
      <c r="AC752" s="8"/>
      <c r="AD752" s="8"/>
      <c r="AE752" s="8"/>
      <c r="AF752" s="8"/>
      <c r="AG752" s="8"/>
      <c r="AH752" s="8"/>
      <c r="AI752" s="8"/>
      <c r="AJ752" s="8"/>
      <c r="AK752" s="8"/>
      <c r="AL752" s="8"/>
      <c r="AM752" s="8"/>
      <c r="AN752" s="8"/>
      <c r="AO752" s="8"/>
      <c r="AP752" s="8"/>
      <c r="AQ752" s="8"/>
      <c r="AR752" s="8"/>
      <c r="AS752" s="8"/>
      <c r="AT752" s="8"/>
    </row>
    <row r="753">
      <c r="A753" s="415"/>
      <c r="B753" s="210"/>
      <c r="C753" s="415"/>
      <c r="D753" s="210"/>
      <c r="E753" s="415"/>
      <c r="F753" s="210"/>
      <c r="G753" s="415"/>
      <c r="H753" s="210"/>
      <c r="I753" s="423"/>
      <c r="J753" s="156"/>
      <c r="K753" s="423"/>
      <c r="L753" s="156"/>
      <c r="M753" s="415"/>
      <c r="N753" s="210"/>
      <c r="O753" s="415"/>
      <c r="P753" s="210"/>
      <c r="Q753" s="452"/>
      <c r="R753" s="452"/>
      <c r="S753" s="415"/>
      <c r="T753" s="210"/>
      <c r="U753" s="415"/>
      <c r="V753" s="210"/>
      <c r="W753" s="415"/>
      <c r="X753" s="210"/>
      <c r="Y753" s="8"/>
      <c r="Z753" s="8"/>
      <c r="AA753" s="8"/>
      <c r="AB753" s="8"/>
      <c r="AC753" s="8"/>
      <c r="AD753" s="8"/>
      <c r="AE753" s="8"/>
      <c r="AF753" s="8"/>
      <c r="AG753" s="8"/>
      <c r="AH753" s="8"/>
      <c r="AI753" s="8"/>
      <c r="AJ753" s="8"/>
      <c r="AK753" s="8"/>
      <c r="AL753" s="8"/>
      <c r="AM753" s="8"/>
      <c r="AN753" s="8"/>
      <c r="AO753" s="8"/>
      <c r="AP753" s="8"/>
      <c r="AQ753" s="8"/>
      <c r="AR753" s="8"/>
      <c r="AS753" s="8"/>
      <c r="AT753" s="8"/>
    </row>
    <row r="754">
      <c r="A754" s="415"/>
      <c r="B754" s="210"/>
      <c r="C754" s="415"/>
      <c r="D754" s="210"/>
      <c r="E754" s="415"/>
      <c r="F754" s="210"/>
      <c r="G754" s="415"/>
      <c r="H754" s="210"/>
      <c r="I754" s="423"/>
      <c r="J754" s="156"/>
      <c r="K754" s="423"/>
      <c r="L754" s="156"/>
      <c r="M754" s="415"/>
      <c r="N754" s="210"/>
      <c r="O754" s="415"/>
      <c r="P754" s="210"/>
      <c r="Q754" s="452"/>
      <c r="R754" s="452"/>
      <c r="S754" s="415"/>
      <c r="T754" s="210"/>
      <c r="U754" s="415"/>
      <c r="V754" s="210"/>
      <c r="W754" s="415"/>
      <c r="X754" s="210"/>
      <c r="Y754" s="8"/>
      <c r="Z754" s="8"/>
      <c r="AA754" s="8"/>
      <c r="AB754" s="8"/>
      <c r="AC754" s="8"/>
      <c r="AD754" s="8"/>
      <c r="AE754" s="8"/>
      <c r="AF754" s="8"/>
      <c r="AG754" s="8"/>
      <c r="AH754" s="8"/>
      <c r="AI754" s="8"/>
      <c r="AJ754" s="8"/>
      <c r="AK754" s="8"/>
      <c r="AL754" s="8"/>
      <c r="AM754" s="8"/>
      <c r="AN754" s="8"/>
      <c r="AO754" s="8"/>
      <c r="AP754" s="8"/>
      <c r="AQ754" s="8"/>
      <c r="AR754" s="8"/>
      <c r="AS754" s="8"/>
      <c r="AT754" s="8"/>
    </row>
    <row r="755">
      <c r="A755" s="415"/>
      <c r="B755" s="210"/>
      <c r="C755" s="415"/>
      <c r="D755" s="210"/>
      <c r="E755" s="415"/>
      <c r="F755" s="210"/>
      <c r="G755" s="415"/>
      <c r="H755" s="210"/>
      <c r="I755" s="423"/>
      <c r="J755" s="156"/>
      <c r="K755" s="423"/>
      <c r="L755" s="156"/>
      <c r="M755" s="415"/>
      <c r="N755" s="210"/>
      <c r="O755" s="415"/>
      <c r="P755" s="210"/>
      <c r="Q755" s="452"/>
      <c r="R755" s="452"/>
      <c r="S755" s="415"/>
      <c r="T755" s="210"/>
      <c r="U755" s="415"/>
      <c r="V755" s="210"/>
      <c r="W755" s="415"/>
      <c r="X755" s="210"/>
      <c r="Y755" s="8"/>
      <c r="Z755" s="8"/>
      <c r="AA755" s="8"/>
      <c r="AB755" s="8"/>
      <c r="AC755" s="8"/>
      <c r="AD755" s="8"/>
      <c r="AE755" s="8"/>
      <c r="AF755" s="8"/>
      <c r="AG755" s="8"/>
      <c r="AH755" s="8"/>
      <c r="AI755" s="8"/>
      <c r="AJ755" s="8"/>
      <c r="AK755" s="8"/>
      <c r="AL755" s="8"/>
      <c r="AM755" s="8"/>
      <c r="AN755" s="8"/>
      <c r="AO755" s="8"/>
      <c r="AP755" s="8"/>
      <c r="AQ755" s="8"/>
      <c r="AR755" s="8"/>
      <c r="AS755" s="8"/>
      <c r="AT755" s="8"/>
    </row>
    <row r="756">
      <c r="A756" s="415"/>
      <c r="B756" s="210"/>
      <c r="C756" s="415"/>
      <c r="D756" s="210"/>
      <c r="E756" s="415"/>
      <c r="F756" s="210"/>
      <c r="G756" s="415"/>
      <c r="H756" s="210"/>
      <c r="I756" s="423"/>
      <c r="J756" s="156"/>
      <c r="K756" s="423"/>
      <c r="L756" s="156"/>
      <c r="M756" s="415"/>
      <c r="N756" s="210"/>
      <c r="O756" s="415"/>
      <c r="P756" s="210"/>
      <c r="Q756" s="452"/>
      <c r="R756" s="452"/>
      <c r="S756" s="415"/>
      <c r="T756" s="210"/>
      <c r="U756" s="415"/>
      <c r="V756" s="210"/>
      <c r="W756" s="415"/>
      <c r="X756" s="210"/>
      <c r="Y756" s="8"/>
      <c r="Z756" s="8"/>
      <c r="AA756" s="8"/>
      <c r="AB756" s="8"/>
      <c r="AC756" s="8"/>
      <c r="AD756" s="8"/>
      <c r="AE756" s="8"/>
      <c r="AF756" s="8"/>
      <c r="AG756" s="8"/>
      <c r="AH756" s="8"/>
      <c r="AI756" s="8"/>
      <c r="AJ756" s="8"/>
      <c r="AK756" s="8"/>
      <c r="AL756" s="8"/>
      <c r="AM756" s="8"/>
      <c r="AN756" s="8"/>
      <c r="AO756" s="8"/>
      <c r="AP756" s="8"/>
      <c r="AQ756" s="8"/>
      <c r="AR756" s="8"/>
      <c r="AS756" s="8"/>
      <c r="AT756" s="8"/>
    </row>
    <row r="757">
      <c r="A757" s="415"/>
      <c r="B757" s="210"/>
      <c r="C757" s="415"/>
      <c r="D757" s="210"/>
      <c r="E757" s="415"/>
      <c r="F757" s="210"/>
      <c r="G757" s="415"/>
      <c r="H757" s="210"/>
      <c r="I757" s="423"/>
      <c r="J757" s="156"/>
      <c r="K757" s="423"/>
      <c r="L757" s="156"/>
      <c r="M757" s="415"/>
      <c r="N757" s="210"/>
      <c r="O757" s="415"/>
      <c r="P757" s="210"/>
      <c r="Q757" s="452"/>
      <c r="R757" s="452"/>
      <c r="S757" s="415"/>
      <c r="T757" s="210"/>
      <c r="U757" s="415"/>
      <c r="V757" s="210"/>
      <c r="W757" s="415"/>
      <c r="X757" s="210"/>
      <c r="Y757" s="8"/>
      <c r="Z757" s="8"/>
      <c r="AA757" s="8"/>
      <c r="AB757" s="8"/>
      <c r="AC757" s="8"/>
      <c r="AD757" s="8"/>
      <c r="AE757" s="8"/>
      <c r="AF757" s="8"/>
      <c r="AG757" s="8"/>
      <c r="AH757" s="8"/>
      <c r="AI757" s="8"/>
      <c r="AJ757" s="8"/>
      <c r="AK757" s="8"/>
      <c r="AL757" s="8"/>
      <c r="AM757" s="8"/>
      <c r="AN757" s="8"/>
      <c r="AO757" s="8"/>
      <c r="AP757" s="8"/>
      <c r="AQ757" s="8"/>
      <c r="AR757" s="8"/>
      <c r="AS757" s="8"/>
      <c r="AT757" s="8"/>
    </row>
    <row r="758">
      <c r="A758" s="415"/>
      <c r="B758" s="210"/>
      <c r="C758" s="415"/>
      <c r="D758" s="210"/>
      <c r="E758" s="415"/>
      <c r="F758" s="210"/>
      <c r="G758" s="415"/>
      <c r="H758" s="210"/>
      <c r="I758" s="423"/>
      <c r="J758" s="156"/>
      <c r="K758" s="423"/>
      <c r="L758" s="156"/>
      <c r="M758" s="415"/>
      <c r="N758" s="210"/>
      <c r="O758" s="415"/>
      <c r="P758" s="210"/>
      <c r="Q758" s="452"/>
      <c r="R758" s="452"/>
      <c r="S758" s="415"/>
      <c r="T758" s="210"/>
      <c r="U758" s="415"/>
      <c r="V758" s="210"/>
      <c r="W758" s="415"/>
      <c r="X758" s="210"/>
      <c r="Y758" s="8"/>
      <c r="Z758" s="8"/>
      <c r="AA758" s="8"/>
      <c r="AB758" s="8"/>
      <c r="AC758" s="8"/>
      <c r="AD758" s="8"/>
      <c r="AE758" s="8"/>
      <c r="AF758" s="8"/>
      <c r="AG758" s="8"/>
      <c r="AH758" s="8"/>
      <c r="AI758" s="8"/>
      <c r="AJ758" s="8"/>
      <c r="AK758" s="8"/>
      <c r="AL758" s="8"/>
      <c r="AM758" s="8"/>
      <c r="AN758" s="8"/>
      <c r="AO758" s="8"/>
      <c r="AP758" s="8"/>
      <c r="AQ758" s="8"/>
      <c r="AR758" s="8"/>
      <c r="AS758" s="8"/>
      <c r="AT758" s="8"/>
    </row>
    <row r="759">
      <c r="A759" s="415"/>
      <c r="B759" s="210"/>
      <c r="C759" s="415"/>
      <c r="D759" s="210"/>
      <c r="E759" s="415"/>
      <c r="F759" s="210"/>
      <c r="G759" s="415"/>
      <c r="H759" s="210"/>
      <c r="I759" s="423"/>
      <c r="J759" s="156"/>
      <c r="K759" s="423"/>
      <c r="L759" s="156"/>
      <c r="M759" s="415"/>
      <c r="N759" s="210"/>
      <c r="O759" s="415"/>
      <c r="P759" s="210"/>
      <c r="Q759" s="452"/>
      <c r="R759" s="452"/>
      <c r="S759" s="415"/>
      <c r="T759" s="210"/>
      <c r="U759" s="415"/>
      <c r="V759" s="210"/>
      <c r="W759" s="415"/>
      <c r="X759" s="210"/>
      <c r="Y759" s="8"/>
      <c r="Z759" s="8"/>
      <c r="AA759" s="8"/>
      <c r="AB759" s="8"/>
      <c r="AC759" s="8"/>
      <c r="AD759" s="8"/>
      <c r="AE759" s="8"/>
      <c r="AF759" s="8"/>
      <c r="AG759" s="8"/>
      <c r="AH759" s="8"/>
      <c r="AI759" s="8"/>
      <c r="AJ759" s="8"/>
      <c r="AK759" s="8"/>
      <c r="AL759" s="8"/>
      <c r="AM759" s="8"/>
      <c r="AN759" s="8"/>
      <c r="AO759" s="8"/>
      <c r="AP759" s="8"/>
      <c r="AQ759" s="8"/>
      <c r="AR759" s="8"/>
      <c r="AS759" s="8"/>
      <c r="AT759" s="8"/>
    </row>
    <row r="760">
      <c r="A760" s="415"/>
      <c r="B760" s="210"/>
      <c r="C760" s="415"/>
      <c r="D760" s="210"/>
      <c r="E760" s="415"/>
      <c r="F760" s="210"/>
      <c r="G760" s="415"/>
      <c r="H760" s="210"/>
      <c r="I760" s="423"/>
      <c r="J760" s="156"/>
      <c r="K760" s="423"/>
      <c r="L760" s="156"/>
      <c r="M760" s="415"/>
      <c r="N760" s="210"/>
      <c r="O760" s="415"/>
      <c r="P760" s="210"/>
      <c r="Q760" s="452"/>
      <c r="R760" s="452"/>
      <c r="S760" s="415"/>
      <c r="T760" s="210"/>
      <c r="U760" s="415"/>
      <c r="V760" s="210"/>
      <c r="W760" s="415"/>
      <c r="X760" s="210"/>
      <c r="Y760" s="8"/>
      <c r="Z760" s="8"/>
      <c r="AA760" s="8"/>
      <c r="AB760" s="8"/>
      <c r="AC760" s="8"/>
      <c r="AD760" s="8"/>
      <c r="AE760" s="8"/>
      <c r="AF760" s="8"/>
      <c r="AG760" s="8"/>
      <c r="AH760" s="8"/>
      <c r="AI760" s="8"/>
      <c r="AJ760" s="8"/>
      <c r="AK760" s="8"/>
      <c r="AL760" s="8"/>
      <c r="AM760" s="8"/>
      <c r="AN760" s="8"/>
      <c r="AO760" s="8"/>
      <c r="AP760" s="8"/>
      <c r="AQ760" s="8"/>
      <c r="AR760" s="8"/>
      <c r="AS760" s="8"/>
      <c r="AT760" s="8"/>
    </row>
    <row r="761">
      <c r="A761" s="415"/>
      <c r="B761" s="210"/>
      <c r="C761" s="415"/>
      <c r="D761" s="210"/>
      <c r="E761" s="415"/>
      <c r="F761" s="210"/>
      <c r="G761" s="415"/>
      <c r="H761" s="210"/>
      <c r="I761" s="423"/>
      <c r="J761" s="156"/>
      <c r="K761" s="423"/>
      <c r="L761" s="156"/>
      <c r="M761" s="415"/>
      <c r="N761" s="210"/>
      <c r="O761" s="415"/>
      <c r="P761" s="210"/>
      <c r="Q761" s="452"/>
      <c r="R761" s="452"/>
      <c r="S761" s="415"/>
      <c r="T761" s="210"/>
      <c r="U761" s="415"/>
      <c r="V761" s="210"/>
      <c r="W761" s="415"/>
      <c r="X761" s="210"/>
      <c r="Y761" s="8"/>
      <c r="Z761" s="8"/>
      <c r="AA761" s="8"/>
      <c r="AB761" s="8"/>
      <c r="AC761" s="8"/>
      <c r="AD761" s="8"/>
      <c r="AE761" s="8"/>
      <c r="AF761" s="8"/>
      <c r="AG761" s="8"/>
      <c r="AH761" s="8"/>
      <c r="AI761" s="8"/>
      <c r="AJ761" s="8"/>
      <c r="AK761" s="8"/>
      <c r="AL761" s="8"/>
      <c r="AM761" s="8"/>
      <c r="AN761" s="8"/>
      <c r="AO761" s="8"/>
      <c r="AP761" s="8"/>
      <c r="AQ761" s="8"/>
      <c r="AR761" s="8"/>
      <c r="AS761" s="8"/>
      <c r="AT761" s="8"/>
    </row>
    <row r="762">
      <c r="A762" s="415"/>
      <c r="B762" s="210"/>
      <c r="C762" s="415"/>
      <c r="D762" s="210"/>
      <c r="E762" s="415"/>
      <c r="F762" s="210"/>
      <c r="G762" s="415"/>
      <c r="H762" s="210"/>
      <c r="I762" s="423"/>
      <c r="J762" s="156"/>
      <c r="K762" s="423"/>
      <c r="L762" s="156"/>
      <c r="M762" s="415"/>
      <c r="N762" s="210"/>
      <c r="O762" s="415"/>
      <c r="P762" s="210"/>
      <c r="Q762" s="452"/>
      <c r="R762" s="452"/>
      <c r="S762" s="415"/>
      <c r="T762" s="210"/>
      <c r="U762" s="415"/>
      <c r="V762" s="210"/>
      <c r="W762" s="415"/>
      <c r="X762" s="210"/>
      <c r="Y762" s="8"/>
      <c r="Z762" s="8"/>
      <c r="AA762" s="8"/>
      <c r="AB762" s="8"/>
      <c r="AC762" s="8"/>
      <c r="AD762" s="8"/>
      <c r="AE762" s="8"/>
      <c r="AF762" s="8"/>
      <c r="AG762" s="8"/>
      <c r="AH762" s="8"/>
      <c r="AI762" s="8"/>
      <c r="AJ762" s="8"/>
      <c r="AK762" s="8"/>
      <c r="AL762" s="8"/>
      <c r="AM762" s="8"/>
      <c r="AN762" s="8"/>
      <c r="AO762" s="8"/>
      <c r="AP762" s="8"/>
      <c r="AQ762" s="8"/>
      <c r="AR762" s="8"/>
      <c r="AS762" s="8"/>
      <c r="AT762" s="8"/>
    </row>
    <row r="763">
      <c r="A763" s="415"/>
      <c r="B763" s="210"/>
      <c r="C763" s="415"/>
      <c r="D763" s="210"/>
      <c r="E763" s="415"/>
      <c r="F763" s="210"/>
      <c r="G763" s="415"/>
      <c r="H763" s="210"/>
      <c r="I763" s="423"/>
      <c r="J763" s="156"/>
      <c r="K763" s="423"/>
      <c r="L763" s="156"/>
      <c r="M763" s="415"/>
      <c r="N763" s="210"/>
      <c r="O763" s="415"/>
      <c r="P763" s="210"/>
      <c r="Q763" s="452"/>
      <c r="R763" s="452"/>
      <c r="S763" s="415"/>
      <c r="T763" s="210"/>
      <c r="U763" s="415"/>
      <c r="V763" s="210"/>
      <c r="W763" s="415"/>
      <c r="X763" s="210"/>
      <c r="Y763" s="8"/>
      <c r="Z763" s="8"/>
      <c r="AA763" s="8"/>
      <c r="AB763" s="8"/>
      <c r="AC763" s="8"/>
      <c r="AD763" s="8"/>
      <c r="AE763" s="8"/>
      <c r="AF763" s="8"/>
      <c r="AG763" s="8"/>
      <c r="AH763" s="8"/>
      <c r="AI763" s="8"/>
      <c r="AJ763" s="8"/>
      <c r="AK763" s="8"/>
      <c r="AL763" s="8"/>
      <c r="AM763" s="8"/>
      <c r="AN763" s="8"/>
      <c r="AO763" s="8"/>
      <c r="AP763" s="8"/>
      <c r="AQ763" s="8"/>
      <c r="AR763" s="8"/>
      <c r="AS763" s="8"/>
      <c r="AT763" s="8"/>
    </row>
    <row r="764">
      <c r="A764" s="415"/>
      <c r="B764" s="210"/>
      <c r="C764" s="415"/>
      <c r="D764" s="210"/>
      <c r="E764" s="415"/>
      <c r="F764" s="210"/>
      <c r="G764" s="415"/>
      <c r="H764" s="210"/>
      <c r="I764" s="423"/>
      <c r="J764" s="156"/>
      <c r="K764" s="423"/>
      <c r="L764" s="156"/>
      <c r="M764" s="415"/>
      <c r="N764" s="210"/>
      <c r="O764" s="415"/>
      <c r="P764" s="210"/>
      <c r="Q764" s="452"/>
      <c r="R764" s="452"/>
      <c r="S764" s="415"/>
      <c r="T764" s="210"/>
      <c r="U764" s="415"/>
      <c r="V764" s="210"/>
      <c r="W764" s="415"/>
      <c r="X764" s="210"/>
      <c r="Y764" s="8"/>
      <c r="Z764" s="8"/>
      <c r="AA764" s="8"/>
      <c r="AB764" s="8"/>
      <c r="AC764" s="8"/>
      <c r="AD764" s="8"/>
      <c r="AE764" s="8"/>
      <c r="AF764" s="8"/>
      <c r="AG764" s="8"/>
      <c r="AH764" s="8"/>
      <c r="AI764" s="8"/>
      <c r="AJ764" s="8"/>
      <c r="AK764" s="8"/>
      <c r="AL764" s="8"/>
      <c r="AM764" s="8"/>
      <c r="AN764" s="8"/>
      <c r="AO764" s="8"/>
      <c r="AP764" s="8"/>
      <c r="AQ764" s="8"/>
      <c r="AR764" s="8"/>
      <c r="AS764" s="8"/>
      <c r="AT764" s="8"/>
    </row>
    <row r="765">
      <c r="A765" s="415"/>
      <c r="B765" s="210"/>
      <c r="C765" s="415"/>
      <c r="D765" s="210"/>
      <c r="E765" s="415"/>
      <c r="F765" s="210"/>
      <c r="G765" s="415"/>
      <c r="H765" s="210"/>
      <c r="I765" s="423"/>
      <c r="J765" s="156"/>
      <c r="K765" s="423"/>
      <c r="L765" s="156"/>
      <c r="M765" s="415"/>
      <c r="N765" s="210"/>
      <c r="O765" s="415"/>
      <c r="P765" s="210"/>
      <c r="Q765" s="452"/>
      <c r="R765" s="452"/>
      <c r="S765" s="415"/>
      <c r="T765" s="210"/>
      <c r="U765" s="415"/>
      <c r="V765" s="210"/>
      <c r="W765" s="415"/>
      <c r="X765" s="210"/>
      <c r="Y765" s="8"/>
      <c r="Z765" s="8"/>
      <c r="AA765" s="8"/>
      <c r="AB765" s="8"/>
      <c r="AC765" s="8"/>
      <c r="AD765" s="8"/>
      <c r="AE765" s="8"/>
      <c r="AF765" s="8"/>
      <c r="AG765" s="8"/>
      <c r="AH765" s="8"/>
      <c r="AI765" s="8"/>
      <c r="AJ765" s="8"/>
      <c r="AK765" s="8"/>
      <c r="AL765" s="8"/>
      <c r="AM765" s="8"/>
      <c r="AN765" s="8"/>
      <c r="AO765" s="8"/>
      <c r="AP765" s="8"/>
      <c r="AQ765" s="8"/>
      <c r="AR765" s="8"/>
      <c r="AS765" s="8"/>
      <c r="AT765" s="8"/>
    </row>
    <row r="766">
      <c r="A766" s="415"/>
      <c r="B766" s="210"/>
      <c r="C766" s="415"/>
      <c r="D766" s="210"/>
      <c r="E766" s="415"/>
      <c r="F766" s="210"/>
      <c r="G766" s="415"/>
      <c r="H766" s="210"/>
      <c r="I766" s="423"/>
      <c r="J766" s="156"/>
      <c r="K766" s="423"/>
      <c r="L766" s="156"/>
      <c r="M766" s="415"/>
      <c r="N766" s="210"/>
      <c r="O766" s="415"/>
      <c r="P766" s="210"/>
      <c r="Q766" s="452"/>
      <c r="R766" s="452"/>
      <c r="S766" s="415"/>
      <c r="T766" s="210"/>
      <c r="U766" s="415"/>
      <c r="V766" s="210"/>
      <c r="W766" s="415"/>
      <c r="X766" s="210"/>
      <c r="Y766" s="8"/>
      <c r="Z766" s="8"/>
      <c r="AA766" s="8"/>
      <c r="AB766" s="8"/>
      <c r="AC766" s="8"/>
      <c r="AD766" s="8"/>
      <c r="AE766" s="8"/>
      <c r="AF766" s="8"/>
      <c r="AG766" s="8"/>
      <c r="AH766" s="8"/>
      <c r="AI766" s="8"/>
      <c r="AJ766" s="8"/>
      <c r="AK766" s="8"/>
      <c r="AL766" s="8"/>
      <c r="AM766" s="8"/>
      <c r="AN766" s="8"/>
      <c r="AO766" s="8"/>
      <c r="AP766" s="8"/>
      <c r="AQ766" s="8"/>
      <c r="AR766" s="8"/>
      <c r="AS766" s="8"/>
      <c r="AT766" s="8"/>
    </row>
    <row r="767">
      <c r="A767" s="415"/>
      <c r="B767" s="210"/>
      <c r="C767" s="415"/>
      <c r="D767" s="210"/>
      <c r="E767" s="415"/>
      <c r="F767" s="210"/>
      <c r="G767" s="415"/>
      <c r="H767" s="210"/>
      <c r="I767" s="423"/>
      <c r="J767" s="156"/>
      <c r="K767" s="423"/>
      <c r="L767" s="156"/>
      <c r="M767" s="415"/>
      <c r="N767" s="210"/>
      <c r="O767" s="415"/>
      <c r="P767" s="210"/>
      <c r="Q767" s="452"/>
      <c r="R767" s="452"/>
      <c r="S767" s="415"/>
      <c r="T767" s="210"/>
      <c r="U767" s="415"/>
      <c r="V767" s="210"/>
      <c r="W767" s="415"/>
      <c r="X767" s="210"/>
      <c r="Y767" s="8"/>
      <c r="Z767" s="8"/>
      <c r="AA767" s="8"/>
      <c r="AB767" s="8"/>
      <c r="AC767" s="8"/>
      <c r="AD767" s="8"/>
      <c r="AE767" s="8"/>
      <c r="AF767" s="8"/>
      <c r="AG767" s="8"/>
      <c r="AH767" s="8"/>
      <c r="AI767" s="8"/>
      <c r="AJ767" s="8"/>
      <c r="AK767" s="8"/>
      <c r="AL767" s="8"/>
      <c r="AM767" s="8"/>
      <c r="AN767" s="8"/>
      <c r="AO767" s="8"/>
      <c r="AP767" s="8"/>
      <c r="AQ767" s="8"/>
      <c r="AR767" s="8"/>
      <c r="AS767" s="8"/>
      <c r="AT767" s="8"/>
    </row>
    <row r="768">
      <c r="A768" s="415"/>
      <c r="B768" s="210"/>
      <c r="C768" s="415"/>
      <c r="D768" s="210"/>
      <c r="E768" s="415"/>
      <c r="F768" s="210"/>
      <c r="G768" s="415"/>
      <c r="H768" s="210"/>
      <c r="I768" s="423"/>
      <c r="J768" s="156"/>
      <c r="K768" s="423"/>
      <c r="L768" s="156"/>
      <c r="M768" s="415"/>
      <c r="N768" s="210"/>
      <c r="O768" s="415"/>
      <c r="P768" s="210"/>
      <c r="Q768" s="452"/>
      <c r="R768" s="452"/>
      <c r="S768" s="415"/>
      <c r="T768" s="210"/>
      <c r="U768" s="415"/>
      <c r="V768" s="210"/>
      <c r="W768" s="415"/>
      <c r="X768" s="210"/>
      <c r="Y768" s="8"/>
      <c r="Z768" s="8"/>
      <c r="AA768" s="8"/>
      <c r="AB768" s="8"/>
      <c r="AC768" s="8"/>
      <c r="AD768" s="8"/>
      <c r="AE768" s="8"/>
      <c r="AF768" s="8"/>
      <c r="AG768" s="8"/>
      <c r="AH768" s="8"/>
      <c r="AI768" s="8"/>
      <c r="AJ768" s="8"/>
      <c r="AK768" s="8"/>
      <c r="AL768" s="8"/>
      <c r="AM768" s="8"/>
      <c r="AN768" s="8"/>
      <c r="AO768" s="8"/>
      <c r="AP768" s="8"/>
      <c r="AQ768" s="8"/>
      <c r="AR768" s="8"/>
      <c r="AS768" s="8"/>
      <c r="AT768" s="8"/>
    </row>
    <row r="769">
      <c r="A769" s="415"/>
      <c r="B769" s="210"/>
      <c r="C769" s="415"/>
      <c r="D769" s="210"/>
      <c r="E769" s="415"/>
      <c r="F769" s="210"/>
      <c r="G769" s="415"/>
      <c r="H769" s="210"/>
      <c r="I769" s="423"/>
      <c r="J769" s="156"/>
      <c r="K769" s="423"/>
      <c r="L769" s="156"/>
      <c r="M769" s="415"/>
      <c r="N769" s="210"/>
      <c r="O769" s="415"/>
      <c r="P769" s="210"/>
      <c r="Q769" s="452"/>
      <c r="R769" s="452"/>
      <c r="S769" s="415"/>
      <c r="T769" s="210"/>
      <c r="U769" s="415"/>
      <c r="V769" s="210"/>
      <c r="W769" s="415"/>
      <c r="X769" s="210"/>
      <c r="Y769" s="8"/>
      <c r="Z769" s="8"/>
      <c r="AA769" s="8"/>
      <c r="AB769" s="8"/>
      <c r="AC769" s="8"/>
      <c r="AD769" s="8"/>
      <c r="AE769" s="8"/>
      <c r="AF769" s="8"/>
      <c r="AG769" s="8"/>
      <c r="AH769" s="8"/>
      <c r="AI769" s="8"/>
      <c r="AJ769" s="8"/>
      <c r="AK769" s="8"/>
      <c r="AL769" s="8"/>
      <c r="AM769" s="8"/>
      <c r="AN769" s="8"/>
      <c r="AO769" s="8"/>
      <c r="AP769" s="8"/>
      <c r="AQ769" s="8"/>
      <c r="AR769" s="8"/>
      <c r="AS769" s="8"/>
      <c r="AT769" s="8"/>
    </row>
    <row r="770">
      <c r="A770" s="415"/>
      <c r="B770" s="210"/>
      <c r="C770" s="415"/>
      <c r="D770" s="210"/>
      <c r="E770" s="415"/>
      <c r="F770" s="210"/>
      <c r="G770" s="415"/>
      <c r="H770" s="210"/>
      <c r="I770" s="423"/>
      <c r="J770" s="156"/>
      <c r="K770" s="423"/>
      <c r="L770" s="156"/>
      <c r="M770" s="415"/>
      <c r="N770" s="210"/>
      <c r="O770" s="415"/>
      <c r="P770" s="210"/>
      <c r="Q770" s="452"/>
      <c r="R770" s="452"/>
      <c r="S770" s="415"/>
      <c r="T770" s="210"/>
      <c r="U770" s="415"/>
      <c r="V770" s="210"/>
      <c r="W770" s="415"/>
      <c r="X770" s="210"/>
      <c r="Y770" s="8"/>
      <c r="Z770" s="8"/>
      <c r="AA770" s="8"/>
      <c r="AB770" s="8"/>
      <c r="AC770" s="8"/>
      <c r="AD770" s="8"/>
      <c r="AE770" s="8"/>
      <c r="AF770" s="8"/>
      <c r="AG770" s="8"/>
      <c r="AH770" s="8"/>
      <c r="AI770" s="8"/>
      <c r="AJ770" s="8"/>
      <c r="AK770" s="8"/>
      <c r="AL770" s="8"/>
      <c r="AM770" s="8"/>
      <c r="AN770" s="8"/>
      <c r="AO770" s="8"/>
      <c r="AP770" s="8"/>
      <c r="AQ770" s="8"/>
      <c r="AR770" s="8"/>
      <c r="AS770" s="8"/>
      <c r="AT770" s="8"/>
    </row>
    <row r="771">
      <c r="A771" s="415"/>
      <c r="B771" s="210"/>
      <c r="C771" s="415"/>
      <c r="D771" s="210"/>
      <c r="E771" s="415"/>
      <c r="F771" s="210"/>
      <c r="G771" s="415"/>
      <c r="H771" s="210"/>
      <c r="I771" s="423"/>
      <c r="J771" s="156"/>
      <c r="K771" s="423"/>
      <c r="L771" s="156"/>
      <c r="M771" s="415"/>
      <c r="N771" s="210"/>
      <c r="O771" s="415"/>
      <c r="P771" s="210"/>
      <c r="Q771" s="452"/>
      <c r="R771" s="452"/>
      <c r="S771" s="415"/>
      <c r="T771" s="210"/>
      <c r="U771" s="415"/>
      <c r="V771" s="210"/>
      <c r="W771" s="415"/>
      <c r="X771" s="210"/>
      <c r="Y771" s="8"/>
      <c r="Z771" s="8"/>
      <c r="AA771" s="8"/>
      <c r="AB771" s="8"/>
      <c r="AC771" s="8"/>
      <c r="AD771" s="8"/>
      <c r="AE771" s="8"/>
      <c r="AF771" s="8"/>
      <c r="AG771" s="8"/>
      <c r="AH771" s="8"/>
      <c r="AI771" s="8"/>
      <c r="AJ771" s="8"/>
      <c r="AK771" s="8"/>
      <c r="AL771" s="8"/>
      <c r="AM771" s="8"/>
      <c r="AN771" s="8"/>
      <c r="AO771" s="8"/>
      <c r="AP771" s="8"/>
      <c r="AQ771" s="8"/>
      <c r="AR771" s="8"/>
      <c r="AS771" s="8"/>
      <c r="AT771" s="8"/>
    </row>
    <row r="772">
      <c r="A772" s="415"/>
      <c r="B772" s="210"/>
      <c r="C772" s="415"/>
      <c r="D772" s="210"/>
      <c r="E772" s="415"/>
      <c r="F772" s="210"/>
      <c r="G772" s="415"/>
      <c r="H772" s="210"/>
      <c r="I772" s="423"/>
      <c r="J772" s="156"/>
      <c r="K772" s="423"/>
      <c r="L772" s="156"/>
      <c r="M772" s="415"/>
      <c r="N772" s="210"/>
      <c r="O772" s="415"/>
      <c r="P772" s="210"/>
      <c r="Q772" s="452"/>
      <c r="R772" s="452"/>
      <c r="S772" s="415"/>
      <c r="T772" s="210"/>
      <c r="U772" s="415"/>
      <c r="V772" s="210"/>
      <c r="W772" s="415"/>
      <c r="X772" s="210"/>
      <c r="Y772" s="8"/>
      <c r="Z772" s="8"/>
      <c r="AA772" s="8"/>
      <c r="AB772" s="8"/>
      <c r="AC772" s="8"/>
      <c r="AD772" s="8"/>
      <c r="AE772" s="8"/>
      <c r="AF772" s="8"/>
      <c r="AG772" s="8"/>
      <c r="AH772" s="8"/>
      <c r="AI772" s="8"/>
      <c r="AJ772" s="8"/>
      <c r="AK772" s="8"/>
      <c r="AL772" s="8"/>
      <c r="AM772" s="8"/>
      <c r="AN772" s="8"/>
      <c r="AO772" s="8"/>
      <c r="AP772" s="8"/>
      <c r="AQ772" s="8"/>
      <c r="AR772" s="8"/>
      <c r="AS772" s="8"/>
      <c r="AT772" s="8"/>
    </row>
    <row r="773">
      <c r="A773" s="415"/>
      <c r="B773" s="210"/>
      <c r="C773" s="415"/>
      <c r="D773" s="210"/>
      <c r="E773" s="415"/>
      <c r="F773" s="210"/>
      <c r="G773" s="415"/>
      <c r="H773" s="210"/>
      <c r="I773" s="423"/>
      <c r="J773" s="156"/>
      <c r="K773" s="423"/>
      <c r="L773" s="156"/>
      <c r="M773" s="415"/>
      <c r="N773" s="210"/>
      <c r="O773" s="415"/>
      <c r="P773" s="210"/>
      <c r="Q773" s="452"/>
      <c r="R773" s="452"/>
      <c r="S773" s="415"/>
      <c r="T773" s="210"/>
      <c r="U773" s="415"/>
      <c r="V773" s="210"/>
      <c r="W773" s="415"/>
      <c r="X773" s="210"/>
      <c r="Y773" s="8"/>
      <c r="Z773" s="8"/>
      <c r="AA773" s="8"/>
      <c r="AB773" s="8"/>
      <c r="AC773" s="8"/>
      <c r="AD773" s="8"/>
      <c r="AE773" s="8"/>
      <c r="AF773" s="8"/>
      <c r="AG773" s="8"/>
      <c r="AH773" s="8"/>
      <c r="AI773" s="8"/>
      <c r="AJ773" s="8"/>
      <c r="AK773" s="8"/>
      <c r="AL773" s="8"/>
      <c r="AM773" s="8"/>
      <c r="AN773" s="8"/>
      <c r="AO773" s="8"/>
      <c r="AP773" s="8"/>
      <c r="AQ773" s="8"/>
      <c r="AR773" s="8"/>
      <c r="AS773" s="8"/>
      <c r="AT773" s="8"/>
    </row>
    <row r="774">
      <c r="A774" s="415"/>
      <c r="B774" s="210"/>
      <c r="C774" s="415"/>
      <c r="D774" s="210"/>
      <c r="E774" s="415"/>
      <c r="F774" s="210"/>
      <c r="G774" s="415"/>
      <c r="H774" s="210"/>
      <c r="I774" s="423"/>
      <c r="J774" s="156"/>
      <c r="K774" s="423"/>
      <c r="L774" s="156"/>
      <c r="M774" s="415"/>
      <c r="N774" s="210"/>
      <c r="O774" s="415"/>
      <c r="P774" s="210"/>
      <c r="Q774" s="452"/>
      <c r="R774" s="452"/>
      <c r="S774" s="415"/>
      <c r="T774" s="210"/>
      <c r="U774" s="415"/>
      <c r="V774" s="210"/>
      <c r="W774" s="415"/>
      <c r="X774" s="210"/>
      <c r="Y774" s="8"/>
      <c r="Z774" s="8"/>
      <c r="AA774" s="8"/>
      <c r="AB774" s="8"/>
      <c r="AC774" s="8"/>
      <c r="AD774" s="8"/>
      <c r="AE774" s="8"/>
      <c r="AF774" s="8"/>
      <c r="AG774" s="8"/>
      <c r="AH774" s="8"/>
      <c r="AI774" s="8"/>
      <c r="AJ774" s="8"/>
      <c r="AK774" s="8"/>
      <c r="AL774" s="8"/>
      <c r="AM774" s="8"/>
      <c r="AN774" s="8"/>
      <c r="AO774" s="8"/>
      <c r="AP774" s="8"/>
      <c r="AQ774" s="8"/>
      <c r="AR774" s="8"/>
      <c r="AS774" s="8"/>
      <c r="AT774" s="8"/>
    </row>
    <row r="775">
      <c r="A775" s="415"/>
      <c r="B775" s="210"/>
      <c r="C775" s="415"/>
      <c r="D775" s="210"/>
      <c r="E775" s="415"/>
      <c r="F775" s="210"/>
      <c r="G775" s="415"/>
      <c r="H775" s="210"/>
      <c r="I775" s="423"/>
      <c r="J775" s="156"/>
      <c r="K775" s="423"/>
      <c r="L775" s="156"/>
      <c r="M775" s="415"/>
      <c r="N775" s="210"/>
      <c r="O775" s="415"/>
      <c r="P775" s="210"/>
      <c r="Q775" s="452"/>
      <c r="R775" s="452"/>
      <c r="S775" s="415"/>
      <c r="T775" s="210"/>
      <c r="U775" s="415"/>
      <c r="V775" s="210"/>
      <c r="W775" s="415"/>
      <c r="X775" s="210"/>
      <c r="Y775" s="8"/>
      <c r="Z775" s="8"/>
      <c r="AA775" s="8"/>
      <c r="AB775" s="8"/>
      <c r="AC775" s="8"/>
      <c r="AD775" s="8"/>
      <c r="AE775" s="8"/>
      <c r="AF775" s="8"/>
      <c r="AG775" s="8"/>
      <c r="AH775" s="8"/>
      <c r="AI775" s="8"/>
      <c r="AJ775" s="8"/>
      <c r="AK775" s="8"/>
      <c r="AL775" s="8"/>
      <c r="AM775" s="8"/>
      <c r="AN775" s="8"/>
      <c r="AO775" s="8"/>
      <c r="AP775" s="8"/>
      <c r="AQ775" s="8"/>
      <c r="AR775" s="8"/>
      <c r="AS775" s="8"/>
      <c r="AT775" s="8"/>
    </row>
    <row r="776">
      <c r="A776" s="415"/>
      <c r="B776" s="210"/>
      <c r="C776" s="415"/>
      <c r="D776" s="210"/>
      <c r="E776" s="415"/>
      <c r="F776" s="210"/>
      <c r="G776" s="415"/>
      <c r="H776" s="210"/>
      <c r="I776" s="423"/>
      <c r="J776" s="156"/>
      <c r="K776" s="423"/>
      <c r="L776" s="156"/>
      <c r="M776" s="415"/>
      <c r="N776" s="210"/>
      <c r="O776" s="415"/>
      <c r="P776" s="210"/>
      <c r="Q776" s="452"/>
      <c r="R776" s="452"/>
      <c r="S776" s="415"/>
      <c r="T776" s="210"/>
      <c r="U776" s="415"/>
      <c r="V776" s="210"/>
      <c r="W776" s="415"/>
      <c r="X776" s="210"/>
      <c r="Y776" s="8"/>
      <c r="Z776" s="8"/>
      <c r="AA776" s="8"/>
      <c r="AB776" s="8"/>
      <c r="AC776" s="8"/>
      <c r="AD776" s="8"/>
      <c r="AE776" s="8"/>
      <c r="AF776" s="8"/>
      <c r="AG776" s="8"/>
      <c r="AH776" s="8"/>
      <c r="AI776" s="8"/>
      <c r="AJ776" s="8"/>
      <c r="AK776" s="8"/>
      <c r="AL776" s="8"/>
      <c r="AM776" s="8"/>
      <c r="AN776" s="8"/>
      <c r="AO776" s="8"/>
      <c r="AP776" s="8"/>
      <c r="AQ776" s="8"/>
      <c r="AR776" s="8"/>
      <c r="AS776" s="8"/>
      <c r="AT776" s="8"/>
    </row>
    <row r="777">
      <c r="A777" s="415"/>
      <c r="B777" s="210"/>
      <c r="C777" s="415"/>
      <c r="D777" s="210"/>
      <c r="E777" s="415"/>
      <c r="F777" s="210"/>
      <c r="G777" s="415"/>
      <c r="H777" s="210"/>
      <c r="I777" s="423"/>
      <c r="J777" s="156"/>
      <c r="K777" s="423"/>
      <c r="L777" s="156"/>
      <c r="M777" s="415"/>
      <c r="N777" s="210"/>
      <c r="O777" s="415"/>
      <c r="P777" s="210"/>
      <c r="Q777" s="452"/>
      <c r="R777" s="452"/>
      <c r="S777" s="415"/>
      <c r="T777" s="210"/>
      <c r="U777" s="415"/>
      <c r="V777" s="210"/>
      <c r="W777" s="415"/>
      <c r="X777" s="210"/>
      <c r="Y777" s="8"/>
      <c r="Z777" s="8"/>
      <c r="AA777" s="8"/>
      <c r="AB777" s="8"/>
      <c r="AC777" s="8"/>
      <c r="AD777" s="8"/>
      <c r="AE777" s="8"/>
      <c r="AF777" s="8"/>
      <c r="AG777" s="8"/>
      <c r="AH777" s="8"/>
      <c r="AI777" s="8"/>
      <c r="AJ777" s="8"/>
      <c r="AK777" s="8"/>
      <c r="AL777" s="8"/>
      <c r="AM777" s="8"/>
      <c r="AN777" s="8"/>
      <c r="AO777" s="8"/>
      <c r="AP777" s="8"/>
      <c r="AQ777" s="8"/>
      <c r="AR777" s="8"/>
      <c r="AS777" s="8"/>
      <c r="AT777" s="8"/>
    </row>
    <row r="778">
      <c r="A778" s="415"/>
      <c r="B778" s="210"/>
      <c r="C778" s="415"/>
      <c r="D778" s="210"/>
      <c r="E778" s="415"/>
      <c r="F778" s="210"/>
      <c r="G778" s="415"/>
      <c r="H778" s="210"/>
      <c r="I778" s="423"/>
      <c r="J778" s="156"/>
      <c r="K778" s="423"/>
      <c r="L778" s="156"/>
      <c r="M778" s="415"/>
      <c r="N778" s="210"/>
      <c r="O778" s="415"/>
      <c r="P778" s="210"/>
      <c r="Q778" s="452"/>
      <c r="R778" s="452"/>
      <c r="S778" s="415"/>
      <c r="T778" s="210"/>
      <c r="U778" s="415"/>
      <c r="V778" s="210"/>
      <c r="W778" s="415"/>
      <c r="X778" s="210"/>
      <c r="Y778" s="8"/>
      <c r="Z778" s="8"/>
      <c r="AA778" s="8"/>
      <c r="AB778" s="8"/>
      <c r="AC778" s="8"/>
      <c r="AD778" s="8"/>
      <c r="AE778" s="8"/>
      <c r="AF778" s="8"/>
      <c r="AG778" s="8"/>
      <c r="AH778" s="8"/>
      <c r="AI778" s="8"/>
      <c r="AJ778" s="8"/>
      <c r="AK778" s="8"/>
      <c r="AL778" s="8"/>
      <c r="AM778" s="8"/>
      <c r="AN778" s="8"/>
      <c r="AO778" s="8"/>
      <c r="AP778" s="8"/>
      <c r="AQ778" s="8"/>
      <c r="AR778" s="8"/>
      <c r="AS778" s="8"/>
      <c r="AT778" s="8"/>
    </row>
    <row r="779">
      <c r="A779" s="415"/>
      <c r="B779" s="210"/>
      <c r="C779" s="415"/>
      <c r="D779" s="210"/>
      <c r="E779" s="415"/>
      <c r="F779" s="210"/>
      <c r="G779" s="415"/>
      <c r="H779" s="210"/>
      <c r="I779" s="423"/>
      <c r="J779" s="156"/>
      <c r="K779" s="423"/>
      <c r="L779" s="156"/>
      <c r="M779" s="415"/>
      <c r="N779" s="210"/>
      <c r="O779" s="415"/>
      <c r="P779" s="210"/>
      <c r="Q779" s="452"/>
      <c r="R779" s="452"/>
      <c r="S779" s="415"/>
      <c r="T779" s="210"/>
      <c r="U779" s="415"/>
      <c r="V779" s="210"/>
      <c r="W779" s="415"/>
      <c r="X779" s="210"/>
      <c r="Y779" s="8"/>
      <c r="Z779" s="8"/>
      <c r="AA779" s="8"/>
      <c r="AB779" s="8"/>
      <c r="AC779" s="8"/>
      <c r="AD779" s="8"/>
      <c r="AE779" s="8"/>
      <c r="AF779" s="8"/>
      <c r="AG779" s="8"/>
      <c r="AH779" s="8"/>
      <c r="AI779" s="8"/>
      <c r="AJ779" s="8"/>
      <c r="AK779" s="8"/>
      <c r="AL779" s="8"/>
      <c r="AM779" s="8"/>
      <c r="AN779" s="8"/>
      <c r="AO779" s="8"/>
      <c r="AP779" s="8"/>
      <c r="AQ779" s="8"/>
      <c r="AR779" s="8"/>
      <c r="AS779" s="8"/>
      <c r="AT779" s="8"/>
    </row>
    <row r="780">
      <c r="A780" s="415"/>
      <c r="B780" s="210"/>
      <c r="C780" s="415"/>
      <c r="D780" s="210"/>
      <c r="E780" s="415"/>
      <c r="F780" s="210"/>
      <c r="G780" s="415"/>
      <c r="H780" s="210"/>
      <c r="I780" s="423"/>
      <c r="J780" s="156"/>
      <c r="K780" s="423"/>
      <c r="L780" s="156"/>
      <c r="M780" s="415"/>
      <c r="N780" s="210"/>
      <c r="O780" s="415"/>
      <c r="P780" s="210"/>
      <c r="Q780" s="452"/>
      <c r="R780" s="452"/>
      <c r="S780" s="415"/>
      <c r="T780" s="210"/>
      <c r="U780" s="415"/>
      <c r="V780" s="210"/>
      <c r="W780" s="415"/>
      <c r="X780" s="210"/>
      <c r="Y780" s="8"/>
      <c r="Z780" s="8"/>
      <c r="AA780" s="8"/>
      <c r="AB780" s="8"/>
      <c r="AC780" s="8"/>
      <c r="AD780" s="8"/>
      <c r="AE780" s="8"/>
      <c r="AF780" s="8"/>
      <c r="AG780" s="8"/>
      <c r="AH780" s="8"/>
      <c r="AI780" s="8"/>
      <c r="AJ780" s="8"/>
      <c r="AK780" s="8"/>
      <c r="AL780" s="8"/>
      <c r="AM780" s="8"/>
      <c r="AN780" s="8"/>
      <c r="AO780" s="8"/>
      <c r="AP780" s="8"/>
      <c r="AQ780" s="8"/>
      <c r="AR780" s="8"/>
      <c r="AS780" s="8"/>
      <c r="AT780" s="8"/>
    </row>
    <row r="781">
      <c r="A781" s="415"/>
      <c r="B781" s="210"/>
      <c r="C781" s="415"/>
      <c r="D781" s="210"/>
      <c r="E781" s="415"/>
      <c r="F781" s="210"/>
      <c r="G781" s="415"/>
      <c r="H781" s="210"/>
      <c r="I781" s="423"/>
      <c r="J781" s="156"/>
      <c r="K781" s="423"/>
      <c r="L781" s="156"/>
      <c r="M781" s="415"/>
      <c r="N781" s="210"/>
      <c r="O781" s="415"/>
      <c r="P781" s="210"/>
      <c r="Q781" s="452"/>
      <c r="R781" s="452"/>
      <c r="S781" s="415"/>
      <c r="T781" s="210"/>
      <c r="U781" s="415"/>
      <c r="V781" s="210"/>
      <c r="W781" s="415"/>
      <c r="X781" s="210"/>
      <c r="Y781" s="8"/>
      <c r="Z781" s="8"/>
      <c r="AA781" s="8"/>
      <c r="AB781" s="8"/>
      <c r="AC781" s="8"/>
      <c r="AD781" s="8"/>
      <c r="AE781" s="8"/>
      <c r="AF781" s="8"/>
      <c r="AG781" s="8"/>
      <c r="AH781" s="8"/>
      <c r="AI781" s="8"/>
      <c r="AJ781" s="8"/>
      <c r="AK781" s="8"/>
      <c r="AL781" s="8"/>
      <c r="AM781" s="8"/>
      <c r="AN781" s="8"/>
      <c r="AO781" s="8"/>
      <c r="AP781" s="8"/>
      <c r="AQ781" s="8"/>
      <c r="AR781" s="8"/>
      <c r="AS781" s="8"/>
      <c r="AT781" s="8"/>
    </row>
    <row r="782">
      <c r="A782" s="415"/>
      <c r="B782" s="210"/>
      <c r="C782" s="415"/>
      <c r="D782" s="210"/>
      <c r="E782" s="415"/>
      <c r="F782" s="210"/>
      <c r="G782" s="415"/>
      <c r="H782" s="210"/>
      <c r="I782" s="423"/>
      <c r="J782" s="156"/>
      <c r="K782" s="423"/>
      <c r="L782" s="156"/>
      <c r="M782" s="415"/>
      <c r="N782" s="210"/>
      <c r="O782" s="415"/>
      <c r="P782" s="210"/>
      <c r="Q782" s="452"/>
      <c r="R782" s="452"/>
      <c r="S782" s="415"/>
      <c r="T782" s="210"/>
      <c r="U782" s="415"/>
      <c r="V782" s="210"/>
      <c r="W782" s="415"/>
      <c r="X782" s="210"/>
      <c r="Y782" s="8"/>
      <c r="Z782" s="8"/>
      <c r="AA782" s="8"/>
      <c r="AB782" s="8"/>
      <c r="AC782" s="8"/>
      <c r="AD782" s="8"/>
      <c r="AE782" s="8"/>
      <c r="AF782" s="8"/>
      <c r="AG782" s="8"/>
      <c r="AH782" s="8"/>
      <c r="AI782" s="8"/>
      <c r="AJ782" s="8"/>
      <c r="AK782" s="8"/>
      <c r="AL782" s="8"/>
      <c r="AM782" s="8"/>
      <c r="AN782" s="8"/>
      <c r="AO782" s="8"/>
      <c r="AP782" s="8"/>
      <c r="AQ782" s="8"/>
      <c r="AR782" s="8"/>
      <c r="AS782" s="8"/>
      <c r="AT782" s="8"/>
    </row>
    <row r="783">
      <c r="A783" s="415"/>
      <c r="B783" s="210"/>
      <c r="C783" s="415"/>
      <c r="D783" s="210"/>
      <c r="E783" s="415"/>
      <c r="F783" s="210"/>
      <c r="G783" s="415"/>
      <c r="H783" s="210"/>
      <c r="I783" s="423"/>
      <c r="J783" s="156"/>
      <c r="K783" s="423"/>
      <c r="L783" s="156"/>
      <c r="M783" s="415"/>
      <c r="N783" s="210"/>
      <c r="O783" s="415"/>
      <c r="P783" s="210"/>
      <c r="Q783" s="452"/>
      <c r="R783" s="452"/>
      <c r="S783" s="415"/>
      <c r="T783" s="210"/>
      <c r="U783" s="415"/>
      <c r="V783" s="210"/>
      <c r="W783" s="415"/>
      <c r="X783" s="210"/>
      <c r="Y783" s="8"/>
      <c r="Z783" s="8"/>
      <c r="AA783" s="8"/>
      <c r="AB783" s="8"/>
      <c r="AC783" s="8"/>
      <c r="AD783" s="8"/>
      <c r="AE783" s="8"/>
      <c r="AF783" s="8"/>
      <c r="AG783" s="8"/>
      <c r="AH783" s="8"/>
      <c r="AI783" s="8"/>
      <c r="AJ783" s="8"/>
      <c r="AK783" s="8"/>
      <c r="AL783" s="8"/>
      <c r="AM783" s="8"/>
      <c r="AN783" s="8"/>
      <c r="AO783" s="8"/>
      <c r="AP783" s="8"/>
      <c r="AQ783" s="8"/>
      <c r="AR783" s="8"/>
      <c r="AS783" s="8"/>
      <c r="AT783" s="8"/>
    </row>
    <row r="784">
      <c r="A784" s="415"/>
      <c r="B784" s="210"/>
      <c r="C784" s="415"/>
      <c r="D784" s="210"/>
      <c r="E784" s="415"/>
      <c r="F784" s="210"/>
      <c r="G784" s="415"/>
      <c r="H784" s="210"/>
      <c r="I784" s="423"/>
      <c r="J784" s="156"/>
      <c r="K784" s="423"/>
      <c r="L784" s="156"/>
      <c r="M784" s="415"/>
      <c r="N784" s="210"/>
      <c r="O784" s="415"/>
      <c r="P784" s="210"/>
      <c r="Q784" s="452"/>
      <c r="R784" s="452"/>
      <c r="S784" s="415"/>
      <c r="T784" s="210"/>
      <c r="U784" s="415"/>
      <c r="V784" s="210"/>
      <c r="W784" s="415"/>
      <c r="X784" s="210"/>
      <c r="Y784" s="8"/>
      <c r="Z784" s="8"/>
      <c r="AA784" s="8"/>
      <c r="AB784" s="8"/>
      <c r="AC784" s="8"/>
      <c r="AD784" s="8"/>
      <c r="AE784" s="8"/>
      <c r="AF784" s="8"/>
      <c r="AG784" s="8"/>
      <c r="AH784" s="8"/>
      <c r="AI784" s="8"/>
      <c r="AJ784" s="8"/>
      <c r="AK784" s="8"/>
      <c r="AL784" s="8"/>
      <c r="AM784" s="8"/>
      <c r="AN784" s="8"/>
      <c r="AO784" s="8"/>
      <c r="AP784" s="8"/>
      <c r="AQ784" s="8"/>
      <c r="AR784" s="8"/>
      <c r="AS784" s="8"/>
      <c r="AT784" s="8"/>
    </row>
    <row r="785">
      <c r="A785" s="415"/>
      <c r="B785" s="210"/>
      <c r="C785" s="415"/>
      <c r="D785" s="210"/>
      <c r="E785" s="415"/>
      <c r="F785" s="210"/>
      <c r="G785" s="415"/>
      <c r="H785" s="210"/>
      <c r="I785" s="423"/>
      <c r="J785" s="156"/>
      <c r="K785" s="423"/>
      <c r="L785" s="156"/>
      <c r="M785" s="415"/>
      <c r="N785" s="210"/>
      <c r="O785" s="415"/>
      <c r="P785" s="210"/>
      <c r="Q785" s="452"/>
      <c r="R785" s="452"/>
      <c r="S785" s="415"/>
      <c r="T785" s="210"/>
      <c r="U785" s="415"/>
      <c r="V785" s="210"/>
      <c r="W785" s="415"/>
      <c r="X785" s="210"/>
      <c r="Y785" s="8"/>
      <c r="Z785" s="8"/>
      <c r="AA785" s="8"/>
      <c r="AB785" s="8"/>
      <c r="AC785" s="8"/>
      <c r="AD785" s="8"/>
      <c r="AE785" s="8"/>
      <c r="AF785" s="8"/>
      <c r="AG785" s="8"/>
      <c r="AH785" s="8"/>
      <c r="AI785" s="8"/>
      <c r="AJ785" s="8"/>
      <c r="AK785" s="8"/>
      <c r="AL785" s="8"/>
      <c r="AM785" s="8"/>
      <c r="AN785" s="8"/>
      <c r="AO785" s="8"/>
      <c r="AP785" s="8"/>
      <c r="AQ785" s="8"/>
      <c r="AR785" s="8"/>
      <c r="AS785" s="8"/>
      <c r="AT785" s="8"/>
    </row>
    <row r="786">
      <c r="A786" s="415"/>
      <c r="B786" s="210"/>
      <c r="C786" s="415"/>
      <c r="D786" s="210"/>
      <c r="E786" s="415"/>
      <c r="F786" s="210"/>
      <c r="G786" s="415"/>
      <c r="H786" s="210"/>
      <c r="I786" s="423"/>
      <c r="J786" s="156"/>
      <c r="K786" s="423"/>
      <c r="L786" s="156"/>
      <c r="M786" s="415"/>
      <c r="N786" s="210"/>
      <c r="O786" s="415"/>
      <c r="P786" s="210"/>
      <c r="Q786" s="452"/>
      <c r="R786" s="452"/>
      <c r="S786" s="415"/>
      <c r="T786" s="210"/>
      <c r="U786" s="415"/>
      <c r="V786" s="210"/>
      <c r="W786" s="415"/>
      <c r="X786" s="210"/>
      <c r="Y786" s="8"/>
      <c r="Z786" s="8"/>
      <c r="AA786" s="8"/>
      <c r="AB786" s="8"/>
      <c r="AC786" s="8"/>
      <c r="AD786" s="8"/>
      <c r="AE786" s="8"/>
      <c r="AF786" s="8"/>
      <c r="AG786" s="8"/>
      <c r="AH786" s="8"/>
      <c r="AI786" s="8"/>
      <c r="AJ786" s="8"/>
      <c r="AK786" s="8"/>
      <c r="AL786" s="8"/>
      <c r="AM786" s="8"/>
      <c r="AN786" s="8"/>
      <c r="AO786" s="8"/>
      <c r="AP786" s="8"/>
      <c r="AQ786" s="8"/>
      <c r="AR786" s="8"/>
      <c r="AS786" s="8"/>
      <c r="AT786" s="8"/>
    </row>
    <row r="787">
      <c r="A787" s="415"/>
      <c r="B787" s="210"/>
      <c r="C787" s="415"/>
      <c r="D787" s="210"/>
      <c r="E787" s="415"/>
      <c r="F787" s="210"/>
      <c r="G787" s="415"/>
      <c r="H787" s="210"/>
      <c r="I787" s="423"/>
      <c r="J787" s="156"/>
      <c r="K787" s="423"/>
      <c r="L787" s="156"/>
      <c r="M787" s="415"/>
      <c r="N787" s="210"/>
      <c r="O787" s="415"/>
      <c r="P787" s="210"/>
      <c r="Q787" s="452"/>
      <c r="R787" s="452"/>
      <c r="S787" s="415"/>
      <c r="T787" s="210"/>
      <c r="U787" s="415"/>
      <c r="V787" s="210"/>
      <c r="W787" s="415"/>
      <c r="X787" s="210"/>
      <c r="Y787" s="8"/>
      <c r="Z787" s="8"/>
      <c r="AA787" s="8"/>
      <c r="AB787" s="8"/>
      <c r="AC787" s="8"/>
      <c r="AD787" s="8"/>
      <c r="AE787" s="8"/>
      <c r="AF787" s="8"/>
      <c r="AG787" s="8"/>
      <c r="AH787" s="8"/>
      <c r="AI787" s="8"/>
      <c r="AJ787" s="8"/>
      <c r="AK787" s="8"/>
      <c r="AL787" s="8"/>
      <c r="AM787" s="8"/>
      <c r="AN787" s="8"/>
      <c r="AO787" s="8"/>
      <c r="AP787" s="8"/>
      <c r="AQ787" s="8"/>
      <c r="AR787" s="8"/>
      <c r="AS787" s="8"/>
      <c r="AT787" s="8"/>
    </row>
    <row r="788">
      <c r="A788" s="415"/>
      <c r="B788" s="210"/>
      <c r="C788" s="415"/>
      <c r="D788" s="210"/>
      <c r="E788" s="415"/>
      <c r="F788" s="210"/>
      <c r="G788" s="415"/>
      <c r="H788" s="210"/>
      <c r="I788" s="423"/>
      <c r="J788" s="156"/>
      <c r="K788" s="423"/>
      <c r="L788" s="156"/>
      <c r="M788" s="415"/>
      <c r="N788" s="210"/>
      <c r="O788" s="415"/>
      <c r="P788" s="210"/>
      <c r="Q788" s="452"/>
      <c r="R788" s="452"/>
      <c r="S788" s="415"/>
      <c r="T788" s="210"/>
      <c r="U788" s="415"/>
      <c r="V788" s="210"/>
      <c r="W788" s="415"/>
      <c r="X788" s="210"/>
      <c r="Y788" s="8"/>
      <c r="Z788" s="8"/>
      <c r="AA788" s="8"/>
      <c r="AB788" s="8"/>
      <c r="AC788" s="8"/>
      <c r="AD788" s="8"/>
      <c r="AE788" s="8"/>
      <c r="AF788" s="8"/>
      <c r="AG788" s="8"/>
      <c r="AH788" s="8"/>
      <c r="AI788" s="8"/>
      <c r="AJ788" s="8"/>
      <c r="AK788" s="8"/>
      <c r="AL788" s="8"/>
      <c r="AM788" s="8"/>
      <c r="AN788" s="8"/>
      <c r="AO788" s="8"/>
      <c r="AP788" s="8"/>
      <c r="AQ788" s="8"/>
      <c r="AR788" s="8"/>
      <c r="AS788" s="8"/>
      <c r="AT788" s="8"/>
    </row>
    <row r="789">
      <c r="A789" s="415"/>
      <c r="B789" s="210"/>
      <c r="C789" s="415"/>
      <c r="D789" s="210"/>
      <c r="E789" s="415"/>
      <c r="F789" s="210"/>
      <c r="G789" s="415"/>
      <c r="H789" s="210"/>
      <c r="I789" s="423"/>
      <c r="J789" s="156"/>
      <c r="K789" s="423"/>
      <c r="L789" s="156"/>
      <c r="M789" s="415"/>
      <c r="N789" s="210"/>
      <c r="O789" s="415"/>
      <c r="P789" s="210"/>
      <c r="Q789" s="452"/>
      <c r="R789" s="452"/>
      <c r="S789" s="415"/>
      <c r="T789" s="210"/>
      <c r="U789" s="415"/>
      <c r="V789" s="210"/>
      <c r="W789" s="415"/>
      <c r="X789" s="210"/>
      <c r="Y789" s="8"/>
      <c r="Z789" s="8"/>
      <c r="AA789" s="8"/>
      <c r="AB789" s="8"/>
      <c r="AC789" s="8"/>
      <c r="AD789" s="8"/>
      <c r="AE789" s="8"/>
      <c r="AF789" s="8"/>
      <c r="AG789" s="8"/>
      <c r="AH789" s="8"/>
      <c r="AI789" s="8"/>
      <c r="AJ789" s="8"/>
      <c r="AK789" s="8"/>
      <c r="AL789" s="8"/>
      <c r="AM789" s="8"/>
      <c r="AN789" s="8"/>
      <c r="AO789" s="8"/>
      <c r="AP789" s="8"/>
      <c r="AQ789" s="8"/>
      <c r="AR789" s="8"/>
      <c r="AS789" s="8"/>
      <c r="AT789" s="8"/>
    </row>
    <row r="790">
      <c r="A790" s="415"/>
      <c r="B790" s="210"/>
      <c r="C790" s="415"/>
      <c r="D790" s="210"/>
      <c r="E790" s="415"/>
      <c r="F790" s="210"/>
      <c r="G790" s="415"/>
      <c r="H790" s="210"/>
      <c r="I790" s="423"/>
      <c r="J790" s="156"/>
      <c r="K790" s="423"/>
      <c r="L790" s="156"/>
      <c r="M790" s="415"/>
      <c r="N790" s="210"/>
      <c r="O790" s="415"/>
      <c r="P790" s="210"/>
      <c r="Q790" s="452"/>
      <c r="R790" s="452"/>
      <c r="S790" s="415"/>
      <c r="T790" s="210"/>
      <c r="U790" s="415"/>
      <c r="V790" s="210"/>
      <c r="W790" s="415"/>
      <c r="X790" s="210"/>
      <c r="Y790" s="8"/>
      <c r="Z790" s="8"/>
      <c r="AA790" s="8"/>
      <c r="AB790" s="8"/>
      <c r="AC790" s="8"/>
      <c r="AD790" s="8"/>
      <c r="AE790" s="8"/>
      <c r="AF790" s="8"/>
      <c r="AG790" s="8"/>
      <c r="AH790" s="8"/>
      <c r="AI790" s="8"/>
      <c r="AJ790" s="8"/>
      <c r="AK790" s="8"/>
      <c r="AL790" s="8"/>
      <c r="AM790" s="8"/>
      <c r="AN790" s="8"/>
      <c r="AO790" s="8"/>
      <c r="AP790" s="8"/>
      <c r="AQ790" s="8"/>
      <c r="AR790" s="8"/>
      <c r="AS790" s="8"/>
      <c r="AT790" s="8"/>
    </row>
    <row r="791">
      <c r="A791" s="415"/>
      <c r="B791" s="210"/>
      <c r="C791" s="415"/>
      <c r="D791" s="210"/>
      <c r="E791" s="415"/>
      <c r="F791" s="210"/>
      <c r="G791" s="415"/>
      <c r="H791" s="210"/>
      <c r="I791" s="423"/>
      <c r="J791" s="156"/>
      <c r="K791" s="423"/>
      <c r="L791" s="156"/>
      <c r="M791" s="415"/>
      <c r="N791" s="210"/>
      <c r="O791" s="415"/>
      <c r="P791" s="210"/>
      <c r="Q791" s="452"/>
      <c r="R791" s="452"/>
      <c r="S791" s="415"/>
      <c r="T791" s="210"/>
      <c r="U791" s="415"/>
      <c r="V791" s="210"/>
      <c r="W791" s="415"/>
      <c r="X791" s="210"/>
      <c r="Y791" s="8"/>
      <c r="Z791" s="8"/>
      <c r="AA791" s="8"/>
      <c r="AB791" s="8"/>
      <c r="AC791" s="8"/>
      <c r="AD791" s="8"/>
      <c r="AE791" s="8"/>
      <c r="AF791" s="8"/>
      <c r="AG791" s="8"/>
      <c r="AH791" s="8"/>
      <c r="AI791" s="8"/>
      <c r="AJ791" s="8"/>
      <c r="AK791" s="8"/>
      <c r="AL791" s="8"/>
      <c r="AM791" s="8"/>
      <c r="AN791" s="8"/>
      <c r="AO791" s="8"/>
      <c r="AP791" s="8"/>
      <c r="AQ791" s="8"/>
      <c r="AR791" s="8"/>
      <c r="AS791" s="8"/>
      <c r="AT791" s="8"/>
    </row>
    <row r="792">
      <c r="A792" s="415"/>
      <c r="B792" s="210"/>
      <c r="C792" s="415"/>
      <c r="D792" s="210"/>
      <c r="E792" s="415"/>
      <c r="F792" s="210"/>
      <c r="G792" s="415"/>
      <c r="H792" s="210"/>
      <c r="I792" s="423"/>
      <c r="J792" s="156"/>
      <c r="K792" s="423"/>
      <c r="L792" s="156"/>
      <c r="M792" s="415"/>
      <c r="N792" s="210"/>
      <c r="O792" s="415"/>
      <c r="P792" s="210"/>
      <c r="Q792" s="452"/>
      <c r="R792" s="452"/>
      <c r="S792" s="415"/>
      <c r="T792" s="210"/>
      <c r="U792" s="415"/>
      <c r="V792" s="210"/>
      <c r="W792" s="415"/>
      <c r="X792" s="210"/>
      <c r="Y792" s="8"/>
      <c r="Z792" s="8"/>
      <c r="AA792" s="8"/>
      <c r="AB792" s="8"/>
      <c r="AC792" s="8"/>
      <c r="AD792" s="8"/>
      <c r="AE792" s="8"/>
      <c r="AF792" s="8"/>
      <c r="AG792" s="8"/>
      <c r="AH792" s="8"/>
      <c r="AI792" s="8"/>
      <c r="AJ792" s="8"/>
      <c r="AK792" s="8"/>
      <c r="AL792" s="8"/>
      <c r="AM792" s="8"/>
      <c r="AN792" s="8"/>
      <c r="AO792" s="8"/>
      <c r="AP792" s="8"/>
      <c r="AQ792" s="8"/>
      <c r="AR792" s="8"/>
      <c r="AS792" s="8"/>
      <c r="AT792" s="8"/>
    </row>
    <row r="793">
      <c r="A793" s="415"/>
      <c r="B793" s="210"/>
      <c r="C793" s="415"/>
      <c r="D793" s="210"/>
      <c r="E793" s="415"/>
      <c r="F793" s="210"/>
      <c r="G793" s="415"/>
      <c r="H793" s="210"/>
      <c r="I793" s="423"/>
      <c r="J793" s="156"/>
      <c r="K793" s="423"/>
      <c r="L793" s="156"/>
      <c r="M793" s="415"/>
      <c r="N793" s="210"/>
      <c r="O793" s="415"/>
      <c r="P793" s="210"/>
      <c r="Q793" s="452"/>
      <c r="R793" s="452"/>
      <c r="S793" s="415"/>
      <c r="T793" s="210"/>
      <c r="U793" s="415"/>
      <c r="V793" s="210"/>
      <c r="W793" s="415"/>
      <c r="X793" s="210"/>
      <c r="Y793" s="8"/>
      <c r="Z793" s="8"/>
      <c r="AA793" s="8"/>
      <c r="AB793" s="8"/>
      <c r="AC793" s="8"/>
      <c r="AD793" s="8"/>
      <c r="AE793" s="8"/>
      <c r="AF793" s="8"/>
      <c r="AG793" s="8"/>
      <c r="AH793" s="8"/>
      <c r="AI793" s="8"/>
      <c r="AJ793" s="8"/>
      <c r="AK793" s="8"/>
      <c r="AL793" s="8"/>
      <c r="AM793" s="8"/>
      <c r="AN793" s="8"/>
      <c r="AO793" s="8"/>
      <c r="AP793" s="8"/>
      <c r="AQ793" s="8"/>
      <c r="AR793" s="8"/>
      <c r="AS793" s="8"/>
      <c r="AT793" s="8"/>
    </row>
    <row r="794">
      <c r="A794" s="415"/>
      <c r="B794" s="210"/>
      <c r="C794" s="415"/>
      <c r="D794" s="210"/>
      <c r="E794" s="415"/>
      <c r="F794" s="210"/>
      <c r="G794" s="415"/>
      <c r="H794" s="210"/>
      <c r="I794" s="423"/>
      <c r="J794" s="156"/>
      <c r="K794" s="423"/>
      <c r="L794" s="156"/>
      <c r="M794" s="415"/>
      <c r="N794" s="210"/>
      <c r="O794" s="415"/>
      <c r="P794" s="210"/>
      <c r="Q794" s="452"/>
      <c r="R794" s="452"/>
      <c r="S794" s="415"/>
      <c r="T794" s="210"/>
      <c r="U794" s="415"/>
      <c r="V794" s="210"/>
      <c r="W794" s="415"/>
      <c r="X794" s="210"/>
      <c r="Y794" s="8"/>
      <c r="Z794" s="8"/>
      <c r="AA794" s="8"/>
      <c r="AB794" s="8"/>
      <c r="AC794" s="8"/>
      <c r="AD794" s="8"/>
      <c r="AE794" s="8"/>
      <c r="AF794" s="8"/>
      <c r="AG794" s="8"/>
      <c r="AH794" s="8"/>
      <c r="AI794" s="8"/>
      <c r="AJ794" s="8"/>
      <c r="AK794" s="8"/>
      <c r="AL794" s="8"/>
      <c r="AM794" s="8"/>
      <c r="AN794" s="8"/>
      <c r="AO794" s="8"/>
      <c r="AP794" s="8"/>
      <c r="AQ794" s="8"/>
      <c r="AR794" s="8"/>
      <c r="AS794" s="8"/>
      <c r="AT794" s="8"/>
    </row>
    <row r="795">
      <c r="A795" s="415"/>
      <c r="B795" s="210"/>
      <c r="C795" s="415"/>
      <c r="D795" s="210"/>
      <c r="E795" s="415"/>
      <c r="F795" s="210"/>
      <c r="G795" s="415"/>
      <c r="H795" s="210"/>
      <c r="I795" s="423"/>
      <c r="J795" s="156"/>
      <c r="K795" s="423"/>
      <c r="L795" s="156"/>
      <c r="M795" s="415"/>
      <c r="N795" s="210"/>
      <c r="O795" s="415"/>
      <c r="P795" s="210"/>
      <c r="Q795" s="452"/>
      <c r="R795" s="452"/>
      <c r="S795" s="415"/>
      <c r="T795" s="210"/>
      <c r="U795" s="415"/>
      <c r="V795" s="210"/>
      <c r="W795" s="415"/>
      <c r="X795" s="210"/>
      <c r="Y795" s="8"/>
      <c r="Z795" s="8"/>
      <c r="AA795" s="8"/>
      <c r="AB795" s="8"/>
      <c r="AC795" s="8"/>
      <c r="AD795" s="8"/>
      <c r="AE795" s="8"/>
      <c r="AF795" s="8"/>
      <c r="AG795" s="8"/>
      <c r="AH795" s="8"/>
      <c r="AI795" s="8"/>
      <c r="AJ795" s="8"/>
      <c r="AK795" s="8"/>
      <c r="AL795" s="8"/>
      <c r="AM795" s="8"/>
      <c r="AN795" s="8"/>
      <c r="AO795" s="8"/>
      <c r="AP795" s="8"/>
      <c r="AQ795" s="8"/>
      <c r="AR795" s="8"/>
      <c r="AS795" s="8"/>
      <c r="AT795" s="8"/>
    </row>
    <row r="796">
      <c r="A796" s="415"/>
      <c r="B796" s="210"/>
      <c r="C796" s="415"/>
      <c r="D796" s="210"/>
      <c r="E796" s="415"/>
      <c r="F796" s="210"/>
      <c r="G796" s="415"/>
      <c r="H796" s="210"/>
      <c r="I796" s="423"/>
      <c r="J796" s="156"/>
      <c r="K796" s="423"/>
      <c r="L796" s="156"/>
      <c r="M796" s="415"/>
      <c r="N796" s="210"/>
      <c r="O796" s="415"/>
      <c r="P796" s="210"/>
      <c r="Q796" s="452"/>
      <c r="R796" s="452"/>
      <c r="S796" s="415"/>
      <c r="T796" s="210"/>
      <c r="U796" s="415"/>
      <c r="V796" s="210"/>
      <c r="W796" s="415"/>
      <c r="X796" s="210"/>
      <c r="Y796" s="8"/>
      <c r="Z796" s="8"/>
      <c r="AA796" s="8"/>
      <c r="AB796" s="8"/>
      <c r="AC796" s="8"/>
      <c r="AD796" s="8"/>
      <c r="AE796" s="8"/>
      <c r="AF796" s="8"/>
      <c r="AG796" s="8"/>
      <c r="AH796" s="8"/>
      <c r="AI796" s="8"/>
      <c r="AJ796" s="8"/>
      <c r="AK796" s="8"/>
      <c r="AL796" s="8"/>
      <c r="AM796" s="8"/>
      <c r="AN796" s="8"/>
      <c r="AO796" s="8"/>
      <c r="AP796" s="8"/>
      <c r="AQ796" s="8"/>
      <c r="AR796" s="8"/>
      <c r="AS796" s="8"/>
      <c r="AT796" s="8"/>
    </row>
    <row r="797">
      <c r="A797" s="415"/>
      <c r="B797" s="210"/>
      <c r="C797" s="415"/>
      <c r="D797" s="210"/>
      <c r="E797" s="415"/>
      <c r="F797" s="210"/>
      <c r="G797" s="415"/>
      <c r="H797" s="210"/>
      <c r="I797" s="423"/>
      <c r="J797" s="156"/>
      <c r="K797" s="423"/>
      <c r="L797" s="156"/>
      <c r="M797" s="415"/>
      <c r="N797" s="210"/>
      <c r="O797" s="415"/>
      <c r="P797" s="210"/>
      <c r="Q797" s="452"/>
      <c r="R797" s="452"/>
      <c r="S797" s="415"/>
      <c r="T797" s="210"/>
      <c r="U797" s="415"/>
      <c r="V797" s="210"/>
      <c r="W797" s="415"/>
      <c r="X797" s="210"/>
      <c r="Y797" s="8"/>
      <c r="Z797" s="8"/>
      <c r="AA797" s="8"/>
      <c r="AB797" s="8"/>
      <c r="AC797" s="8"/>
      <c r="AD797" s="8"/>
      <c r="AE797" s="8"/>
      <c r="AF797" s="8"/>
      <c r="AG797" s="8"/>
      <c r="AH797" s="8"/>
      <c r="AI797" s="8"/>
      <c r="AJ797" s="8"/>
      <c r="AK797" s="8"/>
      <c r="AL797" s="8"/>
      <c r="AM797" s="8"/>
      <c r="AN797" s="8"/>
      <c r="AO797" s="8"/>
      <c r="AP797" s="8"/>
      <c r="AQ797" s="8"/>
      <c r="AR797" s="8"/>
      <c r="AS797" s="8"/>
      <c r="AT797" s="8"/>
    </row>
    <row r="798">
      <c r="A798" s="415"/>
      <c r="B798" s="210"/>
      <c r="C798" s="415"/>
      <c r="D798" s="210"/>
      <c r="E798" s="415"/>
      <c r="F798" s="210"/>
      <c r="G798" s="415"/>
      <c r="H798" s="210"/>
      <c r="I798" s="423"/>
      <c r="J798" s="156"/>
      <c r="K798" s="423"/>
      <c r="L798" s="156"/>
      <c r="M798" s="415"/>
      <c r="N798" s="210"/>
      <c r="O798" s="415"/>
      <c r="P798" s="210"/>
      <c r="Q798" s="452"/>
      <c r="R798" s="452"/>
      <c r="S798" s="415"/>
      <c r="T798" s="210"/>
      <c r="U798" s="415"/>
      <c r="V798" s="210"/>
      <c r="W798" s="415"/>
      <c r="X798" s="210"/>
      <c r="Y798" s="8"/>
      <c r="Z798" s="8"/>
      <c r="AA798" s="8"/>
      <c r="AB798" s="8"/>
      <c r="AC798" s="8"/>
      <c r="AD798" s="8"/>
      <c r="AE798" s="8"/>
      <c r="AF798" s="8"/>
      <c r="AG798" s="8"/>
      <c r="AH798" s="8"/>
      <c r="AI798" s="8"/>
      <c r="AJ798" s="8"/>
      <c r="AK798" s="8"/>
      <c r="AL798" s="8"/>
      <c r="AM798" s="8"/>
      <c r="AN798" s="8"/>
      <c r="AO798" s="8"/>
      <c r="AP798" s="8"/>
      <c r="AQ798" s="8"/>
      <c r="AR798" s="8"/>
      <c r="AS798" s="8"/>
      <c r="AT798" s="8"/>
    </row>
    <row r="799">
      <c r="A799" s="415"/>
      <c r="B799" s="210"/>
      <c r="C799" s="415"/>
      <c r="D799" s="210"/>
      <c r="E799" s="415"/>
      <c r="F799" s="210"/>
      <c r="G799" s="415"/>
      <c r="H799" s="210"/>
      <c r="I799" s="423"/>
      <c r="J799" s="156"/>
      <c r="K799" s="423"/>
      <c r="L799" s="156"/>
      <c r="M799" s="415"/>
      <c r="N799" s="210"/>
      <c r="O799" s="415"/>
      <c r="P799" s="210"/>
      <c r="Q799" s="452"/>
      <c r="R799" s="452"/>
      <c r="S799" s="415"/>
      <c r="T799" s="210"/>
      <c r="U799" s="415"/>
      <c r="V799" s="210"/>
      <c r="W799" s="415"/>
      <c r="X799" s="210"/>
      <c r="Y799" s="8"/>
      <c r="Z799" s="8"/>
      <c r="AA799" s="8"/>
      <c r="AB799" s="8"/>
      <c r="AC799" s="8"/>
      <c r="AD799" s="8"/>
      <c r="AE799" s="8"/>
      <c r="AF799" s="8"/>
      <c r="AG799" s="8"/>
      <c r="AH799" s="8"/>
      <c r="AI799" s="8"/>
      <c r="AJ799" s="8"/>
      <c r="AK799" s="8"/>
      <c r="AL799" s="8"/>
      <c r="AM799" s="8"/>
      <c r="AN799" s="8"/>
      <c r="AO799" s="8"/>
      <c r="AP799" s="8"/>
      <c r="AQ799" s="8"/>
      <c r="AR799" s="8"/>
      <c r="AS799" s="8"/>
      <c r="AT799" s="8"/>
    </row>
    <row r="800">
      <c r="A800" s="415"/>
      <c r="B800" s="210"/>
      <c r="C800" s="415"/>
      <c r="D800" s="210"/>
      <c r="E800" s="415"/>
      <c r="F800" s="210"/>
      <c r="G800" s="415"/>
      <c r="H800" s="210"/>
      <c r="I800" s="423"/>
      <c r="J800" s="156"/>
      <c r="K800" s="423"/>
      <c r="L800" s="156"/>
      <c r="M800" s="415"/>
      <c r="N800" s="210"/>
      <c r="O800" s="415"/>
      <c r="P800" s="210"/>
      <c r="Q800" s="452"/>
      <c r="R800" s="452"/>
      <c r="S800" s="415"/>
      <c r="T800" s="210"/>
      <c r="U800" s="415"/>
      <c r="V800" s="210"/>
      <c r="W800" s="415"/>
      <c r="X800" s="210"/>
      <c r="Y800" s="8"/>
      <c r="Z800" s="8"/>
      <c r="AA800" s="8"/>
      <c r="AB800" s="8"/>
      <c r="AC800" s="8"/>
      <c r="AD800" s="8"/>
      <c r="AE800" s="8"/>
      <c r="AF800" s="8"/>
      <c r="AG800" s="8"/>
      <c r="AH800" s="8"/>
      <c r="AI800" s="8"/>
      <c r="AJ800" s="8"/>
      <c r="AK800" s="8"/>
      <c r="AL800" s="8"/>
      <c r="AM800" s="8"/>
      <c r="AN800" s="8"/>
      <c r="AO800" s="8"/>
      <c r="AP800" s="8"/>
      <c r="AQ800" s="8"/>
      <c r="AR800" s="8"/>
      <c r="AS800" s="8"/>
      <c r="AT800" s="8"/>
    </row>
    <row r="801">
      <c r="A801" s="415"/>
      <c r="B801" s="210"/>
      <c r="C801" s="415"/>
      <c r="D801" s="210"/>
      <c r="E801" s="415"/>
      <c r="F801" s="210"/>
      <c r="G801" s="415"/>
      <c r="H801" s="210"/>
      <c r="I801" s="423"/>
      <c r="J801" s="156"/>
      <c r="K801" s="423"/>
      <c r="L801" s="156"/>
      <c r="M801" s="415"/>
      <c r="N801" s="210"/>
      <c r="O801" s="415"/>
      <c r="P801" s="210"/>
      <c r="Q801" s="452"/>
      <c r="R801" s="452"/>
      <c r="S801" s="415"/>
      <c r="T801" s="210"/>
      <c r="U801" s="415"/>
      <c r="V801" s="210"/>
      <c r="W801" s="415"/>
      <c r="X801" s="210"/>
      <c r="Y801" s="8"/>
      <c r="Z801" s="8"/>
      <c r="AA801" s="8"/>
      <c r="AB801" s="8"/>
      <c r="AC801" s="8"/>
      <c r="AD801" s="8"/>
      <c r="AE801" s="8"/>
      <c r="AF801" s="8"/>
      <c r="AG801" s="8"/>
      <c r="AH801" s="8"/>
      <c r="AI801" s="8"/>
      <c r="AJ801" s="8"/>
      <c r="AK801" s="8"/>
      <c r="AL801" s="8"/>
      <c r="AM801" s="8"/>
      <c r="AN801" s="8"/>
      <c r="AO801" s="8"/>
      <c r="AP801" s="8"/>
      <c r="AQ801" s="8"/>
      <c r="AR801" s="8"/>
      <c r="AS801" s="8"/>
      <c r="AT801" s="8"/>
    </row>
    <row r="802">
      <c r="A802" s="415"/>
      <c r="B802" s="210"/>
      <c r="C802" s="415"/>
      <c r="D802" s="210"/>
      <c r="E802" s="415"/>
      <c r="F802" s="210"/>
      <c r="G802" s="415"/>
      <c r="H802" s="210"/>
      <c r="I802" s="423"/>
      <c r="J802" s="156"/>
      <c r="K802" s="423"/>
      <c r="L802" s="156"/>
      <c r="M802" s="415"/>
      <c r="N802" s="210"/>
      <c r="O802" s="415"/>
      <c r="P802" s="210"/>
      <c r="Q802" s="452"/>
      <c r="R802" s="452"/>
      <c r="S802" s="415"/>
      <c r="T802" s="210"/>
      <c r="U802" s="415"/>
      <c r="V802" s="210"/>
      <c r="W802" s="415"/>
      <c r="X802" s="210"/>
      <c r="Y802" s="8"/>
      <c r="Z802" s="8"/>
      <c r="AA802" s="8"/>
      <c r="AB802" s="8"/>
      <c r="AC802" s="8"/>
      <c r="AD802" s="8"/>
      <c r="AE802" s="8"/>
      <c r="AF802" s="8"/>
      <c r="AG802" s="8"/>
      <c r="AH802" s="8"/>
      <c r="AI802" s="8"/>
      <c r="AJ802" s="8"/>
      <c r="AK802" s="8"/>
      <c r="AL802" s="8"/>
      <c r="AM802" s="8"/>
      <c r="AN802" s="8"/>
      <c r="AO802" s="8"/>
      <c r="AP802" s="8"/>
      <c r="AQ802" s="8"/>
      <c r="AR802" s="8"/>
      <c r="AS802" s="8"/>
      <c r="AT802" s="8"/>
    </row>
    <row r="803">
      <c r="A803" s="415"/>
      <c r="B803" s="210"/>
      <c r="C803" s="415"/>
      <c r="D803" s="210"/>
      <c r="E803" s="415"/>
      <c r="F803" s="210"/>
      <c r="G803" s="415"/>
      <c r="H803" s="210"/>
      <c r="I803" s="423"/>
      <c r="J803" s="156"/>
      <c r="K803" s="423"/>
      <c r="L803" s="156"/>
      <c r="M803" s="415"/>
      <c r="N803" s="210"/>
      <c r="O803" s="415"/>
      <c r="P803" s="210"/>
      <c r="Q803" s="452"/>
      <c r="R803" s="452"/>
      <c r="S803" s="415"/>
      <c r="T803" s="210"/>
      <c r="U803" s="415"/>
      <c r="V803" s="210"/>
      <c r="W803" s="415"/>
      <c r="X803" s="210"/>
      <c r="Y803" s="8"/>
      <c r="Z803" s="8"/>
      <c r="AA803" s="8"/>
      <c r="AB803" s="8"/>
      <c r="AC803" s="8"/>
      <c r="AD803" s="8"/>
      <c r="AE803" s="8"/>
      <c r="AF803" s="8"/>
      <c r="AG803" s="8"/>
      <c r="AH803" s="8"/>
      <c r="AI803" s="8"/>
      <c r="AJ803" s="8"/>
      <c r="AK803" s="8"/>
      <c r="AL803" s="8"/>
      <c r="AM803" s="8"/>
      <c r="AN803" s="8"/>
      <c r="AO803" s="8"/>
      <c r="AP803" s="8"/>
      <c r="AQ803" s="8"/>
      <c r="AR803" s="8"/>
      <c r="AS803" s="8"/>
      <c r="AT803" s="8"/>
    </row>
    <row r="804">
      <c r="A804" s="415"/>
      <c r="B804" s="210"/>
      <c r="C804" s="415"/>
      <c r="D804" s="210"/>
      <c r="E804" s="415"/>
      <c r="F804" s="210"/>
      <c r="G804" s="415"/>
      <c r="H804" s="210"/>
      <c r="I804" s="423"/>
      <c r="J804" s="156"/>
      <c r="K804" s="423"/>
      <c r="L804" s="156"/>
      <c r="M804" s="415"/>
      <c r="N804" s="210"/>
      <c r="O804" s="415"/>
      <c r="P804" s="210"/>
      <c r="Q804" s="452"/>
      <c r="R804" s="452"/>
      <c r="S804" s="415"/>
      <c r="T804" s="210"/>
      <c r="U804" s="415"/>
      <c r="V804" s="210"/>
      <c r="W804" s="415"/>
      <c r="X804" s="210"/>
      <c r="Y804" s="8"/>
      <c r="Z804" s="8"/>
      <c r="AA804" s="8"/>
      <c r="AB804" s="8"/>
      <c r="AC804" s="8"/>
      <c r="AD804" s="8"/>
      <c r="AE804" s="8"/>
      <c r="AF804" s="8"/>
      <c r="AG804" s="8"/>
      <c r="AH804" s="8"/>
      <c r="AI804" s="8"/>
      <c r="AJ804" s="8"/>
      <c r="AK804" s="8"/>
      <c r="AL804" s="8"/>
      <c r="AM804" s="8"/>
      <c r="AN804" s="8"/>
      <c r="AO804" s="8"/>
      <c r="AP804" s="8"/>
      <c r="AQ804" s="8"/>
      <c r="AR804" s="8"/>
      <c r="AS804" s="8"/>
      <c r="AT804" s="8"/>
    </row>
    <row r="805">
      <c r="A805" s="415"/>
      <c r="B805" s="210"/>
      <c r="C805" s="415"/>
      <c r="D805" s="210"/>
      <c r="E805" s="415"/>
      <c r="F805" s="210"/>
      <c r="G805" s="415"/>
      <c r="H805" s="210"/>
      <c r="I805" s="423"/>
      <c r="J805" s="156"/>
      <c r="K805" s="423"/>
      <c r="L805" s="156"/>
      <c r="M805" s="415"/>
      <c r="N805" s="210"/>
      <c r="O805" s="415"/>
      <c r="P805" s="210"/>
      <c r="Q805" s="452"/>
      <c r="R805" s="452"/>
      <c r="S805" s="415"/>
      <c r="T805" s="210"/>
      <c r="U805" s="415"/>
      <c r="V805" s="210"/>
      <c r="W805" s="415"/>
      <c r="X805" s="210"/>
      <c r="Y805" s="8"/>
      <c r="Z805" s="8"/>
      <c r="AA805" s="8"/>
      <c r="AB805" s="8"/>
      <c r="AC805" s="8"/>
      <c r="AD805" s="8"/>
      <c r="AE805" s="8"/>
      <c r="AF805" s="8"/>
      <c r="AG805" s="8"/>
      <c r="AH805" s="8"/>
      <c r="AI805" s="8"/>
      <c r="AJ805" s="8"/>
      <c r="AK805" s="8"/>
      <c r="AL805" s="8"/>
      <c r="AM805" s="8"/>
      <c r="AN805" s="8"/>
      <c r="AO805" s="8"/>
      <c r="AP805" s="8"/>
      <c r="AQ805" s="8"/>
      <c r="AR805" s="8"/>
      <c r="AS805" s="8"/>
      <c r="AT805" s="8"/>
    </row>
    <row r="806">
      <c r="A806" s="415"/>
      <c r="B806" s="210"/>
      <c r="C806" s="415"/>
      <c r="D806" s="210"/>
      <c r="E806" s="415"/>
      <c r="F806" s="210"/>
      <c r="G806" s="415"/>
      <c r="H806" s="210"/>
      <c r="I806" s="423"/>
      <c r="J806" s="156"/>
      <c r="K806" s="423"/>
      <c r="L806" s="156"/>
      <c r="M806" s="415"/>
      <c r="N806" s="210"/>
      <c r="O806" s="415"/>
      <c r="P806" s="210"/>
      <c r="Q806" s="452"/>
      <c r="R806" s="452"/>
      <c r="S806" s="415"/>
      <c r="T806" s="210"/>
      <c r="U806" s="415"/>
      <c r="V806" s="210"/>
      <c r="W806" s="415"/>
      <c r="X806" s="210"/>
      <c r="Y806" s="8"/>
      <c r="Z806" s="8"/>
      <c r="AA806" s="8"/>
      <c r="AB806" s="8"/>
      <c r="AC806" s="8"/>
      <c r="AD806" s="8"/>
      <c r="AE806" s="8"/>
      <c r="AF806" s="8"/>
      <c r="AG806" s="8"/>
      <c r="AH806" s="8"/>
      <c r="AI806" s="8"/>
      <c r="AJ806" s="8"/>
      <c r="AK806" s="8"/>
      <c r="AL806" s="8"/>
      <c r="AM806" s="8"/>
      <c r="AN806" s="8"/>
      <c r="AO806" s="8"/>
      <c r="AP806" s="8"/>
      <c r="AQ806" s="8"/>
      <c r="AR806" s="8"/>
      <c r="AS806" s="8"/>
      <c r="AT806" s="8"/>
    </row>
    <row r="807">
      <c r="A807" s="415"/>
      <c r="B807" s="210"/>
      <c r="C807" s="415"/>
      <c r="D807" s="210"/>
      <c r="E807" s="415"/>
      <c r="F807" s="210"/>
      <c r="G807" s="415"/>
      <c r="H807" s="210"/>
      <c r="I807" s="423"/>
      <c r="J807" s="156"/>
      <c r="K807" s="423"/>
      <c r="L807" s="156"/>
      <c r="M807" s="415"/>
      <c r="N807" s="210"/>
      <c r="O807" s="415"/>
      <c r="P807" s="210"/>
      <c r="Q807" s="452"/>
      <c r="R807" s="452"/>
      <c r="S807" s="415"/>
      <c r="T807" s="210"/>
      <c r="U807" s="415"/>
      <c r="V807" s="210"/>
      <c r="W807" s="415"/>
      <c r="X807" s="210"/>
      <c r="Y807" s="8"/>
      <c r="Z807" s="8"/>
      <c r="AA807" s="8"/>
      <c r="AB807" s="8"/>
      <c r="AC807" s="8"/>
      <c r="AD807" s="8"/>
      <c r="AE807" s="8"/>
      <c r="AF807" s="8"/>
      <c r="AG807" s="8"/>
      <c r="AH807" s="8"/>
      <c r="AI807" s="8"/>
      <c r="AJ807" s="8"/>
      <c r="AK807" s="8"/>
      <c r="AL807" s="8"/>
      <c r="AM807" s="8"/>
      <c r="AN807" s="8"/>
      <c r="AO807" s="8"/>
      <c r="AP807" s="8"/>
      <c r="AQ807" s="8"/>
      <c r="AR807" s="8"/>
      <c r="AS807" s="8"/>
      <c r="AT807" s="8"/>
    </row>
    <row r="808">
      <c r="A808" s="415"/>
      <c r="B808" s="210"/>
      <c r="C808" s="415"/>
      <c r="D808" s="210"/>
      <c r="E808" s="415"/>
      <c r="F808" s="210"/>
      <c r="G808" s="415"/>
      <c r="H808" s="210"/>
      <c r="I808" s="423"/>
      <c r="J808" s="156"/>
      <c r="K808" s="423"/>
      <c r="L808" s="156"/>
      <c r="M808" s="415"/>
      <c r="N808" s="210"/>
      <c r="O808" s="415"/>
      <c r="P808" s="210"/>
      <c r="Q808" s="452"/>
      <c r="R808" s="452"/>
      <c r="S808" s="415"/>
      <c r="T808" s="210"/>
      <c r="U808" s="415"/>
      <c r="V808" s="210"/>
      <c r="W808" s="415"/>
      <c r="X808" s="210"/>
      <c r="Y808" s="8"/>
      <c r="Z808" s="8"/>
      <c r="AA808" s="8"/>
      <c r="AB808" s="8"/>
      <c r="AC808" s="8"/>
      <c r="AD808" s="8"/>
      <c r="AE808" s="8"/>
      <c r="AF808" s="8"/>
      <c r="AG808" s="8"/>
      <c r="AH808" s="8"/>
      <c r="AI808" s="8"/>
      <c r="AJ808" s="8"/>
      <c r="AK808" s="8"/>
      <c r="AL808" s="8"/>
      <c r="AM808" s="8"/>
      <c r="AN808" s="8"/>
      <c r="AO808" s="8"/>
      <c r="AP808" s="8"/>
      <c r="AQ808" s="8"/>
      <c r="AR808" s="8"/>
      <c r="AS808" s="8"/>
      <c r="AT808" s="8"/>
    </row>
    <row r="809">
      <c r="A809" s="415"/>
      <c r="B809" s="210"/>
      <c r="C809" s="415"/>
      <c r="D809" s="210"/>
      <c r="E809" s="415"/>
      <c r="F809" s="210"/>
      <c r="G809" s="415"/>
      <c r="H809" s="210"/>
      <c r="I809" s="423"/>
      <c r="J809" s="156"/>
      <c r="K809" s="423"/>
      <c r="L809" s="156"/>
      <c r="M809" s="415"/>
      <c r="N809" s="210"/>
      <c r="O809" s="415"/>
      <c r="P809" s="210"/>
      <c r="Q809" s="452"/>
      <c r="R809" s="452"/>
      <c r="S809" s="415"/>
      <c r="T809" s="210"/>
      <c r="U809" s="415"/>
      <c r="V809" s="210"/>
      <c r="W809" s="415"/>
      <c r="X809" s="210"/>
      <c r="Y809" s="8"/>
      <c r="Z809" s="8"/>
      <c r="AA809" s="8"/>
      <c r="AB809" s="8"/>
      <c r="AC809" s="8"/>
      <c r="AD809" s="8"/>
      <c r="AE809" s="8"/>
      <c r="AF809" s="8"/>
      <c r="AG809" s="8"/>
      <c r="AH809" s="8"/>
      <c r="AI809" s="8"/>
      <c r="AJ809" s="8"/>
      <c r="AK809" s="8"/>
      <c r="AL809" s="8"/>
      <c r="AM809" s="8"/>
      <c r="AN809" s="8"/>
      <c r="AO809" s="8"/>
      <c r="AP809" s="8"/>
      <c r="AQ809" s="8"/>
      <c r="AR809" s="8"/>
      <c r="AS809" s="8"/>
      <c r="AT809" s="8"/>
    </row>
    <row r="810">
      <c r="A810" s="415"/>
      <c r="B810" s="210"/>
      <c r="C810" s="415"/>
      <c r="D810" s="210"/>
      <c r="E810" s="415"/>
      <c r="F810" s="210"/>
      <c r="G810" s="415"/>
      <c r="H810" s="210"/>
      <c r="I810" s="423"/>
      <c r="J810" s="156"/>
      <c r="K810" s="423"/>
      <c r="L810" s="156"/>
      <c r="M810" s="415"/>
      <c r="N810" s="210"/>
      <c r="O810" s="415"/>
      <c r="P810" s="210"/>
      <c r="Q810" s="452"/>
      <c r="R810" s="452"/>
      <c r="S810" s="415"/>
      <c r="T810" s="210"/>
      <c r="U810" s="415"/>
      <c r="V810" s="210"/>
      <c r="W810" s="415"/>
      <c r="X810" s="210"/>
      <c r="Y810" s="8"/>
      <c r="Z810" s="8"/>
      <c r="AA810" s="8"/>
      <c r="AB810" s="8"/>
      <c r="AC810" s="8"/>
      <c r="AD810" s="8"/>
      <c r="AE810" s="8"/>
      <c r="AF810" s="8"/>
      <c r="AG810" s="8"/>
      <c r="AH810" s="8"/>
      <c r="AI810" s="8"/>
      <c r="AJ810" s="8"/>
      <c r="AK810" s="8"/>
      <c r="AL810" s="8"/>
      <c r="AM810" s="8"/>
      <c r="AN810" s="8"/>
      <c r="AO810" s="8"/>
      <c r="AP810" s="8"/>
      <c r="AQ810" s="8"/>
      <c r="AR810" s="8"/>
      <c r="AS810" s="8"/>
      <c r="AT810" s="8"/>
    </row>
    <row r="811">
      <c r="A811" s="415"/>
      <c r="B811" s="210"/>
      <c r="C811" s="415"/>
      <c r="D811" s="210"/>
      <c r="E811" s="415"/>
      <c r="F811" s="210"/>
      <c r="G811" s="415"/>
      <c r="H811" s="210"/>
      <c r="I811" s="423"/>
      <c r="J811" s="156"/>
      <c r="K811" s="423"/>
      <c r="L811" s="156"/>
      <c r="M811" s="415"/>
      <c r="N811" s="210"/>
      <c r="O811" s="415"/>
      <c r="P811" s="210"/>
      <c r="Q811" s="452"/>
      <c r="R811" s="452"/>
      <c r="S811" s="415"/>
      <c r="T811" s="210"/>
      <c r="U811" s="415"/>
      <c r="V811" s="210"/>
      <c r="W811" s="415"/>
      <c r="X811" s="210"/>
      <c r="Y811" s="8"/>
      <c r="Z811" s="8"/>
      <c r="AA811" s="8"/>
      <c r="AB811" s="8"/>
      <c r="AC811" s="8"/>
      <c r="AD811" s="8"/>
      <c r="AE811" s="8"/>
      <c r="AF811" s="8"/>
      <c r="AG811" s="8"/>
      <c r="AH811" s="8"/>
      <c r="AI811" s="8"/>
      <c r="AJ811" s="8"/>
      <c r="AK811" s="8"/>
      <c r="AL811" s="8"/>
      <c r="AM811" s="8"/>
      <c r="AN811" s="8"/>
      <c r="AO811" s="8"/>
      <c r="AP811" s="8"/>
      <c r="AQ811" s="8"/>
      <c r="AR811" s="8"/>
      <c r="AS811" s="8"/>
      <c r="AT811" s="8"/>
    </row>
    <row r="812">
      <c r="A812" s="415"/>
      <c r="B812" s="210"/>
      <c r="C812" s="415"/>
      <c r="D812" s="210"/>
      <c r="E812" s="415"/>
      <c r="F812" s="210"/>
      <c r="G812" s="415"/>
      <c r="H812" s="210"/>
      <c r="I812" s="423"/>
      <c r="J812" s="156"/>
      <c r="K812" s="423"/>
      <c r="L812" s="156"/>
      <c r="M812" s="415"/>
      <c r="N812" s="210"/>
      <c r="O812" s="415"/>
      <c r="P812" s="210"/>
      <c r="Q812" s="452"/>
      <c r="R812" s="452"/>
      <c r="S812" s="415"/>
      <c r="T812" s="210"/>
      <c r="U812" s="415"/>
      <c r="V812" s="210"/>
      <c r="W812" s="415"/>
      <c r="X812" s="210"/>
      <c r="Y812" s="8"/>
      <c r="Z812" s="8"/>
      <c r="AA812" s="8"/>
      <c r="AB812" s="8"/>
      <c r="AC812" s="8"/>
      <c r="AD812" s="8"/>
      <c r="AE812" s="8"/>
      <c r="AF812" s="8"/>
      <c r="AG812" s="8"/>
      <c r="AH812" s="8"/>
      <c r="AI812" s="8"/>
      <c r="AJ812" s="8"/>
      <c r="AK812" s="8"/>
      <c r="AL812" s="8"/>
      <c r="AM812" s="8"/>
      <c r="AN812" s="8"/>
      <c r="AO812" s="8"/>
      <c r="AP812" s="8"/>
      <c r="AQ812" s="8"/>
      <c r="AR812" s="8"/>
      <c r="AS812" s="8"/>
      <c r="AT812" s="8"/>
    </row>
    <row r="813">
      <c r="A813" s="415"/>
      <c r="B813" s="210"/>
      <c r="C813" s="415"/>
      <c r="D813" s="210"/>
      <c r="E813" s="415"/>
      <c r="F813" s="210"/>
      <c r="G813" s="415"/>
      <c r="H813" s="210"/>
      <c r="I813" s="423"/>
      <c r="J813" s="156"/>
      <c r="K813" s="423"/>
      <c r="L813" s="156"/>
      <c r="M813" s="415"/>
      <c r="N813" s="210"/>
      <c r="O813" s="415"/>
      <c r="P813" s="210"/>
      <c r="Q813" s="452"/>
      <c r="R813" s="452"/>
      <c r="S813" s="415"/>
      <c r="T813" s="210"/>
      <c r="U813" s="415"/>
      <c r="V813" s="210"/>
      <c r="W813" s="415"/>
      <c r="X813" s="210"/>
      <c r="Y813" s="8"/>
      <c r="Z813" s="8"/>
      <c r="AA813" s="8"/>
      <c r="AB813" s="8"/>
      <c r="AC813" s="8"/>
      <c r="AD813" s="8"/>
      <c r="AE813" s="8"/>
      <c r="AF813" s="8"/>
      <c r="AG813" s="8"/>
      <c r="AH813" s="8"/>
      <c r="AI813" s="8"/>
      <c r="AJ813" s="8"/>
      <c r="AK813" s="8"/>
      <c r="AL813" s="8"/>
      <c r="AM813" s="8"/>
      <c r="AN813" s="8"/>
      <c r="AO813" s="8"/>
      <c r="AP813" s="8"/>
      <c r="AQ813" s="8"/>
      <c r="AR813" s="8"/>
      <c r="AS813" s="8"/>
      <c r="AT813" s="8"/>
    </row>
    <row r="814">
      <c r="A814" s="415"/>
      <c r="B814" s="210"/>
      <c r="C814" s="415"/>
      <c r="D814" s="210"/>
      <c r="E814" s="415"/>
      <c r="F814" s="210"/>
      <c r="G814" s="415"/>
      <c r="H814" s="210"/>
      <c r="I814" s="423"/>
      <c r="J814" s="156"/>
      <c r="K814" s="423"/>
      <c r="L814" s="156"/>
      <c r="M814" s="415"/>
      <c r="N814" s="210"/>
      <c r="O814" s="415"/>
      <c r="P814" s="210"/>
      <c r="Q814" s="452"/>
      <c r="R814" s="452"/>
      <c r="S814" s="415"/>
      <c r="T814" s="210"/>
      <c r="U814" s="415"/>
      <c r="V814" s="210"/>
      <c r="W814" s="415"/>
      <c r="X814" s="210"/>
      <c r="Y814" s="8"/>
      <c r="Z814" s="8"/>
      <c r="AA814" s="8"/>
      <c r="AB814" s="8"/>
      <c r="AC814" s="8"/>
      <c r="AD814" s="8"/>
      <c r="AE814" s="8"/>
      <c r="AF814" s="8"/>
      <c r="AG814" s="8"/>
      <c r="AH814" s="8"/>
      <c r="AI814" s="8"/>
      <c r="AJ814" s="8"/>
      <c r="AK814" s="8"/>
      <c r="AL814" s="8"/>
      <c r="AM814" s="8"/>
      <c r="AN814" s="8"/>
      <c r="AO814" s="8"/>
      <c r="AP814" s="8"/>
      <c r="AQ814" s="8"/>
      <c r="AR814" s="8"/>
      <c r="AS814" s="8"/>
      <c r="AT814" s="8"/>
    </row>
    <row r="815">
      <c r="A815" s="415"/>
      <c r="B815" s="210"/>
      <c r="C815" s="415"/>
      <c r="D815" s="210"/>
      <c r="E815" s="415"/>
      <c r="F815" s="210"/>
      <c r="G815" s="415"/>
      <c r="H815" s="210"/>
      <c r="I815" s="423"/>
      <c r="J815" s="156"/>
      <c r="K815" s="423"/>
      <c r="L815" s="156"/>
      <c r="M815" s="415"/>
      <c r="N815" s="210"/>
      <c r="O815" s="415"/>
      <c r="P815" s="210"/>
      <c r="Q815" s="452"/>
      <c r="R815" s="452"/>
      <c r="S815" s="415"/>
      <c r="T815" s="210"/>
      <c r="U815" s="415"/>
      <c r="V815" s="210"/>
      <c r="W815" s="415"/>
      <c r="X815" s="210"/>
      <c r="Y815" s="8"/>
      <c r="Z815" s="8"/>
      <c r="AA815" s="8"/>
      <c r="AB815" s="8"/>
      <c r="AC815" s="8"/>
      <c r="AD815" s="8"/>
      <c r="AE815" s="8"/>
      <c r="AF815" s="8"/>
      <c r="AG815" s="8"/>
      <c r="AH815" s="8"/>
      <c r="AI815" s="8"/>
      <c r="AJ815" s="8"/>
      <c r="AK815" s="8"/>
      <c r="AL815" s="8"/>
      <c r="AM815" s="8"/>
      <c r="AN815" s="8"/>
      <c r="AO815" s="8"/>
      <c r="AP815" s="8"/>
      <c r="AQ815" s="8"/>
      <c r="AR815" s="8"/>
      <c r="AS815" s="8"/>
      <c r="AT815" s="8"/>
    </row>
    <row r="816">
      <c r="A816" s="415"/>
      <c r="B816" s="210"/>
      <c r="C816" s="415"/>
      <c r="D816" s="210"/>
      <c r="E816" s="415"/>
      <c r="F816" s="210"/>
      <c r="G816" s="415"/>
      <c r="H816" s="210"/>
      <c r="I816" s="423"/>
      <c r="J816" s="156"/>
      <c r="K816" s="423"/>
      <c r="L816" s="156"/>
      <c r="M816" s="415"/>
      <c r="N816" s="210"/>
      <c r="O816" s="415"/>
      <c r="P816" s="210"/>
      <c r="Q816" s="452"/>
      <c r="R816" s="452"/>
      <c r="S816" s="415"/>
      <c r="T816" s="210"/>
      <c r="U816" s="415"/>
      <c r="V816" s="210"/>
      <c r="W816" s="415"/>
      <c r="X816" s="210"/>
      <c r="Y816" s="8"/>
      <c r="Z816" s="8"/>
      <c r="AA816" s="8"/>
      <c r="AB816" s="8"/>
      <c r="AC816" s="8"/>
      <c r="AD816" s="8"/>
      <c r="AE816" s="8"/>
      <c r="AF816" s="8"/>
      <c r="AG816" s="8"/>
      <c r="AH816" s="8"/>
      <c r="AI816" s="8"/>
      <c r="AJ816" s="8"/>
      <c r="AK816" s="8"/>
      <c r="AL816" s="8"/>
      <c r="AM816" s="8"/>
      <c r="AN816" s="8"/>
      <c r="AO816" s="8"/>
      <c r="AP816" s="8"/>
      <c r="AQ816" s="8"/>
      <c r="AR816" s="8"/>
      <c r="AS816" s="8"/>
      <c r="AT816" s="8"/>
    </row>
    <row r="817">
      <c r="A817" s="415"/>
      <c r="B817" s="210"/>
      <c r="C817" s="415"/>
      <c r="D817" s="210"/>
      <c r="E817" s="415"/>
      <c r="F817" s="210"/>
      <c r="G817" s="415"/>
      <c r="H817" s="210"/>
      <c r="I817" s="423"/>
      <c r="J817" s="156"/>
      <c r="K817" s="423"/>
      <c r="L817" s="156"/>
      <c r="M817" s="415"/>
      <c r="N817" s="210"/>
      <c r="O817" s="415"/>
      <c r="P817" s="210"/>
      <c r="Q817" s="452"/>
      <c r="R817" s="452"/>
      <c r="S817" s="415"/>
      <c r="T817" s="210"/>
      <c r="U817" s="415"/>
      <c r="V817" s="210"/>
      <c r="W817" s="415"/>
      <c r="X817" s="210"/>
      <c r="Y817" s="8"/>
      <c r="Z817" s="8"/>
      <c r="AA817" s="8"/>
      <c r="AB817" s="8"/>
      <c r="AC817" s="8"/>
      <c r="AD817" s="8"/>
      <c r="AE817" s="8"/>
      <c r="AF817" s="8"/>
      <c r="AG817" s="8"/>
      <c r="AH817" s="8"/>
      <c r="AI817" s="8"/>
      <c r="AJ817" s="8"/>
      <c r="AK817" s="8"/>
      <c r="AL817" s="8"/>
      <c r="AM817" s="8"/>
      <c r="AN817" s="8"/>
      <c r="AO817" s="8"/>
      <c r="AP817" s="8"/>
      <c r="AQ817" s="8"/>
      <c r="AR817" s="8"/>
      <c r="AS817" s="8"/>
      <c r="AT817" s="8"/>
    </row>
    <row r="818">
      <c r="A818" s="415"/>
      <c r="B818" s="210"/>
      <c r="C818" s="415"/>
      <c r="D818" s="210"/>
      <c r="E818" s="415"/>
      <c r="F818" s="210"/>
      <c r="G818" s="415"/>
      <c r="H818" s="210"/>
      <c r="I818" s="423"/>
      <c r="J818" s="156"/>
      <c r="K818" s="423"/>
      <c r="L818" s="156"/>
      <c r="M818" s="415"/>
      <c r="N818" s="210"/>
      <c r="O818" s="415"/>
      <c r="P818" s="210"/>
      <c r="Q818" s="452"/>
      <c r="R818" s="452"/>
      <c r="S818" s="415"/>
      <c r="T818" s="210"/>
      <c r="U818" s="415"/>
      <c r="V818" s="210"/>
      <c r="W818" s="415"/>
      <c r="X818" s="210"/>
      <c r="Y818" s="8"/>
      <c r="Z818" s="8"/>
      <c r="AA818" s="8"/>
      <c r="AB818" s="8"/>
      <c r="AC818" s="8"/>
      <c r="AD818" s="8"/>
      <c r="AE818" s="8"/>
      <c r="AF818" s="8"/>
      <c r="AG818" s="8"/>
      <c r="AH818" s="8"/>
      <c r="AI818" s="8"/>
      <c r="AJ818" s="8"/>
      <c r="AK818" s="8"/>
      <c r="AL818" s="8"/>
      <c r="AM818" s="8"/>
      <c r="AN818" s="8"/>
      <c r="AO818" s="8"/>
      <c r="AP818" s="8"/>
      <c r="AQ818" s="8"/>
      <c r="AR818" s="8"/>
      <c r="AS818" s="8"/>
      <c r="AT818" s="8"/>
    </row>
    <row r="819">
      <c r="A819" s="415"/>
      <c r="B819" s="210"/>
      <c r="C819" s="415"/>
      <c r="D819" s="210"/>
      <c r="E819" s="415"/>
      <c r="F819" s="210"/>
      <c r="G819" s="415"/>
      <c r="H819" s="210"/>
      <c r="I819" s="423"/>
      <c r="J819" s="156"/>
      <c r="K819" s="423"/>
      <c r="L819" s="156"/>
      <c r="M819" s="415"/>
      <c r="N819" s="210"/>
      <c r="O819" s="415"/>
      <c r="P819" s="210"/>
      <c r="Q819" s="452"/>
      <c r="R819" s="452"/>
      <c r="S819" s="415"/>
      <c r="T819" s="210"/>
      <c r="U819" s="415"/>
      <c r="V819" s="210"/>
      <c r="W819" s="415"/>
      <c r="X819" s="210"/>
      <c r="Y819" s="8"/>
      <c r="Z819" s="8"/>
      <c r="AA819" s="8"/>
      <c r="AB819" s="8"/>
      <c r="AC819" s="8"/>
      <c r="AD819" s="8"/>
      <c r="AE819" s="8"/>
      <c r="AF819" s="8"/>
      <c r="AG819" s="8"/>
      <c r="AH819" s="8"/>
      <c r="AI819" s="8"/>
      <c r="AJ819" s="8"/>
      <c r="AK819" s="8"/>
      <c r="AL819" s="8"/>
      <c r="AM819" s="8"/>
      <c r="AN819" s="8"/>
      <c r="AO819" s="8"/>
      <c r="AP819" s="8"/>
      <c r="AQ819" s="8"/>
      <c r="AR819" s="8"/>
      <c r="AS819" s="8"/>
      <c r="AT819" s="8"/>
    </row>
    <row r="820">
      <c r="A820" s="415"/>
      <c r="B820" s="210"/>
      <c r="C820" s="415"/>
      <c r="D820" s="210"/>
      <c r="E820" s="415"/>
      <c r="F820" s="210"/>
      <c r="G820" s="415"/>
      <c r="H820" s="210"/>
      <c r="I820" s="423"/>
      <c r="J820" s="156"/>
      <c r="K820" s="423"/>
      <c r="L820" s="156"/>
      <c r="M820" s="415"/>
      <c r="N820" s="210"/>
      <c r="O820" s="415"/>
      <c r="P820" s="210"/>
      <c r="Q820" s="452"/>
      <c r="R820" s="452"/>
      <c r="S820" s="415"/>
      <c r="T820" s="210"/>
      <c r="U820" s="415"/>
      <c r="V820" s="210"/>
      <c r="W820" s="415"/>
      <c r="X820" s="210"/>
      <c r="Y820" s="8"/>
      <c r="Z820" s="8"/>
      <c r="AA820" s="8"/>
      <c r="AB820" s="8"/>
      <c r="AC820" s="8"/>
      <c r="AD820" s="8"/>
      <c r="AE820" s="8"/>
      <c r="AF820" s="8"/>
      <c r="AG820" s="8"/>
      <c r="AH820" s="8"/>
      <c r="AI820" s="8"/>
      <c r="AJ820" s="8"/>
      <c r="AK820" s="8"/>
      <c r="AL820" s="8"/>
      <c r="AM820" s="8"/>
      <c r="AN820" s="8"/>
      <c r="AO820" s="8"/>
      <c r="AP820" s="8"/>
      <c r="AQ820" s="8"/>
      <c r="AR820" s="8"/>
      <c r="AS820" s="8"/>
      <c r="AT820" s="8"/>
    </row>
    <row r="821">
      <c r="A821" s="415"/>
      <c r="B821" s="210"/>
      <c r="C821" s="415"/>
      <c r="D821" s="210"/>
      <c r="E821" s="415"/>
      <c r="F821" s="210"/>
      <c r="G821" s="415"/>
      <c r="H821" s="210"/>
      <c r="I821" s="423"/>
      <c r="J821" s="156"/>
      <c r="K821" s="423"/>
      <c r="L821" s="156"/>
      <c r="M821" s="415"/>
      <c r="N821" s="210"/>
      <c r="O821" s="415"/>
      <c r="P821" s="210"/>
      <c r="Q821" s="452"/>
      <c r="R821" s="452"/>
      <c r="S821" s="415"/>
      <c r="T821" s="210"/>
      <c r="U821" s="415"/>
      <c r="V821" s="210"/>
      <c r="W821" s="415"/>
      <c r="X821" s="210"/>
      <c r="Y821" s="8"/>
      <c r="Z821" s="8"/>
      <c r="AA821" s="8"/>
      <c r="AB821" s="8"/>
      <c r="AC821" s="8"/>
      <c r="AD821" s="8"/>
      <c r="AE821" s="8"/>
      <c r="AF821" s="8"/>
      <c r="AG821" s="8"/>
      <c r="AH821" s="8"/>
      <c r="AI821" s="8"/>
      <c r="AJ821" s="8"/>
      <c r="AK821" s="8"/>
      <c r="AL821" s="8"/>
      <c r="AM821" s="8"/>
      <c r="AN821" s="8"/>
      <c r="AO821" s="8"/>
      <c r="AP821" s="8"/>
      <c r="AQ821" s="8"/>
      <c r="AR821" s="8"/>
      <c r="AS821" s="8"/>
      <c r="AT821" s="8"/>
    </row>
    <row r="822">
      <c r="A822" s="415"/>
      <c r="B822" s="210"/>
      <c r="C822" s="415"/>
      <c r="D822" s="210"/>
      <c r="E822" s="415"/>
      <c r="F822" s="210"/>
      <c r="G822" s="415"/>
      <c r="H822" s="210"/>
      <c r="I822" s="423"/>
      <c r="J822" s="156"/>
      <c r="K822" s="423"/>
      <c r="L822" s="156"/>
      <c r="M822" s="415"/>
      <c r="N822" s="210"/>
      <c r="O822" s="415"/>
      <c r="P822" s="210"/>
      <c r="Q822" s="452"/>
      <c r="R822" s="452"/>
      <c r="S822" s="415"/>
      <c r="T822" s="210"/>
      <c r="U822" s="415"/>
      <c r="V822" s="210"/>
      <c r="W822" s="415"/>
      <c r="X822" s="210"/>
      <c r="Y822" s="8"/>
      <c r="Z822" s="8"/>
      <c r="AA822" s="8"/>
      <c r="AB822" s="8"/>
      <c r="AC822" s="8"/>
      <c r="AD822" s="8"/>
      <c r="AE822" s="8"/>
      <c r="AF822" s="8"/>
      <c r="AG822" s="8"/>
      <c r="AH822" s="8"/>
      <c r="AI822" s="8"/>
      <c r="AJ822" s="8"/>
      <c r="AK822" s="8"/>
      <c r="AL822" s="8"/>
      <c r="AM822" s="8"/>
      <c r="AN822" s="8"/>
      <c r="AO822" s="8"/>
      <c r="AP822" s="8"/>
      <c r="AQ822" s="8"/>
      <c r="AR822" s="8"/>
      <c r="AS822" s="8"/>
      <c r="AT822" s="8"/>
    </row>
    <row r="823">
      <c r="A823" s="415"/>
      <c r="B823" s="210"/>
      <c r="C823" s="415"/>
      <c r="D823" s="210"/>
      <c r="E823" s="415"/>
      <c r="F823" s="210"/>
      <c r="G823" s="415"/>
      <c r="H823" s="210"/>
      <c r="I823" s="423"/>
      <c r="J823" s="156"/>
      <c r="K823" s="423"/>
      <c r="L823" s="156"/>
      <c r="M823" s="415"/>
      <c r="N823" s="210"/>
      <c r="O823" s="415"/>
      <c r="P823" s="210"/>
      <c r="Q823" s="452"/>
      <c r="R823" s="452"/>
      <c r="S823" s="415"/>
      <c r="T823" s="210"/>
      <c r="U823" s="415"/>
      <c r="V823" s="210"/>
      <c r="W823" s="415"/>
      <c r="X823" s="210"/>
      <c r="Y823" s="8"/>
      <c r="Z823" s="8"/>
      <c r="AA823" s="8"/>
      <c r="AB823" s="8"/>
      <c r="AC823" s="8"/>
      <c r="AD823" s="8"/>
      <c r="AE823" s="8"/>
      <c r="AF823" s="8"/>
      <c r="AG823" s="8"/>
      <c r="AH823" s="8"/>
      <c r="AI823" s="8"/>
      <c r="AJ823" s="8"/>
      <c r="AK823" s="8"/>
      <c r="AL823" s="8"/>
      <c r="AM823" s="8"/>
      <c r="AN823" s="8"/>
      <c r="AO823" s="8"/>
      <c r="AP823" s="8"/>
      <c r="AQ823" s="8"/>
      <c r="AR823" s="8"/>
      <c r="AS823" s="8"/>
      <c r="AT823" s="8"/>
    </row>
    <row r="824">
      <c r="A824" s="415"/>
      <c r="B824" s="210"/>
      <c r="C824" s="415"/>
      <c r="D824" s="210"/>
      <c r="E824" s="415"/>
      <c r="F824" s="210"/>
      <c r="G824" s="415"/>
      <c r="H824" s="210"/>
      <c r="I824" s="423"/>
      <c r="J824" s="156"/>
      <c r="K824" s="423"/>
      <c r="L824" s="156"/>
      <c r="M824" s="415"/>
      <c r="N824" s="210"/>
      <c r="O824" s="415"/>
      <c r="P824" s="210"/>
      <c r="Q824" s="452"/>
      <c r="R824" s="452"/>
      <c r="S824" s="415"/>
      <c r="T824" s="210"/>
      <c r="U824" s="415"/>
      <c r="V824" s="210"/>
      <c r="W824" s="415"/>
      <c r="X824" s="210"/>
      <c r="Y824" s="8"/>
      <c r="Z824" s="8"/>
      <c r="AA824" s="8"/>
      <c r="AB824" s="8"/>
      <c r="AC824" s="8"/>
      <c r="AD824" s="8"/>
      <c r="AE824" s="8"/>
      <c r="AF824" s="8"/>
      <c r="AG824" s="8"/>
      <c r="AH824" s="8"/>
      <c r="AI824" s="8"/>
      <c r="AJ824" s="8"/>
      <c r="AK824" s="8"/>
      <c r="AL824" s="8"/>
      <c r="AM824" s="8"/>
      <c r="AN824" s="8"/>
      <c r="AO824" s="8"/>
      <c r="AP824" s="8"/>
      <c r="AQ824" s="8"/>
      <c r="AR824" s="8"/>
      <c r="AS824" s="8"/>
      <c r="AT824" s="8"/>
    </row>
    <row r="825">
      <c r="A825" s="415"/>
      <c r="B825" s="210"/>
      <c r="C825" s="415"/>
      <c r="D825" s="210"/>
      <c r="E825" s="415"/>
      <c r="F825" s="210"/>
      <c r="G825" s="415"/>
      <c r="H825" s="210"/>
      <c r="I825" s="423"/>
      <c r="J825" s="156"/>
      <c r="K825" s="423"/>
      <c r="L825" s="156"/>
      <c r="M825" s="415"/>
      <c r="N825" s="210"/>
      <c r="O825" s="415"/>
      <c r="P825" s="210"/>
      <c r="Q825" s="452"/>
      <c r="R825" s="452"/>
      <c r="S825" s="415"/>
      <c r="T825" s="210"/>
      <c r="U825" s="415"/>
      <c r="V825" s="210"/>
      <c r="W825" s="415"/>
      <c r="X825" s="210"/>
      <c r="Y825" s="8"/>
      <c r="Z825" s="8"/>
      <c r="AA825" s="8"/>
      <c r="AB825" s="8"/>
      <c r="AC825" s="8"/>
      <c r="AD825" s="8"/>
      <c r="AE825" s="8"/>
      <c r="AF825" s="8"/>
      <c r="AG825" s="8"/>
      <c r="AH825" s="8"/>
      <c r="AI825" s="8"/>
      <c r="AJ825" s="8"/>
      <c r="AK825" s="8"/>
      <c r="AL825" s="8"/>
      <c r="AM825" s="8"/>
      <c r="AN825" s="8"/>
      <c r="AO825" s="8"/>
      <c r="AP825" s="8"/>
      <c r="AQ825" s="8"/>
      <c r="AR825" s="8"/>
      <c r="AS825" s="8"/>
      <c r="AT825" s="8"/>
    </row>
    <row r="826">
      <c r="A826" s="415"/>
      <c r="B826" s="210"/>
      <c r="C826" s="415"/>
      <c r="D826" s="210"/>
      <c r="E826" s="415"/>
      <c r="F826" s="210"/>
      <c r="G826" s="415"/>
      <c r="H826" s="210"/>
      <c r="I826" s="423"/>
      <c r="J826" s="156"/>
      <c r="K826" s="423"/>
      <c r="L826" s="156"/>
      <c r="M826" s="415"/>
      <c r="N826" s="210"/>
      <c r="O826" s="415"/>
      <c r="P826" s="210"/>
      <c r="Q826" s="452"/>
      <c r="R826" s="452"/>
      <c r="S826" s="415"/>
      <c r="T826" s="210"/>
      <c r="U826" s="415"/>
      <c r="V826" s="210"/>
      <c r="W826" s="415"/>
      <c r="X826" s="210"/>
      <c r="Y826" s="8"/>
      <c r="Z826" s="8"/>
      <c r="AA826" s="8"/>
      <c r="AB826" s="8"/>
      <c r="AC826" s="8"/>
      <c r="AD826" s="8"/>
      <c r="AE826" s="8"/>
      <c r="AF826" s="8"/>
      <c r="AG826" s="8"/>
      <c r="AH826" s="8"/>
      <c r="AI826" s="8"/>
      <c r="AJ826" s="8"/>
      <c r="AK826" s="8"/>
      <c r="AL826" s="8"/>
      <c r="AM826" s="8"/>
      <c r="AN826" s="8"/>
      <c r="AO826" s="8"/>
      <c r="AP826" s="8"/>
      <c r="AQ826" s="8"/>
      <c r="AR826" s="8"/>
      <c r="AS826" s="8"/>
      <c r="AT826" s="8"/>
    </row>
    <row r="827">
      <c r="A827" s="415"/>
      <c r="B827" s="210"/>
      <c r="C827" s="415"/>
      <c r="D827" s="210"/>
      <c r="E827" s="415"/>
      <c r="F827" s="210"/>
      <c r="G827" s="415"/>
      <c r="H827" s="210"/>
      <c r="I827" s="423"/>
      <c r="J827" s="156"/>
      <c r="K827" s="423"/>
      <c r="L827" s="156"/>
      <c r="M827" s="415"/>
      <c r="N827" s="210"/>
      <c r="O827" s="415"/>
      <c r="P827" s="210"/>
      <c r="Q827" s="452"/>
      <c r="R827" s="452"/>
      <c r="S827" s="415"/>
      <c r="T827" s="210"/>
      <c r="U827" s="415"/>
      <c r="V827" s="210"/>
      <c r="W827" s="415"/>
      <c r="X827" s="210"/>
      <c r="Y827" s="8"/>
      <c r="Z827" s="8"/>
      <c r="AA827" s="8"/>
      <c r="AB827" s="8"/>
      <c r="AC827" s="8"/>
      <c r="AD827" s="8"/>
      <c r="AE827" s="8"/>
      <c r="AF827" s="8"/>
      <c r="AG827" s="8"/>
      <c r="AH827" s="8"/>
      <c r="AI827" s="8"/>
      <c r="AJ827" s="8"/>
      <c r="AK827" s="8"/>
      <c r="AL827" s="8"/>
      <c r="AM827" s="8"/>
      <c r="AN827" s="8"/>
      <c r="AO827" s="8"/>
      <c r="AP827" s="8"/>
      <c r="AQ827" s="8"/>
      <c r="AR827" s="8"/>
      <c r="AS827" s="8"/>
      <c r="AT827" s="8"/>
    </row>
    <row r="828">
      <c r="A828" s="415"/>
      <c r="B828" s="210"/>
      <c r="C828" s="415"/>
      <c r="D828" s="210"/>
      <c r="E828" s="415"/>
      <c r="F828" s="210"/>
      <c r="G828" s="415"/>
      <c r="H828" s="210"/>
      <c r="I828" s="423"/>
      <c r="J828" s="156"/>
      <c r="K828" s="423"/>
      <c r="L828" s="156"/>
      <c r="M828" s="415"/>
      <c r="N828" s="210"/>
      <c r="O828" s="415"/>
      <c r="P828" s="210"/>
      <c r="Q828" s="452"/>
      <c r="R828" s="452"/>
      <c r="S828" s="415"/>
      <c r="T828" s="210"/>
      <c r="U828" s="415"/>
      <c r="V828" s="210"/>
      <c r="W828" s="415"/>
      <c r="X828" s="210"/>
      <c r="Y828" s="8"/>
      <c r="Z828" s="8"/>
      <c r="AA828" s="8"/>
      <c r="AB828" s="8"/>
      <c r="AC828" s="8"/>
      <c r="AD828" s="8"/>
      <c r="AE828" s="8"/>
      <c r="AF828" s="8"/>
      <c r="AG828" s="8"/>
      <c r="AH828" s="8"/>
      <c r="AI828" s="8"/>
      <c r="AJ828" s="8"/>
      <c r="AK828" s="8"/>
      <c r="AL828" s="8"/>
      <c r="AM828" s="8"/>
      <c r="AN828" s="8"/>
      <c r="AO828" s="8"/>
      <c r="AP828" s="8"/>
      <c r="AQ828" s="8"/>
      <c r="AR828" s="8"/>
      <c r="AS828" s="8"/>
      <c r="AT828" s="8"/>
    </row>
    <row r="829">
      <c r="A829" s="415"/>
      <c r="B829" s="210"/>
      <c r="C829" s="415"/>
      <c r="D829" s="210"/>
      <c r="E829" s="415"/>
      <c r="F829" s="210"/>
      <c r="G829" s="415"/>
      <c r="H829" s="210"/>
      <c r="I829" s="423"/>
      <c r="J829" s="156"/>
      <c r="K829" s="423"/>
      <c r="L829" s="156"/>
      <c r="M829" s="415"/>
      <c r="N829" s="210"/>
      <c r="O829" s="415"/>
      <c r="P829" s="210"/>
      <c r="Q829" s="452"/>
      <c r="R829" s="452"/>
      <c r="S829" s="415"/>
      <c r="T829" s="210"/>
      <c r="U829" s="415"/>
      <c r="V829" s="210"/>
      <c r="W829" s="415"/>
      <c r="X829" s="210"/>
      <c r="Y829" s="8"/>
      <c r="Z829" s="8"/>
      <c r="AA829" s="8"/>
      <c r="AB829" s="8"/>
      <c r="AC829" s="8"/>
      <c r="AD829" s="8"/>
      <c r="AE829" s="8"/>
      <c r="AF829" s="8"/>
      <c r="AG829" s="8"/>
      <c r="AH829" s="8"/>
      <c r="AI829" s="8"/>
      <c r="AJ829" s="8"/>
      <c r="AK829" s="8"/>
      <c r="AL829" s="8"/>
      <c r="AM829" s="8"/>
      <c r="AN829" s="8"/>
      <c r="AO829" s="8"/>
      <c r="AP829" s="8"/>
      <c r="AQ829" s="8"/>
      <c r="AR829" s="8"/>
      <c r="AS829" s="8"/>
      <c r="AT829" s="8"/>
    </row>
    <row r="830">
      <c r="A830" s="415"/>
      <c r="B830" s="210"/>
      <c r="C830" s="415"/>
      <c r="D830" s="210"/>
      <c r="E830" s="415"/>
      <c r="F830" s="210"/>
      <c r="G830" s="415"/>
      <c r="H830" s="210"/>
      <c r="I830" s="423"/>
      <c r="J830" s="156"/>
      <c r="K830" s="423"/>
      <c r="L830" s="156"/>
      <c r="M830" s="415"/>
      <c r="N830" s="210"/>
      <c r="O830" s="415"/>
      <c r="P830" s="210"/>
      <c r="Q830" s="452"/>
      <c r="R830" s="452"/>
      <c r="S830" s="415"/>
      <c r="T830" s="210"/>
      <c r="U830" s="415"/>
      <c r="V830" s="210"/>
      <c r="W830" s="415"/>
      <c r="X830" s="210"/>
      <c r="Y830" s="8"/>
      <c r="Z830" s="8"/>
      <c r="AA830" s="8"/>
      <c r="AB830" s="8"/>
      <c r="AC830" s="8"/>
      <c r="AD830" s="8"/>
      <c r="AE830" s="8"/>
      <c r="AF830" s="8"/>
      <c r="AG830" s="8"/>
      <c r="AH830" s="8"/>
      <c r="AI830" s="8"/>
      <c r="AJ830" s="8"/>
      <c r="AK830" s="8"/>
      <c r="AL830" s="8"/>
      <c r="AM830" s="8"/>
      <c r="AN830" s="8"/>
      <c r="AO830" s="8"/>
      <c r="AP830" s="8"/>
      <c r="AQ830" s="8"/>
      <c r="AR830" s="8"/>
      <c r="AS830" s="8"/>
      <c r="AT830" s="8"/>
    </row>
    <row r="831">
      <c r="A831" s="415"/>
      <c r="B831" s="210"/>
      <c r="C831" s="415"/>
      <c r="D831" s="210"/>
      <c r="E831" s="415"/>
      <c r="F831" s="210"/>
      <c r="G831" s="415"/>
      <c r="H831" s="210"/>
      <c r="I831" s="423"/>
      <c r="J831" s="156"/>
      <c r="K831" s="423"/>
      <c r="L831" s="156"/>
      <c r="M831" s="415"/>
      <c r="N831" s="210"/>
      <c r="O831" s="415"/>
      <c r="P831" s="210"/>
      <c r="Q831" s="452"/>
      <c r="R831" s="452"/>
      <c r="S831" s="415"/>
      <c r="T831" s="210"/>
      <c r="U831" s="415"/>
      <c r="V831" s="210"/>
      <c r="W831" s="415"/>
      <c r="X831" s="210"/>
      <c r="Y831" s="8"/>
      <c r="Z831" s="8"/>
      <c r="AA831" s="8"/>
      <c r="AB831" s="8"/>
      <c r="AC831" s="8"/>
      <c r="AD831" s="8"/>
      <c r="AE831" s="8"/>
      <c r="AF831" s="8"/>
      <c r="AG831" s="8"/>
      <c r="AH831" s="8"/>
      <c r="AI831" s="8"/>
      <c r="AJ831" s="8"/>
      <c r="AK831" s="8"/>
      <c r="AL831" s="8"/>
      <c r="AM831" s="8"/>
      <c r="AN831" s="8"/>
      <c r="AO831" s="8"/>
      <c r="AP831" s="8"/>
      <c r="AQ831" s="8"/>
      <c r="AR831" s="8"/>
      <c r="AS831" s="8"/>
      <c r="AT831" s="8"/>
    </row>
    <row r="832">
      <c r="A832" s="415"/>
      <c r="B832" s="210"/>
      <c r="C832" s="415"/>
      <c r="D832" s="210"/>
      <c r="E832" s="415"/>
      <c r="F832" s="210"/>
      <c r="G832" s="415"/>
      <c r="H832" s="210"/>
      <c r="I832" s="423"/>
      <c r="J832" s="156"/>
      <c r="K832" s="423"/>
      <c r="L832" s="156"/>
      <c r="M832" s="415"/>
      <c r="N832" s="210"/>
      <c r="O832" s="415"/>
      <c r="P832" s="210"/>
      <c r="Q832" s="452"/>
      <c r="R832" s="452"/>
      <c r="S832" s="415"/>
      <c r="T832" s="210"/>
      <c r="U832" s="415"/>
      <c r="V832" s="210"/>
      <c r="W832" s="415"/>
      <c r="X832" s="210"/>
      <c r="Y832" s="8"/>
      <c r="Z832" s="8"/>
      <c r="AA832" s="8"/>
      <c r="AB832" s="8"/>
      <c r="AC832" s="8"/>
      <c r="AD832" s="8"/>
      <c r="AE832" s="8"/>
      <c r="AF832" s="8"/>
      <c r="AG832" s="8"/>
      <c r="AH832" s="8"/>
      <c r="AI832" s="8"/>
      <c r="AJ832" s="8"/>
      <c r="AK832" s="8"/>
      <c r="AL832" s="8"/>
      <c r="AM832" s="8"/>
      <c r="AN832" s="8"/>
      <c r="AO832" s="8"/>
      <c r="AP832" s="8"/>
      <c r="AQ832" s="8"/>
      <c r="AR832" s="8"/>
      <c r="AS832" s="8"/>
      <c r="AT832" s="8"/>
    </row>
    <row r="833">
      <c r="A833" s="415"/>
      <c r="B833" s="210"/>
      <c r="C833" s="415"/>
      <c r="D833" s="210"/>
      <c r="E833" s="415"/>
      <c r="F833" s="210"/>
      <c r="G833" s="415"/>
      <c r="H833" s="210"/>
      <c r="I833" s="423"/>
      <c r="J833" s="156"/>
      <c r="K833" s="423"/>
      <c r="L833" s="156"/>
      <c r="M833" s="415"/>
      <c r="N833" s="210"/>
      <c r="O833" s="415"/>
      <c r="P833" s="210"/>
      <c r="Q833" s="452"/>
      <c r="R833" s="452"/>
      <c r="S833" s="415"/>
      <c r="T833" s="210"/>
      <c r="U833" s="415"/>
      <c r="V833" s="210"/>
      <c r="W833" s="415"/>
      <c r="X833" s="210"/>
      <c r="Y833" s="8"/>
      <c r="Z833" s="8"/>
      <c r="AA833" s="8"/>
      <c r="AB833" s="8"/>
      <c r="AC833" s="8"/>
      <c r="AD833" s="8"/>
      <c r="AE833" s="8"/>
      <c r="AF833" s="8"/>
      <c r="AG833" s="8"/>
      <c r="AH833" s="8"/>
      <c r="AI833" s="8"/>
      <c r="AJ833" s="8"/>
      <c r="AK833" s="8"/>
      <c r="AL833" s="8"/>
      <c r="AM833" s="8"/>
      <c r="AN833" s="8"/>
      <c r="AO833" s="8"/>
      <c r="AP833" s="8"/>
      <c r="AQ833" s="8"/>
      <c r="AR833" s="8"/>
      <c r="AS833" s="8"/>
      <c r="AT833" s="8"/>
    </row>
    <row r="834">
      <c r="A834" s="415"/>
      <c r="B834" s="210"/>
      <c r="C834" s="415"/>
      <c r="D834" s="210"/>
      <c r="E834" s="415"/>
      <c r="F834" s="210"/>
      <c r="G834" s="415"/>
      <c r="H834" s="210"/>
      <c r="I834" s="423"/>
      <c r="J834" s="156"/>
      <c r="K834" s="423"/>
      <c r="L834" s="156"/>
      <c r="M834" s="415"/>
      <c r="N834" s="210"/>
      <c r="O834" s="415"/>
      <c r="P834" s="210"/>
      <c r="Q834" s="452"/>
      <c r="R834" s="452"/>
      <c r="S834" s="415"/>
      <c r="T834" s="210"/>
      <c r="U834" s="415"/>
      <c r="V834" s="210"/>
      <c r="W834" s="415"/>
      <c r="X834" s="210"/>
      <c r="Y834" s="8"/>
      <c r="Z834" s="8"/>
      <c r="AA834" s="8"/>
      <c r="AB834" s="8"/>
      <c r="AC834" s="8"/>
      <c r="AD834" s="8"/>
      <c r="AE834" s="8"/>
      <c r="AF834" s="8"/>
      <c r="AG834" s="8"/>
      <c r="AH834" s="8"/>
      <c r="AI834" s="8"/>
      <c r="AJ834" s="8"/>
      <c r="AK834" s="8"/>
      <c r="AL834" s="8"/>
      <c r="AM834" s="8"/>
      <c r="AN834" s="8"/>
      <c r="AO834" s="8"/>
      <c r="AP834" s="8"/>
      <c r="AQ834" s="8"/>
      <c r="AR834" s="8"/>
      <c r="AS834" s="8"/>
      <c r="AT834" s="8"/>
    </row>
    <row r="835">
      <c r="A835" s="415"/>
      <c r="B835" s="210"/>
      <c r="C835" s="415"/>
      <c r="D835" s="210"/>
      <c r="E835" s="415"/>
      <c r="F835" s="210"/>
      <c r="G835" s="415"/>
      <c r="H835" s="210"/>
      <c r="I835" s="423"/>
      <c r="J835" s="156"/>
      <c r="K835" s="423"/>
      <c r="L835" s="156"/>
      <c r="M835" s="415"/>
      <c r="N835" s="210"/>
      <c r="O835" s="415"/>
      <c r="P835" s="210"/>
      <c r="Q835" s="452"/>
      <c r="R835" s="452"/>
      <c r="S835" s="415"/>
      <c r="T835" s="210"/>
      <c r="U835" s="415"/>
      <c r="V835" s="210"/>
      <c r="W835" s="415"/>
      <c r="X835" s="210"/>
      <c r="Y835" s="8"/>
      <c r="Z835" s="8"/>
      <c r="AA835" s="8"/>
      <c r="AB835" s="8"/>
      <c r="AC835" s="8"/>
      <c r="AD835" s="8"/>
      <c r="AE835" s="8"/>
      <c r="AF835" s="8"/>
      <c r="AG835" s="8"/>
      <c r="AH835" s="8"/>
      <c r="AI835" s="8"/>
      <c r="AJ835" s="8"/>
      <c r="AK835" s="8"/>
      <c r="AL835" s="8"/>
      <c r="AM835" s="8"/>
      <c r="AN835" s="8"/>
      <c r="AO835" s="8"/>
      <c r="AP835" s="8"/>
      <c r="AQ835" s="8"/>
      <c r="AR835" s="8"/>
      <c r="AS835" s="8"/>
      <c r="AT835" s="8"/>
    </row>
    <row r="836">
      <c r="A836" s="415"/>
      <c r="B836" s="210"/>
      <c r="C836" s="415"/>
      <c r="D836" s="210"/>
      <c r="E836" s="415"/>
      <c r="F836" s="210"/>
      <c r="G836" s="415"/>
      <c r="H836" s="210"/>
      <c r="I836" s="423"/>
      <c r="J836" s="156"/>
      <c r="K836" s="423"/>
      <c r="L836" s="156"/>
      <c r="M836" s="415"/>
      <c r="N836" s="210"/>
      <c r="O836" s="415"/>
      <c r="P836" s="210"/>
      <c r="Q836" s="452"/>
      <c r="R836" s="452"/>
      <c r="S836" s="415"/>
      <c r="T836" s="210"/>
      <c r="U836" s="415"/>
      <c r="V836" s="210"/>
      <c r="W836" s="415"/>
      <c r="X836" s="210"/>
      <c r="Y836" s="8"/>
      <c r="Z836" s="8"/>
      <c r="AA836" s="8"/>
      <c r="AB836" s="8"/>
      <c r="AC836" s="8"/>
      <c r="AD836" s="8"/>
      <c r="AE836" s="8"/>
      <c r="AF836" s="8"/>
      <c r="AG836" s="8"/>
      <c r="AH836" s="8"/>
      <c r="AI836" s="8"/>
      <c r="AJ836" s="8"/>
      <c r="AK836" s="8"/>
      <c r="AL836" s="8"/>
      <c r="AM836" s="8"/>
      <c r="AN836" s="8"/>
      <c r="AO836" s="8"/>
      <c r="AP836" s="8"/>
      <c r="AQ836" s="8"/>
      <c r="AR836" s="8"/>
      <c r="AS836" s="8"/>
      <c r="AT836" s="8"/>
    </row>
    <row r="837">
      <c r="A837" s="415"/>
      <c r="B837" s="210"/>
      <c r="C837" s="415"/>
      <c r="D837" s="210"/>
      <c r="E837" s="415"/>
      <c r="F837" s="210"/>
      <c r="G837" s="415"/>
      <c r="H837" s="210"/>
      <c r="I837" s="423"/>
      <c r="J837" s="156"/>
      <c r="K837" s="423"/>
      <c r="L837" s="156"/>
      <c r="M837" s="415"/>
      <c r="N837" s="210"/>
      <c r="O837" s="415"/>
      <c r="P837" s="210"/>
      <c r="Q837" s="452"/>
      <c r="R837" s="452"/>
      <c r="S837" s="415"/>
      <c r="T837" s="210"/>
      <c r="U837" s="415"/>
      <c r="V837" s="210"/>
      <c r="W837" s="415"/>
      <c r="X837" s="210"/>
      <c r="Y837" s="8"/>
      <c r="Z837" s="8"/>
      <c r="AA837" s="8"/>
      <c r="AB837" s="8"/>
      <c r="AC837" s="8"/>
      <c r="AD837" s="8"/>
      <c r="AE837" s="8"/>
      <c r="AF837" s="8"/>
      <c r="AG837" s="8"/>
      <c r="AH837" s="8"/>
      <c r="AI837" s="8"/>
      <c r="AJ837" s="8"/>
      <c r="AK837" s="8"/>
      <c r="AL837" s="8"/>
      <c r="AM837" s="8"/>
      <c r="AN837" s="8"/>
      <c r="AO837" s="8"/>
      <c r="AP837" s="8"/>
      <c r="AQ837" s="8"/>
      <c r="AR837" s="8"/>
      <c r="AS837" s="8"/>
      <c r="AT837" s="8"/>
    </row>
    <row r="838">
      <c r="A838" s="415"/>
      <c r="B838" s="210"/>
      <c r="C838" s="415"/>
      <c r="D838" s="210"/>
      <c r="E838" s="415"/>
      <c r="F838" s="210"/>
      <c r="G838" s="415"/>
      <c r="H838" s="210"/>
      <c r="I838" s="423"/>
      <c r="J838" s="156"/>
      <c r="K838" s="423"/>
      <c r="L838" s="156"/>
      <c r="M838" s="415"/>
      <c r="N838" s="210"/>
      <c r="O838" s="415"/>
      <c r="P838" s="210"/>
      <c r="Q838" s="452"/>
      <c r="R838" s="452"/>
      <c r="S838" s="415"/>
      <c r="T838" s="210"/>
      <c r="U838" s="415"/>
      <c r="V838" s="210"/>
      <c r="W838" s="415"/>
      <c r="X838" s="210"/>
      <c r="Y838" s="8"/>
      <c r="Z838" s="8"/>
      <c r="AA838" s="8"/>
      <c r="AB838" s="8"/>
      <c r="AC838" s="8"/>
      <c r="AD838" s="8"/>
      <c r="AE838" s="8"/>
      <c r="AF838" s="8"/>
      <c r="AG838" s="8"/>
      <c r="AH838" s="8"/>
      <c r="AI838" s="8"/>
      <c r="AJ838" s="8"/>
      <c r="AK838" s="8"/>
      <c r="AL838" s="8"/>
      <c r="AM838" s="8"/>
      <c r="AN838" s="8"/>
      <c r="AO838" s="8"/>
      <c r="AP838" s="8"/>
      <c r="AQ838" s="8"/>
      <c r="AR838" s="8"/>
      <c r="AS838" s="8"/>
      <c r="AT838" s="8"/>
    </row>
    <row r="839">
      <c r="A839" s="415"/>
      <c r="B839" s="210"/>
      <c r="C839" s="415"/>
      <c r="D839" s="210"/>
      <c r="E839" s="415"/>
      <c r="F839" s="210"/>
      <c r="G839" s="415"/>
      <c r="H839" s="210"/>
      <c r="I839" s="423"/>
      <c r="J839" s="156"/>
      <c r="K839" s="423"/>
      <c r="L839" s="156"/>
      <c r="M839" s="415"/>
      <c r="N839" s="210"/>
      <c r="O839" s="415"/>
      <c r="P839" s="210"/>
      <c r="Q839" s="452"/>
      <c r="R839" s="452"/>
      <c r="S839" s="415"/>
      <c r="T839" s="210"/>
      <c r="U839" s="415"/>
      <c r="V839" s="210"/>
      <c r="W839" s="415"/>
      <c r="X839" s="210"/>
      <c r="Y839" s="8"/>
      <c r="Z839" s="8"/>
      <c r="AA839" s="8"/>
      <c r="AB839" s="8"/>
      <c r="AC839" s="8"/>
      <c r="AD839" s="8"/>
      <c r="AE839" s="8"/>
      <c r="AF839" s="8"/>
      <c r="AG839" s="8"/>
      <c r="AH839" s="8"/>
      <c r="AI839" s="8"/>
      <c r="AJ839" s="8"/>
      <c r="AK839" s="8"/>
      <c r="AL839" s="8"/>
      <c r="AM839" s="8"/>
      <c r="AN839" s="8"/>
      <c r="AO839" s="8"/>
      <c r="AP839" s="8"/>
      <c r="AQ839" s="8"/>
      <c r="AR839" s="8"/>
      <c r="AS839" s="8"/>
      <c r="AT839" s="8"/>
    </row>
    <row r="840">
      <c r="A840" s="415"/>
      <c r="B840" s="210"/>
      <c r="C840" s="415"/>
      <c r="D840" s="210"/>
      <c r="E840" s="415"/>
      <c r="F840" s="210"/>
      <c r="G840" s="415"/>
      <c r="H840" s="210"/>
      <c r="I840" s="423"/>
      <c r="J840" s="156"/>
      <c r="K840" s="423"/>
      <c r="L840" s="156"/>
      <c r="M840" s="415"/>
      <c r="N840" s="210"/>
      <c r="O840" s="415"/>
      <c r="P840" s="210"/>
      <c r="Q840" s="452"/>
      <c r="R840" s="452"/>
      <c r="S840" s="415"/>
      <c r="T840" s="210"/>
      <c r="U840" s="415"/>
      <c r="V840" s="210"/>
      <c r="W840" s="415"/>
      <c r="X840" s="210"/>
      <c r="Y840" s="8"/>
      <c r="Z840" s="8"/>
      <c r="AA840" s="8"/>
      <c r="AB840" s="8"/>
      <c r="AC840" s="8"/>
      <c r="AD840" s="8"/>
      <c r="AE840" s="8"/>
      <c r="AF840" s="8"/>
      <c r="AG840" s="8"/>
      <c r="AH840" s="8"/>
      <c r="AI840" s="8"/>
      <c r="AJ840" s="8"/>
      <c r="AK840" s="8"/>
      <c r="AL840" s="8"/>
      <c r="AM840" s="8"/>
      <c r="AN840" s="8"/>
      <c r="AO840" s="8"/>
      <c r="AP840" s="8"/>
      <c r="AQ840" s="8"/>
      <c r="AR840" s="8"/>
      <c r="AS840" s="8"/>
      <c r="AT840" s="8"/>
    </row>
    <row r="841">
      <c r="A841" s="415"/>
      <c r="B841" s="210"/>
      <c r="C841" s="415"/>
      <c r="D841" s="210"/>
      <c r="E841" s="415"/>
      <c r="F841" s="210"/>
      <c r="G841" s="415"/>
      <c r="H841" s="210"/>
      <c r="I841" s="423"/>
      <c r="J841" s="156"/>
      <c r="K841" s="423"/>
      <c r="L841" s="156"/>
      <c r="M841" s="415"/>
      <c r="N841" s="210"/>
      <c r="O841" s="415"/>
      <c r="P841" s="210"/>
      <c r="Q841" s="452"/>
      <c r="R841" s="452"/>
      <c r="S841" s="415"/>
      <c r="T841" s="210"/>
      <c r="U841" s="415"/>
      <c r="V841" s="210"/>
      <c r="W841" s="415"/>
      <c r="X841" s="210"/>
      <c r="Y841" s="8"/>
      <c r="Z841" s="8"/>
      <c r="AA841" s="8"/>
      <c r="AB841" s="8"/>
      <c r="AC841" s="8"/>
      <c r="AD841" s="8"/>
      <c r="AE841" s="8"/>
      <c r="AF841" s="8"/>
      <c r="AG841" s="8"/>
      <c r="AH841" s="8"/>
      <c r="AI841" s="8"/>
      <c r="AJ841" s="8"/>
      <c r="AK841" s="8"/>
      <c r="AL841" s="8"/>
      <c r="AM841" s="8"/>
      <c r="AN841" s="8"/>
      <c r="AO841" s="8"/>
      <c r="AP841" s="8"/>
      <c r="AQ841" s="8"/>
      <c r="AR841" s="8"/>
      <c r="AS841" s="8"/>
      <c r="AT841" s="8"/>
    </row>
    <row r="842">
      <c r="A842" s="415"/>
      <c r="B842" s="210"/>
      <c r="C842" s="415"/>
      <c r="D842" s="210"/>
      <c r="E842" s="415"/>
      <c r="F842" s="210"/>
      <c r="G842" s="415"/>
      <c r="H842" s="210"/>
      <c r="I842" s="423"/>
      <c r="J842" s="156"/>
      <c r="K842" s="423"/>
      <c r="L842" s="156"/>
      <c r="M842" s="415"/>
      <c r="N842" s="210"/>
      <c r="O842" s="415"/>
      <c r="P842" s="210"/>
      <c r="Q842" s="452"/>
      <c r="R842" s="452"/>
      <c r="S842" s="415"/>
      <c r="T842" s="210"/>
      <c r="U842" s="415"/>
      <c r="V842" s="210"/>
      <c r="W842" s="415"/>
      <c r="X842" s="210"/>
      <c r="Y842" s="8"/>
      <c r="Z842" s="8"/>
      <c r="AA842" s="8"/>
      <c r="AB842" s="8"/>
      <c r="AC842" s="8"/>
      <c r="AD842" s="8"/>
      <c r="AE842" s="8"/>
      <c r="AF842" s="8"/>
      <c r="AG842" s="8"/>
      <c r="AH842" s="8"/>
      <c r="AI842" s="8"/>
      <c r="AJ842" s="8"/>
      <c r="AK842" s="8"/>
      <c r="AL842" s="8"/>
      <c r="AM842" s="8"/>
      <c r="AN842" s="8"/>
      <c r="AO842" s="8"/>
      <c r="AP842" s="8"/>
      <c r="AQ842" s="8"/>
      <c r="AR842" s="8"/>
      <c r="AS842" s="8"/>
      <c r="AT842" s="8"/>
    </row>
    <row r="843">
      <c r="A843" s="415"/>
      <c r="B843" s="210"/>
      <c r="C843" s="415"/>
      <c r="D843" s="210"/>
      <c r="E843" s="415"/>
      <c r="F843" s="210"/>
      <c r="G843" s="415"/>
      <c r="H843" s="210"/>
      <c r="I843" s="423"/>
      <c r="J843" s="156"/>
      <c r="K843" s="423"/>
      <c r="L843" s="156"/>
      <c r="M843" s="415"/>
      <c r="N843" s="210"/>
      <c r="O843" s="415"/>
      <c r="P843" s="210"/>
      <c r="Q843" s="452"/>
      <c r="R843" s="452"/>
      <c r="S843" s="415"/>
      <c r="T843" s="210"/>
      <c r="U843" s="415"/>
      <c r="V843" s="210"/>
      <c r="W843" s="415"/>
      <c r="X843" s="210"/>
      <c r="Y843" s="8"/>
      <c r="Z843" s="8"/>
      <c r="AA843" s="8"/>
      <c r="AB843" s="8"/>
      <c r="AC843" s="8"/>
      <c r="AD843" s="8"/>
      <c r="AE843" s="8"/>
      <c r="AF843" s="8"/>
      <c r="AG843" s="8"/>
      <c r="AH843" s="8"/>
      <c r="AI843" s="8"/>
      <c r="AJ843" s="8"/>
      <c r="AK843" s="8"/>
      <c r="AL843" s="8"/>
      <c r="AM843" s="8"/>
      <c r="AN843" s="8"/>
      <c r="AO843" s="8"/>
      <c r="AP843" s="8"/>
      <c r="AQ843" s="8"/>
      <c r="AR843" s="8"/>
      <c r="AS843" s="8"/>
      <c r="AT843" s="8"/>
    </row>
    <row r="844">
      <c r="A844" s="415"/>
      <c r="B844" s="210"/>
      <c r="C844" s="415"/>
      <c r="D844" s="210"/>
      <c r="E844" s="415"/>
      <c r="F844" s="210"/>
      <c r="G844" s="415"/>
      <c r="H844" s="210"/>
      <c r="I844" s="423"/>
      <c r="J844" s="156"/>
      <c r="K844" s="423"/>
      <c r="L844" s="156"/>
      <c r="M844" s="415"/>
      <c r="N844" s="210"/>
      <c r="O844" s="415"/>
      <c r="P844" s="210"/>
      <c r="Q844" s="452"/>
      <c r="R844" s="452"/>
      <c r="S844" s="415"/>
      <c r="T844" s="210"/>
      <c r="U844" s="415"/>
      <c r="V844" s="210"/>
      <c r="W844" s="415"/>
      <c r="X844" s="210"/>
      <c r="Y844" s="8"/>
      <c r="Z844" s="8"/>
      <c r="AA844" s="8"/>
      <c r="AB844" s="8"/>
      <c r="AC844" s="8"/>
      <c r="AD844" s="8"/>
      <c r="AE844" s="8"/>
      <c r="AF844" s="8"/>
      <c r="AG844" s="8"/>
      <c r="AH844" s="8"/>
      <c r="AI844" s="8"/>
      <c r="AJ844" s="8"/>
      <c r="AK844" s="8"/>
      <c r="AL844" s="8"/>
      <c r="AM844" s="8"/>
      <c r="AN844" s="8"/>
      <c r="AO844" s="8"/>
      <c r="AP844" s="8"/>
      <c r="AQ844" s="8"/>
      <c r="AR844" s="8"/>
      <c r="AS844" s="8"/>
      <c r="AT844" s="8"/>
    </row>
    <row r="845">
      <c r="A845" s="415"/>
      <c r="B845" s="210"/>
      <c r="C845" s="415"/>
      <c r="D845" s="210"/>
      <c r="E845" s="415"/>
      <c r="F845" s="210"/>
      <c r="G845" s="415"/>
      <c r="H845" s="210"/>
      <c r="I845" s="423"/>
      <c r="J845" s="156"/>
      <c r="K845" s="423"/>
      <c r="L845" s="156"/>
      <c r="M845" s="415"/>
      <c r="N845" s="210"/>
      <c r="O845" s="415"/>
      <c r="P845" s="210"/>
      <c r="Q845" s="452"/>
      <c r="R845" s="452"/>
      <c r="S845" s="415"/>
      <c r="T845" s="210"/>
      <c r="U845" s="415"/>
      <c r="V845" s="210"/>
      <c r="W845" s="415"/>
      <c r="X845" s="210"/>
      <c r="Y845" s="8"/>
      <c r="Z845" s="8"/>
      <c r="AA845" s="8"/>
      <c r="AB845" s="8"/>
      <c r="AC845" s="8"/>
      <c r="AD845" s="8"/>
      <c r="AE845" s="8"/>
      <c r="AF845" s="8"/>
      <c r="AG845" s="8"/>
      <c r="AH845" s="8"/>
      <c r="AI845" s="8"/>
      <c r="AJ845" s="8"/>
      <c r="AK845" s="8"/>
      <c r="AL845" s="8"/>
      <c r="AM845" s="8"/>
      <c r="AN845" s="8"/>
      <c r="AO845" s="8"/>
      <c r="AP845" s="8"/>
      <c r="AQ845" s="8"/>
      <c r="AR845" s="8"/>
      <c r="AS845" s="8"/>
      <c r="AT845" s="8"/>
    </row>
    <row r="846">
      <c r="A846" s="415"/>
      <c r="B846" s="210"/>
      <c r="C846" s="415"/>
      <c r="D846" s="210"/>
      <c r="E846" s="415"/>
      <c r="F846" s="210"/>
      <c r="G846" s="415"/>
      <c r="H846" s="210"/>
      <c r="I846" s="423"/>
      <c r="J846" s="156"/>
      <c r="K846" s="423"/>
      <c r="L846" s="156"/>
      <c r="M846" s="415"/>
      <c r="N846" s="210"/>
      <c r="O846" s="415"/>
      <c r="P846" s="210"/>
      <c r="Q846" s="452"/>
      <c r="R846" s="452"/>
      <c r="S846" s="415"/>
      <c r="T846" s="210"/>
      <c r="U846" s="415"/>
      <c r="V846" s="210"/>
      <c r="W846" s="415"/>
      <c r="X846" s="210"/>
      <c r="Y846" s="8"/>
      <c r="Z846" s="8"/>
      <c r="AA846" s="8"/>
      <c r="AB846" s="8"/>
      <c r="AC846" s="8"/>
      <c r="AD846" s="8"/>
      <c r="AE846" s="8"/>
      <c r="AF846" s="8"/>
      <c r="AG846" s="8"/>
      <c r="AH846" s="8"/>
      <c r="AI846" s="8"/>
      <c r="AJ846" s="8"/>
      <c r="AK846" s="8"/>
      <c r="AL846" s="8"/>
      <c r="AM846" s="8"/>
      <c r="AN846" s="8"/>
      <c r="AO846" s="8"/>
      <c r="AP846" s="8"/>
      <c r="AQ846" s="8"/>
      <c r="AR846" s="8"/>
      <c r="AS846" s="8"/>
      <c r="AT846" s="8"/>
    </row>
    <row r="847">
      <c r="A847" s="415"/>
      <c r="B847" s="210"/>
      <c r="C847" s="415"/>
      <c r="D847" s="210"/>
      <c r="E847" s="415"/>
      <c r="F847" s="210"/>
      <c r="G847" s="415"/>
      <c r="H847" s="210"/>
      <c r="I847" s="423"/>
      <c r="J847" s="156"/>
      <c r="K847" s="423"/>
      <c r="L847" s="156"/>
      <c r="M847" s="415"/>
      <c r="N847" s="210"/>
      <c r="O847" s="415"/>
      <c r="P847" s="210"/>
      <c r="Q847" s="452"/>
      <c r="R847" s="452"/>
      <c r="S847" s="415"/>
      <c r="T847" s="210"/>
      <c r="U847" s="415"/>
      <c r="V847" s="210"/>
      <c r="W847" s="415"/>
      <c r="X847" s="210"/>
      <c r="Y847" s="8"/>
      <c r="Z847" s="8"/>
      <c r="AA847" s="8"/>
      <c r="AB847" s="8"/>
      <c r="AC847" s="8"/>
      <c r="AD847" s="8"/>
      <c r="AE847" s="8"/>
      <c r="AF847" s="8"/>
      <c r="AG847" s="8"/>
      <c r="AH847" s="8"/>
      <c r="AI847" s="8"/>
      <c r="AJ847" s="8"/>
      <c r="AK847" s="8"/>
      <c r="AL847" s="8"/>
      <c r="AM847" s="8"/>
      <c r="AN847" s="8"/>
      <c r="AO847" s="8"/>
      <c r="AP847" s="8"/>
      <c r="AQ847" s="8"/>
      <c r="AR847" s="8"/>
      <c r="AS847" s="8"/>
      <c r="AT847" s="8"/>
    </row>
    <row r="848">
      <c r="A848" s="415"/>
      <c r="B848" s="210"/>
      <c r="C848" s="415"/>
      <c r="D848" s="210"/>
      <c r="E848" s="415"/>
      <c r="F848" s="210"/>
      <c r="G848" s="415"/>
      <c r="H848" s="210"/>
      <c r="I848" s="423"/>
      <c r="J848" s="156"/>
      <c r="K848" s="423"/>
      <c r="L848" s="156"/>
      <c r="M848" s="415"/>
      <c r="N848" s="210"/>
      <c r="O848" s="415"/>
      <c r="P848" s="210"/>
      <c r="Q848" s="452"/>
      <c r="R848" s="452"/>
      <c r="S848" s="415"/>
      <c r="T848" s="210"/>
      <c r="U848" s="415"/>
      <c r="V848" s="210"/>
      <c r="W848" s="415"/>
      <c r="X848" s="210"/>
      <c r="Y848" s="8"/>
      <c r="Z848" s="8"/>
      <c r="AA848" s="8"/>
      <c r="AB848" s="8"/>
      <c r="AC848" s="8"/>
      <c r="AD848" s="8"/>
      <c r="AE848" s="8"/>
      <c r="AF848" s="8"/>
      <c r="AG848" s="8"/>
      <c r="AH848" s="8"/>
      <c r="AI848" s="8"/>
      <c r="AJ848" s="8"/>
      <c r="AK848" s="8"/>
      <c r="AL848" s="8"/>
      <c r="AM848" s="8"/>
      <c r="AN848" s="8"/>
      <c r="AO848" s="8"/>
      <c r="AP848" s="8"/>
      <c r="AQ848" s="8"/>
      <c r="AR848" s="8"/>
      <c r="AS848" s="8"/>
      <c r="AT848" s="8"/>
    </row>
    <row r="849">
      <c r="A849" s="415"/>
      <c r="B849" s="210"/>
      <c r="C849" s="415"/>
      <c r="D849" s="210"/>
      <c r="E849" s="415"/>
      <c r="F849" s="210"/>
      <c r="G849" s="415"/>
      <c r="H849" s="210"/>
      <c r="I849" s="423"/>
      <c r="J849" s="156"/>
      <c r="K849" s="423"/>
      <c r="L849" s="156"/>
      <c r="M849" s="415"/>
      <c r="N849" s="210"/>
      <c r="O849" s="415"/>
      <c r="P849" s="210"/>
      <c r="Q849" s="452"/>
      <c r="R849" s="452"/>
      <c r="S849" s="415"/>
      <c r="T849" s="210"/>
      <c r="U849" s="415"/>
      <c r="V849" s="210"/>
      <c r="W849" s="415"/>
      <c r="X849" s="210"/>
      <c r="Y849" s="8"/>
      <c r="Z849" s="8"/>
      <c r="AA849" s="8"/>
      <c r="AB849" s="8"/>
      <c r="AC849" s="8"/>
      <c r="AD849" s="8"/>
      <c r="AE849" s="8"/>
      <c r="AF849" s="8"/>
      <c r="AG849" s="8"/>
      <c r="AH849" s="8"/>
      <c r="AI849" s="8"/>
      <c r="AJ849" s="8"/>
      <c r="AK849" s="8"/>
      <c r="AL849" s="8"/>
      <c r="AM849" s="8"/>
      <c r="AN849" s="8"/>
      <c r="AO849" s="8"/>
      <c r="AP849" s="8"/>
      <c r="AQ849" s="8"/>
      <c r="AR849" s="8"/>
      <c r="AS849" s="8"/>
      <c r="AT849" s="8"/>
    </row>
    <row r="850">
      <c r="A850" s="415"/>
      <c r="B850" s="210"/>
      <c r="C850" s="415"/>
      <c r="D850" s="210"/>
      <c r="E850" s="415"/>
      <c r="F850" s="210"/>
      <c r="G850" s="415"/>
      <c r="H850" s="210"/>
      <c r="I850" s="423"/>
      <c r="J850" s="156"/>
      <c r="K850" s="423"/>
      <c r="L850" s="156"/>
      <c r="M850" s="415"/>
      <c r="N850" s="210"/>
      <c r="O850" s="415"/>
      <c r="P850" s="210"/>
      <c r="Q850" s="452"/>
      <c r="R850" s="452"/>
      <c r="S850" s="415"/>
      <c r="T850" s="210"/>
      <c r="U850" s="415"/>
      <c r="V850" s="210"/>
      <c r="W850" s="415"/>
      <c r="X850" s="210"/>
      <c r="Y850" s="8"/>
      <c r="Z850" s="8"/>
      <c r="AA850" s="8"/>
      <c r="AB850" s="8"/>
      <c r="AC850" s="8"/>
      <c r="AD850" s="8"/>
      <c r="AE850" s="8"/>
      <c r="AF850" s="8"/>
      <c r="AG850" s="8"/>
      <c r="AH850" s="8"/>
      <c r="AI850" s="8"/>
      <c r="AJ850" s="8"/>
      <c r="AK850" s="8"/>
      <c r="AL850" s="8"/>
      <c r="AM850" s="8"/>
      <c r="AN850" s="8"/>
      <c r="AO850" s="8"/>
      <c r="AP850" s="8"/>
      <c r="AQ850" s="8"/>
      <c r="AR850" s="8"/>
      <c r="AS850" s="8"/>
      <c r="AT850" s="8"/>
    </row>
    <row r="851">
      <c r="A851" s="415"/>
      <c r="B851" s="210"/>
      <c r="C851" s="415"/>
      <c r="D851" s="210"/>
      <c r="E851" s="415"/>
      <c r="F851" s="210"/>
      <c r="G851" s="415"/>
      <c r="H851" s="210"/>
      <c r="I851" s="423"/>
      <c r="J851" s="156"/>
      <c r="K851" s="423"/>
      <c r="L851" s="156"/>
      <c r="M851" s="415"/>
      <c r="N851" s="210"/>
      <c r="O851" s="415"/>
      <c r="P851" s="210"/>
      <c r="Q851" s="452"/>
      <c r="R851" s="452"/>
      <c r="S851" s="415"/>
      <c r="T851" s="210"/>
      <c r="U851" s="415"/>
      <c r="V851" s="210"/>
      <c r="W851" s="415"/>
      <c r="X851" s="210"/>
      <c r="Y851" s="8"/>
      <c r="Z851" s="8"/>
      <c r="AA851" s="8"/>
      <c r="AB851" s="8"/>
      <c r="AC851" s="8"/>
      <c r="AD851" s="8"/>
      <c r="AE851" s="8"/>
      <c r="AF851" s="8"/>
      <c r="AG851" s="8"/>
      <c r="AH851" s="8"/>
      <c r="AI851" s="8"/>
      <c r="AJ851" s="8"/>
      <c r="AK851" s="8"/>
      <c r="AL851" s="8"/>
      <c r="AM851" s="8"/>
      <c r="AN851" s="8"/>
      <c r="AO851" s="8"/>
      <c r="AP851" s="8"/>
      <c r="AQ851" s="8"/>
      <c r="AR851" s="8"/>
      <c r="AS851" s="8"/>
      <c r="AT851" s="8"/>
    </row>
    <row r="852">
      <c r="A852" s="415"/>
      <c r="B852" s="210"/>
      <c r="C852" s="415"/>
      <c r="D852" s="210"/>
      <c r="E852" s="415"/>
      <c r="F852" s="210"/>
      <c r="G852" s="415"/>
      <c r="H852" s="210"/>
      <c r="I852" s="423"/>
      <c r="J852" s="156"/>
      <c r="K852" s="423"/>
      <c r="L852" s="156"/>
      <c r="M852" s="415"/>
      <c r="N852" s="210"/>
      <c r="O852" s="415"/>
      <c r="P852" s="210"/>
      <c r="Q852" s="452"/>
      <c r="R852" s="452"/>
      <c r="S852" s="415"/>
      <c r="T852" s="210"/>
      <c r="U852" s="415"/>
      <c r="V852" s="210"/>
      <c r="W852" s="415"/>
      <c r="X852" s="210"/>
      <c r="Y852" s="8"/>
      <c r="Z852" s="8"/>
      <c r="AA852" s="8"/>
      <c r="AB852" s="8"/>
      <c r="AC852" s="8"/>
      <c r="AD852" s="8"/>
      <c r="AE852" s="8"/>
      <c r="AF852" s="8"/>
      <c r="AG852" s="8"/>
      <c r="AH852" s="8"/>
      <c r="AI852" s="8"/>
      <c r="AJ852" s="8"/>
      <c r="AK852" s="8"/>
      <c r="AL852" s="8"/>
      <c r="AM852" s="8"/>
      <c r="AN852" s="8"/>
      <c r="AO852" s="8"/>
      <c r="AP852" s="8"/>
      <c r="AQ852" s="8"/>
      <c r="AR852" s="8"/>
      <c r="AS852" s="8"/>
      <c r="AT852" s="8"/>
    </row>
    <row r="853">
      <c r="A853" s="415"/>
      <c r="B853" s="210"/>
      <c r="C853" s="415"/>
      <c r="D853" s="210"/>
      <c r="E853" s="415"/>
      <c r="F853" s="210"/>
      <c r="G853" s="415"/>
      <c r="H853" s="210"/>
      <c r="I853" s="423"/>
      <c r="J853" s="156"/>
      <c r="K853" s="423"/>
      <c r="L853" s="156"/>
      <c r="M853" s="415"/>
      <c r="N853" s="210"/>
      <c r="O853" s="415"/>
      <c r="P853" s="210"/>
      <c r="Q853" s="452"/>
      <c r="R853" s="452"/>
      <c r="S853" s="415"/>
      <c r="T853" s="210"/>
      <c r="U853" s="415"/>
      <c r="V853" s="210"/>
      <c r="W853" s="415"/>
      <c r="X853" s="210"/>
      <c r="Y853" s="8"/>
      <c r="Z853" s="8"/>
      <c r="AA853" s="8"/>
      <c r="AB853" s="8"/>
      <c r="AC853" s="8"/>
      <c r="AD853" s="8"/>
      <c r="AE853" s="8"/>
      <c r="AF853" s="8"/>
      <c r="AG853" s="8"/>
      <c r="AH853" s="8"/>
      <c r="AI853" s="8"/>
      <c r="AJ853" s="8"/>
      <c r="AK853" s="8"/>
      <c r="AL853" s="8"/>
      <c r="AM853" s="8"/>
      <c r="AN853" s="8"/>
      <c r="AO853" s="8"/>
      <c r="AP853" s="8"/>
      <c r="AQ853" s="8"/>
      <c r="AR853" s="8"/>
      <c r="AS853" s="8"/>
      <c r="AT853" s="8"/>
    </row>
    <row r="854">
      <c r="A854" s="415"/>
      <c r="B854" s="210"/>
      <c r="C854" s="415"/>
      <c r="D854" s="210"/>
      <c r="E854" s="415"/>
      <c r="F854" s="210"/>
      <c r="G854" s="415"/>
      <c r="H854" s="210"/>
      <c r="I854" s="423"/>
      <c r="J854" s="156"/>
      <c r="K854" s="423"/>
      <c r="L854" s="156"/>
      <c r="M854" s="415"/>
      <c r="N854" s="210"/>
      <c r="O854" s="415"/>
      <c r="P854" s="210"/>
      <c r="Q854" s="452"/>
      <c r="R854" s="452"/>
      <c r="S854" s="415"/>
      <c r="T854" s="210"/>
      <c r="U854" s="415"/>
      <c r="V854" s="210"/>
      <c r="W854" s="415"/>
      <c r="X854" s="210"/>
      <c r="Y854" s="8"/>
      <c r="Z854" s="8"/>
      <c r="AA854" s="8"/>
      <c r="AB854" s="8"/>
      <c r="AC854" s="8"/>
      <c r="AD854" s="8"/>
      <c r="AE854" s="8"/>
      <c r="AF854" s="8"/>
      <c r="AG854" s="8"/>
      <c r="AH854" s="8"/>
      <c r="AI854" s="8"/>
      <c r="AJ854" s="8"/>
      <c r="AK854" s="8"/>
      <c r="AL854" s="8"/>
      <c r="AM854" s="8"/>
      <c r="AN854" s="8"/>
      <c r="AO854" s="8"/>
      <c r="AP854" s="8"/>
      <c r="AQ854" s="8"/>
      <c r="AR854" s="8"/>
      <c r="AS854" s="8"/>
      <c r="AT854" s="8"/>
    </row>
    <row r="855">
      <c r="A855" s="415"/>
      <c r="B855" s="210"/>
      <c r="C855" s="415"/>
      <c r="D855" s="210"/>
      <c r="E855" s="415"/>
      <c r="F855" s="210"/>
      <c r="G855" s="415"/>
      <c r="H855" s="210"/>
      <c r="I855" s="423"/>
      <c r="J855" s="156"/>
      <c r="K855" s="423"/>
      <c r="L855" s="156"/>
      <c r="M855" s="415"/>
      <c r="N855" s="210"/>
      <c r="O855" s="415"/>
      <c r="P855" s="210"/>
      <c r="Q855" s="452"/>
      <c r="R855" s="452"/>
      <c r="S855" s="415"/>
      <c r="T855" s="210"/>
      <c r="U855" s="415"/>
      <c r="V855" s="210"/>
      <c r="W855" s="415"/>
      <c r="X855" s="210"/>
      <c r="Y855" s="8"/>
      <c r="Z855" s="8"/>
      <c r="AA855" s="8"/>
      <c r="AB855" s="8"/>
      <c r="AC855" s="8"/>
      <c r="AD855" s="8"/>
      <c r="AE855" s="8"/>
      <c r="AF855" s="8"/>
      <c r="AG855" s="8"/>
      <c r="AH855" s="8"/>
      <c r="AI855" s="8"/>
      <c r="AJ855" s="8"/>
      <c r="AK855" s="8"/>
      <c r="AL855" s="8"/>
      <c r="AM855" s="8"/>
      <c r="AN855" s="8"/>
      <c r="AO855" s="8"/>
      <c r="AP855" s="8"/>
      <c r="AQ855" s="8"/>
      <c r="AR855" s="8"/>
      <c r="AS855" s="8"/>
      <c r="AT855" s="8"/>
    </row>
    <row r="856">
      <c r="A856" s="415"/>
      <c r="B856" s="210"/>
      <c r="C856" s="415"/>
      <c r="D856" s="210"/>
      <c r="E856" s="415"/>
      <c r="F856" s="210"/>
      <c r="G856" s="415"/>
      <c r="H856" s="210"/>
      <c r="I856" s="423"/>
      <c r="J856" s="156"/>
      <c r="K856" s="423"/>
      <c r="L856" s="156"/>
      <c r="M856" s="415"/>
      <c r="N856" s="210"/>
      <c r="O856" s="415"/>
      <c r="P856" s="210"/>
      <c r="Q856" s="452"/>
      <c r="R856" s="452"/>
      <c r="S856" s="415"/>
      <c r="T856" s="210"/>
      <c r="U856" s="415"/>
      <c r="V856" s="210"/>
      <c r="W856" s="415"/>
      <c r="X856" s="210"/>
      <c r="Y856" s="8"/>
      <c r="Z856" s="8"/>
      <c r="AA856" s="8"/>
      <c r="AB856" s="8"/>
      <c r="AC856" s="8"/>
      <c r="AD856" s="8"/>
      <c r="AE856" s="8"/>
      <c r="AF856" s="8"/>
      <c r="AG856" s="8"/>
      <c r="AH856" s="8"/>
      <c r="AI856" s="8"/>
      <c r="AJ856" s="8"/>
      <c r="AK856" s="8"/>
      <c r="AL856" s="8"/>
      <c r="AM856" s="8"/>
      <c r="AN856" s="8"/>
      <c r="AO856" s="8"/>
      <c r="AP856" s="8"/>
      <c r="AQ856" s="8"/>
      <c r="AR856" s="8"/>
      <c r="AS856" s="8"/>
      <c r="AT856" s="8"/>
    </row>
    <row r="857">
      <c r="A857" s="415"/>
      <c r="B857" s="210"/>
      <c r="C857" s="415"/>
      <c r="D857" s="210"/>
      <c r="E857" s="415"/>
      <c r="F857" s="210"/>
      <c r="G857" s="415"/>
      <c r="H857" s="210"/>
      <c r="I857" s="423"/>
      <c r="J857" s="156"/>
      <c r="K857" s="423"/>
      <c r="L857" s="156"/>
      <c r="M857" s="415"/>
      <c r="N857" s="210"/>
      <c r="O857" s="415"/>
      <c r="P857" s="210"/>
      <c r="Q857" s="452"/>
      <c r="R857" s="452"/>
      <c r="S857" s="415"/>
      <c r="T857" s="210"/>
      <c r="U857" s="415"/>
      <c r="V857" s="210"/>
      <c r="W857" s="415"/>
      <c r="X857" s="210"/>
      <c r="Y857" s="8"/>
      <c r="Z857" s="8"/>
      <c r="AA857" s="8"/>
      <c r="AB857" s="8"/>
      <c r="AC857" s="8"/>
      <c r="AD857" s="8"/>
      <c r="AE857" s="8"/>
      <c r="AF857" s="8"/>
      <c r="AG857" s="8"/>
      <c r="AH857" s="8"/>
      <c r="AI857" s="8"/>
      <c r="AJ857" s="8"/>
      <c r="AK857" s="8"/>
      <c r="AL857" s="8"/>
      <c r="AM857" s="8"/>
      <c r="AN857" s="8"/>
      <c r="AO857" s="8"/>
      <c r="AP857" s="8"/>
      <c r="AQ857" s="8"/>
      <c r="AR857" s="8"/>
      <c r="AS857" s="8"/>
      <c r="AT857" s="8"/>
    </row>
    <row r="858">
      <c r="A858" s="415"/>
      <c r="B858" s="210"/>
      <c r="C858" s="415"/>
      <c r="D858" s="210"/>
      <c r="E858" s="415"/>
      <c r="F858" s="210"/>
      <c r="G858" s="415"/>
      <c r="H858" s="210"/>
      <c r="I858" s="423"/>
      <c r="J858" s="156"/>
      <c r="K858" s="423"/>
      <c r="L858" s="156"/>
      <c r="M858" s="415"/>
      <c r="N858" s="210"/>
      <c r="O858" s="415"/>
      <c r="P858" s="210"/>
      <c r="Q858" s="452"/>
      <c r="R858" s="452"/>
      <c r="S858" s="415"/>
      <c r="T858" s="210"/>
      <c r="U858" s="415"/>
      <c r="V858" s="210"/>
      <c r="W858" s="415"/>
      <c r="X858" s="210"/>
      <c r="Y858" s="8"/>
      <c r="Z858" s="8"/>
      <c r="AA858" s="8"/>
      <c r="AB858" s="8"/>
      <c r="AC858" s="8"/>
      <c r="AD858" s="8"/>
      <c r="AE858" s="8"/>
      <c r="AF858" s="8"/>
      <c r="AG858" s="8"/>
      <c r="AH858" s="8"/>
      <c r="AI858" s="8"/>
      <c r="AJ858" s="8"/>
      <c r="AK858" s="8"/>
      <c r="AL858" s="8"/>
      <c r="AM858" s="8"/>
      <c r="AN858" s="8"/>
      <c r="AO858" s="8"/>
      <c r="AP858" s="8"/>
      <c r="AQ858" s="8"/>
      <c r="AR858" s="8"/>
      <c r="AS858" s="8"/>
      <c r="AT858" s="8"/>
    </row>
    <row r="859">
      <c r="A859" s="415"/>
      <c r="B859" s="210"/>
      <c r="C859" s="415"/>
      <c r="D859" s="210"/>
      <c r="E859" s="415"/>
      <c r="F859" s="210"/>
      <c r="G859" s="415"/>
      <c r="H859" s="210"/>
      <c r="I859" s="423"/>
      <c r="J859" s="156"/>
      <c r="K859" s="423"/>
      <c r="L859" s="156"/>
      <c r="M859" s="415"/>
      <c r="N859" s="210"/>
      <c r="O859" s="415"/>
      <c r="P859" s="210"/>
      <c r="Q859" s="452"/>
      <c r="R859" s="452"/>
      <c r="S859" s="415"/>
      <c r="T859" s="210"/>
      <c r="U859" s="415"/>
      <c r="V859" s="210"/>
      <c r="W859" s="415"/>
      <c r="X859" s="210"/>
      <c r="Y859" s="8"/>
      <c r="Z859" s="8"/>
      <c r="AA859" s="8"/>
      <c r="AB859" s="8"/>
      <c r="AC859" s="8"/>
      <c r="AD859" s="8"/>
      <c r="AE859" s="8"/>
      <c r="AF859" s="8"/>
      <c r="AG859" s="8"/>
      <c r="AH859" s="8"/>
      <c r="AI859" s="8"/>
      <c r="AJ859" s="8"/>
      <c r="AK859" s="8"/>
      <c r="AL859" s="8"/>
      <c r="AM859" s="8"/>
      <c r="AN859" s="8"/>
      <c r="AO859" s="8"/>
      <c r="AP859" s="8"/>
      <c r="AQ859" s="8"/>
      <c r="AR859" s="8"/>
      <c r="AS859" s="8"/>
      <c r="AT859" s="8"/>
    </row>
    <row r="860">
      <c r="A860" s="415"/>
      <c r="B860" s="210"/>
      <c r="C860" s="415"/>
      <c r="D860" s="210"/>
      <c r="E860" s="415"/>
      <c r="F860" s="210"/>
      <c r="G860" s="415"/>
      <c r="H860" s="210"/>
      <c r="I860" s="423"/>
      <c r="J860" s="156"/>
      <c r="K860" s="423"/>
      <c r="L860" s="156"/>
      <c r="M860" s="415"/>
      <c r="N860" s="210"/>
      <c r="O860" s="415"/>
      <c r="P860" s="210"/>
      <c r="Q860" s="452"/>
      <c r="R860" s="452"/>
      <c r="S860" s="415"/>
      <c r="T860" s="210"/>
      <c r="U860" s="415"/>
      <c r="V860" s="210"/>
      <c r="W860" s="415"/>
      <c r="X860" s="210"/>
      <c r="Y860" s="8"/>
      <c r="Z860" s="8"/>
      <c r="AA860" s="8"/>
      <c r="AB860" s="8"/>
      <c r="AC860" s="8"/>
      <c r="AD860" s="8"/>
      <c r="AE860" s="8"/>
      <c r="AF860" s="8"/>
      <c r="AG860" s="8"/>
      <c r="AH860" s="8"/>
      <c r="AI860" s="8"/>
      <c r="AJ860" s="8"/>
      <c r="AK860" s="8"/>
      <c r="AL860" s="8"/>
      <c r="AM860" s="8"/>
      <c r="AN860" s="8"/>
      <c r="AO860" s="8"/>
      <c r="AP860" s="8"/>
      <c r="AQ860" s="8"/>
      <c r="AR860" s="8"/>
      <c r="AS860" s="8"/>
      <c r="AT860" s="8"/>
    </row>
    <row r="861">
      <c r="A861" s="415"/>
      <c r="B861" s="210"/>
      <c r="C861" s="415"/>
      <c r="D861" s="210"/>
      <c r="E861" s="415"/>
      <c r="F861" s="210"/>
      <c r="G861" s="415"/>
      <c r="H861" s="210"/>
      <c r="I861" s="423"/>
      <c r="J861" s="156"/>
      <c r="K861" s="423"/>
      <c r="L861" s="156"/>
      <c r="M861" s="415"/>
      <c r="N861" s="210"/>
      <c r="O861" s="415"/>
      <c r="P861" s="210"/>
      <c r="Q861" s="452"/>
      <c r="R861" s="452"/>
      <c r="S861" s="415"/>
      <c r="T861" s="210"/>
      <c r="U861" s="415"/>
      <c r="V861" s="210"/>
      <c r="W861" s="415"/>
      <c r="X861" s="210"/>
      <c r="Y861" s="8"/>
      <c r="Z861" s="8"/>
      <c r="AA861" s="8"/>
      <c r="AB861" s="8"/>
      <c r="AC861" s="8"/>
      <c r="AD861" s="8"/>
      <c r="AE861" s="8"/>
      <c r="AF861" s="8"/>
      <c r="AG861" s="8"/>
      <c r="AH861" s="8"/>
      <c r="AI861" s="8"/>
      <c r="AJ861" s="8"/>
      <c r="AK861" s="8"/>
      <c r="AL861" s="8"/>
      <c r="AM861" s="8"/>
      <c r="AN861" s="8"/>
      <c r="AO861" s="8"/>
      <c r="AP861" s="8"/>
      <c r="AQ861" s="8"/>
      <c r="AR861" s="8"/>
      <c r="AS861" s="8"/>
      <c r="AT861" s="8"/>
    </row>
    <row r="862">
      <c r="A862" s="415"/>
      <c r="B862" s="210"/>
      <c r="C862" s="415"/>
      <c r="D862" s="210"/>
      <c r="E862" s="415"/>
      <c r="F862" s="210"/>
      <c r="G862" s="415"/>
      <c r="H862" s="210"/>
      <c r="I862" s="423"/>
      <c r="J862" s="156"/>
      <c r="K862" s="423"/>
      <c r="L862" s="156"/>
      <c r="M862" s="415"/>
      <c r="N862" s="210"/>
      <c r="O862" s="415"/>
      <c r="P862" s="210"/>
      <c r="Q862" s="452"/>
      <c r="R862" s="452"/>
      <c r="S862" s="415"/>
      <c r="T862" s="210"/>
      <c r="U862" s="415"/>
      <c r="V862" s="210"/>
      <c r="W862" s="415"/>
      <c r="X862" s="210"/>
      <c r="Y862" s="8"/>
      <c r="Z862" s="8"/>
      <c r="AA862" s="8"/>
      <c r="AB862" s="8"/>
      <c r="AC862" s="8"/>
      <c r="AD862" s="8"/>
      <c r="AE862" s="8"/>
      <c r="AF862" s="8"/>
      <c r="AG862" s="8"/>
      <c r="AH862" s="8"/>
      <c r="AI862" s="8"/>
      <c r="AJ862" s="8"/>
      <c r="AK862" s="8"/>
      <c r="AL862" s="8"/>
      <c r="AM862" s="8"/>
      <c r="AN862" s="8"/>
      <c r="AO862" s="8"/>
      <c r="AP862" s="8"/>
      <c r="AQ862" s="8"/>
      <c r="AR862" s="8"/>
      <c r="AS862" s="8"/>
      <c r="AT862" s="8"/>
    </row>
    <row r="863">
      <c r="A863" s="415"/>
      <c r="B863" s="210"/>
      <c r="C863" s="415"/>
      <c r="D863" s="210"/>
      <c r="E863" s="415"/>
      <c r="F863" s="210"/>
      <c r="G863" s="415"/>
      <c r="H863" s="210"/>
      <c r="I863" s="423"/>
      <c r="J863" s="156"/>
      <c r="K863" s="423"/>
      <c r="L863" s="156"/>
      <c r="M863" s="415"/>
      <c r="N863" s="210"/>
      <c r="O863" s="415"/>
      <c r="P863" s="210"/>
      <c r="Q863" s="452"/>
      <c r="R863" s="452"/>
      <c r="S863" s="415"/>
      <c r="T863" s="210"/>
      <c r="U863" s="415"/>
      <c r="V863" s="210"/>
      <c r="W863" s="415"/>
      <c r="X863" s="210"/>
      <c r="Y863" s="8"/>
      <c r="Z863" s="8"/>
      <c r="AA863" s="8"/>
      <c r="AB863" s="8"/>
      <c r="AC863" s="8"/>
      <c r="AD863" s="8"/>
      <c r="AE863" s="8"/>
      <c r="AF863" s="8"/>
      <c r="AG863" s="8"/>
      <c r="AH863" s="8"/>
      <c r="AI863" s="8"/>
      <c r="AJ863" s="8"/>
      <c r="AK863" s="8"/>
      <c r="AL863" s="8"/>
      <c r="AM863" s="8"/>
      <c r="AN863" s="8"/>
      <c r="AO863" s="8"/>
      <c r="AP863" s="8"/>
      <c r="AQ863" s="8"/>
      <c r="AR863" s="8"/>
      <c r="AS863" s="8"/>
      <c r="AT863" s="8"/>
    </row>
    <row r="864">
      <c r="A864" s="415"/>
      <c r="B864" s="210"/>
      <c r="C864" s="415"/>
      <c r="D864" s="210"/>
      <c r="E864" s="415"/>
      <c r="F864" s="210"/>
      <c r="G864" s="415"/>
      <c r="H864" s="210"/>
      <c r="I864" s="423"/>
      <c r="J864" s="156"/>
      <c r="K864" s="423"/>
      <c r="L864" s="156"/>
      <c r="M864" s="415"/>
      <c r="N864" s="210"/>
      <c r="O864" s="415"/>
      <c r="P864" s="210"/>
      <c r="Q864" s="452"/>
      <c r="R864" s="452"/>
      <c r="S864" s="415"/>
      <c r="T864" s="210"/>
      <c r="U864" s="415"/>
      <c r="V864" s="210"/>
      <c r="W864" s="415"/>
      <c r="X864" s="210"/>
      <c r="Y864" s="8"/>
      <c r="Z864" s="8"/>
      <c r="AA864" s="8"/>
      <c r="AB864" s="8"/>
      <c r="AC864" s="8"/>
      <c r="AD864" s="8"/>
      <c r="AE864" s="8"/>
      <c r="AF864" s="8"/>
      <c r="AG864" s="8"/>
      <c r="AH864" s="8"/>
      <c r="AI864" s="8"/>
      <c r="AJ864" s="8"/>
      <c r="AK864" s="8"/>
      <c r="AL864" s="8"/>
      <c r="AM864" s="8"/>
      <c r="AN864" s="8"/>
      <c r="AO864" s="8"/>
      <c r="AP864" s="8"/>
      <c r="AQ864" s="8"/>
      <c r="AR864" s="8"/>
      <c r="AS864" s="8"/>
      <c r="AT864" s="8"/>
    </row>
    <row r="865">
      <c r="A865" s="415"/>
      <c r="B865" s="210"/>
      <c r="C865" s="415"/>
      <c r="D865" s="210"/>
      <c r="E865" s="415"/>
      <c r="F865" s="210"/>
      <c r="G865" s="415"/>
      <c r="H865" s="210"/>
      <c r="I865" s="423"/>
      <c r="J865" s="156"/>
      <c r="K865" s="423"/>
      <c r="L865" s="156"/>
      <c r="M865" s="415"/>
      <c r="N865" s="210"/>
      <c r="O865" s="415"/>
      <c r="P865" s="210"/>
      <c r="Q865" s="452"/>
      <c r="R865" s="452"/>
      <c r="S865" s="415"/>
      <c r="T865" s="210"/>
      <c r="U865" s="415"/>
      <c r="V865" s="210"/>
      <c r="W865" s="415"/>
      <c r="X865" s="210"/>
      <c r="Y865" s="8"/>
      <c r="Z865" s="8"/>
      <c r="AA865" s="8"/>
      <c r="AB865" s="8"/>
      <c r="AC865" s="8"/>
      <c r="AD865" s="8"/>
      <c r="AE865" s="8"/>
      <c r="AF865" s="8"/>
      <c r="AG865" s="8"/>
      <c r="AH865" s="8"/>
      <c r="AI865" s="8"/>
      <c r="AJ865" s="8"/>
      <c r="AK865" s="8"/>
      <c r="AL865" s="8"/>
      <c r="AM865" s="8"/>
      <c r="AN865" s="8"/>
      <c r="AO865" s="8"/>
      <c r="AP865" s="8"/>
      <c r="AQ865" s="8"/>
      <c r="AR865" s="8"/>
      <c r="AS865" s="8"/>
      <c r="AT865" s="8"/>
    </row>
    <row r="866">
      <c r="A866" s="415"/>
      <c r="B866" s="210"/>
      <c r="C866" s="415"/>
      <c r="D866" s="210"/>
      <c r="E866" s="415"/>
      <c r="F866" s="210"/>
      <c r="G866" s="415"/>
      <c r="H866" s="210"/>
      <c r="I866" s="423"/>
      <c r="J866" s="156"/>
      <c r="K866" s="423"/>
      <c r="L866" s="156"/>
      <c r="M866" s="415"/>
      <c r="N866" s="210"/>
      <c r="O866" s="415"/>
      <c r="P866" s="210"/>
      <c r="Q866" s="452"/>
      <c r="R866" s="452"/>
      <c r="S866" s="415"/>
      <c r="T866" s="210"/>
      <c r="U866" s="415"/>
      <c r="V866" s="210"/>
      <c r="W866" s="415"/>
      <c r="X866" s="210"/>
      <c r="Y866" s="8"/>
      <c r="Z866" s="8"/>
      <c r="AA866" s="8"/>
      <c r="AB866" s="8"/>
      <c r="AC866" s="8"/>
      <c r="AD866" s="8"/>
      <c r="AE866" s="8"/>
      <c r="AF866" s="8"/>
      <c r="AG866" s="8"/>
      <c r="AH866" s="8"/>
      <c r="AI866" s="8"/>
      <c r="AJ866" s="8"/>
      <c r="AK866" s="8"/>
      <c r="AL866" s="8"/>
      <c r="AM866" s="8"/>
      <c r="AN866" s="8"/>
      <c r="AO866" s="8"/>
      <c r="AP866" s="8"/>
      <c r="AQ866" s="8"/>
      <c r="AR866" s="8"/>
      <c r="AS866" s="8"/>
      <c r="AT866" s="8"/>
    </row>
    <row r="867">
      <c r="A867" s="415"/>
      <c r="B867" s="210"/>
      <c r="C867" s="415"/>
      <c r="D867" s="210"/>
      <c r="E867" s="415"/>
      <c r="F867" s="210"/>
      <c r="G867" s="415"/>
      <c r="H867" s="210"/>
      <c r="I867" s="423"/>
      <c r="J867" s="156"/>
      <c r="K867" s="423"/>
      <c r="L867" s="156"/>
      <c r="M867" s="415"/>
      <c r="N867" s="210"/>
      <c r="O867" s="415"/>
      <c r="P867" s="210"/>
      <c r="Q867" s="452"/>
      <c r="R867" s="452"/>
      <c r="S867" s="415"/>
      <c r="T867" s="210"/>
      <c r="U867" s="415"/>
      <c r="V867" s="210"/>
      <c r="W867" s="415"/>
      <c r="X867" s="210"/>
      <c r="Y867" s="8"/>
      <c r="Z867" s="8"/>
      <c r="AA867" s="8"/>
      <c r="AB867" s="8"/>
      <c r="AC867" s="8"/>
      <c r="AD867" s="8"/>
      <c r="AE867" s="8"/>
      <c r="AF867" s="8"/>
      <c r="AG867" s="8"/>
      <c r="AH867" s="8"/>
      <c r="AI867" s="8"/>
      <c r="AJ867" s="8"/>
      <c r="AK867" s="8"/>
      <c r="AL867" s="8"/>
      <c r="AM867" s="8"/>
      <c r="AN867" s="8"/>
      <c r="AO867" s="8"/>
      <c r="AP867" s="8"/>
      <c r="AQ867" s="8"/>
      <c r="AR867" s="8"/>
      <c r="AS867" s="8"/>
      <c r="AT867" s="8"/>
    </row>
    <row r="868">
      <c r="A868" s="415"/>
      <c r="B868" s="210"/>
      <c r="C868" s="415"/>
      <c r="D868" s="210"/>
      <c r="E868" s="415"/>
      <c r="F868" s="210"/>
      <c r="G868" s="415"/>
      <c r="H868" s="210"/>
      <c r="I868" s="423"/>
      <c r="J868" s="156"/>
      <c r="K868" s="423"/>
      <c r="L868" s="156"/>
      <c r="M868" s="415"/>
      <c r="N868" s="210"/>
      <c r="O868" s="415"/>
      <c r="P868" s="210"/>
      <c r="Q868" s="452"/>
      <c r="R868" s="452"/>
      <c r="S868" s="415"/>
      <c r="T868" s="210"/>
      <c r="U868" s="415"/>
      <c r="V868" s="210"/>
      <c r="W868" s="415"/>
      <c r="X868" s="210"/>
      <c r="Y868" s="8"/>
      <c r="Z868" s="8"/>
      <c r="AA868" s="8"/>
      <c r="AB868" s="8"/>
      <c r="AC868" s="8"/>
      <c r="AD868" s="8"/>
      <c r="AE868" s="8"/>
      <c r="AF868" s="8"/>
      <c r="AG868" s="8"/>
      <c r="AH868" s="8"/>
      <c r="AI868" s="8"/>
      <c r="AJ868" s="8"/>
      <c r="AK868" s="8"/>
      <c r="AL868" s="8"/>
      <c r="AM868" s="8"/>
      <c r="AN868" s="8"/>
      <c r="AO868" s="8"/>
      <c r="AP868" s="8"/>
      <c r="AQ868" s="8"/>
      <c r="AR868" s="8"/>
      <c r="AS868" s="8"/>
      <c r="AT868" s="8"/>
    </row>
    <row r="869">
      <c r="A869" s="415"/>
      <c r="B869" s="210"/>
      <c r="C869" s="415"/>
      <c r="D869" s="210"/>
      <c r="E869" s="415"/>
      <c r="F869" s="210"/>
      <c r="G869" s="415"/>
      <c r="H869" s="210"/>
      <c r="I869" s="423"/>
      <c r="J869" s="156"/>
      <c r="K869" s="423"/>
      <c r="L869" s="156"/>
      <c r="M869" s="415"/>
      <c r="N869" s="210"/>
      <c r="O869" s="415"/>
      <c r="P869" s="210"/>
      <c r="Q869" s="452"/>
      <c r="R869" s="452"/>
      <c r="S869" s="415"/>
      <c r="T869" s="210"/>
      <c r="U869" s="415"/>
      <c r="V869" s="210"/>
      <c r="W869" s="415"/>
      <c r="X869" s="210"/>
      <c r="Y869" s="8"/>
      <c r="Z869" s="8"/>
      <c r="AA869" s="8"/>
      <c r="AB869" s="8"/>
      <c r="AC869" s="8"/>
      <c r="AD869" s="8"/>
      <c r="AE869" s="8"/>
      <c r="AF869" s="8"/>
      <c r="AG869" s="8"/>
      <c r="AH869" s="8"/>
      <c r="AI869" s="8"/>
      <c r="AJ869" s="8"/>
      <c r="AK869" s="8"/>
      <c r="AL869" s="8"/>
      <c r="AM869" s="8"/>
      <c r="AN869" s="8"/>
      <c r="AO869" s="8"/>
      <c r="AP869" s="8"/>
      <c r="AQ869" s="8"/>
      <c r="AR869" s="8"/>
      <c r="AS869" s="8"/>
      <c r="AT869" s="8"/>
    </row>
    <row r="870">
      <c r="A870" s="415"/>
      <c r="B870" s="210"/>
      <c r="C870" s="415"/>
      <c r="D870" s="210"/>
      <c r="E870" s="415"/>
      <c r="F870" s="210"/>
      <c r="G870" s="415"/>
      <c r="H870" s="210"/>
      <c r="I870" s="423"/>
      <c r="J870" s="156"/>
      <c r="K870" s="423"/>
      <c r="L870" s="156"/>
      <c r="M870" s="415"/>
      <c r="N870" s="210"/>
      <c r="O870" s="415"/>
      <c r="P870" s="210"/>
      <c r="Q870" s="452"/>
      <c r="R870" s="452"/>
      <c r="S870" s="415"/>
      <c r="T870" s="210"/>
      <c r="U870" s="415"/>
      <c r="V870" s="210"/>
      <c r="W870" s="415"/>
      <c r="X870" s="210"/>
      <c r="Y870" s="8"/>
      <c r="Z870" s="8"/>
      <c r="AA870" s="8"/>
      <c r="AB870" s="8"/>
      <c r="AC870" s="8"/>
      <c r="AD870" s="8"/>
      <c r="AE870" s="8"/>
      <c r="AF870" s="8"/>
      <c r="AG870" s="8"/>
      <c r="AH870" s="8"/>
      <c r="AI870" s="8"/>
      <c r="AJ870" s="8"/>
      <c r="AK870" s="8"/>
      <c r="AL870" s="8"/>
      <c r="AM870" s="8"/>
      <c r="AN870" s="8"/>
      <c r="AO870" s="8"/>
      <c r="AP870" s="8"/>
      <c r="AQ870" s="8"/>
      <c r="AR870" s="8"/>
      <c r="AS870" s="8"/>
      <c r="AT870" s="8"/>
    </row>
    <row r="871">
      <c r="A871" s="415"/>
      <c r="B871" s="210"/>
      <c r="C871" s="415"/>
      <c r="D871" s="210"/>
      <c r="E871" s="415"/>
      <c r="F871" s="210"/>
      <c r="G871" s="415"/>
      <c r="H871" s="210"/>
      <c r="I871" s="423"/>
      <c r="J871" s="156"/>
      <c r="K871" s="423"/>
      <c r="L871" s="156"/>
      <c r="M871" s="415"/>
      <c r="N871" s="210"/>
      <c r="O871" s="415"/>
      <c r="P871" s="210"/>
      <c r="Q871" s="452"/>
      <c r="R871" s="452"/>
      <c r="S871" s="415"/>
      <c r="T871" s="210"/>
      <c r="U871" s="415"/>
      <c r="V871" s="210"/>
      <c r="W871" s="415"/>
      <c r="X871" s="210"/>
      <c r="Y871" s="8"/>
      <c r="Z871" s="8"/>
      <c r="AA871" s="8"/>
      <c r="AB871" s="8"/>
      <c r="AC871" s="8"/>
      <c r="AD871" s="8"/>
      <c r="AE871" s="8"/>
      <c r="AF871" s="8"/>
      <c r="AG871" s="8"/>
      <c r="AH871" s="8"/>
      <c r="AI871" s="8"/>
      <c r="AJ871" s="8"/>
      <c r="AK871" s="8"/>
      <c r="AL871" s="8"/>
      <c r="AM871" s="8"/>
      <c r="AN871" s="8"/>
      <c r="AO871" s="8"/>
      <c r="AP871" s="8"/>
      <c r="AQ871" s="8"/>
      <c r="AR871" s="8"/>
      <c r="AS871" s="8"/>
      <c r="AT871" s="8"/>
    </row>
    <row r="872">
      <c r="A872" s="415"/>
      <c r="B872" s="210"/>
      <c r="C872" s="415"/>
      <c r="D872" s="210"/>
      <c r="E872" s="415"/>
      <c r="F872" s="210"/>
      <c r="G872" s="415"/>
      <c r="H872" s="210"/>
      <c r="I872" s="423"/>
      <c r="J872" s="156"/>
      <c r="K872" s="423"/>
      <c r="L872" s="156"/>
      <c r="M872" s="415"/>
      <c r="N872" s="210"/>
      <c r="O872" s="415"/>
      <c r="P872" s="210"/>
      <c r="Q872" s="452"/>
      <c r="R872" s="452"/>
      <c r="S872" s="415"/>
      <c r="T872" s="210"/>
      <c r="U872" s="415"/>
      <c r="V872" s="210"/>
      <c r="W872" s="415"/>
      <c r="X872" s="210"/>
      <c r="Y872" s="8"/>
      <c r="Z872" s="8"/>
      <c r="AA872" s="8"/>
      <c r="AB872" s="8"/>
      <c r="AC872" s="8"/>
      <c r="AD872" s="8"/>
      <c r="AE872" s="8"/>
      <c r="AF872" s="8"/>
      <c r="AG872" s="8"/>
      <c r="AH872" s="8"/>
      <c r="AI872" s="8"/>
      <c r="AJ872" s="8"/>
      <c r="AK872" s="8"/>
      <c r="AL872" s="8"/>
      <c r="AM872" s="8"/>
      <c r="AN872" s="8"/>
      <c r="AO872" s="8"/>
      <c r="AP872" s="8"/>
      <c r="AQ872" s="8"/>
      <c r="AR872" s="8"/>
      <c r="AS872" s="8"/>
      <c r="AT872" s="8"/>
    </row>
    <row r="873">
      <c r="A873" s="415"/>
      <c r="B873" s="210"/>
      <c r="C873" s="415"/>
      <c r="D873" s="210"/>
      <c r="E873" s="415"/>
      <c r="F873" s="210"/>
      <c r="G873" s="415"/>
      <c r="H873" s="210"/>
      <c r="I873" s="423"/>
      <c r="J873" s="156"/>
      <c r="K873" s="423"/>
      <c r="L873" s="156"/>
      <c r="M873" s="415"/>
      <c r="N873" s="210"/>
      <c r="O873" s="415"/>
      <c r="P873" s="210"/>
      <c r="Q873" s="452"/>
      <c r="R873" s="452"/>
      <c r="S873" s="415"/>
      <c r="T873" s="210"/>
      <c r="U873" s="415"/>
      <c r="V873" s="210"/>
      <c r="W873" s="415"/>
      <c r="X873" s="210"/>
      <c r="Y873" s="8"/>
      <c r="Z873" s="8"/>
      <c r="AA873" s="8"/>
      <c r="AB873" s="8"/>
      <c r="AC873" s="8"/>
      <c r="AD873" s="8"/>
      <c r="AE873" s="8"/>
      <c r="AF873" s="8"/>
      <c r="AG873" s="8"/>
      <c r="AH873" s="8"/>
      <c r="AI873" s="8"/>
      <c r="AJ873" s="8"/>
      <c r="AK873" s="8"/>
      <c r="AL873" s="8"/>
      <c r="AM873" s="8"/>
      <c r="AN873" s="8"/>
      <c r="AO873" s="8"/>
      <c r="AP873" s="8"/>
      <c r="AQ873" s="8"/>
      <c r="AR873" s="8"/>
      <c r="AS873" s="8"/>
      <c r="AT873" s="8"/>
    </row>
    <row r="874">
      <c r="A874" s="415"/>
      <c r="B874" s="210"/>
      <c r="C874" s="415"/>
      <c r="D874" s="210"/>
      <c r="E874" s="415"/>
      <c r="F874" s="210"/>
      <c r="G874" s="415"/>
      <c r="H874" s="210"/>
      <c r="I874" s="423"/>
      <c r="J874" s="156"/>
      <c r="K874" s="423"/>
      <c r="L874" s="156"/>
      <c r="M874" s="415"/>
      <c r="N874" s="210"/>
      <c r="O874" s="415"/>
      <c r="P874" s="210"/>
      <c r="Q874" s="452"/>
      <c r="R874" s="452"/>
      <c r="S874" s="415"/>
      <c r="T874" s="210"/>
      <c r="U874" s="415"/>
      <c r="V874" s="210"/>
      <c r="W874" s="415"/>
      <c r="X874" s="210"/>
      <c r="Y874" s="8"/>
      <c r="Z874" s="8"/>
      <c r="AA874" s="8"/>
      <c r="AB874" s="8"/>
      <c r="AC874" s="8"/>
      <c r="AD874" s="8"/>
      <c r="AE874" s="8"/>
      <c r="AF874" s="8"/>
      <c r="AG874" s="8"/>
      <c r="AH874" s="8"/>
      <c r="AI874" s="8"/>
      <c r="AJ874" s="8"/>
      <c r="AK874" s="8"/>
      <c r="AL874" s="8"/>
      <c r="AM874" s="8"/>
      <c r="AN874" s="8"/>
      <c r="AO874" s="8"/>
      <c r="AP874" s="8"/>
      <c r="AQ874" s="8"/>
      <c r="AR874" s="8"/>
      <c r="AS874" s="8"/>
      <c r="AT874" s="8"/>
    </row>
    <row r="875">
      <c r="A875" s="415"/>
      <c r="B875" s="210"/>
      <c r="C875" s="415"/>
      <c r="D875" s="210"/>
      <c r="E875" s="415"/>
      <c r="F875" s="210"/>
      <c r="G875" s="415"/>
      <c r="H875" s="210"/>
      <c r="I875" s="423"/>
      <c r="J875" s="156"/>
      <c r="K875" s="423"/>
      <c r="L875" s="156"/>
      <c r="M875" s="415"/>
      <c r="N875" s="210"/>
      <c r="O875" s="415"/>
      <c r="P875" s="210"/>
      <c r="Q875" s="452"/>
      <c r="R875" s="452"/>
      <c r="S875" s="415"/>
      <c r="T875" s="210"/>
      <c r="U875" s="415"/>
      <c r="V875" s="210"/>
      <c r="W875" s="415"/>
      <c r="X875" s="210"/>
      <c r="Y875" s="8"/>
      <c r="Z875" s="8"/>
      <c r="AA875" s="8"/>
      <c r="AB875" s="8"/>
      <c r="AC875" s="8"/>
      <c r="AD875" s="8"/>
      <c r="AE875" s="8"/>
      <c r="AF875" s="8"/>
      <c r="AG875" s="8"/>
      <c r="AH875" s="8"/>
      <c r="AI875" s="8"/>
      <c r="AJ875" s="8"/>
      <c r="AK875" s="8"/>
      <c r="AL875" s="8"/>
      <c r="AM875" s="8"/>
      <c r="AN875" s="8"/>
      <c r="AO875" s="8"/>
      <c r="AP875" s="8"/>
      <c r="AQ875" s="8"/>
      <c r="AR875" s="8"/>
      <c r="AS875" s="8"/>
      <c r="AT875" s="8"/>
    </row>
    <row r="876">
      <c r="A876" s="415"/>
      <c r="B876" s="210"/>
      <c r="C876" s="415"/>
      <c r="D876" s="210"/>
      <c r="E876" s="415"/>
      <c r="F876" s="210"/>
      <c r="G876" s="415"/>
      <c r="H876" s="210"/>
      <c r="I876" s="423"/>
      <c r="J876" s="156"/>
      <c r="K876" s="423"/>
      <c r="L876" s="156"/>
      <c r="M876" s="415"/>
      <c r="N876" s="210"/>
      <c r="O876" s="415"/>
      <c r="P876" s="210"/>
      <c r="Q876" s="452"/>
      <c r="R876" s="452"/>
      <c r="S876" s="415"/>
      <c r="T876" s="210"/>
      <c r="U876" s="415"/>
      <c r="V876" s="210"/>
      <c r="W876" s="415"/>
      <c r="X876" s="210"/>
      <c r="Y876" s="8"/>
      <c r="Z876" s="8"/>
      <c r="AA876" s="8"/>
      <c r="AB876" s="8"/>
      <c r="AC876" s="8"/>
      <c r="AD876" s="8"/>
      <c r="AE876" s="8"/>
      <c r="AF876" s="8"/>
      <c r="AG876" s="8"/>
      <c r="AH876" s="8"/>
      <c r="AI876" s="8"/>
      <c r="AJ876" s="8"/>
      <c r="AK876" s="8"/>
      <c r="AL876" s="8"/>
      <c r="AM876" s="8"/>
      <c r="AN876" s="8"/>
      <c r="AO876" s="8"/>
      <c r="AP876" s="8"/>
      <c r="AQ876" s="8"/>
      <c r="AR876" s="8"/>
      <c r="AS876" s="8"/>
      <c r="AT876" s="8"/>
    </row>
    <row r="877">
      <c r="A877" s="415"/>
      <c r="B877" s="210"/>
      <c r="C877" s="415"/>
      <c r="D877" s="210"/>
      <c r="E877" s="415"/>
      <c r="F877" s="210"/>
      <c r="G877" s="415"/>
      <c r="H877" s="210"/>
      <c r="I877" s="423"/>
      <c r="J877" s="156"/>
      <c r="K877" s="423"/>
      <c r="L877" s="156"/>
      <c r="M877" s="415"/>
      <c r="N877" s="210"/>
      <c r="O877" s="415"/>
      <c r="P877" s="210"/>
      <c r="Q877" s="452"/>
      <c r="R877" s="452"/>
      <c r="S877" s="415"/>
      <c r="T877" s="210"/>
      <c r="U877" s="415"/>
      <c r="V877" s="210"/>
      <c r="W877" s="415"/>
      <c r="X877" s="210"/>
      <c r="Y877" s="8"/>
      <c r="Z877" s="8"/>
      <c r="AA877" s="8"/>
      <c r="AB877" s="8"/>
      <c r="AC877" s="8"/>
      <c r="AD877" s="8"/>
      <c r="AE877" s="8"/>
      <c r="AF877" s="8"/>
      <c r="AG877" s="8"/>
      <c r="AH877" s="8"/>
      <c r="AI877" s="8"/>
      <c r="AJ877" s="8"/>
      <c r="AK877" s="8"/>
      <c r="AL877" s="8"/>
      <c r="AM877" s="8"/>
      <c r="AN877" s="8"/>
      <c r="AO877" s="8"/>
      <c r="AP877" s="8"/>
      <c r="AQ877" s="8"/>
      <c r="AR877" s="8"/>
      <c r="AS877" s="8"/>
      <c r="AT877" s="8"/>
    </row>
    <row r="878">
      <c r="A878" s="415"/>
      <c r="B878" s="210"/>
      <c r="C878" s="415"/>
      <c r="D878" s="210"/>
      <c r="E878" s="415"/>
      <c r="F878" s="210"/>
      <c r="G878" s="415"/>
      <c r="H878" s="210"/>
      <c r="I878" s="423"/>
      <c r="J878" s="156"/>
      <c r="K878" s="423"/>
      <c r="L878" s="156"/>
      <c r="M878" s="415"/>
      <c r="N878" s="210"/>
      <c r="O878" s="415"/>
      <c r="P878" s="210"/>
      <c r="Q878" s="452"/>
      <c r="R878" s="452"/>
      <c r="S878" s="415"/>
      <c r="T878" s="210"/>
      <c r="U878" s="415"/>
      <c r="V878" s="210"/>
      <c r="W878" s="415"/>
      <c r="X878" s="210"/>
      <c r="Y878" s="8"/>
      <c r="Z878" s="8"/>
      <c r="AA878" s="8"/>
      <c r="AB878" s="8"/>
      <c r="AC878" s="8"/>
      <c r="AD878" s="8"/>
      <c r="AE878" s="8"/>
      <c r="AF878" s="8"/>
      <c r="AG878" s="8"/>
      <c r="AH878" s="8"/>
      <c r="AI878" s="8"/>
      <c r="AJ878" s="8"/>
      <c r="AK878" s="8"/>
      <c r="AL878" s="8"/>
      <c r="AM878" s="8"/>
      <c r="AN878" s="8"/>
      <c r="AO878" s="8"/>
      <c r="AP878" s="8"/>
      <c r="AQ878" s="8"/>
      <c r="AR878" s="8"/>
      <c r="AS878" s="8"/>
      <c r="AT878" s="8"/>
    </row>
    <row r="879">
      <c r="A879" s="415"/>
      <c r="B879" s="210"/>
      <c r="C879" s="415"/>
      <c r="D879" s="210"/>
      <c r="E879" s="415"/>
      <c r="F879" s="210"/>
      <c r="G879" s="415"/>
      <c r="H879" s="210"/>
      <c r="I879" s="423"/>
      <c r="J879" s="156"/>
      <c r="K879" s="423"/>
      <c r="L879" s="156"/>
      <c r="M879" s="415"/>
      <c r="N879" s="210"/>
      <c r="O879" s="415"/>
      <c r="P879" s="210"/>
      <c r="Q879" s="452"/>
      <c r="R879" s="452"/>
      <c r="S879" s="415"/>
      <c r="T879" s="210"/>
      <c r="U879" s="415"/>
      <c r="V879" s="210"/>
      <c r="W879" s="415"/>
      <c r="X879" s="210"/>
      <c r="Y879" s="8"/>
      <c r="Z879" s="8"/>
      <c r="AA879" s="8"/>
      <c r="AB879" s="8"/>
      <c r="AC879" s="8"/>
      <c r="AD879" s="8"/>
      <c r="AE879" s="8"/>
      <c r="AF879" s="8"/>
      <c r="AG879" s="8"/>
      <c r="AH879" s="8"/>
      <c r="AI879" s="8"/>
      <c r="AJ879" s="8"/>
      <c r="AK879" s="8"/>
      <c r="AL879" s="8"/>
      <c r="AM879" s="8"/>
      <c r="AN879" s="8"/>
      <c r="AO879" s="8"/>
      <c r="AP879" s="8"/>
      <c r="AQ879" s="8"/>
      <c r="AR879" s="8"/>
      <c r="AS879" s="8"/>
      <c r="AT879" s="8"/>
    </row>
    <row r="880">
      <c r="A880" s="415"/>
      <c r="B880" s="210"/>
      <c r="C880" s="415"/>
      <c r="D880" s="210"/>
      <c r="E880" s="415"/>
      <c r="F880" s="210"/>
      <c r="G880" s="415"/>
      <c r="H880" s="210"/>
      <c r="I880" s="423"/>
      <c r="J880" s="156"/>
      <c r="K880" s="423"/>
      <c r="L880" s="156"/>
      <c r="M880" s="415"/>
      <c r="N880" s="210"/>
      <c r="O880" s="415"/>
      <c r="P880" s="210"/>
      <c r="Q880" s="452"/>
      <c r="R880" s="452"/>
      <c r="S880" s="415"/>
      <c r="T880" s="210"/>
      <c r="U880" s="415"/>
      <c r="V880" s="210"/>
      <c r="W880" s="415"/>
      <c r="X880" s="210"/>
      <c r="Y880" s="8"/>
      <c r="Z880" s="8"/>
      <c r="AA880" s="8"/>
      <c r="AB880" s="8"/>
      <c r="AC880" s="8"/>
      <c r="AD880" s="8"/>
      <c r="AE880" s="8"/>
      <c r="AF880" s="8"/>
      <c r="AG880" s="8"/>
      <c r="AH880" s="8"/>
      <c r="AI880" s="8"/>
      <c r="AJ880" s="8"/>
      <c r="AK880" s="8"/>
      <c r="AL880" s="8"/>
      <c r="AM880" s="8"/>
      <c r="AN880" s="8"/>
      <c r="AO880" s="8"/>
      <c r="AP880" s="8"/>
      <c r="AQ880" s="8"/>
      <c r="AR880" s="8"/>
      <c r="AS880" s="8"/>
      <c r="AT880" s="8"/>
    </row>
    <row r="881">
      <c r="A881" s="415"/>
      <c r="B881" s="210"/>
      <c r="C881" s="415"/>
      <c r="D881" s="210"/>
      <c r="E881" s="415"/>
      <c r="F881" s="210"/>
      <c r="G881" s="415"/>
      <c r="H881" s="210"/>
      <c r="I881" s="423"/>
      <c r="J881" s="156"/>
      <c r="K881" s="423"/>
      <c r="L881" s="156"/>
      <c r="M881" s="415"/>
      <c r="N881" s="210"/>
      <c r="O881" s="415"/>
      <c r="P881" s="210"/>
      <c r="Q881" s="452"/>
      <c r="R881" s="452"/>
      <c r="S881" s="415"/>
      <c r="T881" s="210"/>
      <c r="U881" s="415"/>
      <c r="V881" s="210"/>
      <c r="W881" s="415"/>
      <c r="X881" s="210"/>
      <c r="Y881" s="8"/>
      <c r="Z881" s="8"/>
      <c r="AA881" s="8"/>
      <c r="AB881" s="8"/>
      <c r="AC881" s="8"/>
      <c r="AD881" s="8"/>
      <c r="AE881" s="8"/>
      <c r="AF881" s="8"/>
      <c r="AG881" s="8"/>
      <c r="AH881" s="8"/>
      <c r="AI881" s="8"/>
      <c r="AJ881" s="8"/>
      <c r="AK881" s="8"/>
      <c r="AL881" s="8"/>
      <c r="AM881" s="8"/>
      <c r="AN881" s="8"/>
      <c r="AO881" s="8"/>
      <c r="AP881" s="8"/>
      <c r="AQ881" s="8"/>
      <c r="AR881" s="8"/>
      <c r="AS881" s="8"/>
      <c r="AT881" s="8"/>
    </row>
    <row r="882">
      <c r="A882" s="415"/>
      <c r="B882" s="210"/>
      <c r="C882" s="415"/>
      <c r="D882" s="210"/>
      <c r="E882" s="415"/>
      <c r="F882" s="210"/>
      <c r="G882" s="415"/>
      <c r="H882" s="210"/>
      <c r="I882" s="423"/>
      <c r="J882" s="156"/>
      <c r="K882" s="423"/>
      <c r="L882" s="156"/>
      <c r="M882" s="415"/>
      <c r="N882" s="210"/>
      <c r="O882" s="415"/>
      <c r="P882" s="210"/>
      <c r="Q882" s="452"/>
      <c r="R882" s="452"/>
      <c r="S882" s="415"/>
      <c r="T882" s="210"/>
      <c r="U882" s="415"/>
      <c r="V882" s="210"/>
      <c r="W882" s="415"/>
      <c r="X882" s="210"/>
      <c r="Y882" s="8"/>
      <c r="Z882" s="8"/>
      <c r="AA882" s="8"/>
      <c r="AB882" s="8"/>
      <c r="AC882" s="8"/>
      <c r="AD882" s="8"/>
      <c r="AE882" s="8"/>
      <c r="AF882" s="8"/>
      <c r="AG882" s="8"/>
      <c r="AH882" s="8"/>
      <c r="AI882" s="8"/>
      <c r="AJ882" s="8"/>
      <c r="AK882" s="8"/>
      <c r="AL882" s="8"/>
      <c r="AM882" s="8"/>
      <c r="AN882" s="8"/>
      <c r="AO882" s="8"/>
      <c r="AP882" s="8"/>
      <c r="AQ882" s="8"/>
      <c r="AR882" s="8"/>
      <c r="AS882" s="8"/>
      <c r="AT882" s="8"/>
    </row>
    <row r="883">
      <c r="A883" s="415"/>
      <c r="B883" s="210"/>
      <c r="C883" s="415"/>
      <c r="D883" s="210"/>
      <c r="E883" s="415"/>
      <c r="F883" s="210"/>
      <c r="G883" s="415"/>
      <c r="H883" s="210"/>
      <c r="I883" s="423"/>
      <c r="J883" s="156"/>
      <c r="K883" s="423"/>
      <c r="L883" s="156"/>
      <c r="M883" s="415"/>
      <c r="N883" s="210"/>
      <c r="O883" s="415"/>
      <c r="P883" s="210"/>
      <c r="Q883" s="452"/>
      <c r="R883" s="452"/>
      <c r="S883" s="415"/>
      <c r="T883" s="210"/>
      <c r="U883" s="415"/>
      <c r="V883" s="210"/>
      <c r="W883" s="415"/>
      <c r="X883" s="210"/>
      <c r="Y883" s="8"/>
      <c r="Z883" s="8"/>
      <c r="AA883" s="8"/>
      <c r="AB883" s="8"/>
      <c r="AC883" s="8"/>
      <c r="AD883" s="8"/>
      <c r="AE883" s="8"/>
      <c r="AF883" s="8"/>
      <c r="AG883" s="8"/>
      <c r="AH883" s="8"/>
      <c r="AI883" s="8"/>
      <c r="AJ883" s="8"/>
      <c r="AK883" s="8"/>
      <c r="AL883" s="8"/>
      <c r="AM883" s="8"/>
      <c r="AN883" s="8"/>
      <c r="AO883" s="8"/>
      <c r="AP883" s="8"/>
      <c r="AQ883" s="8"/>
      <c r="AR883" s="8"/>
      <c r="AS883" s="8"/>
      <c r="AT883" s="8"/>
    </row>
    <row r="884">
      <c r="A884" s="415"/>
      <c r="B884" s="210"/>
      <c r="C884" s="415"/>
      <c r="D884" s="210"/>
      <c r="E884" s="415"/>
      <c r="F884" s="210"/>
      <c r="G884" s="415"/>
      <c r="H884" s="210"/>
      <c r="I884" s="423"/>
      <c r="J884" s="156"/>
      <c r="K884" s="423"/>
      <c r="L884" s="156"/>
      <c r="M884" s="415"/>
      <c r="N884" s="210"/>
      <c r="O884" s="415"/>
      <c r="P884" s="210"/>
      <c r="Q884" s="452"/>
      <c r="R884" s="452"/>
      <c r="S884" s="415"/>
      <c r="T884" s="210"/>
      <c r="U884" s="415"/>
      <c r="V884" s="210"/>
      <c r="W884" s="415"/>
      <c r="X884" s="210"/>
      <c r="Y884" s="8"/>
      <c r="Z884" s="8"/>
      <c r="AA884" s="8"/>
      <c r="AB884" s="8"/>
      <c r="AC884" s="8"/>
      <c r="AD884" s="8"/>
      <c r="AE884" s="8"/>
      <c r="AF884" s="8"/>
      <c r="AG884" s="8"/>
      <c r="AH884" s="8"/>
      <c r="AI884" s="8"/>
      <c r="AJ884" s="8"/>
      <c r="AK884" s="8"/>
      <c r="AL884" s="8"/>
      <c r="AM884" s="8"/>
      <c r="AN884" s="8"/>
      <c r="AO884" s="8"/>
      <c r="AP884" s="8"/>
      <c r="AQ884" s="8"/>
      <c r="AR884" s="8"/>
      <c r="AS884" s="8"/>
      <c r="AT884" s="8"/>
    </row>
    <row r="885">
      <c r="A885" s="415"/>
      <c r="B885" s="210"/>
      <c r="C885" s="415"/>
      <c r="D885" s="210"/>
      <c r="E885" s="415"/>
      <c r="F885" s="210"/>
      <c r="G885" s="415"/>
      <c r="H885" s="210"/>
      <c r="I885" s="423"/>
      <c r="J885" s="156"/>
      <c r="K885" s="423"/>
      <c r="L885" s="156"/>
      <c r="M885" s="415"/>
      <c r="N885" s="210"/>
      <c r="O885" s="415"/>
      <c r="P885" s="210"/>
      <c r="Q885" s="452"/>
      <c r="R885" s="452"/>
      <c r="S885" s="415"/>
      <c r="T885" s="210"/>
      <c r="U885" s="415"/>
      <c r="V885" s="210"/>
      <c r="W885" s="415"/>
      <c r="X885" s="210"/>
      <c r="Y885" s="8"/>
      <c r="Z885" s="8"/>
      <c r="AA885" s="8"/>
      <c r="AB885" s="8"/>
      <c r="AC885" s="8"/>
      <c r="AD885" s="8"/>
      <c r="AE885" s="8"/>
      <c r="AF885" s="8"/>
      <c r="AG885" s="8"/>
      <c r="AH885" s="8"/>
      <c r="AI885" s="8"/>
      <c r="AJ885" s="8"/>
      <c r="AK885" s="8"/>
      <c r="AL885" s="8"/>
      <c r="AM885" s="8"/>
      <c r="AN885" s="8"/>
      <c r="AO885" s="8"/>
      <c r="AP885" s="8"/>
      <c r="AQ885" s="8"/>
      <c r="AR885" s="8"/>
      <c r="AS885" s="8"/>
      <c r="AT885" s="8"/>
    </row>
    <row r="886">
      <c r="A886" s="415"/>
      <c r="B886" s="210"/>
      <c r="C886" s="415"/>
      <c r="D886" s="210"/>
      <c r="E886" s="415"/>
      <c r="F886" s="210"/>
      <c r="G886" s="415"/>
      <c r="H886" s="210"/>
      <c r="I886" s="423"/>
      <c r="J886" s="156"/>
      <c r="K886" s="423"/>
      <c r="L886" s="156"/>
      <c r="M886" s="415"/>
      <c r="N886" s="210"/>
      <c r="O886" s="415"/>
      <c r="P886" s="210"/>
      <c r="Q886" s="452"/>
      <c r="R886" s="452"/>
      <c r="S886" s="415"/>
      <c r="T886" s="210"/>
      <c r="U886" s="415"/>
      <c r="V886" s="210"/>
      <c r="W886" s="415"/>
      <c r="X886" s="210"/>
      <c r="Y886" s="8"/>
      <c r="Z886" s="8"/>
      <c r="AA886" s="8"/>
      <c r="AB886" s="8"/>
      <c r="AC886" s="8"/>
      <c r="AD886" s="8"/>
      <c r="AE886" s="8"/>
      <c r="AF886" s="8"/>
      <c r="AG886" s="8"/>
      <c r="AH886" s="8"/>
      <c r="AI886" s="8"/>
      <c r="AJ886" s="8"/>
      <c r="AK886" s="8"/>
      <c r="AL886" s="8"/>
      <c r="AM886" s="8"/>
      <c r="AN886" s="8"/>
      <c r="AO886" s="8"/>
      <c r="AP886" s="8"/>
      <c r="AQ886" s="8"/>
      <c r="AR886" s="8"/>
      <c r="AS886" s="8"/>
      <c r="AT886" s="8"/>
    </row>
    <row r="887">
      <c r="A887" s="415"/>
      <c r="B887" s="210"/>
      <c r="C887" s="415"/>
      <c r="D887" s="210"/>
      <c r="E887" s="415"/>
      <c r="F887" s="210"/>
      <c r="G887" s="415"/>
      <c r="H887" s="210"/>
      <c r="I887" s="423"/>
      <c r="J887" s="156"/>
      <c r="K887" s="423"/>
      <c r="L887" s="156"/>
      <c r="M887" s="415"/>
      <c r="N887" s="210"/>
      <c r="O887" s="415"/>
      <c r="P887" s="210"/>
      <c r="Q887" s="452"/>
      <c r="R887" s="452"/>
      <c r="S887" s="415"/>
      <c r="T887" s="210"/>
      <c r="U887" s="415"/>
      <c r="V887" s="210"/>
      <c r="W887" s="415"/>
      <c r="X887" s="210"/>
      <c r="Y887" s="8"/>
      <c r="Z887" s="8"/>
      <c r="AA887" s="8"/>
      <c r="AB887" s="8"/>
      <c r="AC887" s="8"/>
      <c r="AD887" s="8"/>
      <c r="AE887" s="8"/>
      <c r="AF887" s="8"/>
      <c r="AG887" s="8"/>
      <c r="AH887" s="8"/>
      <c r="AI887" s="8"/>
      <c r="AJ887" s="8"/>
      <c r="AK887" s="8"/>
      <c r="AL887" s="8"/>
      <c r="AM887" s="8"/>
      <c r="AN887" s="8"/>
      <c r="AO887" s="8"/>
      <c r="AP887" s="8"/>
      <c r="AQ887" s="8"/>
      <c r="AR887" s="8"/>
      <c r="AS887" s="8"/>
      <c r="AT887" s="8"/>
    </row>
    <row r="888">
      <c r="A888" s="415"/>
      <c r="B888" s="210"/>
      <c r="C888" s="415"/>
      <c r="D888" s="210"/>
      <c r="E888" s="415"/>
      <c r="F888" s="210"/>
      <c r="G888" s="415"/>
      <c r="H888" s="210"/>
      <c r="I888" s="423"/>
      <c r="J888" s="156"/>
      <c r="K888" s="423"/>
      <c r="L888" s="156"/>
      <c r="M888" s="415"/>
      <c r="N888" s="210"/>
      <c r="O888" s="415"/>
      <c r="P888" s="210"/>
      <c r="Q888" s="452"/>
      <c r="R888" s="452"/>
      <c r="S888" s="415"/>
      <c r="T888" s="210"/>
      <c r="U888" s="415"/>
      <c r="V888" s="210"/>
      <c r="W888" s="415"/>
      <c r="X888" s="210"/>
      <c r="Y888" s="8"/>
      <c r="Z888" s="8"/>
      <c r="AA888" s="8"/>
      <c r="AB888" s="8"/>
      <c r="AC888" s="8"/>
      <c r="AD888" s="8"/>
      <c r="AE888" s="8"/>
      <c r="AF888" s="8"/>
      <c r="AG888" s="8"/>
      <c r="AH888" s="8"/>
      <c r="AI888" s="8"/>
      <c r="AJ888" s="8"/>
      <c r="AK888" s="8"/>
      <c r="AL888" s="8"/>
      <c r="AM888" s="8"/>
      <c r="AN888" s="8"/>
      <c r="AO888" s="8"/>
      <c r="AP888" s="8"/>
      <c r="AQ888" s="8"/>
      <c r="AR888" s="8"/>
      <c r="AS888" s="8"/>
      <c r="AT888" s="8"/>
    </row>
    <row r="889">
      <c r="A889" s="415"/>
      <c r="B889" s="210"/>
      <c r="C889" s="415"/>
      <c r="D889" s="210"/>
      <c r="E889" s="415"/>
      <c r="F889" s="210"/>
      <c r="G889" s="415"/>
      <c r="H889" s="210"/>
      <c r="I889" s="423"/>
      <c r="J889" s="156"/>
      <c r="K889" s="423"/>
      <c r="L889" s="156"/>
      <c r="M889" s="415"/>
      <c r="N889" s="210"/>
      <c r="O889" s="415"/>
      <c r="P889" s="210"/>
      <c r="Q889" s="452"/>
      <c r="R889" s="452"/>
      <c r="S889" s="415"/>
      <c r="T889" s="210"/>
      <c r="U889" s="415"/>
      <c r="V889" s="210"/>
      <c r="W889" s="415"/>
      <c r="X889" s="210"/>
      <c r="Y889" s="8"/>
      <c r="Z889" s="8"/>
      <c r="AA889" s="8"/>
      <c r="AB889" s="8"/>
      <c r="AC889" s="8"/>
      <c r="AD889" s="8"/>
      <c r="AE889" s="8"/>
      <c r="AF889" s="8"/>
      <c r="AG889" s="8"/>
      <c r="AH889" s="8"/>
      <c r="AI889" s="8"/>
      <c r="AJ889" s="8"/>
      <c r="AK889" s="8"/>
      <c r="AL889" s="8"/>
      <c r="AM889" s="8"/>
      <c r="AN889" s="8"/>
      <c r="AO889" s="8"/>
      <c r="AP889" s="8"/>
      <c r="AQ889" s="8"/>
      <c r="AR889" s="8"/>
      <c r="AS889" s="8"/>
      <c r="AT889" s="8"/>
    </row>
    <row r="890">
      <c r="A890" s="415"/>
      <c r="B890" s="210"/>
      <c r="C890" s="415"/>
      <c r="D890" s="210"/>
      <c r="E890" s="415"/>
      <c r="F890" s="210"/>
      <c r="G890" s="415"/>
      <c r="H890" s="210"/>
      <c r="I890" s="423"/>
      <c r="J890" s="156"/>
      <c r="K890" s="423"/>
      <c r="L890" s="156"/>
      <c r="M890" s="415"/>
      <c r="N890" s="210"/>
      <c r="O890" s="415"/>
      <c r="P890" s="210"/>
      <c r="Q890" s="452"/>
      <c r="R890" s="452"/>
      <c r="S890" s="415"/>
      <c r="T890" s="210"/>
      <c r="U890" s="415"/>
      <c r="V890" s="210"/>
      <c r="W890" s="415"/>
      <c r="X890" s="210"/>
      <c r="Y890" s="8"/>
      <c r="Z890" s="8"/>
      <c r="AA890" s="8"/>
      <c r="AB890" s="8"/>
      <c r="AC890" s="8"/>
      <c r="AD890" s="8"/>
      <c r="AE890" s="8"/>
      <c r="AF890" s="8"/>
      <c r="AG890" s="8"/>
      <c r="AH890" s="8"/>
      <c r="AI890" s="8"/>
      <c r="AJ890" s="8"/>
      <c r="AK890" s="8"/>
      <c r="AL890" s="8"/>
      <c r="AM890" s="8"/>
      <c r="AN890" s="8"/>
      <c r="AO890" s="8"/>
      <c r="AP890" s="8"/>
      <c r="AQ890" s="8"/>
      <c r="AR890" s="8"/>
      <c r="AS890" s="8"/>
      <c r="AT890" s="8"/>
    </row>
    <row r="891">
      <c r="A891" s="415"/>
      <c r="B891" s="210"/>
      <c r="C891" s="415"/>
      <c r="D891" s="210"/>
      <c r="E891" s="415"/>
      <c r="F891" s="210"/>
      <c r="G891" s="415"/>
      <c r="H891" s="210"/>
      <c r="I891" s="423"/>
      <c r="J891" s="156"/>
      <c r="K891" s="423"/>
      <c r="L891" s="156"/>
      <c r="M891" s="415"/>
      <c r="N891" s="210"/>
      <c r="O891" s="415"/>
      <c r="P891" s="210"/>
      <c r="Q891" s="452"/>
      <c r="R891" s="452"/>
      <c r="S891" s="415"/>
      <c r="T891" s="210"/>
      <c r="U891" s="415"/>
      <c r="V891" s="210"/>
      <c r="W891" s="415"/>
      <c r="X891" s="210"/>
      <c r="Y891" s="8"/>
      <c r="Z891" s="8"/>
      <c r="AA891" s="8"/>
      <c r="AB891" s="8"/>
      <c r="AC891" s="8"/>
      <c r="AD891" s="8"/>
      <c r="AE891" s="8"/>
      <c r="AF891" s="8"/>
      <c r="AG891" s="8"/>
      <c r="AH891" s="8"/>
      <c r="AI891" s="8"/>
      <c r="AJ891" s="8"/>
      <c r="AK891" s="8"/>
      <c r="AL891" s="8"/>
      <c r="AM891" s="8"/>
      <c r="AN891" s="8"/>
      <c r="AO891" s="8"/>
      <c r="AP891" s="8"/>
      <c r="AQ891" s="8"/>
      <c r="AR891" s="8"/>
      <c r="AS891" s="8"/>
      <c r="AT891" s="8"/>
    </row>
    <row r="892">
      <c r="A892" s="415"/>
      <c r="B892" s="210"/>
      <c r="C892" s="415"/>
      <c r="D892" s="210"/>
      <c r="E892" s="415"/>
      <c r="F892" s="210"/>
      <c r="G892" s="415"/>
      <c r="H892" s="210"/>
      <c r="I892" s="423"/>
      <c r="J892" s="156"/>
      <c r="K892" s="423"/>
      <c r="L892" s="156"/>
      <c r="M892" s="415"/>
      <c r="N892" s="210"/>
      <c r="O892" s="415"/>
      <c r="P892" s="210"/>
      <c r="Q892" s="452"/>
      <c r="R892" s="452"/>
      <c r="S892" s="415"/>
      <c r="T892" s="210"/>
      <c r="U892" s="415"/>
      <c r="V892" s="210"/>
      <c r="W892" s="415"/>
      <c r="X892" s="210"/>
      <c r="Y892" s="8"/>
      <c r="Z892" s="8"/>
      <c r="AA892" s="8"/>
      <c r="AB892" s="8"/>
      <c r="AC892" s="8"/>
      <c r="AD892" s="8"/>
      <c r="AE892" s="8"/>
      <c r="AF892" s="8"/>
      <c r="AG892" s="8"/>
      <c r="AH892" s="8"/>
      <c r="AI892" s="8"/>
      <c r="AJ892" s="8"/>
      <c r="AK892" s="8"/>
      <c r="AL892" s="8"/>
      <c r="AM892" s="8"/>
      <c r="AN892" s="8"/>
      <c r="AO892" s="8"/>
      <c r="AP892" s="8"/>
      <c r="AQ892" s="8"/>
      <c r="AR892" s="8"/>
      <c r="AS892" s="8"/>
      <c r="AT892" s="8"/>
    </row>
    <row r="893">
      <c r="A893" s="415"/>
      <c r="B893" s="210"/>
      <c r="C893" s="415"/>
      <c r="D893" s="210"/>
      <c r="E893" s="415"/>
      <c r="F893" s="210"/>
      <c r="G893" s="415"/>
      <c r="H893" s="210"/>
      <c r="I893" s="423"/>
      <c r="J893" s="156"/>
      <c r="K893" s="423"/>
      <c r="L893" s="156"/>
      <c r="M893" s="415"/>
      <c r="N893" s="210"/>
      <c r="O893" s="415"/>
      <c r="P893" s="210"/>
      <c r="Q893" s="452"/>
      <c r="R893" s="452"/>
      <c r="S893" s="415"/>
      <c r="T893" s="210"/>
      <c r="U893" s="415"/>
      <c r="V893" s="210"/>
      <c r="W893" s="415"/>
      <c r="X893" s="210"/>
      <c r="Y893" s="8"/>
      <c r="Z893" s="8"/>
      <c r="AA893" s="8"/>
      <c r="AB893" s="8"/>
      <c r="AC893" s="8"/>
      <c r="AD893" s="8"/>
      <c r="AE893" s="8"/>
      <c r="AF893" s="8"/>
      <c r="AG893" s="8"/>
      <c r="AH893" s="8"/>
      <c r="AI893" s="8"/>
      <c r="AJ893" s="8"/>
      <c r="AK893" s="8"/>
      <c r="AL893" s="8"/>
      <c r="AM893" s="8"/>
      <c r="AN893" s="8"/>
      <c r="AO893" s="8"/>
      <c r="AP893" s="8"/>
      <c r="AQ893" s="8"/>
      <c r="AR893" s="8"/>
      <c r="AS893" s="8"/>
      <c r="AT893" s="8"/>
    </row>
    <row r="894">
      <c r="A894" s="415"/>
      <c r="B894" s="210"/>
      <c r="C894" s="415"/>
      <c r="D894" s="210"/>
      <c r="E894" s="415"/>
      <c r="F894" s="210"/>
      <c r="G894" s="415"/>
      <c r="H894" s="210"/>
      <c r="I894" s="423"/>
      <c r="J894" s="156"/>
      <c r="K894" s="423"/>
      <c r="L894" s="156"/>
      <c r="M894" s="415"/>
      <c r="N894" s="210"/>
      <c r="O894" s="415"/>
      <c r="P894" s="210"/>
      <c r="Q894" s="452"/>
      <c r="R894" s="452"/>
      <c r="S894" s="415"/>
      <c r="T894" s="210"/>
      <c r="U894" s="415"/>
      <c r="V894" s="210"/>
      <c r="W894" s="415"/>
      <c r="X894" s="210"/>
      <c r="Y894" s="8"/>
      <c r="Z894" s="8"/>
      <c r="AA894" s="8"/>
      <c r="AB894" s="8"/>
      <c r="AC894" s="8"/>
      <c r="AD894" s="8"/>
      <c r="AE894" s="8"/>
      <c r="AF894" s="8"/>
      <c r="AG894" s="8"/>
      <c r="AH894" s="8"/>
      <c r="AI894" s="8"/>
      <c r="AJ894" s="8"/>
      <c r="AK894" s="8"/>
      <c r="AL894" s="8"/>
      <c r="AM894" s="8"/>
      <c r="AN894" s="8"/>
      <c r="AO894" s="8"/>
      <c r="AP894" s="8"/>
      <c r="AQ894" s="8"/>
      <c r="AR894" s="8"/>
      <c r="AS894" s="8"/>
      <c r="AT894" s="8"/>
    </row>
    <row r="895">
      <c r="A895" s="415"/>
      <c r="B895" s="210"/>
      <c r="C895" s="415"/>
      <c r="D895" s="210"/>
      <c r="E895" s="415"/>
      <c r="F895" s="210"/>
      <c r="G895" s="415"/>
      <c r="H895" s="210"/>
      <c r="I895" s="423"/>
      <c r="J895" s="156"/>
      <c r="K895" s="423"/>
      <c r="L895" s="156"/>
      <c r="M895" s="415"/>
      <c r="N895" s="210"/>
      <c r="O895" s="415"/>
      <c r="P895" s="210"/>
      <c r="Q895" s="452"/>
      <c r="R895" s="452"/>
      <c r="S895" s="415"/>
      <c r="T895" s="210"/>
      <c r="U895" s="415"/>
      <c r="V895" s="210"/>
      <c r="W895" s="415"/>
      <c r="X895" s="210"/>
      <c r="Y895" s="8"/>
      <c r="Z895" s="8"/>
      <c r="AA895" s="8"/>
      <c r="AB895" s="8"/>
      <c r="AC895" s="8"/>
      <c r="AD895" s="8"/>
      <c r="AE895" s="8"/>
      <c r="AF895" s="8"/>
      <c r="AG895" s="8"/>
      <c r="AH895" s="8"/>
      <c r="AI895" s="8"/>
      <c r="AJ895" s="8"/>
      <c r="AK895" s="8"/>
      <c r="AL895" s="8"/>
      <c r="AM895" s="8"/>
      <c r="AN895" s="8"/>
      <c r="AO895" s="8"/>
      <c r="AP895" s="8"/>
      <c r="AQ895" s="8"/>
      <c r="AR895" s="8"/>
      <c r="AS895" s="8"/>
      <c r="AT895" s="8"/>
    </row>
    <row r="896">
      <c r="A896" s="415"/>
      <c r="B896" s="210"/>
      <c r="C896" s="415"/>
      <c r="D896" s="210"/>
      <c r="E896" s="415"/>
      <c r="F896" s="210"/>
      <c r="G896" s="415"/>
      <c r="H896" s="210"/>
      <c r="I896" s="423"/>
      <c r="J896" s="156"/>
      <c r="K896" s="423"/>
      <c r="L896" s="156"/>
      <c r="M896" s="415"/>
      <c r="N896" s="210"/>
      <c r="O896" s="415"/>
      <c r="P896" s="210"/>
      <c r="Q896" s="452"/>
      <c r="R896" s="452"/>
      <c r="S896" s="415"/>
      <c r="T896" s="210"/>
      <c r="U896" s="415"/>
      <c r="V896" s="210"/>
      <c r="W896" s="415"/>
      <c r="X896" s="210"/>
      <c r="Y896" s="8"/>
      <c r="Z896" s="8"/>
      <c r="AA896" s="8"/>
      <c r="AB896" s="8"/>
      <c r="AC896" s="8"/>
      <c r="AD896" s="8"/>
      <c r="AE896" s="8"/>
      <c r="AF896" s="8"/>
      <c r="AG896" s="8"/>
      <c r="AH896" s="8"/>
      <c r="AI896" s="8"/>
      <c r="AJ896" s="8"/>
      <c r="AK896" s="8"/>
      <c r="AL896" s="8"/>
      <c r="AM896" s="8"/>
      <c r="AN896" s="8"/>
      <c r="AO896" s="8"/>
      <c r="AP896" s="8"/>
      <c r="AQ896" s="8"/>
      <c r="AR896" s="8"/>
      <c r="AS896" s="8"/>
      <c r="AT896" s="8"/>
    </row>
    <row r="897">
      <c r="A897" s="415"/>
      <c r="B897" s="210"/>
      <c r="C897" s="415"/>
      <c r="D897" s="210"/>
      <c r="E897" s="415"/>
      <c r="F897" s="210"/>
      <c r="G897" s="415"/>
      <c r="H897" s="210"/>
      <c r="I897" s="423"/>
      <c r="J897" s="156"/>
      <c r="K897" s="423"/>
      <c r="L897" s="156"/>
      <c r="M897" s="415"/>
      <c r="N897" s="210"/>
      <c r="O897" s="415"/>
      <c r="P897" s="210"/>
      <c r="Q897" s="452"/>
      <c r="R897" s="452"/>
      <c r="S897" s="415"/>
      <c r="T897" s="210"/>
      <c r="U897" s="415"/>
      <c r="V897" s="210"/>
      <c r="W897" s="415"/>
      <c r="X897" s="210"/>
      <c r="Y897" s="8"/>
      <c r="Z897" s="8"/>
      <c r="AA897" s="8"/>
      <c r="AB897" s="8"/>
      <c r="AC897" s="8"/>
      <c r="AD897" s="8"/>
      <c r="AE897" s="8"/>
      <c r="AF897" s="8"/>
      <c r="AG897" s="8"/>
      <c r="AH897" s="8"/>
      <c r="AI897" s="8"/>
      <c r="AJ897" s="8"/>
      <c r="AK897" s="8"/>
      <c r="AL897" s="8"/>
      <c r="AM897" s="8"/>
      <c r="AN897" s="8"/>
      <c r="AO897" s="8"/>
      <c r="AP897" s="8"/>
      <c r="AQ897" s="8"/>
      <c r="AR897" s="8"/>
      <c r="AS897" s="8"/>
      <c r="AT897" s="8"/>
    </row>
    <row r="898">
      <c r="A898" s="415"/>
      <c r="B898" s="210"/>
      <c r="C898" s="415"/>
      <c r="D898" s="210"/>
      <c r="E898" s="415"/>
      <c r="F898" s="210"/>
      <c r="G898" s="415"/>
      <c r="H898" s="210"/>
      <c r="I898" s="423"/>
      <c r="J898" s="156"/>
      <c r="K898" s="423"/>
      <c r="L898" s="156"/>
      <c r="M898" s="415"/>
      <c r="N898" s="210"/>
      <c r="O898" s="415"/>
      <c r="P898" s="210"/>
      <c r="Q898" s="452"/>
      <c r="R898" s="452"/>
      <c r="S898" s="415"/>
      <c r="T898" s="210"/>
      <c r="U898" s="415"/>
      <c r="V898" s="210"/>
      <c r="W898" s="415"/>
      <c r="X898" s="210"/>
      <c r="Y898" s="8"/>
      <c r="Z898" s="8"/>
      <c r="AA898" s="8"/>
      <c r="AB898" s="8"/>
      <c r="AC898" s="8"/>
      <c r="AD898" s="8"/>
      <c r="AE898" s="8"/>
      <c r="AF898" s="8"/>
      <c r="AG898" s="8"/>
      <c r="AH898" s="8"/>
      <c r="AI898" s="8"/>
      <c r="AJ898" s="8"/>
      <c r="AK898" s="8"/>
      <c r="AL898" s="8"/>
      <c r="AM898" s="8"/>
      <c r="AN898" s="8"/>
      <c r="AO898" s="8"/>
      <c r="AP898" s="8"/>
      <c r="AQ898" s="8"/>
      <c r="AR898" s="8"/>
      <c r="AS898" s="8"/>
      <c r="AT898" s="8"/>
    </row>
    <row r="899">
      <c r="A899" s="415"/>
      <c r="B899" s="210"/>
      <c r="C899" s="415"/>
      <c r="D899" s="210"/>
      <c r="E899" s="415"/>
      <c r="F899" s="210"/>
      <c r="G899" s="415"/>
      <c r="H899" s="210"/>
      <c r="I899" s="423"/>
      <c r="J899" s="156"/>
      <c r="K899" s="423"/>
      <c r="L899" s="156"/>
      <c r="M899" s="415"/>
      <c r="N899" s="210"/>
      <c r="O899" s="415"/>
      <c r="P899" s="210"/>
      <c r="Q899" s="452"/>
      <c r="R899" s="452"/>
      <c r="S899" s="415"/>
      <c r="T899" s="210"/>
      <c r="U899" s="415"/>
      <c r="V899" s="210"/>
      <c r="W899" s="415"/>
      <c r="X899" s="210"/>
      <c r="Y899" s="8"/>
      <c r="Z899" s="8"/>
      <c r="AA899" s="8"/>
      <c r="AB899" s="8"/>
      <c r="AC899" s="8"/>
      <c r="AD899" s="8"/>
      <c r="AE899" s="8"/>
      <c r="AF899" s="8"/>
      <c r="AG899" s="8"/>
      <c r="AH899" s="8"/>
      <c r="AI899" s="8"/>
      <c r="AJ899" s="8"/>
      <c r="AK899" s="8"/>
      <c r="AL899" s="8"/>
      <c r="AM899" s="8"/>
      <c r="AN899" s="8"/>
      <c r="AO899" s="8"/>
      <c r="AP899" s="8"/>
      <c r="AQ899" s="8"/>
      <c r="AR899" s="8"/>
      <c r="AS899" s="8"/>
      <c r="AT899" s="8"/>
    </row>
    <row r="900">
      <c r="A900" s="415"/>
      <c r="B900" s="210"/>
      <c r="C900" s="415"/>
      <c r="D900" s="210"/>
      <c r="E900" s="415"/>
      <c r="F900" s="210"/>
      <c r="G900" s="415"/>
      <c r="H900" s="210"/>
      <c r="I900" s="423"/>
      <c r="J900" s="156"/>
      <c r="K900" s="423"/>
      <c r="L900" s="156"/>
      <c r="M900" s="415"/>
      <c r="N900" s="210"/>
      <c r="O900" s="415"/>
      <c r="P900" s="210"/>
      <c r="Q900" s="452"/>
      <c r="R900" s="452"/>
      <c r="S900" s="415"/>
      <c r="T900" s="210"/>
      <c r="U900" s="415"/>
      <c r="V900" s="210"/>
      <c r="W900" s="415"/>
      <c r="X900" s="210"/>
      <c r="Y900" s="8"/>
      <c r="Z900" s="8"/>
      <c r="AA900" s="8"/>
      <c r="AB900" s="8"/>
      <c r="AC900" s="8"/>
      <c r="AD900" s="8"/>
      <c r="AE900" s="8"/>
      <c r="AF900" s="8"/>
      <c r="AG900" s="8"/>
      <c r="AH900" s="8"/>
      <c r="AI900" s="8"/>
      <c r="AJ900" s="8"/>
      <c r="AK900" s="8"/>
      <c r="AL900" s="8"/>
      <c r="AM900" s="8"/>
      <c r="AN900" s="8"/>
      <c r="AO900" s="8"/>
      <c r="AP900" s="8"/>
      <c r="AQ900" s="8"/>
      <c r="AR900" s="8"/>
      <c r="AS900" s="8"/>
      <c r="AT900" s="8"/>
    </row>
    <row r="901">
      <c r="A901" s="415"/>
      <c r="B901" s="210"/>
      <c r="C901" s="415"/>
      <c r="D901" s="210"/>
      <c r="E901" s="415"/>
      <c r="F901" s="210"/>
      <c r="G901" s="415"/>
      <c r="H901" s="210"/>
      <c r="I901" s="423"/>
      <c r="J901" s="156"/>
      <c r="K901" s="423"/>
      <c r="L901" s="156"/>
      <c r="M901" s="415"/>
      <c r="N901" s="210"/>
      <c r="O901" s="415"/>
      <c r="P901" s="210"/>
      <c r="Q901" s="452"/>
      <c r="R901" s="452"/>
      <c r="S901" s="415"/>
      <c r="T901" s="210"/>
      <c r="U901" s="415"/>
      <c r="V901" s="210"/>
      <c r="W901" s="415"/>
      <c r="X901" s="210"/>
      <c r="Y901" s="8"/>
      <c r="Z901" s="8"/>
      <c r="AA901" s="8"/>
      <c r="AB901" s="8"/>
      <c r="AC901" s="8"/>
      <c r="AD901" s="8"/>
      <c r="AE901" s="8"/>
      <c r="AF901" s="8"/>
      <c r="AG901" s="8"/>
      <c r="AH901" s="8"/>
      <c r="AI901" s="8"/>
      <c r="AJ901" s="8"/>
      <c r="AK901" s="8"/>
      <c r="AL901" s="8"/>
      <c r="AM901" s="8"/>
      <c r="AN901" s="8"/>
      <c r="AO901" s="8"/>
      <c r="AP901" s="8"/>
      <c r="AQ901" s="8"/>
      <c r="AR901" s="8"/>
      <c r="AS901" s="8"/>
      <c r="AT901" s="8"/>
    </row>
    <row r="902">
      <c r="A902" s="415"/>
      <c r="B902" s="210"/>
      <c r="C902" s="415"/>
      <c r="D902" s="210"/>
      <c r="E902" s="415"/>
      <c r="F902" s="210"/>
      <c r="G902" s="415"/>
      <c r="H902" s="210"/>
      <c r="I902" s="423"/>
      <c r="J902" s="156"/>
      <c r="K902" s="423"/>
      <c r="L902" s="156"/>
      <c r="M902" s="415"/>
      <c r="N902" s="210"/>
      <c r="O902" s="415"/>
      <c r="P902" s="210"/>
      <c r="Q902" s="452"/>
      <c r="R902" s="452"/>
      <c r="S902" s="415"/>
      <c r="T902" s="210"/>
      <c r="U902" s="415"/>
      <c r="V902" s="210"/>
      <c r="W902" s="415"/>
      <c r="X902" s="210"/>
      <c r="Y902" s="8"/>
      <c r="Z902" s="8"/>
      <c r="AA902" s="8"/>
      <c r="AB902" s="8"/>
      <c r="AC902" s="8"/>
      <c r="AD902" s="8"/>
      <c r="AE902" s="8"/>
      <c r="AF902" s="8"/>
      <c r="AG902" s="8"/>
      <c r="AH902" s="8"/>
      <c r="AI902" s="8"/>
      <c r="AJ902" s="8"/>
      <c r="AK902" s="8"/>
      <c r="AL902" s="8"/>
      <c r="AM902" s="8"/>
      <c r="AN902" s="8"/>
      <c r="AO902" s="8"/>
      <c r="AP902" s="8"/>
      <c r="AQ902" s="8"/>
      <c r="AR902" s="8"/>
      <c r="AS902" s="8"/>
      <c r="AT902" s="8"/>
    </row>
    <row r="903">
      <c r="A903" s="415"/>
      <c r="B903" s="210"/>
      <c r="C903" s="415"/>
      <c r="D903" s="210"/>
      <c r="E903" s="415"/>
      <c r="F903" s="210"/>
      <c r="G903" s="415"/>
      <c r="H903" s="210"/>
      <c r="I903" s="423"/>
      <c r="J903" s="156"/>
      <c r="K903" s="423"/>
      <c r="L903" s="156"/>
      <c r="M903" s="415"/>
      <c r="N903" s="210"/>
      <c r="O903" s="415"/>
      <c r="P903" s="210"/>
      <c r="Q903" s="452"/>
      <c r="R903" s="452"/>
      <c r="S903" s="415"/>
      <c r="T903" s="210"/>
      <c r="U903" s="415"/>
      <c r="V903" s="210"/>
      <c r="W903" s="415"/>
      <c r="X903" s="210"/>
      <c r="Y903" s="8"/>
      <c r="Z903" s="8"/>
      <c r="AA903" s="8"/>
      <c r="AB903" s="8"/>
      <c r="AC903" s="8"/>
      <c r="AD903" s="8"/>
      <c r="AE903" s="8"/>
      <c r="AF903" s="8"/>
      <c r="AG903" s="8"/>
      <c r="AH903" s="8"/>
      <c r="AI903" s="8"/>
      <c r="AJ903" s="8"/>
      <c r="AK903" s="8"/>
      <c r="AL903" s="8"/>
      <c r="AM903" s="8"/>
      <c r="AN903" s="8"/>
      <c r="AO903" s="8"/>
      <c r="AP903" s="8"/>
      <c r="AQ903" s="8"/>
      <c r="AR903" s="8"/>
      <c r="AS903" s="8"/>
      <c r="AT903" s="8"/>
    </row>
    <row r="904">
      <c r="A904" s="415"/>
      <c r="B904" s="210"/>
      <c r="C904" s="415"/>
      <c r="D904" s="210"/>
      <c r="E904" s="415"/>
      <c r="F904" s="210"/>
      <c r="G904" s="415"/>
      <c r="H904" s="210"/>
      <c r="I904" s="423"/>
      <c r="J904" s="156"/>
      <c r="K904" s="423"/>
      <c r="L904" s="156"/>
      <c r="M904" s="415"/>
      <c r="N904" s="210"/>
      <c r="O904" s="415"/>
      <c r="P904" s="210"/>
      <c r="Q904" s="452"/>
      <c r="R904" s="452"/>
      <c r="S904" s="415"/>
      <c r="T904" s="210"/>
      <c r="U904" s="415"/>
      <c r="V904" s="210"/>
      <c r="W904" s="415"/>
      <c r="X904" s="210"/>
      <c r="Y904" s="8"/>
      <c r="Z904" s="8"/>
      <c r="AA904" s="8"/>
      <c r="AB904" s="8"/>
      <c r="AC904" s="8"/>
      <c r="AD904" s="8"/>
      <c r="AE904" s="8"/>
      <c r="AF904" s="8"/>
      <c r="AG904" s="8"/>
      <c r="AH904" s="8"/>
      <c r="AI904" s="8"/>
      <c r="AJ904" s="8"/>
      <c r="AK904" s="8"/>
      <c r="AL904" s="8"/>
      <c r="AM904" s="8"/>
      <c r="AN904" s="8"/>
      <c r="AO904" s="8"/>
      <c r="AP904" s="8"/>
      <c r="AQ904" s="8"/>
      <c r="AR904" s="8"/>
      <c r="AS904" s="8"/>
      <c r="AT904" s="8"/>
    </row>
    <row r="905">
      <c r="A905" s="415"/>
      <c r="B905" s="210"/>
      <c r="C905" s="415"/>
      <c r="D905" s="210"/>
      <c r="E905" s="415"/>
      <c r="F905" s="210"/>
      <c r="G905" s="415"/>
      <c r="H905" s="210"/>
      <c r="I905" s="423"/>
      <c r="J905" s="156"/>
      <c r="K905" s="423"/>
      <c r="L905" s="156"/>
      <c r="M905" s="415"/>
      <c r="N905" s="210"/>
      <c r="O905" s="415"/>
      <c r="P905" s="210"/>
      <c r="Q905" s="452"/>
      <c r="R905" s="452"/>
      <c r="S905" s="415"/>
      <c r="T905" s="210"/>
      <c r="U905" s="415"/>
      <c r="V905" s="210"/>
      <c r="W905" s="415"/>
      <c r="X905" s="210"/>
      <c r="Y905" s="8"/>
      <c r="Z905" s="8"/>
      <c r="AA905" s="8"/>
      <c r="AB905" s="8"/>
      <c r="AC905" s="8"/>
      <c r="AD905" s="8"/>
      <c r="AE905" s="8"/>
      <c r="AF905" s="8"/>
      <c r="AG905" s="8"/>
      <c r="AH905" s="8"/>
      <c r="AI905" s="8"/>
      <c r="AJ905" s="8"/>
      <c r="AK905" s="8"/>
      <c r="AL905" s="8"/>
      <c r="AM905" s="8"/>
      <c r="AN905" s="8"/>
      <c r="AO905" s="8"/>
      <c r="AP905" s="8"/>
      <c r="AQ905" s="8"/>
      <c r="AR905" s="8"/>
      <c r="AS905" s="8"/>
      <c r="AT905" s="8"/>
    </row>
    <row r="906">
      <c r="A906" s="415"/>
      <c r="B906" s="210"/>
      <c r="C906" s="415"/>
      <c r="D906" s="210"/>
      <c r="E906" s="415"/>
      <c r="F906" s="210"/>
      <c r="G906" s="415"/>
      <c r="H906" s="210"/>
      <c r="I906" s="423"/>
      <c r="J906" s="156"/>
      <c r="K906" s="423"/>
      <c r="L906" s="156"/>
      <c r="M906" s="415"/>
      <c r="N906" s="210"/>
      <c r="O906" s="415"/>
      <c r="P906" s="210"/>
      <c r="Q906" s="452"/>
      <c r="R906" s="452"/>
      <c r="S906" s="415"/>
      <c r="T906" s="210"/>
      <c r="U906" s="415"/>
      <c r="V906" s="210"/>
      <c r="W906" s="415"/>
      <c r="X906" s="210"/>
      <c r="Y906" s="8"/>
      <c r="Z906" s="8"/>
      <c r="AA906" s="8"/>
      <c r="AB906" s="8"/>
      <c r="AC906" s="8"/>
      <c r="AD906" s="8"/>
      <c r="AE906" s="8"/>
      <c r="AF906" s="8"/>
      <c r="AG906" s="8"/>
      <c r="AH906" s="8"/>
      <c r="AI906" s="8"/>
      <c r="AJ906" s="8"/>
      <c r="AK906" s="8"/>
      <c r="AL906" s="8"/>
      <c r="AM906" s="8"/>
      <c r="AN906" s="8"/>
      <c r="AO906" s="8"/>
      <c r="AP906" s="8"/>
      <c r="AQ906" s="8"/>
      <c r="AR906" s="8"/>
      <c r="AS906" s="8"/>
      <c r="AT906" s="8"/>
    </row>
    <row r="907">
      <c r="A907" s="415"/>
      <c r="B907" s="210"/>
      <c r="C907" s="415"/>
      <c r="D907" s="210"/>
      <c r="E907" s="415"/>
      <c r="F907" s="210"/>
      <c r="G907" s="415"/>
      <c r="H907" s="210"/>
      <c r="I907" s="423"/>
      <c r="J907" s="156"/>
      <c r="K907" s="423"/>
      <c r="L907" s="156"/>
      <c r="M907" s="415"/>
      <c r="N907" s="210"/>
      <c r="O907" s="415"/>
      <c r="P907" s="210"/>
      <c r="Q907" s="452"/>
      <c r="R907" s="452"/>
      <c r="S907" s="415"/>
      <c r="T907" s="210"/>
      <c r="U907" s="415"/>
      <c r="V907" s="210"/>
      <c r="W907" s="415"/>
      <c r="X907" s="210"/>
      <c r="Y907" s="8"/>
      <c r="Z907" s="8"/>
      <c r="AA907" s="8"/>
      <c r="AB907" s="8"/>
      <c r="AC907" s="8"/>
      <c r="AD907" s="8"/>
      <c r="AE907" s="8"/>
      <c r="AF907" s="8"/>
      <c r="AG907" s="8"/>
      <c r="AH907" s="8"/>
      <c r="AI907" s="8"/>
      <c r="AJ907" s="8"/>
      <c r="AK907" s="8"/>
      <c r="AL907" s="8"/>
      <c r="AM907" s="8"/>
      <c r="AN907" s="8"/>
      <c r="AO907" s="8"/>
      <c r="AP907" s="8"/>
      <c r="AQ907" s="8"/>
      <c r="AR907" s="8"/>
      <c r="AS907" s="8"/>
      <c r="AT907" s="8"/>
    </row>
    <row r="908">
      <c r="A908" s="415"/>
      <c r="B908" s="210"/>
      <c r="C908" s="415"/>
      <c r="D908" s="210"/>
      <c r="E908" s="415"/>
      <c r="F908" s="210"/>
      <c r="G908" s="415"/>
      <c r="H908" s="210"/>
      <c r="I908" s="423"/>
      <c r="J908" s="156"/>
      <c r="K908" s="423"/>
      <c r="L908" s="156"/>
      <c r="M908" s="415"/>
      <c r="N908" s="210"/>
      <c r="O908" s="415"/>
      <c r="P908" s="210"/>
      <c r="Q908" s="452"/>
      <c r="R908" s="452"/>
      <c r="S908" s="415"/>
      <c r="T908" s="210"/>
      <c r="U908" s="415"/>
      <c r="V908" s="210"/>
      <c r="W908" s="415"/>
      <c r="X908" s="210"/>
      <c r="Y908" s="8"/>
      <c r="Z908" s="8"/>
      <c r="AA908" s="8"/>
      <c r="AB908" s="8"/>
      <c r="AC908" s="8"/>
      <c r="AD908" s="8"/>
      <c r="AE908" s="8"/>
      <c r="AF908" s="8"/>
      <c r="AG908" s="8"/>
      <c r="AH908" s="8"/>
      <c r="AI908" s="8"/>
      <c r="AJ908" s="8"/>
      <c r="AK908" s="8"/>
      <c r="AL908" s="8"/>
      <c r="AM908" s="8"/>
      <c r="AN908" s="8"/>
      <c r="AO908" s="8"/>
      <c r="AP908" s="8"/>
      <c r="AQ908" s="8"/>
      <c r="AR908" s="8"/>
      <c r="AS908" s="8"/>
      <c r="AT908" s="8"/>
    </row>
    <row r="909">
      <c r="A909" s="415"/>
      <c r="B909" s="210"/>
      <c r="C909" s="415"/>
      <c r="D909" s="210"/>
      <c r="E909" s="415"/>
      <c r="F909" s="210"/>
      <c r="G909" s="415"/>
      <c r="H909" s="210"/>
      <c r="I909" s="423"/>
      <c r="J909" s="156"/>
      <c r="K909" s="423"/>
      <c r="L909" s="156"/>
      <c r="M909" s="415"/>
      <c r="N909" s="210"/>
      <c r="O909" s="415"/>
      <c r="P909" s="210"/>
      <c r="Q909" s="452"/>
      <c r="R909" s="452"/>
      <c r="S909" s="415"/>
      <c r="T909" s="210"/>
      <c r="U909" s="415"/>
      <c r="V909" s="210"/>
      <c r="W909" s="415"/>
      <c r="X909" s="210"/>
      <c r="Y909" s="8"/>
      <c r="Z909" s="8"/>
      <c r="AA909" s="8"/>
      <c r="AB909" s="8"/>
      <c r="AC909" s="8"/>
      <c r="AD909" s="8"/>
      <c r="AE909" s="8"/>
      <c r="AF909" s="8"/>
      <c r="AG909" s="8"/>
      <c r="AH909" s="8"/>
      <c r="AI909" s="8"/>
      <c r="AJ909" s="8"/>
      <c r="AK909" s="8"/>
      <c r="AL909" s="8"/>
      <c r="AM909" s="8"/>
      <c r="AN909" s="8"/>
      <c r="AO909" s="8"/>
      <c r="AP909" s="8"/>
      <c r="AQ909" s="8"/>
      <c r="AR909" s="8"/>
      <c r="AS909" s="8"/>
      <c r="AT909" s="8"/>
    </row>
    <row r="910">
      <c r="A910" s="415"/>
      <c r="B910" s="210"/>
      <c r="C910" s="415"/>
      <c r="D910" s="210"/>
      <c r="E910" s="415"/>
      <c r="F910" s="210"/>
      <c r="G910" s="415"/>
      <c r="H910" s="210"/>
      <c r="I910" s="423"/>
      <c r="J910" s="156"/>
      <c r="K910" s="423"/>
      <c r="L910" s="156"/>
      <c r="M910" s="415"/>
      <c r="N910" s="210"/>
      <c r="O910" s="415"/>
      <c r="P910" s="210"/>
      <c r="Q910" s="452"/>
      <c r="R910" s="452"/>
      <c r="S910" s="415"/>
      <c r="T910" s="210"/>
      <c r="U910" s="415"/>
      <c r="V910" s="210"/>
      <c r="W910" s="415"/>
      <c r="X910" s="210"/>
      <c r="Y910" s="8"/>
      <c r="Z910" s="8"/>
      <c r="AA910" s="8"/>
      <c r="AB910" s="8"/>
      <c r="AC910" s="8"/>
      <c r="AD910" s="8"/>
      <c r="AE910" s="8"/>
      <c r="AF910" s="8"/>
      <c r="AG910" s="8"/>
      <c r="AH910" s="8"/>
      <c r="AI910" s="8"/>
      <c r="AJ910" s="8"/>
      <c r="AK910" s="8"/>
      <c r="AL910" s="8"/>
      <c r="AM910" s="8"/>
      <c r="AN910" s="8"/>
      <c r="AO910" s="8"/>
      <c r="AP910" s="8"/>
      <c r="AQ910" s="8"/>
      <c r="AR910" s="8"/>
      <c r="AS910" s="8"/>
      <c r="AT910" s="8"/>
    </row>
    <row r="911">
      <c r="A911" s="415"/>
      <c r="B911" s="210"/>
      <c r="C911" s="415"/>
      <c r="D911" s="210"/>
      <c r="E911" s="415"/>
      <c r="F911" s="210"/>
      <c r="G911" s="415"/>
      <c r="H911" s="210"/>
      <c r="I911" s="423"/>
      <c r="J911" s="156"/>
      <c r="K911" s="423"/>
      <c r="L911" s="156"/>
      <c r="M911" s="415"/>
      <c r="N911" s="210"/>
      <c r="O911" s="415"/>
      <c r="P911" s="210"/>
      <c r="Q911" s="452"/>
      <c r="R911" s="452"/>
      <c r="S911" s="415"/>
      <c r="T911" s="210"/>
      <c r="U911" s="415"/>
      <c r="V911" s="210"/>
      <c r="W911" s="415"/>
      <c r="X911" s="210"/>
      <c r="Y911" s="8"/>
      <c r="Z911" s="8"/>
      <c r="AA911" s="8"/>
      <c r="AB911" s="8"/>
      <c r="AC911" s="8"/>
      <c r="AD911" s="8"/>
      <c r="AE911" s="8"/>
      <c r="AF911" s="8"/>
      <c r="AG911" s="8"/>
      <c r="AH911" s="8"/>
      <c r="AI911" s="8"/>
      <c r="AJ911" s="8"/>
      <c r="AK911" s="8"/>
      <c r="AL911" s="8"/>
      <c r="AM911" s="8"/>
      <c r="AN911" s="8"/>
      <c r="AO911" s="8"/>
      <c r="AP911" s="8"/>
      <c r="AQ911" s="8"/>
      <c r="AR911" s="8"/>
      <c r="AS911" s="8"/>
      <c r="AT911" s="8"/>
    </row>
    <row r="912">
      <c r="A912" s="415"/>
      <c r="B912" s="210"/>
      <c r="C912" s="415"/>
      <c r="D912" s="210"/>
      <c r="E912" s="415"/>
      <c r="F912" s="210"/>
      <c r="G912" s="415"/>
      <c r="H912" s="210"/>
      <c r="I912" s="423"/>
      <c r="J912" s="156"/>
      <c r="K912" s="423"/>
      <c r="L912" s="156"/>
      <c r="M912" s="415"/>
      <c r="N912" s="210"/>
      <c r="O912" s="415"/>
      <c r="P912" s="210"/>
      <c r="Q912" s="452"/>
      <c r="R912" s="452"/>
      <c r="S912" s="415"/>
      <c r="T912" s="210"/>
      <c r="U912" s="415"/>
      <c r="V912" s="210"/>
      <c r="W912" s="415"/>
      <c r="X912" s="210"/>
      <c r="Y912" s="8"/>
      <c r="Z912" s="8"/>
      <c r="AA912" s="8"/>
      <c r="AB912" s="8"/>
      <c r="AC912" s="8"/>
      <c r="AD912" s="8"/>
      <c r="AE912" s="8"/>
      <c r="AF912" s="8"/>
      <c r="AG912" s="8"/>
      <c r="AH912" s="8"/>
      <c r="AI912" s="8"/>
      <c r="AJ912" s="8"/>
      <c r="AK912" s="8"/>
      <c r="AL912" s="8"/>
      <c r="AM912" s="8"/>
      <c r="AN912" s="8"/>
      <c r="AO912" s="8"/>
      <c r="AP912" s="8"/>
      <c r="AQ912" s="8"/>
      <c r="AR912" s="8"/>
      <c r="AS912" s="8"/>
      <c r="AT912" s="8"/>
    </row>
    <row r="913">
      <c r="A913" s="415"/>
      <c r="B913" s="210"/>
      <c r="C913" s="415"/>
      <c r="D913" s="210"/>
      <c r="E913" s="415"/>
      <c r="F913" s="210"/>
      <c r="G913" s="415"/>
      <c r="H913" s="210"/>
      <c r="I913" s="423"/>
      <c r="J913" s="156"/>
      <c r="K913" s="423"/>
      <c r="L913" s="156"/>
      <c r="M913" s="415"/>
      <c r="N913" s="210"/>
      <c r="O913" s="415"/>
      <c r="P913" s="210"/>
      <c r="Q913" s="452"/>
      <c r="R913" s="452"/>
      <c r="S913" s="415"/>
      <c r="T913" s="210"/>
      <c r="U913" s="415"/>
      <c r="V913" s="210"/>
      <c r="W913" s="415"/>
      <c r="X913" s="210"/>
      <c r="Y913" s="8"/>
      <c r="Z913" s="8"/>
      <c r="AA913" s="8"/>
      <c r="AB913" s="8"/>
      <c r="AC913" s="8"/>
      <c r="AD913" s="8"/>
      <c r="AE913" s="8"/>
      <c r="AF913" s="8"/>
      <c r="AG913" s="8"/>
      <c r="AH913" s="8"/>
      <c r="AI913" s="8"/>
      <c r="AJ913" s="8"/>
      <c r="AK913" s="8"/>
      <c r="AL913" s="8"/>
      <c r="AM913" s="8"/>
      <c r="AN913" s="8"/>
      <c r="AO913" s="8"/>
      <c r="AP913" s="8"/>
      <c r="AQ913" s="8"/>
      <c r="AR913" s="8"/>
      <c r="AS913" s="8"/>
      <c r="AT913" s="8"/>
    </row>
    <row r="914">
      <c r="A914" s="415"/>
      <c r="B914" s="210"/>
      <c r="C914" s="415"/>
      <c r="D914" s="210"/>
      <c r="E914" s="415"/>
      <c r="F914" s="210"/>
      <c r="G914" s="415"/>
      <c r="H914" s="210"/>
      <c r="I914" s="423"/>
      <c r="J914" s="156"/>
      <c r="K914" s="423"/>
      <c r="L914" s="156"/>
      <c r="M914" s="415"/>
      <c r="N914" s="210"/>
      <c r="O914" s="415"/>
      <c r="P914" s="210"/>
      <c r="Q914" s="452"/>
      <c r="R914" s="452"/>
      <c r="S914" s="415"/>
      <c r="T914" s="210"/>
      <c r="U914" s="415"/>
      <c r="V914" s="210"/>
      <c r="W914" s="415"/>
      <c r="X914" s="210"/>
      <c r="Y914" s="8"/>
      <c r="Z914" s="8"/>
      <c r="AA914" s="8"/>
      <c r="AB914" s="8"/>
      <c r="AC914" s="8"/>
      <c r="AD914" s="8"/>
      <c r="AE914" s="8"/>
      <c r="AF914" s="8"/>
      <c r="AG914" s="8"/>
      <c r="AH914" s="8"/>
      <c r="AI914" s="8"/>
      <c r="AJ914" s="8"/>
      <c r="AK914" s="8"/>
      <c r="AL914" s="8"/>
      <c r="AM914" s="8"/>
      <c r="AN914" s="8"/>
      <c r="AO914" s="8"/>
      <c r="AP914" s="8"/>
      <c r="AQ914" s="8"/>
      <c r="AR914" s="8"/>
      <c r="AS914" s="8"/>
      <c r="AT914" s="8"/>
    </row>
    <row r="915">
      <c r="A915" s="415"/>
      <c r="B915" s="210"/>
      <c r="C915" s="415"/>
      <c r="D915" s="210"/>
      <c r="E915" s="415"/>
      <c r="F915" s="210"/>
      <c r="G915" s="415"/>
      <c r="H915" s="210"/>
      <c r="I915" s="423"/>
      <c r="J915" s="156"/>
      <c r="K915" s="423"/>
      <c r="L915" s="156"/>
      <c r="M915" s="415"/>
      <c r="N915" s="210"/>
      <c r="O915" s="415"/>
      <c r="P915" s="210"/>
      <c r="Q915" s="452"/>
      <c r="R915" s="452"/>
      <c r="S915" s="415"/>
      <c r="T915" s="210"/>
      <c r="U915" s="415"/>
      <c r="V915" s="210"/>
      <c r="W915" s="415"/>
      <c r="X915" s="210"/>
      <c r="Y915" s="8"/>
      <c r="Z915" s="8"/>
      <c r="AA915" s="8"/>
      <c r="AB915" s="8"/>
      <c r="AC915" s="8"/>
      <c r="AD915" s="8"/>
      <c r="AE915" s="8"/>
      <c r="AF915" s="8"/>
      <c r="AG915" s="8"/>
      <c r="AH915" s="8"/>
      <c r="AI915" s="8"/>
      <c r="AJ915" s="8"/>
      <c r="AK915" s="8"/>
      <c r="AL915" s="8"/>
      <c r="AM915" s="8"/>
      <c r="AN915" s="8"/>
      <c r="AO915" s="8"/>
      <c r="AP915" s="8"/>
      <c r="AQ915" s="8"/>
      <c r="AR915" s="8"/>
      <c r="AS915" s="8"/>
      <c r="AT915" s="8"/>
    </row>
    <row r="916">
      <c r="A916" s="415"/>
      <c r="B916" s="210"/>
      <c r="C916" s="415"/>
      <c r="D916" s="210"/>
      <c r="E916" s="415"/>
      <c r="F916" s="210"/>
      <c r="G916" s="415"/>
      <c r="H916" s="210"/>
      <c r="I916" s="423"/>
      <c r="J916" s="156"/>
      <c r="K916" s="423"/>
      <c r="L916" s="156"/>
      <c r="M916" s="415"/>
      <c r="N916" s="210"/>
      <c r="O916" s="415"/>
      <c r="P916" s="210"/>
      <c r="Q916" s="452"/>
      <c r="R916" s="452"/>
      <c r="S916" s="415"/>
      <c r="T916" s="210"/>
      <c r="U916" s="415"/>
      <c r="V916" s="210"/>
      <c r="W916" s="415"/>
      <c r="X916" s="210"/>
      <c r="Y916" s="8"/>
      <c r="Z916" s="8"/>
      <c r="AA916" s="8"/>
      <c r="AB916" s="8"/>
      <c r="AC916" s="8"/>
      <c r="AD916" s="8"/>
      <c r="AE916" s="8"/>
      <c r="AF916" s="8"/>
      <c r="AG916" s="8"/>
      <c r="AH916" s="8"/>
      <c r="AI916" s="8"/>
      <c r="AJ916" s="8"/>
      <c r="AK916" s="8"/>
      <c r="AL916" s="8"/>
      <c r="AM916" s="8"/>
      <c r="AN916" s="8"/>
      <c r="AO916" s="8"/>
      <c r="AP916" s="8"/>
      <c r="AQ916" s="8"/>
      <c r="AR916" s="8"/>
      <c r="AS916" s="8"/>
      <c r="AT916" s="8"/>
    </row>
    <row r="917">
      <c r="A917" s="415"/>
      <c r="B917" s="210"/>
      <c r="C917" s="415"/>
      <c r="D917" s="210"/>
      <c r="E917" s="415"/>
      <c r="F917" s="210"/>
      <c r="G917" s="415"/>
      <c r="H917" s="210"/>
      <c r="I917" s="423"/>
      <c r="J917" s="156"/>
      <c r="K917" s="423"/>
      <c r="L917" s="156"/>
      <c r="M917" s="415"/>
      <c r="N917" s="210"/>
      <c r="O917" s="415"/>
      <c r="P917" s="210"/>
      <c r="Q917" s="452"/>
      <c r="R917" s="452"/>
      <c r="S917" s="415"/>
      <c r="T917" s="210"/>
      <c r="U917" s="415"/>
      <c r="V917" s="210"/>
      <c r="W917" s="415"/>
      <c r="X917" s="210"/>
      <c r="Y917" s="8"/>
      <c r="Z917" s="8"/>
      <c r="AA917" s="8"/>
      <c r="AB917" s="8"/>
      <c r="AC917" s="8"/>
      <c r="AD917" s="8"/>
      <c r="AE917" s="8"/>
      <c r="AF917" s="8"/>
      <c r="AG917" s="8"/>
      <c r="AH917" s="8"/>
      <c r="AI917" s="8"/>
      <c r="AJ917" s="8"/>
      <c r="AK917" s="8"/>
      <c r="AL917" s="8"/>
      <c r="AM917" s="8"/>
      <c r="AN917" s="8"/>
      <c r="AO917" s="8"/>
      <c r="AP917" s="8"/>
      <c r="AQ917" s="8"/>
      <c r="AR917" s="8"/>
      <c r="AS917" s="8"/>
      <c r="AT917" s="8"/>
    </row>
    <row r="918">
      <c r="A918" s="415"/>
      <c r="B918" s="210"/>
      <c r="C918" s="415"/>
      <c r="D918" s="210"/>
      <c r="E918" s="415"/>
      <c r="F918" s="210"/>
      <c r="G918" s="415"/>
      <c r="H918" s="210"/>
      <c r="I918" s="423"/>
      <c r="J918" s="156"/>
      <c r="K918" s="423"/>
      <c r="L918" s="156"/>
      <c r="M918" s="415"/>
      <c r="N918" s="210"/>
      <c r="O918" s="415"/>
      <c r="P918" s="210"/>
      <c r="Q918" s="452"/>
      <c r="R918" s="452"/>
      <c r="S918" s="415"/>
      <c r="T918" s="210"/>
      <c r="U918" s="415"/>
      <c r="V918" s="210"/>
      <c r="W918" s="415"/>
      <c r="X918" s="210"/>
      <c r="Y918" s="8"/>
      <c r="Z918" s="8"/>
      <c r="AA918" s="8"/>
      <c r="AB918" s="8"/>
      <c r="AC918" s="8"/>
      <c r="AD918" s="8"/>
      <c r="AE918" s="8"/>
      <c r="AF918" s="8"/>
      <c r="AG918" s="8"/>
      <c r="AH918" s="8"/>
      <c r="AI918" s="8"/>
      <c r="AJ918" s="8"/>
      <c r="AK918" s="8"/>
      <c r="AL918" s="8"/>
      <c r="AM918" s="8"/>
      <c r="AN918" s="8"/>
      <c r="AO918" s="8"/>
      <c r="AP918" s="8"/>
      <c r="AQ918" s="8"/>
      <c r="AR918" s="8"/>
      <c r="AS918" s="8"/>
      <c r="AT918" s="8"/>
    </row>
    <row r="919">
      <c r="A919" s="415"/>
      <c r="B919" s="210"/>
      <c r="C919" s="415"/>
      <c r="D919" s="210"/>
      <c r="E919" s="415"/>
      <c r="F919" s="210"/>
      <c r="G919" s="415"/>
      <c r="H919" s="210"/>
      <c r="I919" s="423"/>
      <c r="J919" s="156"/>
      <c r="K919" s="423"/>
      <c r="L919" s="156"/>
      <c r="M919" s="415"/>
      <c r="N919" s="210"/>
      <c r="O919" s="415"/>
      <c r="P919" s="210"/>
      <c r="Q919" s="452"/>
      <c r="R919" s="452"/>
      <c r="S919" s="415"/>
      <c r="T919" s="210"/>
      <c r="U919" s="415"/>
      <c r="V919" s="210"/>
      <c r="W919" s="415"/>
      <c r="X919" s="210"/>
      <c r="Y919" s="8"/>
      <c r="Z919" s="8"/>
      <c r="AA919" s="8"/>
      <c r="AB919" s="8"/>
      <c r="AC919" s="8"/>
      <c r="AD919" s="8"/>
      <c r="AE919" s="8"/>
      <c r="AF919" s="8"/>
      <c r="AG919" s="8"/>
      <c r="AH919" s="8"/>
      <c r="AI919" s="8"/>
      <c r="AJ919" s="8"/>
      <c r="AK919" s="8"/>
      <c r="AL919" s="8"/>
      <c r="AM919" s="8"/>
      <c r="AN919" s="8"/>
      <c r="AO919" s="8"/>
      <c r="AP919" s="8"/>
      <c r="AQ919" s="8"/>
      <c r="AR919" s="8"/>
      <c r="AS919" s="8"/>
      <c r="AT919" s="8"/>
    </row>
    <row r="920">
      <c r="A920" s="415"/>
      <c r="B920" s="210"/>
      <c r="C920" s="415"/>
      <c r="D920" s="210"/>
      <c r="E920" s="415"/>
      <c r="F920" s="210"/>
      <c r="G920" s="415"/>
      <c r="H920" s="210"/>
      <c r="I920" s="423"/>
      <c r="J920" s="156"/>
      <c r="K920" s="423"/>
      <c r="L920" s="156"/>
      <c r="M920" s="415"/>
      <c r="N920" s="210"/>
      <c r="O920" s="415"/>
      <c r="P920" s="210"/>
      <c r="Q920" s="452"/>
      <c r="R920" s="452"/>
      <c r="S920" s="415"/>
      <c r="T920" s="210"/>
      <c r="U920" s="415"/>
      <c r="V920" s="210"/>
      <c r="W920" s="415"/>
      <c r="X920" s="210"/>
      <c r="Y920" s="8"/>
      <c r="Z920" s="8"/>
      <c r="AA920" s="8"/>
      <c r="AB920" s="8"/>
      <c r="AC920" s="8"/>
      <c r="AD920" s="8"/>
      <c r="AE920" s="8"/>
      <c r="AF920" s="8"/>
      <c r="AG920" s="8"/>
      <c r="AH920" s="8"/>
      <c r="AI920" s="8"/>
      <c r="AJ920" s="8"/>
      <c r="AK920" s="8"/>
      <c r="AL920" s="8"/>
      <c r="AM920" s="8"/>
      <c r="AN920" s="8"/>
      <c r="AO920" s="8"/>
      <c r="AP920" s="8"/>
      <c r="AQ920" s="8"/>
      <c r="AR920" s="8"/>
      <c r="AS920" s="8"/>
      <c r="AT920" s="8"/>
    </row>
    <row r="921">
      <c r="A921" s="415"/>
      <c r="B921" s="210"/>
      <c r="C921" s="415"/>
      <c r="D921" s="210"/>
      <c r="E921" s="415"/>
      <c r="F921" s="210"/>
      <c r="G921" s="415"/>
      <c r="H921" s="210"/>
      <c r="I921" s="423"/>
      <c r="J921" s="156"/>
      <c r="K921" s="423"/>
      <c r="L921" s="156"/>
      <c r="M921" s="415"/>
      <c r="N921" s="210"/>
      <c r="O921" s="415"/>
      <c r="P921" s="210"/>
      <c r="Q921" s="452"/>
      <c r="R921" s="452"/>
      <c r="S921" s="415"/>
      <c r="T921" s="210"/>
      <c r="U921" s="415"/>
      <c r="V921" s="210"/>
      <c r="W921" s="415"/>
      <c r="X921" s="210"/>
      <c r="Y921" s="8"/>
      <c r="Z921" s="8"/>
      <c r="AA921" s="8"/>
      <c r="AB921" s="8"/>
      <c r="AC921" s="8"/>
      <c r="AD921" s="8"/>
      <c r="AE921" s="8"/>
      <c r="AF921" s="8"/>
      <c r="AG921" s="8"/>
      <c r="AH921" s="8"/>
      <c r="AI921" s="8"/>
      <c r="AJ921" s="8"/>
      <c r="AK921" s="8"/>
      <c r="AL921" s="8"/>
      <c r="AM921" s="8"/>
      <c r="AN921" s="8"/>
      <c r="AO921" s="8"/>
      <c r="AP921" s="8"/>
      <c r="AQ921" s="8"/>
      <c r="AR921" s="8"/>
      <c r="AS921" s="8"/>
      <c r="AT921" s="8"/>
    </row>
    <row r="922">
      <c r="A922" s="415"/>
      <c r="B922" s="210"/>
      <c r="C922" s="415"/>
      <c r="D922" s="210"/>
      <c r="E922" s="415"/>
      <c r="F922" s="210"/>
      <c r="G922" s="415"/>
      <c r="H922" s="210"/>
      <c r="I922" s="423"/>
      <c r="J922" s="156"/>
      <c r="K922" s="423"/>
      <c r="L922" s="156"/>
      <c r="M922" s="415"/>
      <c r="N922" s="210"/>
      <c r="O922" s="415"/>
      <c r="P922" s="210"/>
      <c r="Q922" s="452"/>
      <c r="R922" s="452"/>
      <c r="S922" s="415"/>
      <c r="T922" s="210"/>
      <c r="U922" s="415"/>
      <c r="V922" s="210"/>
      <c r="W922" s="415"/>
      <c r="X922" s="210"/>
      <c r="Y922" s="8"/>
      <c r="Z922" s="8"/>
      <c r="AA922" s="8"/>
      <c r="AB922" s="8"/>
      <c r="AC922" s="8"/>
      <c r="AD922" s="8"/>
      <c r="AE922" s="8"/>
      <c r="AF922" s="8"/>
      <c r="AG922" s="8"/>
      <c r="AH922" s="8"/>
      <c r="AI922" s="8"/>
      <c r="AJ922" s="8"/>
      <c r="AK922" s="8"/>
      <c r="AL922" s="8"/>
      <c r="AM922" s="8"/>
      <c r="AN922" s="8"/>
      <c r="AO922" s="8"/>
      <c r="AP922" s="8"/>
      <c r="AQ922" s="8"/>
      <c r="AR922" s="8"/>
      <c r="AS922" s="8"/>
      <c r="AT922" s="8"/>
    </row>
    <row r="923">
      <c r="A923" s="415"/>
      <c r="B923" s="210"/>
      <c r="C923" s="415"/>
      <c r="D923" s="210"/>
      <c r="E923" s="415"/>
      <c r="F923" s="210"/>
      <c r="G923" s="415"/>
      <c r="H923" s="210"/>
      <c r="I923" s="423"/>
      <c r="J923" s="156"/>
      <c r="K923" s="423"/>
      <c r="L923" s="156"/>
      <c r="M923" s="415"/>
      <c r="N923" s="210"/>
      <c r="O923" s="415"/>
      <c r="P923" s="210"/>
      <c r="Q923" s="452"/>
      <c r="R923" s="452"/>
      <c r="S923" s="415"/>
      <c r="T923" s="210"/>
      <c r="U923" s="415"/>
      <c r="V923" s="210"/>
      <c r="W923" s="415"/>
      <c r="X923" s="210"/>
      <c r="Y923" s="8"/>
      <c r="Z923" s="8"/>
      <c r="AA923" s="8"/>
      <c r="AB923" s="8"/>
      <c r="AC923" s="8"/>
      <c r="AD923" s="8"/>
      <c r="AE923" s="8"/>
      <c r="AF923" s="8"/>
      <c r="AG923" s="8"/>
      <c r="AH923" s="8"/>
      <c r="AI923" s="8"/>
      <c r="AJ923" s="8"/>
      <c r="AK923" s="8"/>
      <c r="AL923" s="8"/>
      <c r="AM923" s="8"/>
      <c r="AN923" s="8"/>
      <c r="AO923" s="8"/>
      <c r="AP923" s="8"/>
      <c r="AQ923" s="8"/>
      <c r="AR923" s="8"/>
      <c r="AS923" s="8"/>
      <c r="AT923" s="8"/>
    </row>
    <row r="924">
      <c r="A924" s="415"/>
      <c r="B924" s="210"/>
      <c r="C924" s="415"/>
      <c r="D924" s="210"/>
      <c r="E924" s="415"/>
      <c r="F924" s="210"/>
      <c r="G924" s="415"/>
      <c r="H924" s="210"/>
      <c r="I924" s="423"/>
      <c r="J924" s="156"/>
      <c r="K924" s="423"/>
      <c r="L924" s="156"/>
      <c r="M924" s="415"/>
      <c r="N924" s="210"/>
      <c r="O924" s="415"/>
      <c r="P924" s="210"/>
      <c r="Q924" s="452"/>
      <c r="R924" s="452"/>
      <c r="S924" s="415"/>
      <c r="T924" s="210"/>
      <c r="U924" s="415"/>
      <c r="V924" s="210"/>
      <c r="W924" s="415"/>
      <c r="X924" s="210"/>
      <c r="Y924" s="8"/>
      <c r="Z924" s="8"/>
      <c r="AA924" s="8"/>
      <c r="AB924" s="8"/>
      <c r="AC924" s="8"/>
      <c r="AD924" s="8"/>
      <c r="AE924" s="8"/>
      <c r="AF924" s="8"/>
      <c r="AG924" s="8"/>
      <c r="AH924" s="8"/>
      <c r="AI924" s="8"/>
      <c r="AJ924" s="8"/>
      <c r="AK924" s="8"/>
      <c r="AL924" s="8"/>
      <c r="AM924" s="8"/>
      <c r="AN924" s="8"/>
      <c r="AO924" s="8"/>
      <c r="AP924" s="8"/>
      <c r="AQ924" s="8"/>
      <c r="AR924" s="8"/>
      <c r="AS924" s="8"/>
      <c r="AT924" s="8"/>
    </row>
    <row r="925">
      <c r="A925" s="415"/>
      <c r="B925" s="210"/>
      <c r="C925" s="415"/>
      <c r="D925" s="210"/>
      <c r="E925" s="415"/>
      <c r="F925" s="210"/>
      <c r="G925" s="415"/>
      <c r="H925" s="210"/>
      <c r="I925" s="423"/>
      <c r="J925" s="156"/>
      <c r="K925" s="423"/>
      <c r="L925" s="156"/>
      <c r="M925" s="415"/>
      <c r="N925" s="210"/>
      <c r="O925" s="415"/>
      <c r="P925" s="210"/>
      <c r="Q925" s="452"/>
      <c r="R925" s="452"/>
      <c r="S925" s="415"/>
      <c r="T925" s="210"/>
      <c r="U925" s="415"/>
      <c r="V925" s="210"/>
      <c r="W925" s="415"/>
      <c r="X925" s="210"/>
      <c r="Y925" s="8"/>
      <c r="Z925" s="8"/>
      <c r="AA925" s="8"/>
      <c r="AB925" s="8"/>
      <c r="AC925" s="8"/>
      <c r="AD925" s="8"/>
      <c r="AE925" s="8"/>
      <c r="AF925" s="8"/>
      <c r="AG925" s="8"/>
      <c r="AH925" s="8"/>
      <c r="AI925" s="8"/>
      <c r="AJ925" s="8"/>
      <c r="AK925" s="8"/>
      <c r="AL925" s="8"/>
      <c r="AM925" s="8"/>
      <c r="AN925" s="8"/>
      <c r="AO925" s="8"/>
      <c r="AP925" s="8"/>
      <c r="AQ925" s="8"/>
      <c r="AR925" s="8"/>
      <c r="AS925" s="8"/>
      <c r="AT925" s="8"/>
    </row>
    <row r="926">
      <c r="A926" s="415"/>
      <c r="B926" s="210"/>
      <c r="C926" s="415"/>
      <c r="D926" s="210"/>
      <c r="E926" s="415"/>
      <c r="F926" s="210"/>
      <c r="G926" s="415"/>
      <c r="H926" s="210"/>
      <c r="I926" s="423"/>
      <c r="J926" s="156"/>
      <c r="K926" s="423"/>
      <c r="L926" s="156"/>
      <c r="M926" s="415"/>
      <c r="N926" s="210"/>
      <c r="O926" s="415"/>
      <c r="P926" s="210"/>
      <c r="Q926" s="452"/>
      <c r="R926" s="452"/>
      <c r="S926" s="415"/>
      <c r="T926" s="210"/>
      <c r="U926" s="415"/>
      <c r="V926" s="210"/>
      <c r="W926" s="415"/>
      <c r="X926" s="210"/>
      <c r="Y926" s="8"/>
      <c r="Z926" s="8"/>
      <c r="AA926" s="8"/>
      <c r="AB926" s="8"/>
      <c r="AC926" s="8"/>
      <c r="AD926" s="8"/>
      <c r="AE926" s="8"/>
      <c r="AF926" s="8"/>
      <c r="AG926" s="8"/>
      <c r="AH926" s="8"/>
      <c r="AI926" s="8"/>
      <c r="AJ926" s="8"/>
      <c r="AK926" s="8"/>
      <c r="AL926" s="8"/>
      <c r="AM926" s="8"/>
      <c r="AN926" s="8"/>
      <c r="AO926" s="8"/>
      <c r="AP926" s="8"/>
      <c r="AQ926" s="8"/>
      <c r="AR926" s="8"/>
      <c r="AS926" s="8"/>
      <c r="AT926" s="8"/>
    </row>
    <row r="927">
      <c r="A927" s="415"/>
      <c r="B927" s="210"/>
      <c r="C927" s="415"/>
      <c r="D927" s="210"/>
      <c r="E927" s="415"/>
      <c r="F927" s="210"/>
      <c r="G927" s="415"/>
      <c r="H927" s="210"/>
      <c r="I927" s="423"/>
      <c r="J927" s="156"/>
      <c r="K927" s="423"/>
      <c r="L927" s="156"/>
      <c r="M927" s="415"/>
      <c r="N927" s="210"/>
      <c r="O927" s="415"/>
      <c r="P927" s="210"/>
      <c r="Q927" s="452"/>
      <c r="R927" s="452"/>
      <c r="S927" s="415"/>
      <c r="T927" s="210"/>
      <c r="U927" s="415"/>
      <c r="V927" s="210"/>
      <c r="W927" s="415"/>
      <c r="X927" s="210"/>
      <c r="Y927" s="8"/>
      <c r="Z927" s="8"/>
      <c r="AA927" s="8"/>
      <c r="AB927" s="8"/>
      <c r="AC927" s="8"/>
      <c r="AD927" s="8"/>
      <c r="AE927" s="8"/>
      <c r="AF927" s="8"/>
      <c r="AG927" s="8"/>
      <c r="AH927" s="8"/>
      <c r="AI927" s="8"/>
      <c r="AJ927" s="8"/>
      <c r="AK927" s="8"/>
      <c r="AL927" s="8"/>
      <c r="AM927" s="8"/>
      <c r="AN927" s="8"/>
      <c r="AO927" s="8"/>
      <c r="AP927" s="8"/>
      <c r="AQ927" s="8"/>
      <c r="AR927" s="8"/>
      <c r="AS927" s="8"/>
      <c r="AT927" s="8"/>
    </row>
    <row r="928">
      <c r="A928" s="415"/>
      <c r="B928" s="210"/>
      <c r="C928" s="415"/>
      <c r="D928" s="210"/>
      <c r="E928" s="415"/>
      <c r="F928" s="210"/>
      <c r="G928" s="415"/>
      <c r="H928" s="210"/>
      <c r="I928" s="423"/>
      <c r="J928" s="156"/>
      <c r="K928" s="423"/>
      <c r="L928" s="156"/>
      <c r="M928" s="415"/>
      <c r="N928" s="210"/>
      <c r="O928" s="415"/>
      <c r="P928" s="210"/>
      <c r="Q928" s="452"/>
      <c r="R928" s="452"/>
      <c r="S928" s="415"/>
      <c r="T928" s="210"/>
      <c r="U928" s="415"/>
      <c r="V928" s="210"/>
      <c r="W928" s="415"/>
      <c r="X928" s="210"/>
      <c r="Y928" s="8"/>
      <c r="Z928" s="8"/>
      <c r="AA928" s="8"/>
      <c r="AB928" s="8"/>
      <c r="AC928" s="8"/>
      <c r="AD928" s="8"/>
      <c r="AE928" s="8"/>
      <c r="AF928" s="8"/>
      <c r="AG928" s="8"/>
      <c r="AH928" s="8"/>
      <c r="AI928" s="8"/>
      <c r="AJ928" s="8"/>
      <c r="AK928" s="8"/>
      <c r="AL928" s="8"/>
      <c r="AM928" s="8"/>
      <c r="AN928" s="8"/>
      <c r="AO928" s="8"/>
      <c r="AP928" s="8"/>
      <c r="AQ928" s="8"/>
      <c r="AR928" s="8"/>
      <c r="AS928" s="8"/>
      <c r="AT928" s="8"/>
    </row>
    <row r="929">
      <c r="A929" s="415"/>
      <c r="B929" s="210"/>
      <c r="C929" s="415"/>
      <c r="D929" s="210"/>
      <c r="E929" s="415"/>
      <c r="F929" s="210"/>
      <c r="G929" s="415"/>
      <c r="H929" s="210"/>
      <c r="I929" s="423"/>
      <c r="J929" s="156"/>
      <c r="K929" s="423"/>
      <c r="L929" s="156"/>
      <c r="M929" s="415"/>
      <c r="N929" s="210"/>
      <c r="O929" s="415"/>
      <c r="P929" s="210"/>
      <c r="Q929" s="452"/>
      <c r="R929" s="452"/>
      <c r="S929" s="415"/>
      <c r="T929" s="210"/>
      <c r="U929" s="415"/>
      <c r="V929" s="210"/>
      <c r="W929" s="415"/>
      <c r="X929" s="210"/>
      <c r="Y929" s="8"/>
      <c r="Z929" s="8"/>
      <c r="AA929" s="8"/>
      <c r="AB929" s="8"/>
      <c r="AC929" s="8"/>
      <c r="AD929" s="8"/>
      <c r="AE929" s="8"/>
      <c r="AF929" s="8"/>
      <c r="AG929" s="8"/>
      <c r="AH929" s="8"/>
      <c r="AI929" s="8"/>
      <c r="AJ929" s="8"/>
      <c r="AK929" s="8"/>
      <c r="AL929" s="8"/>
      <c r="AM929" s="8"/>
      <c r="AN929" s="8"/>
      <c r="AO929" s="8"/>
      <c r="AP929" s="8"/>
      <c r="AQ929" s="8"/>
      <c r="AR929" s="8"/>
      <c r="AS929" s="8"/>
      <c r="AT929" s="8"/>
    </row>
    <row r="930">
      <c r="A930" s="415"/>
      <c r="B930" s="210"/>
      <c r="C930" s="415"/>
      <c r="D930" s="210"/>
      <c r="E930" s="415"/>
      <c r="F930" s="210"/>
      <c r="G930" s="415"/>
      <c r="H930" s="210"/>
      <c r="I930" s="423"/>
      <c r="J930" s="156"/>
      <c r="K930" s="423"/>
      <c r="L930" s="156"/>
      <c r="M930" s="415"/>
      <c r="N930" s="210"/>
      <c r="O930" s="415"/>
      <c r="P930" s="210"/>
      <c r="Q930" s="452"/>
      <c r="R930" s="452"/>
      <c r="S930" s="415"/>
      <c r="T930" s="210"/>
      <c r="U930" s="415"/>
      <c r="V930" s="210"/>
      <c r="W930" s="415"/>
      <c r="X930" s="210"/>
      <c r="Y930" s="8"/>
      <c r="Z930" s="8"/>
      <c r="AA930" s="8"/>
      <c r="AB930" s="8"/>
      <c r="AC930" s="8"/>
      <c r="AD930" s="8"/>
      <c r="AE930" s="8"/>
      <c r="AF930" s="8"/>
      <c r="AG930" s="8"/>
      <c r="AH930" s="8"/>
      <c r="AI930" s="8"/>
      <c r="AJ930" s="8"/>
      <c r="AK930" s="8"/>
      <c r="AL930" s="8"/>
      <c r="AM930" s="8"/>
      <c r="AN930" s="8"/>
      <c r="AO930" s="8"/>
      <c r="AP930" s="8"/>
      <c r="AQ930" s="8"/>
      <c r="AR930" s="8"/>
      <c r="AS930" s="8"/>
      <c r="AT930" s="8"/>
    </row>
    <row r="931">
      <c r="A931" s="415"/>
      <c r="B931" s="210"/>
      <c r="C931" s="415"/>
      <c r="D931" s="210"/>
      <c r="E931" s="415"/>
      <c r="F931" s="210"/>
      <c r="G931" s="415"/>
      <c r="H931" s="210"/>
      <c r="I931" s="423"/>
      <c r="J931" s="156"/>
      <c r="K931" s="423"/>
      <c r="L931" s="156"/>
      <c r="M931" s="415"/>
      <c r="N931" s="210"/>
      <c r="O931" s="415"/>
      <c r="P931" s="210"/>
      <c r="Q931" s="452"/>
      <c r="R931" s="452"/>
      <c r="S931" s="415"/>
      <c r="T931" s="210"/>
      <c r="U931" s="415"/>
      <c r="V931" s="210"/>
      <c r="W931" s="415"/>
      <c r="X931" s="210"/>
      <c r="Y931" s="8"/>
      <c r="Z931" s="8"/>
      <c r="AA931" s="8"/>
      <c r="AB931" s="8"/>
      <c r="AC931" s="8"/>
      <c r="AD931" s="8"/>
      <c r="AE931" s="8"/>
      <c r="AF931" s="8"/>
      <c r="AG931" s="8"/>
      <c r="AH931" s="8"/>
      <c r="AI931" s="8"/>
      <c r="AJ931" s="8"/>
      <c r="AK931" s="8"/>
      <c r="AL931" s="8"/>
      <c r="AM931" s="8"/>
      <c r="AN931" s="8"/>
      <c r="AO931" s="8"/>
      <c r="AP931" s="8"/>
      <c r="AQ931" s="8"/>
      <c r="AR931" s="8"/>
      <c r="AS931" s="8"/>
      <c r="AT931" s="8"/>
    </row>
    <row r="932">
      <c r="A932" s="415"/>
      <c r="B932" s="210"/>
      <c r="C932" s="415"/>
      <c r="D932" s="210"/>
      <c r="E932" s="415"/>
      <c r="F932" s="210"/>
      <c r="G932" s="415"/>
      <c r="H932" s="210"/>
      <c r="I932" s="423"/>
      <c r="J932" s="156"/>
      <c r="K932" s="423"/>
      <c r="L932" s="156"/>
      <c r="M932" s="415"/>
      <c r="N932" s="210"/>
      <c r="O932" s="415"/>
      <c r="P932" s="210"/>
      <c r="Q932" s="452"/>
      <c r="R932" s="452"/>
      <c r="S932" s="415"/>
      <c r="T932" s="210"/>
      <c r="U932" s="415"/>
      <c r="V932" s="210"/>
      <c r="W932" s="415"/>
      <c r="X932" s="210"/>
      <c r="Y932" s="8"/>
      <c r="Z932" s="8"/>
      <c r="AA932" s="8"/>
      <c r="AB932" s="8"/>
      <c r="AC932" s="8"/>
      <c r="AD932" s="8"/>
      <c r="AE932" s="8"/>
      <c r="AF932" s="8"/>
      <c r="AG932" s="8"/>
      <c r="AH932" s="8"/>
      <c r="AI932" s="8"/>
      <c r="AJ932" s="8"/>
      <c r="AK932" s="8"/>
      <c r="AL932" s="8"/>
      <c r="AM932" s="8"/>
      <c r="AN932" s="8"/>
      <c r="AO932" s="8"/>
      <c r="AP932" s="8"/>
      <c r="AQ932" s="8"/>
      <c r="AR932" s="8"/>
      <c r="AS932" s="8"/>
      <c r="AT932" s="8"/>
    </row>
    <row r="933">
      <c r="A933" s="415"/>
      <c r="B933" s="210"/>
      <c r="C933" s="415"/>
      <c r="D933" s="210"/>
      <c r="E933" s="415"/>
      <c r="F933" s="210"/>
      <c r="G933" s="415"/>
      <c r="H933" s="210"/>
      <c r="I933" s="423"/>
      <c r="J933" s="156"/>
      <c r="K933" s="423"/>
      <c r="L933" s="156"/>
      <c r="M933" s="415"/>
      <c r="N933" s="210"/>
      <c r="O933" s="415"/>
      <c r="P933" s="210"/>
      <c r="Q933" s="452"/>
      <c r="R933" s="452"/>
      <c r="S933" s="415"/>
      <c r="T933" s="210"/>
      <c r="U933" s="415"/>
      <c r="V933" s="210"/>
      <c r="W933" s="415"/>
      <c r="X933" s="210"/>
      <c r="Y933" s="8"/>
      <c r="Z933" s="8"/>
      <c r="AA933" s="8"/>
      <c r="AB933" s="8"/>
      <c r="AC933" s="8"/>
      <c r="AD933" s="8"/>
      <c r="AE933" s="8"/>
      <c r="AF933" s="8"/>
      <c r="AG933" s="8"/>
      <c r="AH933" s="8"/>
      <c r="AI933" s="8"/>
      <c r="AJ933" s="8"/>
      <c r="AK933" s="8"/>
      <c r="AL933" s="8"/>
      <c r="AM933" s="8"/>
      <c r="AN933" s="8"/>
      <c r="AO933" s="8"/>
      <c r="AP933" s="8"/>
      <c r="AQ933" s="8"/>
      <c r="AR933" s="8"/>
      <c r="AS933" s="8"/>
      <c r="AT933" s="8"/>
    </row>
    <row r="934">
      <c r="A934" s="415"/>
      <c r="B934" s="210"/>
      <c r="C934" s="415"/>
      <c r="D934" s="210"/>
      <c r="E934" s="415"/>
      <c r="F934" s="210"/>
      <c r="G934" s="415"/>
      <c r="H934" s="210"/>
      <c r="I934" s="423"/>
      <c r="J934" s="156"/>
      <c r="K934" s="423"/>
      <c r="L934" s="156"/>
      <c r="M934" s="415"/>
      <c r="N934" s="210"/>
      <c r="O934" s="415"/>
      <c r="P934" s="210"/>
      <c r="Q934" s="452"/>
      <c r="R934" s="452"/>
      <c r="S934" s="415"/>
      <c r="T934" s="210"/>
      <c r="U934" s="415"/>
      <c r="V934" s="210"/>
      <c r="W934" s="415"/>
      <c r="X934" s="210"/>
      <c r="Y934" s="8"/>
      <c r="Z934" s="8"/>
      <c r="AA934" s="8"/>
      <c r="AB934" s="8"/>
      <c r="AC934" s="8"/>
      <c r="AD934" s="8"/>
      <c r="AE934" s="8"/>
      <c r="AF934" s="8"/>
      <c r="AG934" s="8"/>
      <c r="AH934" s="8"/>
      <c r="AI934" s="8"/>
      <c r="AJ934" s="8"/>
      <c r="AK934" s="8"/>
      <c r="AL934" s="8"/>
      <c r="AM934" s="8"/>
      <c r="AN934" s="8"/>
      <c r="AO934" s="8"/>
      <c r="AP934" s="8"/>
      <c r="AQ934" s="8"/>
      <c r="AR934" s="8"/>
      <c r="AS934" s="8"/>
      <c r="AT934" s="8"/>
    </row>
    <row r="935">
      <c r="A935" s="415"/>
      <c r="B935" s="210"/>
      <c r="C935" s="415"/>
      <c r="D935" s="210"/>
      <c r="E935" s="415"/>
      <c r="F935" s="210"/>
      <c r="G935" s="415"/>
      <c r="H935" s="210"/>
      <c r="I935" s="423"/>
      <c r="J935" s="156"/>
      <c r="K935" s="423"/>
      <c r="L935" s="156"/>
      <c r="M935" s="415"/>
      <c r="N935" s="210"/>
      <c r="O935" s="415"/>
      <c r="P935" s="210"/>
      <c r="Q935" s="452"/>
      <c r="R935" s="452"/>
      <c r="S935" s="415"/>
      <c r="T935" s="210"/>
      <c r="U935" s="415"/>
      <c r="V935" s="210"/>
      <c r="W935" s="415"/>
      <c r="X935" s="210"/>
      <c r="Y935" s="8"/>
      <c r="Z935" s="8"/>
      <c r="AA935" s="8"/>
      <c r="AB935" s="8"/>
      <c r="AC935" s="8"/>
      <c r="AD935" s="8"/>
      <c r="AE935" s="8"/>
      <c r="AF935" s="8"/>
      <c r="AG935" s="8"/>
      <c r="AH935" s="8"/>
      <c r="AI935" s="8"/>
      <c r="AJ935" s="8"/>
      <c r="AK935" s="8"/>
      <c r="AL935" s="8"/>
      <c r="AM935" s="8"/>
      <c r="AN935" s="8"/>
      <c r="AO935" s="8"/>
      <c r="AP935" s="8"/>
      <c r="AQ935" s="8"/>
      <c r="AR935" s="8"/>
      <c r="AS935" s="8"/>
      <c r="AT935" s="8"/>
    </row>
    <row r="936">
      <c r="A936" s="415"/>
      <c r="B936" s="210"/>
      <c r="C936" s="415"/>
      <c r="D936" s="210"/>
      <c r="E936" s="415"/>
      <c r="F936" s="210"/>
      <c r="G936" s="415"/>
      <c r="H936" s="210"/>
      <c r="I936" s="423"/>
      <c r="J936" s="156"/>
      <c r="K936" s="423"/>
      <c r="L936" s="156"/>
      <c r="M936" s="415"/>
      <c r="N936" s="210"/>
      <c r="O936" s="415"/>
      <c r="P936" s="210"/>
      <c r="Q936" s="452"/>
      <c r="R936" s="452"/>
      <c r="S936" s="415"/>
      <c r="T936" s="210"/>
      <c r="U936" s="415"/>
      <c r="V936" s="210"/>
      <c r="W936" s="415"/>
      <c r="X936" s="210"/>
      <c r="Y936" s="8"/>
      <c r="Z936" s="8"/>
      <c r="AA936" s="8"/>
      <c r="AB936" s="8"/>
      <c r="AC936" s="8"/>
      <c r="AD936" s="8"/>
      <c r="AE936" s="8"/>
      <c r="AF936" s="8"/>
      <c r="AG936" s="8"/>
      <c r="AH936" s="8"/>
      <c r="AI936" s="8"/>
      <c r="AJ936" s="8"/>
      <c r="AK936" s="8"/>
      <c r="AL936" s="8"/>
      <c r="AM936" s="8"/>
      <c r="AN936" s="8"/>
      <c r="AO936" s="8"/>
      <c r="AP936" s="8"/>
      <c r="AQ936" s="8"/>
      <c r="AR936" s="8"/>
      <c r="AS936" s="8"/>
      <c r="AT936" s="8"/>
    </row>
    <row r="937">
      <c r="A937" s="415"/>
      <c r="B937" s="210"/>
      <c r="C937" s="415"/>
      <c r="D937" s="210"/>
      <c r="E937" s="415"/>
      <c r="F937" s="210"/>
      <c r="G937" s="415"/>
      <c r="H937" s="210"/>
      <c r="I937" s="423"/>
      <c r="J937" s="156"/>
      <c r="K937" s="423"/>
      <c r="L937" s="156"/>
      <c r="M937" s="415"/>
      <c r="N937" s="210"/>
      <c r="O937" s="415"/>
      <c r="P937" s="210"/>
      <c r="Q937" s="452"/>
      <c r="R937" s="452"/>
      <c r="S937" s="415"/>
      <c r="T937" s="210"/>
      <c r="U937" s="415"/>
      <c r="V937" s="210"/>
      <c r="W937" s="415"/>
      <c r="X937" s="210"/>
      <c r="Y937" s="8"/>
      <c r="Z937" s="8"/>
      <c r="AA937" s="8"/>
      <c r="AB937" s="8"/>
      <c r="AC937" s="8"/>
      <c r="AD937" s="8"/>
      <c r="AE937" s="8"/>
      <c r="AF937" s="8"/>
      <c r="AG937" s="8"/>
      <c r="AH937" s="8"/>
      <c r="AI937" s="8"/>
      <c r="AJ937" s="8"/>
      <c r="AK937" s="8"/>
      <c r="AL937" s="8"/>
      <c r="AM937" s="8"/>
      <c r="AN937" s="8"/>
      <c r="AO937" s="8"/>
      <c r="AP937" s="8"/>
      <c r="AQ937" s="8"/>
      <c r="AR937" s="8"/>
      <c r="AS937" s="8"/>
      <c r="AT937" s="8"/>
    </row>
    <row r="938">
      <c r="A938" s="415"/>
      <c r="B938" s="210"/>
      <c r="C938" s="415"/>
      <c r="D938" s="210"/>
      <c r="E938" s="415"/>
      <c r="F938" s="210"/>
      <c r="G938" s="415"/>
      <c r="H938" s="210"/>
      <c r="I938" s="423"/>
      <c r="J938" s="156"/>
      <c r="K938" s="423"/>
      <c r="L938" s="156"/>
      <c r="M938" s="415"/>
      <c r="N938" s="210"/>
      <c r="O938" s="415"/>
      <c r="P938" s="210"/>
      <c r="Q938" s="452"/>
      <c r="R938" s="452"/>
      <c r="S938" s="415"/>
      <c r="T938" s="210"/>
      <c r="U938" s="415"/>
      <c r="V938" s="210"/>
      <c r="W938" s="415"/>
      <c r="X938" s="210"/>
      <c r="Y938" s="8"/>
      <c r="Z938" s="8"/>
      <c r="AA938" s="8"/>
      <c r="AB938" s="8"/>
      <c r="AC938" s="8"/>
      <c r="AD938" s="8"/>
      <c r="AE938" s="8"/>
      <c r="AF938" s="8"/>
      <c r="AG938" s="8"/>
      <c r="AH938" s="8"/>
      <c r="AI938" s="8"/>
      <c r="AJ938" s="8"/>
      <c r="AK938" s="8"/>
      <c r="AL938" s="8"/>
      <c r="AM938" s="8"/>
      <c r="AN938" s="8"/>
      <c r="AO938" s="8"/>
      <c r="AP938" s="8"/>
      <c r="AQ938" s="8"/>
      <c r="AR938" s="8"/>
      <c r="AS938" s="8"/>
      <c r="AT938" s="8"/>
    </row>
    <row r="939">
      <c r="A939" s="415"/>
      <c r="B939" s="210"/>
      <c r="C939" s="415"/>
      <c r="D939" s="210"/>
      <c r="E939" s="415"/>
      <c r="F939" s="210"/>
      <c r="G939" s="415"/>
      <c r="H939" s="210"/>
      <c r="I939" s="423"/>
      <c r="J939" s="156"/>
      <c r="K939" s="423"/>
      <c r="L939" s="156"/>
      <c r="M939" s="415"/>
      <c r="N939" s="210"/>
      <c r="O939" s="415"/>
      <c r="P939" s="210"/>
      <c r="Q939" s="452"/>
      <c r="R939" s="452"/>
      <c r="S939" s="415"/>
      <c r="T939" s="210"/>
      <c r="U939" s="415"/>
      <c r="V939" s="210"/>
      <c r="W939" s="415"/>
      <c r="X939" s="210"/>
      <c r="Y939" s="8"/>
      <c r="Z939" s="8"/>
      <c r="AA939" s="8"/>
      <c r="AB939" s="8"/>
      <c r="AC939" s="8"/>
      <c r="AD939" s="8"/>
      <c r="AE939" s="8"/>
      <c r="AF939" s="8"/>
      <c r="AG939" s="8"/>
      <c r="AH939" s="8"/>
      <c r="AI939" s="8"/>
      <c r="AJ939" s="8"/>
      <c r="AK939" s="8"/>
      <c r="AL939" s="8"/>
      <c r="AM939" s="8"/>
      <c r="AN939" s="8"/>
      <c r="AO939" s="8"/>
      <c r="AP939" s="8"/>
      <c r="AQ939" s="8"/>
      <c r="AR939" s="8"/>
      <c r="AS939" s="8"/>
      <c r="AT939" s="8"/>
    </row>
    <row r="940">
      <c r="A940" s="415"/>
      <c r="B940" s="210"/>
      <c r="C940" s="415"/>
      <c r="D940" s="210"/>
      <c r="E940" s="415"/>
      <c r="F940" s="210"/>
      <c r="G940" s="415"/>
      <c r="H940" s="210"/>
      <c r="I940" s="423"/>
      <c r="J940" s="156"/>
      <c r="K940" s="423"/>
      <c r="L940" s="156"/>
      <c r="M940" s="415"/>
      <c r="N940" s="210"/>
      <c r="O940" s="415"/>
      <c r="P940" s="210"/>
      <c r="Q940" s="452"/>
      <c r="R940" s="452"/>
      <c r="S940" s="415"/>
      <c r="T940" s="210"/>
      <c r="U940" s="415"/>
      <c r="V940" s="210"/>
      <c r="W940" s="415"/>
      <c r="X940" s="210"/>
      <c r="Y940" s="8"/>
      <c r="Z940" s="8"/>
      <c r="AA940" s="8"/>
      <c r="AB940" s="8"/>
      <c r="AC940" s="8"/>
      <c r="AD940" s="8"/>
      <c r="AE940" s="8"/>
      <c r="AF940" s="8"/>
      <c r="AG940" s="8"/>
      <c r="AH940" s="8"/>
      <c r="AI940" s="8"/>
      <c r="AJ940" s="8"/>
      <c r="AK940" s="8"/>
      <c r="AL940" s="8"/>
      <c r="AM940" s="8"/>
      <c r="AN940" s="8"/>
      <c r="AO940" s="8"/>
      <c r="AP940" s="8"/>
      <c r="AQ940" s="8"/>
      <c r="AR940" s="8"/>
      <c r="AS940" s="8"/>
      <c r="AT940" s="8"/>
    </row>
    <row r="941">
      <c r="A941" s="415"/>
      <c r="B941" s="210"/>
      <c r="C941" s="415"/>
      <c r="D941" s="210"/>
      <c r="E941" s="415"/>
      <c r="F941" s="210"/>
      <c r="G941" s="415"/>
      <c r="H941" s="210"/>
      <c r="I941" s="423"/>
      <c r="J941" s="156"/>
      <c r="K941" s="423"/>
      <c r="L941" s="156"/>
      <c r="M941" s="415"/>
      <c r="N941" s="210"/>
      <c r="O941" s="415"/>
      <c r="P941" s="210"/>
      <c r="Q941" s="452"/>
      <c r="R941" s="452"/>
      <c r="S941" s="415"/>
      <c r="T941" s="210"/>
      <c r="U941" s="415"/>
      <c r="V941" s="210"/>
      <c r="W941" s="415"/>
      <c r="X941" s="210"/>
      <c r="Y941" s="8"/>
      <c r="Z941" s="8"/>
      <c r="AA941" s="8"/>
      <c r="AB941" s="8"/>
      <c r="AC941" s="8"/>
      <c r="AD941" s="8"/>
      <c r="AE941" s="8"/>
      <c r="AF941" s="8"/>
      <c r="AG941" s="8"/>
      <c r="AH941" s="8"/>
      <c r="AI941" s="8"/>
      <c r="AJ941" s="8"/>
      <c r="AK941" s="8"/>
      <c r="AL941" s="8"/>
      <c r="AM941" s="8"/>
      <c r="AN941" s="8"/>
      <c r="AO941" s="8"/>
      <c r="AP941" s="8"/>
      <c r="AQ941" s="8"/>
      <c r="AR941" s="8"/>
      <c r="AS941" s="8"/>
      <c r="AT941" s="8"/>
    </row>
    <row r="942">
      <c r="A942" s="415"/>
      <c r="B942" s="210"/>
      <c r="C942" s="415"/>
      <c r="D942" s="210"/>
      <c r="E942" s="415"/>
      <c r="F942" s="210"/>
      <c r="G942" s="415"/>
      <c r="H942" s="210"/>
      <c r="I942" s="423"/>
      <c r="J942" s="156"/>
      <c r="K942" s="423"/>
      <c r="L942" s="156"/>
      <c r="M942" s="415"/>
      <c r="N942" s="210"/>
      <c r="O942" s="415"/>
      <c r="P942" s="210"/>
      <c r="Q942" s="452"/>
      <c r="R942" s="452"/>
      <c r="S942" s="415"/>
      <c r="T942" s="210"/>
      <c r="U942" s="415"/>
      <c r="V942" s="210"/>
      <c r="W942" s="415"/>
      <c r="X942" s="210"/>
      <c r="Y942" s="8"/>
      <c r="Z942" s="8"/>
      <c r="AA942" s="8"/>
      <c r="AB942" s="8"/>
      <c r="AC942" s="8"/>
      <c r="AD942" s="8"/>
      <c r="AE942" s="8"/>
      <c r="AF942" s="8"/>
      <c r="AG942" s="8"/>
      <c r="AH942" s="8"/>
      <c r="AI942" s="8"/>
      <c r="AJ942" s="8"/>
      <c r="AK942" s="8"/>
      <c r="AL942" s="8"/>
      <c r="AM942" s="8"/>
      <c r="AN942" s="8"/>
      <c r="AO942" s="8"/>
      <c r="AP942" s="8"/>
      <c r="AQ942" s="8"/>
      <c r="AR942" s="8"/>
      <c r="AS942" s="8"/>
      <c r="AT942" s="8"/>
    </row>
    <row r="943">
      <c r="A943" s="415"/>
      <c r="B943" s="210"/>
      <c r="C943" s="415"/>
      <c r="D943" s="210"/>
      <c r="E943" s="415"/>
      <c r="F943" s="210"/>
      <c r="G943" s="415"/>
      <c r="H943" s="210"/>
      <c r="I943" s="423"/>
      <c r="J943" s="156"/>
      <c r="K943" s="423"/>
      <c r="L943" s="156"/>
      <c r="M943" s="415"/>
      <c r="N943" s="210"/>
      <c r="O943" s="415"/>
      <c r="P943" s="210"/>
      <c r="Q943" s="452"/>
      <c r="R943" s="452"/>
      <c r="S943" s="415"/>
      <c r="T943" s="210"/>
      <c r="U943" s="415"/>
      <c r="V943" s="210"/>
      <c r="W943" s="415"/>
      <c r="X943" s="210"/>
      <c r="Y943" s="8"/>
      <c r="Z943" s="8"/>
      <c r="AA943" s="8"/>
      <c r="AB943" s="8"/>
      <c r="AC943" s="8"/>
      <c r="AD943" s="8"/>
      <c r="AE943" s="8"/>
      <c r="AF943" s="8"/>
      <c r="AG943" s="8"/>
      <c r="AH943" s="8"/>
      <c r="AI943" s="8"/>
      <c r="AJ943" s="8"/>
      <c r="AK943" s="8"/>
      <c r="AL943" s="8"/>
      <c r="AM943" s="8"/>
      <c r="AN943" s="8"/>
      <c r="AO943" s="8"/>
      <c r="AP943" s="8"/>
      <c r="AQ943" s="8"/>
      <c r="AR943" s="8"/>
      <c r="AS943" s="8"/>
      <c r="AT943" s="8"/>
    </row>
    <row r="944">
      <c r="A944" s="415"/>
      <c r="B944" s="210"/>
      <c r="C944" s="415"/>
      <c r="D944" s="210"/>
      <c r="E944" s="415"/>
      <c r="F944" s="210"/>
      <c r="G944" s="415"/>
      <c r="H944" s="210"/>
      <c r="I944" s="423"/>
      <c r="J944" s="156"/>
      <c r="K944" s="423"/>
      <c r="L944" s="156"/>
      <c r="M944" s="415"/>
      <c r="N944" s="210"/>
      <c r="O944" s="415"/>
      <c r="P944" s="210"/>
      <c r="Q944" s="452"/>
      <c r="R944" s="452"/>
      <c r="S944" s="415"/>
      <c r="T944" s="210"/>
      <c r="U944" s="415"/>
      <c r="V944" s="210"/>
      <c r="W944" s="415"/>
      <c r="X944" s="210"/>
      <c r="Y944" s="8"/>
      <c r="Z944" s="8"/>
      <c r="AA944" s="8"/>
      <c r="AB944" s="8"/>
      <c r="AC944" s="8"/>
      <c r="AD944" s="8"/>
      <c r="AE944" s="8"/>
      <c r="AF944" s="8"/>
      <c r="AG944" s="8"/>
      <c r="AH944" s="8"/>
      <c r="AI944" s="8"/>
      <c r="AJ944" s="8"/>
      <c r="AK944" s="8"/>
      <c r="AL944" s="8"/>
      <c r="AM944" s="8"/>
      <c r="AN944" s="8"/>
      <c r="AO944" s="8"/>
      <c r="AP944" s="8"/>
      <c r="AQ944" s="8"/>
      <c r="AR944" s="8"/>
      <c r="AS944" s="8"/>
      <c r="AT944" s="8"/>
    </row>
    <row r="945">
      <c r="A945" s="415"/>
      <c r="B945" s="210"/>
      <c r="C945" s="415"/>
      <c r="D945" s="210"/>
      <c r="E945" s="415"/>
      <c r="F945" s="210"/>
      <c r="G945" s="415"/>
      <c r="H945" s="210"/>
      <c r="I945" s="423"/>
      <c r="J945" s="156"/>
      <c r="K945" s="423"/>
      <c r="L945" s="156"/>
      <c r="M945" s="415"/>
      <c r="N945" s="210"/>
      <c r="O945" s="415"/>
      <c r="P945" s="210"/>
      <c r="Q945" s="452"/>
      <c r="R945" s="452"/>
      <c r="S945" s="415"/>
      <c r="T945" s="210"/>
      <c r="U945" s="415"/>
      <c r="V945" s="210"/>
      <c r="W945" s="415"/>
      <c r="X945" s="210"/>
      <c r="Y945" s="8"/>
      <c r="Z945" s="8"/>
      <c r="AA945" s="8"/>
      <c r="AB945" s="8"/>
      <c r="AC945" s="8"/>
      <c r="AD945" s="8"/>
      <c r="AE945" s="8"/>
      <c r="AF945" s="8"/>
      <c r="AG945" s="8"/>
      <c r="AH945" s="8"/>
      <c r="AI945" s="8"/>
      <c r="AJ945" s="8"/>
      <c r="AK945" s="8"/>
      <c r="AL945" s="8"/>
      <c r="AM945" s="8"/>
      <c r="AN945" s="8"/>
      <c r="AO945" s="8"/>
      <c r="AP945" s="8"/>
      <c r="AQ945" s="8"/>
      <c r="AR945" s="8"/>
      <c r="AS945" s="8"/>
      <c r="AT945" s="8"/>
    </row>
    <row r="946">
      <c r="A946" s="415"/>
      <c r="B946" s="210"/>
      <c r="C946" s="415"/>
      <c r="D946" s="210"/>
      <c r="E946" s="415"/>
      <c r="F946" s="210"/>
      <c r="G946" s="415"/>
      <c r="H946" s="210"/>
      <c r="I946" s="423"/>
      <c r="J946" s="156"/>
      <c r="K946" s="423"/>
      <c r="L946" s="156"/>
      <c r="M946" s="415"/>
      <c r="N946" s="210"/>
      <c r="O946" s="415"/>
      <c r="P946" s="210"/>
      <c r="Q946" s="452"/>
      <c r="R946" s="452"/>
      <c r="S946" s="415"/>
      <c r="T946" s="210"/>
      <c r="U946" s="415"/>
      <c r="V946" s="210"/>
      <c r="W946" s="415"/>
      <c r="X946" s="210"/>
      <c r="Y946" s="8"/>
      <c r="Z946" s="8"/>
      <c r="AA946" s="8"/>
      <c r="AB946" s="8"/>
      <c r="AC946" s="8"/>
      <c r="AD946" s="8"/>
      <c r="AE946" s="8"/>
      <c r="AF946" s="8"/>
      <c r="AG946" s="8"/>
      <c r="AH946" s="8"/>
      <c r="AI946" s="8"/>
      <c r="AJ946" s="8"/>
      <c r="AK946" s="8"/>
      <c r="AL946" s="8"/>
      <c r="AM946" s="8"/>
      <c r="AN946" s="8"/>
      <c r="AO946" s="8"/>
      <c r="AP946" s="8"/>
      <c r="AQ946" s="8"/>
      <c r="AR946" s="8"/>
      <c r="AS946" s="8"/>
      <c r="AT946" s="8"/>
    </row>
    <row r="947">
      <c r="A947" s="415"/>
      <c r="B947" s="210"/>
      <c r="C947" s="415"/>
      <c r="D947" s="210"/>
      <c r="E947" s="415"/>
      <c r="F947" s="210"/>
      <c r="G947" s="415"/>
      <c r="H947" s="210"/>
      <c r="I947" s="423"/>
      <c r="J947" s="156"/>
      <c r="K947" s="423"/>
      <c r="L947" s="156"/>
      <c r="M947" s="415"/>
      <c r="N947" s="210"/>
      <c r="O947" s="415"/>
      <c r="P947" s="210"/>
      <c r="Q947" s="452"/>
      <c r="R947" s="452"/>
      <c r="S947" s="415"/>
      <c r="T947" s="210"/>
      <c r="U947" s="415"/>
      <c r="V947" s="210"/>
      <c r="W947" s="415"/>
      <c r="X947" s="210"/>
      <c r="Y947" s="8"/>
      <c r="Z947" s="8"/>
      <c r="AA947" s="8"/>
      <c r="AB947" s="8"/>
      <c r="AC947" s="8"/>
      <c r="AD947" s="8"/>
      <c r="AE947" s="8"/>
      <c r="AF947" s="8"/>
      <c r="AG947" s="8"/>
      <c r="AH947" s="8"/>
      <c r="AI947" s="8"/>
      <c r="AJ947" s="8"/>
      <c r="AK947" s="8"/>
      <c r="AL947" s="8"/>
      <c r="AM947" s="8"/>
      <c r="AN947" s="8"/>
      <c r="AO947" s="8"/>
      <c r="AP947" s="8"/>
      <c r="AQ947" s="8"/>
      <c r="AR947" s="8"/>
      <c r="AS947" s="8"/>
      <c r="AT947" s="8"/>
    </row>
    <row r="948">
      <c r="A948" s="415"/>
      <c r="B948" s="210"/>
      <c r="C948" s="415"/>
      <c r="D948" s="210"/>
      <c r="E948" s="415"/>
      <c r="F948" s="210"/>
      <c r="G948" s="415"/>
      <c r="H948" s="210"/>
      <c r="I948" s="423"/>
      <c r="J948" s="156"/>
      <c r="K948" s="423"/>
      <c r="L948" s="156"/>
      <c r="M948" s="415"/>
      <c r="N948" s="210"/>
      <c r="O948" s="415"/>
      <c r="P948" s="210"/>
      <c r="Q948" s="452"/>
      <c r="R948" s="452"/>
      <c r="S948" s="415"/>
      <c r="T948" s="210"/>
      <c r="U948" s="415"/>
      <c r="V948" s="210"/>
      <c r="W948" s="415"/>
      <c r="X948" s="210"/>
      <c r="Y948" s="8"/>
      <c r="Z948" s="8"/>
      <c r="AA948" s="8"/>
      <c r="AB948" s="8"/>
      <c r="AC948" s="8"/>
      <c r="AD948" s="8"/>
      <c r="AE948" s="8"/>
      <c r="AF948" s="8"/>
      <c r="AG948" s="8"/>
      <c r="AH948" s="8"/>
      <c r="AI948" s="8"/>
      <c r="AJ948" s="8"/>
      <c r="AK948" s="8"/>
      <c r="AL948" s="8"/>
      <c r="AM948" s="8"/>
      <c r="AN948" s="8"/>
      <c r="AO948" s="8"/>
      <c r="AP948" s="8"/>
      <c r="AQ948" s="8"/>
      <c r="AR948" s="8"/>
      <c r="AS948" s="8"/>
      <c r="AT948" s="8"/>
    </row>
    <row r="949">
      <c r="A949" s="415"/>
      <c r="B949" s="210"/>
      <c r="C949" s="415"/>
      <c r="D949" s="210"/>
      <c r="E949" s="415"/>
      <c r="F949" s="210"/>
      <c r="G949" s="415"/>
      <c r="H949" s="210"/>
      <c r="I949" s="423"/>
      <c r="J949" s="156"/>
      <c r="K949" s="423"/>
      <c r="L949" s="156"/>
      <c r="M949" s="415"/>
      <c r="N949" s="210"/>
      <c r="O949" s="415"/>
      <c r="P949" s="210"/>
      <c r="Q949" s="452"/>
      <c r="R949" s="452"/>
      <c r="S949" s="415"/>
      <c r="T949" s="210"/>
      <c r="U949" s="415"/>
      <c r="V949" s="210"/>
      <c r="W949" s="415"/>
      <c r="X949" s="210"/>
      <c r="Y949" s="8"/>
      <c r="Z949" s="8"/>
      <c r="AA949" s="8"/>
      <c r="AB949" s="8"/>
      <c r="AC949" s="8"/>
      <c r="AD949" s="8"/>
      <c r="AE949" s="8"/>
      <c r="AF949" s="8"/>
      <c r="AG949" s="8"/>
      <c r="AH949" s="8"/>
      <c r="AI949" s="8"/>
      <c r="AJ949" s="8"/>
      <c r="AK949" s="8"/>
      <c r="AL949" s="8"/>
      <c r="AM949" s="8"/>
      <c r="AN949" s="8"/>
      <c r="AO949" s="8"/>
      <c r="AP949" s="8"/>
      <c r="AQ949" s="8"/>
      <c r="AR949" s="8"/>
      <c r="AS949" s="8"/>
      <c r="AT949" s="8"/>
    </row>
    <row r="950">
      <c r="A950" s="415"/>
      <c r="B950" s="210"/>
      <c r="C950" s="415"/>
      <c r="D950" s="210"/>
      <c r="E950" s="415"/>
      <c r="F950" s="210"/>
      <c r="G950" s="415"/>
      <c r="H950" s="210"/>
      <c r="I950" s="423"/>
      <c r="J950" s="156"/>
      <c r="K950" s="423"/>
      <c r="L950" s="156"/>
      <c r="M950" s="415"/>
      <c r="N950" s="210"/>
      <c r="O950" s="415"/>
      <c r="P950" s="210"/>
      <c r="Q950" s="452"/>
      <c r="R950" s="452"/>
      <c r="S950" s="415"/>
      <c r="T950" s="210"/>
      <c r="U950" s="415"/>
      <c r="V950" s="210"/>
      <c r="W950" s="415"/>
      <c r="X950" s="210"/>
      <c r="Y950" s="8"/>
      <c r="Z950" s="8"/>
      <c r="AA950" s="8"/>
      <c r="AB950" s="8"/>
      <c r="AC950" s="8"/>
      <c r="AD950" s="8"/>
      <c r="AE950" s="8"/>
      <c r="AF950" s="8"/>
      <c r="AG950" s="8"/>
      <c r="AH950" s="8"/>
      <c r="AI950" s="8"/>
      <c r="AJ950" s="8"/>
      <c r="AK950" s="8"/>
      <c r="AL950" s="8"/>
      <c r="AM950" s="8"/>
      <c r="AN950" s="8"/>
      <c r="AO950" s="8"/>
      <c r="AP950" s="8"/>
      <c r="AQ950" s="8"/>
      <c r="AR950" s="8"/>
      <c r="AS950" s="8"/>
      <c r="AT950" s="8"/>
    </row>
    <row r="951">
      <c r="A951" s="415"/>
      <c r="B951" s="210"/>
      <c r="C951" s="415"/>
      <c r="D951" s="210"/>
      <c r="E951" s="415"/>
      <c r="F951" s="210"/>
      <c r="G951" s="415"/>
      <c r="H951" s="210"/>
      <c r="I951" s="423"/>
      <c r="J951" s="156"/>
      <c r="K951" s="423"/>
      <c r="L951" s="156"/>
      <c r="M951" s="415"/>
      <c r="N951" s="210"/>
      <c r="O951" s="415"/>
      <c r="P951" s="210"/>
      <c r="Q951" s="452"/>
      <c r="R951" s="452"/>
      <c r="S951" s="415"/>
      <c r="T951" s="210"/>
      <c r="U951" s="415"/>
      <c r="V951" s="210"/>
      <c r="W951" s="415"/>
      <c r="X951" s="210"/>
      <c r="Y951" s="8"/>
      <c r="Z951" s="8"/>
      <c r="AA951" s="8"/>
      <c r="AB951" s="8"/>
      <c r="AC951" s="8"/>
      <c r="AD951" s="8"/>
      <c r="AE951" s="8"/>
      <c r="AF951" s="8"/>
      <c r="AG951" s="8"/>
      <c r="AH951" s="8"/>
      <c r="AI951" s="8"/>
      <c r="AJ951" s="8"/>
      <c r="AK951" s="8"/>
      <c r="AL951" s="8"/>
      <c r="AM951" s="8"/>
      <c r="AN951" s="8"/>
      <c r="AO951" s="8"/>
      <c r="AP951" s="8"/>
      <c r="AQ951" s="8"/>
      <c r="AR951" s="8"/>
      <c r="AS951" s="8"/>
      <c r="AT951" s="8"/>
    </row>
    <row r="952">
      <c r="A952" s="415"/>
      <c r="B952" s="210"/>
      <c r="C952" s="415"/>
      <c r="D952" s="210"/>
      <c r="E952" s="415"/>
      <c r="F952" s="210"/>
      <c r="G952" s="415"/>
      <c r="H952" s="210"/>
      <c r="I952" s="423"/>
      <c r="J952" s="156"/>
      <c r="K952" s="423"/>
      <c r="L952" s="156"/>
      <c r="M952" s="415"/>
      <c r="N952" s="210"/>
      <c r="O952" s="415"/>
      <c r="P952" s="210"/>
      <c r="Q952" s="452"/>
      <c r="R952" s="452"/>
      <c r="S952" s="415"/>
      <c r="T952" s="210"/>
      <c r="U952" s="415"/>
      <c r="V952" s="210"/>
      <c r="W952" s="415"/>
      <c r="X952" s="210"/>
      <c r="Y952" s="8"/>
      <c r="Z952" s="8"/>
      <c r="AA952" s="8"/>
      <c r="AB952" s="8"/>
      <c r="AC952" s="8"/>
      <c r="AD952" s="8"/>
      <c r="AE952" s="8"/>
      <c r="AF952" s="8"/>
      <c r="AG952" s="8"/>
      <c r="AH952" s="8"/>
      <c r="AI952" s="8"/>
      <c r="AJ952" s="8"/>
      <c r="AK952" s="8"/>
      <c r="AL952" s="8"/>
      <c r="AM952" s="8"/>
      <c r="AN952" s="8"/>
      <c r="AO952" s="8"/>
      <c r="AP952" s="8"/>
      <c r="AQ952" s="8"/>
      <c r="AR952" s="8"/>
      <c r="AS952" s="8"/>
      <c r="AT952" s="8"/>
    </row>
    <row r="953">
      <c r="A953" s="415"/>
      <c r="B953" s="210"/>
      <c r="C953" s="415"/>
      <c r="D953" s="210"/>
      <c r="E953" s="415"/>
      <c r="F953" s="210"/>
      <c r="G953" s="415"/>
      <c r="H953" s="210"/>
      <c r="I953" s="423"/>
      <c r="J953" s="156"/>
      <c r="K953" s="423"/>
      <c r="L953" s="156"/>
      <c r="M953" s="415"/>
      <c r="N953" s="210"/>
      <c r="O953" s="415"/>
      <c r="P953" s="210"/>
      <c r="Q953" s="452"/>
      <c r="R953" s="452"/>
      <c r="S953" s="415"/>
      <c r="T953" s="210"/>
      <c r="U953" s="415"/>
      <c r="V953" s="210"/>
      <c r="W953" s="415"/>
      <c r="X953" s="210"/>
      <c r="Y953" s="8"/>
      <c r="Z953" s="8"/>
      <c r="AA953" s="8"/>
      <c r="AB953" s="8"/>
      <c r="AC953" s="8"/>
      <c r="AD953" s="8"/>
      <c r="AE953" s="8"/>
      <c r="AF953" s="8"/>
      <c r="AG953" s="8"/>
      <c r="AH953" s="8"/>
      <c r="AI953" s="8"/>
      <c r="AJ953" s="8"/>
      <c r="AK953" s="8"/>
      <c r="AL953" s="8"/>
      <c r="AM953" s="8"/>
      <c r="AN953" s="8"/>
      <c r="AO953" s="8"/>
      <c r="AP953" s="8"/>
      <c r="AQ953" s="8"/>
      <c r="AR953" s="8"/>
      <c r="AS953" s="8"/>
      <c r="AT953" s="8"/>
    </row>
    <row r="954">
      <c r="A954" s="415"/>
      <c r="B954" s="210"/>
      <c r="C954" s="415"/>
      <c r="D954" s="210"/>
      <c r="E954" s="415"/>
      <c r="F954" s="210"/>
      <c r="G954" s="415"/>
      <c r="H954" s="210"/>
      <c r="I954" s="423"/>
      <c r="J954" s="156"/>
      <c r="K954" s="423"/>
      <c r="L954" s="156"/>
      <c r="M954" s="415"/>
      <c r="N954" s="210"/>
      <c r="O954" s="415"/>
      <c r="P954" s="210"/>
      <c r="Q954" s="452"/>
      <c r="R954" s="452"/>
      <c r="S954" s="415"/>
      <c r="T954" s="210"/>
      <c r="U954" s="415"/>
      <c r="V954" s="210"/>
      <c r="W954" s="415"/>
      <c r="X954" s="210"/>
      <c r="Y954" s="8"/>
      <c r="Z954" s="8"/>
      <c r="AA954" s="8"/>
      <c r="AB954" s="8"/>
      <c r="AC954" s="8"/>
      <c r="AD954" s="8"/>
      <c r="AE954" s="8"/>
      <c r="AF954" s="8"/>
      <c r="AG954" s="8"/>
      <c r="AH954" s="8"/>
      <c r="AI954" s="8"/>
      <c r="AJ954" s="8"/>
      <c r="AK954" s="8"/>
      <c r="AL954" s="8"/>
      <c r="AM954" s="8"/>
      <c r="AN954" s="8"/>
      <c r="AO954" s="8"/>
      <c r="AP954" s="8"/>
      <c r="AQ954" s="8"/>
      <c r="AR954" s="8"/>
      <c r="AS954" s="8"/>
      <c r="AT954" s="8"/>
    </row>
    <row r="955">
      <c r="A955" s="415"/>
      <c r="B955" s="210"/>
      <c r="C955" s="415"/>
      <c r="D955" s="210"/>
      <c r="E955" s="415"/>
      <c r="F955" s="210"/>
      <c r="G955" s="415"/>
      <c r="H955" s="210"/>
      <c r="I955" s="423"/>
      <c r="J955" s="156"/>
      <c r="K955" s="423"/>
      <c r="L955" s="156"/>
      <c r="M955" s="415"/>
      <c r="N955" s="210"/>
      <c r="O955" s="415"/>
      <c r="P955" s="210"/>
      <c r="Q955" s="452"/>
      <c r="R955" s="452"/>
      <c r="S955" s="415"/>
      <c r="T955" s="210"/>
      <c r="U955" s="415"/>
      <c r="V955" s="210"/>
      <c r="W955" s="415"/>
      <c r="X955" s="210"/>
      <c r="Y955" s="8"/>
      <c r="Z955" s="8"/>
      <c r="AA955" s="8"/>
      <c r="AB955" s="8"/>
      <c r="AC955" s="8"/>
      <c r="AD955" s="8"/>
      <c r="AE955" s="8"/>
      <c r="AF955" s="8"/>
      <c r="AG955" s="8"/>
      <c r="AH955" s="8"/>
      <c r="AI955" s="8"/>
      <c r="AJ955" s="8"/>
      <c r="AK955" s="8"/>
      <c r="AL955" s="8"/>
      <c r="AM955" s="8"/>
      <c r="AN955" s="8"/>
      <c r="AO955" s="8"/>
      <c r="AP955" s="8"/>
      <c r="AQ955" s="8"/>
      <c r="AR955" s="8"/>
      <c r="AS955" s="8"/>
      <c r="AT955" s="8"/>
    </row>
    <row r="956">
      <c r="A956" s="415"/>
      <c r="B956" s="210"/>
      <c r="C956" s="415"/>
      <c r="D956" s="210"/>
      <c r="E956" s="415"/>
      <c r="F956" s="210"/>
      <c r="G956" s="415"/>
      <c r="H956" s="210"/>
      <c r="I956" s="423"/>
      <c r="J956" s="156"/>
      <c r="K956" s="423"/>
      <c r="L956" s="156"/>
      <c r="M956" s="415"/>
      <c r="N956" s="210"/>
      <c r="O956" s="415"/>
      <c r="P956" s="210"/>
      <c r="Q956" s="452"/>
      <c r="R956" s="452"/>
      <c r="S956" s="415"/>
      <c r="T956" s="210"/>
      <c r="U956" s="415"/>
      <c r="V956" s="210"/>
      <c r="W956" s="415"/>
      <c r="X956" s="210"/>
      <c r="Y956" s="8"/>
      <c r="Z956" s="8"/>
      <c r="AA956" s="8"/>
      <c r="AB956" s="8"/>
      <c r="AC956" s="8"/>
      <c r="AD956" s="8"/>
      <c r="AE956" s="8"/>
      <c r="AF956" s="8"/>
      <c r="AG956" s="8"/>
      <c r="AH956" s="8"/>
      <c r="AI956" s="8"/>
      <c r="AJ956" s="8"/>
      <c r="AK956" s="8"/>
      <c r="AL956" s="8"/>
      <c r="AM956" s="8"/>
      <c r="AN956" s="8"/>
      <c r="AO956" s="8"/>
      <c r="AP956" s="8"/>
      <c r="AQ956" s="8"/>
      <c r="AR956" s="8"/>
      <c r="AS956" s="8"/>
      <c r="AT956" s="8"/>
    </row>
    <row r="957">
      <c r="A957" s="415"/>
      <c r="B957" s="210"/>
      <c r="C957" s="415"/>
      <c r="D957" s="210"/>
      <c r="E957" s="415"/>
      <c r="F957" s="210"/>
      <c r="G957" s="415"/>
      <c r="H957" s="210"/>
      <c r="I957" s="423"/>
      <c r="J957" s="156"/>
      <c r="K957" s="423"/>
      <c r="L957" s="156"/>
      <c r="M957" s="415"/>
      <c r="N957" s="210"/>
      <c r="O957" s="415"/>
      <c r="P957" s="210"/>
      <c r="Q957" s="452"/>
      <c r="R957" s="452"/>
      <c r="S957" s="415"/>
      <c r="T957" s="210"/>
      <c r="U957" s="415"/>
      <c r="V957" s="210"/>
      <c r="W957" s="415"/>
      <c r="X957" s="210"/>
      <c r="Y957" s="8"/>
      <c r="Z957" s="8"/>
      <c r="AA957" s="8"/>
      <c r="AB957" s="8"/>
      <c r="AC957" s="8"/>
      <c r="AD957" s="8"/>
      <c r="AE957" s="8"/>
      <c r="AF957" s="8"/>
      <c r="AG957" s="8"/>
      <c r="AH957" s="8"/>
      <c r="AI957" s="8"/>
      <c r="AJ957" s="8"/>
      <c r="AK957" s="8"/>
      <c r="AL957" s="8"/>
      <c r="AM957" s="8"/>
      <c r="AN957" s="8"/>
      <c r="AO957" s="8"/>
      <c r="AP957" s="8"/>
      <c r="AQ957" s="8"/>
      <c r="AR957" s="8"/>
      <c r="AS957" s="8"/>
      <c r="AT957" s="8"/>
    </row>
    <row r="958">
      <c r="A958" s="415"/>
      <c r="B958" s="210"/>
      <c r="C958" s="415"/>
      <c r="D958" s="210"/>
      <c r="E958" s="415"/>
      <c r="F958" s="210"/>
      <c r="G958" s="415"/>
      <c r="H958" s="210"/>
      <c r="I958" s="423"/>
      <c r="J958" s="156"/>
      <c r="K958" s="423"/>
      <c r="L958" s="156"/>
      <c r="M958" s="415"/>
      <c r="N958" s="210"/>
      <c r="O958" s="415"/>
      <c r="P958" s="210"/>
      <c r="Q958" s="452"/>
      <c r="R958" s="452"/>
      <c r="S958" s="415"/>
      <c r="T958" s="210"/>
      <c r="U958" s="415"/>
      <c r="V958" s="210"/>
      <c r="W958" s="415"/>
      <c r="X958" s="210"/>
      <c r="Y958" s="8"/>
      <c r="Z958" s="8"/>
      <c r="AA958" s="8"/>
      <c r="AB958" s="8"/>
      <c r="AC958" s="8"/>
      <c r="AD958" s="8"/>
      <c r="AE958" s="8"/>
      <c r="AF958" s="8"/>
      <c r="AG958" s="8"/>
      <c r="AH958" s="8"/>
      <c r="AI958" s="8"/>
      <c r="AJ958" s="8"/>
      <c r="AK958" s="8"/>
      <c r="AL958" s="8"/>
      <c r="AM958" s="8"/>
      <c r="AN958" s="8"/>
      <c r="AO958" s="8"/>
      <c r="AP958" s="8"/>
      <c r="AQ958" s="8"/>
      <c r="AR958" s="8"/>
      <c r="AS958" s="8"/>
      <c r="AT958" s="8"/>
    </row>
    <row r="959">
      <c r="A959" s="415"/>
      <c r="B959" s="210"/>
      <c r="C959" s="415"/>
      <c r="D959" s="210"/>
      <c r="E959" s="415"/>
      <c r="F959" s="210"/>
      <c r="G959" s="415"/>
      <c r="H959" s="210"/>
      <c r="I959" s="423"/>
      <c r="J959" s="156"/>
      <c r="K959" s="423"/>
      <c r="L959" s="156"/>
      <c r="M959" s="415"/>
      <c r="N959" s="210"/>
      <c r="O959" s="415"/>
      <c r="P959" s="210"/>
      <c r="Q959" s="452"/>
      <c r="R959" s="452"/>
      <c r="S959" s="415"/>
      <c r="T959" s="210"/>
      <c r="U959" s="415"/>
      <c r="V959" s="210"/>
      <c r="W959" s="415"/>
      <c r="X959" s="210"/>
      <c r="Y959" s="8"/>
      <c r="Z959" s="8"/>
      <c r="AA959" s="8"/>
      <c r="AB959" s="8"/>
      <c r="AC959" s="8"/>
      <c r="AD959" s="8"/>
      <c r="AE959" s="8"/>
      <c r="AF959" s="8"/>
      <c r="AG959" s="8"/>
      <c r="AH959" s="8"/>
      <c r="AI959" s="8"/>
      <c r="AJ959" s="8"/>
      <c r="AK959" s="8"/>
      <c r="AL959" s="8"/>
      <c r="AM959" s="8"/>
      <c r="AN959" s="8"/>
      <c r="AO959" s="8"/>
      <c r="AP959" s="8"/>
      <c r="AQ959" s="8"/>
      <c r="AR959" s="8"/>
      <c r="AS959" s="8"/>
      <c r="AT959" s="8"/>
    </row>
    <row r="960">
      <c r="A960" s="415"/>
      <c r="B960" s="210"/>
      <c r="C960" s="415"/>
      <c r="D960" s="210"/>
      <c r="E960" s="415"/>
      <c r="F960" s="210"/>
      <c r="G960" s="415"/>
      <c r="H960" s="210"/>
      <c r="I960" s="423"/>
      <c r="J960" s="156"/>
      <c r="K960" s="423"/>
      <c r="L960" s="156"/>
      <c r="M960" s="415"/>
      <c r="N960" s="210"/>
      <c r="O960" s="415"/>
      <c r="P960" s="210"/>
      <c r="Q960" s="452"/>
      <c r="R960" s="452"/>
      <c r="S960" s="415"/>
      <c r="T960" s="210"/>
      <c r="U960" s="415"/>
      <c r="V960" s="210"/>
      <c r="W960" s="415"/>
      <c r="X960" s="210"/>
      <c r="Y960" s="8"/>
      <c r="Z960" s="8"/>
      <c r="AA960" s="8"/>
      <c r="AB960" s="8"/>
      <c r="AC960" s="8"/>
      <c r="AD960" s="8"/>
      <c r="AE960" s="8"/>
      <c r="AF960" s="8"/>
      <c r="AG960" s="8"/>
      <c r="AH960" s="8"/>
      <c r="AI960" s="8"/>
      <c r="AJ960" s="8"/>
      <c r="AK960" s="8"/>
      <c r="AL960" s="8"/>
      <c r="AM960" s="8"/>
      <c r="AN960" s="8"/>
      <c r="AO960" s="8"/>
      <c r="AP960" s="8"/>
      <c r="AQ960" s="8"/>
      <c r="AR960" s="8"/>
      <c r="AS960" s="8"/>
      <c r="AT960" s="8"/>
    </row>
    <row r="961">
      <c r="A961" s="415"/>
      <c r="B961" s="210"/>
      <c r="C961" s="415"/>
      <c r="D961" s="210"/>
      <c r="E961" s="415"/>
      <c r="F961" s="210"/>
      <c r="G961" s="415"/>
      <c r="H961" s="210"/>
      <c r="I961" s="423"/>
      <c r="J961" s="156"/>
      <c r="K961" s="423"/>
      <c r="L961" s="156"/>
      <c r="M961" s="415"/>
      <c r="N961" s="210"/>
      <c r="O961" s="415"/>
      <c r="P961" s="210"/>
      <c r="Q961" s="452"/>
      <c r="R961" s="452"/>
      <c r="S961" s="415"/>
      <c r="T961" s="210"/>
      <c r="U961" s="415"/>
      <c r="V961" s="210"/>
      <c r="W961" s="415"/>
      <c r="X961" s="210"/>
      <c r="Y961" s="8"/>
      <c r="Z961" s="8"/>
      <c r="AA961" s="8"/>
      <c r="AB961" s="8"/>
      <c r="AC961" s="8"/>
      <c r="AD961" s="8"/>
      <c r="AE961" s="8"/>
      <c r="AF961" s="8"/>
      <c r="AG961" s="8"/>
      <c r="AH961" s="8"/>
      <c r="AI961" s="8"/>
      <c r="AJ961" s="8"/>
      <c r="AK961" s="8"/>
      <c r="AL961" s="8"/>
      <c r="AM961" s="8"/>
      <c r="AN961" s="8"/>
      <c r="AO961" s="8"/>
      <c r="AP961" s="8"/>
      <c r="AQ961" s="8"/>
      <c r="AR961" s="8"/>
      <c r="AS961" s="8"/>
      <c r="AT961" s="8"/>
    </row>
    <row r="962">
      <c r="A962" s="415"/>
      <c r="B962" s="210"/>
      <c r="C962" s="415"/>
      <c r="D962" s="210"/>
      <c r="E962" s="415"/>
      <c r="F962" s="210"/>
      <c r="G962" s="415"/>
      <c r="H962" s="210"/>
      <c r="I962" s="423"/>
      <c r="J962" s="156"/>
      <c r="K962" s="423"/>
      <c r="L962" s="156"/>
      <c r="M962" s="415"/>
      <c r="N962" s="210"/>
      <c r="O962" s="415"/>
      <c r="P962" s="210"/>
      <c r="Q962" s="452"/>
      <c r="R962" s="452"/>
      <c r="S962" s="415"/>
      <c r="T962" s="210"/>
      <c r="U962" s="415"/>
      <c r="V962" s="210"/>
      <c r="W962" s="415"/>
      <c r="X962" s="210"/>
      <c r="Y962" s="8"/>
      <c r="Z962" s="8"/>
      <c r="AA962" s="8"/>
      <c r="AB962" s="8"/>
      <c r="AC962" s="8"/>
      <c r="AD962" s="8"/>
      <c r="AE962" s="8"/>
      <c r="AF962" s="8"/>
      <c r="AG962" s="8"/>
      <c r="AH962" s="8"/>
      <c r="AI962" s="8"/>
      <c r="AJ962" s="8"/>
      <c r="AK962" s="8"/>
      <c r="AL962" s="8"/>
      <c r="AM962" s="8"/>
      <c r="AN962" s="8"/>
      <c r="AO962" s="8"/>
      <c r="AP962" s="8"/>
      <c r="AQ962" s="8"/>
      <c r="AR962" s="8"/>
      <c r="AS962" s="8"/>
      <c r="AT962" s="8"/>
    </row>
    <row r="963">
      <c r="A963" s="415"/>
      <c r="B963" s="210"/>
      <c r="C963" s="415"/>
      <c r="D963" s="210"/>
      <c r="E963" s="415"/>
      <c r="F963" s="210"/>
      <c r="G963" s="415"/>
      <c r="H963" s="210"/>
      <c r="I963" s="423"/>
      <c r="J963" s="156"/>
      <c r="K963" s="423"/>
      <c r="L963" s="156"/>
      <c r="M963" s="415"/>
      <c r="N963" s="210"/>
      <c r="O963" s="415"/>
      <c r="P963" s="210"/>
      <c r="Q963" s="452"/>
      <c r="R963" s="452"/>
      <c r="S963" s="415"/>
      <c r="T963" s="210"/>
      <c r="U963" s="415"/>
      <c r="V963" s="210"/>
      <c r="W963" s="415"/>
      <c r="X963" s="210"/>
      <c r="Y963" s="8"/>
      <c r="Z963" s="8"/>
      <c r="AA963" s="8"/>
      <c r="AB963" s="8"/>
      <c r="AC963" s="8"/>
      <c r="AD963" s="8"/>
      <c r="AE963" s="8"/>
      <c r="AF963" s="8"/>
      <c r="AG963" s="8"/>
      <c r="AH963" s="8"/>
      <c r="AI963" s="8"/>
      <c r="AJ963" s="8"/>
      <c r="AK963" s="8"/>
      <c r="AL963" s="8"/>
      <c r="AM963" s="8"/>
      <c r="AN963" s="8"/>
      <c r="AO963" s="8"/>
      <c r="AP963" s="8"/>
      <c r="AQ963" s="8"/>
      <c r="AR963" s="8"/>
      <c r="AS963" s="8"/>
      <c r="AT963" s="8"/>
    </row>
    <row r="964">
      <c r="A964" s="415"/>
      <c r="B964" s="210"/>
      <c r="C964" s="415"/>
      <c r="D964" s="210"/>
      <c r="E964" s="415"/>
      <c r="F964" s="210"/>
      <c r="G964" s="415"/>
      <c r="H964" s="210"/>
      <c r="I964" s="423"/>
      <c r="J964" s="156"/>
      <c r="K964" s="423"/>
      <c r="L964" s="156"/>
      <c r="M964" s="415"/>
      <c r="N964" s="210"/>
      <c r="O964" s="415"/>
      <c r="P964" s="210"/>
      <c r="Q964" s="452"/>
      <c r="R964" s="452"/>
      <c r="S964" s="415"/>
      <c r="T964" s="210"/>
      <c r="U964" s="415"/>
      <c r="V964" s="210"/>
      <c r="W964" s="415"/>
      <c r="X964" s="210"/>
      <c r="Y964" s="8"/>
      <c r="Z964" s="8"/>
      <c r="AA964" s="8"/>
      <c r="AB964" s="8"/>
      <c r="AC964" s="8"/>
      <c r="AD964" s="8"/>
      <c r="AE964" s="8"/>
      <c r="AF964" s="8"/>
      <c r="AG964" s="8"/>
      <c r="AH964" s="8"/>
      <c r="AI964" s="8"/>
      <c r="AJ964" s="8"/>
      <c r="AK964" s="8"/>
      <c r="AL964" s="8"/>
      <c r="AM964" s="8"/>
      <c r="AN964" s="8"/>
      <c r="AO964" s="8"/>
      <c r="AP964" s="8"/>
      <c r="AQ964" s="8"/>
      <c r="AR964" s="8"/>
      <c r="AS964" s="8"/>
      <c r="AT964" s="8"/>
    </row>
    <row r="965">
      <c r="A965" s="415"/>
      <c r="B965" s="210"/>
      <c r="C965" s="415"/>
      <c r="D965" s="210"/>
      <c r="E965" s="415"/>
      <c r="F965" s="210"/>
      <c r="G965" s="415"/>
      <c r="H965" s="210"/>
      <c r="I965" s="423"/>
      <c r="J965" s="156"/>
      <c r="K965" s="423"/>
      <c r="L965" s="156"/>
      <c r="M965" s="415"/>
      <c r="N965" s="210"/>
      <c r="O965" s="415"/>
      <c r="P965" s="210"/>
      <c r="Q965" s="452"/>
      <c r="R965" s="452"/>
      <c r="S965" s="415"/>
      <c r="T965" s="210"/>
      <c r="U965" s="415"/>
      <c r="V965" s="210"/>
      <c r="W965" s="415"/>
      <c r="X965" s="210"/>
      <c r="Y965" s="8"/>
      <c r="Z965" s="8"/>
      <c r="AA965" s="8"/>
      <c r="AB965" s="8"/>
      <c r="AC965" s="8"/>
      <c r="AD965" s="8"/>
      <c r="AE965" s="8"/>
      <c r="AF965" s="8"/>
      <c r="AG965" s="8"/>
      <c r="AH965" s="8"/>
      <c r="AI965" s="8"/>
      <c r="AJ965" s="8"/>
      <c r="AK965" s="8"/>
      <c r="AL965" s="8"/>
      <c r="AM965" s="8"/>
      <c r="AN965" s="8"/>
      <c r="AO965" s="8"/>
      <c r="AP965" s="8"/>
      <c r="AQ965" s="8"/>
      <c r="AR965" s="8"/>
      <c r="AS965" s="8"/>
      <c r="AT965" s="8"/>
    </row>
    <row r="966">
      <c r="A966" s="415"/>
      <c r="B966" s="210"/>
      <c r="C966" s="415"/>
      <c r="D966" s="210"/>
      <c r="E966" s="415"/>
      <c r="F966" s="210"/>
      <c r="G966" s="415"/>
      <c r="H966" s="210"/>
      <c r="I966" s="423"/>
      <c r="J966" s="156"/>
      <c r="K966" s="423"/>
      <c r="L966" s="156"/>
      <c r="M966" s="415"/>
      <c r="N966" s="210"/>
      <c r="O966" s="415"/>
      <c r="P966" s="210"/>
      <c r="Q966" s="452"/>
      <c r="R966" s="452"/>
      <c r="S966" s="415"/>
      <c r="T966" s="210"/>
      <c r="U966" s="415"/>
      <c r="V966" s="210"/>
      <c r="W966" s="415"/>
      <c r="X966" s="210"/>
      <c r="Y966" s="8"/>
      <c r="Z966" s="8"/>
      <c r="AA966" s="8"/>
      <c r="AB966" s="8"/>
      <c r="AC966" s="8"/>
      <c r="AD966" s="8"/>
      <c r="AE966" s="8"/>
      <c r="AF966" s="8"/>
      <c r="AG966" s="8"/>
      <c r="AH966" s="8"/>
      <c r="AI966" s="8"/>
      <c r="AJ966" s="8"/>
      <c r="AK966" s="8"/>
      <c r="AL966" s="8"/>
      <c r="AM966" s="8"/>
      <c r="AN966" s="8"/>
      <c r="AO966" s="8"/>
      <c r="AP966" s="8"/>
      <c r="AQ966" s="8"/>
      <c r="AR966" s="8"/>
      <c r="AS966" s="8"/>
      <c r="AT966" s="8"/>
    </row>
    <row r="967">
      <c r="A967" s="415"/>
      <c r="B967" s="210"/>
      <c r="C967" s="415"/>
      <c r="D967" s="210"/>
      <c r="E967" s="415"/>
      <c r="F967" s="210"/>
      <c r="G967" s="415"/>
      <c r="H967" s="210"/>
      <c r="I967" s="423"/>
      <c r="J967" s="156"/>
      <c r="K967" s="423"/>
      <c r="L967" s="156"/>
      <c r="M967" s="415"/>
      <c r="N967" s="210"/>
      <c r="O967" s="415"/>
      <c r="P967" s="210"/>
      <c r="Q967" s="452"/>
      <c r="R967" s="452"/>
      <c r="S967" s="415"/>
      <c r="T967" s="210"/>
      <c r="U967" s="415"/>
      <c r="V967" s="210"/>
      <c r="W967" s="415"/>
      <c r="X967" s="210"/>
      <c r="Y967" s="8"/>
      <c r="Z967" s="8"/>
      <c r="AA967" s="8"/>
      <c r="AB967" s="8"/>
      <c r="AC967" s="8"/>
      <c r="AD967" s="8"/>
      <c r="AE967" s="8"/>
      <c r="AF967" s="8"/>
      <c r="AG967" s="8"/>
      <c r="AH967" s="8"/>
      <c r="AI967" s="8"/>
      <c r="AJ967" s="8"/>
      <c r="AK967" s="8"/>
      <c r="AL967" s="8"/>
      <c r="AM967" s="8"/>
      <c r="AN967" s="8"/>
      <c r="AO967" s="8"/>
      <c r="AP967" s="8"/>
      <c r="AQ967" s="8"/>
      <c r="AR967" s="8"/>
      <c r="AS967" s="8"/>
      <c r="AT967" s="8"/>
    </row>
    <row r="968">
      <c r="A968" s="415"/>
      <c r="B968" s="210"/>
      <c r="C968" s="415"/>
      <c r="D968" s="210"/>
      <c r="E968" s="415"/>
      <c r="F968" s="210"/>
      <c r="G968" s="415"/>
      <c r="H968" s="210"/>
      <c r="I968" s="423"/>
      <c r="J968" s="156"/>
      <c r="K968" s="423"/>
      <c r="L968" s="156"/>
      <c r="M968" s="415"/>
      <c r="N968" s="210"/>
      <c r="O968" s="415"/>
      <c r="P968" s="210"/>
      <c r="Q968" s="452"/>
      <c r="R968" s="452"/>
      <c r="S968" s="415"/>
      <c r="T968" s="210"/>
      <c r="U968" s="415"/>
      <c r="V968" s="210"/>
      <c r="W968" s="415"/>
      <c r="X968" s="210"/>
      <c r="Y968" s="8"/>
      <c r="Z968" s="8"/>
      <c r="AA968" s="8"/>
      <c r="AB968" s="8"/>
      <c r="AC968" s="8"/>
      <c r="AD968" s="8"/>
      <c r="AE968" s="8"/>
      <c r="AF968" s="8"/>
      <c r="AG968" s="8"/>
      <c r="AH968" s="8"/>
      <c r="AI968" s="8"/>
      <c r="AJ968" s="8"/>
      <c r="AK968" s="8"/>
      <c r="AL968" s="8"/>
      <c r="AM968" s="8"/>
      <c r="AN968" s="8"/>
      <c r="AO968" s="8"/>
      <c r="AP968" s="8"/>
      <c r="AQ968" s="8"/>
      <c r="AR968" s="8"/>
      <c r="AS968" s="8"/>
      <c r="AT968" s="8"/>
    </row>
    <row r="969">
      <c r="A969" s="415"/>
      <c r="B969" s="210"/>
      <c r="C969" s="415"/>
      <c r="D969" s="210"/>
      <c r="E969" s="415"/>
      <c r="F969" s="210"/>
      <c r="G969" s="415"/>
      <c r="H969" s="210"/>
      <c r="I969" s="423"/>
      <c r="J969" s="156"/>
      <c r="K969" s="423"/>
      <c r="L969" s="156"/>
      <c r="M969" s="415"/>
      <c r="N969" s="210"/>
      <c r="O969" s="415"/>
      <c r="P969" s="210"/>
      <c r="Q969" s="452"/>
      <c r="R969" s="452"/>
      <c r="S969" s="415"/>
      <c r="T969" s="210"/>
      <c r="U969" s="415"/>
      <c r="V969" s="210"/>
      <c r="W969" s="415"/>
      <c r="X969" s="210"/>
      <c r="Y969" s="8"/>
      <c r="Z969" s="8"/>
      <c r="AA969" s="8"/>
      <c r="AB969" s="8"/>
      <c r="AC969" s="8"/>
      <c r="AD969" s="8"/>
      <c r="AE969" s="8"/>
      <c r="AF969" s="8"/>
      <c r="AG969" s="8"/>
      <c r="AH969" s="8"/>
      <c r="AI969" s="8"/>
      <c r="AJ969" s="8"/>
      <c r="AK969" s="8"/>
      <c r="AL969" s="8"/>
      <c r="AM969" s="8"/>
      <c r="AN969" s="8"/>
      <c r="AO969" s="8"/>
      <c r="AP969" s="8"/>
      <c r="AQ969" s="8"/>
      <c r="AR969" s="8"/>
      <c r="AS969" s="8"/>
      <c r="AT969" s="8"/>
    </row>
    <row r="970">
      <c r="A970" s="415"/>
      <c r="B970" s="210"/>
      <c r="C970" s="415"/>
      <c r="D970" s="210"/>
      <c r="E970" s="415"/>
      <c r="F970" s="210"/>
      <c r="G970" s="415"/>
      <c r="H970" s="210"/>
      <c r="I970" s="423"/>
      <c r="J970" s="156"/>
      <c r="K970" s="423"/>
      <c r="L970" s="156"/>
      <c r="M970" s="415"/>
      <c r="N970" s="210"/>
      <c r="O970" s="415"/>
      <c r="P970" s="210"/>
      <c r="Q970" s="452"/>
      <c r="R970" s="452"/>
      <c r="S970" s="415"/>
      <c r="T970" s="210"/>
      <c r="U970" s="415"/>
      <c r="V970" s="210"/>
      <c r="W970" s="415"/>
      <c r="X970" s="210"/>
      <c r="Y970" s="8"/>
      <c r="Z970" s="8"/>
      <c r="AA970" s="8"/>
      <c r="AB970" s="8"/>
      <c r="AC970" s="8"/>
      <c r="AD970" s="8"/>
      <c r="AE970" s="8"/>
      <c r="AF970" s="8"/>
      <c r="AG970" s="8"/>
      <c r="AH970" s="8"/>
      <c r="AI970" s="8"/>
      <c r="AJ970" s="8"/>
      <c r="AK970" s="8"/>
      <c r="AL970" s="8"/>
      <c r="AM970" s="8"/>
      <c r="AN970" s="8"/>
      <c r="AO970" s="8"/>
      <c r="AP970" s="8"/>
      <c r="AQ970" s="8"/>
      <c r="AR970" s="8"/>
      <c r="AS970" s="8"/>
      <c r="AT970" s="8"/>
    </row>
    <row r="971">
      <c r="A971" s="415"/>
      <c r="B971" s="210"/>
      <c r="C971" s="415"/>
      <c r="D971" s="210"/>
      <c r="E971" s="415"/>
      <c r="F971" s="210"/>
      <c r="G971" s="415"/>
      <c r="H971" s="210"/>
      <c r="I971" s="423"/>
      <c r="J971" s="156"/>
      <c r="K971" s="423"/>
      <c r="L971" s="156"/>
      <c r="M971" s="415"/>
      <c r="N971" s="210"/>
      <c r="O971" s="415"/>
      <c r="P971" s="210"/>
      <c r="Q971" s="452"/>
      <c r="R971" s="452"/>
      <c r="S971" s="415"/>
      <c r="T971" s="210"/>
      <c r="U971" s="415"/>
      <c r="V971" s="210"/>
      <c r="W971" s="415"/>
      <c r="X971" s="210"/>
      <c r="Y971" s="8"/>
      <c r="Z971" s="8"/>
      <c r="AA971" s="8"/>
      <c r="AB971" s="8"/>
      <c r="AC971" s="8"/>
      <c r="AD971" s="8"/>
      <c r="AE971" s="8"/>
      <c r="AF971" s="8"/>
      <c r="AG971" s="8"/>
      <c r="AH971" s="8"/>
      <c r="AI971" s="8"/>
      <c r="AJ971" s="8"/>
      <c r="AK971" s="8"/>
      <c r="AL971" s="8"/>
      <c r="AM971" s="8"/>
      <c r="AN971" s="8"/>
      <c r="AO971" s="8"/>
      <c r="AP971" s="8"/>
      <c r="AQ971" s="8"/>
      <c r="AR971" s="8"/>
      <c r="AS971" s="8"/>
      <c r="AT971" s="8"/>
    </row>
    <row r="972">
      <c r="A972" s="415"/>
      <c r="B972" s="210"/>
      <c r="C972" s="415"/>
      <c r="D972" s="210"/>
      <c r="E972" s="415"/>
      <c r="F972" s="210"/>
      <c r="G972" s="415"/>
      <c r="H972" s="210"/>
      <c r="I972" s="423"/>
      <c r="J972" s="156"/>
      <c r="K972" s="423"/>
      <c r="L972" s="156"/>
      <c r="M972" s="415"/>
      <c r="N972" s="210"/>
      <c r="O972" s="415"/>
      <c r="P972" s="210"/>
      <c r="Q972" s="452"/>
      <c r="R972" s="452"/>
      <c r="S972" s="415"/>
      <c r="T972" s="210"/>
      <c r="U972" s="415"/>
      <c r="V972" s="210"/>
      <c r="W972" s="415"/>
      <c r="X972" s="210"/>
      <c r="Y972" s="8"/>
      <c r="Z972" s="8"/>
      <c r="AA972" s="8"/>
      <c r="AB972" s="8"/>
      <c r="AC972" s="8"/>
      <c r="AD972" s="8"/>
      <c r="AE972" s="8"/>
      <c r="AF972" s="8"/>
      <c r="AG972" s="8"/>
      <c r="AH972" s="8"/>
      <c r="AI972" s="8"/>
      <c r="AJ972" s="8"/>
      <c r="AK972" s="8"/>
      <c r="AL972" s="8"/>
      <c r="AM972" s="8"/>
      <c r="AN972" s="8"/>
      <c r="AO972" s="8"/>
      <c r="AP972" s="8"/>
      <c r="AQ972" s="8"/>
      <c r="AR972" s="8"/>
      <c r="AS972" s="8"/>
      <c r="AT972" s="8"/>
    </row>
    <row r="973">
      <c r="A973" s="415"/>
      <c r="B973" s="210"/>
      <c r="C973" s="415"/>
      <c r="D973" s="210"/>
      <c r="E973" s="415"/>
      <c r="F973" s="210"/>
      <c r="G973" s="415"/>
      <c r="H973" s="210"/>
      <c r="I973" s="423"/>
      <c r="J973" s="156"/>
      <c r="K973" s="423"/>
      <c r="L973" s="156"/>
      <c r="M973" s="415"/>
      <c r="N973" s="210"/>
      <c r="O973" s="415"/>
      <c r="P973" s="210"/>
      <c r="Q973" s="452"/>
      <c r="R973" s="452"/>
      <c r="S973" s="415"/>
      <c r="T973" s="210"/>
      <c r="U973" s="415"/>
      <c r="V973" s="210"/>
      <c r="W973" s="415"/>
      <c r="X973" s="210"/>
      <c r="Y973" s="8"/>
      <c r="Z973" s="8"/>
      <c r="AA973" s="8"/>
      <c r="AB973" s="8"/>
      <c r="AC973" s="8"/>
      <c r="AD973" s="8"/>
      <c r="AE973" s="8"/>
      <c r="AF973" s="8"/>
      <c r="AG973" s="8"/>
      <c r="AH973" s="8"/>
      <c r="AI973" s="8"/>
      <c r="AJ973" s="8"/>
      <c r="AK973" s="8"/>
      <c r="AL973" s="8"/>
      <c r="AM973" s="8"/>
      <c r="AN973" s="8"/>
      <c r="AO973" s="8"/>
      <c r="AP973" s="8"/>
      <c r="AQ973" s="8"/>
      <c r="AR973" s="8"/>
      <c r="AS973" s="8"/>
      <c r="AT973" s="8"/>
    </row>
    <row r="974">
      <c r="A974" s="415"/>
      <c r="B974" s="210"/>
      <c r="C974" s="415"/>
      <c r="D974" s="210"/>
      <c r="E974" s="415"/>
      <c r="F974" s="210"/>
      <c r="G974" s="415"/>
      <c r="H974" s="210"/>
      <c r="I974" s="423"/>
      <c r="J974" s="156"/>
      <c r="K974" s="423"/>
      <c r="L974" s="156"/>
      <c r="M974" s="415"/>
      <c r="N974" s="210"/>
      <c r="O974" s="415"/>
      <c r="P974" s="210"/>
      <c r="Q974" s="452"/>
      <c r="R974" s="452"/>
      <c r="S974" s="415"/>
      <c r="T974" s="210"/>
      <c r="U974" s="415"/>
      <c r="V974" s="210"/>
      <c r="W974" s="415"/>
      <c r="X974" s="210"/>
      <c r="Y974" s="8"/>
      <c r="Z974" s="8"/>
      <c r="AA974" s="8"/>
      <c r="AB974" s="8"/>
      <c r="AC974" s="8"/>
      <c r="AD974" s="8"/>
      <c r="AE974" s="8"/>
      <c r="AF974" s="8"/>
      <c r="AG974" s="8"/>
      <c r="AH974" s="8"/>
      <c r="AI974" s="8"/>
      <c r="AJ974" s="8"/>
      <c r="AK974" s="8"/>
      <c r="AL974" s="8"/>
      <c r="AM974" s="8"/>
      <c r="AN974" s="8"/>
      <c r="AO974" s="8"/>
      <c r="AP974" s="8"/>
      <c r="AQ974" s="8"/>
      <c r="AR974" s="8"/>
      <c r="AS974" s="8"/>
      <c r="AT974" s="8"/>
    </row>
    <row r="975">
      <c r="A975" s="415"/>
      <c r="B975" s="210"/>
      <c r="C975" s="415"/>
      <c r="D975" s="210"/>
      <c r="E975" s="415"/>
      <c r="F975" s="210"/>
      <c r="G975" s="415"/>
      <c r="H975" s="210"/>
      <c r="I975" s="423"/>
      <c r="J975" s="156"/>
      <c r="K975" s="423"/>
      <c r="L975" s="156"/>
      <c r="M975" s="415"/>
      <c r="N975" s="210"/>
      <c r="O975" s="415"/>
      <c r="P975" s="210"/>
      <c r="Q975" s="452"/>
      <c r="R975" s="452"/>
      <c r="S975" s="415"/>
      <c r="T975" s="210"/>
      <c r="U975" s="415"/>
      <c r="V975" s="210"/>
      <c r="W975" s="415"/>
      <c r="X975" s="210"/>
      <c r="Y975" s="8"/>
      <c r="Z975" s="8"/>
      <c r="AA975" s="8"/>
      <c r="AB975" s="8"/>
      <c r="AC975" s="8"/>
      <c r="AD975" s="8"/>
      <c r="AE975" s="8"/>
      <c r="AF975" s="8"/>
      <c r="AG975" s="8"/>
      <c r="AH975" s="8"/>
      <c r="AI975" s="8"/>
      <c r="AJ975" s="8"/>
      <c r="AK975" s="8"/>
      <c r="AL975" s="8"/>
      <c r="AM975" s="8"/>
      <c r="AN975" s="8"/>
      <c r="AO975" s="8"/>
      <c r="AP975" s="8"/>
      <c r="AQ975" s="8"/>
      <c r="AR975" s="8"/>
      <c r="AS975" s="8"/>
      <c r="AT975" s="8"/>
    </row>
    <row r="976">
      <c r="A976" s="415"/>
      <c r="B976" s="210"/>
      <c r="C976" s="415"/>
      <c r="D976" s="210"/>
      <c r="E976" s="415"/>
      <c r="F976" s="210"/>
      <c r="G976" s="415"/>
      <c r="H976" s="210"/>
      <c r="I976" s="423"/>
      <c r="J976" s="156"/>
      <c r="K976" s="423"/>
      <c r="L976" s="156"/>
      <c r="M976" s="415"/>
      <c r="N976" s="210"/>
      <c r="O976" s="415"/>
      <c r="P976" s="210"/>
      <c r="Q976" s="452"/>
      <c r="R976" s="452"/>
      <c r="S976" s="415"/>
      <c r="T976" s="210"/>
      <c r="U976" s="415"/>
      <c r="V976" s="210"/>
      <c r="W976" s="415"/>
      <c r="X976" s="210"/>
      <c r="Y976" s="8"/>
      <c r="Z976" s="8"/>
      <c r="AA976" s="8"/>
      <c r="AB976" s="8"/>
      <c r="AC976" s="8"/>
      <c r="AD976" s="8"/>
      <c r="AE976" s="8"/>
      <c r="AF976" s="8"/>
      <c r="AG976" s="8"/>
      <c r="AH976" s="8"/>
      <c r="AI976" s="8"/>
      <c r="AJ976" s="8"/>
      <c r="AK976" s="8"/>
      <c r="AL976" s="8"/>
      <c r="AM976" s="8"/>
      <c r="AN976" s="8"/>
      <c r="AO976" s="8"/>
      <c r="AP976" s="8"/>
      <c r="AQ976" s="8"/>
      <c r="AR976" s="8"/>
      <c r="AS976" s="8"/>
      <c r="AT976" s="8"/>
    </row>
    <row r="977">
      <c r="A977" s="415"/>
      <c r="B977" s="210"/>
      <c r="C977" s="415"/>
      <c r="D977" s="210"/>
      <c r="E977" s="415"/>
      <c r="F977" s="210"/>
      <c r="G977" s="415"/>
      <c r="H977" s="210"/>
      <c r="I977" s="423"/>
      <c r="J977" s="156"/>
      <c r="K977" s="423"/>
      <c r="L977" s="156"/>
      <c r="M977" s="415"/>
      <c r="N977" s="210"/>
      <c r="O977" s="415"/>
      <c r="P977" s="210"/>
      <c r="Q977" s="452"/>
      <c r="R977" s="452"/>
      <c r="S977" s="415"/>
      <c r="T977" s="210"/>
      <c r="U977" s="415"/>
      <c r="V977" s="210"/>
      <c r="W977" s="415"/>
      <c r="X977" s="210"/>
      <c r="Y977" s="8"/>
      <c r="Z977" s="8"/>
      <c r="AA977" s="8"/>
      <c r="AB977" s="8"/>
      <c r="AC977" s="8"/>
      <c r="AD977" s="8"/>
      <c r="AE977" s="8"/>
      <c r="AF977" s="8"/>
      <c r="AG977" s="8"/>
      <c r="AH977" s="8"/>
      <c r="AI977" s="8"/>
      <c r="AJ977" s="8"/>
      <c r="AK977" s="8"/>
      <c r="AL977" s="8"/>
      <c r="AM977" s="8"/>
      <c r="AN977" s="8"/>
      <c r="AO977" s="8"/>
      <c r="AP977" s="8"/>
      <c r="AQ977" s="8"/>
      <c r="AR977" s="8"/>
      <c r="AS977" s="8"/>
      <c r="AT977" s="8"/>
    </row>
    <row r="978">
      <c r="A978" s="415"/>
      <c r="B978" s="210"/>
      <c r="C978" s="415"/>
      <c r="D978" s="210"/>
      <c r="E978" s="415"/>
      <c r="F978" s="210"/>
      <c r="G978" s="415"/>
      <c r="H978" s="210"/>
      <c r="I978" s="423"/>
      <c r="J978" s="156"/>
      <c r="K978" s="423"/>
      <c r="L978" s="156"/>
      <c r="M978" s="415"/>
      <c r="N978" s="210"/>
      <c r="O978" s="415"/>
      <c r="P978" s="210"/>
      <c r="Q978" s="452"/>
      <c r="R978" s="452"/>
      <c r="S978" s="415"/>
      <c r="T978" s="210"/>
      <c r="U978" s="415"/>
      <c r="V978" s="210"/>
      <c r="W978" s="415"/>
      <c r="X978" s="210"/>
      <c r="Y978" s="8"/>
      <c r="Z978" s="8"/>
      <c r="AA978" s="8"/>
      <c r="AB978" s="8"/>
      <c r="AC978" s="8"/>
      <c r="AD978" s="8"/>
      <c r="AE978" s="8"/>
      <c r="AF978" s="8"/>
      <c r="AG978" s="8"/>
      <c r="AH978" s="8"/>
      <c r="AI978" s="8"/>
      <c r="AJ978" s="8"/>
      <c r="AK978" s="8"/>
      <c r="AL978" s="8"/>
      <c r="AM978" s="8"/>
      <c r="AN978" s="8"/>
      <c r="AO978" s="8"/>
      <c r="AP978" s="8"/>
      <c r="AQ978" s="8"/>
      <c r="AR978" s="8"/>
      <c r="AS978" s="8"/>
      <c r="AT978" s="8"/>
    </row>
    <row r="979">
      <c r="A979" s="415"/>
      <c r="B979" s="210"/>
      <c r="C979" s="415"/>
      <c r="D979" s="210"/>
      <c r="E979" s="415"/>
      <c r="F979" s="210"/>
      <c r="G979" s="415"/>
      <c r="H979" s="210"/>
      <c r="I979" s="423"/>
      <c r="J979" s="156"/>
      <c r="K979" s="423"/>
      <c r="L979" s="156"/>
      <c r="M979" s="415"/>
      <c r="N979" s="210"/>
      <c r="O979" s="415"/>
      <c r="P979" s="210"/>
      <c r="Q979" s="452"/>
      <c r="R979" s="452"/>
      <c r="S979" s="415"/>
      <c r="T979" s="210"/>
      <c r="U979" s="415"/>
      <c r="V979" s="210"/>
      <c r="W979" s="415"/>
      <c r="X979" s="210"/>
      <c r="Y979" s="8"/>
      <c r="Z979" s="8"/>
      <c r="AA979" s="8"/>
      <c r="AB979" s="8"/>
      <c r="AC979" s="8"/>
      <c r="AD979" s="8"/>
      <c r="AE979" s="8"/>
      <c r="AF979" s="8"/>
      <c r="AG979" s="8"/>
      <c r="AH979" s="8"/>
      <c r="AI979" s="8"/>
      <c r="AJ979" s="8"/>
      <c r="AK979" s="8"/>
      <c r="AL979" s="8"/>
      <c r="AM979" s="8"/>
      <c r="AN979" s="8"/>
      <c r="AO979" s="8"/>
      <c r="AP979" s="8"/>
      <c r="AQ979" s="8"/>
      <c r="AR979" s="8"/>
      <c r="AS979" s="8"/>
      <c r="AT979" s="8"/>
    </row>
    <row r="980">
      <c r="A980" s="415"/>
      <c r="B980" s="210"/>
      <c r="C980" s="415"/>
      <c r="D980" s="210"/>
      <c r="E980" s="415"/>
      <c r="F980" s="210"/>
      <c r="G980" s="415"/>
      <c r="H980" s="210"/>
      <c r="I980" s="423"/>
      <c r="J980" s="156"/>
      <c r="K980" s="423"/>
      <c r="L980" s="156"/>
      <c r="M980" s="415"/>
      <c r="N980" s="210"/>
      <c r="O980" s="415"/>
      <c r="P980" s="210"/>
      <c r="Q980" s="452"/>
      <c r="R980" s="452"/>
      <c r="S980" s="415"/>
      <c r="T980" s="210"/>
      <c r="U980" s="415"/>
      <c r="V980" s="210"/>
      <c r="W980" s="415"/>
      <c r="X980" s="210"/>
      <c r="Y980" s="8"/>
      <c r="Z980" s="8"/>
      <c r="AA980" s="8"/>
      <c r="AB980" s="8"/>
      <c r="AC980" s="8"/>
      <c r="AD980" s="8"/>
      <c r="AE980" s="8"/>
      <c r="AF980" s="8"/>
      <c r="AG980" s="8"/>
      <c r="AH980" s="8"/>
      <c r="AI980" s="8"/>
      <c r="AJ980" s="8"/>
      <c r="AK980" s="8"/>
      <c r="AL980" s="8"/>
      <c r="AM980" s="8"/>
      <c r="AN980" s="8"/>
      <c r="AO980" s="8"/>
      <c r="AP980" s="8"/>
      <c r="AQ980" s="8"/>
      <c r="AR980" s="8"/>
      <c r="AS980" s="8"/>
      <c r="AT980" s="8"/>
    </row>
    <row r="981">
      <c r="A981" s="415"/>
      <c r="B981" s="210"/>
      <c r="C981" s="415"/>
      <c r="D981" s="210"/>
      <c r="E981" s="415"/>
      <c r="F981" s="210"/>
      <c r="G981" s="415"/>
      <c r="H981" s="210"/>
      <c r="I981" s="423"/>
      <c r="J981" s="156"/>
      <c r="K981" s="423"/>
      <c r="L981" s="156"/>
      <c r="M981" s="415"/>
      <c r="N981" s="210"/>
      <c r="O981" s="415"/>
      <c r="P981" s="210"/>
      <c r="Q981" s="452"/>
      <c r="R981" s="452"/>
      <c r="S981" s="415"/>
      <c r="T981" s="210"/>
      <c r="U981" s="415"/>
      <c r="V981" s="210"/>
      <c r="W981" s="415"/>
      <c r="X981" s="210"/>
      <c r="Y981" s="8"/>
      <c r="Z981" s="8"/>
      <c r="AA981" s="8"/>
      <c r="AB981" s="8"/>
      <c r="AC981" s="8"/>
      <c r="AD981" s="8"/>
      <c r="AE981" s="8"/>
      <c r="AF981" s="8"/>
      <c r="AG981" s="8"/>
      <c r="AH981" s="8"/>
      <c r="AI981" s="8"/>
      <c r="AJ981" s="8"/>
      <c r="AK981" s="8"/>
      <c r="AL981" s="8"/>
      <c r="AM981" s="8"/>
      <c r="AN981" s="8"/>
      <c r="AO981" s="8"/>
      <c r="AP981" s="8"/>
      <c r="AQ981" s="8"/>
      <c r="AR981" s="8"/>
      <c r="AS981" s="8"/>
      <c r="AT981" s="8"/>
    </row>
    <row r="982">
      <c r="A982" s="415"/>
      <c r="B982" s="210"/>
      <c r="C982" s="415"/>
      <c r="D982" s="210"/>
      <c r="E982" s="415"/>
      <c r="F982" s="210"/>
      <c r="G982" s="415"/>
      <c r="H982" s="210"/>
      <c r="I982" s="423"/>
      <c r="J982" s="156"/>
      <c r="K982" s="423"/>
      <c r="L982" s="156"/>
      <c r="M982" s="415"/>
      <c r="N982" s="210"/>
      <c r="O982" s="415"/>
      <c r="P982" s="210"/>
      <c r="Q982" s="452"/>
      <c r="R982" s="452"/>
      <c r="S982" s="415"/>
      <c r="T982" s="210"/>
      <c r="U982" s="415"/>
      <c r="V982" s="210"/>
      <c r="W982" s="415"/>
      <c r="X982" s="210"/>
      <c r="Y982" s="8"/>
      <c r="Z982" s="8"/>
      <c r="AA982" s="8"/>
      <c r="AB982" s="8"/>
      <c r="AC982" s="8"/>
      <c r="AD982" s="8"/>
      <c r="AE982" s="8"/>
      <c r="AF982" s="8"/>
      <c r="AG982" s="8"/>
      <c r="AH982" s="8"/>
      <c r="AI982" s="8"/>
      <c r="AJ982" s="8"/>
      <c r="AK982" s="8"/>
      <c r="AL982" s="8"/>
      <c r="AM982" s="8"/>
      <c r="AN982" s="8"/>
      <c r="AO982" s="8"/>
      <c r="AP982" s="8"/>
      <c r="AQ982" s="8"/>
      <c r="AR982" s="8"/>
      <c r="AS982" s="8"/>
      <c r="AT982" s="8"/>
    </row>
    <row r="983">
      <c r="A983" s="415"/>
      <c r="B983" s="210"/>
      <c r="C983" s="415"/>
      <c r="D983" s="210"/>
      <c r="E983" s="415"/>
      <c r="F983" s="210"/>
      <c r="G983" s="415"/>
      <c r="H983" s="210"/>
      <c r="I983" s="423"/>
      <c r="J983" s="156"/>
      <c r="K983" s="423"/>
      <c r="L983" s="156"/>
      <c r="M983" s="415"/>
      <c r="N983" s="210"/>
      <c r="O983" s="415"/>
      <c r="P983" s="210"/>
      <c r="Q983" s="452"/>
      <c r="R983" s="452"/>
      <c r="S983" s="415"/>
      <c r="T983" s="210"/>
      <c r="U983" s="415"/>
      <c r="V983" s="210"/>
      <c r="W983" s="415"/>
      <c r="X983" s="210"/>
      <c r="Y983" s="8"/>
      <c r="Z983" s="8"/>
      <c r="AA983" s="8"/>
      <c r="AB983" s="8"/>
      <c r="AC983" s="8"/>
      <c r="AD983" s="8"/>
      <c r="AE983" s="8"/>
      <c r="AF983" s="8"/>
      <c r="AG983" s="8"/>
      <c r="AH983" s="8"/>
      <c r="AI983" s="8"/>
      <c r="AJ983" s="8"/>
      <c r="AK983" s="8"/>
      <c r="AL983" s="8"/>
      <c r="AM983" s="8"/>
      <c r="AN983" s="8"/>
      <c r="AO983" s="8"/>
      <c r="AP983" s="8"/>
      <c r="AQ983" s="8"/>
      <c r="AR983" s="8"/>
      <c r="AS983" s="8"/>
      <c r="AT983" s="8"/>
    </row>
    <row r="984">
      <c r="A984" s="415"/>
      <c r="B984" s="210"/>
      <c r="C984" s="415"/>
      <c r="D984" s="210"/>
      <c r="E984" s="415"/>
      <c r="F984" s="210"/>
      <c r="G984" s="415"/>
      <c r="H984" s="210"/>
      <c r="I984" s="423"/>
      <c r="J984" s="156"/>
      <c r="K984" s="423"/>
      <c r="L984" s="156"/>
      <c r="M984" s="415"/>
      <c r="N984" s="210"/>
      <c r="O984" s="415"/>
      <c r="P984" s="210"/>
      <c r="Q984" s="452"/>
      <c r="R984" s="452"/>
      <c r="S984" s="415"/>
      <c r="T984" s="210"/>
      <c r="U984" s="415"/>
      <c r="V984" s="210"/>
      <c r="W984" s="415"/>
      <c r="X984" s="210"/>
      <c r="Y984" s="8"/>
      <c r="Z984" s="8"/>
      <c r="AA984" s="8"/>
      <c r="AB984" s="8"/>
      <c r="AC984" s="8"/>
      <c r="AD984" s="8"/>
      <c r="AE984" s="8"/>
      <c r="AF984" s="8"/>
      <c r="AG984" s="8"/>
      <c r="AH984" s="8"/>
      <c r="AI984" s="8"/>
      <c r="AJ984" s="8"/>
      <c r="AK984" s="8"/>
      <c r="AL984" s="8"/>
      <c r="AM984" s="8"/>
      <c r="AN984" s="8"/>
      <c r="AO984" s="8"/>
      <c r="AP984" s="8"/>
      <c r="AQ984" s="8"/>
      <c r="AR984" s="8"/>
      <c r="AS984" s="8"/>
      <c r="AT984" s="8"/>
    </row>
    <row r="985">
      <c r="A985" s="415"/>
      <c r="B985" s="210"/>
      <c r="C985" s="415"/>
      <c r="D985" s="210"/>
      <c r="E985" s="415"/>
      <c r="F985" s="210"/>
      <c r="G985" s="415"/>
      <c r="H985" s="210"/>
      <c r="I985" s="423"/>
      <c r="J985" s="156"/>
      <c r="K985" s="423"/>
      <c r="L985" s="156"/>
      <c r="M985" s="415"/>
      <c r="N985" s="210"/>
      <c r="O985" s="415"/>
      <c r="P985" s="210"/>
      <c r="Q985" s="452"/>
      <c r="R985" s="452"/>
      <c r="S985" s="415"/>
      <c r="T985" s="210"/>
      <c r="U985" s="415"/>
      <c r="V985" s="210"/>
      <c r="W985" s="415"/>
      <c r="X985" s="210"/>
      <c r="Y985" s="8"/>
      <c r="Z985" s="8"/>
      <c r="AA985" s="8"/>
      <c r="AB985" s="8"/>
      <c r="AC985" s="8"/>
      <c r="AD985" s="8"/>
      <c r="AE985" s="8"/>
      <c r="AF985" s="8"/>
      <c r="AG985" s="8"/>
      <c r="AH985" s="8"/>
      <c r="AI985" s="8"/>
      <c r="AJ985" s="8"/>
      <c r="AK985" s="8"/>
      <c r="AL985" s="8"/>
      <c r="AM985" s="8"/>
      <c r="AN985" s="8"/>
      <c r="AO985" s="8"/>
      <c r="AP985" s="8"/>
      <c r="AQ985" s="8"/>
      <c r="AR985" s="8"/>
      <c r="AS985" s="8"/>
      <c r="AT985" s="8"/>
    </row>
    <row r="986">
      <c r="A986" s="415"/>
      <c r="B986" s="210"/>
      <c r="C986" s="415"/>
      <c r="D986" s="210"/>
      <c r="E986" s="415"/>
      <c r="F986" s="210"/>
      <c r="G986" s="415"/>
      <c r="H986" s="210"/>
      <c r="I986" s="423"/>
      <c r="J986" s="156"/>
      <c r="K986" s="423"/>
      <c r="L986" s="156"/>
      <c r="M986" s="415"/>
      <c r="N986" s="210"/>
      <c r="O986" s="415"/>
      <c r="P986" s="210"/>
      <c r="Q986" s="452"/>
      <c r="R986" s="452"/>
      <c r="S986" s="415"/>
      <c r="T986" s="210"/>
      <c r="U986" s="415"/>
      <c r="V986" s="210"/>
      <c r="W986" s="415"/>
      <c r="X986" s="210"/>
      <c r="Y986" s="8"/>
      <c r="Z986" s="8"/>
      <c r="AA986" s="8"/>
      <c r="AB986" s="8"/>
      <c r="AC986" s="8"/>
      <c r="AD986" s="8"/>
      <c r="AE986" s="8"/>
      <c r="AF986" s="8"/>
      <c r="AG986" s="8"/>
      <c r="AH986" s="8"/>
      <c r="AI986" s="8"/>
      <c r="AJ986" s="8"/>
      <c r="AK986" s="8"/>
      <c r="AL986" s="8"/>
      <c r="AM986" s="8"/>
      <c r="AN986" s="8"/>
      <c r="AO986" s="8"/>
      <c r="AP986" s="8"/>
      <c r="AQ986" s="8"/>
      <c r="AR986" s="8"/>
      <c r="AS986" s="8"/>
      <c r="AT986" s="8"/>
    </row>
    <row r="987">
      <c r="A987" s="415"/>
      <c r="B987" s="210"/>
      <c r="C987" s="415"/>
      <c r="D987" s="210"/>
      <c r="E987" s="415"/>
      <c r="F987" s="210"/>
      <c r="G987" s="415"/>
      <c r="H987" s="210"/>
      <c r="I987" s="423"/>
      <c r="J987" s="156"/>
      <c r="K987" s="423"/>
      <c r="L987" s="156"/>
      <c r="M987" s="415"/>
      <c r="N987" s="210"/>
      <c r="O987" s="415"/>
      <c r="P987" s="210"/>
      <c r="Q987" s="452"/>
      <c r="R987" s="452"/>
      <c r="S987" s="415"/>
      <c r="T987" s="210"/>
      <c r="U987" s="415"/>
      <c r="V987" s="210"/>
      <c r="W987" s="415"/>
      <c r="X987" s="210"/>
      <c r="Y987" s="8"/>
      <c r="Z987" s="8"/>
      <c r="AA987" s="8"/>
      <c r="AB987" s="8"/>
      <c r="AC987" s="8"/>
      <c r="AD987" s="8"/>
      <c r="AE987" s="8"/>
      <c r="AF987" s="8"/>
      <c r="AG987" s="8"/>
      <c r="AH987" s="8"/>
      <c r="AI987" s="8"/>
      <c r="AJ987" s="8"/>
      <c r="AK987" s="8"/>
      <c r="AL987" s="8"/>
      <c r="AM987" s="8"/>
      <c r="AN987" s="8"/>
      <c r="AO987" s="8"/>
      <c r="AP987" s="8"/>
      <c r="AQ987" s="8"/>
      <c r="AR987" s="8"/>
      <c r="AS987" s="8"/>
      <c r="AT987" s="8"/>
    </row>
    <row r="988">
      <c r="A988" s="415"/>
      <c r="B988" s="210"/>
      <c r="C988" s="415"/>
      <c r="D988" s="210"/>
      <c r="E988" s="415"/>
      <c r="F988" s="210"/>
      <c r="G988" s="415"/>
      <c r="H988" s="210"/>
      <c r="I988" s="423"/>
      <c r="J988" s="156"/>
      <c r="K988" s="423"/>
      <c r="L988" s="156"/>
      <c r="M988" s="415"/>
      <c r="N988" s="210"/>
      <c r="O988" s="415"/>
      <c r="P988" s="210"/>
      <c r="Q988" s="452"/>
      <c r="R988" s="452"/>
      <c r="S988" s="415"/>
      <c r="T988" s="210"/>
      <c r="U988" s="415"/>
      <c r="V988" s="210"/>
      <c r="W988" s="415"/>
      <c r="X988" s="210"/>
      <c r="Y988" s="8"/>
      <c r="Z988" s="8"/>
      <c r="AA988" s="8"/>
      <c r="AB988" s="8"/>
      <c r="AC988" s="8"/>
      <c r="AD988" s="8"/>
      <c r="AE988" s="8"/>
      <c r="AF988" s="8"/>
      <c r="AG988" s="8"/>
      <c r="AH988" s="8"/>
      <c r="AI988" s="8"/>
      <c r="AJ988" s="8"/>
      <c r="AK988" s="8"/>
      <c r="AL988" s="8"/>
      <c r="AM988" s="8"/>
      <c r="AN988" s="8"/>
      <c r="AO988" s="8"/>
      <c r="AP988" s="8"/>
      <c r="AQ988" s="8"/>
      <c r="AR988" s="8"/>
      <c r="AS988" s="8"/>
      <c r="AT988" s="8"/>
    </row>
    <row r="989">
      <c r="A989" s="415"/>
      <c r="B989" s="210"/>
      <c r="C989" s="415"/>
      <c r="D989" s="210"/>
      <c r="E989" s="415"/>
      <c r="F989" s="210"/>
      <c r="G989" s="415"/>
      <c r="H989" s="210"/>
      <c r="I989" s="423"/>
      <c r="J989" s="156"/>
      <c r="K989" s="423"/>
      <c r="L989" s="156"/>
      <c r="M989" s="415"/>
      <c r="N989" s="210"/>
      <c r="O989" s="415"/>
      <c r="P989" s="210"/>
      <c r="Q989" s="452"/>
      <c r="R989" s="452"/>
      <c r="S989" s="415"/>
      <c r="T989" s="210"/>
      <c r="U989" s="415"/>
      <c r="V989" s="210"/>
      <c r="W989" s="415"/>
      <c r="X989" s="210"/>
      <c r="Y989" s="8"/>
      <c r="Z989" s="8"/>
      <c r="AA989" s="8"/>
      <c r="AB989" s="8"/>
      <c r="AC989" s="8"/>
      <c r="AD989" s="8"/>
      <c r="AE989" s="8"/>
      <c r="AF989" s="8"/>
      <c r="AG989" s="8"/>
      <c r="AH989" s="8"/>
      <c r="AI989" s="8"/>
      <c r="AJ989" s="8"/>
      <c r="AK989" s="8"/>
      <c r="AL989" s="8"/>
      <c r="AM989" s="8"/>
      <c r="AN989" s="8"/>
      <c r="AO989" s="8"/>
      <c r="AP989" s="8"/>
      <c r="AQ989" s="8"/>
      <c r="AR989" s="8"/>
      <c r="AS989" s="8"/>
      <c r="AT989" s="8"/>
    </row>
    <row r="990">
      <c r="A990" s="415"/>
      <c r="B990" s="210"/>
      <c r="C990" s="415"/>
      <c r="D990" s="210"/>
      <c r="E990" s="415"/>
      <c r="F990" s="210"/>
      <c r="G990" s="415"/>
      <c r="H990" s="210"/>
      <c r="I990" s="423"/>
      <c r="J990" s="156"/>
      <c r="K990" s="423"/>
      <c r="L990" s="156"/>
      <c r="M990" s="415"/>
      <c r="N990" s="210"/>
      <c r="O990" s="415"/>
      <c r="P990" s="210"/>
      <c r="Q990" s="452"/>
      <c r="R990" s="452"/>
      <c r="S990" s="415"/>
      <c r="T990" s="210"/>
      <c r="U990" s="415"/>
      <c r="V990" s="210"/>
      <c r="W990" s="415"/>
      <c r="X990" s="210"/>
      <c r="Y990" s="8"/>
      <c r="Z990" s="8"/>
      <c r="AA990" s="8"/>
      <c r="AB990" s="8"/>
      <c r="AC990" s="8"/>
      <c r="AD990" s="8"/>
      <c r="AE990" s="8"/>
      <c r="AF990" s="8"/>
      <c r="AG990" s="8"/>
      <c r="AH990" s="8"/>
      <c r="AI990" s="8"/>
      <c r="AJ990" s="8"/>
      <c r="AK990" s="8"/>
      <c r="AL990" s="8"/>
      <c r="AM990" s="8"/>
      <c r="AN990" s="8"/>
      <c r="AO990" s="8"/>
      <c r="AP990" s="8"/>
      <c r="AQ990" s="8"/>
      <c r="AR990" s="8"/>
      <c r="AS990" s="8"/>
      <c r="AT990" s="8"/>
    </row>
    <row r="991">
      <c r="A991" s="415"/>
      <c r="B991" s="210"/>
      <c r="C991" s="415"/>
      <c r="D991" s="210"/>
      <c r="E991" s="415"/>
      <c r="F991" s="210"/>
      <c r="G991" s="415"/>
      <c r="H991" s="210"/>
      <c r="I991" s="423"/>
      <c r="J991" s="156"/>
      <c r="K991" s="423"/>
      <c r="L991" s="156"/>
      <c r="M991" s="415"/>
      <c r="N991" s="210"/>
      <c r="O991" s="415"/>
      <c r="P991" s="210"/>
      <c r="Q991" s="452"/>
      <c r="R991" s="452"/>
      <c r="S991" s="415"/>
      <c r="T991" s="210"/>
      <c r="U991" s="415"/>
      <c r="V991" s="210"/>
      <c r="W991" s="415"/>
      <c r="X991" s="210"/>
      <c r="Y991" s="8"/>
      <c r="Z991" s="8"/>
      <c r="AA991" s="8"/>
      <c r="AB991" s="8"/>
      <c r="AC991" s="8"/>
      <c r="AD991" s="8"/>
      <c r="AE991" s="8"/>
      <c r="AF991" s="8"/>
      <c r="AG991" s="8"/>
      <c r="AH991" s="8"/>
      <c r="AI991" s="8"/>
      <c r="AJ991" s="8"/>
      <c r="AK991" s="8"/>
      <c r="AL991" s="8"/>
      <c r="AM991" s="8"/>
      <c r="AN991" s="8"/>
      <c r="AO991" s="8"/>
      <c r="AP991" s="8"/>
      <c r="AQ991" s="8"/>
      <c r="AR991" s="8"/>
      <c r="AS991" s="8"/>
      <c r="AT991" s="8"/>
    </row>
    <row r="992">
      <c r="A992" s="415"/>
      <c r="B992" s="210"/>
      <c r="C992" s="415"/>
      <c r="D992" s="210"/>
      <c r="E992" s="415"/>
      <c r="F992" s="210"/>
      <c r="G992" s="415"/>
      <c r="H992" s="210"/>
      <c r="I992" s="423"/>
      <c r="J992" s="156"/>
      <c r="K992" s="423"/>
      <c r="L992" s="156"/>
      <c r="M992" s="415"/>
      <c r="N992" s="210"/>
      <c r="O992" s="415"/>
      <c r="P992" s="210"/>
      <c r="Q992" s="452"/>
      <c r="R992" s="452"/>
      <c r="S992" s="415"/>
      <c r="T992" s="210"/>
      <c r="U992" s="415"/>
      <c r="V992" s="210"/>
      <c r="W992" s="415"/>
      <c r="X992" s="210"/>
      <c r="Y992" s="8"/>
      <c r="Z992" s="8"/>
      <c r="AA992" s="8"/>
      <c r="AB992" s="8"/>
      <c r="AC992" s="8"/>
      <c r="AD992" s="8"/>
      <c r="AE992" s="8"/>
      <c r="AF992" s="8"/>
      <c r="AG992" s="8"/>
      <c r="AH992" s="8"/>
      <c r="AI992" s="8"/>
      <c r="AJ992" s="8"/>
      <c r="AK992" s="8"/>
      <c r="AL992" s="8"/>
      <c r="AM992" s="8"/>
      <c r="AN992" s="8"/>
      <c r="AO992" s="8"/>
      <c r="AP992" s="8"/>
      <c r="AQ992" s="8"/>
      <c r="AR992" s="8"/>
      <c r="AS992" s="8"/>
      <c r="AT992" s="8"/>
    </row>
    <row r="993">
      <c r="A993" s="415"/>
      <c r="B993" s="210"/>
      <c r="C993" s="415"/>
      <c r="D993" s="210"/>
      <c r="E993" s="415"/>
      <c r="F993" s="210"/>
      <c r="G993" s="415"/>
      <c r="H993" s="210"/>
      <c r="I993" s="423"/>
      <c r="J993" s="156"/>
      <c r="K993" s="423"/>
      <c r="L993" s="156"/>
      <c r="M993" s="415"/>
      <c r="N993" s="210"/>
      <c r="O993" s="415"/>
      <c r="P993" s="210"/>
      <c r="Q993" s="452"/>
      <c r="R993" s="452"/>
      <c r="S993" s="415"/>
      <c r="T993" s="210"/>
      <c r="U993" s="415"/>
      <c r="V993" s="210"/>
      <c r="W993" s="415"/>
      <c r="X993" s="210"/>
      <c r="Y993" s="8"/>
      <c r="Z993" s="8"/>
      <c r="AA993" s="8"/>
      <c r="AB993" s="8"/>
      <c r="AC993" s="8"/>
      <c r="AD993" s="8"/>
      <c r="AE993" s="8"/>
      <c r="AF993" s="8"/>
      <c r="AG993" s="8"/>
      <c r="AH993" s="8"/>
      <c r="AI993" s="8"/>
      <c r="AJ993" s="8"/>
      <c r="AK993" s="8"/>
      <c r="AL993" s="8"/>
      <c r="AM993" s="8"/>
      <c r="AN993" s="8"/>
      <c r="AO993" s="8"/>
      <c r="AP993" s="8"/>
      <c r="AQ993" s="8"/>
      <c r="AR993" s="8"/>
      <c r="AS993" s="8"/>
      <c r="AT993" s="8"/>
    </row>
    <row r="994">
      <c r="A994" s="415"/>
      <c r="B994" s="210"/>
      <c r="C994" s="415"/>
      <c r="D994" s="210"/>
      <c r="E994" s="415"/>
      <c r="F994" s="210"/>
      <c r="G994" s="415"/>
      <c r="H994" s="210"/>
      <c r="I994" s="423"/>
      <c r="J994" s="156"/>
      <c r="K994" s="423"/>
      <c r="L994" s="156"/>
      <c r="M994" s="415"/>
      <c r="N994" s="210"/>
      <c r="O994" s="415"/>
      <c r="P994" s="210"/>
      <c r="Q994" s="452"/>
      <c r="R994" s="452"/>
      <c r="S994" s="415"/>
      <c r="T994" s="210"/>
      <c r="U994" s="415"/>
      <c r="V994" s="210"/>
      <c r="W994" s="415"/>
      <c r="X994" s="210"/>
      <c r="Y994" s="8"/>
      <c r="Z994" s="8"/>
      <c r="AA994" s="8"/>
      <c r="AB994" s="8"/>
      <c r="AC994" s="8"/>
      <c r="AD994" s="8"/>
      <c r="AE994" s="8"/>
      <c r="AF994" s="8"/>
      <c r="AG994" s="8"/>
      <c r="AH994" s="8"/>
      <c r="AI994" s="8"/>
      <c r="AJ994" s="8"/>
      <c r="AK994" s="8"/>
      <c r="AL994" s="8"/>
      <c r="AM994" s="8"/>
      <c r="AN994" s="8"/>
      <c r="AO994" s="8"/>
      <c r="AP994" s="8"/>
      <c r="AQ994" s="8"/>
      <c r="AR994" s="8"/>
      <c r="AS994" s="8"/>
      <c r="AT994" s="8"/>
    </row>
    <row r="995">
      <c r="A995" s="415"/>
      <c r="B995" s="210"/>
      <c r="C995" s="415"/>
      <c r="D995" s="210"/>
      <c r="E995" s="415"/>
      <c r="F995" s="210"/>
      <c r="G995" s="415"/>
      <c r="H995" s="210"/>
      <c r="I995" s="423"/>
      <c r="J995" s="156"/>
      <c r="K995" s="423"/>
      <c r="L995" s="156"/>
      <c r="M995" s="415"/>
      <c r="N995" s="210"/>
      <c r="O995" s="415"/>
      <c r="P995" s="210"/>
      <c r="Q995" s="452"/>
      <c r="R995" s="452"/>
      <c r="S995" s="415"/>
      <c r="T995" s="210"/>
      <c r="U995" s="415"/>
      <c r="V995" s="210"/>
      <c r="W995" s="415"/>
      <c r="X995" s="210"/>
      <c r="Y995" s="8"/>
      <c r="Z995" s="8"/>
      <c r="AA995" s="8"/>
      <c r="AB995" s="8"/>
      <c r="AC995" s="8"/>
      <c r="AD995" s="8"/>
      <c r="AE995" s="8"/>
      <c r="AF995" s="8"/>
      <c r="AG995" s="8"/>
      <c r="AH995" s="8"/>
      <c r="AI995" s="8"/>
      <c r="AJ995" s="8"/>
      <c r="AK995" s="8"/>
      <c r="AL995" s="8"/>
      <c r="AM995" s="8"/>
      <c r="AN995" s="8"/>
      <c r="AO995" s="8"/>
      <c r="AP995" s="8"/>
      <c r="AQ995" s="8"/>
      <c r="AR995" s="8"/>
      <c r="AS995" s="8"/>
      <c r="AT995" s="8"/>
    </row>
    <row r="996">
      <c r="A996" s="415"/>
      <c r="B996" s="210"/>
      <c r="C996" s="415"/>
      <c r="D996" s="210"/>
      <c r="E996" s="415"/>
      <c r="F996" s="210"/>
      <c r="G996" s="415"/>
      <c r="H996" s="210"/>
      <c r="I996" s="423"/>
      <c r="J996" s="156"/>
      <c r="K996" s="423"/>
      <c r="L996" s="156"/>
      <c r="M996" s="415"/>
      <c r="N996" s="210"/>
      <c r="O996" s="415"/>
      <c r="P996" s="210"/>
      <c r="Q996" s="452"/>
      <c r="R996" s="452"/>
      <c r="S996" s="415"/>
      <c r="T996" s="210"/>
      <c r="U996" s="415"/>
      <c r="V996" s="210"/>
      <c r="W996" s="415"/>
      <c r="X996" s="210"/>
      <c r="Y996" s="8"/>
      <c r="Z996" s="8"/>
      <c r="AA996" s="8"/>
      <c r="AB996" s="8"/>
      <c r="AC996" s="8"/>
      <c r="AD996" s="8"/>
      <c r="AE996" s="8"/>
      <c r="AF996" s="8"/>
      <c r="AG996" s="8"/>
      <c r="AH996" s="8"/>
      <c r="AI996" s="8"/>
      <c r="AJ996" s="8"/>
      <c r="AK996" s="8"/>
      <c r="AL996" s="8"/>
      <c r="AM996" s="8"/>
      <c r="AN996" s="8"/>
      <c r="AO996" s="8"/>
      <c r="AP996" s="8"/>
      <c r="AQ996" s="8"/>
      <c r="AR996" s="8"/>
      <c r="AS996" s="8"/>
      <c r="AT996" s="8"/>
    </row>
    <row r="997">
      <c r="A997" s="415"/>
      <c r="B997" s="210"/>
      <c r="C997" s="415"/>
      <c r="D997" s="210"/>
      <c r="E997" s="415"/>
      <c r="F997" s="210"/>
      <c r="G997" s="415"/>
      <c r="H997" s="210"/>
      <c r="I997" s="423"/>
      <c r="J997" s="156"/>
      <c r="K997" s="423"/>
      <c r="L997" s="156"/>
      <c r="M997" s="415"/>
      <c r="N997" s="210"/>
      <c r="O997" s="415"/>
      <c r="P997" s="210"/>
      <c r="Q997" s="452"/>
      <c r="R997" s="452"/>
      <c r="S997" s="415"/>
      <c r="T997" s="210"/>
      <c r="U997" s="415"/>
      <c r="V997" s="210"/>
      <c r="W997" s="415"/>
      <c r="X997" s="210"/>
      <c r="Y997" s="8"/>
      <c r="Z997" s="8"/>
      <c r="AA997" s="8"/>
      <c r="AB997" s="8"/>
      <c r="AC997" s="8"/>
      <c r="AD997" s="8"/>
      <c r="AE997" s="8"/>
      <c r="AF997" s="8"/>
      <c r="AG997" s="8"/>
      <c r="AH997" s="8"/>
      <c r="AI997" s="8"/>
      <c r="AJ997" s="8"/>
      <c r="AK997" s="8"/>
      <c r="AL997" s="8"/>
      <c r="AM997" s="8"/>
      <c r="AN997" s="8"/>
      <c r="AO997" s="8"/>
      <c r="AP997" s="8"/>
      <c r="AQ997" s="8"/>
      <c r="AR997" s="8"/>
      <c r="AS997" s="8"/>
      <c r="AT997" s="8"/>
    </row>
    <row r="998">
      <c r="A998" s="415"/>
      <c r="B998" s="210"/>
      <c r="C998" s="415"/>
      <c r="D998" s="210"/>
      <c r="E998" s="415"/>
      <c r="F998" s="210"/>
      <c r="G998" s="415"/>
      <c r="H998" s="210"/>
      <c r="I998" s="423"/>
      <c r="J998" s="156"/>
      <c r="K998" s="423"/>
      <c r="L998" s="156"/>
      <c r="M998" s="415"/>
      <c r="N998" s="210"/>
      <c r="O998" s="415"/>
      <c r="P998" s="210"/>
      <c r="Q998" s="452"/>
      <c r="R998" s="452"/>
      <c r="S998" s="415"/>
      <c r="T998" s="210"/>
      <c r="U998" s="415"/>
      <c r="V998" s="210"/>
      <c r="W998" s="415"/>
      <c r="X998" s="210"/>
      <c r="Y998" s="8"/>
      <c r="Z998" s="8"/>
      <c r="AA998" s="8"/>
      <c r="AB998" s="8"/>
      <c r="AC998" s="8"/>
      <c r="AD998" s="8"/>
      <c r="AE998" s="8"/>
      <c r="AF998" s="8"/>
      <c r="AG998" s="8"/>
      <c r="AH998" s="8"/>
      <c r="AI998" s="8"/>
      <c r="AJ998" s="8"/>
      <c r="AK998" s="8"/>
      <c r="AL998" s="8"/>
      <c r="AM998" s="8"/>
      <c r="AN998" s="8"/>
      <c r="AO998" s="8"/>
      <c r="AP998" s="8"/>
      <c r="AQ998" s="8"/>
      <c r="AR998" s="8"/>
      <c r="AS998" s="8"/>
      <c r="AT998" s="8"/>
    </row>
    <row r="999">
      <c r="A999" s="415"/>
      <c r="B999" s="210"/>
      <c r="C999" s="415"/>
      <c r="D999" s="210"/>
      <c r="E999" s="415"/>
      <c r="F999" s="210"/>
      <c r="G999" s="415"/>
      <c r="H999" s="210"/>
      <c r="I999" s="423"/>
      <c r="J999" s="156"/>
      <c r="K999" s="423"/>
      <c r="L999" s="156"/>
      <c r="M999" s="415"/>
      <c r="N999" s="210"/>
      <c r="O999" s="415"/>
      <c r="P999" s="210"/>
      <c r="Q999" s="452"/>
      <c r="R999" s="452"/>
      <c r="S999" s="415"/>
      <c r="T999" s="210"/>
      <c r="U999" s="415"/>
      <c r="V999" s="210"/>
      <c r="W999" s="415"/>
      <c r="X999" s="210"/>
      <c r="Y999" s="8"/>
      <c r="Z999" s="8"/>
      <c r="AA999" s="8"/>
      <c r="AB999" s="8"/>
      <c r="AC999" s="8"/>
      <c r="AD999" s="8"/>
      <c r="AE999" s="8"/>
      <c r="AF999" s="8"/>
      <c r="AG999" s="8"/>
      <c r="AH999" s="8"/>
      <c r="AI999" s="8"/>
      <c r="AJ999" s="8"/>
      <c r="AK999" s="8"/>
      <c r="AL999" s="8"/>
      <c r="AM999" s="8"/>
      <c r="AN999" s="8"/>
      <c r="AO999" s="8"/>
      <c r="AP999" s="8"/>
      <c r="AQ999" s="8"/>
      <c r="AR999" s="8"/>
      <c r="AS999" s="8"/>
      <c r="AT999" s="8"/>
    </row>
    <row r="1000">
      <c r="A1000" s="415"/>
      <c r="B1000" s="210"/>
      <c r="C1000" s="415"/>
      <c r="D1000" s="210"/>
      <c r="E1000" s="415"/>
      <c r="F1000" s="210"/>
      <c r="G1000" s="415"/>
      <c r="H1000" s="210"/>
      <c r="I1000" s="423"/>
      <c r="J1000" s="156"/>
      <c r="K1000" s="423"/>
      <c r="L1000" s="156"/>
      <c r="M1000" s="415"/>
      <c r="N1000" s="210"/>
      <c r="O1000" s="415"/>
      <c r="P1000" s="210"/>
      <c r="Q1000" s="452"/>
      <c r="R1000" s="452"/>
      <c r="S1000" s="415"/>
      <c r="T1000" s="210"/>
      <c r="U1000" s="415"/>
      <c r="V1000" s="210"/>
      <c r="W1000" s="415"/>
      <c r="X1000" s="210"/>
      <c r="Y1000" s="8"/>
      <c r="Z1000" s="8"/>
      <c r="AA1000" s="8"/>
      <c r="AB1000" s="8"/>
      <c r="AC1000" s="8"/>
      <c r="AD1000" s="8"/>
      <c r="AE1000" s="8"/>
      <c r="AF1000" s="8"/>
      <c r="AG1000" s="8"/>
      <c r="AH1000" s="8"/>
      <c r="AI1000" s="8"/>
      <c r="AJ1000" s="8"/>
      <c r="AK1000" s="8"/>
      <c r="AL1000" s="8"/>
      <c r="AM1000" s="8"/>
      <c r="AN1000" s="8"/>
      <c r="AO1000" s="8"/>
      <c r="AP1000" s="8"/>
      <c r="AQ1000" s="8"/>
      <c r="AR1000" s="8"/>
      <c r="AS1000" s="8"/>
      <c r="AT1000" s="8"/>
    </row>
    <row r="1001">
      <c r="A1001" s="415"/>
      <c r="B1001" s="210"/>
      <c r="C1001" s="415"/>
      <c r="D1001" s="210"/>
      <c r="E1001" s="415"/>
      <c r="F1001" s="210"/>
      <c r="G1001" s="415"/>
      <c r="H1001" s="210"/>
      <c r="I1001" s="423"/>
      <c r="J1001" s="156"/>
      <c r="K1001" s="423"/>
      <c r="L1001" s="156"/>
      <c r="M1001" s="415"/>
      <c r="N1001" s="210"/>
      <c r="O1001" s="415"/>
      <c r="P1001" s="210"/>
      <c r="Q1001" s="452"/>
      <c r="R1001" s="452"/>
      <c r="S1001" s="415"/>
      <c r="T1001" s="210"/>
      <c r="U1001" s="415"/>
      <c r="V1001" s="210"/>
      <c r="W1001" s="415"/>
      <c r="X1001" s="210"/>
      <c r="Y1001" s="8"/>
      <c r="Z1001" s="8"/>
      <c r="AA1001" s="8"/>
      <c r="AB1001" s="8"/>
      <c r="AC1001" s="8"/>
      <c r="AD1001" s="8"/>
      <c r="AE1001" s="8"/>
      <c r="AF1001" s="8"/>
      <c r="AG1001" s="8"/>
      <c r="AH1001" s="8"/>
      <c r="AI1001" s="8"/>
      <c r="AJ1001" s="8"/>
      <c r="AK1001" s="8"/>
      <c r="AL1001" s="8"/>
      <c r="AM1001" s="8"/>
      <c r="AN1001" s="8"/>
      <c r="AO1001" s="8"/>
      <c r="AP1001" s="8"/>
      <c r="AQ1001" s="8"/>
      <c r="AR1001" s="8"/>
      <c r="AS1001" s="8"/>
      <c r="AT1001" s="8"/>
    </row>
    <row r="1002">
      <c r="A1002" s="415"/>
      <c r="B1002" s="210"/>
      <c r="C1002" s="415"/>
      <c r="D1002" s="210"/>
      <c r="E1002" s="415"/>
      <c r="F1002" s="210"/>
      <c r="G1002" s="415"/>
      <c r="H1002" s="210"/>
      <c r="I1002" s="423"/>
      <c r="J1002" s="156"/>
      <c r="K1002" s="423"/>
      <c r="L1002" s="156"/>
      <c r="M1002" s="415"/>
      <c r="N1002" s="210"/>
      <c r="O1002" s="415"/>
      <c r="P1002" s="210"/>
      <c r="Q1002" s="452"/>
      <c r="R1002" s="452"/>
      <c r="S1002" s="415"/>
      <c r="T1002" s="210"/>
      <c r="U1002" s="415"/>
      <c r="V1002" s="210"/>
      <c r="W1002" s="415"/>
      <c r="X1002" s="210"/>
      <c r="Y1002" s="8"/>
      <c r="Z1002" s="8"/>
      <c r="AA1002" s="8"/>
      <c r="AB1002" s="8"/>
      <c r="AC1002" s="8"/>
      <c r="AD1002" s="8"/>
      <c r="AE1002" s="8"/>
      <c r="AF1002" s="8"/>
      <c r="AG1002" s="8"/>
      <c r="AH1002" s="8"/>
      <c r="AI1002" s="8"/>
      <c r="AJ1002" s="8"/>
      <c r="AK1002" s="8"/>
      <c r="AL1002" s="8"/>
      <c r="AM1002" s="8"/>
      <c r="AN1002" s="8"/>
      <c r="AO1002" s="8"/>
      <c r="AP1002" s="8"/>
      <c r="AQ1002" s="8"/>
      <c r="AR1002" s="8"/>
      <c r="AS1002" s="8"/>
      <c r="AT1002" s="8"/>
    </row>
    <row r="1003">
      <c r="A1003" s="415"/>
      <c r="B1003" s="210"/>
      <c r="C1003" s="415"/>
      <c r="D1003" s="210"/>
      <c r="E1003" s="415"/>
      <c r="F1003" s="210"/>
      <c r="G1003" s="415"/>
      <c r="H1003" s="210"/>
      <c r="I1003" s="423"/>
      <c r="J1003" s="156"/>
      <c r="K1003" s="423"/>
      <c r="L1003" s="156"/>
      <c r="M1003" s="415"/>
      <c r="N1003" s="210"/>
      <c r="O1003" s="415"/>
      <c r="P1003" s="210"/>
      <c r="Q1003" s="452"/>
      <c r="R1003" s="452"/>
      <c r="S1003" s="415"/>
      <c r="T1003" s="210"/>
      <c r="U1003" s="415"/>
      <c r="V1003" s="210"/>
      <c r="W1003" s="415"/>
      <c r="X1003" s="210"/>
      <c r="Y1003" s="8"/>
      <c r="Z1003" s="8"/>
      <c r="AA1003" s="8"/>
      <c r="AB1003" s="8"/>
      <c r="AC1003" s="8"/>
      <c r="AD1003" s="8"/>
      <c r="AE1003" s="8"/>
      <c r="AF1003" s="8"/>
      <c r="AG1003" s="8"/>
      <c r="AH1003" s="8"/>
      <c r="AI1003" s="8"/>
      <c r="AJ1003" s="8"/>
      <c r="AK1003" s="8"/>
      <c r="AL1003" s="8"/>
      <c r="AM1003" s="8"/>
      <c r="AN1003" s="8"/>
      <c r="AO1003" s="8"/>
      <c r="AP1003" s="8"/>
      <c r="AQ1003" s="8"/>
      <c r="AR1003" s="8"/>
      <c r="AS1003" s="8"/>
      <c r="AT1003" s="8"/>
    </row>
    <row r="1004">
      <c r="A1004" s="415"/>
      <c r="B1004" s="210"/>
      <c r="C1004" s="415"/>
      <c r="D1004" s="210"/>
      <c r="E1004" s="415"/>
      <c r="F1004" s="210"/>
      <c r="G1004" s="415"/>
      <c r="H1004" s="210"/>
      <c r="I1004" s="423"/>
      <c r="J1004" s="156"/>
      <c r="K1004" s="423"/>
      <c r="L1004" s="156"/>
      <c r="M1004" s="415"/>
      <c r="N1004" s="210"/>
      <c r="O1004" s="415"/>
      <c r="P1004" s="210"/>
      <c r="Q1004" s="452"/>
      <c r="R1004" s="452"/>
      <c r="S1004" s="415"/>
      <c r="T1004" s="210"/>
      <c r="U1004" s="415"/>
      <c r="V1004" s="210"/>
      <c r="W1004" s="415"/>
      <c r="X1004" s="210"/>
      <c r="Y1004" s="8"/>
      <c r="Z1004" s="8"/>
      <c r="AA1004" s="8"/>
      <c r="AB1004" s="8"/>
      <c r="AC1004" s="8"/>
      <c r="AD1004" s="8"/>
      <c r="AE1004" s="8"/>
      <c r="AF1004" s="8"/>
      <c r="AG1004" s="8"/>
      <c r="AH1004" s="8"/>
      <c r="AI1004" s="8"/>
      <c r="AJ1004" s="8"/>
      <c r="AK1004" s="8"/>
      <c r="AL1004" s="8"/>
      <c r="AM1004" s="8"/>
      <c r="AN1004" s="8"/>
      <c r="AO1004" s="8"/>
      <c r="AP1004" s="8"/>
      <c r="AQ1004" s="8"/>
      <c r="AR1004" s="8"/>
      <c r="AS1004" s="8"/>
      <c r="AT1004" s="8"/>
    </row>
    <row r="1005">
      <c r="A1005" s="415"/>
      <c r="B1005" s="210"/>
      <c r="C1005" s="415"/>
      <c r="D1005" s="210"/>
      <c r="E1005" s="415"/>
      <c r="F1005" s="210"/>
      <c r="G1005" s="415"/>
      <c r="H1005" s="210"/>
      <c r="I1005" s="423"/>
      <c r="J1005" s="156"/>
      <c r="K1005" s="423"/>
      <c r="L1005" s="156"/>
      <c r="M1005" s="415"/>
      <c r="N1005" s="210"/>
      <c r="O1005" s="415"/>
      <c r="P1005" s="210"/>
      <c r="Q1005" s="452"/>
      <c r="R1005" s="452"/>
      <c r="S1005" s="415"/>
      <c r="T1005" s="210"/>
      <c r="U1005" s="415"/>
      <c r="V1005" s="210"/>
      <c r="W1005" s="415"/>
      <c r="X1005" s="210"/>
      <c r="Y1005" s="8"/>
      <c r="Z1005" s="8"/>
      <c r="AA1005" s="8"/>
      <c r="AB1005" s="8"/>
      <c r="AC1005" s="8"/>
      <c r="AD1005" s="8"/>
      <c r="AE1005" s="8"/>
      <c r="AF1005" s="8"/>
      <c r="AG1005" s="8"/>
      <c r="AH1005" s="8"/>
      <c r="AI1005" s="8"/>
      <c r="AJ1005" s="8"/>
      <c r="AK1005" s="8"/>
      <c r="AL1005" s="8"/>
      <c r="AM1005" s="8"/>
      <c r="AN1005" s="8"/>
      <c r="AO1005" s="8"/>
      <c r="AP1005" s="8"/>
      <c r="AQ1005" s="8"/>
      <c r="AR1005" s="8"/>
      <c r="AS1005" s="8"/>
      <c r="AT1005" s="8"/>
    </row>
    <row r="1006">
      <c r="A1006" s="415"/>
      <c r="B1006" s="210"/>
      <c r="C1006" s="415"/>
      <c r="D1006" s="210"/>
      <c r="E1006" s="415"/>
      <c r="F1006" s="210"/>
      <c r="G1006" s="415"/>
      <c r="H1006" s="210"/>
      <c r="I1006" s="423"/>
      <c r="J1006" s="156"/>
      <c r="K1006" s="423"/>
      <c r="L1006" s="156"/>
      <c r="M1006" s="415"/>
      <c r="N1006" s="210"/>
      <c r="O1006" s="415"/>
      <c r="P1006" s="210"/>
      <c r="Q1006" s="452"/>
      <c r="R1006" s="452"/>
      <c r="S1006" s="415"/>
      <c r="T1006" s="210"/>
      <c r="U1006" s="415"/>
      <c r="V1006" s="210"/>
      <c r="W1006" s="415"/>
      <c r="X1006" s="210"/>
      <c r="Y1006" s="8"/>
      <c r="Z1006" s="8"/>
      <c r="AA1006" s="8"/>
      <c r="AB1006" s="8"/>
      <c r="AC1006" s="8"/>
      <c r="AD1006" s="8"/>
      <c r="AE1006" s="8"/>
      <c r="AF1006" s="8"/>
      <c r="AG1006" s="8"/>
      <c r="AH1006" s="8"/>
      <c r="AI1006" s="8"/>
      <c r="AJ1006" s="8"/>
      <c r="AK1006" s="8"/>
      <c r="AL1006" s="8"/>
      <c r="AM1006" s="8"/>
      <c r="AN1006" s="8"/>
      <c r="AO1006" s="8"/>
      <c r="AP1006" s="8"/>
      <c r="AQ1006" s="8"/>
      <c r="AR1006" s="8"/>
      <c r="AS1006" s="8"/>
      <c r="AT1006" s="8"/>
    </row>
    <row r="1007">
      <c r="A1007" s="415"/>
      <c r="B1007" s="210"/>
      <c r="C1007" s="415"/>
      <c r="D1007" s="210"/>
      <c r="E1007" s="415"/>
      <c r="F1007" s="210"/>
      <c r="G1007" s="415"/>
      <c r="H1007" s="210"/>
      <c r="I1007" s="423"/>
      <c r="J1007" s="156"/>
      <c r="K1007" s="423"/>
      <c r="L1007" s="156"/>
      <c r="M1007" s="415"/>
      <c r="N1007" s="210"/>
      <c r="O1007" s="415"/>
      <c r="P1007" s="210"/>
      <c r="Q1007" s="452"/>
      <c r="R1007" s="452"/>
      <c r="S1007" s="415"/>
      <c r="T1007" s="210"/>
      <c r="U1007" s="415"/>
      <c r="V1007" s="210"/>
      <c r="W1007" s="415"/>
      <c r="X1007" s="210"/>
      <c r="Y1007" s="8"/>
      <c r="Z1007" s="8"/>
      <c r="AA1007" s="8"/>
      <c r="AB1007" s="8"/>
      <c r="AC1007" s="8"/>
      <c r="AD1007" s="8"/>
      <c r="AE1007" s="8"/>
      <c r="AF1007" s="8"/>
      <c r="AG1007" s="8"/>
      <c r="AH1007" s="8"/>
      <c r="AI1007" s="8"/>
      <c r="AJ1007" s="8"/>
      <c r="AK1007" s="8"/>
      <c r="AL1007" s="8"/>
      <c r="AM1007" s="8"/>
      <c r="AN1007" s="8"/>
      <c r="AO1007" s="8"/>
      <c r="AP1007" s="8"/>
      <c r="AQ1007" s="8"/>
      <c r="AR1007" s="8"/>
      <c r="AS1007" s="8"/>
      <c r="AT1007" s="8"/>
    </row>
    <row r="1008">
      <c r="A1008" s="415"/>
      <c r="B1008" s="210"/>
      <c r="C1008" s="415"/>
      <c r="D1008" s="210"/>
      <c r="E1008" s="415"/>
      <c r="F1008" s="210"/>
      <c r="G1008" s="415"/>
      <c r="H1008" s="210"/>
      <c r="I1008" s="423"/>
      <c r="J1008" s="156"/>
      <c r="K1008" s="423"/>
      <c r="L1008" s="156"/>
      <c r="M1008" s="415"/>
      <c r="N1008" s="210"/>
      <c r="O1008" s="415"/>
      <c r="P1008" s="210"/>
      <c r="Q1008" s="452"/>
      <c r="R1008" s="452"/>
      <c r="S1008" s="415"/>
      <c r="T1008" s="210"/>
      <c r="U1008" s="415"/>
      <c r="V1008" s="210"/>
      <c r="W1008" s="415"/>
      <c r="X1008" s="210"/>
      <c r="Y1008" s="8"/>
      <c r="Z1008" s="8"/>
      <c r="AA1008" s="8"/>
      <c r="AB1008" s="8"/>
      <c r="AC1008" s="8"/>
      <c r="AD1008" s="8"/>
      <c r="AE1008" s="8"/>
      <c r="AF1008" s="8"/>
      <c r="AG1008" s="8"/>
      <c r="AH1008" s="8"/>
      <c r="AI1008" s="8"/>
      <c r="AJ1008" s="8"/>
      <c r="AK1008" s="8"/>
      <c r="AL1008" s="8"/>
      <c r="AM1008" s="8"/>
      <c r="AN1008" s="8"/>
      <c r="AO1008" s="8"/>
      <c r="AP1008" s="8"/>
      <c r="AQ1008" s="8"/>
      <c r="AR1008" s="8"/>
      <c r="AS1008" s="8"/>
      <c r="AT1008" s="8"/>
    </row>
    <row r="1009">
      <c r="A1009" s="415"/>
      <c r="B1009" s="210"/>
      <c r="C1009" s="415"/>
      <c r="D1009" s="210"/>
      <c r="E1009" s="415"/>
      <c r="F1009" s="210"/>
      <c r="G1009" s="415"/>
      <c r="H1009" s="210"/>
      <c r="I1009" s="423"/>
      <c r="J1009" s="156"/>
      <c r="K1009" s="423"/>
      <c r="L1009" s="156"/>
      <c r="M1009" s="415"/>
      <c r="N1009" s="210"/>
      <c r="O1009" s="415"/>
      <c r="P1009" s="210"/>
      <c r="Q1009" s="452"/>
      <c r="R1009" s="452"/>
      <c r="S1009" s="415"/>
      <c r="T1009" s="210"/>
      <c r="U1009" s="415"/>
      <c r="V1009" s="210"/>
      <c r="W1009" s="415"/>
      <c r="X1009" s="210"/>
    </row>
    <row r="1010">
      <c r="A1010" s="415"/>
      <c r="B1010" s="210"/>
      <c r="C1010" s="415"/>
      <c r="D1010" s="210"/>
      <c r="E1010" s="415"/>
      <c r="F1010" s="210"/>
      <c r="G1010" s="415"/>
      <c r="H1010" s="210"/>
      <c r="I1010" s="423"/>
      <c r="J1010" s="156"/>
      <c r="K1010" s="423"/>
      <c r="L1010" s="156"/>
      <c r="M1010" s="415"/>
      <c r="N1010" s="210"/>
      <c r="O1010" s="415"/>
      <c r="P1010" s="210"/>
      <c r="Q1010" s="452"/>
      <c r="R1010" s="452"/>
      <c r="S1010" s="415"/>
      <c r="T1010" s="210"/>
      <c r="U1010" s="415"/>
      <c r="V1010" s="210"/>
      <c r="W1010" s="415"/>
      <c r="X1010" s="210"/>
    </row>
    <row r="1011">
      <c r="A1011" s="415"/>
      <c r="B1011" s="210"/>
      <c r="C1011" s="415"/>
      <c r="D1011" s="210"/>
      <c r="E1011" s="415"/>
      <c r="F1011" s="210"/>
      <c r="G1011" s="415"/>
      <c r="H1011" s="210"/>
      <c r="I1011" s="423"/>
      <c r="J1011" s="156"/>
      <c r="K1011" s="423"/>
      <c r="L1011" s="156"/>
      <c r="M1011" s="415"/>
      <c r="N1011" s="210"/>
      <c r="O1011" s="415"/>
      <c r="P1011" s="210"/>
      <c r="Q1011" s="452"/>
      <c r="R1011" s="452"/>
      <c r="S1011" s="415"/>
      <c r="T1011" s="210"/>
      <c r="U1011" s="415"/>
      <c r="V1011" s="210"/>
      <c r="W1011" s="415"/>
      <c r="X1011" s="210"/>
    </row>
    <row r="1012">
      <c r="A1012" s="415"/>
      <c r="B1012" s="210"/>
      <c r="C1012" s="415"/>
      <c r="D1012" s="210"/>
      <c r="E1012" s="415"/>
      <c r="F1012" s="210"/>
      <c r="G1012" s="415"/>
      <c r="H1012" s="210"/>
      <c r="I1012" s="423"/>
      <c r="J1012" s="156"/>
      <c r="K1012" s="423"/>
      <c r="L1012" s="156"/>
      <c r="M1012" s="415"/>
      <c r="N1012" s="210"/>
      <c r="O1012" s="415"/>
      <c r="P1012" s="210"/>
      <c r="Q1012" s="452"/>
      <c r="R1012" s="452"/>
      <c r="S1012" s="415"/>
      <c r="T1012" s="210"/>
      <c r="U1012" s="415"/>
      <c r="V1012" s="210"/>
      <c r="W1012" s="415"/>
      <c r="X1012" s="210"/>
    </row>
    <row r="1013">
      <c r="A1013" s="415"/>
      <c r="B1013" s="210"/>
      <c r="C1013" s="415"/>
      <c r="D1013" s="210"/>
      <c r="E1013" s="415"/>
      <c r="F1013" s="210"/>
      <c r="G1013" s="415"/>
      <c r="H1013" s="210"/>
      <c r="I1013" s="423"/>
      <c r="J1013" s="156"/>
      <c r="K1013" s="423"/>
      <c r="L1013" s="156"/>
      <c r="M1013" s="415"/>
      <c r="N1013" s="210"/>
      <c r="O1013" s="415"/>
      <c r="P1013" s="210"/>
      <c r="Q1013" s="452"/>
      <c r="R1013" s="452"/>
      <c r="S1013" s="415"/>
      <c r="T1013" s="210"/>
      <c r="U1013" s="415"/>
      <c r="V1013" s="210"/>
      <c r="W1013" s="415"/>
      <c r="X1013" s="210"/>
    </row>
    <row r="1014">
      <c r="A1014" s="415"/>
      <c r="B1014" s="210"/>
      <c r="C1014" s="415"/>
      <c r="D1014" s="210"/>
      <c r="E1014" s="415"/>
      <c r="F1014" s="210"/>
      <c r="G1014" s="415"/>
      <c r="H1014" s="210"/>
      <c r="I1014" s="423"/>
      <c r="J1014" s="156"/>
      <c r="K1014" s="423"/>
      <c r="L1014" s="156"/>
      <c r="M1014" s="415"/>
      <c r="N1014" s="210"/>
      <c r="O1014" s="415"/>
      <c r="P1014" s="210"/>
      <c r="Q1014" s="452"/>
      <c r="R1014" s="452"/>
      <c r="S1014" s="415"/>
      <c r="T1014" s="210"/>
      <c r="U1014" s="415"/>
      <c r="V1014" s="210"/>
      <c r="W1014" s="415"/>
      <c r="X1014" s="210"/>
    </row>
    <row r="1015">
      <c r="A1015" s="415"/>
      <c r="B1015" s="210"/>
      <c r="C1015" s="415"/>
      <c r="D1015" s="210"/>
      <c r="E1015" s="415"/>
      <c r="F1015" s="210"/>
      <c r="G1015" s="415"/>
      <c r="H1015" s="210"/>
      <c r="I1015" s="423"/>
      <c r="J1015" s="156"/>
      <c r="K1015" s="423"/>
      <c r="L1015" s="156"/>
      <c r="M1015" s="415"/>
      <c r="N1015" s="210"/>
      <c r="O1015" s="415"/>
      <c r="P1015" s="210"/>
      <c r="Q1015" s="452"/>
      <c r="R1015" s="452"/>
      <c r="S1015" s="415"/>
      <c r="T1015" s="210"/>
      <c r="U1015" s="415"/>
      <c r="V1015" s="210"/>
      <c r="W1015" s="415"/>
      <c r="X1015" s="210"/>
    </row>
    <row r="1016">
      <c r="A1016" s="415"/>
      <c r="B1016" s="210"/>
      <c r="C1016" s="415"/>
      <c r="D1016" s="210"/>
      <c r="E1016" s="415"/>
      <c r="F1016" s="210"/>
      <c r="G1016" s="415"/>
      <c r="H1016" s="210"/>
      <c r="I1016" s="423"/>
      <c r="J1016" s="156"/>
      <c r="K1016" s="423"/>
      <c r="L1016" s="156"/>
      <c r="M1016" s="415"/>
      <c r="N1016" s="210"/>
      <c r="O1016" s="415"/>
      <c r="P1016" s="210"/>
      <c r="Q1016" s="415"/>
      <c r="R1016" s="210"/>
      <c r="S1016" s="415"/>
      <c r="T1016" s="210"/>
      <c r="U1016" s="415"/>
      <c r="V1016" s="210"/>
      <c r="W1016" s="415"/>
      <c r="X1016" s="210"/>
    </row>
    <row r="1017">
      <c r="A1017" s="415"/>
      <c r="B1017" s="210"/>
      <c r="C1017" s="415"/>
      <c r="D1017" s="210"/>
      <c r="E1017" s="415"/>
      <c r="F1017" s="210"/>
      <c r="G1017" s="415"/>
      <c r="H1017" s="210"/>
      <c r="I1017" s="423"/>
      <c r="J1017" s="156"/>
      <c r="K1017" s="423"/>
      <c r="L1017" s="156"/>
      <c r="M1017" s="415"/>
      <c r="N1017" s="210"/>
      <c r="O1017" s="415"/>
      <c r="P1017" s="210"/>
      <c r="Q1017" s="415"/>
      <c r="R1017" s="210"/>
      <c r="U1017" s="453"/>
      <c r="W1017" s="453"/>
    </row>
  </sheetData>
  <mergeCells count="72">
    <mergeCell ref="O37:P37"/>
    <mergeCell ref="Q37:R37"/>
    <mergeCell ref="S37:T37"/>
    <mergeCell ref="U37:V37"/>
    <mergeCell ref="W37:X37"/>
    <mergeCell ref="A37:B37"/>
    <mergeCell ref="C37:D37"/>
    <mergeCell ref="E37:F37"/>
    <mergeCell ref="G37:H37"/>
    <mergeCell ref="I37:J37"/>
    <mergeCell ref="K37:L37"/>
    <mergeCell ref="M37:N37"/>
    <mergeCell ref="O61:P61"/>
    <mergeCell ref="Q61:R61"/>
    <mergeCell ref="S61:T61"/>
    <mergeCell ref="U61:V61"/>
    <mergeCell ref="W61:X61"/>
    <mergeCell ref="A61:B61"/>
    <mergeCell ref="C61:D61"/>
    <mergeCell ref="E61:F61"/>
    <mergeCell ref="G61:H61"/>
    <mergeCell ref="I61:J61"/>
    <mergeCell ref="K61:L61"/>
    <mergeCell ref="M61:N61"/>
    <mergeCell ref="O2:P2"/>
    <mergeCell ref="Q2:R2"/>
    <mergeCell ref="S2:T2"/>
    <mergeCell ref="U2:V2"/>
    <mergeCell ref="W2:X2"/>
    <mergeCell ref="A2:B2"/>
    <mergeCell ref="C2:D2"/>
    <mergeCell ref="E2:F2"/>
    <mergeCell ref="G2:H2"/>
    <mergeCell ref="I2:J2"/>
    <mergeCell ref="K2:L2"/>
    <mergeCell ref="M2:N2"/>
    <mergeCell ref="O14:P14"/>
    <mergeCell ref="Q14:R14"/>
    <mergeCell ref="S14:T14"/>
    <mergeCell ref="U14:V14"/>
    <mergeCell ref="W14:X14"/>
    <mergeCell ref="A14:B14"/>
    <mergeCell ref="C14:D14"/>
    <mergeCell ref="E14:F14"/>
    <mergeCell ref="G14:H14"/>
    <mergeCell ref="I14:J14"/>
    <mergeCell ref="K14:L14"/>
    <mergeCell ref="M14:N14"/>
    <mergeCell ref="O24:P24"/>
    <mergeCell ref="Q24:R24"/>
    <mergeCell ref="S24:T24"/>
    <mergeCell ref="U24:V24"/>
    <mergeCell ref="W24:X24"/>
    <mergeCell ref="A24:B24"/>
    <mergeCell ref="C24:D24"/>
    <mergeCell ref="E24:F24"/>
    <mergeCell ref="G24:H24"/>
    <mergeCell ref="I24:J24"/>
    <mergeCell ref="K24:L24"/>
    <mergeCell ref="M24:N24"/>
    <mergeCell ref="O66:P66"/>
    <mergeCell ref="Q66:R66"/>
    <mergeCell ref="S66:T66"/>
    <mergeCell ref="U66:V66"/>
    <mergeCell ref="W66:X66"/>
    <mergeCell ref="A66:B66"/>
    <mergeCell ref="C66:D66"/>
    <mergeCell ref="E66:F66"/>
    <mergeCell ref="G66:H66"/>
    <mergeCell ref="I66:J66"/>
    <mergeCell ref="K66:L66"/>
    <mergeCell ref="M66:N66"/>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75"/>
    <col customWidth="1" min="6" max="6" width="31.75"/>
    <col customWidth="1" min="11" max="11" width="33.5"/>
    <col customWidth="1" min="13" max="13" width="15.63"/>
    <col customWidth="1" min="14" max="14" width="15.13"/>
    <col customWidth="1" min="15" max="15" width="14.13"/>
    <col customWidth="1" min="16" max="16" width="32.0"/>
    <col customWidth="1" min="18" max="20" width="13.0"/>
    <col customWidth="1" min="21" max="21" width="32.0"/>
    <col customWidth="1" min="23" max="25" width="13.0"/>
    <col customWidth="1" min="26" max="26" width="32.0"/>
    <col customWidth="1" min="28" max="30" width="13.0"/>
    <col customWidth="1" min="31" max="31" width="32.0"/>
    <col customWidth="1" min="33" max="35" width="13.0"/>
    <col customWidth="1" min="36" max="36" width="32.0"/>
    <col customWidth="1" min="38" max="40" width="13.0"/>
    <col customWidth="1" min="41" max="41" width="31.75"/>
    <col customWidth="1" min="43" max="45" width="13.0"/>
    <col customWidth="1" min="46" max="46" width="32.75"/>
    <col customWidth="1" min="47" max="50" width="13.0"/>
    <col customWidth="1" min="51" max="51" width="31.75"/>
    <col customWidth="1" min="56" max="60" width="13.0"/>
  </cols>
  <sheetData>
    <row r="1" ht="75.0" customHeight="1">
      <c r="A1" s="213" t="s">
        <v>10115</v>
      </c>
      <c r="B1" s="454" t="s">
        <v>622</v>
      </c>
      <c r="C1" s="455" t="s">
        <v>10116</v>
      </c>
      <c r="F1" s="213" t="s">
        <v>10117</v>
      </c>
      <c r="G1" s="454" t="s">
        <v>622</v>
      </c>
      <c r="H1" s="456" t="s">
        <v>10118</v>
      </c>
      <c r="K1" s="213" t="s">
        <v>10119</v>
      </c>
      <c r="L1" s="454" t="s">
        <v>622</v>
      </c>
      <c r="M1" s="457" t="s">
        <v>10120</v>
      </c>
      <c r="P1" s="213" t="str">
        <f>IFERROR(__xludf.DUMMYFUNCTION("GOOGLETRANSLATE(A1,""zh-tw"",""zh"")"),"吃饱效果(夜袭时间延长)")</f>
        <v>吃饱效果(夜袭时间延长)</v>
      </c>
      <c r="Q1" s="454" t="str">
        <f>IFERROR(__xludf.DUMMYFUNCTION("GOOGLETRANSLATE(B1,""zh-tw"",""zh"")"),"A")</f>
        <v>A</v>
      </c>
      <c r="R1" s="156" t="str">
        <f>IFERROR(__xludf.DUMMYFUNCTION("GOOGLETRANSLATE(C1,""zh-tw"",""zh"")"),"食材的材料举例:
食材只是权重分配，有一定的机率性、共通性，因此不见得每次都能成功。
比如胡萝卜这个食材，它同时持有Carrot,Vegetable,Red三个标签。
并且同一组食材也有可能产生出不同的料理。
每道料理都可以加辣椒，所以有机率多产生辣的效果。另外每多加一个辣椒都会增加被辣到的机率。")</f>
        <v>食材的材料举例:
食材只是权重分配，有一定的机率性、共通性，因此不见得每次都能成功。
比如胡萝卜这个食材，它同时持有Carrot,Vegetable,Red三个标签。
并且同一组食材也有可能产生出不同的料理。
每道料理都可以加辣椒，所以有机率多产生辣的效果。另外每多加一个辣椒都会增加被辣到的机率。</v>
      </c>
      <c r="U1" s="213" t="str">
        <f>IFERROR(__xludf.DUMMYFUNCTION("GOOGLETRANSLATE(A1,""zh-tw"",""es-MX"")"),"El efecto de estar bien alimentado (prolonga la duración de las incursiones nocturnas)")</f>
        <v>El efecto de estar bien alimentado (prolonga la duración de las incursiones nocturnas)</v>
      </c>
      <c r="V1" s="454" t="s">
        <v>622</v>
      </c>
      <c r="W1" s="458" t="str">
        <f>IFERROR(__xludf.DUMMYFUNCTION("GOOGLETRANSLATE(C1,""zh-tw"",""es-MX"")"),"Ejemplos de ingredientes: Los ingredientes solo se ponderan y tienen cierto grado de probabilidad y frecuencia, por lo que el éxito no está garantizado siempre.
Por ejemplo, el ingrediente zanahoria contiene simultáneamente las etiquetas Zanahoria, Verdu"&amp;"ra y Rojo.
Además, el mismo conjunto de ingredientes puede dar lugar a platos diferentes.
A cada plato se le pueden añadir chiles, por lo que existe la posibilidad de que resulte más picante. Asimismo, cada chile adicional aumenta la probabilidad de que"&amp;" el plato sea picante.")</f>
        <v>Ejemplos de ingredientes: Los ingredientes solo se ponderan y tienen cierto grado de probabilidad y frecuencia, por lo que el éxito no está garantizado siempre.
Por ejemplo, el ingrediente zanahoria contiene simultáneamente las etiquetas Zanahoria, Verdura y Rojo.
Además, el mismo conjunto de ingredientes puede dar lugar a platos diferentes.
A cada plato se le pueden añadir chiles, por lo que existe la posibilidad de que resulte más picante. Asimismo, cada chile adicional aumenta la probabilidad de que el plato sea picante.</v>
      </c>
      <c r="Z1" s="213" t="str">
        <f>IFERROR(__xludf.DUMMYFUNCTION("GOOGLETRANSLATE(A1,""zh-tw"",""KO"")"),"영양 상태가 좋으면 야간 습격 지속 시간이 길어지는 효과가 있습니다.")</f>
        <v>영양 상태가 좋으면 야간 습격 지속 시간이 길어지는 효과가 있습니다.</v>
      </c>
      <c r="AA1" s="454" t="s">
        <v>622</v>
      </c>
      <c r="AB1" s="458" t="str">
        <f>IFERROR(__xludf.DUMMYFUNCTION("GOOGLETRANSLATE(C1,""zh-tw"",""ko"")"),"재료 예시: 재료는 가중치만 부여되며 특정 확률과 공통성을 가지고 있으므로 매번 성공이 보장되는 것은 아닙니다.
예를 들어, 당근이라는 재료는 당근, 채소, 빨간색이라는 태그를 동시에 가질 수 있습니다.
또한, 같은 재료 조합이라도 서로 다른 요리가 만들어질 수 있습니다.
각 요리에는 고추를 추가할 수 있으며, 고추를 추가할수록 더 매운맛이 날 확률이 높아집니다.")</f>
        <v>재료 예시: 재료는 가중치만 부여되며 특정 확률과 공통성을 가지고 있으므로 매번 성공이 보장되는 것은 아닙니다.
예를 들어, 당근이라는 재료는 당근, 채소, 빨간색이라는 태그를 동시에 가질 수 있습니다.
또한, 같은 재료 조합이라도 서로 다른 요리가 만들어질 수 있습니다.
각 요리에는 고추를 추가할 수 있으며, 고추를 추가할수록 더 매운맛이 날 확률이 높아집니다.</v>
      </c>
      <c r="AE1" s="213" t="s">
        <v>10121</v>
      </c>
      <c r="AF1" s="454" t="s">
        <v>10122</v>
      </c>
      <c r="AG1" s="459" t="s">
        <v>10123</v>
      </c>
      <c r="AJ1" s="460" t="s">
        <v>10124</v>
      </c>
      <c r="AK1" s="454" t="s">
        <v>622</v>
      </c>
      <c r="AL1" s="455" t="s">
        <v>10125</v>
      </c>
      <c r="AO1" s="461" t="s">
        <v>10126</v>
      </c>
      <c r="AP1" s="462" t="s">
        <v>622</v>
      </c>
      <c r="AQ1" s="463" t="s">
        <v>10127</v>
      </c>
      <c r="AT1" s="213" t="s">
        <v>10128</v>
      </c>
      <c r="AU1" s="454" t="s">
        <v>622</v>
      </c>
      <c r="AV1" s="458" t="s">
        <v>10129</v>
      </c>
      <c r="AY1" s="213"/>
      <c r="AZ1" s="454"/>
      <c r="BA1" s="455"/>
      <c r="BD1" s="458"/>
      <c r="BE1" s="458"/>
      <c r="BF1" s="458"/>
      <c r="BG1" s="458"/>
      <c r="BH1" s="458"/>
    </row>
    <row r="2" ht="75.0" customHeight="1">
      <c r="A2" s="213" t="s">
        <v>10130</v>
      </c>
      <c r="B2" s="454" t="s">
        <v>1480</v>
      </c>
      <c r="F2" s="213" t="s">
        <v>10131</v>
      </c>
      <c r="G2" s="454" t="s">
        <v>1480</v>
      </c>
      <c r="K2" s="213" t="s">
        <v>10132</v>
      </c>
      <c r="L2" s="454" t="s">
        <v>1480</v>
      </c>
      <c r="P2" s="213" t="str">
        <f>IFERROR(__xludf.DUMMYFUNCTION("GOOGLETRANSLATE(A2,""zh-tw"",""zh"")"),"妹妹辣到哭了(机率触发)")</f>
        <v>妹妹辣到哭了(机率触发)</v>
      </c>
      <c r="Q2" s="454" t="str">
        <f>IFERROR(__xludf.DUMMYFUNCTION("GOOGLETRANSLATE(B2,""zh-tw"",""zh"")"),"B")</f>
        <v>B</v>
      </c>
      <c r="U2" s="213" t="str">
        <f>IFERROR(__xludf.DUMMYFUNCTION("GOOGLETRANSLATE(A2,""zh-tw"",""es-MX"")"),"Mi hermana lloró porque la comida estaba muy picante (un desencadenante aleatorio).")</f>
        <v>Mi hermana lloró porque la comida estaba muy picante (un desencadenante aleatorio).</v>
      </c>
      <c r="V2" s="454" t="s">
        <v>1480</v>
      </c>
      <c r="Z2" s="213" t="str">
        <f>IFERROR(__xludf.DUMMYFUNCTION("GOOGLETRANSLATE(A2,""zh-tw"",""KO"")"),"내 여동생은 음식이 너무 매워서 울었어요 (우연에 의한 유발).")</f>
        <v>내 여동생은 음식이 너무 매워서 울었어요 (우연에 의한 유발).</v>
      </c>
      <c r="AA2" s="454" t="s">
        <v>1480</v>
      </c>
      <c r="AE2" s="213" t="s">
        <v>10133</v>
      </c>
      <c r="AF2" s="454" t="s">
        <v>10134</v>
      </c>
      <c r="AJ2" s="460" t="s">
        <v>10135</v>
      </c>
      <c r="AK2" s="454" t="s">
        <v>1480</v>
      </c>
      <c r="AO2" s="464" t="s">
        <v>10136</v>
      </c>
      <c r="AP2" s="465" t="s">
        <v>1480</v>
      </c>
      <c r="AT2" s="213" t="s">
        <v>10137</v>
      </c>
      <c r="AU2" s="454" t="s">
        <v>1480</v>
      </c>
      <c r="AY2" s="213"/>
      <c r="AZ2" s="454"/>
      <c r="BD2" s="458"/>
      <c r="BE2" s="458"/>
      <c r="BF2" s="458"/>
      <c r="BG2" s="458"/>
      <c r="BH2" s="458"/>
    </row>
    <row r="3">
      <c r="A3" s="466" t="s">
        <v>10138</v>
      </c>
      <c r="B3" s="467" t="s">
        <v>9141</v>
      </c>
      <c r="F3" s="466" t="str">
        <f>IFERROR(__xludf.DUMMYFUNCTION("GOOGLETRANSLATE(A3,""zh-tw"",""ja"")"),"料理名")</f>
        <v>料理名</v>
      </c>
      <c r="G3" s="467" t="str">
        <f>IFERROR(__xludf.DUMMYFUNCTION("GOOGLETRANSLATE(B3,""zh-tw"",""ja"")"),"効果")</f>
        <v>効果</v>
      </c>
      <c r="K3" s="466" t="s">
        <v>10139</v>
      </c>
      <c r="L3" s="467" t="s">
        <v>10140</v>
      </c>
      <c r="P3" s="466" t="str">
        <f>IFERROR(__xludf.DUMMYFUNCTION("GOOGLETRANSLATE(A3,""zh-tw"",""zh"")"),"料理名")</f>
        <v>料理名</v>
      </c>
      <c r="Q3" s="467" t="str">
        <f>IFERROR(__xludf.DUMMYFUNCTION("GOOGLETRANSLATE(B3,""zh-tw"",""zh"")"),"效果")</f>
        <v>效果</v>
      </c>
      <c r="U3" s="466" t="str">
        <f>IFERROR(__xludf.DUMMYFUNCTION("GOOGLETRANSLATE(A3,""zh-tw"",""es-MX"")"),"Nombre del plato")</f>
        <v>Nombre del plato</v>
      </c>
      <c r="V3" s="468" t="str">
        <f>IFERROR(__xludf.DUMMYFUNCTION("GOOGLETRANSLATE(B3,""zh-tw"",""es-MX"")"),"Efecto")</f>
        <v>Efecto</v>
      </c>
      <c r="Z3" s="466" t="str">
        <f>IFERROR(__xludf.DUMMYFUNCTION("GOOGLETRANSLATE(A3,""zh-tw"",""KO"")"),"요리 이름")</f>
        <v>요리 이름</v>
      </c>
      <c r="AA3" s="469" t="str">
        <f>IFERROR(__xludf.DUMMYFUNCTION("GOOGLETRANSLATE(B3,""zh-tw"",""KO"")"),"효과")</f>
        <v>효과</v>
      </c>
      <c r="AE3" s="466" t="s">
        <v>10141</v>
      </c>
      <c r="AF3" s="468" t="s">
        <v>9144</v>
      </c>
      <c r="AJ3" s="470" t="s">
        <v>10142</v>
      </c>
      <c r="AK3" s="469" t="s">
        <v>10143</v>
      </c>
      <c r="AO3" s="471" t="s">
        <v>10144</v>
      </c>
      <c r="AP3" s="472" t="s">
        <v>7189</v>
      </c>
      <c r="AT3" s="466" t="s">
        <v>10145</v>
      </c>
      <c r="AU3" s="467" t="s">
        <v>9150</v>
      </c>
      <c r="AY3" s="466"/>
      <c r="AZ3" s="467"/>
      <c r="BD3" s="458"/>
      <c r="BE3" s="458"/>
      <c r="BF3" s="458"/>
      <c r="BG3" s="458"/>
      <c r="BH3" s="458"/>
    </row>
    <row r="4">
      <c r="A4" s="161" t="s">
        <v>10146</v>
      </c>
      <c r="B4" s="473"/>
      <c r="C4" s="474" t="s">
        <v>10147</v>
      </c>
      <c r="D4" s="156"/>
      <c r="E4" s="156"/>
      <c r="F4" s="161" t="s">
        <v>10148</v>
      </c>
      <c r="G4" s="473"/>
      <c r="H4" s="474" t="s">
        <v>10149</v>
      </c>
      <c r="I4" s="156"/>
      <c r="J4" s="156"/>
      <c r="K4" s="256" t="s">
        <v>10150</v>
      </c>
      <c r="L4" s="473"/>
      <c r="M4" s="177" t="s">
        <v>10151</v>
      </c>
      <c r="N4" s="210"/>
      <c r="O4" s="210"/>
      <c r="P4" s="256" t="str">
        <f>IFERROR(__xludf.DUMMYFUNCTION("GOOGLETRANSLATE(A4,""zh-tw"",""zh"")"),"史莱姆果冻")</f>
        <v>史莱姆果冻</v>
      </c>
      <c r="Q4" s="454"/>
      <c r="R4" s="474" t="str">
        <f>IFERROR(__xludf.DUMMYFUNCTION("GOOGLETRANSLATE(C4,""zh-tw"",""zh"")"),"史莱姆黏液")</f>
        <v>史莱姆黏液</v>
      </c>
      <c r="S4" s="474"/>
      <c r="T4" s="474"/>
      <c r="U4" s="161" t="str">
        <f>IFERROR(__xludf.DUMMYFUNCTION("GOOGLETRANSLATE(A4,""zh-tw"",""es-MX"")"),"Gelatina viscosa")</f>
        <v>Gelatina viscosa</v>
      </c>
      <c r="V4" s="468"/>
      <c r="W4" s="474" t="str">
        <f>IFERROR(__xludf.DUMMYFUNCTION("GOOGLETRANSLATE(C4,""zh-tw"",""es-MX"")"),"limo")</f>
        <v>limo</v>
      </c>
      <c r="X4" s="474"/>
      <c r="Y4" s="474"/>
      <c r="Z4" s="475" t="str">
        <f>IFERROR(__xludf.DUMMYFUNCTION("GOOGLETRANSLATE(A4,""zh-tw"",""KO"")"),"슬라임 젤리")</f>
        <v>슬라임 젤리</v>
      </c>
      <c r="AA4" s="469"/>
      <c r="AB4" s="177" t="s">
        <v>10152</v>
      </c>
      <c r="AC4" s="156"/>
      <c r="AD4" s="156"/>
      <c r="AE4" s="475" t="s">
        <v>10153</v>
      </c>
      <c r="AF4" s="235"/>
      <c r="AG4" s="474" t="s">
        <v>10154</v>
      </c>
      <c r="AH4" s="476"/>
      <c r="AI4" s="476"/>
      <c r="AJ4" s="477" t="s">
        <v>10155</v>
      </c>
      <c r="AK4" s="469"/>
      <c r="AL4" s="177" t="s">
        <v>10156</v>
      </c>
      <c r="AM4" s="210"/>
      <c r="AN4" s="210"/>
      <c r="AO4" s="219" t="s">
        <v>10157</v>
      </c>
      <c r="AP4" s="478"/>
      <c r="AQ4" s="221" t="s">
        <v>10158</v>
      </c>
      <c r="AR4" s="463"/>
      <c r="AS4" s="463"/>
      <c r="AT4" s="161" t="s">
        <v>10150</v>
      </c>
      <c r="AU4" s="479"/>
      <c r="AV4" s="210" t="s">
        <v>10159</v>
      </c>
      <c r="AW4" s="83"/>
      <c r="AX4" s="83"/>
      <c r="AY4" s="161"/>
      <c r="AZ4" s="473"/>
      <c r="BA4" s="474"/>
      <c r="BB4" s="156"/>
      <c r="BC4" s="156"/>
      <c r="BD4" s="83"/>
      <c r="BE4" s="83"/>
      <c r="BF4" s="83"/>
      <c r="BG4" s="83"/>
      <c r="BH4" s="83"/>
    </row>
    <row r="5">
      <c r="A5" s="161" t="s">
        <v>10160</v>
      </c>
      <c r="B5" s="473"/>
      <c r="C5" s="474" t="s">
        <v>10161</v>
      </c>
      <c r="D5" s="474" t="s">
        <v>10162</v>
      </c>
      <c r="E5" s="156"/>
      <c r="F5" s="161" t="s">
        <v>10163</v>
      </c>
      <c r="G5" s="473"/>
      <c r="H5" s="474" t="s">
        <v>10164</v>
      </c>
      <c r="I5" s="474" t="s">
        <v>10165</v>
      </c>
      <c r="J5" s="156"/>
      <c r="K5" s="248" t="s">
        <v>10166</v>
      </c>
      <c r="L5" s="473"/>
      <c r="M5" s="177" t="s">
        <v>10167</v>
      </c>
      <c r="N5" s="177" t="s">
        <v>10168</v>
      </c>
      <c r="O5" s="210"/>
      <c r="P5" s="256" t="str">
        <f>IFERROR(__xludf.DUMMYFUNCTION("GOOGLETRANSLATE(A5,""zh-tw"",""zh"")"),"咖喱饭")</f>
        <v>咖喱饭</v>
      </c>
      <c r="Q5" s="454"/>
      <c r="R5" s="474" t="str">
        <f>IFERROR(__xludf.DUMMYFUNCTION("GOOGLETRANSLATE(C5,""zh-tw"",""zh"")"),"白米饭")</f>
        <v>白米饭</v>
      </c>
      <c r="S5" s="474" t="str">
        <f>IFERROR(__xludf.DUMMYFUNCTION("GOOGLETRANSLATE(D5,""zh-tw"",""zh"")"),"咖喱块")</f>
        <v>咖喱块</v>
      </c>
      <c r="T5" s="474"/>
      <c r="U5" s="161" t="str">
        <f>IFERROR(__xludf.DUMMYFUNCTION("GOOGLETRANSLATE(A5,""zh-tw"",""es-MX"")"),"Arroz al curry")</f>
        <v>Arroz al curry</v>
      </c>
      <c r="V5" s="468"/>
      <c r="W5" s="474" t="str">
        <f>IFERROR(__xludf.DUMMYFUNCTION("GOOGLETRANSLATE(C5,""zh-tw"",""es-MX"")"),"arroz blanco")</f>
        <v>arroz blanco</v>
      </c>
      <c r="X5" s="474" t="str">
        <f>IFERROR(__xludf.DUMMYFUNCTION("GOOGLETRANSLATE(D5,""zh-tw"",""es-MX"")"),"cubos de curry")</f>
        <v>cubos de curry</v>
      </c>
      <c r="Y5" s="474"/>
      <c r="Z5" s="475" t="str">
        <f>IFERROR(__xludf.DUMMYFUNCTION("GOOGLETRANSLATE(A5,""zh-tw"",""KO"")"),"카레라이스")</f>
        <v>카레라이스</v>
      </c>
      <c r="AA5" s="469"/>
      <c r="AB5" s="210" t="str">
        <f>IFERROR(__xludf.DUMMYFUNCTION("GOOGLETRANSLATE(C5,""zh-tw"",""KO"")"),"흰쌀")</f>
        <v>흰쌀</v>
      </c>
      <c r="AC5" s="177" t="s">
        <v>10169</v>
      </c>
      <c r="AD5" s="210"/>
      <c r="AE5" s="475" t="s">
        <v>10170</v>
      </c>
      <c r="AF5" s="235"/>
      <c r="AG5" s="474" t="s">
        <v>10171</v>
      </c>
      <c r="AH5" s="474" t="s">
        <v>10172</v>
      </c>
      <c r="AI5" s="476"/>
      <c r="AJ5" s="477" t="s">
        <v>10173</v>
      </c>
      <c r="AK5" s="469"/>
      <c r="AL5" s="177" t="s">
        <v>10174</v>
      </c>
      <c r="AM5" s="177" t="s">
        <v>10175</v>
      </c>
      <c r="AN5" s="210"/>
      <c r="AO5" s="480" t="s">
        <v>10176</v>
      </c>
      <c r="AP5" s="478"/>
      <c r="AQ5" s="221" t="s">
        <v>10177</v>
      </c>
      <c r="AR5" s="221" t="s">
        <v>10178</v>
      </c>
      <c r="AS5" s="463"/>
      <c r="AT5" s="161" t="s">
        <v>10179</v>
      </c>
      <c r="AU5" s="479"/>
      <c r="AV5" s="210" t="s">
        <v>10180</v>
      </c>
      <c r="AW5" s="177" t="s">
        <v>10181</v>
      </c>
      <c r="AX5" s="83"/>
      <c r="AY5" s="161"/>
      <c r="AZ5" s="473"/>
      <c r="BA5" s="474"/>
      <c r="BB5" s="474"/>
      <c r="BC5" s="156"/>
      <c r="BD5" s="83"/>
      <c r="BE5" s="83"/>
      <c r="BF5" s="83"/>
      <c r="BG5" s="83"/>
      <c r="BH5" s="83"/>
    </row>
    <row r="6">
      <c r="A6" s="161" t="s">
        <v>10182</v>
      </c>
      <c r="B6" s="473"/>
      <c r="C6" s="474" t="s">
        <v>7010</v>
      </c>
      <c r="D6" s="474" t="s">
        <v>10183</v>
      </c>
      <c r="E6" s="156"/>
      <c r="F6" s="161" t="s">
        <v>10184</v>
      </c>
      <c r="G6" s="473"/>
      <c r="H6" s="474" t="s">
        <v>7011</v>
      </c>
      <c r="I6" s="474" t="s">
        <v>10185</v>
      </c>
      <c r="J6" s="156"/>
      <c r="K6" s="256" t="s">
        <v>10186</v>
      </c>
      <c r="L6" s="473"/>
      <c r="M6" s="177" t="s">
        <v>7012</v>
      </c>
      <c r="N6" s="177" t="s">
        <v>10187</v>
      </c>
      <c r="O6" s="210"/>
      <c r="P6" s="256" t="str">
        <f>IFERROR(__xludf.DUMMYFUNCTION("GOOGLETRANSLATE(A6,""zh-tw"",""zh"")"),"苹果派")</f>
        <v>苹果派</v>
      </c>
      <c r="Q6" s="454"/>
      <c r="R6" s="474" t="str">
        <f>IFERROR(__xludf.DUMMYFUNCTION("GOOGLETRANSLATE(C6,""zh-tw"",""zh"")"),"苹果")</f>
        <v>苹果</v>
      </c>
      <c r="S6" s="474" t="str">
        <f>IFERROR(__xludf.DUMMYFUNCTION("GOOGLETRANSLATE(D6,""zh-tw"",""zh"")"),"小麦粉")</f>
        <v>小麦粉</v>
      </c>
      <c r="T6" s="474"/>
      <c r="U6" s="161" t="str">
        <f>IFERROR(__xludf.DUMMYFUNCTION("GOOGLETRANSLATE(A6,""zh-tw"",""es-MX"")"),"Tarta de manzana")</f>
        <v>Tarta de manzana</v>
      </c>
      <c r="V6" s="468"/>
      <c r="W6" s="474" t="str">
        <f>IFERROR(__xludf.DUMMYFUNCTION("GOOGLETRANSLATE(C6,""zh-tw"",""es-MX"")"),"manzana")</f>
        <v>manzana</v>
      </c>
      <c r="X6" s="474" t="str">
        <f>IFERROR(__xludf.DUMMYFUNCTION("GOOGLETRANSLATE(D6,""zh-tw"",""es-MX"")"),"harina de trigo")</f>
        <v>harina de trigo</v>
      </c>
      <c r="Y6" s="474"/>
      <c r="Z6" s="475" t="str">
        <f>IFERROR(__xludf.DUMMYFUNCTION("GOOGLETRANSLATE(A6,""zh-tw"",""KO"")"),"애플파이")</f>
        <v>애플파이</v>
      </c>
      <c r="AA6" s="469"/>
      <c r="AB6" s="210" t="str">
        <f>IFERROR(__xludf.DUMMYFUNCTION("GOOGLETRANSLATE(C6,""zh-tw"",""KO"")"),"사과")</f>
        <v>사과</v>
      </c>
      <c r="AC6" s="210" t="str">
        <f>IFERROR(__xludf.DUMMYFUNCTION("GOOGLETRANSLATE(D6,""zh-tw"",""KO"")"),"밀가루")</f>
        <v>밀가루</v>
      </c>
      <c r="AD6" s="210"/>
      <c r="AE6" s="475" t="s">
        <v>10188</v>
      </c>
      <c r="AF6" s="235"/>
      <c r="AG6" s="474" t="s">
        <v>7013</v>
      </c>
      <c r="AH6" s="474" t="s">
        <v>10189</v>
      </c>
      <c r="AI6" s="476"/>
      <c r="AJ6" s="477" t="s">
        <v>10190</v>
      </c>
      <c r="AK6" s="469"/>
      <c r="AL6" s="177" t="s">
        <v>7014</v>
      </c>
      <c r="AM6" s="177" t="s">
        <v>10191</v>
      </c>
      <c r="AN6" s="210"/>
      <c r="AO6" s="219" t="s">
        <v>10192</v>
      </c>
      <c r="AP6" s="478"/>
      <c r="AQ6" s="221" t="s">
        <v>7015</v>
      </c>
      <c r="AR6" s="221" t="s">
        <v>10193</v>
      </c>
      <c r="AS6" s="463"/>
      <c r="AT6" s="161" t="s">
        <v>10194</v>
      </c>
      <c r="AU6" s="479"/>
      <c r="AV6" s="210" t="s">
        <v>7016</v>
      </c>
      <c r="AW6" s="210" t="s">
        <v>10195</v>
      </c>
      <c r="AX6" s="83"/>
      <c r="AY6" s="161"/>
      <c r="AZ6" s="473"/>
      <c r="BA6" s="474"/>
      <c r="BB6" s="474"/>
      <c r="BC6" s="156"/>
      <c r="BD6" s="83"/>
      <c r="BE6" s="83"/>
      <c r="BF6" s="83"/>
      <c r="BG6" s="83"/>
      <c r="BH6" s="83"/>
    </row>
    <row r="7">
      <c r="A7" s="161" t="s">
        <v>10196</v>
      </c>
      <c r="B7" s="473"/>
      <c r="C7" s="474" t="s">
        <v>7010</v>
      </c>
      <c r="D7" s="156"/>
      <c r="E7" s="156"/>
      <c r="F7" s="161" t="s">
        <v>10197</v>
      </c>
      <c r="G7" s="473"/>
      <c r="H7" s="474" t="s">
        <v>7011</v>
      </c>
      <c r="I7" s="156"/>
      <c r="J7" s="156"/>
      <c r="K7" s="256" t="s">
        <v>10198</v>
      </c>
      <c r="L7" s="473"/>
      <c r="M7" s="177" t="s">
        <v>7012</v>
      </c>
      <c r="N7" s="210"/>
      <c r="O7" s="210"/>
      <c r="P7" s="256" t="str">
        <f>IFERROR(__xludf.DUMMYFUNCTION("GOOGLETRANSLATE(A7,""zh-tw"",""zh"")"),"烤苹果")</f>
        <v>烤苹果</v>
      </c>
      <c r="Q7" s="454"/>
      <c r="R7" s="474" t="str">
        <f>IFERROR(__xludf.DUMMYFUNCTION("GOOGLETRANSLATE(C7,""zh-tw"",""zh"")"),"苹果")</f>
        <v>苹果</v>
      </c>
      <c r="S7" s="474"/>
      <c r="T7" s="474"/>
      <c r="U7" s="161" t="str">
        <f>IFERROR(__xludf.DUMMYFUNCTION("GOOGLETRANSLATE(A7,""zh-tw"",""es-MX"")"),"Manzanas asadas")</f>
        <v>Manzanas asadas</v>
      </c>
      <c r="V7" s="468"/>
      <c r="W7" s="474" t="str">
        <f>IFERROR(__xludf.DUMMYFUNCTION("GOOGLETRANSLATE(C7,""zh-tw"",""es-MX"")"),"manzana")</f>
        <v>manzana</v>
      </c>
      <c r="X7" s="474"/>
      <c r="Y7" s="474"/>
      <c r="Z7" s="475" t="str">
        <f>IFERROR(__xludf.DUMMYFUNCTION("GOOGLETRANSLATE(A7,""zh-tw"",""KO"")"),"구운 사과")</f>
        <v>구운 사과</v>
      </c>
      <c r="AA7" s="469"/>
      <c r="AB7" s="210" t="str">
        <f>IFERROR(__xludf.DUMMYFUNCTION("GOOGLETRANSLATE(C7,""zh-tw"",""KO"")"),"사과")</f>
        <v>사과</v>
      </c>
      <c r="AC7" s="210"/>
      <c r="AD7" s="210"/>
      <c r="AE7" s="475" t="s">
        <v>10199</v>
      </c>
      <c r="AF7" s="235"/>
      <c r="AG7" s="474" t="s">
        <v>7013</v>
      </c>
      <c r="AH7" s="476"/>
      <c r="AI7" s="476"/>
      <c r="AJ7" s="477" t="s">
        <v>10200</v>
      </c>
      <c r="AK7" s="469"/>
      <c r="AL7" s="177" t="s">
        <v>7014</v>
      </c>
      <c r="AM7" s="210"/>
      <c r="AN7" s="210"/>
      <c r="AO7" s="219" t="s">
        <v>10201</v>
      </c>
      <c r="AP7" s="478"/>
      <c r="AQ7" s="221" t="s">
        <v>7015</v>
      </c>
      <c r="AR7" s="463"/>
      <c r="AS7" s="463"/>
      <c r="AT7" s="161" t="s">
        <v>10202</v>
      </c>
      <c r="AU7" s="479"/>
      <c r="AV7" s="210" t="s">
        <v>7016</v>
      </c>
      <c r="AW7" s="83"/>
      <c r="AX7" s="83"/>
      <c r="AY7" s="161"/>
      <c r="AZ7" s="473"/>
      <c r="BA7" s="474"/>
      <c r="BB7" s="156"/>
      <c r="BC7" s="156"/>
      <c r="BD7" s="83"/>
      <c r="BE7" s="83"/>
      <c r="BF7" s="83"/>
      <c r="BG7" s="83"/>
      <c r="BH7" s="83"/>
    </row>
    <row r="8">
      <c r="A8" s="161" t="s">
        <v>10203</v>
      </c>
      <c r="B8" s="473"/>
      <c r="C8" s="474" t="s">
        <v>10204</v>
      </c>
      <c r="F8" s="161" t="s">
        <v>10205</v>
      </c>
      <c r="G8" s="473"/>
      <c r="H8" s="474" t="s">
        <v>1100</v>
      </c>
      <c r="I8" s="156"/>
      <c r="J8" s="156"/>
      <c r="K8" s="256" t="s">
        <v>10206</v>
      </c>
      <c r="L8" s="473"/>
      <c r="M8" s="177" t="s">
        <v>10207</v>
      </c>
      <c r="N8" s="210"/>
      <c r="O8" s="210"/>
      <c r="P8" s="256" t="str">
        <f>IFERROR(__xludf.DUMMYFUNCTION("GOOGLETRANSLATE(A8,""zh-tw"",""zh"")"),"炒贝类")</f>
        <v>炒贝类</v>
      </c>
      <c r="Q8" s="454"/>
      <c r="R8" s="474" t="str">
        <f>IFERROR(__xludf.DUMMYFUNCTION("GOOGLETRANSLATE(C8,""zh-tw"",""zh"")"),"未实装(之后河边炸鱼可以炸出贝壳)")</f>
        <v>未实装(之后河边炸鱼可以炸出贝壳)</v>
      </c>
      <c r="U8" s="161" t="str">
        <f>IFERROR(__xludf.DUMMYFUNCTION("GOOGLETRANSLATE(A8,""zh-tw"",""es-MX"")"),"Mariscos salteados")</f>
        <v>Mariscos salteados</v>
      </c>
      <c r="V8" s="468"/>
      <c r="W8" s="474" t="str">
        <f>IFERROR(__xludf.DUMMYFUNCTION("GOOGLETRANSLATE(C8,""zh-tw"",""es-MX"")"),"Aún no implementado (más adelante, podrás disparar a los peces en el río y obtener conchas marinas).")</f>
        <v>Aún no implementado (más adelante, podrás disparar a los peces en el río y obtener conchas marinas).</v>
      </c>
      <c r="Z8" s="477" t="s">
        <v>10208</v>
      </c>
      <c r="AA8" s="469"/>
      <c r="AB8" s="177" t="s">
        <v>1109</v>
      </c>
      <c r="AE8" s="475" t="s">
        <v>10209</v>
      </c>
      <c r="AF8" s="235"/>
      <c r="AG8" s="474" t="s">
        <v>10210</v>
      </c>
      <c r="AJ8" s="477" t="s">
        <v>10211</v>
      </c>
      <c r="AK8" s="469"/>
      <c r="AL8" s="177" t="s">
        <v>10212</v>
      </c>
      <c r="AO8" s="480" t="s">
        <v>10213</v>
      </c>
      <c r="AP8" s="478"/>
      <c r="AQ8" s="221" t="s">
        <v>1433</v>
      </c>
      <c r="AR8" s="463"/>
      <c r="AS8" s="463"/>
      <c r="AT8" s="161" t="s">
        <v>10214</v>
      </c>
      <c r="AU8" s="479"/>
      <c r="AV8" s="210" t="s">
        <v>1436</v>
      </c>
      <c r="AW8" s="83"/>
      <c r="AX8" s="83"/>
      <c r="AY8" s="161"/>
      <c r="AZ8" s="473"/>
      <c r="BA8" s="474"/>
      <c r="BD8" s="83"/>
      <c r="BE8" s="83"/>
      <c r="BF8" s="83"/>
      <c r="BG8" s="83"/>
      <c r="BH8" s="83"/>
    </row>
    <row r="9">
      <c r="A9" s="161" t="s">
        <v>10215</v>
      </c>
      <c r="B9" s="473"/>
      <c r="C9" s="474" t="s">
        <v>10216</v>
      </c>
      <c r="D9" s="156"/>
      <c r="E9" s="156"/>
      <c r="F9" s="161" t="s">
        <v>10217</v>
      </c>
      <c r="G9" s="473"/>
      <c r="H9" s="474" t="s">
        <v>10216</v>
      </c>
      <c r="I9" s="156"/>
      <c r="J9" s="156"/>
      <c r="K9" s="256" t="s">
        <v>10218</v>
      </c>
      <c r="L9" s="473"/>
      <c r="M9" s="177" t="s">
        <v>10219</v>
      </c>
      <c r="N9" s="210"/>
      <c r="O9" s="210"/>
      <c r="P9" s="256" t="str">
        <f>IFERROR(__xludf.DUMMYFUNCTION("GOOGLETRANSLATE(A9,""zh-tw"",""zh"")"),"煎鱼")</f>
        <v>煎鱼</v>
      </c>
      <c r="Q9" s="454"/>
      <c r="R9" s="474" t="str">
        <f>IFERROR(__xludf.DUMMYFUNCTION("GOOGLETRANSLATE(C9,""zh-tw"",""zh"")"),"鱼类")</f>
        <v>鱼类</v>
      </c>
      <c r="S9" s="474"/>
      <c r="T9" s="474"/>
      <c r="U9" s="161" t="str">
        <f>IFERROR(__xludf.DUMMYFUNCTION("GOOGLETRANSLATE(A9,""zh-tw"",""es-MX"")"),"Pescado frito")</f>
        <v>Pescado frito</v>
      </c>
      <c r="V9" s="468"/>
      <c r="W9" s="474" t="str">
        <f>IFERROR(__xludf.DUMMYFUNCTION("GOOGLETRANSLATE(C9,""zh-tw"",""es-MX"")"),"pez")</f>
        <v>pez</v>
      </c>
      <c r="X9" s="474"/>
      <c r="Y9" s="474"/>
      <c r="Z9" s="477" t="s">
        <v>10220</v>
      </c>
      <c r="AA9" s="469"/>
      <c r="AB9" s="210" t="str">
        <f>IFERROR(__xludf.DUMMYFUNCTION("GOOGLETRANSLATE(C9,""zh-tw"",""KO"")"),"물고기")</f>
        <v>물고기</v>
      </c>
      <c r="AC9" s="210"/>
      <c r="AD9" s="210"/>
      <c r="AE9" s="475" t="s">
        <v>10221</v>
      </c>
      <c r="AF9" s="235"/>
      <c r="AG9" s="474" t="s">
        <v>10222</v>
      </c>
      <c r="AH9" s="476"/>
      <c r="AI9" s="476"/>
      <c r="AJ9" s="477" t="s">
        <v>10223</v>
      </c>
      <c r="AK9" s="469"/>
      <c r="AL9" s="177" t="s">
        <v>10224</v>
      </c>
      <c r="AM9" s="210"/>
      <c r="AN9" s="210"/>
      <c r="AO9" s="219" t="s">
        <v>10225</v>
      </c>
      <c r="AP9" s="478"/>
      <c r="AQ9" s="221" t="s">
        <v>10226</v>
      </c>
      <c r="AR9" s="463"/>
      <c r="AS9" s="463"/>
      <c r="AT9" s="161" t="s">
        <v>10227</v>
      </c>
      <c r="AU9" s="479"/>
      <c r="AV9" s="210" t="s">
        <v>10228</v>
      </c>
      <c r="AW9" s="83"/>
      <c r="AX9" s="83"/>
      <c r="AY9" s="161"/>
      <c r="AZ9" s="473"/>
      <c r="BA9" s="474"/>
      <c r="BB9" s="156"/>
      <c r="BC9" s="156"/>
      <c r="BD9" s="83"/>
      <c r="BE9" s="83"/>
      <c r="BF9" s="83"/>
      <c r="BG9" s="83"/>
      <c r="BH9" s="83"/>
    </row>
    <row r="10">
      <c r="A10" s="161" t="s">
        <v>10229</v>
      </c>
      <c r="B10" s="473"/>
      <c r="C10" s="474" t="s">
        <v>10230</v>
      </c>
      <c r="D10" s="474" t="s">
        <v>10230</v>
      </c>
      <c r="E10" s="474" t="s">
        <v>10230</v>
      </c>
      <c r="F10" s="161" t="s">
        <v>10231</v>
      </c>
      <c r="G10" s="473"/>
      <c r="H10" s="474" t="s">
        <v>10232</v>
      </c>
      <c r="I10" s="474" t="s">
        <v>10232</v>
      </c>
      <c r="J10" s="474" t="s">
        <v>10232</v>
      </c>
      <c r="K10" s="256" t="s">
        <v>10233</v>
      </c>
      <c r="L10" s="473"/>
      <c r="M10" s="177" t="s">
        <v>10234</v>
      </c>
      <c r="N10" s="177" t="s">
        <v>10234</v>
      </c>
      <c r="O10" s="177" t="s">
        <v>10234</v>
      </c>
      <c r="P10" s="256" t="str">
        <f>IFERROR(__xludf.DUMMYFUNCTION("GOOGLETRANSLATE(A10,""zh-tw"",""zh"")"),"炒蘑菇")</f>
        <v>炒蘑菇</v>
      </c>
      <c r="Q10" s="454"/>
      <c r="R10" s="474" t="str">
        <f>IFERROR(__xludf.DUMMYFUNCTION("GOOGLETRANSLATE(C10,""zh-tw"",""zh"")"),"香菇")</f>
        <v>香菇</v>
      </c>
      <c r="S10" s="474" t="str">
        <f>IFERROR(__xludf.DUMMYFUNCTION("GOOGLETRANSLATE(D10,""zh-tw"",""zh"")"),"香菇")</f>
        <v>香菇</v>
      </c>
      <c r="T10" s="474" t="str">
        <f>IFERROR(__xludf.DUMMYFUNCTION("GOOGLETRANSLATE(E10,""zh-tw"",""zh"")"),"香菇")</f>
        <v>香菇</v>
      </c>
      <c r="U10" s="161" t="str">
        <f>IFERROR(__xludf.DUMMYFUNCTION("GOOGLETRANSLATE(A10,""zh-tw"",""es-MX"")"),"Champiñones salteados")</f>
        <v>Champiñones salteados</v>
      </c>
      <c r="V10" s="468"/>
      <c r="W10" s="474" t="str">
        <f>IFERROR(__xludf.DUMMYFUNCTION("GOOGLETRANSLATE(C10,""zh-tw"",""es-MX"")"),"champiñón")</f>
        <v>champiñón</v>
      </c>
      <c r="X10" s="474" t="str">
        <f>IFERROR(__xludf.DUMMYFUNCTION("GOOGLETRANSLATE(D10,""zh-tw"",""es-MX"")"),"champiñón")</f>
        <v>champiñón</v>
      </c>
      <c r="Y10" s="474" t="str">
        <f>IFERROR(__xludf.DUMMYFUNCTION("GOOGLETRANSLATE(E10,""zh-tw"",""es-MX"")"),"champiñón")</f>
        <v>champiñón</v>
      </c>
      <c r="Z10" s="477" t="s">
        <v>10235</v>
      </c>
      <c r="AA10" s="469"/>
      <c r="AB10" s="210" t="str">
        <f>IFERROR(__xludf.DUMMYFUNCTION("GOOGLETRANSLATE(C10,""zh-tw"",""KO"")"),"버섯")</f>
        <v>버섯</v>
      </c>
      <c r="AC10" s="210" t="str">
        <f>IFERROR(__xludf.DUMMYFUNCTION("GOOGLETRANSLATE(D10,""zh-tw"",""KO"")"),"버섯")</f>
        <v>버섯</v>
      </c>
      <c r="AD10" s="210" t="str">
        <f>IFERROR(__xludf.DUMMYFUNCTION("GOOGLETRANSLATE(E10,""zh-tw"",""KO"")"),"버섯")</f>
        <v>버섯</v>
      </c>
      <c r="AE10" s="477" t="s">
        <v>10236</v>
      </c>
      <c r="AF10" s="235"/>
      <c r="AG10" s="474" t="s">
        <v>10237</v>
      </c>
      <c r="AH10" s="474" t="s">
        <v>10237</v>
      </c>
      <c r="AI10" s="474" t="s">
        <v>10237</v>
      </c>
      <c r="AJ10" s="477" t="s">
        <v>10238</v>
      </c>
      <c r="AK10" s="469"/>
      <c r="AL10" s="177" t="s">
        <v>10239</v>
      </c>
      <c r="AM10" s="177" t="s">
        <v>10239</v>
      </c>
      <c r="AN10" s="177" t="s">
        <v>10239</v>
      </c>
      <c r="AO10" s="480" t="s">
        <v>10240</v>
      </c>
      <c r="AP10" s="478"/>
      <c r="AQ10" s="221" t="s">
        <v>10241</v>
      </c>
      <c r="AR10" s="221" t="s">
        <v>10241</v>
      </c>
      <c r="AS10" s="221" t="s">
        <v>10241</v>
      </c>
      <c r="AT10" s="161" t="s">
        <v>10242</v>
      </c>
      <c r="AU10" s="479"/>
      <c r="AV10" s="210" t="s">
        <v>10243</v>
      </c>
      <c r="AW10" s="210" t="s">
        <v>10243</v>
      </c>
      <c r="AX10" s="210" t="s">
        <v>10243</v>
      </c>
      <c r="AY10" s="161"/>
      <c r="AZ10" s="473"/>
      <c r="BA10" s="474"/>
      <c r="BB10" s="474"/>
      <c r="BC10" s="474"/>
      <c r="BD10" s="210"/>
      <c r="BE10" s="210"/>
      <c r="BF10" s="210"/>
      <c r="BG10" s="210"/>
      <c r="BH10" s="210"/>
    </row>
    <row r="11">
      <c r="A11" s="190" t="s">
        <v>10244</v>
      </c>
      <c r="B11" s="473"/>
      <c r="C11" s="474" t="s">
        <v>10245</v>
      </c>
      <c r="D11" s="474" t="s">
        <v>7041</v>
      </c>
      <c r="E11" s="156"/>
      <c r="F11" s="161" t="s">
        <v>10246</v>
      </c>
      <c r="G11" s="473"/>
      <c r="H11" s="474" t="s">
        <v>10247</v>
      </c>
      <c r="I11" s="474" t="s">
        <v>10248</v>
      </c>
      <c r="J11" s="156"/>
      <c r="K11" s="256" t="s">
        <v>10249</v>
      </c>
      <c r="L11" s="473"/>
      <c r="M11" s="177" t="s">
        <v>10250</v>
      </c>
      <c r="N11" s="177" t="s">
        <v>7043</v>
      </c>
      <c r="O11" s="210"/>
      <c r="P11" s="256" t="str">
        <f>IFERROR(__xludf.DUMMYFUNCTION("GOOGLETRANSLATE(A11,""zh-tw"",""zh"")"),"烤串")</f>
        <v>烤串</v>
      </c>
      <c r="Q11" s="454"/>
      <c r="R11" s="474" t="str">
        <f>IFERROR(__xludf.DUMMYFUNCTION("GOOGLETRANSLATE(C11,""zh-tw"",""zh"")"),"大块兽肉")</f>
        <v>大块兽肉</v>
      </c>
      <c r="S11" s="474" t="str">
        <f>IFERROR(__xludf.DUMMYFUNCTION("GOOGLETRANSLATE(D11,""zh-tw"",""zh"")"),"土豆")</f>
        <v>土豆</v>
      </c>
      <c r="T11" s="474"/>
      <c r="U11" s="161" t="str">
        <f>IFERROR(__xludf.DUMMYFUNCTION("GOOGLETRANSLATE(A11,""zh-tw"",""es-MX"")"),"Brochetas a la parrilla")</f>
        <v>Brochetas a la parrilla</v>
      </c>
      <c r="V11" s="468"/>
      <c r="W11" s="474" t="str">
        <f>IFERROR(__xludf.DUMMYFUNCTION("GOOGLETRANSLATE(C11,""zh-tw"",""es-MX"")"),"Grandes trozos de carne")</f>
        <v>Grandes trozos de carne</v>
      </c>
      <c r="X11" s="474" t="str">
        <f>IFERROR(__xludf.DUMMYFUNCTION("GOOGLETRANSLATE(D11,""zh-tw"",""es-MX"")"),"Papa")</f>
        <v>Papa</v>
      </c>
      <c r="Y11" s="474"/>
      <c r="Z11" s="477" t="s">
        <v>10251</v>
      </c>
      <c r="AA11" s="469"/>
      <c r="AB11" s="177" t="s">
        <v>10252</v>
      </c>
      <c r="AC11" s="210" t="str">
        <f>IFERROR(__xludf.DUMMYFUNCTION("GOOGLETRANSLATE(D11,""zh-tw"",""KO"")"),"감자")</f>
        <v>감자</v>
      </c>
      <c r="AD11" s="210"/>
      <c r="AE11" s="475" t="s">
        <v>10253</v>
      </c>
      <c r="AF11" s="235"/>
      <c r="AG11" s="474" t="s">
        <v>10254</v>
      </c>
      <c r="AH11" s="474" t="s">
        <v>7046</v>
      </c>
      <c r="AI11" s="476"/>
      <c r="AJ11" s="477" t="s">
        <v>10255</v>
      </c>
      <c r="AK11" s="469"/>
      <c r="AL11" s="177" t="s">
        <v>10256</v>
      </c>
      <c r="AM11" s="177" t="s">
        <v>7048</v>
      </c>
      <c r="AN11" s="210"/>
      <c r="AO11" s="480" t="s">
        <v>10257</v>
      </c>
      <c r="AP11" s="478"/>
      <c r="AQ11" s="221" t="s">
        <v>10258</v>
      </c>
      <c r="AR11" s="221" t="s">
        <v>7050</v>
      </c>
      <c r="AS11" s="463"/>
      <c r="AT11" s="161" t="s">
        <v>10249</v>
      </c>
      <c r="AU11" s="479"/>
      <c r="AV11" s="210" t="s">
        <v>10259</v>
      </c>
      <c r="AW11" s="210" t="s">
        <v>7052</v>
      </c>
      <c r="AX11" s="83"/>
      <c r="AY11" s="190"/>
      <c r="AZ11" s="473"/>
      <c r="BA11" s="474"/>
      <c r="BB11" s="474"/>
      <c r="BC11" s="156"/>
      <c r="BD11" s="83"/>
      <c r="BE11" s="83"/>
      <c r="BF11" s="83"/>
      <c r="BG11" s="83"/>
      <c r="BH11" s="83"/>
    </row>
    <row r="12">
      <c r="A12" s="161" t="s">
        <v>10260</v>
      </c>
      <c r="B12" s="473"/>
      <c r="C12" s="474" t="s">
        <v>10161</v>
      </c>
      <c r="D12" s="156"/>
      <c r="E12" s="156"/>
      <c r="F12" s="161" t="s">
        <v>10261</v>
      </c>
      <c r="G12" s="473"/>
      <c r="H12" s="474" t="s">
        <v>10164</v>
      </c>
      <c r="I12" s="156"/>
      <c r="J12" s="156"/>
      <c r="K12" s="256" t="s">
        <v>10262</v>
      </c>
      <c r="L12" s="473"/>
      <c r="M12" s="177" t="s">
        <v>10167</v>
      </c>
      <c r="N12" s="210"/>
      <c r="O12" s="210"/>
      <c r="P12" s="256" t="str">
        <f>IFERROR(__xludf.DUMMYFUNCTION("GOOGLETRANSLATE(A12,""zh-tw"",""zh"")"),"饭团")</f>
        <v>饭团</v>
      </c>
      <c r="Q12" s="454"/>
      <c r="R12" s="474" t="str">
        <f>IFERROR(__xludf.DUMMYFUNCTION("GOOGLETRANSLATE(C12,""zh-tw"",""zh"")"),"白米饭")</f>
        <v>白米饭</v>
      </c>
      <c r="S12" s="474"/>
      <c r="T12" s="474"/>
      <c r="U12" s="161" t="str">
        <f>IFERROR(__xludf.DUMMYFUNCTION("GOOGLETRANSLATE(A12,""zh-tw"",""es-MX"")"),"Bola de arroz")</f>
        <v>Bola de arroz</v>
      </c>
      <c r="V12" s="468"/>
      <c r="W12" s="474" t="str">
        <f>IFERROR(__xludf.DUMMYFUNCTION("GOOGLETRANSLATE(C12,""zh-tw"",""es-MX"")"),"arroz blanco")</f>
        <v>arroz blanco</v>
      </c>
      <c r="X12" s="474"/>
      <c r="Y12" s="474"/>
      <c r="Z12" s="475" t="str">
        <f>IFERROR(__xludf.DUMMYFUNCTION("GOOGLETRANSLATE(A12,""zh-tw"",""KO"")"),"주먹밥")</f>
        <v>주먹밥</v>
      </c>
      <c r="AA12" s="469"/>
      <c r="AB12" s="210" t="str">
        <f>IFERROR(__xludf.DUMMYFUNCTION("GOOGLETRANSLATE(C12,""zh-tw"",""KO"")"),"흰쌀")</f>
        <v>흰쌀</v>
      </c>
      <c r="AC12" s="210"/>
      <c r="AD12" s="210"/>
      <c r="AE12" s="475" t="s">
        <v>10263</v>
      </c>
      <c r="AF12" s="235"/>
      <c r="AG12" s="474" t="s">
        <v>10171</v>
      </c>
      <c r="AH12" s="476"/>
      <c r="AI12" s="476"/>
      <c r="AJ12" s="477" t="s">
        <v>10264</v>
      </c>
      <c r="AK12" s="469"/>
      <c r="AL12" s="177" t="s">
        <v>10174</v>
      </c>
      <c r="AM12" s="210"/>
      <c r="AN12" s="210"/>
      <c r="AO12" s="219" t="s">
        <v>10265</v>
      </c>
      <c r="AP12" s="478"/>
      <c r="AQ12" s="221" t="s">
        <v>10177</v>
      </c>
      <c r="AR12" s="463"/>
      <c r="AS12" s="463"/>
      <c r="AT12" s="161" t="s">
        <v>10262</v>
      </c>
      <c r="AU12" s="479"/>
      <c r="AV12" s="210" t="s">
        <v>10180</v>
      </c>
      <c r="AW12" s="83"/>
      <c r="AX12" s="83"/>
      <c r="AY12" s="161"/>
      <c r="AZ12" s="473"/>
      <c r="BA12" s="474"/>
      <c r="BB12" s="156"/>
      <c r="BC12" s="156"/>
      <c r="BD12" s="83"/>
      <c r="BE12" s="83"/>
      <c r="BF12" s="83"/>
      <c r="BG12" s="83"/>
      <c r="BH12" s="83"/>
    </row>
    <row r="13">
      <c r="A13" s="161" t="s">
        <v>10266</v>
      </c>
      <c r="B13" s="473"/>
      <c r="C13" s="474" t="s">
        <v>10161</v>
      </c>
      <c r="D13" s="474" t="s">
        <v>10162</v>
      </c>
      <c r="E13" s="474" t="s">
        <v>10245</v>
      </c>
      <c r="F13" s="161" t="s">
        <v>10267</v>
      </c>
      <c r="G13" s="473"/>
      <c r="H13" s="474" t="s">
        <v>10164</v>
      </c>
      <c r="I13" s="474" t="s">
        <v>10165</v>
      </c>
      <c r="J13" s="474" t="s">
        <v>10247</v>
      </c>
      <c r="K13" s="248" t="s">
        <v>10268</v>
      </c>
      <c r="L13" s="473"/>
      <c r="M13" s="177" t="s">
        <v>10167</v>
      </c>
      <c r="N13" s="177" t="s">
        <v>10168</v>
      </c>
      <c r="O13" s="177" t="s">
        <v>10250</v>
      </c>
      <c r="P13" s="256" t="str">
        <f>IFERROR(__xludf.DUMMYFUNCTION("GOOGLETRANSLATE(A13,""zh-tw"",""zh"")"),"肉排咖喱饭")</f>
        <v>肉排咖喱饭</v>
      </c>
      <c r="Q13" s="454"/>
      <c r="R13" s="474" t="str">
        <f>IFERROR(__xludf.DUMMYFUNCTION("GOOGLETRANSLATE(C13,""zh-tw"",""zh"")"),"白米饭")</f>
        <v>白米饭</v>
      </c>
      <c r="S13" s="474" t="str">
        <f>IFERROR(__xludf.DUMMYFUNCTION("GOOGLETRANSLATE(D13,""zh-tw"",""zh"")"),"咖喱块")</f>
        <v>咖喱块</v>
      </c>
      <c r="T13" s="474" t="str">
        <f>IFERROR(__xludf.DUMMYFUNCTION("GOOGLETRANSLATE(E13,""zh-tw"",""zh"")"),"大块兽肉")</f>
        <v>大块兽肉</v>
      </c>
      <c r="U13" s="161" t="str">
        <f>IFERROR(__xludf.DUMMYFUNCTION("GOOGLETRANSLATE(A13,""zh-tw"",""es-MX"")"),"Arroz al curry con chuleta de cerdo")</f>
        <v>Arroz al curry con chuleta de cerdo</v>
      </c>
      <c r="V13" s="468"/>
      <c r="W13" s="474" t="str">
        <f>IFERROR(__xludf.DUMMYFUNCTION("GOOGLETRANSLATE(C13,""zh-tw"",""es-MX"")"),"arroz blanco")</f>
        <v>arroz blanco</v>
      </c>
      <c r="X13" s="474" t="str">
        <f>IFERROR(__xludf.DUMMYFUNCTION("GOOGLETRANSLATE(D13,""zh-tw"",""es-MX"")"),"cubos de curry")</f>
        <v>cubos de curry</v>
      </c>
      <c r="Y13" s="474" t="str">
        <f>IFERROR(__xludf.DUMMYFUNCTION("GOOGLETRANSLATE(E13,""zh-tw"",""es-MX"")"),"Grandes trozos de carne")</f>
        <v>Grandes trozos de carne</v>
      </c>
      <c r="Z13" s="477" t="s">
        <v>10269</v>
      </c>
      <c r="AA13" s="469"/>
      <c r="AB13" s="210" t="str">
        <f>IFERROR(__xludf.DUMMYFUNCTION("GOOGLETRANSLATE(C13,""zh-tw"",""KO"")"),"흰쌀")</f>
        <v>흰쌀</v>
      </c>
      <c r="AC13" s="177" t="s">
        <v>10169</v>
      </c>
      <c r="AD13" s="177" t="s">
        <v>10252</v>
      </c>
      <c r="AE13" s="475" t="s">
        <v>10270</v>
      </c>
      <c r="AF13" s="235"/>
      <c r="AG13" s="474" t="s">
        <v>10171</v>
      </c>
      <c r="AH13" s="474" t="s">
        <v>10172</v>
      </c>
      <c r="AI13" s="474" t="s">
        <v>10254</v>
      </c>
      <c r="AJ13" s="477" t="s">
        <v>10271</v>
      </c>
      <c r="AK13" s="469"/>
      <c r="AL13" s="177" t="s">
        <v>10174</v>
      </c>
      <c r="AM13" s="177" t="s">
        <v>10175</v>
      </c>
      <c r="AN13" s="177" t="s">
        <v>10256</v>
      </c>
      <c r="AO13" s="480" t="s">
        <v>10272</v>
      </c>
      <c r="AP13" s="478"/>
      <c r="AQ13" s="221" t="s">
        <v>10177</v>
      </c>
      <c r="AR13" s="221" t="s">
        <v>10178</v>
      </c>
      <c r="AS13" s="221" t="s">
        <v>10258</v>
      </c>
      <c r="AT13" s="161" t="s">
        <v>10273</v>
      </c>
      <c r="AU13" s="479"/>
      <c r="AV13" s="210" t="s">
        <v>10180</v>
      </c>
      <c r="AW13" s="177" t="s">
        <v>10181</v>
      </c>
      <c r="AX13" s="210" t="s">
        <v>10259</v>
      </c>
      <c r="AY13" s="161"/>
      <c r="AZ13" s="473"/>
      <c r="BA13" s="474"/>
      <c r="BB13" s="474"/>
      <c r="BC13" s="474"/>
      <c r="BD13" s="210"/>
      <c r="BE13" s="210"/>
      <c r="BF13" s="210"/>
      <c r="BG13" s="210"/>
      <c r="BH13" s="210"/>
    </row>
    <row r="14">
      <c r="A14" s="161" t="s">
        <v>10274</v>
      </c>
      <c r="B14" s="454" t="s">
        <v>622</v>
      </c>
      <c r="C14" s="474" t="s">
        <v>6190</v>
      </c>
      <c r="D14" s="156"/>
      <c r="E14" s="156"/>
      <c r="F14" s="161" t="s">
        <v>10275</v>
      </c>
      <c r="G14" s="454" t="s">
        <v>622</v>
      </c>
      <c r="H14" s="474" t="s">
        <v>10276</v>
      </c>
      <c r="I14" s="156"/>
      <c r="J14" s="156"/>
      <c r="K14" s="256" t="s">
        <v>10277</v>
      </c>
      <c r="L14" s="454" t="s">
        <v>622</v>
      </c>
      <c r="M14" s="177" t="s">
        <v>6195</v>
      </c>
      <c r="N14" s="210"/>
      <c r="O14" s="210"/>
      <c r="P14" s="256" t="str">
        <f>IFERROR(__xludf.DUMMYFUNCTION("GOOGLETRANSLATE(A14,""zh-tw"",""zh"")"),"肉汤")</f>
        <v>肉汤</v>
      </c>
      <c r="Q14" s="454" t="str">
        <f>IFERROR(__xludf.DUMMYFUNCTION("GOOGLETRANSLATE(B14,""zh-tw"",""zh"")"),"A")</f>
        <v>A</v>
      </c>
      <c r="R14" s="474" t="str">
        <f>IFERROR(__xludf.DUMMYFUNCTION("GOOGLETRANSLATE(C14,""zh-tw"",""zh"")"),"小块兽肉")</f>
        <v>小块兽肉</v>
      </c>
      <c r="S14" s="474"/>
      <c r="T14" s="474"/>
      <c r="U14" s="161" t="str">
        <f>IFERROR(__xludf.DUMMYFUNCTION("GOOGLETRANSLATE(A14,""zh-tw"",""es-MX"")"),"caldo")</f>
        <v>caldo</v>
      </c>
      <c r="V14" s="468" t="str">
        <f>IFERROR(__xludf.DUMMYFUNCTION("GOOGLETRANSLATE(B14,""zh-tw"",""es-MX"")"),"A")</f>
        <v>A</v>
      </c>
      <c r="W14" s="474" t="str">
        <f>IFERROR(__xludf.DUMMYFUNCTION("GOOGLETRANSLATE(C14,""zh-tw"",""es-MX"")"),"Pequeños trozos de carne")</f>
        <v>Pequeños trozos de carne</v>
      </c>
      <c r="X14" s="474"/>
      <c r="Y14" s="474"/>
      <c r="Z14" s="477" t="s">
        <v>10278</v>
      </c>
      <c r="AA14" s="469" t="s">
        <v>622</v>
      </c>
      <c r="AB14" s="177" t="s">
        <v>10279</v>
      </c>
      <c r="AC14" s="210"/>
      <c r="AD14" s="210"/>
      <c r="AE14" s="475" t="s">
        <v>10280</v>
      </c>
      <c r="AF14" s="468" t="s">
        <v>10122</v>
      </c>
      <c r="AG14" s="474" t="s">
        <v>10281</v>
      </c>
      <c r="AH14" s="476"/>
      <c r="AI14" s="476"/>
      <c r="AJ14" s="477" t="s">
        <v>10282</v>
      </c>
      <c r="AK14" s="469" t="s">
        <v>622</v>
      </c>
      <c r="AL14" s="177" t="s">
        <v>10283</v>
      </c>
      <c r="AM14" s="210"/>
      <c r="AN14" s="210"/>
      <c r="AO14" s="219" t="s">
        <v>10284</v>
      </c>
      <c r="AP14" s="481" t="s">
        <v>622</v>
      </c>
      <c r="AQ14" s="221" t="s">
        <v>6201</v>
      </c>
      <c r="AR14" s="463"/>
      <c r="AS14" s="463"/>
      <c r="AT14" s="161" t="s">
        <v>10285</v>
      </c>
      <c r="AU14" s="454" t="s">
        <v>622</v>
      </c>
      <c r="AV14" s="210" t="s">
        <v>6203</v>
      </c>
      <c r="AW14" s="83"/>
      <c r="AX14" s="83"/>
      <c r="AY14" s="161"/>
      <c r="AZ14" s="454"/>
      <c r="BA14" s="474"/>
      <c r="BB14" s="156"/>
      <c r="BC14" s="156"/>
      <c r="BD14" s="83"/>
      <c r="BE14" s="83"/>
      <c r="BF14" s="83"/>
      <c r="BG14" s="83"/>
      <c r="BH14" s="83"/>
    </row>
    <row r="15">
      <c r="A15" s="161" t="s">
        <v>10286</v>
      </c>
      <c r="B15" s="454" t="s">
        <v>622</v>
      </c>
      <c r="C15" s="474" t="s">
        <v>10245</v>
      </c>
      <c r="D15" s="156"/>
      <c r="E15" s="156"/>
      <c r="F15" s="161" t="s">
        <v>10287</v>
      </c>
      <c r="G15" s="454" t="s">
        <v>622</v>
      </c>
      <c r="H15" s="474" t="s">
        <v>10247</v>
      </c>
      <c r="I15" s="156"/>
      <c r="J15" s="156"/>
      <c r="K15" s="256" t="s">
        <v>10288</v>
      </c>
      <c r="L15" s="454" t="s">
        <v>622</v>
      </c>
      <c r="M15" s="177" t="s">
        <v>10250</v>
      </c>
      <c r="N15" s="210"/>
      <c r="O15" s="210"/>
      <c r="P15" s="256" t="str">
        <f>IFERROR(__xludf.DUMMYFUNCTION("GOOGLETRANSLATE(A15,""zh-tw"",""zh"")"),"烤肉块")</f>
        <v>烤肉块</v>
      </c>
      <c r="Q15" s="454" t="str">
        <f>IFERROR(__xludf.DUMMYFUNCTION("GOOGLETRANSLATE(B15,""zh-tw"",""zh"")"),"A")</f>
        <v>A</v>
      </c>
      <c r="R15" s="474" t="str">
        <f>IFERROR(__xludf.DUMMYFUNCTION("GOOGLETRANSLATE(C15,""zh-tw"",""zh"")"),"大块兽肉")</f>
        <v>大块兽肉</v>
      </c>
      <c r="S15" s="474"/>
      <c r="T15" s="474"/>
      <c r="U15" s="161" t="str">
        <f>IFERROR(__xludf.DUMMYFUNCTION("GOOGLETRANSLATE(A15,""zh-tw"",""es-MX"")"),"Trozos de carne asada")</f>
        <v>Trozos de carne asada</v>
      </c>
      <c r="V15" s="468" t="str">
        <f>IFERROR(__xludf.DUMMYFUNCTION("GOOGLETRANSLATE(B15,""zh-tw"",""es-MX"")"),"A")</f>
        <v>A</v>
      </c>
      <c r="W15" s="474" t="str">
        <f>IFERROR(__xludf.DUMMYFUNCTION("GOOGLETRANSLATE(C15,""zh-tw"",""es-MX"")"),"Grandes trozos de carne")</f>
        <v>Grandes trozos de carne</v>
      </c>
      <c r="X15" s="474"/>
      <c r="Y15" s="474"/>
      <c r="Z15" s="475" t="str">
        <f>IFERROR(__xludf.DUMMYFUNCTION("GOOGLETRANSLATE(A15,""zh-tw"",""KO"")"),"구운 고기 덩어리")</f>
        <v>구운 고기 덩어리</v>
      </c>
      <c r="AA15" s="469" t="s">
        <v>622</v>
      </c>
      <c r="AB15" s="177" t="s">
        <v>10252</v>
      </c>
      <c r="AC15" s="210"/>
      <c r="AD15" s="210"/>
      <c r="AE15" s="475" t="s">
        <v>10289</v>
      </c>
      <c r="AF15" s="468" t="s">
        <v>10122</v>
      </c>
      <c r="AG15" s="474" t="s">
        <v>10254</v>
      </c>
      <c r="AH15" s="476"/>
      <c r="AI15" s="476"/>
      <c r="AJ15" s="477" t="s">
        <v>10290</v>
      </c>
      <c r="AK15" s="469" t="s">
        <v>622</v>
      </c>
      <c r="AL15" s="177" t="s">
        <v>10256</v>
      </c>
      <c r="AM15" s="210"/>
      <c r="AN15" s="210"/>
      <c r="AO15" s="219" t="s">
        <v>10291</v>
      </c>
      <c r="AP15" s="481" t="s">
        <v>622</v>
      </c>
      <c r="AQ15" s="221" t="s">
        <v>10258</v>
      </c>
      <c r="AR15" s="463"/>
      <c r="AS15" s="463"/>
      <c r="AT15" s="161" t="s">
        <v>10292</v>
      </c>
      <c r="AU15" s="454" t="s">
        <v>622</v>
      </c>
      <c r="AV15" s="210" t="s">
        <v>10259</v>
      </c>
      <c r="AW15" s="83"/>
      <c r="AX15" s="83"/>
      <c r="AY15" s="161"/>
      <c r="AZ15" s="454"/>
      <c r="BA15" s="474"/>
      <c r="BB15" s="156"/>
      <c r="BC15" s="156"/>
      <c r="BD15" s="83"/>
      <c r="BE15" s="83"/>
      <c r="BF15" s="83"/>
      <c r="BG15" s="83"/>
      <c r="BH15" s="83"/>
    </row>
    <row r="16">
      <c r="A16" s="161" t="s">
        <v>10293</v>
      </c>
      <c r="B16" s="454" t="s">
        <v>622</v>
      </c>
      <c r="C16" s="474" t="s">
        <v>10245</v>
      </c>
      <c r="D16" s="474" t="s">
        <v>10245</v>
      </c>
      <c r="E16" s="156"/>
      <c r="F16" s="161" t="s">
        <v>10294</v>
      </c>
      <c r="G16" s="454" t="s">
        <v>622</v>
      </c>
      <c r="H16" s="474" t="s">
        <v>10247</v>
      </c>
      <c r="I16" s="474" t="s">
        <v>10247</v>
      </c>
      <c r="J16" s="156"/>
      <c r="K16" s="256" t="s">
        <v>10295</v>
      </c>
      <c r="L16" s="454" t="s">
        <v>622</v>
      </c>
      <c r="M16" s="177" t="s">
        <v>10250</v>
      </c>
      <c r="N16" s="177" t="s">
        <v>10250</v>
      </c>
      <c r="O16" s="210"/>
      <c r="P16" s="256" t="str">
        <f>IFERROR(__xludf.DUMMYFUNCTION("GOOGLETRANSLATE(A16,""zh-tw"",""zh"")"),"牛排肉")</f>
        <v>牛排肉</v>
      </c>
      <c r="Q16" s="454" t="str">
        <f>IFERROR(__xludf.DUMMYFUNCTION("GOOGLETRANSLATE(B16,""zh-tw"",""zh"")"),"A")</f>
        <v>A</v>
      </c>
      <c r="R16" s="474" t="str">
        <f>IFERROR(__xludf.DUMMYFUNCTION("GOOGLETRANSLATE(C16,""zh-tw"",""zh"")"),"大块兽肉")</f>
        <v>大块兽肉</v>
      </c>
      <c r="S16" s="474" t="str">
        <f>IFERROR(__xludf.DUMMYFUNCTION("GOOGLETRANSLATE(D16,""zh-tw"",""zh"")"),"大块兽肉")</f>
        <v>大块兽肉</v>
      </c>
      <c r="T16" s="474"/>
      <c r="U16" s="161" t="str">
        <f>IFERROR(__xludf.DUMMYFUNCTION("GOOGLETRANSLATE(A16,""zh-tw"",""es-MX"")"),"Filete de ternera")</f>
        <v>Filete de ternera</v>
      </c>
      <c r="V16" s="468" t="str">
        <f>IFERROR(__xludf.DUMMYFUNCTION("GOOGLETRANSLATE(B16,""zh-tw"",""es-MX"")"),"A")</f>
        <v>A</v>
      </c>
      <c r="W16" s="474" t="str">
        <f>IFERROR(__xludf.DUMMYFUNCTION("GOOGLETRANSLATE(C16,""zh-tw"",""es-MX"")"),"Grandes trozos de carne")</f>
        <v>Grandes trozos de carne</v>
      </c>
      <c r="X16" s="474" t="str">
        <f>IFERROR(__xludf.DUMMYFUNCTION("GOOGLETRANSLATE(D16,""zh-tw"",""es-MX"")"),"Grandes trozos de carne")</f>
        <v>Grandes trozos de carne</v>
      </c>
      <c r="Y16" s="474"/>
      <c r="Z16" s="477" t="s">
        <v>10296</v>
      </c>
      <c r="AA16" s="469" t="s">
        <v>622</v>
      </c>
      <c r="AB16" s="177" t="s">
        <v>10252</v>
      </c>
      <c r="AC16" s="177" t="s">
        <v>10252</v>
      </c>
      <c r="AD16" s="210"/>
      <c r="AE16" s="475" t="s">
        <v>10297</v>
      </c>
      <c r="AF16" s="468" t="s">
        <v>10122</v>
      </c>
      <c r="AG16" s="474" t="s">
        <v>10254</v>
      </c>
      <c r="AH16" s="474" t="s">
        <v>10254</v>
      </c>
      <c r="AI16" s="476"/>
      <c r="AJ16" s="477" t="s">
        <v>10298</v>
      </c>
      <c r="AK16" s="469" t="s">
        <v>622</v>
      </c>
      <c r="AL16" s="177" t="s">
        <v>10256</v>
      </c>
      <c r="AM16" s="177" t="s">
        <v>10256</v>
      </c>
      <c r="AN16" s="210"/>
      <c r="AO16" s="480" t="s">
        <v>10291</v>
      </c>
      <c r="AP16" s="481" t="s">
        <v>622</v>
      </c>
      <c r="AQ16" s="221" t="s">
        <v>10258</v>
      </c>
      <c r="AR16" s="221" t="s">
        <v>10258</v>
      </c>
      <c r="AS16" s="463"/>
      <c r="AT16" s="161" t="s">
        <v>10299</v>
      </c>
      <c r="AU16" s="454" t="s">
        <v>622</v>
      </c>
      <c r="AV16" s="210" t="s">
        <v>10259</v>
      </c>
      <c r="AW16" s="210" t="s">
        <v>10259</v>
      </c>
      <c r="AX16" s="83"/>
      <c r="AY16" s="161"/>
      <c r="AZ16" s="454"/>
      <c r="BA16" s="474"/>
      <c r="BB16" s="474"/>
      <c r="BC16" s="156"/>
      <c r="BD16" s="83"/>
      <c r="BE16" s="83"/>
      <c r="BF16" s="83"/>
      <c r="BG16" s="83"/>
      <c r="BH16" s="83"/>
    </row>
    <row r="17">
      <c r="A17" s="190" t="s">
        <v>10300</v>
      </c>
      <c r="B17" s="454" t="s">
        <v>622</v>
      </c>
      <c r="C17" s="474" t="s">
        <v>10245</v>
      </c>
      <c r="D17" s="474" t="s">
        <v>10245</v>
      </c>
      <c r="E17" s="474" t="s">
        <v>10245</v>
      </c>
      <c r="F17" s="161" t="s">
        <v>10301</v>
      </c>
      <c r="G17" s="454" t="s">
        <v>622</v>
      </c>
      <c r="H17" s="474" t="s">
        <v>10247</v>
      </c>
      <c r="I17" s="474" t="s">
        <v>10247</v>
      </c>
      <c r="J17" s="474" t="s">
        <v>10247</v>
      </c>
      <c r="K17" s="256" t="s">
        <v>10302</v>
      </c>
      <c r="L17" s="454" t="s">
        <v>622</v>
      </c>
      <c r="M17" s="177" t="s">
        <v>10250</v>
      </c>
      <c r="N17" s="177" t="s">
        <v>10250</v>
      </c>
      <c r="O17" s="177" t="s">
        <v>10250</v>
      </c>
      <c r="P17" s="256" t="str">
        <f>IFERROR(__xludf.DUMMYFUNCTION("GOOGLETRANSLATE(A17,""zh-tw"",""zh"")"),"酱牛肉")</f>
        <v>酱牛肉</v>
      </c>
      <c r="Q17" s="454" t="str">
        <f>IFERROR(__xludf.DUMMYFUNCTION("GOOGLETRANSLATE(B17,""zh-tw"",""zh"")"),"A")</f>
        <v>A</v>
      </c>
      <c r="R17" s="474" t="str">
        <f>IFERROR(__xludf.DUMMYFUNCTION("GOOGLETRANSLATE(C17,""zh-tw"",""zh"")"),"大块兽肉")</f>
        <v>大块兽肉</v>
      </c>
      <c r="S17" s="474" t="str">
        <f>IFERROR(__xludf.DUMMYFUNCTION("GOOGLETRANSLATE(D17,""zh-tw"",""zh"")"),"大块兽肉")</f>
        <v>大块兽肉</v>
      </c>
      <c r="T17" s="474" t="str">
        <f>IFERROR(__xludf.DUMMYFUNCTION("GOOGLETRANSLATE(E17,""zh-tw"",""zh"")"),"大块兽肉")</f>
        <v>大块兽肉</v>
      </c>
      <c r="U17" s="161" t="str">
        <f>IFERROR(__xludf.DUMMYFUNCTION("GOOGLETRANSLATE(A17,""zh-tw"",""es-MX"")"),"Carne estofada")</f>
        <v>Carne estofada</v>
      </c>
      <c r="V17" s="468" t="str">
        <f>IFERROR(__xludf.DUMMYFUNCTION("GOOGLETRANSLATE(B17,""zh-tw"",""es-MX"")"),"A")</f>
        <v>A</v>
      </c>
      <c r="W17" s="474" t="str">
        <f>IFERROR(__xludf.DUMMYFUNCTION("GOOGLETRANSLATE(C17,""zh-tw"",""es-MX"")"),"Grandes trozos de carne")</f>
        <v>Grandes trozos de carne</v>
      </c>
      <c r="X17" s="474" t="str">
        <f>IFERROR(__xludf.DUMMYFUNCTION("GOOGLETRANSLATE(D17,""zh-tw"",""es-MX"")"),"Grandes trozos de carne")</f>
        <v>Grandes trozos de carne</v>
      </c>
      <c r="Y17" s="474" t="str">
        <f>IFERROR(__xludf.DUMMYFUNCTION("GOOGLETRANSLATE(E17,""zh-tw"",""es-MX"")"),"Grandes trozos de carne")</f>
        <v>Grandes trozos de carne</v>
      </c>
      <c r="Z17" s="477" t="s">
        <v>10303</v>
      </c>
      <c r="AA17" s="469" t="s">
        <v>622</v>
      </c>
      <c r="AB17" s="177" t="s">
        <v>10252</v>
      </c>
      <c r="AC17" s="214" t="s">
        <v>10252</v>
      </c>
      <c r="AD17" s="214" t="s">
        <v>10252</v>
      </c>
      <c r="AE17" s="475" t="str">
        <f>IFERROR(__xludf.DUMMYFUNCTION("GOOGLETRANSLATE(A17,""zh-tw"",""ru"")"),"Тушеная говядина")</f>
        <v>Тушеная говядина</v>
      </c>
      <c r="AF17" s="468" t="s">
        <v>10122</v>
      </c>
      <c r="AG17" s="474" t="s">
        <v>10254</v>
      </c>
      <c r="AH17" s="474" t="s">
        <v>10254</v>
      </c>
      <c r="AI17" s="474" t="s">
        <v>10254</v>
      </c>
      <c r="AJ17" s="477" t="s">
        <v>10304</v>
      </c>
      <c r="AK17" s="469" t="s">
        <v>622</v>
      </c>
      <c r="AL17" s="177" t="s">
        <v>10256</v>
      </c>
      <c r="AM17" s="177" t="s">
        <v>10256</v>
      </c>
      <c r="AN17" s="177" t="s">
        <v>10256</v>
      </c>
      <c r="AO17" s="133" t="s">
        <v>10305</v>
      </c>
      <c r="AP17" s="481" t="s">
        <v>622</v>
      </c>
      <c r="AQ17" s="221" t="s">
        <v>10258</v>
      </c>
      <c r="AR17" s="221" t="s">
        <v>10258</v>
      </c>
      <c r="AS17" s="221" t="s">
        <v>10258</v>
      </c>
      <c r="AT17" s="161" t="s">
        <v>10306</v>
      </c>
      <c r="AU17" s="454" t="s">
        <v>622</v>
      </c>
      <c r="AV17" s="210" t="s">
        <v>10259</v>
      </c>
      <c r="AW17" s="210" t="s">
        <v>10259</v>
      </c>
      <c r="AX17" s="210" t="s">
        <v>10259</v>
      </c>
      <c r="AY17" s="190"/>
      <c r="AZ17" s="454"/>
      <c r="BA17" s="474"/>
      <c r="BB17" s="474"/>
      <c r="BC17" s="474"/>
      <c r="BD17" s="210"/>
      <c r="BE17" s="210"/>
      <c r="BF17" s="210"/>
      <c r="BG17" s="210"/>
      <c r="BH17" s="210"/>
    </row>
    <row r="18">
      <c r="A18" s="161" t="s">
        <v>10307</v>
      </c>
      <c r="B18" s="454" t="s">
        <v>622</v>
      </c>
      <c r="C18" s="474" t="s">
        <v>10161</v>
      </c>
      <c r="D18" s="474" t="s">
        <v>10245</v>
      </c>
      <c r="E18" s="156"/>
      <c r="F18" s="161" t="s">
        <v>10308</v>
      </c>
      <c r="G18" s="454" t="s">
        <v>622</v>
      </c>
      <c r="H18" s="474" t="s">
        <v>10164</v>
      </c>
      <c r="I18" s="474" t="s">
        <v>10247</v>
      </c>
      <c r="J18" s="156"/>
      <c r="K18" s="256" t="s">
        <v>10309</v>
      </c>
      <c r="L18" s="454" t="s">
        <v>622</v>
      </c>
      <c r="M18" s="177" t="s">
        <v>10310</v>
      </c>
      <c r="N18" s="177" t="s">
        <v>10250</v>
      </c>
      <c r="O18" s="210"/>
      <c r="P18" s="256" t="str">
        <f>IFERROR(__xludf.DUMMYFUNCTION("GOOGLETRANSLATE(A18,""zh-tw"",""zh"")"),"牛肉饭团")</f>
        <v>牛肉饭团</v>
      </c>
      <c r="Q18" s="454" t="str">
        <f>IFERROR(__xludf.DUMMYFUNCTION("GOOGLETRANSLATE(B18,""zh-tw"",""zh"")"),"A")</f>
        <v>A</v>
      </c>
      <c r="R18" s="474" t="str">
        <f>IFERROR(__xludf.DUMMYFUNCTION("GOOGLETRANSLATE(C18,""zh-tw"",""zh"")"),"白米饭")</f>
        <v>白米饭</v>
      </c>
      <c r="S18" s="474" t="str">
        <f>IFERROR(__xludf.DUMMYFUNCTION("GOOGLETRANSLATE(D18,""zh-tw"",""zh"")"),"大块兽肉")</f>
        <v>大块兽肉</v>
      </c>
      <c r="T18" s="474"/>
      <c r="U18" s="161" t="str">
        <f>IFERROR(__xludf.DUMMYFUNCTION("GOOGLETRANSLATE(A18,""zh-tw"",""es-MX"")"),"Bola de arroz con carne")</f>
        <v>Bola de arroz con carne</v>
      </c>
      <c r="V18" s="468" t="str">
        <f>IFERROR(__xludf.DUMMYFUNCTION("GOOGLETRANSLATE(B18,""zh-tw"",""es-MX"")"),"A")</f>
        <v>A</v>
      </c>
      <c r="W18" s="474" t="str">
        <f>IFERROR(__xludf.DUMMYFUNCTION("GOOGLETRANSLATE(C18,""zh-tw"",""es-MX"")"),"arroz blanco")</f>
        <v>arroz blanco</v>
      </c>
      <c r="X18" s="474" t="str">
        <f>IFERROR(__xludf.DUMMYFUNCTION("GOOGLETRANSLATE(D18,""zh-tw"",""es-MX"")"),"Grandes trozos de carne")</f>
        <v>Grandes trozos de carne</v>
      </c>
      <c r="Y18" s="474"/>
      <c r="Z18" s="477" t="s">
        <v>10311</v>
      </c>
      <c r="AA18" s="469" t="s">
        <v>622</v>
      </c>
      <c r="AB18" s="210" t="str">
        <f>IFERROR(__xludf.DUMMYFUNCTION("GOOGLETRANSLATE(C18,""zh-tw"",""KO"")"),"흰쌀")</f>
        <v>흰쌀</v>
      </c>
      <c r="AC18" s="177" t="s">
        <v>10252</v>
      </c>
      <c r="AD18" s="210"/>
      <c r="AE18" s="475" t="s">
        <v>10312</v>
      </c>
      <c r="AF18" s="468" t="s">
        <v>10122</v>
      </c>
      <c r="AG18" s="474" t="s">
        <v>10171</v>
      </c>
      <c r="AH18" s="474" t="s">
        <v>10254</v>
      </c>
      <c r="AI18" s="476"/>
      <c r="AJ18" s="477" t="s">
        <v>10313</v>
      </c>
      <c r="AK18" s="469" t="s">
        <v>622</v>
      </c>
      <c r="AL18" s="177" t="s">
        <v>10174</v>
      </c>
      <c r="AM18" s="177" t="s">
        <v>10256</v>
      </c>
      <c r="AN18" s="210"/>
      <c r="AO18" s="480" t="s">
        <v>10314</v>
      </c>
      <c r="AP18" s="481" t="s">
        <v>622</v>
      </c>
      <c r="AQ18" s="221" t="s">
        <v>10177</v>
      </c>
      <c r="AR18" s="221" t="s">
        <v>10258</v>
      </c>
      <c r="AS18" s="463"/>
      <c r="AT18" s="161" t="s">
        <v>10315</v>
      </c>
      <c r="AU18" s="454" t="s">
        <v>622</v>
      </c>
      <c r="AV18" s="210" t="s">
        <v>10316</v>
      </c>
      <c r="AW18" s="210" t="s">
        <v>10259</v>
      </c>
      <c r="AX18" s="83"/>
      <c r="AY18" s="161"/>
      <c r="AZ18" s="454"/>
      <c r="BA18" s="474"/>
      <c r="BB18" s="474"/>
      <c r="BC18" s="156"/>
      <c r="BD18" s="83"/>
      <c r="BE18" s="83"/>
      <c r="BF18" s="83"/>
      <c r="BG18" s="83"/>
      <c r="BH18" s="83"/>
    </row>
    <row r="19">
      <c r="A19" s="161" t="s">
        <v>10317</v>
      </c>
      <c r="B19" s="473"/>
      <c r="C19" s="474" t="s">
        <v>10318</v>
      </c>
      <c r="D19" s="156"/>
      <c r="E19" s="156"/>
      <c r="F19" s="161" t="s">
        <v>10319</v>
      </c>
      <c r="G19" s="473"/>
      <c r="H19" s="474" t="s">
        <v>10320</v>
      </c>
      <c r="I19" s="156"/>
      <c r="J19" s="156"/>
      <c r="K19" s="248" t="s">
        <v>10321</v>
      </c>
      <c r="L19" s="473"/>
      <c r="M19" s="177" t="s">
        <v>10322</v>
      </c>
      <c r="N19" s="210"/>
      <c r="O19" s="210"/>
      <c r="P19" s="256" t="str">
        <f>IFERROR(__xludf.DUMMYFUNCTION("GOOGLETRANSLATE(A19,""zh-tw"",""zh"")"),"奇怪的史莱姆果冻(蓝色)")</f>
        <v>奇怪的史莱姆果冻(蓝色)</v>
      </c>
      <c r="Q19" s="454"/>
      <c r="R19" s="474" t="str">
        <f>IFERROR(__xludf.DUMMYFUNCTION("GOOGLETRANSLATE(C19,""zh-tw"",""zh"")"),"水怪黏液")</f>
        <v>水怪黏液</v>
      </c>
      <c r="S19" s="474"/>
      <c r="T19" s="474"/>
      <c r="U19" s="161" t="str">
        <f>IFERROR(__xludf.DUMMYFUNCTION("GOOGLETRANSLATE(A19,""zh-tw"",""es-MX"")"),"Gelatina viscosa extraña (azul)")</f>
        <v>Gelatina viscosa extraña (azul)</v>
      </c>
      <c r="V19" s="468"/>
      <c r="W19" s="474" t="str">
        <f>IFERROR(__xludf.DUMMYFUNCTION("GOOGLETRANSLATE(C19,""zh-tw"",""es-MX"")"),"Monstruo acuático de limo")</f>
        <v>Monstruo acuático de limo</v>
      </c>
      <c r="X19" s="474"/>
      <c r="Y19" s="474"/>
      <c r="Z19" s="475" t="str">
        <f>IFERROR(__xludf.DUMMYFUNCTION("GOOGLETRANSLATE(A19,""zh-tw"",""KO"")"),"이상한 슬라임 젤리 (파란색)")</f>
        <v>이상한 슬라임 젤리 (파란색)</v>
      </c>
      <c r="AA19" s="469"/>
      <c r="AB19" s="177" t="s">
        <v>10323</v>
      </c>
      <c r="AC19" s="210"/>
      <c r="AD19" s="210"/>
      <c r="AE19" s="475" t="s">
        <v>10153</v>
      </c>
      <c r="AF19" s="235"/>
      <c r="AG19" s="474" t="s">
        <v>10324</v>
      </c>
      <c r="AH19" s="476"/>
      <c r="AI19" s="476"/>
      <c r="AJ19" s="477" t="s">
        <v>10325</v>
      </c>
      <c r="AK19" s="469"/>
      <c r="AL19" s="177" t="s">
        <v>10326</v>
      </c>
      <c r="AM19" s="210"/>
      <c r="AN19" s="210"/>
      <c r="AO19" s="480" t="s">
        <v>10327</v>
      </c>
      <c r="AP19" s="478"/>
      <c r="AQ19" s="223" t="s">
        <v>10328</v>
      </c>
      <c r="AR19" s="463"/>
      <c r="AS19" s="463"/>
      <c r="AT19" s="161" t="s">
        <v>10329</v>
      </c>
      <c r="AU19" s="479"/>
      <c r="AV19" s="210" t="s">
        <v>10330</v>
      </c>
      <c r="AW19" s="83"/>
      <c r="AX19" s="83"/>
      <c r="AY19" s="161"/>
      <c r="AZ19" s="473"/>
      <c r="BA19" s="474"/>
      <c r="BB19" s="156"/>
      <c r="BC19" s="156"/>
      <c r="BD19" s="83"/>
      <c r="BE19" s="83"/>
      <c r="BF19" s="83"/>
      <c r="BG19" s="83"/>
      <c r="BH19" s="83"/>
    </row>
    <row r="20">
      <c r="A20" s="161" t="s">
        <v>10331</v>
      </c>
      <c r="B20" s="473"/>
      <c r="C20" s="474" t="s">
        <v>10147</v>
      </c>
      <c r="D20" s="474" t="s">
        <v>6099</v>
      </c>
      <c r="E20" s="156"/>
      <c r="F20" s="161" t="s">
        <v>10332</v>
      </c>
      <c r="G20" s="473"/>
      <c r="H20" s="474" t="s">
        <v>10149</v>
      </c>
      <c r="I20" s="474" t="s">
        <v>10333</v>
      </c>
      <c r="J20" s="156"/>
      <c r="K20" s="256" t="s">
        <v>10334</v>
      </c>
      <c r="L20" s="473"/>
      <c r="M20" s="177" t="s">
        <v>10151</v>
      </c>
      <c r="N20" s="177" t="s">
        <v>6104</v>
      </c>
      <c r="O20" s="210"/>
      <c r="P20" s="256" t="str">
        <f>IFERROR(__xludf.DUMMYFUNCTION("GOOGLETRANSLATE(A20,""zh-tw"",""zh"")"),"奇怪的史莱姆果冻(粉色)")</f>
        <v>奇怪的史莱姆果冻(粉色)</v>
      </c>
      <c r="Q20" s="454"/>
      <c r="R20" s="474" t="str">
        <f>IFERROR(__xludf.DUMMYFUNCTION("GOOGLETRANSLATE(C20,""zh-tw"",""zh"")"),"史莱姆黏液")</f>
        <v>史莱姆黏液</v>
      </c>
      <c r="S20" s="474" t="str">
        <f>IFERROR(__xludf.DUMMYFUNCTION("GOOGLETRANSLATE(D20,""zh-tw"",""zh"")"),"苹果妖精")</f>
        <v>苹果妖精</v>
      </c>
      <c r="T20" s="474"/>
      <c r="U20" s="161" t="str">
        <f>IFERROR(__xludf.DUMMYFUNCTION("GOOGLETRANSLATE(A20,""zh-tw"",""es-MX"")"),"Gelatina viscosa extraña (rosa)")</f>
        <v>Gelatina viscosa extraña (rosa)</v>
      </c>
      <c r="V20" s="468"/>
      <c r="W20" s="474" t="str">
        <f>IFERROR(__xludf.DUMMYFUNCTION("GOOGLETRANSLATE(C20,""zh-tw"",""es-MX"")"),"limo")</f>
        <v>limo</v>
      </c>
      <c r="X20" s="474" t="str">
        <f>IFERROR(__xludf.DUMMYFUNCTION("GOOGLETRANSLATE(D20,""zh-tw"",""es-MX"")"),"Hada de las Manzanas")</f>
        <v>Hada de las Manzanas</v>
      </c>
      <c r="Y20" s="474"/>
      <c r="Z20" s="477" t="s">
        <v>10335</v>
      </c>
      <c r="AA20" s="469"/>
      <c r="AB20" s="177" t="s">
        <v>10152</v>
      </c>
      <c r="AC20" s="177" t="s">
        <v>10336</v>
      </c>
      <c r="AD20" s="210"/>
      <c r="AE20" s="475" t="s">
        <v>10337</v>
      </c>
      <c r="AF20" s="235"/>
      <c r="AG20" s="474" t="s">
        <v>10154</v>
      </c>
      <c r="AH20" s="474" t="s">
        <v>10338</v>
      </c>
      <c r="AI20" s="476"/>
      <c r="AJ20" s="477" t="s">
        <v>10339</v>
      </c>
      <c r="AK20" s="469"/>
      <c r="AL20" s="177" t="s">
        <v>10156</v>
      </c>
      <c r="AM20" s="177" t="s">
        <v>6108</v>
      </c>
      <c r="AN20" s="210"/>
      <c r="AO20" s="480" t="s">
        <v>10340</v>
      </c>
      <c r="AP20" s="478"/>
      <c r="AQ20" s="221" t="s">
        <v>10158</v>
      </c>
      <c r="AR20" s="223" t="s">
        <v>10341</v>
      </c>
      <c r="AS20" s="463"/>
      <c r="AT20" s="161" t="s">
        <v>10342</v>
      </c>
      <c r="AU20" s="479"/>
      <c r="AV20" s="210" t="s">
        <v>10159</v>
      </c>
      <c r="AW20" s="210" t="s">
        <v>10343</v>
      </c>
      <c r="AX20" s="83"/>
      <c r="AY20" s="161"/>
      <c r="AZ20" s="473"/>
      <c r="BA20" s="474"/>
      <c r="BB20" s="474"/>
      <c r="BC20" s="156"/>
      <c r="BD20" s="83"/>
      <c r="BE20" s="83"/>
      <c r="BF20" s="83"/>
      <c r="BG20" s="83"/>
      <c r="BH20" s="83"/>
    </row>
    <row r="21">
      <c r="A21" s="161" t="s">
        <v>10344</v>
      </c>
      <c r="B21" s="473"/>
      <c r="C21" s="474" t="s">
        <v>10147</v>
      </c>
      <c r="D21" s="474" t="s">
        <v>10345</v>
      </c>
      <c r="E21" s="156"/>
      <c r="F21" s="161" t="s">
        <v>10346</v>
      </c>
      <c r="G21" s="473"/>
      <c r="H21" s="474" t="s">
        <v>10149</v>
      </c>
      <c r="I21" s="474" t="s">
        <v>10347</v>
      </c>
      <c r="J21" s="156"/>
      <c r="K21" s="256" t="s">
        <v>10348</v>
      </c>
      <c r="L21" s="473"/>
      <c r="M21" s="177" t="s">
        <v>10151</v>
      </c>
      <c r="N21" s="177" t="s">
        <v>10349</v>
      </c>
      <c r="O21" s="210"/>
      <c r="P21" s="256" t="str">
        <f>IFERROR(__xludf.DUMMYFUNCTION("GOOGLETRANSLATE(A21,""zh-tw"",""zh"")"),"奇怪的史莱姆果冻(黑色)")</f>
        <v>奇怪的史莱姆果冻(黑色)</v>
      </c>
      <c r="Q21" s="454"/>
      <c r="R21" s="474" t="str">
        <f>IFERROR(__xludf.DUMMYFUNCTION("GOOGLETRANSLATE(C21,""zh-tw"",""zh"")"),"史莱姆黏液")</f>
        <v>史莱姆黏液</v>
      </c>
      <c r="S21" s="474" t="str">
        <f>IFERROR(__xludf.DUMMYFUNCTION("GOOGLETRANSLATE(D21,""zh-tw"",""zh"")"),"垃圾")</f>
        <v>垃圾</v>
      </c>
      <c r="T21" s="474"/>
      <c r="U21" s="161" t="str">
        <f>IFERROR(__xludf.DUMMYFUNCTION("GOOGLETRANSLATE(A21,""zh-tw"",""es-MX"")"),"Gelatina viscosa extraña (negra)")</f>
        <v>Gelatina viscosa extraña (negra)</v>
      </c>
      <c r="V21" s="468"/>
      <c r="W21" s="474" t="str">
        <f>IFERROR(__xludf.DUMMYFUNCTION("GOOGLETRANSLATE(C21,""zh-tw"",""es-MX"")"),"limo")</f>
        <v>limo</v>
      </c>
      <c r="X21" s="474" t="str">
        <f>IFERROR(__xludf.DUMMYFUNCTION("GOOGLETRANSLATE(D21,""zh-tw"",""es-MX"")"),"Basura")</f>
        <v>Basura</v>
      </c>
      <c r="Y21" s="474"/>
      <c r="Z21" s="475" t="str">
        <f>IFERROR(__xludf.DUMMYFUNCTION("GOOGLETRANSLATE(A21,""zh-tw"",""KO"")"),"이상한 점액 젤리 (검은색)")</f>
        <v>이상한 점액 젤리 (검은색)</v>
      </c>
      <c r="AA21" s="469"/>
      <c r="AB21" s="177" t="s">
        <v>10152</v>
      </c>
      <c r="AC21" s="210" t="str">
        <f>IFERROR(__xludf.DUMMYFUNCTION("GOOGLETRANSLATE(D21,""zh-tw"",""KO"")"),"쓰레기")</f>
        <v>쓰레기</v>
      </c>
      <c r="AD21" s="210"/>
      <c r="AE21" s="475" t="s">
        <v>10350</v>
      </c>
      <c r="AF21" s="235"/>
      <c r="AG21" s="474" t="s">
        <v>10154</v>
      </c>
      <c r="AH21" s="474" t="s">
        <v>10351</v>
      </c>
      <c r="AI21" s="476"/>
      <c r="AJ21" s="477" t="s">
        <v>10352</v>
      </c>
      <c r="AK21" s="469"/>
      <c r="AL21" s="177" t="s">
        <v>10156</v>
      </c>
      <c r="AM21" s="177" t="s">
        <v>10353</v>
      </c>
      <c r="AN21" s="210"/>
      <c r="AO21" s="480" t="s">
        <v>10354</v>
      </c>
      <c r="AP21" s="478"/>
      <c r="AQ21" s="221" t="s">
        <v>10158</v>
      </c>
      <c r="AR21" s="221" t="s">
        <v>10355</v>
      </c>
      <c r="AS21" s="463"/>
      <c r="AT21" s="161" t="s">
        <v>10356</v>
      </c>
      <c r="AU21" s="479"/>
      <c r="AV21" s="210" t="s">
        <v>10159</v>
      </c>
      <c r="AW21" s="210" t="s">
        <v>10357</v>
      </c>
      <c r="AX21" s="83"/>
      <c r="AY21" s="161"/>
      <c r="AZ21" s="473"/>
      <c r="BA21" s="474"/>
      <c r="BB21" s="474"/>
      <c r="BC21" s="156"/>
      <c r="BD21" s="83"/>
      <c r="BE21" s="83"/>
      <c r="BF21" s="83"/>
      <c r="BG21" s="83"/>
      <c r="BH21" s="83"/>
    </row>
    <row r="22">
      <c r="A22" s="161" t="s">
        <v>10358</v>
      </c>
      <c r="B22" s="473"/>
      <c r="C22" s="474" t="s">
        <v>10318</v>
      </c>
      <c r="D22" s="474" t="s">
        <v>1039</v>
      </c>
      <c r="E22" s="156"/>
      <c r="F22" s="161" t="s">
        <v>10359</v>
      </c>
      <c r="G22" s="473"/>
      <c r="H22" s="474" t="s">
        <v>10149</v>
      </c>
      <c r="I22" s="474" t="s">
        <v>1042</v>
      </c>
      <c r="J22" s="156"/>
      <c r="K22" s="256" t="s">
        <v>10360</v>
      </c>
      <c r="L22" s="473"/>
      <c r="M22" s="177" t="s">
        <v>10151</v>
      </c>
      <c r="N22" s="177" t="s">
        <v>10361</v>
      </c>
      <c r="O22" s="210"/>
      <c r="P22" s="256" t="str">
        <f>IFERROR(__xludf.DUMMYFUNCTION("GOOGLETRANSLATE(A22,""zh-tw"",""zh"")"),"奇怪的史莱姆果冻(彩色)")</f>
        <v>奇怪的史莱姆果冻(彩色)</v>
      </c>
      <c r="Q22" s="454"/>
      <c r="R22" s="474" t="str">
        <f>IFERROR(__xludf.DUMMYFUNCTION("GOOGLETRANSLATE(C22,""zh-tw"",""zh"")"),"水怪黏液")</f>
        <v>水怪黏液</v>
      </c>
      <c r="S22" s="474" t="str">
        <f>IFERROR(__xludf.DUMMYFUNCTION("GOOGLETRANSLATE(D22,""zh-tw"",""zh"")"),"呆毛")</f>
        <v>呆毛</v>
      </c>
      <c r="T22" s="474"/>
      <c r="U22" s="161" t="str">
        <f>IFERROR(__xludf.DUMMYFUNCTION("GOOGLETRANSLATE(A22,""zh-tw"",""es-MX"")"),"Gelatina viscosa extraña (colorida)")</f>
        <v>Gelatina viscosa extraña (colorida)</v>
      </c>
      <c r="V22" s="468"/>
      <c r="W22" s="474" t="str">
        <f>IFERROR(__xludf.DUMMYFUNCTION("GOOGLETRANSLATE(C22,""zh-tw"",""es-MX"")"),"Monstruo acuático de limo")</f>
        <v>Monstruo acuático de limo</v>
      </c>
      <c r="X22" s="474" t="str">
        <f>IFERROR(__xludf.DUMMYFUNCTION("GOOGLETRANSLATE(D22,""zh-tw"",""es-MX"")"),"mechón de pelo")</f>
        <v>mechón de pelo</v>
      </c>
      <c r="Y22" s="474"/>
      <c r="Z22" s="475" t="str">
        <f>IFERROR(__xludf.DUMMYFUNCTION("GOOGLETRANSLATE(A22,""zh-tw"",""KO"")"),"이상한 슬라임 젤리 (다채로운)")</f>
        <v>이상한 슬라임 젤리 (다채로운)</v>
      </c>
      <c r="AA22" s="469"/>
      <c r="AB22" s="177" t="s">
        <v>10323</v>
      </c>
      <c r="AC22" s="177" t="s">
        <v>1051</v>
      </c>
      <c r="AD22" s="210"/>
      <c r="AE22" s="475" t="s">
        <v>10362</v>
      </c>
      <c r="AF22" s="235"/>
      <c r="AG22" s="474" t="s">
        <v>10324</v>
      </c>
      <c r="AH22" s="474" t="s">
        <v>1054</v>
      </c>
      <c r="AI22" s="476"/>
      <c r="AJ22" s="477" t="s">
        <v>10363</v>
      </c>
      <c r="AK22" s="469"/>
      <c r="AL22" s="177" t="s">
        <v>10326</v>
      </c>
      <c r="AM22" s="177" t="s">
        <v>10364</v>
      </c>
      <c r="AN22" s="210"/>
      <c r="AO22" s="480" t="s">
        <v>10365</v>
      </c>
      <c r="AP22" s="478"/>
      <c r="AQ22" s="221" t="s">
        <v>10158</v>
      </c>
      <c r="AR22" s="221" t="s">
        <v>10366</v>
      </c>
      <c r="AS22" s="463"/>
      <c r="AT22" s="161" t="s">
        <v>10367</v>
      </c>
      <c r="AU22" s="479"/>
      <c r="AV22" s="210" t="s">
        <v>10159</v>
      </c>
      <c r="AW22" s="210" t="s">
        <v>10368</v>
      </c>
      <c r="AX22" s="83"/>
      <c r="AY22" s="161"/>
      <c r="AZ22" s="473"/>
      <c r="BA22" s="474"/>
      <c r="BB22" s="474"/>
      <c r="BC22" s="156"/>
      <c r="BD22" s="83"/>
      <c r="BE22" s="83"/>
      <c r="BF22" s="83"/>
      <c r="BG22" s="83"/>
      <c r="BH22" s="83"/>
    </row>
    <row r="23">
      <c r="A23" s="161" t="s">
        <v>10369</v>
      </c>
      <c r="B23" s="473"/>
      <c r="C23" s="474" t="s">
        <v>10370</v>
      </c>
      <c r="D23" s="156"/>
      <c r="E23" s="156"/>
      <c r="F23" s="161" t="s">
        <v>10371</v>
      </c>
      <c r="G23" s="473"/>
      <c r="H23" s="474" t="s">
        <v>10372</v>
      </c>
      <c r="I23" s="156"/>
      <c r="J23" s="156"/>
      <c r="K23" s="248" t="s">
        <v>10373</v>
      </c>
      <c r="L23" s="473"/>
      <c r="M23" s="177" t="s">
        <v>10374</v>
      </c>
      <c r="N23" s="210"/>
      <c r="O23" s="210"/>
      <c r="P23" s="256" t="str">
        <f>IFERROR(__xludf.DUMMYFUNCTION("GOOGLETRANSLATE(A23,""zh-tw"",""zh"")"),"烤香蕉")</f>
        <v>烤香蕉</v>
      </c>
      <c r="Q23" s="454"/>
      <c r="R23" s="474" t="str">
        <f>IFERROR(__xludf.DUMMYFUNCTION("GOOGLETRANSLATE(C23,""zh-tw"",""zh"")"),"香蕉")</f>
        <v>香蕉</v>
      </c>
      <c r="S23" s="474"/>
      <c r="T23" s="474"/>
      <c r="U23" s="161" t="str">
        <f>IFERROR(__xludf.DUMMYFUNCTION("GOOGLETRANSLATE(A23,""zh-tw"",""es-MX"")"),"Plátanos al horno")</f>
        <v>Plátanos al horno</v>
      </c>
      <c r="V23" s="468"/>
      <c r="W23" s="474" t="str">
        <f>IFERROR(__xludf.DUMMYFUNCTION("GOOGLETRANSLATE(C23,""zh-tw"",""es-MX"")"),"banana")</f>
        <v>banana</v>
      </c>
      <c r="X23" s="474"/>
      <c r="Y23" s="474"/>
      <c r="Z23" s="475" t="str">
        <f>IFERROR(__xludf.DUMMYFUNCTION("GOOGLETRANSLATE(A23,""zh-tw"",""KO"")"),"구운 바나나")</f>
        <v>구운 바나나</v>
      </c>
      <c r="AA23" s="469"/>
      <c r="AB23" s="210" t="str">
        <f>IFERROR(__xludf.DUMMYFUNCTION("GOOGLETRANSLATE(C23,""zh-tw"",""KO"")"),"바나나")</f>
        <v>바나나</v>
      </c>
      <c r="AC23" s="210"/>
      <c r="AD23" s="210"/>
      <c r="AE23" s="475" t="s">
        <v>10375</v>
      </c>
      <c r="AF23" s="235"/>
      <c r="AG23" s="474" t="s">
        <v>10376</v>
      </c>
      <c r="AH23" s="476"/>
      <c r="AI23" s="476"/>
      <c r="AJ23" s="477" t="s">
        <v>10377</v>
      </c>
      <c r="AK23" s="469"/>
      <c r="AL23" s="177" t="s">
        <v>10378</v>
      </c>
      <c r="AM23" s="210"/>
      <c r="AN23" s="210"/>
      <c r="AO23" s="219" t="s">
        <v>10379</v>
      </c>
      <c r="AP23" s="478"/>
      <c r="AQ23" s="221" t="s">
        <v>10380</v>
      </c>
      <c r="AR23" s="463"/>
      <c r="AS23" s="463"/>
      <c r="AT23" s="161" t="s">
        <v>10373</v>
      </c>
      <c r="AU23" s="479"/>
      <c r="AV23" s="210" t="s">
        <v>10374</v>
      </c>
      <c r="AW23" s="83"/>
      <c r="AX23" s="83"/>
      <c r="AY23" s="161"/>
      <c r="AZ23" s="473"/>
      <c r="BA23" s="474"/>
      <c r="BB23" s="156"/>
      <c r="BC23" s="156"/>
      <c r="BD23" s="83"/>
      <c r="BE23" s="83"/>
      <c r="BF23" s="83"/>
      <c r="BG23" s="83"/>
      <c r="BH23" s="83"/>
    </row>
    <row r="24">
      <c r="A24" s="161" t="s">
        <v>10381</v>
      </c>
      <c r="B24" s="473"/>
      <c r="C24" s="474" t="s">
        <v>6190</v>
      </c>
      <c r="D24" s="474" t="s">
        <v>7041</v>
      </c>
      <c r="E24" s="474" t="s">
        <v>10382</v>
      </c>
      <c r="F24" s="161" t="s">
        <v>10383</v>
      </c>
      <c r="G24" s="473"/>
      <c r="H24" s="474" t="s">
        <v>10276</v>
      </c>
      <c r="I24" s="474" t="s">
        <v>10384</v>
      </c>
      <c r="J24" s="474" t="s">
        <v>10385</v>
      </c>
      <c r="K24" s="256" t="s">
        <v>10386</v>
      </c>
      <c r="L24" s="473"/>
      <c r="M24" s="177" t="s">
        <v>6195</v>
      </c>
      <c r="N24" s="177" t="s">
        <v>7043</v>
      </c>
      <c r="O24" s="177" t="s">
        <v>10387</v>
      </c>
      <c r="P24" s="256" t="str">
        <f>IFERROR(__xludf.DUMMYFUNCTION("GOOGLETRANSLATE(A24,""zh-tw"",""zh"")"),"罗宋汤")</f>
        <v>罗宋汤</v>
      </c>
      <c r="Q24" s="454"/>
      <c r="R24" s="474" t="str">
        <f>IFERROR(__xludf.DUMMYFUNCTION("GOOGLETRANSLATE(C24,""zh-tw"",""zh"")"),"小块兽肉")</f>
        <v>小块兽肉</v>
      </c>
      <c r="S24" s="474" t="str">
        <f>IFERROR(__xludf.DUMMYFUNCTION("GOOGLETRANSLATE(D24,""zh-tw"",""zh"")"),"土豆")</f>
        <v>土豆</v>
      </c>
      <c r="T24" s="474" t="str">
        <f>IFERROR(__xludf.DUMMYFUNCTION("GOOGLETRANSLATE(E24,""zh-tw"",""zh"")"),"胡萝卜")</f>
        <v>胡萝卜</v>
      </c>
      <c r="U24" s="161" t="str">
        <f>IFERROR(__xludf.DUMMYFUNCTION("GOOGLETRANSLATE(A24,""zh-tw"",""es-MX"")"),"Sopa de remolacha")</f>
        <v>Sopa de remolacha</v>
      </c>
      <c r="V24" s="468"/>
      <c r="W24" s="474" t="str">
        <f>IFERROR(__xludf.DUMMYFUNCTION("GOOGLETRANSLATE(C24,""zh-tw"",""es-MX"")"),"Pequeños trozos de carne")</f>
        <v>Pequeños trozos de carne</v>
      </c>
      <c r="X24" s="474" t="str">
        <f>IFERROR(__xludf.DUMMYFUNCTION("GOOGLETRANSLATE(D24,""zh-tw"",""es-MX"")"),"Papa")</f>
        <v>Papa</v>
      </c>
      <c r="Y24" s="474" t="str">
        <f>IFERROR(__xludf.DUMMYFUNCTION("GOOGLETRANSLATE(E24,""zh-tw"",""es-MX"")"),"zanahoria")</f>
        <v>zanahoria</v>
      </c>
      <c r="Z24" s="475" t="str">
        <f>IFERROR(__xludf.DUMMYFUNCTION("GOOGLETRANSLATE(A24,""zh-tw"",""KO"")"),"보르쉬")</f>
        <v>보르쉬</v>
      </c>
      <c r="AA24" s="469"/>
      <c r="AB24" s="177" t="s">
        <v>10279</v>
      </c>
      <c r="AC24" s="210" t="str">
        <f>IFERROR(__xludf.DUMMYFUNCTION("GOOGLETRANSLATE(D24,""zh-tw"",""KO"")"),"감자")</f>
        <v>감자</v>
      </c>
      <c r="AD24" s="210" t="str">
        <f>IFERROR(__xludf.DUMMYFUNCTION("GOOGLETRANSLATE(E24,""zh-tw"",""KO"")"),"당근")</f>
        <v>당근</v>
      </c>
      <c r="AE24" s="475" t="s">
        <v>10388</v>
      </c>
      <c r="AF24" s="235"/>
      <c r="AG24" s="474" t="s">
        <v>10389</v>
      </c>
      <c r="AH24" s="474" t="s">
        <v>7046</v>
      </c>
      <c r="AI24" s="474" t="s">
        <v>10390</v>
      </c>
      <c r="AJ24" s="477" t="s">
        <v>10391</v>
      </c>
      <c r="AK24" s="469"/>
      <c r="AL24" s="177" t="s">
        <v>10283</v>
      </c>
      <c r="AM24" s="177" t="s">
        <v>7048</v>
      </c>
      <c r="AN24" s="177" t="s">
        <v>7048</v>
      </c>
      <c r="AO24" s="219" t="s">
        <v>10392</v>
      </c>
      <c r="AP24" s="478"/>
      <c r="AQ24" s="221" t="s">
        <v>6201</v>
      </c>
      <c r="AR24" s="221" t="s">
        <v>7050</v>
      </c>
      <c r="AS24" s="221" t="s">
        <v>10393</v>
      </c>
      <c r="AT24" s="161" t="s">
        <v>10386</v>
      </c>
      <c r="AU24" s="479"/>
      <c r="AV24" s="210" t="s">
        <v>6203</v>
      </c>
      <c r="AW24" s="210" t="s">
        <v>7052</v>
      </c>
      <c r="AX24" s="210" t="s">
        <v>10394</v>
      </c>
      <c r="AY24" s="161"/>
      <c r="AZ24" s="473"/>
      <c r="BA24" s="474"/>
      <c r="BB24" s="474"/>
      <c r="BC24" s="474"/>
      <c r="BD24" s="210"/>
      <c r="BE24" s="210"/>
      <c r="BF24" s="210"/>
      <c r="BG24" s="210"/>
      <c r="BH24" s="210"/>
    </row>
    <row r="25">
      <c r="A25" s="161" t="s">
        <v>10395</v>
      </c>
      <c r="B25" s="473"/>
      <c r="C25" s="474" t="s">
        <v>10396</v>
      </c>
      <c r="D25" s="156"/>
      <c r="E25" s="156"/>
      <c r="F25" s="161" t="s">
        <v>10397</v>
      </c>
      <c r="G25" s="473"/>
      <c r="H25" s="474" t="s">
        <v>10398</v>
      </c>
      <c r="I25" s="156"/>
      <c r="J25" s="156"/>
      <c r="K25" s="256" t="s">
        <v>10399</v>
      </c>
      <c r="L25" s="473"/>
      <c r="M25" s="177" t="s">
        <v>10400</v>
      </c>
      <c r="N25" s="210"/>
      <c r="O25" s="210"/>
      <c r="P25" s="256" t="str">
        <f>IFERROR(__xludf.DUMMYFUNCTION("GOOGLETRANSLATE(A25,""zh-tw"",""zh"")"),"烤章鱼脚")</f>
        <v>烤章鱼脚</v>
      </c>
      <c r="Q25" s="454"/>
      <c r="R25" s="474" t="str">
        <f>IFERROR(__xludf.DUMMYFUNCTION("GOOGLETRANSLATE(C25,""zh-tw"",""zh"")"),"章鱼脚")</f>
        <v>章鱼脚</v>
      </c>
      <c r="S25" s="474"/>
      <c r="T25" s="474"/>
      <c r="U25" s="161" t="str">
        <f>IFERROR(__xludf.DUMMYFUNCTION("GOOGLETRANSLATE(A25,""zh-tw"",""es-MX"")"),"Patas de pulpo a la parrilla")</f>
        <v>Patas de pulpo a la parrilla</v>
      </c>
      <c r="V25" s="468"/>
      <c r="W25" s="474" t="str">
        <f>IFERROR(__xludf.DUMMYFUNCTION("GOOGLETRANSLATE(C25,""zh-tw"",""es-MX"")"),"Patas de pulpo")</f>
        <v>Patas de pulpo</v>
      </c>
      <c r="X25" s="474"/>
      <c r="Y25" s="474"/>
      <c r="Z25" s="477" t="s">
        <v>10401</v>
      </c>
      <c r="AA25" s="469"/>
      <c r="AB25" s="177" t="s">
        <v>10402</v>
      </c>
      <c r="AC25" s="210"/>
      <c r="AD25" s="210"/>
      <c r="AE25" s="475" t="s">
        <v>10403</v>
      </c>
      <c r="AF25" s="235"/>
      <c r="AG25" s="474" t="s">
        <v>10404</v>
      </c>
      <c r="AH25" s="476"/>
      <c r="AI25" s="476"/>
      <c r="AJ25" s="477" t="s">
        <v>10405</v>
      </c>
      <c r="AK25" s="469"/>
      <c r="AL25" s="177" t="s">
        <v>10406</v>
      </c>
      <c r="AM25" s="210"/>
      <c r="AN25" s="210"/>
      <c r="AO25" s="219" t="s">
        <v>10407</v>
      </c>
      <c r="AP25" s="478"/>
      <c r="AQ25" s="221" t="s">
        <v>10408</v>
      </c>
      <c r="AR25" s="463"/>
      <c r="AS25" s="463"/>
      <c r="AT25" s="161" t="s">
        <v>10409</v>
      </c>
      <c r="AU25" s="479"/>
      <c r="AV25" s="210" t="s">
        <v>10410</v>
      </c>
      <c r="AW25" s="83"/>
      <c r="AX25" s="83"/>
      <c r="AY25" s="161"/>
      <c r="AZ25" s="473"/>
      <c r="BA25" s="474"/>
      <c r="BB25" s="156"/>
      <c r="BC25" s="156"/>
      <c r="BD25" s="83"/>
      <c r="BE25" s="83"/>
      <c r="BF25" s="83"/>
      <c r="BG25" s="83"/>
      <c r="BH25" s="83"/>
    </row>
    <row r="26">
      <c r="A26" s="190" t="s">
        <v>10411</v>
      </c>
      <c r="B26" s="473"/>
      <c r="C26" s="474" t="s">
        <v>10412</v>
      </c>
      <c r="D26" s="474" t="s">
        <v>10412</v>
      </c>
      <c r="E26" s="474" t="s">
        <v>10412</v>
      </c>
      <c r="F26" s="161" t="s">
        <v>10413</v>
      </c>
      <c r="G26" s="473"/>
      <c r="H26" s="474" t="s">
        <v>10385</v>
      </c>
      <c r="I26" s="474" t="s">
        <v>10385</v>
      </c>
      <c r="J26" s="474" t="s">
        <v>10385</v>
      </c>
      <c r="K26" s="248" t="s">
        <v>10414</v>
      </c>
      <c r="L26" s="473"/>
      <c r="M26" s="177" t="s">
        <v>10387</v>
      </c>
      <c r="N26" s="177" t="s">
        <v>10387</v>
      </c>
      <c r="O26" s="177" t="s">
        <v>10387</v>
      </c>
      <c r="P26" s="256" t="str">
        <f>IFERROR(__xludf.DUMMYFUNCTION("GOOGLETRANSLATE(A26,""zh-tw"",""zh"")"),"蔬菜沙拉")</f>
        <v>蔬菜沙拉</v>
      </c>
      <c r="Q26" s="454"/>
      <c r="R26" s="474" t="str">
        <f>IFERROR(__xludf.DUMMYFUNCTION("GOOGLETRANSLATE(C26,""zh-tw"",""zh"")"),"蔬菜")</f>
        <v>蔬菜</v>
      </c>
      <c r="S26" s="474" t="str">
        <f>IFERROR(__xludf.DUMMYFUNCTION("GOOGLETRANSLATE(D26,""zh-tw"",""zh"")"),"蔬菜")</f>
        <v>蔬菜</v>
      </c>
      <c r="T26" s="474" t="str">
        <f>IFERROR(__xludf.DUMMYFUNCTION("GOOGLETRANSLATE(E26,""zh-tw"",""zh"")"),"蔬菜")</f>
        <v>蔬菜</v>
      </c>
      <c r="U26" s="161" t="str">
        <f>IFERROR(__xludf.DUMMYFUNCTION("GOOGLETRANSLATE(A26,""zh-tw"",""es-MX"")"),"Ensalada de verduras")</f>
        <v>Ensalada de verduras</v>
      </c>
      <c r="V26" s="468"/>
      <c r="W26" s="474" t="str">
        <f>IFERROR(__xludf.DUMMYFUNCTION("GOOGLETRANSLATE(C26,""zh-tw"",""es-MX"")"),"verdura")</f>
        <v>verdura</v>
      </c>
      <c r="X26" s="474" t="str">
        <f>IFERROR(__xludf.DUMMYFUNCTION("GOOGLETRANSLATE(D26,""zh-tw"",""es-MX"")"),"verdura")</f>
        <v>verdura</v>
      </c>
      <c r="Y26" s="474" t="str">
        <f>IFERROR(__xludf.DUMMYFUNCTION("GOOGLETRANSLATE(E26,""zh-tw"",""es-MX"")"),"verdura")</f>
        <v>verdura</v>
      </c>
      <c r="Z26" s="477" t="s">
        <v>10415</v>
      </c>
      <c r="AA26" s="469"/>
      <c r="AB26" s="482" t="s">
        <v>10416</v>
      </c>
      <c r="AC26" s="482" t="s">
        <v>10416</v>
      </c>
      <c r="AD26" s="177" t="s">
        <v>10416</v>
      </c>
      <c r="AE26" s="475" t="s">
        <v>10417</v>
      </c>
      <c r="AF26" s="235"/>
      <c r="AG26" s="474" t="s">
        <v>10418</v>
      </c>
      <c r="AH26" s="474" t="s">
        <v>10418</v>
      </c>
      <c r="AI26" s="474" t="s">
        <v>10418</v>
      </c>
      <c r="AJ26" s="477" t="s">
        <v>10419</v>
      </c>
      <c r="AK26" s="469"/>
      <c r="AL26" s="177" t="s">
        <v>10420</v>
      </c>
      <c r="AM26" s="177" t="s">
        <v>10420</v>
      </c>
      <c r="AN26" s="177" t="s">
        <v>10420</v>
      </c>
      <c r="AO26" s="133" t="s">
        <v>10421</v>
      </c>
      <c r="AP26" s="478"/>
      <c r="AQ26" s="221" t="s">
        <v>10393</v>
      </c>
      <c r="AR26" s="221" t="s">
        <v>10393</v>
      </c>
      <c r="AS26" s="221" t="s">
        <v>10393</v>
      </c>
      <c r="AT26" s="161" t="s">
        <v>10422</v>
      </c>
      <c r="AU26" s="479"/>
      <c r="AV26" s="210" t="s">
        <v>10394</v>
      </c>
      <c r="AW26" s="210" t="s">
        <v>10394</v>
      </c>
      <c r="AX26" s="210" t="s">
        <v>10394</v>
      </c>
      <c r="AY26" s="190"/>
      <c r="AZ26" s="473"/>
      <c r="BA26" s="474"/>
      <c r="BB26" s="474"/>
      <c r="BC26" s="474"/>
      <c r="BD26" s="210"/>
      <c r="BE26" s="210"/>
      <c r="BF26" s="210"/>
      <c r="BG26" s="210"/>
      <c r="BH26" s="210"/>
    </row>
    <row r="27">
      <c r="A27" s="161" t="s">
        <v>10423</v>
      </c>
      <c r="B27" s="473"/>
      <c r="C27" s="474" t="s">
        <v>7041</v>
      </c>
      <c r="D27" s="156"/>
      <c r="E27" s="156"/>
      <c r="F27" s="161" t="s">
        <v>10424</v>
      </c>
      <c r="G27" s="473"/>
      <c r="H27" s="474" t="s">
        <v>10384</v>
      </c>
      <c r="I27" s="156"/>
      <c r="J27" s="156"/>
      <c r="K27" s="256" t="s">
        <v>10425</v>
      </c>
      <c r="L27" s="473"/>
      <c r="M27" s="177" t="s">
        <v>7043</v>
      </c>
      <c r="N27" s="210"/>
      <c r="O27" s="210"/>
      <c r="P27" s="256" t="str">
        <f>IFERROR(__xludf.DUMMYFUNCTION("GOOGLETRANSLATE(A27,""zh-tw"",""zh"")"),"土豆泥")</f>
        <v>土豆泥</v>
      </c>
      <c r="Q27" s="454"/>
      <c r="R27" s="474" t="str">
        <f>IFERROR(__xludf.DUMMYFUNCTION("GOOGLETRANSLATE(C27,""zh-tw"",""zh"")"),"土豆")</f>
        <v>土豆</v>
      </c>
      <c r="S27" s="474"/>
      <c r="T27" s="474"/>
      <c r="U27" s="161" t="str">
        <f>IFERROR(__xludf.DUMMYFUNCTION("GOOGLETRANSLATE(A27,""zh-tw"",""es-MX"")"),"Puré de papas")</f>
        <v>Puré de papas</v>
      </c>
      <c r="V27" s="468"/>
      <c r="W27" s="474" t="str">
        <f>IFERROR(__xludf.DUMMYFUNCTION("GOOGLETRANSLATE(C27,""zh-tw"",""es-MX"")"),"Papa")</f>
        <v>Papa</v>
      </c>
      <c r="X27" s="474"/>
      <c r="Y27" s="474"/>
      <c r="Z27" s="477" t="s">
        <v>10426</v>
      </c>
      <c r="AA27" s="469"/>
      <c r="AB27" s="210" t="str">
        <f>IFERROR(__xludf.DUMMYFUNCTION("GOOGLETRANSLATE(C27,""zh-tw"",""KO"")"),"감자")</f>
        <v>감자</v>
      </c>
      <c r="AC27" s="210"/>
      <c r="AD27" s="210"/>
      <c r="AE27" s="475" t="s">
        <v>10427</v>
      </c>
      <c r="AF27" s="235"/>
      <c r="AG27" s="474" t="s">
        <v>7046</v>
      </c>
      <c r="AH27" s="476"/>
      <c r="AI27" s="476"/>
      <c r="AJ27" s="477" t="s">
        <v>10428</v>
      </c>
      <c r="AK27" s="469"/>
      <c r="AL27" s="177" t="s">
        <v>7048</v>
      </c>
      <c r="AM27" s="210"/>
      <c r="AN27" s="210"/>
      <c r="AO27" s="219" t="s">
        <v>10429</v>
      </c>
      <c r="AP27" s="478"/>
      <c r="AQ27" s="221" t="s">
        <v>7050</v>
      </c>
      <c r="AR27" s="463"/>
      <c r="AS27" s="463"/>
      <c r="AT27" s="161" t="s">
        <v>10430</v>
      </c>
      <c r="AU27" s="479"/>
      <c r="AV27" s="210" t="s">
        <v>7052</v>
      </c>
      <c r="AW27" s="83"/>
      <c r="AX27" s="83"/>
      <c r="AY27" s="161"/>
      <c r="AZ27" s="473"/>
      <c r="BA27" s="474"/>
      <c r="BB27" s="156"/>
      <c r="BC27" s="156"/>
      <c r="BD27" s="83"/>
      <c r="BE27" s="83"/>
      <c r="BF27" s="83"/>
      <c r="BG27" s="83"/>
      <c r="BH27" s="83"/>
    </row>
    <row r="28">
      <c r="A28" s="161" t="s">
        <v>10431</v>
      </c>
      <c r="B28" s="473"/>
      <c r="C28" s="474" t="s">
        <v>10382</v>
      </c>
      <c r="D28" s="474" t="s">
        <v>10432</v>
      </c>
      <c r="E28" s="156"/>
      <c r="F28" s="161" t="s">
        <v>10433</v>
      </c>
      <c r="G28" s="473"/>
      <c r="H28" s="474" t="s">
        <v>10385</v>
      </c>
      <c r="I28" s="474" t="s">
        <v>10434</v>
      </c>
      <c r="J28" s="156"/>
      <c r="K28" s="256" t="s">
        <v>10435</v>
      </c>
      <c r="L28" s="473"/>
      <c r="M28" s="177" t="s">
        <v>10387</v>
      </c>
      <c r="N28" s="177" t="s">
        <v>10234</v>
      </c>
      <c r="O28" s="210"/>
      <c r="P28" s="256" t="str">
        <f>IFERROR(__xludf.DUMMYFUNCTION("GOOGLETRANSLATE(A28,""zh-tw"",""zh"")"),"萝卜菇片汤")</f>
        <v>萝卜菇片汤</v>
      </c>
      <c r="Q28" s="454"/>
      <c r="R28" s="474" t="str">
        <f>IFERROR(__xludf.DUMMYFUNCTION("GOOGLETRANSLATE(C28,""zh-tw"",""zh"")"),"胡萝卜")</f>
        <v>胡萝卜</v>
      </c>
      <c r="S28" s="474" t="str">
        <f>IFERROR(__xludf.DUMMYFUNCTION("GOOGLETRANSLATE(D28,""zh-tw"",""zh"")"),"菇类")</f>
        <v>菇类</v>
      </c>
      <c r="T28" s="474"/>
      <c r="U28" s="161" t="str">
        <f>IFERROR(__xludf.DUMMYFUNCTION("GOOGLETRANSLATE(A28,""zh-tw"",""es-MX"")"),"Sopa de rábanos y champiñones")</f>
        <v>Sopa de rábanos y champiñones</v>
      </c>
      <c r="V28" s="468"/>
      <c r="W28" s="474" t="str">
        <f>IFERROR(__xludf.DUMMYFUNCTION("GOOGLETRANSLATE(C28,""zh-tw"",""es-MX"")"),"zanahoria")</f>
        <v>zanahoria</v>
      </c>
      <c r="X28" s="474" t="str">
        <f>IFERROR(__xludf.DUMMYFUNCTION("GOOGLETRANSLATE(D28,""zh-tw"",""es-MX"")"),"Hongos")</f>
        <v>Hongos</v>
      </c>
      <c r="Y28" s="474"/>
      <c r="Z28" s="477" t="s">
        <v>10436</v>
      </c>
      <c r="AA28" s="469"/>
      <c r="AB28" s="210" t="str">
        <f>IFERROR(__xludf.DUMMYFUNCTION("GOOGLETRANSLATE(C28,""zh-tw"",""KO"")"),"당근")</f>
        <v>당근</v>
      </c>
      <c r="AC28" s="210" t="str">
        <f>IFERROR(__xludf.DUMMYFUNCTION("GOOGLETRANSLATE(D28,""zh-tw"",""KO"")"),"버섯")</f>
        <v>버섯</v>
      </c>
      <c r="AD28" s="210"/>
      <c r="AE28" s="475" t="s">
        <v>10437</v>
      </c>
      <c r="AF28" s="235"/>
      <c r="AG28" s="474" t="s">
        <v>10390</v>
      </c>
      <c r="AH28" s="474" t="s">
        <v>6889</v>
      </c>
      <c r="AI28" s="476"/>
      <c r="AJ28" s="477" t="s">
        <v>10438</v>
      </c>
      <c r="AK28" s="469"/>
      <c r="AL28" s="177" t="s">
        <v>10439</v>
      </c>
      <c r="AM28" s="210" t="str">
        <f>IFERROR(__xludf.DUMMYFUNCTION("GOOGLETRANSLATE(D28,""zh-tw"",""de"")"),"Pilze")</f>
        <v>Pilze</v>
      </c>
      <c r="AN28" s="210"/>
      <c r="AO28" s="219" t="s">
        <v>10440</v>
      </c>
      <c r="AP28" s="478"/>
      <c r="AQ28" s="221" t="s">
        <v>10393</v>
      </c>
      <c r="AR28" s="221" t="s">
        <v>10241</v>
      </c>
      <c r="AS28" s="463"/>
      <c r="AT28" s="161" t="s">
        <v>10441</v>
      </c>
      <c r="AU28" s="479"/>
      <c r="AV28" s="210" t="s">
        <v>10394</v>
      </c>
      <c r="AW28" s="210" t="s">
        <v>10243</v>
      </c>
      <c r="AX28" s="83"/>
      <c r="AY28" s="161"/>
      <c r="AZ28" s="473"/>
      <c r="BA28" s="474"/>
      <c r="BB28" s="474"/>
      <c r="BC28" s="156"/>
      <c r="BD28" s="83"/>
      <c r="BE28" s="83"/>
      <c r="BF28" s="83"/>
      <c r="BG28" s="83"/>
      <c r="BH28" s="83"/>
    </row>
    <row r="29">
      <c r="A29" s="161" t="s">
        <v>10442</v>
      </c>
      <c r="B29" s="473"/>
      <c r="C29" s="474" t="s">
        <v>10443</v>
      </c>
      <c r="D29" s="156"/>
      <c r="E29" s="156"/>
      <c r="F29" s="161" t="s">
        <v>10444</v>
      </c>
      <c r="G29" s="473"/>
      <c r="H29" s="474" t="s">
        <v>10445</v>
      </c>
      <c r="I29" s="156"/>
      <c r="J29" s="156"/>
      <c r="K29" s="256" t="s">
        <v>10446</v>
      </c>
      <c r="L29" s="473"/>
      <c r="M29" s="177" t="s">
        <v>10447</v>
      </c>
      <c r="N29" s="210"/>
      <c r="O29" s="210"/>
      <c r="P29" s="256" t="str">
        <f>IFERROR(__xludf.DUMMYFUNCTION("GOOGLETRANSLATE(A29,""zh-tw"",""zh"")"),"意面")</f>
        <v>意面</v>
      </c>
      <c r="Q29" s="454"/>
      <c r="R29" s="474" t="str">
        <f>IFERROR(__xludf.DUMMYFUNCTION("GOOGLETRANSLATE(C29,""zh-tw"",""zh"")"),"意大利面")</f>
        <v>意大利面</v>
      </c>
      <c r="S29" s="474"/>
      <c r="T29" s="474"/>
      <c r="U29" s="161" t="str">
        <f>IFERROR(__xludf.DUMMYFUNCTION("GOOGLETRANSLATE(A29,""zh-tw"",""es-MX"")"),"pastas")</f>
        <v>pastas</v>
      </c>
      <c r="V29" s="468"/>
      <c r="W29" s="474" t="str">
        <f>IFERROR(__xludf.DUMMYFUNCTION("GOOGLETRANSLATE(C29,""zh-tw"",""es-MX"")"),"espaguetis")</f>
        <v>espaguetis</v>
      </c>
      <c r="X29" s="474"/>
      <c r="Y29" s="474"/>
      <c r="Z29" s="475" t="str">
        <f>IFERROR(__xludf.DUMMYFUNCTION("GOOGLETRANSLATE(A29,""zh-tw"",""KO"")"),"파스타")</f>
        <v>파스타</v>
      </c>
      <c r="AA29" s="469"/>
      <c r="AB29" s="210" t="str">
        <f>IFERROR(__xludf.DUMMYFUNCTION("GOOGLETRANSLATE(C29,""zh-tw"",""KO"")"),"스파게티")</f>
        <v>스파게티</v>
      </c>
      <c r="AC29" s="210"/>
      <c r="AD29" s="210"/>
      <c r="AE29" s="475" t="s">
        <v>10172</v>
      </c>
      <c r="AF29" s="235"/>
      <c r="AG29" s="474" t="s">
        <v>10172</v>
      </c>
      <c r="AH29" s="476"/>
      <c r="AI29" s="476"/>
      <c r="AJ29" s="477" t="s">
        <v>10448</v>
      </c>
      <c r="AK29" s="469"/>
      <c r="AL29" s="177" t="s">
        <v>10447</v>
      </c>
      <c r="AM29" s="210"/>
      <c r="AN29" s="210"/>
      <c r="AO29" s="480" t="s">
        <v>10449</v>
      </c>
      <c r="AP29" s="478"/>
      <c r="AQ29" s="221" t="s">
        <v>10449</v>
      </c>
      <c r="AR29" s="463"/>
      <c r="AS29" s="463"/>
      <c r="AT29" s="161" t="s">
        <v>10450</v>
      </c>
      <c r="AU29" s="479"/>
      <c r="AV29" s="210" t="s">
        <v>10451</v>
      </c>
      <c r="AW29" s="83"/>
      <c r="AX29" s="83"/>
      <c r="AY29" s="161"/>
      <c r="AZ29" s="473"/>
      <c r="BA29" s="474"/>
      <c r="BB29" s="156"/>
      <c r="BC29" s="156"/>
      <c r="BD29" s="83"/>
      <c r="BE29" s="83"/>
      <c r="BF29" s="83"/>
      <c r="BG29" s="83"/>
      <c r="BH29" s="83"/>
    </row>
    <row r="30">
      <c r="A30" s="161" t="s">
        <v>10452</v>
      </c>
      <c r="B30" s="473"/>
      <c r="C30" s="474" t="s">
        <v>10443</v>
      </c>
      <c r="D30" s="474" t="s">
        <v>10453</v>
      </c>
      <c r="E30" s="156"/>
      <c r="F30" s="161" t="s">
        <v>10454</v>
      </c>
      <c r="G30" s="473"/>
      <c r="H30" s="474" t="s">
        <v>10445</v>
      </c>
      <c r="I30" s="474" t="s">
        <v>10455</v>
      </c>
      <c r="J30" s="156"/>
      <c r="K30" s="256" t="s">
        <v>10456</v>
      </c>
      <c r="L30" s="473"/>
      <c r="M30" s="177" t="s">
        <v>10447</v>
      </c>
      <c r="N30" s="177" t="s">
        <v>10457</v>
      </c>
      <c r="O30" s="210"/>
      <c r="P30" s="256" t="str">
        <f>IFERROR(__xludf.DUMMYFUNCTION("GOOGLETRANSLATE(A30,""zh-tw"",""zh"")"),"番茄意面")</f>
        <v>番茄意面</v>
      </c>
      <c r="Q30" s="454"/>
      <c r="R30" s="474" t="str">
        <f>IFERROR(__xludf.DUMMYFUNCTION("GOOGLETRANSLATE(C30,""zh-tw"",""zh"")"),"意大利面")</f>
        <v>意大利面</v>
      </c>
      <c r="S30" s="474" t="str">
        <f>IFERROR(__xludf.DUMMYFUNCTION("GOOGLETRANSLATE(D30,""zh-tw"",""zh"")"),"番茄酱")</f>
        <v>番茄酱</v>
      </c>
      <c r="T30" s="474"/>
      <c r="U30" s="161" t="str">
        <f>IFERROR(__xludf.DUMMYFUNCTION("GOOGLETRANSLATE(A30,""zh-tw"",""es-MX"")"),"Pasta con tomate")</f>
        <v>Pasta con tomate</v>
      </c>
      <c r="V30" s="468"/>
      <c r="W30" s="474" t="str">
        <f>IFERROR(__xludf.DUMMYFUNCTION("GOOGLETRANSLATE(C30,""zh-tw"",""es-MX"")"),"espaguetis")</f>
        <v>espaguetis</v>
      </c>
      <c r="X30" s="474" t="str">
        <f>IFERROR(__xludf.DUMMYFUNCTION("GOOGLETRANSLATE(D30,""zh-tw"",""es-MX"")"),"Salsa de tomate")</f>
        <v>Salsa de tomate</v>
      </c>
      <c r="Y30" s="474"/>
      <c r="Z30" s="475" t="str">
        <f>IFERROR(__xludf.DUMMYFUNCTION("GOOGLETRANSLATE(A30,""zh-tw"",""KO"")"),"토마토 파스타")</f>
        <v>토마토 파스타</v>
      </c>
      <c r="AA30" s="469"/>
      <c r="AB30" s="210" t="str">
        <f>IFERROR(__xludf.DUMMYFUNCTION("GOOGLETRANSLATE(C30,""zh-tw"",""KO"")"),"스파게티")</f>
        <v>스파게티</v>
      </c>
      <c r="AC30" s="210" t="str">
        <f>IFERROR(__xludf.DUMMYFUNCTION("GOOGLETRANSLATE(D30,""zh-tw"",""KO"")"),"토마토 소스")</f>
        <v>토마토 소스</v>
      </c>
      <c r="AD30" s="210"/>
      <c r="AE30" s="475" t="s">
        <v>10458</v>
      </c>
      <c r="AF30" s="235"/>
      <c r="AG30" s="474" t="s">
        <v>10172</v>
      </c>
      <c r="AH30" s="474" t="s">
        <v>10459</v>
      </c>
      <c r="AI30" s="476"/>
      <c r="AJ30" s="477" t="s">
        <v>10460</v>
      </c>
      <c r="AK30" s="469"/>
      <c r="AL30" s="177" t="s">
        <v>10447</v>
      </c>
      <c r="AM30" s="177" t="s">
        <v>10461</v>
      </c>
      <c r="AN30" s="210"/>
      <c r="AO30" s="480" t="s">
        <v>10462</v>
      </c>
      <c r="AP30" s="478"/>
      <c r="AQ30" s="221" t="s">
        <v>10449</v>
      </c>
      <c r="AR30" s="221" t="s">
        <v>10463</v>
      </c>
      <c r="AS30" s="463"/>
      <c r="AT30" s="161" t="s">
        <v>10464</v>
      </c>
      <c r="AU30" s="479"/>
      <c r="AV30" s="210" t="s">
        <v>10451</v>
      </c>
      <c r="AW30" s="210" t="s">
        <v>10465</v>
      </c>
      <c r="AX30" s="83"/>
      <c r="AY30" s="161"/>
      <c r="AZ30" s="473"/>
      <c r="BA30" s="474"/>
      <c r="BB30" s="474"/>
      <c r="BC30" s="156"/>
      <c r="BD30" s="83"/>
      <c r="BE30" s="83"/>
      <c r="BF30" s="83"/>
      <c r="BG30" s="83"/>
      <c r="BH30" s="83"/>
    </row>
    <row r="31">
      <c r="A31" s="161" t="s">
        <v>10466</v>
      </c>
      <c r="B31" s="473"/>
      <c r="C31" s="474" t="s">
        <v>10443</v>
      </c>
      <c r="D31" s="474" t="s">
        <v>10467</v>
      </c>
      <c r="E31" s="156"/>
      <c r="F31" s="161" t="s">
        <v>10468</v>
      </c>
      <c r="G31" s="473"/>
      <c r="H31" s="474" t="s">
        <v>10445</v>
      </c>
      <c r="I31" s="474" t="s">
        <v>10469</v>
      </c>
      <c r="J31" s="156"/>
      <c r="K31" s="256" t="s">
        <v>10470</v>
      </c>
      <c r="L31" s="473"/>
      <c r="M31" s="177" t="s">
        <v>10447</v>
      </c>
      <c r="N31" s="177" t="s">
        <v>10471</v>
      </c>
      <c r="O31" s="210"/>
      <c r="P31" s="256" t="str">
        <f>IFERROR(__xludf.DUMMYFUNCTION("GOOGLETRANSLATE(A31,""zh-tw"",""zh"")"),"海鲜意面")</f>
        <v>海鲜意面</v>
      </c>
      <c r="Q31" s="454"/>
      <c r="R31" s="474" t="str">
        <f>IFERROR(__xludf.DUMMYFUNCTION("GOOGLETRANSLATE(C31,""zh-tw"",""zh"")"),"意大利面")</f>
        <v>意大利面</v>
      </c>
      <c r="S31" s="474" t="str">
        <f>IFERROR(__xludf.DUMMYFUNCTION("GOOGLETRANSLATE(D31,""zh-tw"",""zh"")"),"甜虾")</f>
        <v>甜虾</v>
      </c>
      <c r="T31" s="474"/>
      <c r="U31" s="161" t="str">
        <f>IFERROR(__xludf.DUMMYFUNCTION("GOOGLETRANSLATE(A31,""zh-tw"",""es-MX"")"),"Pasta con mariscos")</f>
        <v>Pasta con mariscos</v>
      </c>
      <c r="V31" s="468"/>
      <c r="W31" s="474" t="str">
        <f>IFERROR(__xludf.DUMMYFUNCTION("GOOGLETRANSLATE(C31,""zh-tw"",""es-MX"")"),"espaguetis")</f>
        <v>espaguetis</v>
      </c>
      <c r="X31" s="474" t="str">
        <f>IFERROR(__xludf.DUMMYFUNCTION("GOOGLETRANSLATE(D31,""zh-tw"",""es-MX"")"),"Camarones dulces")</f>
        <v>Camarones dulces</v>
      </c>
      <c r="Y31" s="474"/>
      <c r="Z31" s="475" t="str">
        <f>IFERROR(__xludf.DUMMYFUNCTION("GOOGLETRANSLATE(A31,""zh-tw"",""KO"")"),"해산물 파스타")</f>
        <v>해산물 파스타</v>
      </c>
      <c r="AA31" s="469"/>
      <c r="AB31" s="210" t="str">
        <f>IFERROR(__xludf.DUMMYFUNCTION("GOOGLETRANSLATE(C31,""zh-tw"",""KO"")"),"스파게티")</f>
        <v>스파게티</v>
      </c>
      <c r="AC31" s="177" t="s">
        <v>10472</v>
      </c>
      <c r="AD31" s="210"/>
      <c r="AE31" s="475" t="s">
        <v>10473</v>
      </c>
      <c r="AF31" s="235"/>
      <c r="AG31" s="474" t="s">
        <v>10172</v>
      </c>
      <c r="AH31" s="474" t="s">
        <v>10474</v>
      </c>
      <c r="AI31" s="476"/>
      <c r="AJ31" s="477" t="s">
        <v>10475</v>
      </c>
      <c r="AK31" s="469"/>
      <c r="AL31" s="177" t="s">
        <v>10447</v>
      </c>
      <c r="AM31" s="177" t="s">
        <v>10476</v>
      </c>
      <c r="AN31" s="210"/>
      <c r="AO31" s="480" t="s">
        <v>10477</v>
      </c>
      <c r="AP31" s="478"/>
      <c r="AQ31" s="221" t="s">
        <v>10449</v>
      </c>
      <c r="AR31" s="221" t="s">
        <v>10478</v>
      </c>
      <c r="AS31" s="463"/>
      <c r="AT31" s="161" t="s">
        <v>10479</v>
      </c>
      <c r="AU31" s="479"/>
      <c r="AV31" s="210" t="s">
        <v>10451</v>
      </c>
      <c r="AW31" s="210" t="s">
        <v>10480</v>
      </c>
      <c r="AX31" s="83"/>
      <c r="AY31" s="161"/>
      <c r="AZ31" s="473"/>
      <c r="BA31" s="474"/>
      <c r="BB31" s="474"/>
      <c r="BC31" s="156"/>
      <c r="BD31" s="83"/>
      <c r="BE31" s="83"/>
      <c r="BF31" s="83"/>
      <c r="BG31" s="83"/>
      <c r="BH31" s="83"/>
    </row>
    <row r="32">
      <c r="A32" s="161" t="s">
        <v>10481</v>
      </c>
      <c r="B32" s="473"/>
      <c r="C32" s="474" t="s">
        <v>10161</v>
      </c>
      <c r="D32" s="474" t="s">
        <v>10162</v>
      </c>
      <c r="E32" s="474" t="s">
        <v>6851</v>
      </c>
      <c r="F32" s="161" t="s">
        <v>10482</v>
      </c>
      <c r="G32" s="473"/>
      <c r="H32" s="474" t="s">
        <v>10164</v>
      </c>
      <c r="I32" s="474" t="s">
        <v>10165</v>
      </c>
      <c r="J32" s="474" t="s">
        <v>10483</v>
      </c>
      <c r="K32" s="248" t="s">
        <v>10484</v>
      </c>
      <c r="L32" s="473"/>
      <c r="M32" s="177" t="s">
        <v>10167</v>
      </c>
      <c r="N32" s="177" t="s">
        <v>10168</v>
      </c>
      <c r="O32" s="177" t="s">
        <v>6855</v>
      </c>
      <c r="P32" s="256" t="str">
        <f>IFERROR(__xludf.DUMMYFUNCTION("GOOGLETRANSLATE(A32,""zh-tw"",""zh"")"),"鸡蛋咖喱饭")</f>
        <v>鸡蛋咖喱饭</v>
      </c>
      <c r="Q32" s="454"/>
      <c r="R32" s="474" t="str">
        <f>IFERROR(__xludf.DUMMYFUNCTION("GOOGLETRANSLATE(C32,""zh-tw"",""zh"")"),"白米饭")</f>
        <v>白米饭</v>
      </c>
      <c r="S32" s="474" t="str">
        <f>IFERROR(__xludf.DUMMYFUNCTION("GOOGLETRANSLATE(D32,""zh-tw"",""zh"")"),"咖喱块")</f>
        <v>咖喱块</v>
      </c>
      <c r="T32" s="474" t="str">
        <f>IFERROR(__xludf.DUMMYFUNCTION("GOOGLETRANSLATE(E32,""zh-tw"",""zh"")"),"很大的蛋")</f>
        <v>很大的蛋</v>
      </c>
      <c r="U32" s="161" t="str">
        <f>IFERROR(__xludf.DUMMYFUNCTION("GOOGLETRANSLATE(A32,""zh-tw"",""es-MX"")"),"arroz con curry de huevo")</f>
        <v>arroz con curry de huevo</v>
      </c>
      <c r="V32" s="468"/>
      <c r="W32" s="474" t="str">
        <f>IFERROR(__xludf.DUMMYFUNCTION("GOOGLETRANSLATE(C32,""zh-tw"",""es-MX"")"),"arroz blanco")</f>
        <v>arroz blanco</v>
      </c>
      <c r="X32" s="474" t="str">
        <f>IFERROR(__xludf.DUMMYFUNCTION("GOOGLETRANSLATE(D32,""zh-tw"",""es-MX"")"),"cubos de curry")</f>
        <v>cubos de curry</v>
      </c>
      <c r="Y32" s="474" t="str">
        <f>IFERROR(__xludf.DUMMYFUNCTION("GOOGLETRANSLATE(E32,""zh-tw"",""es-MX"")"),"Un huevo muy grande")</f>
        <v>Un huevo muy grande</v>
      </c>
      <c r="Z32" s="475" t="str">
        <f>IFERROR(__xludf.DUMMYFUNCTION("GOOGLETRANSLATE(A32,""zh-tw"",""KO"")"),"계란 카레라이스")</f>
        <v>계란 카레라이스</v>
      </c>
      <c r="AA32" s="469"/>
      <c r="AB32" s="210" t="str">
        <f>IFERROR(__xludf.DUMMYFUNCTION("GOOGLETRANSLATE(C32,""zh-tw"",""KO"")"),"흰쌀")</f>
        <v>흰쌀</v>
      </c>
      <c r="AC32" s="177" t="s">
        <v>10169</v>
      </c>
      <c r="AD32" s="177" t="s">
        <v>6858</v>
      </c>
      <c r="AE32" s="475" t="s">
        <v>10485</v>
      </c>
      <c r="AF32" s="235"/>
      <c r="AG32" s="474" t="s">
        <v>10171</v>
      </c>
      <c r="AH32" s="474" t="s">
        <v>10172</v>
      </c>
      <c r="AI32" s="474" t="s">
        <v>6860</v>
      </c>
      <c r="AJ32" s="477" t="s">
        <v>10486</v>
      </c>
      <c r="AK32" s="469"/>
      <c r="AL32" s="177" t="s">
        <v>10174</v>
      </c>
      <c r="AM32" s="177" t="s">
        <v>10175</v>
      </c>
      <c r="AN32" s="177" t="s">
        <v>10487</v>
      </c>
      <c r="AO32" s="219" t="s">
        <v>10488</v>
      </c>
      <c r="AP32" s="478"/>
      <c r="AQ32" s="221" t="s">
        <v>10177</v>
      </c>
      <c r="AR32" s="221" t="s">
        <v>10178</v>
      </c>
      <c r="AS32" s="221" t="s">
        <v>6866</v>
      </c>
      <c r="AT32" s="161" t="s">
        <v>10489</v>
      </c>
      <c r="AU32" s="479"/>
      <c r="AV32" s="210" t="s">
        <v>10180</v>
      </c>
      <c r="AW32" s="177" t="s">
        <v>10181</v>
      </c>
      <c r="AX32" s="210" t="s">
        <v>6869</v>
      </c>
      <c r="AY32" s="161"/>
      <c r="AZ32" s="473"/>
      <c r="BA32" s="474"/>
      <c r="BB32" s="474"/>
      <c r="BC32" s="474"/>
      <c r="BD32" s="210"/>
      <c r="BE32" s="210"/>
      <c r="BF32" s="210"/>
      <c r="BG32" s="210"/>
      <c r="BH32" s="210"/>
    </row>
    <row r="33">
      <c r="A33" s="161" t="s">
        <v>10490</v>
      </c>
      <c r="B33" s="473"/>
      <c r="C33" s="474" t="s">
        <v>10161</v>
      </c>
      <c r="D33" s="474" t="s">
        <v>6851</v>
      </c>
      <c r="E33" s="156"/>
      <c r="F33" s="161" t="s">
        <v>10491</v>
      </c>
      <c r="G33" s="473"/>
      <c r="H33" s="474" t="s">
        <v>10164</v>
      </c>
      <c r="I33" s="474" t="s">
        <v>10483</v>
      </c>
      <c r="J33" s="156"/>
      <c r="K33" s="256" t="s">
        <v>10492</v>
      </c>
      <c r="L33" s="473"/>
      <c r="M33" s="177" t="s">
        <v>10167</v>
      </c>
      <c r="N33" s="177" t="s">
        <v>10493</v>
      </c>
      <c r="O33" s="210"/>
      <c r="P33" s="256" t="str">
        <f>IFERROR(__xludf.DUMMYFUNCTION("GOOGLETRANSLATE(A33,""zh-tw"",""zh"")"),"蛋包饭")</f>
        <v>蛋包饭</v>
      </c>
      <c r="Q33" s="454"/>
      <c r="R33" s="474" t="str">
        <f>IFERROR(__xludf.DUMMYFUNCTION("GOOGLETRANSLATE(C33,""zh-tw"",""zh"")"),"白米饭")</f>
        <v>白米饭</v>
      </c>
      <c r="S33" s="474" t="str">
        <f>IFERROR(__xludf.DUMMYFUNCTION("GOOGLETRANSLATE(D33,""zh-tw"",""zh"")"),"很大的蛋")</f>
        <v>很大的蛋</v>
      </c>
      <c r="T33" s="474"/>
      <c r="U33" s="161" t="str">
        <f>IFERROR(__xludf.DUMMYFUNCTION("GOOGLETRANSLATE(A33,""zh-tw"",""es-MX"")"),"Arroz con tortilla")</f>
        <v>Arroz con tortilla</v>
      </c>
      <c r="V33" s="468"/>
      <c r="W33" s="474" t="str">
        <f>IFERROR(__xludf.DUMMYFUNCTION("GOOGLETRANSLATE(C33,""zh-tw"",""es-MX"")"),"arroz blanco")</f>
        <v>arroz blanco</v>
      </c>
      <c r="X33" s="474" t="str">
        <f>IFERROR(__xludf.DUMMYFUNCTION("GOOGLETRANSLATE(D33,""zh-tw"",""es-MX"")"),"Un huevo muy grande")</f>
        <v>Un huevo muy grande</v>
      </c>
      <c r="Y33" s="474"/>
      <c r="Z33" s="477" t="s">
        <v>10494</v>
      </c>
      <c r="AA33" s="469"/>
      <c r="AB33" s="210" t="str">
        <f>IFERROR(__xludf.DUMMYFUNCTION("GOOGLETRANSLATE(C33,""zh-tw"",""KO"")"),"흰쌀")</f>
        <v>흰쌀</v>
      </c>
      <c r="AC33" s="214" t="s">
        <v>6858</v>
      </c>
      <c r="AD33" s="210"/>
      <c r="AE33" s="475" t="s">
        <v>10495</v>
      </c>
      <c r="AF33" s="235"/>
      <c r="AG33" s="474" t="s">
        <v>10171</v>
      </c>
      <c r="AH33" s="474" t="s">
        <v>6860</v>
      </c>
      <c r="AI33" s="476"/>
      <c r="AJ33" s="477" t="s">
        <v>10496</v>
      </c>
      <c r="AK33" s="469"/>
      <c r="AL33" s="177" t="s">
        <v>10174</v>
      </c>
      <c r="AM33" s="177" t="s">
        <v>10487</v>
      </c>
      <c r="AN33" s="210"/>
      <c r="AO33" s="480" t="s">
        <v>10497</v>
      </c>
      <c r="AP33" s="478"/>
      <c r="AQ33" s="221" t="s">
        <v>10177</v>
      </c>
      <c r="AR33" s="221" t="s">
        <v>6866</v>
      </c>
      <c r="AS33" s="463"/>
      <c r="AT33" s="161" t="s">
        <v>10492</v>
      </c>
      <c r="AU33" s="479"/>
      <c r="AV33" s="210" t="s">
        <v>10180</v>
      </c>
      <c r="AW33" s="210" t="s">
        <v>6869</v>
      </c>
      <c r="AX33" s="83"/>
      <c r="AY33" s="161"/>
      <c r="AZ33" s="473"/>
      <c r="BA33" s="474"/>
      <c r="BB33" s="474"/>
      <c r="BC33" s="156"/>
      <c r="BD33" s="83"/>
      <c r="BE33" s="83"/>
      <c r="BF33" s="83"/>
      <c r="BG33" s="83"/>
      <c r="BH33" s="83"/>
    </row>
    <row r="34">
      <c r="A34" s="161" t="s">
        <v>10498</v>
      </c>
      <c r="B34" s="473"/>
      <c r="C34" s="474" t="s">
        <v>10161</v>
      </c>
      <c r="D34" s="474" t="s">
        <v>6851</v>
      </c>
      <c r="E34" s="474" t="s">
        <v>7056</v>
      </c>
      <c r="F34" s="161" t="s">
        <v>10499</v>
      </c>
      <c r="G34" s="473"/>
      <c r="H34" s="474" t="s">
        <v>10164</v>
      </c>
      <c r="I34" s="474" t="s">
        <v>10483</v>
      </c>
      <c r="J34" s="474" t="s">
        <v>10500</v>
      </c>
      <c r="K34" s="256" t="s">
        <v>10501</v>
      </c>
      <c r="L34" s="473"/>
      <c r="M34" s="177" t="s">
        <v>10167</v>
      </c>
      <c r="N34" s="177" t="s">
        <v>10493</v>
      </c>
      <c r="O34" s="177" t="s">
        <v>7058</v>
      </c>
      <c r="P34" s="256" t="str">
        <f>IFERROR(__xludf.DUMMYFUNCTION("GOOGLETRANSLATE(A34,""zh-tw"",""zh"")"),"番茄蛋包饭")</f>
        <v>番茄蛋包饭</v>
      </c>
      <c r="Q34" s="454"/>
      <c r="R34" s="474" t="str">
        <f>IFERROR(__xludf.DUMMYFUNCTION("GOOGLETRANSLATE(C34,""zh-tw"",""zh"")"),"白米饭")</f>
        <v>白米饭</v>
      </c>
      <c r="S34" s="474" t="str">
        <f>IFERROR(__xludf.DUMMYFUNCTION("GOOGLETRANSLATE(D34,""zh-tw"",""zh"")"),"很大的蛋")</f>
        <v>很大的蛋</v>
      </c>
      <c r="T34" s="474" t="str">
        <f>IFERROR(__xludf.DUMMYFUNCTION("GOOGLETRANSLATE(E34,""zh-tw"",""zh"")"),"番茄")</f>
        <v>番茄</v>
      </c>
      <c r="U34" s="161" t="str">
        <f>IFERROR(__xludf.DUMMYFUNCTION("GOOGLETRANSLATE(A34,""zh-tw"",""es-MX"")"),"Arroz con tortilla de tomate")</f>
        <v>Arroz con tortilla de tomate</v>
      </c>
      <c r="V34" s="468"/>
      <c r="W34" s="474" t="str">
        <f>IFERROR(__xludf.DUMMYFUNCTION("GOOGLETRANSLATE(C34,""zh-tw"",""es-MX"")"),"arroz blanco")</f>
        <v>arroz blanco</v>
      </c>
      <c r="X34" s="474" t="str">
        <f>IFERROR(__xludf.DUMMYFUNCTION("GOOGLETRANSLATE(D34,""zh-tw"",""es-MX"")"),"Un huevo muy grande")</f>
        <v>Un huevo muy grande</v>
      </c>
      <c r="Y34" s="474" t="str">
        <f>IFERROR(__xludf.DUMMYFUNCTION("GOOGLETRANSLATE(E34,""zh-tw"",""es-MX"")"),"tomate")</f>
        <v>tomate</v>
      </c>
      <c r="Z34" s="477" t="s">
        <v>10502</v>
      </c>
      <c r="AA34" s="469"/>
      <c r="AB34" s="210" t="str">
        <f>IFERROR(__xludf.DUMMYFUNCTION("GOOGLETRANSLATE(C34,""zh-tw"",""KO"")"),"흰쌀")</f>
        <v>흰쌀</v>
      </c>
      <c r="AC34" s="214" t="s">
        <v>6858</v>
      </c>
      <c r="AD34" s="210" t="str">
        <f>IFERROR(__xludf.DUMMYFUNCTION("GOOGLETRANSLATE(E34,""zh-tw"",""KO"")"),"토마토")</f>
        <v>토마토</v>
      </c>
      <c r="AE34" s="475" t="s">
        <v>10503</v>
      </c>
      <c r="AF34" s="235"/>
      <c r="AG34" s="474" t="s">
        <v>10171</v>
      </c>
      <c r="AH34" s="474" t="s">
        <v>6860</v>
      </c>
      <c r="AI34" s="474" t="s">
        <v>7060</v>
      </c>
      <c r="AJ34" s="477" t="s">
        <v>10504</v>
      </c>
      <c r="AK34" s="469"/>
      <c r="AL34" s="177" t="s">
        <v>10174</v>
      </c>
      <c r="AM34" s="177" t="s">
        <v>10487</v>
      </c>
      <c r="AN34" s="177" t="s">
        <v>7066</v>
      </c>
      <c r="AO34" s="219" t="s">
        <v>10505</v>
      </c>
      <c r="AP34" s="478"/>
      <c r="AQ34" s="221" t="s">
        <v>10177</v>
      </c>
      <c r="AR34" s="221" t="s">
        <v>6866</v>
      </c>
      <c r="AS34" s="221" t="s">
        <v>7064</v>
      </c>
      <c r="AT34" s="161" t="s">
        <v>10506</v>
      </c>
      <c r="AU34" s="479"/>
      <c r="AV34" s="210" t="s">
        <v>10180</v>
      </c>
      <c r="AW34" s="210" t="s">
        <v>6869</v>
      </c>
      <c r="AX34" s="210" t="s">
        <v>7058</v>
      </c>
      <c r="AY34" s="161"/>
      <c r="AZ34" s="473"/>
      <c r="BA34" s="474"/>
      <c r="BB34" s="474"/>
      <c r="BC34" s="474"/>
      <c r="BD34" s="210"/>
      <c r="BE34" s="210"/>
      <c r="BF34" s="210"/>
      <c r="BG34" s="210"/>
      <c r="BH34" s="210"/>
    </row>
    <row r="35">
      <c r="A35" s="161" t="s">
        <v>10507</v>
      </c>
      <c r="B35" s="473"/>
      <c r="C35" s="474" t="s">
        <v>10161</v>
      </c>
      <c r="D35" s="474" t="s">
        <v>10508</v>
      </c>
      <c r="E35" s="156"/>
      <c r="F35" s="161" t="s">
        <v>10509</v>
      </c>
      <c r="G35" s="473"/>
      <c r="H35" s="474" t="s">
        <v>10164</v>
      </c>
      <c r="I35" s="474" t="s">
        <v>10510</v>
      </c>
      <c r="J35" s="156"/>
      <c r="K35" s="256" t="s">
        <v>10511</v>
      </c>
      <c r="L35" s="473"/>
      <c r="M35" s="177" t="s">
        <v>10167</v>
      </c>
      <c r="N35" s="177" t="s">
        <v>10471</v>
      </c>
      <c r="O35" s="210"/>
      <c r="P35" s="256" t="str">
        <f>IFERROR(__xludf.DUMMYFUNCTION("GOOGLETRANSLATE(A35,""zh-tw"",""zh"")"),"海鲜炖饭")</f>
        <v>海鲜炖饭</v>
      </c>
      <c r="Q35" s="454"/>
      <c r="R35" s="474" t="str">
        <f>IFERROR(__xludf.DUMMYFUNCTION("GOOGLETRANSLATE(C35,""zh-tw"",""zh"")"),"白米饭")</f>
        <v>白米饭</v>
      </c>
      <c r="S35" s="474" t="str">
        <f>IFERROR(__xludf.DUMMYFUNCTION("GOOGLETRANSLATE(D35,""zh-tw"",""zh"")"),"大龙虾")</f>
        <v>大龙虾</v>
      </c>
      <c r="T35" s="474"/>
      <c r="U35" s="161" t="str">
        <f>IFERROR(__xludf.DUMMYFUNCTION("GOOGLETRANSLATE(A35,""zh-tw"",""es-MX"")"),"Risotto de mariscos")</f>
        <v>Risotto de mariscos</v>
      </c>
      <c r="V35" s="468"/>
      <c r="W35" s="474" t="str">
        <f>IFERROR(__xludf.DUMMYFUNCTION("GOOGLETRANSLATE(C35,""zh-tw"",""es-MX"")"),"arroz blanco")</f>
        <v>arroz blanco</v>
      </c>
      <c r="X35" s="474" t="str">
        <f>IFERROR(__xludf.DUMMYFUNCTION("GOOGLETRANSLATE(D35,""zh-tw"",""es-MX"")"),"Langosta")</f>
        <v>Langosta</v>
      </c>
      <c r="Y35" s="474"/>
      <c r="Z35" s="475" t="str">
        <f>IFERROR(__xludf.DUMMYFUNCTION("GOOGLETRANSLATE(A35,""zh-tw"",""KO"")"),"해산물 리조또")</f>
        <v>해산물 리조또</v>
      </c>
      <c r="AA35" s="469"/>
      <c r="AB35" s="210" t="str">
        <f>IFERROR(__xludf.DUMMYFUNCTION("GOOGLETRANSLATE(C35,""zh-tw"",""KO"")"),"흰쌀")</f>
        <v>흰쌀</v>
      </c>
      <c r="AC35" s="177" t="s">
        <v>10512</v>
      </c>
      <c r="AD35" s="210"/>
      <c r="AE35" s="475" t="s">
        <v>10513</v>
      </c>
      <c r="AF35" s="235"/>
      <c r="AG35" s="474" t="s">
        <v>10171</v>
      </c>
      <c r="AH35" s="474" t="s">
        <v>10514</v>
      </c>
      <c r="AI35" s="476"/>
      <c r="AJ35" s="477" t="s">
        <v>10515</v>
      </c>
      <c r="AK35" s="469"/>
      <c r="AL35" s="177" t="s">
        <v>10174</v>
      </c>
      <c r="AM35" s="177" t="s">
        <v>10516</v>
      </c>
      <c r="AN35" s="210"/>
      <c r="AO35" s="219" t="s">
        <v>10517</v>
      </c>
      <c r="AP35" s="478"/>
      <c r="AQ35" s="221" t="s">
        <v>10177</v>
      </c>
      <c r="AR35" s="221" t="s">
        <v>10478</v>
      </c>
      <c r="AS35" s="463"/>
      <c r="AT35" s="161" t="s">
        <v>10518</v>
      </c>
      <c r="AU35" s="479"/>
      <c r="AV35" s="210" t="s">
        <v>10180</v>
      </c>
      <c r="AW35" s="210" t="s">
        <v>10480</v>
      </c>
      <c r="AX35" s="83"/>
      <c r="AY35" s="161"/>
      <c r="AZ35" s="473"/>
      <c r="BA35" s="474"/>
      <c r="BB35" s="474"/>
      <c r="BC35" s="156"/>
      <c r="BD35" s="83"/>
      <c r="BE35" s="83"/>
      <c r="BF35" s="83"/>
      <c r="BG35" s="83"/>
      <c r="BH35" s="83"/>
    </row>
    <row r="36">
      <c r="A36" s="161" t="s">
        <v>10519</v>
      </c>
      <c r="B36" s="473"/>
      <c r="C36" s="474" t="s">
        <v>10520</v>
      </c>
      <c r="D36" s="156"/>
      <c r="E36" s="156"/>
      <c r="F36" s="161" t="s">
        <v>10521</v>
      </c>
      <c r="G36" s="473"/>
      <c r="H36" s="474" t="s">
        <v>10522</v>
      </c>
      <c r="I36" s="156"/>
      <c r="J36" s="156"/>
      <c r="K36" s="248" t="s">
        <v>10523</v>
      </c>
      <c r="L36" s="473"/>
      <c r="M36" s="177" t="s">
        <v>10524</v>
      </c>
      <c r="N36" s="210"/>
      <c r="O36" s="210"/>
      <c r="P36" s="256" t="str">
        <f>IFERROR(__xludf.DUMMYFUNCTION("GOOGLETRANSLATE(A36,""zh-tw"",""zh"")"),"菠萝饮")</f>
        <v>菠萝饮</v>
      </c>
      <c r="Q36" s="454"/>
      <c r="R36" s="474" t="str">
        <f>IFERROR(__xludf.DUMMYFUNCTION("GOOGLETRANSLATE(C36,""zh-tw"",""zh"")"),"菠萝")</f>
        <v>菠萝</v>
      </c>
      <c r="S36" s="474"/>
      <c r="T36" s="474"/>
      <c r="U36" s="161" t="str">
        <f>IFERROR(__xludf.DUMMYFUNCTION("GOOGLETRANSLATE(A36,""zh-tw"",""es-MX"")"),"Bebida de piña")</f>
        <v>Bebida de piña</v>
      </c>
      <c r="V36" s="468"/>
      <c r="W36" s="474" t="str">
        <f>IFERROR(__xludf.DUMMYFUNCTION("GOOGLETRANSLATE(C36,""zh-tw"",""es-MX"")"),"Piña")</f>
        <v>Piña</v>
      </c>
      <c r="X36" s="474"/>
      <c r="Y36" s="474"/>
      <c r="Z36" s="477" t="s">
        <v>10525</v>
      </c>
      <c r="AA36" s="469"/>
      <c r="AB36" s="210" t="str">
        <f>IFERROR(__xludf.DUMMYFUNCTION("GOOGLETRANSLATE(C36,""zh-tw"",""KO"")"),"파인애플")</f>
        <v>파인애플</v>
      </c>
      <c r="AC36" s="210"/>
      <c r="AD36" s="210"/>
      <c r="AE36" s="475" t="s">
        <v>10526</v>
      </c>
      <c r="AF36" s="235"/>
      <c r="AG36" s="474" t="s">
        <v>10527</v>
      </c>
      <c r="AH36" s="476"/>
      <c r="AI36" s="476"/>
      <c r="AJ36" s="477" t="s">
        <v>10528</v>
      </c>
      <c r="AK36" s="469"/>
      <c r="AL36" s="177" t="s">
        <v>10529</v>
      </c>
      <c r="AM36" s="210"/>
      <c r="AN36" s="210"/>
      <c r="AO36" s="219" t="s">
        <v>10530</v>
      </c>
      <c r="AP36" s="478"/>
      <c r="AQ36" s="221" t="s">
        <v>10531</v>
      </c>
      <c r="AR36" s="463"/>
      <c r="AS36" s="463"/>
      <c r="AT36" s="161" t="s">
        <v>10532</v>
      </c>
      <c r="AU36" s="479"/>
      <c r="AV36" s="210" t="s">
        <v>10533</v>
      </c>
      <c r="AW36" s="83"/>
      <c r="AX36" s="83"/>
      <c r="AY36" s="161"/>
      <c r="AZ36" s="473"/>
      <c r="BA36" s="474"/>
      <c r="BB36" s="156"/>
      <c r="BC36" s="156"/>
      <c r="BD36" s="83"/>
      <c r="BE36" s="83"/>
      <c r="BF36" s="83"/>
      <c r="BG36" s="83"/>
      <c r="BH36" s="83"/>
    </row>
    <row r="37">
      <c r="A37" s="190" t="s">
        <v>10534</v>
      </c>
      <c r="B37" s="473"/>
      <c r="C37" s="474" t="s">
        <v>10412</v>
      </c>
      <c r="D37" s="474" t="s">
        <v>10412</v>
      </c>
      <c r="E37" s="156"/>
      <c r="F37" s="161" t="s">
        <v>10535</v>
      </c>
      <c r="G37" s="473"/>
      <c r="H37" s="474" t="s">
        <v>10536</v>
      </c>
      <c r="I37" s="474" t="s">
        <v>10536</v>
      </c>
      <c r="J37" s="156"/>
      <c r="K37" s="256" t="s">
        <v>10537</v>
      </c>
      <c r="L37" s="473"/>
      <c r="M37" s="177" t="s">
        <v>10538</v>
      </c>
      <c r="N37" s="177" t="s">
        <v>10538</v>
      </c>
      <c r="O37" s="210"/>
      <c r="P37" s="256" t="str">
        <f>IFERROR(__xludf.DUMMYFUNCTION("GOOGLETRANSLATE(A37,""zh-tw"",""zh"")"),"冲绳杂炒")</f>
        <v>冲绳杂炒</v>
      </c>
      <c r="Q37" s="454"/>
      <c r="R37" s="474" t="str">
        <f>IFERROR(__xludf.DUMMYFUNCTION("GOOGLETRANSLATE(C37,""zh-tw"",""zh"")"),"蔬菜")</f>
        <v>蔬菜</v>
      </c>
      <c r="S37" s="474" t="str">
        <f>IFERROR(__xludf.DUMMYFUNCTION("GOOGLETRANSLATE(D37,""zh-tw"",""zh"")"),"蔬菜")</f>
        <v>蔬菜</v>
      </c>
      <c r="T37" s="474"/>
      <c r="U37" s="161" t="str">
        <f>IFERROR(__xludf.DUMMYFUNCTION("GOOGLETRANSLATE(A37,""zh-tw"",""es-MX"")"),"Salteado de Okinawa")</f>
        <v>Salteado de Okinawa</v>
      </c>
      <c r="V37" s="468"/>
      <c r="W37" s="474" t="str">
        <f>IFERROR(__xludf.DUMMYFUNCTION("GOOGLETRANSLATE(C37,""zh-tw"",""es-MX"")"),"verdura")</f>
        <v>verdura</v>
      </c>
      <c r="X37" s="474" t="str">
        <f>IFERROR(__xludf.DUMMYFUNCTION("GOOGLETRANSLATE(D37,""zh-tw"",""es-MX"")"),"verdura")</f>
        <v>verdura</v>
      </c>
      <c r="Y37" s="474"/>
      <c r="Z37" s="477" t="s">
        <v>10539</v>
      </c>
      <c r="AA37" s="469"/>
      <c r="AB37" s="210" t="str">
        <f>IFERROR(__xludf.DUMMYFUNCTION("GOOGLETRANSLATE(C37,""zh-tw"",""KO"")"),"채소")</f>
        <v>채소</v>
      </c>
      <c r="AC37" s="210" t="str">
        <f>IFERROR(__xludf.DUMMYFUNCTION("GOOGLETRANSLATE(D37,""zh-tw"",""KO"")"),"채소")</f>
        <v>채소</v>
      </c>
      <c r="AD37" s="210"/>
      <c r="AE37" s="475" t="s">
        <v>10540</v>
      </c>
      <c r="AF37" s="235"/>
      <c r="AG37" s="474" t="s">
        <v>10418</v>
      </c>
      <c r="AH37" s="474" t="s">
        <v>10418</v>
      </c>
      <c r="AI37" s="476"/>
      <c r="AJ37" s="477" t="s">
        <v>10541</v>
      </c>
      <c r="AK37" s="469"/>
      <c r="AL37" s="177" t="s">
        <v>10420</v>
      </c>
      <c r="AM37" s="177" t="s">
        <v>10420</v>
      </c>
      <c r="AN37" s="210"/>
      <c r="AO37" s="133" t="s">
        <v>10542</v>
      </c>
      <c r="AP37" s="478"/>
      <c r="AQ37" s="221" t="s">
        <v>10543</v>
      </c>
      <c r="AR37" s="221" t="s">
        <v>10543</v>
      </c>
      <c r="AS37" s="463"/>
      <c r="AT37" s="161" t="s">
        <v>10544</v>
      </c>
      <c r="AU37" s="479"/>
      <c r="AV37" s="210" t="s">
        <v>10545</v>
      </c>
      <c r="AW37" s="210" t="s">
        <v>10545</v>
      </c>
      <c r="AX37" s="83"/>
      <c r="AY37" s="190"/>
      <c r="AZ37" s="473"/>
      <c r="BA37" s="474"/>
      <c r="BB37" s="474"/>
      <c r="BC37" s="156"/>
      <c r="BD37" s="83"/>
      <c r="BE37" s="83"/>
      <c r="BF37" s="83"/>
      <c r="BG37" s="83"/>
      <c r="BH37" s="83"/>
    </row>
    <row r="38">
      <c r="A38" s="161" t="s">
        <v>10546</v>
      </c>
      <c r="B38" s="454" t="s">
        <v>622</v>
      </c>
      <c r="C38" s="474" t="s">
        <v>10547</v>
      </c>
      <c r="D38" s="474" t="s">
        <v>10547</v>
      </c>
      <c r="E38" s="474" t="s">
        <v>10183</v>
      </c>
      <c r="F38" s="161" t="s">
        <v>10548</v>
      </c>
      <c r="G38" s="454" t="s">
        <v>622</v>
      </c>
      <c r="H38" s="474" t="s">
        <v>10549</v>
      </c>
      <c r="I38" s="474" t="s">
        <v>10549</v>
      </c>
      <c r="J38" s="474" t="s">
        <v>10185</v>
      </c>
      <c r="K38" s="248" t="s">
        <v>10550</v>
      </c>
      <c r="L38" s="454" t="s">
        <v>622</v>
      </c>
      <c r="M38" s="177" t="s">
        <v>10551</v>
      </c>
      <c r="N38" s="177" t="s">
        <v>10551</v>
      </c>
      <c r="O38" s="177" t="s">
        <v>10187</v>
      </c>
      <c r="P38" s="256" t="str">
        <f>IFERROR(__xludf.DUMMYFUNCTION("GOOGLETRANSLATE(A38,""zh-tw"",""zh"")"),"炸鸡桶")</f>
        <v>炸鸡桶</v>
      </c>
      <c r="Q38" s="454" t="str">
        <f>IFERROR(__xludf.DUMMYFUNCTION("GOOGLETRANSLATE(B38,""zh-tw"",""zh"")"),"A")</f>
        <v>A</v>
      </c>
      <c r="R38" s="474" t="str">
        <f>IFERROR(__xludf.DUMMYFUNCTION("GOOGLETRANSLATE(C38,""zh-tw"",""zh"")"),"鸡腿肉")</f>
        <v>鸡腿肉</v>
      </c>
      <c r="S38" s="474" t="str">
        <f>IFERROR(__xludf.DUMMYFUNCTION("GOOGLETRANSLATE(D38,""zh-tw"",""zh"")"),"鸡腿肉")</f>
        <v>鸡腿肉</v>
      </c>
      <c r="T38" s="474" t="str">
        <f>IFERROR(__xludf.DUMMYFUNCTION("GOOGLETRANSLATE(E38,""zh-tw"",""zh"")"),"小麦粉")</f>
        <v>小麦粉</v>
      </c>
      <c r="U38" s="161" t="str">
        <f>IFERROR(__xludf.DUMMYFUNCTION("GOOGLETRANSLATE(A38,""zh-tw"",""es-MX"")"),"Cubo de pollo frito")</f>
        <v>Cubo de pollo frito</v>
      </c>
      <c r="V38" s="468" t="str">
        <f>IFERROR(__xludf.DUMMYFUNCTION("GOOGLETRANSLATE(B38,""zh-tw"",""es-MX"")"),"A")</f>
        <v>A</v>
      </c>
      <c r="W38" s="474" t="str">
        <f>IFERROR(__xludf.DUMMYFUNCTION("GOOGLETRANSLATE(C38,""zh-tw"",""es-MX"")"),"Muslo de pollo")</f>
        <v>Muslo de pollo</v>
      </c>
      <c r="X38" s="474" t="str">
        <f>IFERROR(__xludf.DUMMYFUNCTION("GOOGLETRANSLATE(D38,""zh-tw"",""es-MX"")"),"Muslo de pollo")</f>
        <v>Muslo de pollo</v>
      </c>
      <c r="Y38" s="474" t="str">
        <f>IFERROR(__xludf.DUMMYFUNCTION("GOOGLETRANSLATE(E38,""zh-tw"",""es-MX"")"),"harina de trigo")</f>
        <v>harina de trigo</v>
      </c>
      <c r="Z38" s="477" t="s">
        <v>10552</v>
      </c>
      <c r="AA38" s="469" t="s">
        <v>622</v>
      </c>
      <c r="AB38" s="177" t="s">
        <v>10553</v>
      </c>
      <c r="AC38" s="177" t="s">
        <v>10553</v>
      </c>
      <c r="AD38" s="210" t="str">
        <f>IFERROR(__xludf.DUMMYFUNCTION("GOOGLETRANSLATE(E38,""zh-tw"",""KO"")"),"밀가루")</f>
        <v>밀가루</v>
      </c>
      <c r="AE38" s="475" t="s">
        <v>10554</v>
      </c>
      <c r="AF38" s="468" t="s">
        <v>10122</v>
      </c>
      <c r="AG38" s="474" t="s">
        <v>10555</v>
      </c>
      <c r="AH38" s="474" t="s">
        <v>10555</v>
      </c>
      <c r="AI38" s="474" t="s">
        <v>10189</v>
      </c>
      <c r="AJ38" s="477" t="s">
        <v>10556</v>
      </c>
      <c r="AK38" s="469" t="s">
        <v>622</v>
      </c>
      <c r="AL38" s="177" t="s">
        <v>10557</v>
      </c>
      <c r="AM38" s="177" t="s">
        <v>10557</v>
      </c>
      <c r="AN38" s="177" t="s">
        <v>10191</v>
      </c>
      <c r="AO38" s="219" t="s">
        <v>10558</v>
      </c>
      <c r="AP38" s="481" t="s">
        <v>622</v>
      </c>
      <c r="AQ38" s="221" t="s">
        <v>10559</v>
      </c>
      <c r="AR38" s="221" t="s">
        <v>10559</v>
      </c>
      <c r="AS38" s="221" t="s">
        <v>10193</v>
      </c>
      <c r="AT38" s="161" t="s">
        <v>10560</v>
      </c>
      <c r="AU38" s="454" t="s">
        <v>622</v>
      </c>
      <c r="AV38" s="210" t="s">
        <v>10561</v>
      </c>
      <c r="AW38" s="210" t="s">
        <v>10561</v>
      </c>
      <c r="AX38" s="210" t="s">
        <v>10195</v>
      </c>
      <c r="AY38" s="161"/>
      <c r="AZ38" s="454"/>
      <c r="BA38" s="474"/>
      <c r="BB38" s="474"/>
      <c r="BC38" s="474"/>
      <c r="BD38" s="210"/>
      <c r="BE38" s="210"/>
      <c r="BF38" s="210"/>
      <c r="BG38" s="210"/>
      <c r="BH38" s="210"/>
    </row>
    <row r="39">
      <c r="A39" s="190" t="s">
        <v>10562</v>
      </c>
      <c r="B39" s="454" t="s">
        <v>622</v>
      </c>
      <c r="C39" s="474" t="s">
        <v>10547</v>
      </c>
      <c r="D39" s="156"/>
      <c r="E39" s="156"/>
      <c r="F39" s="161" t="s">
        <v>10563</v>
      </c>
      <c r="G39" s="454" t="s">
        <v>622</v>
      </c>
      <c r="H39" s="474" t="s">
        <v>10549</v>
      </c>
      <c r="I39" s="156"/>
      <c r="J39" s="156"/>
      <c r="K39" s="256" t="s">
        <v>10564</v>
      </c>
      <c r="L39" s="454" t="s">
        <v>622</v>
      </c>
      <c r="M39" s="177" t="s">
        <v>10551</v>
      </c>
      <c r="N39" s="210"/>
      <c r="O39" s="210"/>
      <c r="P39" s="256" t="str">
        <f>IFERROR(__xludf.DUMMYFUNCTION("GOOGLETRANSLATE(A39,""zh-tw"",""zh"")"),"炸鸡腿")</f>
        <v>炸鸡腿</v>
      </c>
      <c r="Q39" s="454" t="str">
        <f>IFERROR(__xludf.DUMMYFUNCTION("GOOGLETRANSLATE(B39,""zh-tw"",""zh"")"),"A")</f>
        <v>A</v>
      </c>
      <c r="R39" s="474" t="str">
        <f>IFERROR(__xludf.DUMMYFUNCTION("GOOGLETRANSLATE(C39,""zh-tw"",""zh"")"),"鸡腿肉")</f>
        <v>鸡腿肉</v>
      </c>
      <c r="S39" s="474"/>
      <c r="T39" s="474"/>
      <c r="U39" s="161" t="str">
        <f>IFERROR(__xludf.DUMMYFUNCTION("GOOGLETRANSLATE(A39,""zh-tw"",""es-MX"")"),"Muslos de pollo frito")</f>
        <v>Muslos de pollo frito</v>
      </c>
      <c r="V39" s="468" t="str">
        <f>IFERROR(__xludf.DUMMYFUNCTION("GOOGLETRANSLATE(B39,""zh-tw"",""es-MX"")"),"A")</f>
        <v>A</v>
      </c>
      <c r="W39" s="474" t="str">
        <f>IFERROR(__xludf.DUMMYFUNCTION("GOOGLETRANSLATE(C39,""zh-tw"",""es-MX"")"),"Muslo de pollo")</f>
        <v>Muslo de pollo</v>
      </c>
      <c r="X39" s="474"/>
      <c r="Y39" s="474"/>
      <c r="Z39" s="475" t="str">
        <f>IFERROR(__xludf.DUMMYFUNCTION("GOOGLETRANSLATE(A39,""zh-tw"",""KO"")"),"닭다리 튀김")</f>
        <v>닭다리 튀김</v>
      </c>
      <c r="AA39" s="469" t="s">
        <v>622</v>
      </c>
      <c r="AB39" s="177" t="s">
        <v>10553</v>
      </c>
      <c r="AC39" s="210"/>
      <c r="AD39" s="210"/>
      <c r="AE39" s="475" t="s">
        <v>10565</v>
      </c>
      <c r="AF39" s="468" t="s">
        <v>10122</v>
      </c>
      <c r="AG39" s="474" t="s">
        <v>10555</v>
      </c>
      <c r="AH39" s="476"/>
      <c r="AI39" s="476"/>
      <c r="AJ39" s="477" t="s">
        <v>10566</v>
      </c>
      <c r="AK39" s="469" t="s">
        <v>622</v>
      </c>
      <c r="AL39" s="177" t="s">
        <v>10557</v>
      </c>
      <c r="AM39" s="210"/>
      <c r="AN39" s="210"/>
      <c r="AO39" s="133" t="s">
        <v>10567</v>
      </c>
      <c r="AP39" s="481" t="s">
        <v>622</v>
      </c>
      <c r="AQ39" s="221" t="s">
        <v>10559</v>
      </c>
      <c r="AR39" s="463"/>
      <c r="AS39" s="463"/>
      <c r="AT39" s="161" t="s">
        <v>10568</v>
      </c>
      <c r="AU39" s="454" t="s">
        <v>622</v>
      </c>
      <c r="AV39" s="210" t="s">
        <v>10561</v>
      </c>
      <c r="AW39" s="83"/>
      <c r="AX39" s="83"/>
      <c r="AY39" s="190"/>
      <c r="AZ39" s="454"/>
      <c r="BA39" s="474"/>
      <c r="BB39" s="156"/>
      <c r="BC39" s="156"/>
      <c r="BD39" s="83"/>
      <c r="BE39" s="83"/>
      <c r="BF39" s="83"/>
      <c r="BG39" s="83"/>
      <c r="BH39" s="83"/>
    </row>
    <row r="40">
      <c r="A40" s="161" t="s">
        <v>10569</v>
      </c>
      <c r="B40" s="454" t="s">
        <v>622</v>
      </c>
      <c r="C40" s="474" t="s">
        <v>10161</v>
      </c>
      <c r="D40" s="474" t="s">
        <v>10547</v>
      </c>
      <c r="E40" s="156"/>
      <c r="F40" s="161" t="s">
        <v>10570</v>
      </c>
      <c r="G40" s="454" t="s">
        <v>622</v>
      </c>
      <c r="H40" s="474" t="s">
        <v>10164</v>
      </c>
      <c r="I40" s="474" t="s">
        <v>10549</v>
      </c>
      <c r="J40" s="156"/>
      <c r="K40" s="256" t="s">
        <v>10571</v>
      </c>
      <c r="L40" s="454" t="s">
        <v>622</v>
      </c>
      <c r="M40" s="177" t="s">
        <v>10310</v>
      </c>
      <c r="N40" s="177" t="s">
        <v>10551</v>
      </c>
      <c r="O40" s="210"/>
      <c r="P40" s="256" t="str">
        <f>IFERROR(__xludf.DUMMYFUNCTION("GOOGLETRANSLATE(A40,""zh-tw"",""zh"")"),"天妇罗饭团")</f>
        <v>天妇罗饭团</v>
      </c>
      <c r="Q40" s="454" t="str">
        <f>IFERROR(__xludf.DUMMYFUNCTION("GOOGLETRANSLATE(B40,""zh-tw"",""zh"")"),"A")</f>
        <v>A</v>
      </c>
      <c r="R40" s="474" t="str">
        <f>IFERROR(__xludf.DUMMYFUNCTION("GOOGLETRANSLATE(C40,""zh-tw"",""zh"")"),"白米饭")</f>
        <v>白米饭</v>
      </c>
      <c r="S40" s="474" t="str">
        <f>IFERROR(__xludf.DUMMYFUNCTION("GOOGLETRANSLATE(D40,""zh-tw"",""zh"")"),"鸡腿肉")</f>
        <v>鸡腿肉</v>
      </c>
      <c r="T40" s="474"/>
      <c r="U40" s="161" t="str">
        <f>IFERROR(__xludf.DUMMYFUNCTION("GOOGLETRANSLATE(A40,""zh-tw"",""es-MX"")"),"Bola de arroz tempura")</f>
        <v>Bola de arroz tempura</v>
      </c>
      <c r="V40" s="468" t="str">
        <f>IFERROR(__xludf.DUMMYFUNCTION("GOOGLETRANSLATE(B40,""zh-tw"",""es-MX"")"),"A")</f>
        <v>A</v>
      </c>
      <c r="W40" s="474" t="str">
        <f>IFERROR(__xludf.DUMMYFUNCTION("GOOGLETRANSLATE(C40,""zh-tw"",""es-MX"")"),"arroz blanco")</f>
        <v>arroz blanco</v>
      </c>
      <c r="X40" s="474" t="str">
        <f>IFERROR(__xludf.DUMMYFUNCTION("GOOGLETRANSLATE(D40,""zh-tw"",""es-MX"")"),"Muslo de pollo")</f>
        <v>Muslo de pollo</v>
      </c>
      <c r="Y40" s="474"/>
      <c r="Z40" s="477" t="s">
        <v>10572</v>
      </c>
      <c r="AA40" s="469" t="s">
        <v>622</v>
      </c>
      <c r="AB40" s="210" t="str">
        <f>IFERROR(__xludf.DUMMYFUNCTION("GOOGLETRANSLATE(C40,""zh-tw"",""KO"")"),"흰쌀")</f>
        <v>흰쌀</v>
      </c>
      <c r="AC40" s="177" t="s">
        <v>10553</v>
      </c>
      <c r="AD40" s="210"/>
      <c r="AE40" s="475" t="s">
        <v>10573</v>
      </c>
      <c r="AF40" s="468" t="s">
        <v>10122</v>
      </c>
      <c r="AG40" s="474" t="s">
        <v>10171</v>
      </c>
      <c r="AH40" s="474" t="s">
        <v>10555</v>
      </c>
      <c r="AI40" s="476"/>
      <c r="AJ40" s="477" t="s">
        <v>10574</v>
      </c>
      <c r="AK40" s="469" t="s">
        <v>622</v>
      </c>
      <c r="AL40" s="177" t="s">
        <v>10174</v>
      </c>
      <c r="AM40" s="177" t="s">
        <v>10557</v>
      </c>
      <c r="AN40" s="210"/>
      <c r="AO40" s="219" t="s">
        <v>10571</v>
      </c>
      <c r="AP40" s="481" t="s">
        <v>622</v>
      </c>
      <c r="AQ40" s="221" t="s">
        <v>10177</v>
      </c>
      <c r="AR40" s="221" t="s">
        <v>10559</v>
      </c>
      <c r="AS40" s="463"/>
      <c r="AT40" s="161" t="s">
        <v>10571</v>
      </c>
      <c r="AU40" s="454" t="s">
        <v>622</v>
      </c>
      <c r="AV40" s="210" t="s">
        <v>10180</v>
      </c>
      <c r="AW40" s="210" t="s">
        <v>10561</v>
      </c>
      <c r="AX40" s="83"/>
      <c r="AY40" s="161"/>
      <c r="AZ40" s="454"/>
      <c r="BA40" s="474"/>
      <c r="BB40" s="474"/>
      <c r="BC40" s="156"/>
      <c r="BD40" s="83"/>
      <c r="BE40" s="83"/>
      <c r="BF40" s="83"/>
      <c r="BG40" s="83"/>
      <c r="BH40" s="83"/>
    </row>
    <row r="41">
      <c r="A41" s="161" t="s">
        <v>10575</v>
      </c>
      <c r="B41" s="473"/>
      <c r="C41" s="474" t="s">
        <v>10576</v>
      </c>
      <c r="D41" s="474" t="s">
        <v>10576</v>
      </c>
      <c r="E41" s="474" t="s">
        <v>10576</v>
      </c>
      <c r="F41" s="161" t="s">
        <v>10577</v>
      </c>
      <c r="G41" s="483"/>
      <c r="H41" s="474" t="s">
        <v>10510</v>
      </c>
      <c r="I41" s="474" t="s">
        <v>10510</v>
      </c>
      <c r="J41" s="474" t="s">
        <v>10510</v>
      </c>
      <c r="K41" s="256" t="s">
        <v>10578</v>
      </c>
      <c r="L41" s="473"/>
      <c r="M41" s="177" t="s">
        <v>10579</v>
      </c>
      <c r="N41" s="177" t="s">
        <v>10579</v>
      </c>
      <c r="O41" s="177" t="s">
        <v>10579</v>
      </c>
      <c r="P41" s="256" t="str">
        <f>IFERROR(__xludf.DUMMYFUNCTION("GOOGLETRANSLATE(A41,""zh-tw"",""zh"")"),"焗龙虾")</f>
        <v>焗龙虾</v>
      </c>
      <c r="Q41" s="454"/>
      <c r="R41" s="474" t="str">
        <f>IFERROR(__xludf.DUMMYFUNCTION("GOOGLETRANSLATE(C41,""zh-tw"",""zh"")"),"龙虾")</f>
        <v>龙虾</v>
      </c>
      <c r="S41" s="474" t="str">
        <f>IFERROR(__xludf.DUMMYFUNCTION("GOOGLETRANSLATE(D41,""zh-tw"",""zh"")"),"龙虾")</f>
        <v>龙虾</v>
      </c>
      <c r="T41" s="474" t="str">
        <f>IFERROR(__xludf.DUMMYFUNCTION("GOOGLETRANSLATE(E41,""zh-tw"",""zh"")"),"龙虾")</f>
        <v>龙虾</v>
      </c>
      <c r="U41" s="161" t="str">
        <f>IFERROR(__xludf.DUMMYFUNCTION("GOOGLETRANSLATE(A41,""zh-tw"",""es-MX"")"),"Langosta al horno")</f>
        <v>Langosta al horno</v>
      </c>
      <c r="V41" s="468"/>
      <c r="W41" s="474" t="str">
        <f>IFERROR(__xludf.DUMMYFUNCTION("GOOGLETRANSLATE(C41,""zh-tw"",""es-MX"")"),"langosta")</f>
        <v>langosta</v>
      </c>
      <c r="X41" s="474" t="str">
        <f>IFERROR(__xludf.DUMMYFUNCTION("GOOGLETRANSLATE(D41,""zh-tw"",""es-MX"")"),"langosta")</f>
        <v>langosta</v>
      </c>
      <c r="Y41" s="474" t="str">
        <f>IFERROR(__xludf.DUMMYFUNCTION("GOOGLETRANSLATE(E41,""zh-tw"",""es-MX"")"),"langosta")</f>
        <v>langosta</v>
      </c>
      <c r="Z41" s="477" t="s">
        <v>10580</v>
      </c>
      <c r="AA41" s="469"/>
      <c r="AB41" s="177" t="s">
        <v>10512</v>
      </c>
      <c r="AC41" s="177" t="s">
        <v>10512</v>
      </c>
      <c r="AD41" s="177" t="s">
        <v>10512</v>
      </c>
      <c r="AE41" s="475" t="s">
        <v>10581</v>
      </c>
      <c r="AF41" s="235"/>
      <c r="AG41" s="474" t="s">
        <v>10514</v>
      </c>
      <c r="AH41" s="474" t="s">
        <v>10514</v>
      </c>
      <c r="AI41" s="474" t="s">
        <v>10514</v>
      </c>
      <c r="AJ41" s="477" t="s">
        <v>10582</v>
      </c>
      <c r="AK41" s="469"/>
      <c r="AL41" s="177" t="s">
        <v>10516</v>
      </c>
      <c r="AM41" s="177" t="s">
        <v>10516</v>
      </c>
      <c r="AN41" s="177" t="s">
        <v>10516</v>
      </c>
      <c r="AO41" s="219" t="s">
        <v>10583</v>
      </c>
      <c r="AP41" s="478"/>
      <c r="AQ41" s="221" t="s">
        <v>10584</v>
      </c>
      <c r="AR41" s="221" t="s">
        <v>10584</v>
      </c>
      <c r="AS41" s="221" t="s">
        <v>10584</v>
      </c>
      <c r="AT41" s="161" t="s">
        <v>10585</v>
      </c>
      <c r="AU41" s="479"/>
      <c r="AV41" s="210" t="s">
        <v>10586</v>
      </c>
      <c r="AW41" s="210" t="s">
        <v>10586</v>
      </c>
      <c r="AX41" s="210" t="s">
        <v>10586</v>
      </c>
      <c r="AY41" s="161"/>
      <c r="AZ41" s="473"/>
      <c r="BA41" s="474"/>
      <c r="BB41" s="474"/>
      <c r="BC41" s="474"/>
      <c r="BD41" s="210"/>
      <c r="BE41" s="210"/>
      <c r="BF41" s="210"/>
      <c r="BG41" s="210"/>
      <c r="BH41" s="210"/>
    </row>
    <row r="42">
      <c r="A42" s="161" t="s">
        <v>10587</v>
      </c>
      <c r="B42" s="473"/>
      <c r="C42" s="474" t="s">
        <v>10588</v>
      </c>
      <c r="D42" s="474" t="s">
        <v>10588</v>
      </c>
      <c r="E42" s="474" t="s">
        <v>10588</v>
      </c>
      <c r="F42" s="161" t="s">
        <v>10589</v>
      </c>
      <c r="G42" s="483"/>
      <c r="H42" s="474" t="s">
        <v>10590</v>
      </c>
      <c r="I42" s="474" t="s">
        <v>10590</v>
      </c>
      <c r="J42" s="474" t="s">
        <v>10590</v>
      </c>
      <c r="K42" s="256" t="s">
        <v>10591</v>
      </c>
      <c r="L42" s="473"/>
      <c r="M42" s="177" t="s">
        <v>10592</v>
      </c>
      <c r="N42" s="177" t="s">
        <v>10592</v>
      </c>
      <c r="O42" s="177" t="s">
        <v>10592</v>
      </c>
      <c r="P42" s="256" t="str">
        <f>IFERROR(__xludf.DUMMYFUNCTION("GOOGLETRANSLATE(A42,""zh-tw"",""zh"")"),"煮螃蟹")</f>
        <v>煮螃蟹</v>
      </c>
      <c r="Q42" s="454"/>
      <c r="R42" s="474" t="str">
        <f>IFERROR(__xludf.DUMMYFUNCTION("GOOGLETRANSLATE(C42,""zh-tw"",""zh"")"),"毛蟹")</f>
        <v>毛蟹</v>
      </c>
      <c r="S42" s="474" t="str">
        <f>IFERROR(__xludf.DUMMYFUNCTION("GOOGLETRANSLATE(D42,""zh-tw"",""zh"")"),"毛蟹")</f>
        <v>毛蟹</v>
      </c>
      <c r="T42" s="474" t="str">
        <f>IFERROR(__xludf.DUMMYFUNCTION("GOOGLETRANSLATE(E42,""zh-tw"",""zh"")"),"毛蟹")</f>
        <v>毛蟹</v>
      </c>
      <c r="U42" s="161" t="str">
        <f>IFERROR(__xludf.DUMMYFUNCTION("GOOGLETRANSLATE(A42,""zh-tw"",""es-MX"")"),"Cangrejo hervido")</f>
        <v>Cangrejo hervido</v>
      </c>
      <c r="V42" s="468"/>
      <c r="W42" s="474" t="str">
        <f>IFERROR(__xludf.DUMMYFUNCTION("GOOGLETRANSLATE(C42,""zh-tw"",""es-MX"")"),"cangrejo peludo")</f>
        <v>cangrejo peludo</v>
      </c>
      <c r="X42" s="474" t="str">
        <f>IFERROR(__xludf.DUMMYFUNCTION("GOOGLETRANSLATE(D42,""zh-tw"",""es-MX"")"),"cangrejo peludo")</f>
        <v>cangrejo peludo</v>
      </c>
      <c r="Y42" s="474" t="str">
        <f>IFERROR(__xludf.DUMMYFUNCTION("GOOGLETRANSLATE(E42,""zh-tw"",""es-MX"")"),"cangrejo peludo")</f>
        <v>cangrejo peludo</v>
      </c>
      <c r="Z42" s="477" t="s">
        <v>10593</v>
      </c>
      <c r="AA42" s="469"/>
      <c r="AB42" s="210" t="str">
        <f>IFERROR(__xludf.DUMMYFUNCTION("GOOGLETRANSLATE(C42,""zh-tw"",""KO"")"),"털게")</f>
        <v>털게</v>
      </c>
      <c r="AC42" s="210" t="str">
        <f>IFERROR(__xludf.DUMMYFUNCTION("GOOGLETRANSLATE(D42,""zh-tw"",""KO"")"),"털게")</f>
        <v>털게</v>
      </c>
      <c r="AD42" s="210" t="str">
        <f>IFERROR(__xludf.DUMMYFUNCTION("GOOGLETRANSLATE(E42,""zh-tw"",""KO"")"),"털게")</f>
        <v>털게</v>
      </c>
      <c r="AE42" s="475" t="s">
        <v>10594</v>
      </c>
      <c r="AF42" s="235"/>
      <c r="AG42" s="474" t="s">
        <v>10595</v>
      </c>
      <c r="AH42" s="474" t="s">
        <v>10595</v>
      </c>
      <c r="AI42" s="474" t="s">
        <v>10595</v>
      </c>
      <c r="AJ42" s="477" t="s">
        <v>10596</v>
      </c>
      <c r="AK42" s="469"/>
      <c r="AL42" s="177" t="s">
        <v>10597</v>
      </c>
      <c r="AM42" s="177" t="s">
        <v>10597</v>
      </c>
      <c r="AN42" s="177" t="s">
        <v>10597</v>
      </c>
      <c r="AO42" s="219" t="s">
        <v>10598</v>
      </c>
      <c r="AP42" s="478"/>
      <c r="AQ42" s="221" t="s">
        <v>10599</v>
      </c>
      <c r="AR42" s="221" t="s">
        <v>10599</v>
      </c>
      <c r="AS42" s="221" t="s">
        <v>10599</v>
      </c>
      <c r="AT42" s="161" t="s">
        <v>10600</v>
      </c>
      <c r="AU42" s="479"/>
      <c r="AV42" s="210" t="s">
        <v>10601</v>
      </c>
      <c r="AW42" s="210" t="s">
        <v>10601</v>
      </c>
      <c r="AX42" s="210" t="s">
        <v>10601</v>
      </c>
      <c r="AY42" s="161"/>
      <c r="AZ42" s="473"/>
      <c r="BA42" s="474"/>
      <c r="BB42" s="474"/>
      <c r="BC42" s="474"/>
      <c r="BD42" s="210"/>
      <c r="BE42" s="210"/>
      <c r="BF42" s="210"/>
      <c r="BG42" s="210"/>
      <c r="BH42" s="210"/>
    </row>
    <row r="43">
      <c r="A43" s="190" t="s">
        <v>10602</v>
      </c>
      <c r="B43" s="473"/>
      <c r="C43" s="474" t="s">
        <v>10603</v>
      </c>
      <c r="D43" s="156"/>
      <c r="E43" s="156"/>
      <c r="F43" s="161" t="s">
        <v>10604</v>
      </c>
      <c r="G43" s="483"/>
      <c r="H43" s="474" t="s">
        <v>10605</v>
      </c>
      <c r="I43" s="156"/>
      <c r="J43" s="156"/>
      <c r="K43" s="256" t="s">
        <v>10606</v>
      </c>
      <c r="L43" s="473"/>
      <c r="M43" s="177" t="s">
        <v>10607</v>
      </c>
      <c r="N43" s="210"/>
      <c r="O43" s="210"/>
      <c r="P43" s="256" t="str">
        <f>IFERROR(__xludf.DUMMYFUNCTION("GOOGLETRANSLATE(A43,""zh-tw"",""zh"")"),"金枪鱼头")</f>
        <v>金枪鱼头</v>
      </c>
      <c r="Q43" s="454"/>
      <c r="R43" s="474" t="str">
        <f>IFERROR(__xludf.DUMMYFUNCTION("GOOGLETRANSLATE(C43,""zh-tw"",""zh"")"),"金枪鱼")</f>
        <v>金枪鱼</v>
      </c>
      <c r="S43" s="474"/>
      <c r="T43" s="474"/>
      <c r="U43" s="161" t="str">
        <f>IFERROR(__xludf.DUMMYFUNCTION("GOOGLETRANSLATE(A43,""zh-tw"",""es-MX"")"),"Cabeza de atún")</f>
        <v>Cabeza de atún</v>
      </c>
      <c r="V43" s="468"/>
      <c r="W43" s="474" t="str">
        <f>IFERROR(__xludf.DUMMYFUNCTION("GOOGLETRANSLATE(C43,""zh-tw"",""es-MX"")"),"atún")</f>
        <v>atún</v>
      </c>
      <c r="X43" s="474"/>
      <c r="Y43" s="474"/>
      <c r="Z43" s="475" t="str">
        <f>IFERROR(__xludf.DUMMYFUNCTION("GOOGLETRANSLATE(A43,""zh-tw"",""KO"")"),"참치 머리")</f>
        <v>참치 머리</v>
      </c>
      <c r="AA43" s="469"/>
      <c r="AB43" s="210" t="str">
        <f>IFERROR(__xludf.DUMMYFUNCTION("GOOGLETRANSLATE(C43,""zh-tw"",""KO"")"),"참치")</f>
        <v>참치</v>
      </c>
      <c r="AC43" s="210"/>
      <c r="AD43" s="210"/>
      <c r="AE43" s="475" t="s">
        <v>10608</v>
      </c>
      <c r="AF43" s="235"/>
      <c r="AG43" s="474" t="s">
        <v>10609</v>
      </c>
      <c r="AH43" s="476"/>
      <c r="AI43" s="476"/>
      <c r="AJ43" s="477" t="s">
        <v>10610</v>
      </c>
      <c r="AK43" s="469"/>
      <c r="AL43" s="177" t="s">
        <v>10611</v>
      </c>
      <c r="AM43" s="210"/>
      <c r="AN43" s="210"/>
      <c r="AO43" s="133" t="s">
        <v>10612</v>
      </c>
      <c r="AP43" s="478"/>
      <c r="AQ43" s="221" t="s">
        <v>10613</v>
      </c>
      <c r="AR43" s="221" t="s">
        <v>10193</v>
      </c>
      <c r="AS43" s="463"/>
      <c r="AT43" s="161" t="s">
        <v>10614</v>
      </c>
      <c r="AU43" s="479"/>
      <c r="AV43" s="210" t="s">
        <v>10615</v>
      </c>
      <c r="AW43" s="83"/>
      <c r="AX43" s="83"/>
      <c r="AY43" s="190"/>
      <c r="AZ43" s="473"/>
      <c r="BA43" s="474"/>
      <c r="BB43" s="156"/>
      <c r="BC43" s="156"/>
      <c r="BD43" s="83"/>
      <c r="BE43" s="83"/>
      <c r="BF43" s="83"/>
      <c r="BG43" s="83"/>
      <c r="BH43" s="83"/>
    </row>
    <row r="44">
      <c r="A44" s="161" t="s">
        <v>10616</v>
      </c>
      <c r="B44" s="483"/>
      <c r="C44" s="474" t="s">
        <v>10396</v>
      </c>
      <c r="D44" s="474" t="s">
        <v>10183</v>
      </c>
      <c r="E44" s="156"/>
      <c r="F44" s="161" t="s">
        <v>10617</v>
      </c>
      <c r="G44" s="483"/>
      <c r="H44" s="474" t="s">
        <v>10398</v>
      </c>
      <c r="I44" s="474" t="s">
        <v>10185</v>
      </c>
      <c r="J44" s="156"/>
      <c r="K44" s="256" t="s">
        <v>10618</v>
      </c>
      <c r="L44" s="473"/>
      <c r="M44" s="177" t="s">
        <v>10400</v>
      </c>
      <c r="N44" s="177" t="s">
        <v>10187</v>
      </c>
      <c r="O44" s="210"/>
      <c r="P44" s="256" t="str">
        <f>IFERROR(__xludf.DUMMYFUNCTION("GOOGLETRANSLATE(A44,""zh-tw"",""zh"")"),"章鱼丸子")</f>
        <v>章鱼丸子</v>
      </c>
      <c r="Q44" s="454"/>
      <c r="R44" s="474" t="str">
        <f>IFERROR(__xludf.DUMMYFUNCTION("GOOGLETRANSLATE(C44,""zh-tw"",""zh"")"),"章鱼脚")</f>
        <v>章鱼脚</v>
      </c>
      <c r="S44" s="474" t="str">
        <f>IFERROR(__xludf.DUMMYFUNCTION("GOOGLETRANSLATE(D44,""zh-tw"",""zh"")"),"小麦粉")</f>
        <v>小麦粉</v>
      </c>
      <c r="T44" s="474"/>
      <c r="U44" s="161" t="str">
        <f>IFERROR(__xludf.DUMMYFUNCTION("GOOGLETRANSLATE(A44,""zh-tw"",""es-MX"")"),"Takoyaki")</f>
        <v>Takoyaki</v>
      </c>
      <c r="V44" s="468"/>
      <c r="W44" s="474" t="str">
        <f>IFERROR(__xludf.DUMMYFUNCTION("GOOGLETRANSLATE(C44,""zh-tw"",""es-MX"")"),"Patas de pulpo")</f>
        <v>Patas de pulpo</v>
      </c>
      <c r="X44" s="474" t="str">
        <f>IFERROR(__xludf.DUMMYFUNCTION("GOOGLETRANSLATE(D44,""zh-tw"",""es-MX"")"),"harina de trigo")</f>
        <v>harina de trigo</v>
      </c>
      <c r="Y44" s="474"/>
      <c r="Z44" s="477" t="s">
        <v>10619</v>
      </c>
      <c r="AA44" s="469"/>
      <c r="AB44" s="177" t="s">
        <v>10402</v>
      </c>
      <c r="AC44" s="210" t="str">
        <f>IFERROR(__xludf.DUMMYFUNCTION("GOOGLETRANSLATE(D44,""zh-tw"",""KO"")"),"밀가루")</f>
        <v>밀가루</v>
      </c>
      <c r="AD44" s="210"/>
      <c r="AE44" s="475" t="s">
        <v>10620</v>
      </c>
      <c r="AF44" s="235"/>
      <c r="AG44" s="474" t="s">
        <v>10404</v>
      </c>
      <c r="AH44" s="474" t="s">
        <v>10189</v>
      </c>
      <c r="AI44" s="476"/>
      <c r="AJ44" s="477" t="s">
        <v>10621</v>
      </c>
      <c r="AK44" s="469"/>
      <c r="AL44" s="177" t="s">
        <v>10406</v>
      </c>
      <c r="AM44" s="177" t="s">
        <v>10191</v>
      </c>
      <c r="AN44" s="210"/>
      <c r="AO44" s="219" t="s">
        <v>10618</v>
      </c>
      <c r="AP44" s="478"/>
      <c r="AQ44" s="221" t="s">
        <v>10408</v>
      </c>
      <c r="AR44" s="463"/>
      <c r="AS44" s="463"/>
      <c r="AT44" s="161" t="s">
        <v>10618</v>
      </c>
      <c r="AU44" s="479"/>
      <c r="AV44" s="210" t="s">
        <v>10400</v>
      </c>
      <c r="AW44" s="210" t="s">
        <v>10195</v>
      </c>
      <c r="AX44" s="83"/>
      <c r="AY44" s="161"/>
      <c r="AZ44" s="483"/>
      <c r="BA44" s="474"/>
      <c r="BB44" s="474"/>
      <c r="BC44" s="156"/>
      <c r="BD44" s="83"/>
      <c r="BE44" s="83"/>
      <c r="BF44" s="83"/>
      <c r="BG44" s="83"/>
      <c r="BH44" s="83"/>
    </row>
    <row r="45">
      <c r="A45" s="161" t="s">
        <v>10622</v>
      </c>
      <c r="B45" s="483"/>
      <c r="C45" s="474" t="s">
        <v>10245</v>
      </c>
      <c r="D45" s="156"/>
      <c r="E45" s="156"/>
      <c r="F45" s="161" t="s">
        <v>10287</v>
      </c>
      <c r="G45" s="483"/>
      <c r="H45" s="474" t="s">
        <v>10247</v>
      </c>
      <c r="I45" s="156"/>
      <c r="J45" s="156"/>
      <c r="K45" s="256" t="s">
        <v>10623</v>
      </c>
      <c r="L45" s="473"/>
      <c r="M45" s="177" t="s">
        <v>10250</v>
      </c>
      <c r="N45" s="210"/>
      <c r="O45" s="210"/>
      <c r="P45" s="256" t="str">
        <f>IFERROR(__xludf.DUMMYFUNCTION("GOOGLETRANSLATE(A45,""zh-tw"",""zh"")"),"汉堡肉")</f>
        <v>汉堡肉</v>
      </c>
      <c r="Q45" s="454"/>
      <c r="R45" s="474" t="str">
        <f>IFERROR(__xludf.DUMMYFUNCTION("GOOGLETRANSLATE(C45,""zh-tw"",""zh"")"),"大块兽肉")</f>
        <v>大块兽肉</v>
      </c>
      <c r="S45" s="474"/>
      <c r="T45" s="474"/>
      <c r="U45" s="161" t="str">
        <f>IFERROR(__xludf.DUMMYFUNCTION("GOOGLETRANSLATE(A45,""zh-tw"",""es-MX"")"),"Hamburguesas")</f>
        <v>Hamburguesas</v>
      </c>
      <c r="V45" s="468"/>
      <c r="W45" s="474" t="str">
        <f>IFERROR(__xludf.DUMMYFUNCTION("GOOGLETRANSLATE(C45,""zh-tw"",""es-MX"")"),"Grandes trozos de carne")</f>
        <v>Grandes trozos de carne</v>
      </c>
      <c r="X45" s="474"/>
      <c r="Y45" s="474"/>
      <c r="Z45" s="477" t="s">
        <v>10624</v>
      </c>
      <c r="AA45" s="469"/>
      <c r="AB45" s="177" t="s">
        <v>10252</v>
      </c>
      <c r="AC45" s="210"/>
      <c r="AD45" s="210"/>
      <c r="AE45" s="475" t="s">
        <v>10625</v>
      </c>
      <c r="AF45" s="235"/>
      <c r="AG45" s="474" t="s">
        <v>10254</v>
      </c>
      <c r="AH45" s="476"/>
      <c r="AI45" s="476"/>
      <c r="AJ45" s="477" t="s">
        <v>10626</v>
      </c>
      <c r="AK45" s="469"/>
      <c r="AL45" s="177" t="s">
        <v>10256</v>
      </c>
      <c r="AM45" s="210"/>
      <c r="AN45" s="210"/>
      <c r="AO45" s="219" t="s">
        <v>10627</v>
      </c>
      <c r="AP45" s="478"/>
      <c r="AQ45" s="221" t="s">
        <v>10258</v>
      </c>
      <c r="AR45" s="463"/>
      <c r="AS45" s="463"/>
      <c r="AT45" s="161" t="s">
        <v>10628</v>
      </c>
      <c r="AU45" s="479"/>
      <c r="AV45" s="210" t="s">
        <v>10259</v>
      </c>
      <c r="AW45" s="83"/>
      <c r="AX45" s="83"/>
      <c r="AY45" s="161"/>
      <c r="AZ45" s="483"/>
      <c r="BA45" s="474"/>
      <c r="BB45" s="156"/>
      <c r="BC45" s="156"/>
      <c r="BD45" s="83"/>
      <c r="BE45" s="83"/>
      <c r="BF45" s="83"/>
      <c r="BG45" s="83"/>
      <c r="BH45" s="83"/>
    </row>
    <row r="46">
      <c r="A46" s="161" t="s">
        <v>10629</v>
      </c>
      <c r="B46" s="454" t="s">
        <v>1480</v>
      </c>
      <c r="C46" s="474" t="s">
        <v>7041</v>
      </c>
      <c r="D46" s="474" t="s">
        <v>7070</v>
      </c>
      <c r="E46" s="156"/>
      <c r="F46" s="161" t="s">
        <v>10630</v>
      </c>
      <c r="G46" s="454" t="s">
        <v>1480</v>
      </c>
      <c r="H46" s="474" t="s">
        <v>10384</v>
      </c>
      <c r="I46" s="474" t="s">
        <v>10631</v>
      </c>
      <c r="J46" s="156"/>
      <c r="K46" s="256" t="s">
        <v>10632</v>
      </c>
      <c r="L46" s="454" t="s">
        <v>1480</v>
      </c>
      <c r="M46" s="177" t="s">
        <v>7043</v>
      </c>
      <c r="N46" s="177" t="s">
        <v>7072</v>
      </c>
      <c r="O46" s="210"/>
      <c r="P46" s="256" t="str">
        <f>IFERROR(__xludf.DUMMYFUNCTION("GOOGLETRANSLATE(A46,""zh-tw"",""zh"")"),"辣味土豆泥")</f>
        <v>辣味土豆泥</v>
      </c>
      <c r="Q46" s="454" t="str">
        <f>IFERROR(__xludf.DUMMYFUNCTION("GOOGLETRANSLATE(B46,""zh-tw"",""zh"")"),"B")</f>
        <v>B</v>
      </c>
      <c r="R46" s="474" t="str">
        <f>IFERROR(__xludf.DUMMYFUNCTION("GOOGLETRANSLATE(C46,""zh-tw"",""zh"")"),"土豆")</f>
        <v>土豆</v>
      </c>
      <c r="S46" s="474" t="str">
        <f>IFERROR(__xludf.DUMMYFUNCTION("GOOGLETRANSLATE(D46,""zh-tw"",""zh"")"),"辣椒")</f>
        <v>辣椒</v>
      </c>
      <c r="T46" s="474"/>
      <c r="U46" s="161" t="str">
        <f>IFERROR(__xludf.DUMMYFUNCTION("GOOGLETRANSLATE(A46,""zh-tw"",""es-MX"")"),"Puré de patatas picante")</f>
        <v>Puré de patatas picante</v>
      </c>
      <c r="V46" s="468" t="str">
        <f>IFERROR(__xludf.DUMMYFUNCTION("GOOGLETRANSLATE(B46,""zh-tw"",""es-MX"")"),"B")</f>
        <v>B</v>
      </c>
      <c r="W46" s="474" t="str">
        <f>IFERROR(__xludf.DUMMYFUNCTION("GOOGLETRANSLATE(C46,""zh-tw"",""es-MX"")"),"Papa")</f>
        <v>Papa</v>
      </c>
      <c r="X46" s="474" t="str">
        <f>IFERROR(__xludf.DUMMYFUNCTION("GOOGLETRANSLATE(D46,""zh-tw"",""es-MX"")"),"chile")</f>
        <v>chile</v>
      </c>
      <c r="Y46" s="474"/>
      <c r="Z46" s="477" t="s">
        <v>10633</v>
      </c>
      <c r="AA46" s="469" t="s">
        <v>1480</v>
      </c>
      <c r="AB46" s="210" t="str">
        <f>IFERROR(__xludf.DUMMYFUNCTION("GOOGLETRANSLATE(C46,""zh-tw"",""KO"")"),"감자")</f>
        <v>감자</v>
      </c>
      <c r="AC46" s="214" t="s">
        <v>10634</v>
      </c>
      <c r="AD46" s="210"/>
      <c r="AE46" s="475" t="s">
        <v>10635</v>
      </c>
      <c r="AF46" s="468" t="s">
        <v>10134</v>
      </c>
      <c r="AG46" s="474" t="s">
        <v>7046</v>
      </c>
      <c r="AH46" s="474" t="s">
        <v>10636</v>
      </c>
      <c r="AI46" s="476"/>
      <c r="AJ46" s="477" t="s">
        <v>10637</v>
      </c>
      <c r="AK46" s="469" t="s">
        <v>1480</v>
      </c>
      <c r="AL46" s="177" t="s">
        <v>7048</v>
      </c>
      <c r="AM46" s="177" t="s">
        <v>10638</v>
      </c>
      <c r="AN46" s="210"/>
      <c r="AO46" s="219" t="s">
        <v>10639</v>
      </c>
      <c r="AP46" s="481" t="s">
        <v>1480</v>
      </c>
      <c r="AQ46" s="221" t="s">
        <v>7050</v>
      </c>
      <c r="AR46" s="221" t="s">
        <v>7078</v>
      </c>
      <c r="AS46" s="463"/>
      <c r="AT46" s="161" t="s">
        <v>10640</v>
      </c>
      <c r="AU46" s="454" t="s">
        <v>1480</v>
      </c>
      <c r="AV46" s="210" t="s">
        <v>7052</v>
      </c>
      <c r="AW46" s="210" t="s">
        <v>7072</v>
      </c>
      <c r="AX46" s="83"/>
      <c r="AY46" s="161"/>
      <c r="AZ46" s="454"/>
      <c r="BA46" s="474"/>
      <c r="BB46" s="474"/>
      <c r="BC46" s="156"/>
      <c r="BD46" s="83"/>
      <c r="BE46" s="83"/>
      <c r="BF46" s="83"/>
      <c r="BG46" s="83"/>
      <c r="BH46" s="83"/>
    </row>
    <row r="47">
      <c r="A47" s="161" t="s">
        <v>10641</v>
      </c>
      <c r="B47" s="454" t="s">
        <v>1480</v>
      </c>
      <c r="C47" s="474" t="s">
        <v>7070</v>
      </c>
      <c r="D47" s="156"/>
      <c r="E47" s="156"/>
      <c r="F47" s="161" t="s">
        <v>10642</v>
      </c>
      <c r="G47" s="454" t="s">
        <v>1480</v>
      </c>
      <c r="H47" s="474" t="s">
        <v>10631</v>
      </c>
      <c r="I47" s="156"/>
      <c r="J47" s="156"/>
      <c r="K47" s="256" t="s">
        <v>10643</v>
      </c>
      <c r="L47" s="454" t="s">
        <v>1480</v>
      </c>
      <c r="M47" s="177" t="s">
        <v>7072</v>
      </c>
      <c r="N47" s="210"/>
      <c r="O47" s="210"/>
      <c r="P47" s="256" t="str">
        <f>IFERROR(__xludf.DUMMYFUNCTION("GOOGLETRANSLATE(A47,""zh-tw"",""zh"")"),"辣椒水")</f>
        <v>辣椒水</v>
      </c>
      <c r="Q47" s="454" t="str">
        <f>IFERROR(__xludf.DUMMYFUNCTION("GOOGLETRANSLATE(B47,""zh-tw"",""zh"")"),"B")</f>
        <v>B</v>
      </c>
      <c r="R47" s="474" t="str">
        <f>IFERROR(__xludf.DUMMYFUNCTION("GOOGLETRANSLATE(C47,""zh-tw"",""zh"")"),"辣椒")</f>
        <v>辣椒</v>
      </c>
      <c r="S47" s="474"/>
      <c r="T47" s="474"/>
      <c r="U47" s="161" t="str">
        <f>IFERROR(__xludf.DUMMYFUNCTION("GOOGLETRANSLATE(A47,""zh-tw"",""es-MX"")"),"Agua de chile")</f>
        <v>Agua de chile</v>
      </c>
      <c r="V47" s="468" t="str">
        <f>IFERROR(__xludf.DUMMYFUNCTION("GOOGLETRANSLATE(B47,""zh-tw"",""es-MX"")"),"B")</f>
        <v>B</v>
      </c>
      <c r="W47" s="474" t="str">
        <f>IFERROR(__xludf.DUMMYFUNCTION("GOOGLETRANSLATE(C47,""zh-tw"",""es-MX"")"),"chile")</f>
        <v>chile</v>
      </c>
      <c r="X47" s="474"/>
      <c r="Y47" s="474"/>
      <c r="Z47" s="477" t="s">
        <v>10644</v>
      </c>
      <c r="AA47" s="469" t="s">
        <v>1480</v>
      </c>
      <c r="AB47" s="214" t="s">
        <v>10634</v>
      </c>
      <c r="AC47" s="210"/>
      <c r="AD47" s="210"/>
      <c r="AE47" s="475" t="s">
        <v>10645</v>
      </c>
      <c r="AF47" s="468" t="s">
        <v>10134</v>
      </c>
      <c r="AG47" s="474" t="s">
        <v>10636</v>
      </c>
      <c r="AH47" s="476"/>
      <c r="AI47" s="476"/>
      <c r="AJ47" s="477" t="s">
        <v>10646</v>
      </c>
      <c r="AK47" s="469" t="s">
        <v>1480</v>
      </c>
      <c r="AL47" s="177" t="s">
        <v>10638</v>
      </c>
      <c r="AM47" s="210"/>
      <c r="AN47" s="210"/>
      <c r="AO47" s="219" t="s">
        <v>10647</v>
      </c>
      <c r="AP47" s="481" t="s">
        <v>1480</v>
      </c>
      <c r="AQ47" s="221" t="s">
        <v>7078</v>
      </c>
      <c r="AR47" s="463"/>
      <c r="AS47" s="463"/>
      <c r="AT47" s="161" t="s">
        <v>10648</v>
      </c>
      <c r="AU47" s="454" t="s">
        <v>1480</v>
      </c>
      <c r="AV47" s="210" t="s">
        <v>7072</v>
      </c>
      <c r="AW47" s="83"/>
      <c r="AX47" s="83"/>
      <c r="AY47" s="161"/>
      <c r="AZ47" s="454"/>
      <c r="BA47" s="474"/>
      <c r="BB47" s="156"/>
      <c r="BC47" s="156"/>
      <c r="BD47" s="83"/>
      <c r="BE47" s="83"/>
      <c r="BF47" s="83"/>
      <c r="BG47" s="83"/>
      <c r="BH47" s="83"/>
    </row>
    <row r="48">
      <c r="A48" s="161" t="s">
        <v>10649</v>
      </c>
      <c r="B48" s="483"/>
      <c r="C48" s="474" t="s">
        <v>10147</v>
      </c>
      <c r="D48" s="474" t="s">
        <v>10318</v>
      </c>
      <c r="E48" s="156"/>
      <c r="F48" s="161" t="s">
        <v>10650</v>
      </c>
      <c r="G48" s="483"/>
      <c r="H48" s="474" t="s">
        <v>10149</v>
      </c>
      <c r="I48" s="474" t="s">
        <v>10320</v>
      </c>
      <c r="J48" s="156"/>
      <c r="K48" s="256" t="s">
        <v>10651</v>
      </c>
      <c r="L48" s="473"/>
      <c r="M48" s="177" t="s">
        <v>10151</v>
      </c>
      <c r="N48" s="177" t="s">
        <v>10322</v>
      </c>
      <c r="O48" s="210"/>
      <c r="P48" s="256" t="str">
        <f>IFERROR(__xludf.DUMMYFUNCTION("GOOGLETRANSLATE(A48,""zh-tw"",""zh"")"),"水怪软糖")</f>
        <v>水怪软糖</v>
      </c>
      <c r="Q48" s="454"/>
      <c r="R48" s="474" t="str">
        <f>IFERROR(__xludf.DUMMYFUNCTION("GOOGLETRANSLATE(C48,""zh-tw"",""zh"")"),"史莱姆黏液")</f>
        <v>史莱姆黏液</v>
      </c>
      <c r="S48" s="474" t="str">
        <f>IFERROR(__xludf.DUMMYFUNCTION("GOOGLETRANSLATE(D48,""zh-tw"",""zh"")"),"水怪黏液")</f>
        <v>水怪黏液</v>
      </c>
      <c r="T48" s="474"/>
      <c r="U48" s="161" t="str">
        <f>IFERROR(__xludf.DUMMYFUNCTION("GOOGLETRANSLATE(A48,""zh-tw"",""es-MX"")"),"Monstruo de agua de gominola")</f>
        <v>Monstruo de agua de gominola</v>
      </c>
      <c r="V48" s="468"/>
      <c r="W48" s="474" t="str">
        <f>IFERROR(__xludf.DUMMYFUNCTION("GOOGLETRANSLATE(C48,""zh-tw"",""es-MX"")"),"limo")</f>
        <v>limo</v>
      </c>
      <c r="X48" s="474" t="str">
        <f>IFERROR(__xludf.DUMMYFUNCTION("GOOGLETRANSLATE(D48,""zh-tw"",""es-MX"")"),"Monstruo acuático de limo")</f>
        <v>Monstruo acuático de limo</v>
      </c>
      <c r="Y48" s="474"/>
      <c r="Z48" s="477" t="s">
        <v>10652</v>
      </c>
      <c r="AA48" s="469"/>
      <c r="AB48" s="214" t="s">
        <v>10152</v>
      </c>
      <c r="AC48" s="177" t="s">
        <v>10323</v>
      </c>
      <c r="AD48" s="210"/>
      <c r="AE48" s="475" t="s">
        <v>10653</v>
      </c>
      <c r="AF48" s="235"/>
      <c r="AG48" s="474" t="s">
        <v>10154</v>
      </c>
      <c r="AH48" s="474" t="s">
        <v>10324</v>
      </c>
      <c r="AI48" s="476"/>
      <c r="AJ48" s="477" t="s">
        <v>10654</v>
      </c>
      <c r="AK48" s="469"/>
      <c r="AL48" s="177" t="s">
        <v>10156</v>
      </c>
      <c r="AM48" s="177" t="s">
        <v>10326</v>
      </c>
      <c r="AN48" s="210"/>
      <c r="AO48" s="480" t="s">
        <v>10655</v>
      </c>
      <c r="AP48" s="478"/>
      <c r="AQ48" s="221" t="s">
        <v>10158</v>
      </c>
      <c r="AR48" s="223" t="s">
        <v>10328</v>
      </c>
      <c r="AS48" s="463"/>
      <c r="AT48" s="161" t="s">
        <v>10656</v>
      </c>
      <c r="AU48" s="479"/>
      <c r="AV48" s="210" t="s">
        <v>10159</v>
      </c>
      <c r="AW48" s="210" t="s">
        <v>10657</v>
      </c>
      <c r="AX48" s="83"/>
      <c r="AY48" s="161"/>
      <c r="AZ48" s="483"/>
      <c r="BA48" s="474"/>
      <c r="BB48" s="474"/>
      <c r="BC48" s="156"/>
      <c r="BD48" s="83"/>
      <c r="BE48" s="83"/>
      <c r="BF48" s="83"/>
      <c r="BG48" s="83"/>
      <c r="BH48" s="83"/>
    </row>
    <row r="49">
      <c r="A49" s="161" t="s">
        <v>10658</v>
      </c>
      <c r="B49" s="483"/>
      <c r="C49" s="474" t="s">
        <v>10147</v>
      </c>
      <c r="D49" s="474" t="s">
        <v>10318</v>
      </c>
      <c r="E49" s="156"/>
      <c r="F49" s="161" t="s">
        <v>10659</v>
      </c>
      <c r="G49" s="483"/>
      <c r="H49" s="474" t="s">
        <v>10149</v>
      </c>
      <c r="I49" s="474" t="s">
        <v>10320</v>
      </c>
      <c r="J49" s="156"/>
      <c r="K49" s="256" t="s">
        <v>10660</v>
      </c>
      <c r="L49" s="473"/>
      <c r="M49" s="177" t="s">
        <v>10151</v>
      </c>
      <c r="N49" s="177" t="s">
        <v>10322</v>
      </c>
      <c r="O49" s="210"/>
      <c r="P49" s="256" t="str">
        <f>IFERROR(__xludf.DUMMYFUNCTION("GOOGLETRANSLATE(A49,""zh-tw"",""zh"")"),"水怪刨冰")</f>
        <v>水怪刨冰</v>
      </c>
      <c r="Q49" s="454"/>
      <c r="R49" s="474" t="str">
        <f>IFERROR(__xludf.DUMMYFUNCTION("GOOGLETRANSLATE(C49,""zh-tw"",""zh"")"),"史莱姆黏液")</f>
        <v>史莱姆黏液</v>
      </c>
      <c r="S49" s="474" t="str">
        <f>IFERROR(__xludf.DUMMYFUNCTION("GOOGLETRANSLATE(D49,""zh-tw"",""zh"")"),"水怪黏液")</f>
        <v>水怪黏液</v>
      </c>
      <c r="T49" s="474"/>
      <c r="U49" s="161" t="str">
        <f>IFERROR(__xludf.DUMMYFUNCTION("GOOGLETRANSLATE(A49,""zh-tw"",""es-MX"")"),"Hielo raspado Monstruo de Agua")</f>
        <v>Hielo raspado Monstruo de Agua</v>
      </c>
      <c r="V49" s="468"/>
      <c r="W49" s="474" t="str">
        <f>IFERROR(__xludf.DUMMYFUNCTION("GOOGLETRANSLATE(C49,""zh-tw"",""es-MX"")"),"limo")</f>
        <v>limo</v>
      </c>
      <c r="X49" s="474" t="str">
        <f>IFERROR(__xludf.DUMMYFUNCTION("GOOGLETRANSLATE(D49,""zh-tw"",""es-MX"")"),"Monstruo acuático de limo")</f>
        <v>Monstruo acuático de limo</v>
      </c>
      <c r="Y49" s="474"/>
      <c r="Z49" s="477" t="s">
        <v>10661</v>
      </c>
      <c r="AA49" s="469"/>
      <c r="AB49" s="214" t="s">
        <v>10152</v>
      </c>
      <c r="AC49" s="214" t="s">
        <v>10323</v>
      </c>
      <c r="AD49" s="210"/>
      <c r="AE49" s="475" t="s">
        <v>10662</v>
      </c>
      <c r="AF49" s="235"/>
      <c r="AG49" s="474" t="s">
        <v>10154</v>
      </c>
      <c r="AH49" s="474" t="s">
        <v>10324</v>
      </c>
      <c r="AI49" s="476"/>
      <c r="AJ49" s="477" t="s">
        <v>10663</v>
      </c>
      <c r="AK49" s="469"/>
      <c r="AL49" s="177" t="s">
        <v>10156</v>
      </c>
      <c r="AM49" s="177" t="s">
        <v>10326</v>
      </c>
      <c r="AN49" s="210"/>
      <c r="AO49" s="480" t="s">
        <v>10664</v>
      </c>
      <c r="AP49" s="478"/>
      <c r="AQ49" s="221" t="s">
        <v>10158</v>
      </c>
      <c r="AR49" s="223" t="s">
        <v>10328</v>
      </c>
      <c r="AS49" s="463"/>
      <c r="AT49" s="161" t="s">
        <v>10665</v>
      </c>
      <c r="AU49" s="479"/>
      <c r="AV49" s="210" t="s">
        <v>10159</v>
      </c>
      <c r="AW49" s="210" t="s">
        <v>10657</v>
      </c>
      <c r="AX49" s="83"/>
      <c r="AY49" s="161"/>
      <c r="AZ49" s="483"/>
      <c r="BA49" s="474"/>
      <c r="BB49" s="474"/>
      <c r="BC49" s="156"/>
      <c r="BD49" s="83"/>
      <c r="BE49" s="83"/>
      <c r="BF49" s="83"/>
      <c r="BG49" s="83"/>
      <c r="BH49" s="83"/>
    </row>
    <row r="50">
      <c r="A50" s="161" t="s">
        <v>10666</v>
      </c>
      <c r="B50" s="484" t="s">
        <v>10667</v>
      </c>
      <c r="C50" s="474" t="s">
        <v>10147</v>
      </c>
      <c r="D50" s="474" t="s">
        <v>10318</v>
      </c>
      <c r="E50" s="474" t="s">
        <v>10668</v>
      </c>
      <c r="F50" s="161" t="s">
        <v>10669</v>
      </c>
      <c r="G50" s="484" t="s">
        <v>10670</v>
      </c>
      <c r="H50" s="474" t="s">
        <v>10149</v>
      </c>
      <c r="I50" s="474" t="s">
        <v>10320</v>
      </c>
      <c r="J50" s="474" t="s">
        <v>10671</v>
      </c>
      <c r="K50" s="256" t="s">
        <v>10672</v>
      </c>
      <c r="L50" s="485" t="s">
        <v>10673</v>
      </c>
      <c r="M50" s="177" t="s">
        <v>10151</v>
      </c>
      <c r="N50" s="177" t="s">
        <v>10322</v>
      </c>
      <c r="O50" s="177" t="s">
        <v>10674</v>
      </c>
      <c r="P50" s="256" t="str">
        <f>IFERROR(__xludf.DUMMYFUNCTION("GOOGLETRANSLATE(A50,""zh-tw"",""zh"")"),"水怪软糖(红)")</f>
        <v>水怪软糖(红)</v>
      </c>
      <c r="Q50" s="484" t="s">
        <v>10667</v>
      </c>
      <c r="R50" s="474" t="str">
        <f>IFERROR(__xludf.DUMMYFUNCTION("GOOGLETRANSLATE(C50,""zh-tw"",""zh"")"),"史莱姆黏液")</f>
        <v>史莱姆黏液</v>
      </c>
      <c r="S50" s="474" t="str">
        <f>IFERROR(__xludf.DUMMYFUNCTION("GOOGLETRANSLATE(D50,""zh-tw"",""zh"")"),"水怪黏液")</f>
        <v>水怪黏液</v>
      </c>
      <c r="T50" s="474" t="str">
        <f>IFERROR(__xludf.DUMMYFUNCTION("GOOGLETRANSLATE(E50,""zh-tw"",""zh"")"),"番茄/辣椒")</f>
        <v>番茄/辣椒</v>
      </c>
      <c r="U50" s="161" t="str">
        <f>IFERROR(__xludf.DUMMYFUNCTION("GOOGLETRANSLATE(A50,""zh-tw"",""es-MX"")"),"Gomitas Monstruo de Agua (Rojas)")</f>
        <v>Gomitas Monstruo de Agua (Rojas)</v>
      </c>
      <c r="V50" s="468" t="str">
        <f>IFERROR(__xludf.DUMMYFUNCTION("GOOGLETRANSLATE(B50,""zh-tw"",""es-MX"")"),"(B) Chiles")</f>
        <v>(B) Chiles</v>
      </c>
      <c r="W50" s="474" t="str">
        <f>IFERROR(__xludf.DUMMYFUNCTION("GOOGLETRANSLATE(C50,""zh-tw"",""es-MX"")"),"limo")</f>
        <v>limo</v>
      </c>
      <c r="X50" s="474" t="str">
        <f>IFERROR(__xludf.DUMMYFUNCTION("GOOGLETRANSLATE(D50,""zh-tw"",""es-MX"")"),"Monstruo acuático de limo")</f>
        <v>Monstruo acuático de limo</v>
      </c>
      <c r="Y50" s="474" t="str">
        <f>IFERROR(__xludf.DUMMYFUNCTION("GOOGLETRANSLATE(E50,""zh-tw"",""es-MX"")"),"Tomates/Pimientos")</f>
        <v>Tomates/Pimientos</v>
      </c>
      <c r="Z50" s="477" t="s">
        <v>10675</v>
      </c>
      <c r="AA50" s="469" t="s">
        <v>10676</v>
      </c>
      <c r="AB50" s="177" t="s">
        <v>10152</v>
      </c>
      <c r="AC50" s="214" t="s">
        <v>10323</v>
      </c>
      <c r="AD50" s="210" t="str">
        <f>IFERROR(__xludf.DUMMYFUNCTION("GOOGLETRANSLATE(E50,""zh-tw"",""KO"")"),"토마토/피망")</f>
        <v>토마토/피망</v>
      </c>
      <c r="AE50" s="475" t="s">
        <v>10677</v>
      </c>
      <c r="AF50" s="468" t="s">
        <v>10678</v>
      </c>
      <c r="AG50" s="474" t="s">
        <v>10154</v>
      </c>
      <c r="AH50" s="474" t="s">
        <v>10324</v>
      </c>
      <c r="AI50" s="474" t="s">
        <v>10679</v>
      </c>
      <c r="AJ50" s="477" t="s">
        <v>10680</v>
      </c>
      <c r="AK50" s="469" t="s">
        <v>1480</v>
      </c>
      <c r="AL50" s="177" t="s">
        <v>10156</v>
      </c>
      <c r="AM50" s="177" t="s">
        <v>10326</v>
      </c>
      <c r="AN50" s="210" t="str">
        <f>IFERROR(__xludf.DUMMYFUNCTION("GOOGLETRANSLATE(E50,""zh-tw"",""de"")"),"Tomaten/Paprika")</f>
        <v>Tomaten/Paprika</v>
      </c>
      <c r="AO50" s="480" t="s">
        <v>10681</v>
      </c>
      <c r="AP50" s="486" t="s">
        <v>10682</v>
      </c>
      <c r="AQ50" s="221" t="s">
        <v>10158</v>
      </c>
      <c r="AR50" s="223" t="s">
        <v>10328</v>
      </c>
      <c r="AS50" s="221" t="s">
        <v>10683</v>
      </c>
      <c r="AT50" s="161" t="s">
        <v>10684</v>
      </c>
      <c r="AU50" s="487" t="s">
        <v>10685</v>
      </c>
      <c r="AV50" s="210" t="s">
        <v>10159</v>
      </c>
      <c r="AW50" s="210" t="s">
        <v>10657</v>
      </c>
      <c r="AX50" s="210" t="s">
        <v>10686</v>
      </c>
      <c r="AY50" s="161"/>
      <c r="AZ50" s="484"/>
      <c r="BA50" s="474"/>
      <c r="BB50" s="474"/>
      <c r="BC50" s="474"/>
      <c r="BD50" s="210"/>
      <c r="BE50" s="210"/>
      <c r="BF50" s="210"/>
      <c r="BG50" s="210"/>
      <c r="BH50" s="210"/>
    </row>
    <row r="51">
      <c r="A51" s="161" t="s">
        <v>10687</v>
      </c>
      <c r="B51" s="483"/>
      <c r="C51" s="474" t="s">
        <v>10183</v>
      </c>
      <c r="D51" s="156"/>
      <c r="E51" s="156"/>
      <c r="F51" s="161" t="s">
        <v>10688</v>
      </c>
      <c r="G51" s="483"/>
      <c r="H51" s="474" t="s">
        <v>10185</v>
      </c>
      <c r="I51" s="156"/>
      <c r="J51" s="156"/>
      <c r="K51" s="256" t="s">
        <v>10689</v>
      </c>
      <c r="L51" s="473"/>
      <c r="M51" s="177" t="s">
        <v>10187</v>
      </c>
      <c r="N51" s="210"/>
      <c r="O51" s="210"/>
      <c r="P51" s="256" t="str">
        <f>IFERROR(__xludf.DUMMYFUNCTION("GOOGLETRANSLATE(A51,""zh-tw"",""zh"")"),"煎薄饼")</f>
        <v>煎薄饼</v>
      </c>
      <c r="Q51" s="454"/>
      <c r="R51" s="474" t="str">
        <f>IFERROR(__xludf.DUMMYFUNCTION("GOOGLETRANSLATE(C51,""zh-tw"",""zh"")"),"小麦粉")</f>
        <v>小麦粉</v>
      </c>
      <c r="S51" s="474"/>
      <c r="T51" s="474"/>
      <c r="U51" s="161" t="str">
        <f>IFERROR(__xludf.DUMMYFUNCTION("GOOGLETRANSLATE(A51,""zh-tw"",""es-MX"")"),"Panqueques")</f>
        <v>Panqueques</v>
      </c>
      <c r="V51" s="468"/>
      <c r="W51" s="474" t="str">
        <f>IFERROR(__xludf.DUMMYFUNCTION("GOOGLETRANSLATE(C51,""zh-tw"",""es-MX"")"),"harina de trigo")</f>
        <v>harina de trigo</v>
      </c>
      <c r="X51" s="474"/>
      <c r="Y51" s="474"/>
      <c r="Z51" s="475" t="str">
        <f>IFERROR(__xludf.DUMMYFUNCTION("GOOGLETRANSLATE(A51,""zh-tw"",""KO"")"),"팬케이크")</f>
        <v>팬케이크</v>
      </c>
      <c r="AA51" s="469"/>
      <c r="AB51" s="210" t="str">
        <f>IFERROR(__xludf.DUMMYFUNCTION("GOOGLETRANSLATE(C51,""zh-tw"",""KO"")"),"밀가루")</f>
        <v>밀가루</v>
      </c>
      <c r="AC51" s="210"/>
      <c r="AD51" s="210"/>
      <c r="AE51" s="475" t="s">
        <v>10690</v>
      </c>
      <c r="AF51" s="235"/>
      <c r="AG51" s="474" t="s">
        <v>10189</v>
      </c>
      <c r="AH51" s="476"/>
      <c r="AI51" s="476"/>
      <c r="AJ51" s="477" t="s">
        <v>10691</v>
      </c>
      <c r="AK51" s="469"/>
      <c r="AL51" s="177" t="s">
        <v>10191</v>
      </c>
      <c r="AM51" s="210"/>
      <c r="AN51" s="210"/>
      <c r="AO51" s="219" t="s">
        <v>10692</v>
      </c>
      <c r="AP51" s="478"/>
      <c r="AQ51" s="221" t="s">
        <v>10193</v>
      </c>
      <c r="AR51" s="463"/>
      <c r="AS51" s="463"/>
      <c r="AT51" s="161" t="s">
        <v>10693</v>
      </c>
      <c r="AU51" s="479"/>
      <c r="AV51" s="210" t="s">
        <v>10195</v>
      </c>
      <c r="AW51" s="83"/>
      <c r="AX51" s="83"/>
      <c r="AY51" s="161"/>
      <c r="AZ51" s="483"/>
      <c r="BA51" s="474"/>
      <c r="BB51" s="156"/>
      <c r="BC51" s="156"/>
      <c r="BD51" s="83"/>
      <c r="BE51" s="83"/>
      <c r="BF51" s="83"/>
      <c r="BG51" s="83"/>
      <c r="BH51" s="83"/>
    </row>
    <row r="52">
      <c r="A52" s="161" t="s">
        <v>10694</v>
      </c>
      <c r="B52" s="483"/>
      <c r="C52" s="474" t="s">
        <v>7019</v>
      </c>
      <c r="D52" s="474" t="s">
        <v>10183</v>
      </c>
      <c r="E52" s="156"/>
      <c r="F52" s="161" t="s">
        <v>10695</v>
      </c>
      <c r="G52" s="483"/>
      <c r="H52" s="474" t="s">
        <v>10696</v>
      </c>
      <c r="I52" s="474" t="s">
        <v>10185</v>
      </c>
      <c r="J52" s="156"/>
      <c r="K52" s="256" t="s">
        <v>10697</v>
      </c>
      <c r="L52" s="473"/>
      <c r="M52" s="177" t="s">
        <v>7023</v>
      </c>
      <c r="N52" s="177" t="s">
        <v>10187</v>
      </c>
      <c r="O52" s="210"/>
      <c r="P52" s="256" t="str">
        <f>IFERROR(__xludf.DUMMYFUNCTION("GOOGLETRANSLATE(A52,""zh-tw"",""zh"")"),"草莓煎薄饼")</f>
        <v>草莓煎薄饼</v>
      </c>
      <c r="Q52" s="454"/>
      <c r="R52" s="474" t="str">
        <f>IFERROR(__xludf.DUMMYFUNCTION("GOOGLETRANSLATE(C52,""zh-tw"",""zh"")"),"草莓")</f>
        <v>草莓</v>
      </c>
      <c r="S52" s="474" t="str">
        <f>IFERROR(__xludf.DUMMYFUNCTION("GOOGLETRANSLATE(D52,""zh-tw"",""zh"")"),"小麦粉")</f>
        <v>小麦粉</v>
      </c>
      <c r="T52" s="474"/>
      <c r="U52" s="161" t="str">
        <f>IFERROR(__xludf.DUMMYFUNCTION("GOOGLETRANSLATE(A52,""zh-tw"",""es-MX"")"),"Tortitas de fresa")</f>
        <v>Tortitas de fresa</v>
      </c>
      <c r="V52" s="468"/>
      <c r="W52" s="474" t="str">
        <f>IFERROR(__xludf.DUMMYFUNCTION("GOOGLETRANSLATE(C52,""zh-tw"",""es-MX"")"),"fresa")</f>
        <v>fresa</v>
      </c>
      <c r="X52" s="474" t="str">
        <f>IFERROR(__xludf.DUMMYFUNCTION("GOOGLETRANSLATE(D52,""zh-tw"",""es-MX"")"),"harina de trigo")</f>
        <v>harina de trigo</v>
      </c>
      <c r="Y52" s="474"/>
      <c r="Z52" s="475" t="str">
        <f>IFERROR(__xludf.DUMMYFUNCTION("GOOGLETRANSLATE(A52,""zh-tw"",""KO"")"),"딸기 팬케이크")</f>
        <v>딸기 팬케이크</v>
      </c>
      <c r="AA52" s="469"/>
      <c r="AB52" s="210" t="str">
        <f>IFERROR(__xludf.DUMMYFUNCTION("GOOGLETRANSLATE(C52,""zh-tw"",""KO"")"),"딸기")</f>
        <v>딸기</v>
      </c>
      <c r="AC52" s="210" t="str">
        <f>IFERROR(__xludf.DUMMYFUNCTION("GOOGLETRANSLATE(D52,""zh-tw"",""KO"")"),"밀가루")</f>
        <v>밀가루</v>
      </c>
      <c r="AD52" s="210"/>
      <c r="AE52" s="475" t="s">
        <v>10698</v>
      </c>
      <c r="AF52" s="235"/>
      <c r="AG52" s="474" t="s">
        <v>7026</v>
      </c>
      <c r="AH52" s="474" t="s">
        <v>10189</v>
      </c>
      <c r="AI52" s="476"/>
      <c r="AJ52" s="477" t="s">
        <v>10699</v>
      </c>
      <c r="AK52" s="469"/>
      <c r="AL52" s="177" t="s">
        <v>10700</v>
      </c>
      <c r="AM52" s="177" t="s">
        <v>10191</v>
      </c>
      <c r="AN52" s="210"/>
      <c r="AO52" s="219" t="s">
        <v>10701</v>
      </c>
      <c r="AP52" s="478"/>
      <c r="AQ52" s="221" t="s">
        <v>7032</v>
      </c>
      <c r="AR52" s="221" t="s">
        <v>10193</v>
      </c>
      <c r="AS52" s="463"/>
      <c r="AT52" s="161" t="s">
        <v>10702</v>
      </c>
      <c r="AU52" s="479"/>
      <c r="AV52" s="210" t="s">
        <v>7035</v>
      </c>
      <c r="AW52" s="210" t="s">
        <v>10195</v>
      </c>
      <c r="AX52" s="83"/>
      <c r="AY52" s="161"/>
      <c r="AZ52" s="483"/>
      <c r="BA52" s="474"/>
      <c r="BB52" s="474"/>
      <c r="BC52" s="156"/>
      <c r="BD52" s="83"/>
      <c r="BE52" s="83"/>
      <c r="BF52" s="83"/>
      <c r="BG52" s="83"/>
      <c r="BH52" s="83"/>
    </row>
    <row r="53">
      <c r="A53" s="161" t="s">
        <v>10703</v>
      </c>
      <c r="B53" s="483"/>
      <c r="C53" s="474" t="s">
        <v>7056</v>
      </c>
      <c r="D53" s="156"/>
      <c r="E53" s="156"/>
      <c r="F53" s="161" t="s">
        <v>10704</v>
      </c>
      <c r="G53" s="483"/>
      <c r="H53" s="474" t="s">
        <v>10500</v>
      </c>
      <c r="I53" s="156"/>
      <c r="J53" s="156"/>
      <c r="K53" s="256" t="s">
        <v>10705</v>
      </c>
      <c r="L53" s="473"/>
      <c r="M53" s="177" t="s">
        <v>7058</v>
      </c>
      <c r="N53" s="210"/>
      <c r="O53" s="210"/>
      <c r="P53" s="256" t="str">
        <f>IFERROR(__xludf.DUMMYFUNCTION("GOOGLETRANSLATE(A53,""zh-tw"",""zh"")"),"番茄汤")</f>
        <v>番茄汤</v>
      </c>
      <c r="Q53" s="454"/>
      <c r="R53" s="474" t="str">
        <f>IFERROR(__xludf.DUMMYFUNCTION("GOOGLETRANSLATE(C53,""zh-tw"",""zh"")"),"番茄")</f>
        <v>番茄</v>
      </c>
      <c r="S53" s="474"/>
      <c r="T53" s="474"/>
      <c r="U53" s="161" t="str">
        <f>IFERROR(__xludf.DUMMYFUNCTION("GOOGLETRANSLATE(A53,""zh-tw"",""es-MX"")"),"Sopa de tomate")</f>
        <v>Sopa de tomate</v>
      </c>
      <c r="V53" s="468"/>
      <c r="W53" s="474" t="str">
        <f>IFERROR(__xludf.DUMMYFUNCTION("GOOGLETRANSLATE(C53,""zh-tw"",""es-MX"")"),"tomate")</f>
        <v>tomate</v>
      </c>
      <c r="X53" s="474"/>
      <c r="Y53" s="474"/>
      <c r="Z53" s="475" t="str">
        <f>IFERROR(__xludf.DUMMYFUNCTION("GOOGLETRANSLATE(A53,""zh-tw"",""KO"")"),"토마토 수프")</f>
        <v>토마토 수프</v>
      </c>
      <c r="AA53" s="469"/>
      <c r="AB53" s="210" t="str">
        <f>IFERROR(__xludf.DUMMYFUNCTION("GOOGLETRANSLATE(C53,""zh-tw"",""KO"")"),"토마토")</f>
        <v>토마토</v>
      </c>
      <c r="AC53" s="210"/>
      <c r="AD53" s="210"/>
      <c r="AE53" s="475" t="s">
        <v>10706</v>
      </c>
      <c r="AF53" s="235"/>
      <c r="AG53" s="474" t="s">
        <v>7060</v>
      </c>
      <c r="AH53" s="476"/>
      <c r="AI53" s="476"/>
      <c r="AJ53" s="477" t="s">
        <v>10707</v>
      </c>
      <c r="AK53" s="469"/>
      <c r="AL53" s="177" t="s">
        <v>7066</v>
      </c>
      <c r="AM53" s="210"/>
      <c r="AN53" s="210"/>
      <c r="AO53" s="219" t="s">
        <v>10708</v>
      </c>
      <c r="AP53" s="478"/>
      <c r="AQ53" s="221" t="s">
        <v>7050</v>
      </c>
      <c r="AR53" s="463"/>
      <c r="AS53" s="463"/>
      <c r="AT53" s="161" t="s">
        <v>10709</v>
      </c>
      <c r="AU53" s="479"/>
      <c r="AV53" s="210" t="s">
        <v>7066</v>
      </c>
      <c r="AW53" s="83"/>
      <c r="AX53" s="83"/>
      <c r="AY53" s="161"/>
      <c r="AZ53" s="483"/>
      <c r="BA53" s="474"/>
      <c r="BB53" s="156"/>
      <c r="BC53" s="156"/>
      <c r="BD53" s="83"/>
      <c r="BE53" s="83"/>
      <c r="BF53" s="83"/>
      <c r="BG53" s="83"/>
      <c r="BH53" s="83"/>
    </row>
    <row r="54">
      <c r="A54" s="161" t="s">
        <v>7019</v>
      </c>
      <c r="B54" s="483"/>
      <c r="C54" s="474" t="s">
        <v>7019</v>
      </c>
      <c r="D54" s="156"/>
      <c r="E54" s="156"/>
      <c r="F54" s="161" t="s">
        <v>10710</v>
      </c>
      <c r="G54" s="483"/>
      <c r="H54" s="474" t="s">
        <v>10696</v>
      </c>
      <c r="I54" s="156"/>
      <c r="J54" s="156"/>
      <c r="K54" s="256" t="s">
        <v>7023</v>
      </c>
      <c r="L54" s="473"/>
      <c r="M54" s="177" t="s">
        <v>7023</v>
      </c>
      <c r="N54" s="210"/>
      <c r="O54" s="210"/>
      <c r="P54" s="256" t="str">
        <f>IFERROR(__xludf.DUMMYFUNCTION("GOOGLETRANSLATE(A54,""zh-tw"",""zh"")"),"草莓")</f>
        <v>草莓</v>
      </c>
      <c r="Q54" s="454"/>
      <c r="R54" s="474" t="str">
        <f>IFERROR(__xludf.DUMMYFUNCTION("GOOGLETRANSLATE(C54,""zh-tw"",""zh"")"),"草莓")</f>
        <v>草莓</v>
      </c>
      <c r="S54" s="474"/>
      <c r="T54" s="474"/>
      <c r="U54" s="161" t="str">
        <f>IFERROR(__xludf.DUMMYFUNCTION("GOOGLETRANSLATE(A54,""zh-tw"",""es-MX"")"),"fresa")</f>
        <v>fresa</v>
      </c>
      <c r="V54" s="468"/>
      <c r="W54" s="474" t="str">
        <f>IFERROR(__xludf.DUMMYFUNCTION("GOOGLETRANSLATE(C54,""zh-tw"",""es-MX"")"),"fresa")</f>
        <v>fresa</v>
      </c>
      <c r="X54" s="474"/>
      <c r="Y54" s="474"/>
      <c r="Z54" s="475" t="str">
        <f>IFERROR(__xludf.DUMMYFUNCTION("GOOGLETRANSLATE(A54,""zh-tw"",""KO"")"),"딸기")</f>
        <v>딸기</v>
      </c>
      <c r="AA54" s="469"/>
      <c r="AB54" s="210" t="str">
        <f>IFERROR(__xludf.DUMMYFUNCTION("GOOGLETRANSLATE(C54,""zh-tw"",""KO"")"),"딸기")</f>
        <v>딸기</v>
      </c>
      <c r="AC54" s="210"/>
      <c r="AD54" s="210"/>
      <c r="AE54" s="475" t="s">
        <v>10711</v>
      </c>
      <c r="AF54" s="235"/>
      <c r="AG54" s="474" t="s">
        <v>7026</v>
      </c>
      <c r="AH54" s="476"/>
      <c r="AI54" s="476"/>
      <c r="AJ54" s="477" t="s">
        <v>10700</v>
      </c>
      <c r="AK54" s="469"/>
      <c r="AL54" s="177" t="s">
        <v>10700</v>
      </c>
      <c r="AM54" s="210"/>
      <c r="AN54" s="210"/>
      <c r="AO54" s="219" t="s">
        <v>7032</v>
      </c>
      <c r="AP54" s="478"/>
      <c r="AQ54" s="221" t="s">
        <v>7032</v>
      </c>
      <c r="AR54" s="463"/>
      <c r="AS54" s="463"/>
      <c r="AT54" s="161" t="s">
        <v>7035</v>
      </c>
      <c r="AU54" s="479"/>
      <c r="AV54" s="210" t="s">
        <v>7035</v>
      </c>
      <c r="AW54" s="83"/>
      <c r="AX54" s="83"/>
      <c r="AY54" s="161"/>
      <c r="AZ54" s="483"/>
      <c r="BA54" s="474"/>
      <c r="BB54" s="156"/>
      <c r="BC54" s="156"/>
      <c r="BD54" s="83"/>
      <c r="BE54" s="83"/>
      <c r="BF54" s="83"/>
      <c r="BG54" s="83"/>
      <c r="BH54" s="83"/>
    </row>
    <row r="55">
      <c r="A55" s="190" t="s">
        <v>10712</v>
      </c>
      <c r="B55" s="473"/>
      <c r="C55" s="488" t="s">
        <v>10547</v>
      </c>
      <c r="D55" s="488" t="s">
        <v>10713</v>
      </c>
      <c r="E55" s="488" t="s">
        <v>10714</v>
      </c>
      <c r="F55" s="154"/>
      <c r="G55" s="483"/>
      <c r="H55" s="156"/>
      <c r="I55" s="156"/>
      <c r="J55" s="156"/>
      <c r="K55" s="248" t="s">
        <v>10715</v>
      </c>
      <c r="L55" s="487"/>
      <c r="M55" s="177" t="s">
        <v>10551</v>
      </c>
      <c r="N55" s="177" t="s">
        <v>10716</v>
      </c>
      <c r="O55" s="177" t="s">
        <v>10167</v>
      </c>
      <c r="P55" s="256" t="str">
        <f>IFERROR(__xludf.DUMMYFUNCTION("GOOGLETRANSLATE(A55,""zh-tw"",""zh"")"),"烟熏鸡饭团")</f>
        <v>烟熏鸡饭团</v>
      </c>
      <c r="Q55" s="454"/>
      <c r="R55" s="474" t="str">
        <f>IFERROR(__xludf.DUMMYFUNCTION("GOOGLETRANSLATE(C55,""zh-tw"",""zh"")"),"鸡腿肉")</f>
        <v>鸡腿肉</v>
      </c>
      <c r="S55" s="474" t="str">
        <f>IFERROR(__xludf.DUMMYFUNCTION("GOOGLETRANSLATE(D55,""zh-tw"",""zh"")"),"鸡腿肉/白饭")</f>
        <v>鸡腿肉/白饭</v>
      </c>
      <c r="T55" s="474" t="str">
        <f>IFERROR(__xludf.DUMMYFUNCTION("GOOGLETRANSLATE(E55,""zh-tw"",""zh"")"),"白饭")</f>
        <v>白饭</v>
      </c>
      <c r="U55" s="161" t="str">
        <f>IFERROR(__xludf.DUMMYFUNCTION("GOOGLETRANSLATE(A55,""zh-tw"",""es-MX"")"),"Bolas de arroz con pollo ahumado")</f>
        <v>Bolas de arroz con pollo ahumado</v>
      </c>
      <c r="V55" s="473"/>
      <c r="W55" s="474" t="str">
        <f>IFERROR(__xludf.DUMMYFUNCTION("GOOGLETRANSLATE(C55,""zh-tw"",""es-MX"")"),"Muslo de pollo")</f>
        <v>Muslo de pollo</v>
      </c>
      <c r="X55" s="474" t="str">
        <f>IFERROR(__xludf.DUMMYFUNCTION("GOOGLETRANSLATE(D55,""zh-tw"",""es-MX"")"),"Muslo de pollo/arroz blanco")</f>
        <v>Muslo de pollo/arroz blanco</v>
      </c>
      <c r="Y55" s="474" t="str">
        <f>IFERROR(__xludf.DUMMYFUNCTION("GOOGLETRANSLATE(E55,""zh-tw"",""es-MX"")"),"arroz blanco")</f>
        <v>arroz blanco</v>
      </c>
      <c r="Z55" s="477" t="s">
        <v>10717</v>
      </c>
      <c r="AA55" s="473"/>
      <c r="AB55" s="210" t="str">
        <f>IFERROR(__xludf.DUMMYFUNCTION("GOOGLETRANSLATE(C55,""zh-tw"",""KO"")"),"닭다리살")</f>
        <v>닭다리살</v>
      </c>
      <c r="AC55" s="210" t="str">
        <f>IFERROR(__xludf.DUMMYFUNCTION("GOOGLETRANSLATE(D55,""zh-tw"",""KO"")"),"닭다리살/흰쌀밥")</f>
        <v>닭다리살/흰쌀밥</v>
      </c>
      <c r="AD55" s="210" t="str">
        <f>IFERROR(__xludf.DUMMYFUNCTION("GOOGLETRANSLATE(E55,""zh-tw"",""KO"")"),"흰쌀")</f>
        <v>흰쌀</v>
      </c>
      <c r="AE55" s="475" t="s">
        <v>10718</v>
      </c>
      <c r="AF55" s="235"/>
      <c r="AG55" s="474" t="s">
        <v>10719</v>
      </c>
      <c r="AH55" s="474" t="s">
        <v>10720</v>
      </c>
      <c r="AI55" s="474" t="s">
        <v>10171</v>
      </c>
      <c r="AJ55" s="154"/>
      <c r="AK55" s="473"/>
      <c r="AL55" s="156"/>
      <c r="AM55" s="156"/>
      <c r="AN55" s="156"/>
      <c r="AO55" s="480" t="s">
        <v>10721</v>
      </c>
      <c r="AP55" s="465"/>
      <c r="AQ55" s="223" t="s">
        <v>10559</v>
      </c>
      <c r="AR55" s="223" t="s">
        <v>10722</v>
      </c>
      <c r="AS55" s="223" t="s">
        <v>10177</v>
      </c>
      <c r="AT55" s="190" t="s">
        <v>10723</v>
      </c>
      <c r="AU55" s="479"/>
      <c r="AV55" s="177" t="s">
        <v>10561</v>
      </c>
      <c r="AW55" s="177" t="s">
        <v>10724</v>
      </c>
      <c r="AX55" s="210" t="s">
        <v>10180</v>
      </c>
      <c r="AY55" s="190"/>
      <c r="AZ55" s="473"/>
      <c r="BA55" s="488"/>
      <c r="BB55" s="488"/>
      <c r="BC55" s="488"/>
      <c r="BD55" s="210"/>
      <c r="BE55" s="210"/>
      <c r="BF55" s="210"/>
      <c r="BG55" s="210"/>
      <c r="BH55" s="210"/>
    </row>
    <row r="56">
      <c r="A56" s="190" t="s">
        <v>10725</v>
      </c>
      <c r="B56" s="473"/>
      <c r="C56" s="488" t="s">
        <v>10547</v>
      </c>
      <c r="D56" s="488" t="s">
        <v>10726</v>
      </c>
      <c r="E56" s="488" t="s">
        <v>10714</v>
      </c>
      <c r="F56" s="154"/>
      <c r="G56" s="483"/>
      <c r="H56" s="156"/>
      <c r="I56" s="156"/>
      <c r="J56" s="156"/>
      <c r="K56" s="248" t="s">
        <v>10727</v>
      </c>
      <c r="L56" s="473"/>
      <c r="M56" s="177" t="s">
        <v>10551</v>
      </c>
      <c r="N56" s="177" t="s">
        <v>10168</v>
      </c>
      <c r="O56" s="177" t="s">
        <v>10167</v>
      </c>
      <c r="P56" s="256" t="str">
        <f>IFERROR(__xludf.DUMMYFUNCTION("GOOGLETRANSLATE(A56,""zh-tw"",""zh"")"),"鸡肉咖喱饭")</f>
        <v>鸡肉咖喱饭</v>
      </c>
      <c r="Q56" s="454"/>
      <c r="R56" s="474" t="str">
        <f>IFERROR(__xludf.DUMMYFUNCTION("GOOGLETRANSLATE(C56,""zh-tw"",""zh"")"),"鸡腿肉")</f>
        <v>鸡腿肉</v>
      </c>
      <c r="S56" s="474" t="str">
        <f>IFERROR(__xludf.DUMMYFUNCTION("GOOGLETRANSLATE(D56,""zh-tw"",""zh"")"),"咖喱块")</f>
        <v>咖喱块</v>
      </c>
      <c r="T56" s="474" t="str">
        <f>IFERROR(__xludf.DUMMYFUNCTION("GOOGLETRANSLATE(E56,""zh-tw"",""zh"")"),"白饭")</f>
        <v>白饭</v>
      </c>
      <c r="U56" s="161" t="str">
        <f>IFERROR(__xludf.DUMMYFUNCTION("GOOGLETRANSLATE(A56,""zh-tw"",""es-MX"")"),"arroz con pollo al curry")</f>
        <v>arroz con pollo al curry</v>
      </c>
      <c r="V56" s="473"/>
      <c r="W56" s="474" t="str">
        <f>IFERROR(__xludf.DUMMYFUNCTION("GOOGLETRANSLATE(C56,""zh-tw"",""es-MX"")"),"Muslo de pollo")</f>
        <v>Muslo de pollo</v>
      </c>
      <c r="X56" s="474" t="str">
        <f>IFERROR(__xludf.DUMMYFUNCTION("GOOGLETRANSLATE(D56,""zh-tw"",""es-MX"")"),"cubos de curry")</f>
        <v>cubos de curry</v>
      </c>
      <c r="Y56" s="474" t="str">
        <f>IFERROR(__xludf.DUMMYFUNCTION("GOOGLETRANSLATE(E56,""zh-tw"",""es-MX"")"),"arroz blanco")</f>
        <v>arroz blanco</v>
      </c>
      <c r="Z56" s="475" t="str">
        <f>IFERROR(__xludf.DUMMYFUNCTION("GOOGLETRANSLATE(A56,""zh-tw"",""KO"")"),"치킨 카레 라이스")</f>
        <v>치킨 카레 라이스</v>
      </c>
      <c r="AA56" s="473"/>
      <c r="AB56" s="210" t="str">
        <f>IFERROR(__xludf.DUMMYFUNCTION("GOOGLETRANSLATE(C56,""zh-tw"",""KO"")"),"닭다리살")</f>
        <v>닭다리살</v>
      </c>
      <c r="AC56" s="210" t="str">
        <f>IFERROR(__xludf.DUMMYFUNCTION("GOOGLETRANSLATE(D56,""zh-tw"",""KO"")"),"카레 큐브")</f>
        <v>카레 큐브</v>
      </c>
      <c r="AD56" s="210" t="str">
        <f>IFERROR(__xludf.DUMMYFUNCTION("GOOGLETRANSLATE(E56,""zh-tw"",""KO"")"),"흰쌀")</f>
        <v>흰쌀</v>
      </c>
      <c r="AE56" s="475" t="s">
        <v>10728</v>
      </c>
      <c r="AF56" s="235"/>
      <c r="AG56" s="474" t="s">
        <v>10719</v>
      </c>
      <c r="AH56" s="474" t="s">
        <v>10172</v>
      </c>
      <c r="AI56" s="474" t="s">
        <v>10171</v>
      </c>
      <c r="AJ56" s="154"/>
      <c r="AK56" s="473"/>
      <c r="AL56" s="156"/>
      <c r="AM56" s="156"/>
      <c r="AN56" s="156"/>
      <c r="AO56" s="480" t="s">
        <v>10729</v>
      </c>
      <c r="AP56" s="465"/>
      <c r="AQ56" s="223" t="s">
        <v>10559</v>
      </c>
      <c r="AR56" s="223" t="s">
        <v>10178</v>
      </c>
      <c r="AS56" s="223" t="s">
        <v>10177</v>
      </c>
      <c r="AT56" s="190" t="s">
        <v>10730</v>
      </c>
      <c r="AU56" s="479"/>
      <c r="AV56" s="177" t="s">
        <v>10561</v>
      </c>
      <c r="AW56" s="489" t="s">
        <v>10181</v>
      </c>
      <c r="AX56" s="210" t="s">
        <v>10180</v>
      </c>
      <c r="AY56" s="190"/>
      <c r="AZ56" s="473"/>
      <c r="BA56" s="488"/>
      <c r="BB56" s="488"/>
      <c r="BC56" s="488"/>
      <c r="BD56" s="210"/>
      <c r="BE56" s="210"/>
      <c r="BF56" s="210"/>
      <c r="BG56" s="210"/>
      <c r="BH56" s="210"/>
    </row>
    <row r="57">
      <c r="A57" s="190" t="s">
        <v>10731</v>
      </c>
      <c r="B57" s="473"/>
      <c r="C57" s="488" t="s">
        <v>10382</v>
      </c>
      <c r="D57" s="488" t="s">
        <v>10382</v>
      </c>
      <c r="E57" s="488" t="s">
        <v>10382</v>
      </c>
      <c r="F57" s="154"/>
      <c r="G57" s="473"/>
      <c r="H57" s="156"/>
      <c r="I57" s="156"/>
      <c r="J57" s="156"/>
      <c r="K57" s="248" t="s">
        <v>10732</v>
      </c>
      <c r="L57" s="473"/>
      <c r="M57" s="177" t="s">
        <v>10387</v>
      </c>
      <c r="N57" s="177" t="s">
        <v>10387</v>
      </c>
      <c r="O57" s="177" t="s">
        <v>10387</v>
      </c>
      <c r="P57" s="256" t="str">
        <f>IFERROR(__xludf.DUMMYFUNCTION("GOOGLETRANSLATE(A57,""zh-tw"",""zh"")"),"烤胡萝卜串")</f>
        <v>烤胡萝卜串</v>
      </c>
      <c r="Q57" s="454"/>
      <c r="R57" s="474" t="str">
        <f>IFERROR(__xludf.DUMMYFUNCTION("GOOGLETRANSLATE(C57,""zh-tw"",""zh"")"),"胡萝卜")</f>
        <v>胡萝卜</v>
      </c>
      <c r="S57" s="474" t="str">
        <f>IFERROR(__xludf.DUMMYFUNCTION("GOOGLETRANSLATE(D57,""zh-tw"",""zh"")"),"胡萝卜")</f>
        <v>胡萝卜</v>
      </c>
      <c r="T57" s="474" t="str">
        <f>IFERROR(__xludf.DUMMYFUNCTION("GOOGLETRANSLATE(E57,""zh-tw"",""zh"")"),"胡萝卜")</f>
        <v>胡萝卜</v>
      </c>
      <c r="U57" s="161" t="str">
        <f>IFERROR(__xludf.DUMMYFUNCTION("GOOGLETRANSLATE(A57,""zh-tw"",""es-MX"")"),"Brochetas de zanahoria a la parrilla")</f>
        <v>Brochetas de zanahoria a la parrilla</v>
      </c>
      <c r="V57" s="473"/>
      <c r="W57" s="474" t="str">
        <f>IFERROR(__xludf.DUMMYFUNCTION("GOOGLETRANSLATE(C57,""zh-tw"",""es-MX"")"),"zanahoria")</f>
        <v>zanahoria</v>
      </c>
      <c r="X57" s="474" t="str">
        <f>IFERROR(__xludf.DUMMYFUNCTION("GOOGLETRANSLATE(D57,""zh-tw"",""es-MX"")"),"zanahoria")</f>
        <v>zanahoria</v>
      </c>
      <c r="Y57" s="474" t="str">
        <f>IFERROR(__xludf.DUMMYFUNCTION("GOOGLETRANSLATE(E57,""zh-tw"",""es-MX"")"),"zanahoria")</f>
        <v>zanahoria</v>
      </c>
      <c r="Z57" s="475" t="str">
        <f>IFERROR(__xludf.DUMMYFUNCTION("GOOGLETRANSLATE(A57,""zh-tw"",""KO"")"),"구운 당근 꼬치")</f>
        <v>구운 당근 꼬치</v>
      </c>
      <c r="AA57" s="473"/>
      <c r="AB57" s="210" t="str">
        <f>IFERROR(__xludf.DUMMYFUNCTION("GOOGLETRANSLATE(C57,""zh-tw"",""KO"")"),"당근")</f>
        <v>당근</v>
      </c>
      <c r="AC57" s="210" t="str">
        <f>IFERROR(__xludf.DUMMYFUNCTION("GOOGLETRANSLATE(D57,""zh-tw"",""KO"")"),"당근")</f>
        <v>당근</v>
      </c>
      <c r="AD57" s="210" t="str">
        <f>IFERROR(__xludf.DUMMYFUNCTION("GOOGLETRANSLATE(E57,""zh-tw"",""KO"")"),"당근")</f>
        <v>당근</v>
      </c>
      <c r="AE57" s="475" t="s">
        <v>10733</v>
      </c>
      <c r="AF57" s="235"/>
      <c r="AG57" s="474" t="s">
        <v>10390</v>
      </c>
      <c r="AH57" s="474" t="s">
        <v>10390</v>
      </c>
      <c r="AI57" s="474" t="s">
        <v>10390</v>
      </c>
      <c r="AJ57" s="154"/>
      <c r="AK57" s="473"/>
      <c r="AL57" s="156"/>
      <c r="AM57" s="156"/>
      <c r="AN57" s="156"/>
      <c r="AO57" s="480" t="s">
        <v>10734</v>
      </c>
      <c r="AP57" s="465"/>
      <c r="AQ57" s="223" t="s">
        <v>10393</v>
      </c>
      <c r="AR57" s="223" t="s">
        <v>10393</v>
      </c>
      <c r="AS57" s="223" t="s">
        <v>10393</v>
      </c>
      <c r="AT57" s="190" t="s">
        <v>10735</v>
      </c>
      <c r="AU57" s="479"/>
      <c r="AV57" s="177" t="s">
        <v>10394</v>
      </c>
      <c r="AW57" s="177" t="s">
        <v>10394</v>
      </c>
      <c r="AX57" s="177" t="s">
        <v>10394</v>
      </c>
      <c r="AY57" s="190"/>
      <c r="AZ57" s="473"/>
      <c r="BA57" s="488"/>
      <c r="BB57" s="488"/>
      <c r="BC57" s="488"/>
      <c r="BD57" s="177"/>
      <c r="BE57" s="177"/>
      <c r="BF57" s="177"/>
      <c r="BG57" s="177"/>
      <c r="BH57" s="177"/>
    </row>
    <row r="58">
      <c r="A58" s="490" t="s">
        <v>10736</v>
      </c>
      <c r="B58" s="483"/>
      <c r="C58" s="491" t="s">
        <v>10737</v>
      </c>
      <c r="D58" s="492" t="s">
        <v>10738</v>
      </c>
      <c r="E58" s="493"/>
      <c r="F58" s="494" t="s">
        <v>10739</v>
      </c>
      <c r="G58" s="495" t="s">
        <v>10737</v>
      </c>
      <c r="H58" s="491" t="s">
        <v>10737</v>
      </c>
      <c r="I58" s="492" t="s">
        <v>10738</v>
      </c>
      <c r="J58" s="493"/>
      <c r="K58" s="496" t="s">
        <v>10740</v>
      </c>
      <c r="L58" s="483"/>
      <c r="M58" s="491" t="s">
        <v>10741</v>
      </c>
      <c r="N58" s="497" t="s">
        <v>10738</v>
      </c>
      <c r="O58" s="493"/>
      <c r="P58" s="496" t="s">
        <v>10742</v>
      </c>
      <c r="Q58" s="454"/>
      <c r="R58" s="491" t="s">
        <v>10743</v>
      </c>
      <c r="S58" s="491" t="s">
        <v>10738</v>
      </c>
      <c r="T58" s="493"/>
      <c r="U58" s="161" t="str">
        <f>IFERROR(__xludf.DUMMYFUNCTION("GOOGLETRANSLATE(A58,""zh-tw"",""es-MX"")"),"Sushi de tortuga Sakaban")</f>
        <v>Sushi de tortuga Sakaban</v>
      </c>
      <c r="V58" s="473"/>
      <c r="W58" s="474" t="str">
        <f>IFERROR(__xludf.DUMMYFUNCTION("GOOGLETRANSLATE(C58,""zh-tw"",""es-MX"")"),"arroz")</f>
        <v>arroz</v>
      </c>
      <c r="X58" s="474" t="str">
        <f>IFERROR(__xludf.DUMMYFUNCTION("GOOGLETRANSLATE(D58,""zh-tw"",""es-MX"")"),"X△X")</f>
        <v>X△X</v>
      </c>
      <c r="Y58" s="156"/>
      <c r="Z58" s="475" t="str">
        <f>IFERROR(__xludf.DUMMYFUNCTION("GOOGLETRANSLATE(A58,""zh-tw"",""KO"")"),"사카반 거북이 초밥")</f>
        <v>사카반 거북이 초밥</v>
      </c>
      <c r="AA58" s="473"/>
      <c r="AB58" s="210" t="str">
        <f>IFERROR(__xludf.DUMMYFUNCTION("GOOGLETRANSLATE(C58,""zh-tw"",""KO"")"),"쌀")</f>
        <v>쌀</v>
      </c>
      <c r="AC58" s="210" t="str">
        <f>IFERROR(__xludf.DUMMYFUNCTION("GOOGLETRANSLATE(D58,""zh-tw"",""KO"")"),"X△X")</f>
        <v>X△X</v>
      </c>
      <c r="AD58" s="210"/>
      <c r="AE58" s="475" t="s">
        <v>10744</v>
      </c>
      <c r="AF58" s="235"/>
      <c r="AG58" s="474" t="s">
        <v>10171</v>
      </c>
      <c r="AH58" s="498" t="s">
        <v>10738</v>
      </c>
      <c r="AI58" s="476"/>
      <c r="AJ58" s="499" t="s">
        <v>10740</v>
      </c>
      <c r="AK58" s="473"/>
      <c r="AL58" s="500" t="s">
        <v>10745</v>
      </c>
      <c r="AM58" s="501" t="s">
        <v>10738</v>
      </c>
      <c r="AN58" s="156"/>
      <c r="AO58" s="502" t="s">
        <v>10746</v>
      </c>
      <c r="AP58" s="465"/>
      <c r="AQ58" s="501" t="s">
        <v>10747</v>
      </c>
      <c r="AR58" s="501" t="s">
        <v>10738</v>
      </c>
      <c r="AS58" s="221"/>
      <c r="AT58" s="490" t="s">
        <v>10748</v>
      </c>
      <c r="AU58" s="479"/>
      <c r="AV58" s="500" t="s">
        <v>10180</v>
      </c>
      <c r="AW58" s="503" t="s">
        <v>10738</v>
      </c>
      <c r="AX58" s="504"/>
      <c r="AY58" s="490"/>
      <c r="AZ58" s="483"/>
      <c r="BA58" s="491"/>
      <c r="BB58" s="492"/>
      <c r="BC58" s="493"/>
      <c r="BD58" s="156"/>
      <c r="BE58" s="156"/>
      <c r="BF58" s="156"/>
      <c r="BG58" s="156"/>
      <c r="BH58" s="156"/>
    </row>
    <row r="59">
      <c r="A59" s="490" t="s">
        <v>10749</v>
      </c>
      <c r="B59" s="483"/>
      <c r="C59" s="491" t="s">
        <v>10737</v>
      </c>
      <c r="D59" s="492" t="s">
        <v>10738</v>
      </c>
      <c r="E59" s="492" t="s">
        <v>10750</v>
      </c>
      <c r="F59" s="494" t="s">
        <v>10751</v>
      </c>
      <c r="G59" s="495" t="s">
        <v>10737</v>
      </c>
      <c r="H59" s="491" t="s">
        <v>10737</v>
      </c>
      <c r="I59" s="492" t="s">
        <v>10738</v>
      </c>
      <c r="J59" s="492" t="s">
        <v>10752</v>
      </c>
      <c r="K59" s="496" t="s">
        <v>10753</v>
      </c>
      <c r="L59" s="483"/>
      <c r="M59" s="491" t="s">
        <v>10741</v>
      </c>
      <c r="N59" s="497" t="s">
        <v>10738</v>
      </c>
      <c r="O59" s="491" t="s">
        <v>10754</v>
      </c>
      <c r="P59" s="496" t="s">
        <v>10755</v>
      </c>
      <c r="Q59" s="454"/>
      <c r="R59" s="491" t="s">
        <v>10743</v>
      </c>
      <c r="S59" s="491" t="s">
        <v>10738</v>
      </c>
      <c r="T59" s="491" t="s">
        <v>10756</v>
      </c>
      <c r="U59" s="161" t="str">
        <f>IFERROR(__xludf.DUMMYFUNCTION("GOOGLETRANSLATE(A59,""zh-tw"",""es-MX"")"),"Sushi prensado de sashimi de camarones")</f>
        <v>Sushi prensado de sashimi de camarones</v>
      </c>
      <c r="V59" s="473"/>
      <c r="W59" s="474" t="str">
        <f>IFERROR(__xludf.DUMMYFUNCTION("GOOGLETRANSLATE(C59,""zh-tw"",""es-MX"")"),"arroz")</f>
        <v>arroz</v>
      </c>
      <c r="X59" s="474" t="str">
        <f>IFERROR(__xludf.DUMMYFUNCTION("GOOGLETRANSLATE(D59,""zh-tw"",""es-MX"")"),"X△X")</f>
        <v>X△X</v>
      </c>
      <c r="Y59" s="474" t="str">
        <f>IFERROR(__xludf.DUMMYFUNCTION("GOOGLETRANSLATE(E59,""zh-tw"",""es-MX"")"),"camarón")</f>
        <v>camarón</v>
      </c>
      <c r="Z59" s="475" t="str">
        <f>IFERROR(__xludf.DUMMYFUNCTION("GOOGLETRANSLATE(A59,""zh-tw"",""KO"")"),"새우 사시미 프레스 스시")</f>
        <v>새우 사시미 프레스 스시</v>
      </c>
      <c r="AA59" s="473"/>
      <c r="AB59" s="210" t="str">
        <f>IFERROR(__xludf.DUMMYFUNCTION("GOOGLETRANSLATE(C59,""zh-tw"",""KO"")"),"쌀")</f>
        <v>쌀</v>
      </c>
      <c r="AC59" s="210" t="str">
        <f>IFERROR(__xludf.DUMMYFUNCTION("GOOGLETRANSLATE(D59,""zh-tw"",""KO"")"),"X△X")</f>
        <v>X△X</v>
      </c>
      <c r="AD59" s="210" t="str">
        <f>IFERROR(__xludf.DUMMYFUNCTION("GOOGLETRANSLATE(E59,""zh-tw"",""KO"")"),"새우")</f>
        <v>새우</v>
      </c>
      <c r="AE59" s="475" t="s">
        <v>10757</v>
      </c>
      <c r="AF59" s="235"/>
      <c r="AG59" s="474" t="s">
        <v>10171</v>
      </c>
      <c r="AH59" s="498" t="s">
        <v>10738</v>
      </c>
      <c r="AI59" s="474" t="s">
        <v>10758</v>
      </c>
      <c r="AJ59" s="499" t="s">
        <v>10759</v>
      </c>
      <c r="AK59" s="473"/>
      <c r="AL59" s="500" t="s">
        <v>10745</v>
      </c>
      <c r="AM59" s="501" t="s">
        <v>10738</v>
      </c>
      <c r="AN59" s="500" t="s">
        <v>10760</v>
      </c>
      <c r="AO59" s="480" t="s">
        <v>10761</v>
      </c>
      <c r="AP59" s="465"/>
      <c r="AQ59" s="501" t="s">
        <v>10762</v>
      </c>
      <c r="AR59" s="501" t="s">
        <v>10738</v>
      </c>
      <c r="AS59" s="501" t="s">
        <v>10763</v>
      </c>
      <c r="AT59" s="490" t="s">
        <v>10764</v>
      </c>
      <c r="AU59" s="479"/>
      <c r="AV59" s="500" t="s">
        <v>10180</v>
      </c>
      <c r="AW59" s="503" t="s">
        <v>10738</v>
      </c>
      <c r="AX59" s="503" t="s">
        <v>10765</v>
      </c>
      <c r="AY59" s="490"/>
      <c r="AZ59" s="483"/>
      <c r="BA59" s="491"/>
      <c r="BB59" s="492"/>
      <c r="BC59" s="492"/>
      <c r="BD59" s="156"/>
      <c r="BE59" s="156"/>
      <c r="BF59" s="156"/>
      <c r="BG59" s="156"/>
      <c r="BH59" s="156"/>
    </row>
    <row r="60">
      <c r="A60" s="490" t="s">
        <v>10766</v>
      </c>
      <c r="B60" s="483"/>
      <c r="C60" s="491" t="s">
        <v>10737</v>
      </c>
      <c r="D60" s="492" t="s">
        <v>10738</v>
      </c>
      <c r="E60" s="492" t="s">
        <v>10767</v>
      </c>
      <c r="F60" s="494" t="s">
        <v>10768</v>
      </c>
      <c r="G60" s="495" t="s">
        <v>10737</v>
      </c>
      <c r="H60" s="491" t="s">
        <v>10737</v>
      </c>
      <c r="I60" s="492" t="s">
        <v>10738</v>
      </c>
      <c r="J60" s="492" t="s">
        <v>10767</v>
      </c>
      <c r="K60" s="496" t="s">
        <v>10769</v>
      </c>
      <c r="L60" s="483"/>
      <c r="M60" s="491" t="s">
        <v>10741</v>
      </c>
      <c r="N60" s="497" t="s">
        <v>10738</v>
      </c>
      <c r="O60" s="491" t="s">
        <v>10770</v>
      </c>
      <c r="P60" s="496" t="s">
        <v>10771</v>
      </c>
      <c r="Q60" s="454"/>
      <c r="R60" s="491" t="s">
        <v>10743</v>
      </c>
      <c r="S60" s="491" t="s">
        <v>10738</v>
      </c>
      <c r="T60" s="491" t="s">
        <v>10767</v>
      </c>
      <c r="U60" s="161" t="str">
        <f>IFERROR(__xludf.DUMMYFUNCTION("GOOGLETRANSLATE(A60,""zh-tw"",""es-MX"")"),"Sushi prensado de chuleta de cerdo")</f>
        <v>Sushi prensado de chuleta de cerdo</v>
      </c>
      <c r="V60" s="473"/>
      <c r="W60" s="474" t="str">
        <f>IFERROR(__xludf.DUMMYFUNCTION("GOOGLETRANSLATE(C60,""zh-tw"",""es-MX"")"),"arroz")</f>
        <v>arroz</v>
      </c>
      <c r="X60" s="474" t="str">
        <f>IFERROR(__xludf.DUMMYFUNCTION("GOOGLETRANSLATE(D60,""zh-tw"",""es-MX"")"),"X△X")</f>
        <v>X△X</v>
      </c>
      <c r="Y60" s="474" t="str">
        <f>IFERROR(__xludf.DUMMYFUNCTION("GOOGLETRANSLATE(E60,""zh-tw"",""es-MX"")"),"Carne")</f>
        <v>Carne</v>
      </c>
      <c r="Z60" s="475" t="str">
        <f>IFERROR(__xludf.DUMMYFUNCTION("GOOGLETRANSLATE(A60,""zh-tw"",""KO"")"),"돈까스로 만든 누름 초밥")</f>
        <v>돈까스로 만든 누름 초밥</v>
      </c>
      <c r="AA60" s="473"/>
      <c r="AB60" s="210" t="str">
        <f>IFERROR(__xludf.DUMMYFUNCTION("GOOGLETRANSLATE(C60,""zh-tw"",""KO"")"),"쌀")</f>
        <v>쌀</v>
      </c>
      <c r="AC60" s="210" t="str">
        <f>IFERROR(__xludf.DUMMYFUNCTION("GOOGLETRANSLATE(D60,""zh-tw"",""KO"")"),"X△X")</f>
        <v>X△X</v>
      </c>
      <c r="AD60" s="210" t="str">
        <f>IFERROR(__xludf.DUMMYFUNCTION("GOOGLETRANSLATE(E60,""zh-tw"",""KO"")"),"고기")</f>
        <v>고기</v>
      </c>
      <c r="AE60" s="475" t="s">
        <v>10772</v>
      </c>
      <c r="AF60" s="235"/>
      <c r="AG60" s="474" t="s">
        <v>10171</v>
      </c>
      <c r="AH60" s="498" t="s">
        <v>10738</v>
      </c>
      <c r="AI60" s="474" t="s">
        <v>10773</v>
      </c>
      <c r="AJ60" s="499" t="s">
        <v>10774</v>
      </c>
      <c r="AK60" s="473"/>
      <c r="AL60" s="500" t="s">
        <v>10745</v>
      </c>
      <c r="AM60" s="501" t="s">
        <v>10738</v>
      </c>
      <c r="AN60" s="500" t="s">
        <v>10775</v>
      </c>
      <c r="AO60" s="480" t="s">
        <v>10776</v>
      </c>
      <c r="AP60" s="478"/>
      <c r="AQ60" s="501" t="s">
        <v>10762</v>
      </c>
      <c r="AR60" s="501" t="s">
        <v>10738</v>
      </c>
      <c r="AS60" s="501" t="s">
        <v>10777</v>
      </c>
      <c r="AT60" s="490" t="s">
        <v>10778</v>
      </c>
      <c r="AU60" s="479"/>
      <c r="AV60" s="500" t="s">
        <v>10180</v>
      </c>
      <c r="AW60" s="503" t="s">
        <v>10738</v>
      </c>
      <c r="AX60" s="503" t="s">
        <v>10779</v>
      </c>
      <c r="AY60" s="490"/>
      <c r="AZ60" s="483"/>
      <c r="BA60" s="491"/>
      <c r="BB60" s="492"/>
      <c r="BC60" s="492"/>
      <c r="BD60" s="156"/>
      <c r="BE60" s="156"/>
      <c r="BF60" s="156"/>
      <c r="BG60" s="156"/>
      <c r="BH60" s="156"/>
    </row>
    <row r="61">
      <c r="A61" s="154"/>
      <c r="B61" s="473"/>
      <c r="C61" s="156"/>
      <c r="D61" s="156"/>
      <c r="E61" s="156"/>
      <c r="F61" s="154"/>
      <c r="G61" s="473"/>
      <c r="H61" s="156"/>
      <c r="I61" s="156"/>
      <c r="J61" s="156"/>
      <c r="K61" s="132"/>
      <c r="L61" s="473"/>
      <c r="M61" s="156"/>
      <c r="N61" s="156"/>
      <c r="O61" s="156"/>
      <c r="P61" s="132"/>
      <c r="Q61" s="487"/>
      <c r="R61" s="156"/>
      <c r="S61" s="156"/>
      <c r="T61" s="156"/>
      <c r="U61" s="154"/>
      <c r="V61" s="473"/>
      <c r="W61" s="156"/>
      <c r="X61" s="156"/>
      <c r="Y61" s="156"/>
      <c r="Z61" s="154"/>
      <c r="AA61" s="473"/>
      <c r="AB61" s="156"/>
      <c r="AC61" s="156"/>
      <c r="AD61" s="156"/>
      <c r="AE61" s="154"/>
      <c r="AF61" s="473"/>
      <c r="AG61" s="156"/>
      <c r="AH61" s="156"/>
      <c r="AI61" s="156"/>
      <c r="AJ61" s="154"/>
      <c r="AK61" s="473"/>
      <c r="AL61" s="156"/>
      <c r="AM61" s="156"/>
      <c r="AN61" s="156"/>
      <c r="AO61" s="154"/>
      <c r="AP61" s="473"/>
      <c r="AQ61" s="156"/>
      <c r="AR61" s="156"/>
      <c r="AS61" s="156"/>
      <c r="AT61" s="156"/>
      <c r="AU61" s="156"/>
      <c r="AV61" s="156"/>
      <c r="AW61" s="156"/>
      <c r="AX61" s="156"/>
      <c r="AY61" s="154"/>
      <c r="AZ61" s="473"/>
      <c r="BA61" s="156"/>
      <c r="BB61" s="156"/>
      <c r="BC61" s="156"/>
      <c r="BD61" s="156"/>
      <c r="BE61" s="156"/>
      <c r="BF61" s="156"/>
      <c r="BG61" s="156"/>
      <c r="BH61" s="156"/>
    </row>
    <row r="62">
      <c r="A62" s="154"/>
      <c r="B62" s="473"/>
      <c r="C62" s="156"/>
      <c r="D62" s="156"/>
      <c r="E62" s="156"/>
      <c r="F62" s="154"/>
      <c r="G62" s="473"/>
      <c r="H62" s="156"/>
      <c r="I62" s="156"/>
      <c r="J62" s="156"/>
      <c r="K62" s="132"/>
      <c r="L62" s="473"/>
      <c r="M62" s="156"/>
      <c r="N62" s="156"/>
      <c r="O62" s="156"/>
      <c r="P62" s="132"/>
      <c r="Q62" s="487"/>
      <c r="R62" s="156"/>
      <c r="S62" s="156"/>
      <c r="T62" s="156"/>
      <c r="U62" s="154"/>
      <c r="V62" s="473"/>
      <c r="W62" s="156"/>
      <c r="X62" s="156"/>
      <c r="Y62" s="156"/>
      <c r="Z62" s="154"/>
      <c r="AA62" s="473"/>
      <c r="AB62" s="156"/>
      <c r="AC62" s="156"/>
      <c r="AD62" s="156"/>
      <c r="AE62" s="154"/>
      <c r="AF62" s="473"/>
      <c r="AG62" s="156"/>
      <c r="AH62" s="156"/>
      <c r="AI62" s="156"/>
      <c r="AJ62" s="154"/>
      <c r="AK62" s="473"/>
      <c r="AL62" s="156"/>
      <c r="AM62" s="156"/>
      <c r="AN62" s="156"/>
      <c r="AO62" s="154"/>
      <c r="AP62" s="473"/>
      <c r="AQ62" s="156"/>
      <c r="AR62" s="156"/>
      <c r="AS62" s="156"/>
      <c r="AT62" s="156"/>
      <c r="AU62" s="156"/>
      <c r="AV62" s="156"/>
      <c r="AW62" s="156"/>
      <c r="AX62" s="156"/>
      <c r="AY62" s="154"/>
      <c r="AZ62" s="473"/>
      <c r="BA62" s="156"/>
      <c r="BB62" s="156"/>
      <c r="BC62" s="156"/>
      <c r="BD62" s="156"/>
      <c r="BE62" s="156"/>
      <c r="BF62" s="156"/>
      <c r="BG62" s="156"/>
      <c r="BH62" s="156"/>
    </row>
    <row r="63">
      <c r="A63" s="154"/>
      <c r="B63" s="473"/>
      <c r="C63" s="156"/>
      <c r="D63" s="156"/>
      <c r="E63" s="156"/>
      <c r="F63" s="154"/>
      <c r="G63" s="473"/>
      <c r="H63" s="156"/>
      <c r="I63" s="156"/>
      <c r="J63" s="156"/>
      <c r="K63" s="132"/>
      <c r="L63" s="473"/>
      <c r="M63" s="156"/>
      <c r="N63" s="156"/>
      <c r="O63" s="156"/>
      <c r="P63" s="132"/>
      <c r="Q63" s="487"/>
      <c r="R63" s="156"/>
      <c r="S63" s="156"/>
      <c r="T63" s="156"/>
      <c r="U63" s="154"/>
      <c r="V63" s="473"/>
      <c r="W63" s="156"/>
      <c r="X63" s="156"/>
      <c r="Y63" s="156"/>
      <c r="Z63" s="154"/>
      <c r="AA63" s="473"/>
      <c r="AB63" s="156"/>
      <c r="AC63" s="156"/>
      <c r="AD63" s="156"/>
      <c r="AE63" s="154"/>
      <c r="AF63" s="473"/>
      <c r="AG63" s="156"/>
      <c r="AH63" s="156"/>
      <c r="AI63" s="156"/>
      <c r="AJ63" s="154"/>
      <c r="AK63" s="473"/>
      <c r="AL63" s="156"/>
      <c r="AM63" s="156"/>
      <c r="AN63" s="156"/>
      <c r="AO63" s="154"/>
      <c r="AP63" s="473"/>
      <c r="AQ63" s="156"/>
      <c r="AR63" s="156"/>
      <c r="AS63" s="156"/>
      <c r="AT63" s="156"/>
      <c r="AU63" s="156"/>
      <c r="AV63" s="156"/>
      <c r="AW63" s="156"/>
      <c r="AX63" s="156"/>
      <c r="AY63" s="154"/>
      <c r="AZ63" s="473"/>
      <c r="BA63" s="156"/>
      <c r="BB63" s="156"/>
      <c r="BC63" s="156"/>
      <c r="BD63" s="156"/>
      <c r="BE63" s="156"/>
      <c r="BF63" s="156"/>
      <c r="BG63" s="156"/>
      <c r="BH63" s="156"/>
    </row>
    <row r="64">
      <c r="A64" s="154"/>
      <c r="B64" s="473"/>
      <c r="C64" s="156"/>
      <c r="D64" s="156"/>
      <c r="E64" s="156"/>
      <c r="F64" s="154"/>
      <c r="G64" s="473"/>
      <c r="H64" s="156"/>
      <c r="I64" s="156"/>
      <c r="J64" s="156"/>
      <c r="K64" s="132"/>
      <c r="L64" s="473"/>
      <c r="M64" s="156"/>
      <c r="N64" s="156"/>
      <c r="O64" s="156"/>
      <c r="P64" s="132"/>
      <c r="Q64" s="487"/>
      <c r="R64" s="156"/>
      <c r="S64" s="156"/>
      <c r="T64" s="156"/>
      <c r="U64" s="154"/>
      <c r="V64" s="473"/>
      <c r="W64" s="156"/>
      <c r="X64" s="156"/>
      <c r="Y64" s="156"/>
      <c r="Z64" s="154"/>
      <c r="AA64" s="473"/>
      <c r="AB64" s="156"/>
      <c r="AC64" s="156"/>
      <c r="AD64" s="156"/>
      <c r="AE64" s="154"/>
      <c r="AF64" s="473"/>
      <c r="AG64" s="156"/>
      <c r="AH64" s="156"/>
      <c r="AI64" s="156"/>
      <c r="AJ64" s="154"/>
      <c r="AK64" s="473"/>
      <c r="AL64" s="156"/>
      <c r="AM64" s="156"/>
      <c r="AN64" s="156"/>
      <c r="AO64" s="154"/>
      <c r="AP64" s="473"/>
      <c r="AQ64" s="156"/>
      <c r="AR64" s="156"/>
      <c r="AS64" s="156"/>
      <c r="AT64" s="156"/>
      <c r="AU64" s="156"/>
      <c r="AV64" s="156"/>
      <c r="AW64" s="156"/>
      <c r="AX64" s="156"/>
      <c r="AY64" s="154"/>
      <c r="AZ64" s="473"/>
      <c r="BA64" s="156"/>
      <c r="BB64" s="156"/>
      <c r="BC64" s="156"/>
      <c r="BD64" s="156"/>
      <c r="BE64" s="156"/>
      <c r="BF64" s="156"/>
      <c r="BG64" s="156"/>
      <c r="BH64" s="156"/>
    </row>
    <row r="65">
      <c r="A65" s="154"/>
      <c r="B65" s="473"/>
      <c r="C65" s="156"/>
      <c r="D65" s="156"/>
      <c r="E65" s="156"/>
      <c r="F65" s="154"/>
      <c r="G65" s="473"/>
      <c r="H65" s="156"/>
      <c r="I65" s="156"/>
      <c r="J65" s="156"/>
      <c r="K65" s="132"/>
      <c r="L65" s="473"/>
      <c r="M65" s="156"/>
      <c r="N65" s="156"/>
      <c r="O65" s="156"/>
      <c r="P65" s="132"/>
      <c r="Q65" s="487"/>
      <c r="R65" s="156"/>
      <c r="S65" s="156"/>
      <c r="T65" s="156"/>
      <c r="U65" s="154"/>
      <c r="V65" s="473"/>
      <c r="W65" s="156"/>
      <c r="X65" s="156"/>
      <c r="Y65" s="156"/>
      <c r="Z65" s="154"/>
      <c r="AA65" s="473"/>
      <c r="AB65" s="156"/>
      <c r="AC65" s="156"/>
      <c r="AD65" s="156"/>
      <c r="AE65" s="154"/>
      <c r="AF65" s="473"/>
      <c r="AG65" s="156"/>
      <c r="AH65" s="156"/>
      <c r="AI65" s="156"/>
      <c r="AJ65" s="154"/>
      <c r="AK65" s="473"/>
      <c r="AL65" s="156"/>
      <c r="AM65" s="156"/>
      <c r="AN65" s="156"/>
      <c r="AO65" s="154"/>
      <c r="AP65" s="473"/>
      <c r="AQ65" s="156"/>
      <c r="AR65" s="156"/>
      <c r="AS65" s="156"/>
      <c r="AT65" s="156"/>
      <c r="AU65" s="156"/>
      <c r="AV65" s="156"/>
      <c r="AW65" s="156"/>
      <c r="AX65" s="156"/>
      <c r="AY65" s="154"/>
      <c r="AZ65" s="473"/>
      <c r="BA65" s="156"/>
      <c r="BB65" s="156"/>
      <c r="BC65" s="156"/>
      <c r="BD65" s="156"/>
      <c r="BE65" s="156"/>
      <c r="BF65" s="156"/>
      <c r="BG65" s="156"/>
      <c r="BH65" s="156"/>
    </row>
    <row r="66">
      <c r="A66" s="154"/>
      <c r="B66" s="473"/>
      <c r="C66" s="156"/>
      <c r="D66" s="156"/>
      <c r="E66" s="156"/>
      <c r="F66" s="154"/>
      <c r="G66" s="473"/>
      <c r="H66" s="156"/>
      <c r="I66" s="156"/>
      <c r="J66" s="156"/>
      <c r="K66" s="132"/>
      <c r="L66" s="473"/>
      <c r="M66" s="156"/>
      <c r="N66" s="156"/>
      <c r="O66" s="156"/>
      <c r="P66" s="132"/>
      <c r="Q66" s="487"/>
      <c r="R66" s="156"/>
      <c r="S66" s="156"/>
      <c r="T66" s="156"/>
      <c r="U66" s="154"/>
      <c r="V66" s="473"/>
      <c r="W66" s="156"/>
      <c r="X66" s="156"/>
      <c r="Y66" s="156"/>
      <c r="Z66" s="154"/>
      <c r="AA66" s="473"/>
      <c r="AB66" s="156"/>
      <c r="AC66" s="156"/>
      <c r="AD66" s="156"/>
      <c r="AE66" s="154"/>
      <c r="AF66" s="473"/>
      <c r="AG66" s="156"/>
      <c r="AH66" s="156"/>
      <c r="AI66" s="156"/>
      <c r="AJ66" s="154"/>
      <c r="AK66" s="473"/>
      <c r="AL66" s="156"/>
      <c r="AM66" s="156"/>
      <c r="AN66" s="156"/>
      <c r="AO66" s="154"/>
      <c r="AP66" s="473"/>
      <c r="AQ66" s="156"/>
      <c r="AR66" s="156"/>
      <c r="AS66" s="156"/>
      <c r="AT66" s="156"/>
      <c r="AU66" s="156"/>
      <c r="AV66" s="156"/>
      <c r="AW66" s="156"/>
      <c r="AX66" s="156"/>
      <c r="AY66" s="154"/>
      <c r="AZ66" s="473"/>
      <c r="BA66" s="156"/>
      <c r="BB66" s="156"/>
      <c r="BC66" s="156"/>
      <c r="BD66" s="156"/>
      <c r="BE66" s="156"/>
      <c r="BF66" s="156"/>
      <c r="BG66" s="156"/>
      <c r="BH66" s="156"/>
    </row>
    <row r="67">
      <c r="A67" s="154"/>
      <c r="B67" s="473"/>
      <c r="C67" s="156"/>
      <c r="D67" s="156"/>
      <c r="E67" s="156"/>
      <c r="F67" s="154"/>
      <c r="G67" s="473"/>
      <c r="H67" s="156"/>
      <c r="I67" s="156"/>
      <c r="J67" s="156"/>
      <c r="K67" s="132"/>
      <c r="L67" s="473"/>
      <c r="M67" s="156"/>
      <c r="N67" s="156"/>
      <c r="O67" s="156"/>
      <c r="P67" s="132"/>
      <c r="Q67" s="487"/>
      <c r="R67" s="156"/>
      <c r="S67" s="156"/>
      <c r="T67" s="156"/>
      <c r="U67" s="154"/>
      <c r="V67" s="473"/>
      <c r="W67" s="156"/>
      <c r="X67" s="156"/>
      <c r="Y67" s="156"/>
      <c r="Z67" s="154"/>
      <c r="AA67" s="473"/>
      <c r="AB67" s="156"/>
      <c r="AC67" s="156"/>
      <c r="AD67" s="156"/>
      <c r="AE67" s="154"/>
      <c r="AF67" s="473"/>
      <c r="AG67" s="156"/>
      <c r="AH67" s="156"/>
      <c r="AI67" s="156"/>
      <c r="AJ67" s="154"/>
      <c r="AK67" s="473"/>
      <c r="AL67" s="156"/>
      <c r="AM67" s="156"/>
      <c r="AN67" s="156"/>
      <c r="AO67" s="154"/>
      <c r="AP67" s="473"/>
      <c r="AQ67" s="156"/>
      <c r="AR67" s="156"/>
      <c r="AS67" s="156"/>
      <c r="AT67" s="156"/>
      <c r="AU67" s="156"/>
      <c r="AV67" s="156"/>
      <c r="AW67" s="156"/>
      <c r="AX67" s="156"/>
      <c r="AY67" s="154"/>
      <c r="AZ67" s="473"/>
      <c r="BA67" s="156"/>
      <c r="BB67" s="156"/>
      <c r="BC67" s="156"/>
      <c r="BD67" s="156"/>
      <c r="BE67" s="156"/>
      <c r="BF67" s="156"/>
      <c r="BG67" s="156"/>
      <c r="BH67" s="156"/>
    </row>
    <row r="68">
      <c r="A68" s="154"/>
      <c r="B68" s="473"/>
      <c r="C68" s="156"/>
      <c r="D68" s="156"/>
      <c r="E68" s="156"/>
      <c r="F68" s="154"/>
      <c r="G68" s="473"/>
      <c r="H68" s="156"/>
      <c r="I68" s="156"/>
      <c r="J68" s="156"/>
      <c r="K68" s="132"/>
      <c r="L68" s="473"/>
      <c r="M68" s="156"/>
      <c r="N68" s="156"/>
      <c r="O68" s="156"/>
      <c r="P68" s="132"/>
      <c r="Q68" s="487"/>
      <c r="R68" s="156"/>
      <c r="S68" s="156"/>
      <c r="T68" s="156"/>
      <c r="U68" s="154"/>
      <c r="V68" s="473"/>
      <c r="W68" s="156"/>
      <c r="X68" s="156"/>
      <c r="Y68" s="156"/>
      <c r="Z68" s="154"/>
      <c r="AA68" s="473"/>
      <c r="AB68" s="156"/>
      <c r="AC68" s="156"/>
      <c r="AD68" s="156"/>
      <c r="AE68" s="154"/>
      <c r="AF68" s="473"/>
      <c r="AG68" s="156"/>
      <c r="AH68" s="156"/>
      <c r="AI68" s="156"/>
      <c r="AJ68" s="154"/>
      <c r="AK68" s="473"/>
      <c r="AL68" s="156"/>
      <c r="AM68" s="156"/>
      <c r="AN68" s="156"/>
      <c r="AO68" s="154"/>
      <c r="AP68" s="473"/>
      <c r="AQ68" s="156"/>
      <c r="AR68" s="156"/>
      <c r="AS68" s="156"/>
      <c r="AT68" s="156"/>
      <c r="AU68" s="156"/>
      <c r="AV68" s="156"/>
      <c r="AW68" s="156"/>
      <c r="AX68" s="156"/>
      <c r="AY68" s="154"/>
      <c r="AZ68" s="473"/>
      <c r="BA68" s="156"/>
      <c r="BB68" s="156"/>
      <c r="BC68" s="156"/>
      <c r="BD68" s="156"/>
      <c r="BE68" s="156"/>
      <c r="BF68" s="156"/>
      <c r="BG68" s="156"/>
      <c r="BH68" s="156"/>
    </row>
    <row r="69">
      <c r="A69" s="154"/>
      <c r="B69" s="473"/>
      <c r="C69" s="156"/>
      <c r="D69" s="156"/>
      <c r="E69" s="156"/>
      <c r="F69" s="154"/>
      <c r="G69" s="473"/>
      <c r="H69" s="156"/>
      <c r="I69" s="156"/>
      <c r="J69" s="156"/>
      <c r="K69" s="132"/>
      <c r="L69" s="473"/>
      <c r="M69" s="156"/>
      <c r="N69" s="156"/>
      <c r="O69" s="156"/>
      <c r="P69" s="132"/>
      <c r="Q69" s="487"/>
      <c r="R69" s="156"/>
      <c r="S69" s="156"/>
      <c r="T69" s="156"/>
      <c r="U69" s="154"/>
      <c r="V69" s="473"/>
      <c r="W69" s="156"/>
      <c r="X69" s="156"/>
      <c r="Y69" s="156"/>
      <c r="Z69" s="154"/>
      <c r="AA69" s="473"/>
      <c r="AB69" s="156"/>
      <c r="AC69" s="156"/>
      <c r="AD69" s="156"/>
      <c r="AE69" s="154"/>
      <c r="AF69" s="473"/>
      <c r="AG69" s="156"/>
      <c r="AH69" s="156"/>
      <c r="AI69" s="156"/>
      <c r="AJ69" s="154"/>
      <c r="AK69" s="473"/>
      <c r="AL69" s="156"/>
      <c r="AM69" s="156"/>
      <c r="AN69" s="156"/>
      <c r="AO69" s="154"/>
      <c r="AP69" s="473"/>
      <c r="AQ69" s="156"/>
      <c r="AR69" s="156"/>
      <c r="AS69" s="156"/>
      <c r="AT69" s="156"/>
      <c r="AU69" s="156"/>
      <c r="AV69" s="156"/>
      <c r="AW69" s="156"/>
      <c r="AX69" s="156"/>
      <c r="AY69" s="154"/>
      <c r="AZ69" s="473"/>
      <c r="BA69" s="156"/>
      <c r="BB69" s="156"/>
      <c r="BC69" s="156"/>
      <c r="BD69" s="156"/>
      <c r="BE69" s="156"/>
      <c r="BF69" s="156"/>
      <c r="BG69" s="156"/>
      <c r="BH69" s="156"/>
    </row>
    <row r="70">
      <c r="A70" s="154"/>
      <c r="B70" s="473"/>
      <c r="C70" s="156"/>
      <c r="D70" s="156"/>
      <c r="E70" s="156"/>
      <c r="F70" s="154"/>
      <c r="G70" s="473"/>
      <c r="H70" s="156"/>
      <c r="I70" s="156"/>
      <c r="J70" s="156"/>
      <c r="K70" s="132"/>
      <c r="L70" s="473"/>
      <c r="M70" s="156"/>
      <c r="N70" s="156"/>
      <c r="O70" s="156"/>
      <c r="P70" s="132"/>
      <c r="Q70" s="487"/>
      <c r="R70" s="156"/>
      <c r="S70" s="156"/>
      <c r="T70" s="156"/>
      <c r="U70" s="154"/>
      <c r="V70" s="473"/>
      <c r="W70" s="156"/>
      <c r="X70" s="156"/>
      <c r="Y70" s="156"/>
      <c r="Z70" s="154"/>
      <c r="AA70" s="473"/>
      <c r="AB70" s="156"/>
      <c r="AC70" s="156"/>
      <c r="AD70" s="156"/>
      <c r="AE70" s="154"/>
      <c r="AF70" s="473"/>
      <c r="AG70" s="156"/>
      <c r="AH70" s="156"/>
      <c r="AI70" s="156"/>
      <c r="AJ70" s="154"/>
      <c r="AK70" s="473"/>
      <c r="AL70" s="156"/>
      <c r="AM70" s="156"/>
      <c r="AN70" s="156"/>
      <c r="AO70" s="154"/>
      <c r="AP70" s="473"/>
      <c r="AQ70" s="156"/>
      <c r="AR70" s="156"/>
      <c r="AS70" s="156"/>
      <c r="AT70" s="156"/>
      <c r="AU70" s="156"/>
      <c r="AV70" s="156"/>
      <c r="AW70" s="156"/>
      <c r="AX70" s="156"/>
      <c r="AY70" s="154"/>
      <c r="AZ70" s="473"/>
      <c r="BA70" s="156"/>
      <c r="BB70" s="156"/>
      <c r="BC70" s="156"/>
      <c r="BD70" s="156"/>
      <c r="BE70" s="156"/>
      <c r="BF70" s="156"/>
      <c r="BG70" s="156"/>
      <c r="BH70" s="156"/>
    </row>
    <row r="71">
      <c r="A71" s="154"/>
      <c r="B71" s="473"/>
      <c r="C71" s="156"/>
      <c r="D71" s="156"/>
      <c r="E71" s="156"/>
      <c r="F71" s="154"/>
      <c r="G71" s="473"/>
      <c r="H71" s="156"/>
      <c r="I71" s="156"/>
      <c r="J71" s="156"/>
      <c r="K71" s="132"/>
      <c r="L71" s="473"/>
      <c r="M71" s="156"/>
      <c r="N71" s="156"/>
      <c r="O71" s="156"/>
      <c r="P71" s="132"/>
      <c r="Q71" s="487"/>
      <c r="R71" s="156"/>
      <c r="S71" s="156"/>
      <c r="T71" s="156"/>
      <c r="U71" s="154"/>
      <c r="V71" s="473"/>
      <c r="W71" s="156"/>
      <c r="X71" s="156"/>
      <c r="Y71" s="156"/>
      <c r="Z71" s="154"/>
      <c r="AA71" s="473"/>
      <c r="AB71" s="156"/>
      <c r="AC71" s="156"/>
      <c r="AD71" s="156"/>
      <c r="AE71" s="154"/>
      <c r="AF71" s="473"/>
      <c r="AG71" s="156"/>
      <c r="AH71" s="156"/>
      <c r="AI71" s="156"/>
      <c r="AJ71" s="154"/>
      <c r="AK71" s="473"/>
      <c r="AL71" s="156"/>
      <c r="AM71" s="156"/>
      <c r="AN71" s="156"/>
      <c r="AO71" s="154"/>
      <c r="AP71" s="473"/>
      <c r="AQ71" s="156"/>
      <c r="AR71" s="156"/>
      <c r="AS71" s="156"/>
      <c r="AT71" s="156"/>
      <c r="AU71" s="156"/>
      <c r="AV71" s="156"/>
      <c r="AW71" s="156"/>
      <c r="AX71" s="156"/>
      <c r="AY71" s="154"/>
      <c r="AZ71" s="473"/>
      <c r="BA71" s="156"/>
      <c r="BB71" s="156"/>
      <c r="BC71" s="156"/>
      <c r="BD71" s="156"/>
      <c r="BE71" s="156"/>
      <c r="BF71" s="156"/>
      <c r="BG71" s="156"/>
      <c r="BH71" s="156"/>
    </row>
    <row r="72">
      <c r="A72" s="154"/>
      <c r="B72" s="473"/>
      <c r="C72" s="156"/>
      <c r="D72" s="156"/>
      <c r="E72" s="156"/>
      <c r="F72" s="154"/>
      <c r="G72" s="473"/>
      <c r="H72" s="156"/>
      <c r="I72" s="156"/>
      <c r="J72" s="156"/>
      <c r="K72" s="132"/>
      <c r="L72" s="473"/>
      <c r="M72" s="156"/>
      <c r="N72" s="156"/>
      <c r="O72" s="156"/>
      <c r="P72" s="132"/>
      <c r="Q72" s="487"/>
      <c r="R72" s="156"/>
      <c r="S72" s="156"/>
      <c r="T72" s="156"/>
      <c r="U72" s="154"/>
      <c r="V72" s="473"/>
      <c r="W72" s="156"/>
      <c r="X72" s="156"/>
      <c r="Y72" s="156"/>
      <c r="Z72" s="154"/>
      <c r="AA72" s="473"/>
      <c r="AB72" s="156"/>
      <c r="AC72" s="156"/>
      <c r="AD72" s="156"/>
      <c r="AE72" s="154"/>
      <c r="AF72" s="473"/>
      <c r="AG72" s="156"/>
      <c r="AH72" s="156"/>
      <c r="AI72" s="156"/>
      <c r="AJ72" s="154"/>
      <c r="AK72" s="473"/>
      <c r="AL72" s="156"/>
      <c r="AM72" s="156"/>
      <c r="AN72" s="156"/>
      <c r="AO72" s="154"/>
      <c r="AP72" s="473"/>
      <c r="AQ72" s="156"/>
      <c r="AR72" s="156"/>
      <c r="AS72" s="156"/>
      <c r="AT72" s="156"/>
      <c r="AU72" s="156"/>
      <c r="AV72" s="156"/>
      <c r="AW72" s="156"/>
      <c r="AX72" s="156"/>
      <c r="AY72" s="154"/>
      <c r="AZ72" s="473"/>
      <c r="BA72" s="156"/>
      <c r="BB72" s="156"/>
      <c r="BC72" s="156"/>
      <c r="BD72" s="156"/>
      <c r="BE72" s="156"/>
      <c r="BF72" s="156"/>
      <c r="BG72" s="156"/>
      <c r="BH72" s="156"/>
    </row>
    <row r="73">
      <c r="A73" s="154"/>
      <c r="B73" s="473"/>
      <c r="C73" s="156"/>
      <c r="D73" s="156"/>
      <c r="E73" s="156"/>
      <c r="F73" s="154"/>
      <c r="G73" s="473"/>
      <c r="H73" s="156"/>
      <c r="I73" s="156"/>
      <c r="J73" s="156"/>
      <c r="K73" s="132"/>
      <c r="L73" s="473"/>
      <c r="M73" s="156"/>
      <c r="N73" s="156"/>
      <c r="O73" s="156"/>
      <c r="P73" s="132"/>
      <c r="Q73" s="487"/>
      <c r="R73" s="156"/>
      <c r="S73" s="156"/>
      <c r="T73" s="156"/>
      <c r="U73" s="154"/>
      <c r="V73" s="473"/>
      <c r="W73" s="156"/>
      <c r="X73" s="156"/>
      <c r="Y73" s="156"/>
      <c r="Z73" s="154"/>
      <c r="AA73" s="473"/>
      <c r="AB73" s="156"/>
      <c r="AC73" s="156"/>
      <c r="AD73" s="156"/>
      <c r="AE73" s="154"/>
      <c r="AF73" s="473"/>
      <c r="AG73" s="156"/>
      <c r="AH73" s="156"/>
      <c r="AI73" s="156"/>
      <c r="AJ73" s="154"/>
      <c r="AK73" s="473"/>
      <c r="AL73" s="156"/>
      <c r="AM73" s="156"/>
      <c r="AN73" s="156"/>
      <c r="AO73" s="154"/>
      <c r="AP73" s="473"/>
      <c r="AQ73" s="156"/>
      <c r="AR73" s="156"/>
      <c r="AS73" s="156"/>
      <c r="AT73" s="156"/>
      <c r="AU73" s="156"/>
      <c r="AV73" s="156"/>
      <c r="AW73" s="156"/>
      <c r="AX73" s="156"/>
      <c r="AY73" s="154"/>
      <c r="AZ73" s="473"/>
      <c r="BA73" s="156"/>
      <c r="BB73" s="156"/>
      <c r="BC73" s="156"/>
      <c r="BD73" s="156"/>
      <c r="BE73" s="156"/>
      <c r="BF73" s="156"/>
      <c r="BG73" s="156"/>
      <c r="BH73" s="156"/>
    </row>
    <row r="74">
      <c r="A74" s="154"/>
      <c r="B74" s="473"/>
      <c r="C74" s="156"/>
      <c r="D74" s="156"/>
      <c r="E74" s="156"/>
      <c r="F74" s="154"/>
      <c r="G74" s="473"/>
      <c r="H74" s="156"/>
      <c r="I74" s="156"/>
      <c r="J74" s="156"/>
      <c r="K74" s="132"/>
      <c r="L74" s="473"/>
      <c r="M74" s="156"/>
      <c r="N74" s="156"/>
      <c r="O74" s="156"/>
      <c r="P74" s="132"/>
      <c r="Q74" s="487"/>
      <c r="R74" s="156"/>
      <c r="S74" s="156"/>
      <c r="T74" s="156"/>
      <c r="U74" s="154"/>
      <c r="V74" s="473"/>
      <c r="W74" s="156"/>
      <c r="X74" s="156"/>
      <c r="Y74" s="156"/>
      <c r="Z74" s="154"/>
      <c r="AA74" s="473"/>
      <c r="AB74" s="156"/>
      <c r="AC74" s="156"/>
      <c r="AD74" s="156"/>
      <c r="AE74" s="154"/>
      <c r="AF74" s="473"/>
      <c r="AG74" s="156"/>
      <c r="AH74" s="156"/>
      <c r="AI74" s="156"/>
      <c r="AJ74" s="154"/>
      <c r="AK74" s="473"/>
      <c r="AL74" s="156"/>
      <c r="AM74" s="156"/>
      <c r="AN74" s="156"/>
      <c r="AO74" s="154"/>
      <c r="AP74" s="473"/>
      <c r="AQ74" s="156"/>
      <c r="AR74" s="156"/>
      <c r="AS74" s="156"/>
      <c r="AT74" s="156"/>
      <c r="AU74" s="156"/>
      <c r="AV74" s="156"/>
      <c r="AW74" s="156"/>
      <c r="AX74" s="156"/>
      <c r="AY74" s="154"/>
      <c r="AZ74" s="473"/>
      <c r="BA74" s="156"/>
      <c r="BB74" s="156"/>
      <c r="BC74" s="156"/>
      <c r="BD74" s="156"/>
      <c r="BE74" s="156"/>
      <c r="BF74" s="156"/>
      <c r="BG74" s="156"/>
      <c r="BH74" s="156"/>
    </row>
    <row r="75">
      <c r="A75" s="154"/>
      <c r="B75" s="473"/>
      <c r="C75" s="156"/>
      <c r="D75" s="156"/>
      <c r="E75" s="156"/>
      <c r="F75" s="154"/>
      <c r="G75" s="473"/>
      <c r="H75" s="156"/>
      <c r="I75" s="156"/>
      <c r="J75" s="156"/>
      <c r="K75" s="132"/>
      <c r="L75" s="473"/>
      <c r="M75" s="156"/>
      <c r="N75" s="156"/>
      <c r="O75" s="156"/>
      <c r="P75" s="132"/>
      <c r="Q75" s="487"/>
      <c r="R75" s="156"/>
      <c r="S75" s="156"/>
      <c r="T75" s="156"/>
      <c r="U75" s="154"/>
      <c r="V75" s="473"/>
      <c r="W75" s="156"/>
      <c r="X75" s="156"/>
      <c r="Y75" s="156"/>
      <c r="Z75" s="154"/>
      <c r="AA75" s="473"/>
      <c r="AB75" s="156"/>
      <c r="AC75" s="156"/>
      <c r="AD75" s="156"/>
      <c r="AE75" s="154"/>
      <c r="AF75" s="473"/>
      <c r="AG75" s="156"/>
      <c r="AH75" s="156"/>
      <c r="AI75" s="156"/>
      <c r="AJ75" s="154"/>
      <c r="AK75" s="473"/>
      <c r="AL75" s="156"/>
      <c r="AM75" s="156"/>
      <c r="AN75" s="156"/>
      <c r="AO75" s="154"/>
      <c r="AP75" s="473"/>
      <c r="AQ75" s="156"/>
      <c r="AR75" s="156"/>
      <c r="AS75" s="156"/>
      <c r="AT75" s="156"/>
      <c r="AU75" s="156"/>
      <c r="AV75" s="156"/>
      <c r="AW75" s="156"/>
      <c r="AX75" s="156"/>
      <c r="AY75" s="154"/>
      <c r="AZ75" s="473"/>
      <c r="BA75" s="156"/>
      <c r="BB75" s="156"/>
      <c r="BC75" s="156"/>
      <c r="BD75" s="156"/>
      <c r="BE75" s="156"/>
      <c r="BF75" s="156"/>
      <c r="BG75" s="156"/>
      <c r="BH75" s="156"/>
    </row>
    <row r="76">
      <c r="A76" s="154"/>
      <c r="B76" s="473"/>
      <c r="C76" s="156"/>
      <c r="D76" s="156"/>
      <c r="E76" s="156"/>
      <c r="F76" s="154"/>
      <c r="G76" s="473"/>
      <c r="H76" s="156"/>
      <c r="I76" s="156"/>
      <c r="J76" s="156"/>
      <c r="K76" s="132"/>
      <c r="L76" s="473"/>
      <c r="M76" s="156"/>
      <c r="N76" s="156"/>
      <c r="O76" s="156"/>
      <c r="P76" s="132"/>
      <c r="Q76" s="487"/>
      <c r="R76" s="156"/>
      <c r="S76" s="156"/>
      <c r="T76" s="156"/>
      <c r="U76" s="154"/>
      <c r="V76" s="473"/>
      <c r="W76" s="156"/>
      <c r="X76" s="156"/>
      <c r="Y76" s="156"/>
      <c r="Z76" s="154"/>
      <c r="AA76" s="473"/>
      <c r="AB76" s="156"/>
      <c r="AC76" s="156"/>
      <c r="AD76" s="156"/>
      <c r="AE76" s="154"/>
      <c r="AF76" s="473"/>
      <c r="AG76" s="156"/>
      <c r="AH76" s="156"/>
      <c r="AI76" s="156"/>
      <c r="AJ76" s="154"/>
      <c r="AK76" s="473"/>
      <c r="AL76" s="156"/>
      <c r="AM76" s="156"/>
      <c r="AN76" s="156"/>
      <c r="AO76" s="154"/>
      <c r="AP76" s="473"/>
      <c r="AQ76" s="156"/>
      <c r="AR76" s="156"/>
      <c r="AS76" s="156"/>
      <c r="AT76" s="156"/>
      <c r="AU76" s="156"/>
      <c r="AV76" s="156"/>
      <c r="AW76" s="156"/>
      <c r="AX76" s="156"/>
      <c r="AY76" s="154"/>
      <c r="AZ76" s="473"/>
      <c r="BA76" s="156"/>
      <c r="BB76" s="156"/>
      <c r="BC76" s="156"/>
      <c r="BD76" s="156"/>
      <c r="BE76" s="156"/>
      <c r="BF76" s="156"/>
      <c r="BG76" s="156"/>
      <c r="BH76" s="156"/>
    </row>
    <row r="77">
      <c r="A77" s="154"/>
      <c r="B77" s="473"/>
      <c r="C77" s="156"/>
      <c r="D77" s="156"/>
      <c r="E77" s="156"/>
      <c r="F77" s="154"/>
      <c r="G77" s="473"/>
      <c r="H77" s="156"/>
      <c r="I77" s="156"/>
      <c r="J77" s="156"/>
      <c r="K77" s="132"/>
      <c r="L77" s="473"/>
      <c r="M77" s="156"/>
      <c r="N77" s="156"/>
      <c r="O77" s="156"/>
      <c r="P77" s="132"/>
      <c r="Q77" s="487"/>
      <c r="R77" s="156"/>
      <c r="S77" s="156"/>
      <c r="T77" s="156"/>
      <c r="U77" s="154"/>
      <c r="V77" s="473"/>
      <c r="W77" s="156"/>
      <c r="X77" s="156"/>
      <c r="Y77" s="156"/>
      <c r="Z77" s="154"/>
      <c r="AA77" s="473"/>
      <c r="AB77" s="156"/>
      <c r="AC77" s="156"/>
      <c r="AD77" s="156"/>
      <c r="AE77" s="154"/>
      <c r="AF77" s="473"/>
      <c r="AG77" s="156"/>
      <c r="AH77" s="156"/>
      <c r="AI77" s="156"/>
      <c r="AJ77" s="154"/>
      <c r="AK77" s="473"/>
      <c r="AL77" s="156"/>
      <c r="AM77" s="156"/>
      <c r="AN77" s="156"/>
      <c r="AO77" s="154"/>
      <c r="AP77" s="473"/>
      <c r="AQ77" s="156"/>
      <c r="AR77" s="156"/>
      <c r="AS77" s="156"/>
      <c r="AT77" s="156"/>
      <c r="AU77" s="156"/>
      <c r="AV77" s="156"/>
      <c r="AW77" s="156"/>
      <c r="AX77" s="156"/>
      <c r="AY77" s="154"/>
      <c r="AZ77" s="473"/>
      <c r="BA77" s="156"/>
      <c r="BB77" s="156"/>
      <c r="BC77" s="156"/>
      <c r="BD77" s="156"/>
      <c r="BE77" s="156"/>
      <c r="BF77" s="156"/>
      <c r="BG77" s="156"/>
      <c r="BH77" s="156"/>
    </row>
    <row r="78">
      <c r="A78" s="154"/>
      <c r="B78" s="473"/>
      <c r="C78" s="156"/>
      <c r="D78" s="156"/>
      <c r="E78" s="156"/>
      <c r="F78" s="154"/>
      <c r="G78" s="473"/>
      <c r="H78" s="156"/>
      <c r="I78" s="156"/>
      <c r="J78" s="156"/>
      <c r="K78" s="132"/>
      <c r="L78" s="473"/>
      <c r="M78" s="156"/>
      <c r="N78" s="156"/>
      <c r="O78" s="156"/>
      <c r="P78" s="132"/>
      <c r="Q78" s="487"/>
      <c r="R78" s="156"/>
      <c r="S78" s="156"/>
      <c r="T78" s="156"/>
      <c r="U78" s="154"/>
      <c r="V78" s="473"/>
      <c r="W78" s="156"/>
      <c r="X78" s="156"/>
      <c r="Y78" s="156"/>
      <c r="Z78" s="154"/>
      <c r="AA78" s="473"/>
      <c r="AB78" s="156"/>
      <c r="AC78" s="156"/>
      <c r="AD78" s="156"/>
      <c r="AE78" s="154"/>
      <c r="AF78" s="473"/>
      <c r="AG78" s="156"/>
      <c r="AH78" s="156"/>
      <c r="AI78" s="156"/>
      <c r="AJ78" s="154"/>
      <c r="AK78" s="473"/>
      <c r="AL78" s="156"/>
      <c r="AM78" s="156"/>
      <c r="AN78" s="156"/>
      <c r="AO78" s="154"/>
      <c r="AP78" s="473"/>
      <c r="AQ78" s="156"/>
      <c r="AR78" s="156"/>
      <c r="AS78" s="156"/>
      <c r="AT78" s="156"/>
      <c r="AU78" s="156"/>
      <c r="AV78" s="156"/>
      <c r="AW78" s="156"/>
      <c r="AX78" s="156"/>
      <c r="AY78" s="154"/>
      <c r="AZ78" s="473"/>
      <c r="BA78" s="156"/>
      <c r="BB78" s="156"/>
      <c r="BC78" s="156"/>
      <c r="BD78" s="156"/>
      <c r="BE78" s="156"/>
      <c r="BF78" s="156"/>
      <c r="BG78" s="156"/>
      <c r="BH78" s="156"/>
    </row>
    <row r="79">
      <c r="A79" s="154"/>
      <c r="B79" s="473"/>
      <c r="C79" s="156"/>
      <c r="D79" s="156"/>
      <c r="E79" s="156"/>
      <c r="F79" s="154"/>
      <c r="G79" s="473"/>
      <c r="H79" s="156"/>
      <c r="I79" s="156"/>
      <c r="J79" s="156"/>
      <c r="K79" s="132"/>
      <c r="L79" s="473"/>
      <c r="M79" s="156"/>
      <c r="N79" s="156"/>
      <c r="O79" s="156"/>
      <c r="P79" s="132"/>
      <c r="Q79" s="487"/>
      <c r="R79" s="156"/>
      <c r="S79" s="156"/>
      <c r="T79" s="156"/>
      <c r="U79" s="154"/>
      <c r="V79" s="473"/>
      <c r="W79" s="156"/>
      <c r="X79" s="156"/>
      <c r="Y79" s="156"/>
      <c r="Z79" s="154"/>
      <c r="AA79" s="473"/>
      <c r="AB79" s="156"/>
      <c r="AC79" s="156"/>
      <c r="AD79" s="156"/>
      <c r="AE79" s="154"/>
      <c r="AF79" s="473"/>
      <c r="AG79" s="156"/>
      <c r="AH79" s="156"/>
      <c r="AI79" s="156"/>
      <c r="AJ79" s="154"/>
      <c r="AK79" s="473"/>
      <c r="AL79" s="156"/>
      <c r="AM79" s="156"/>
      <c r="AN79" s="156"/>
      <c r="AO79" s="154"/>
      <c r="AP79" s="473"/>
      <c r="AQ79" s="156"/>
      <c r="AR79" s="156"/>
      <c r="AS79" s="156"/>
      <c r="AT79" s="156"/>
      <c r="AU79" s="156"/>
      <c r="AV79" s="156"/>
      <c r="AW79" s="156"/>
      <c r="AX79" s="156"/>
      <c r="AY79" s="154"/>
      <c r="AZ79" s="473"/>
      <c r="BA79" s="156"/>
      <c r="BB79" s="156"/>
      <c r="BC79" s="156"/>
      <c r="BD79" s="156"/>
      <c r="BE79" s="156"/>
      <c r="BF79" s="156"/>
      <c r="BG79" s="156"/>
      <c r="BH79" s="156"/>
    </row>
    <row r="80">
      <c r="A80" s="154"/>
      <c r="B80" s="473"/>
      <c r="C80" s="156"/>
      <c r="D80" s="156"/>
      <c r="E80" s="156"/>
      <c r="F80" s="154"/>
      <c r="G80" s="473"/>
      <c r="H80" s="156"/>
      <c r="I80" s="156"/>
      <c r="J80" s="156"/>
      <c r="K80" s="132"/>
      <c r="L80" s="473"/>
      <c r="M80" s="156"/>
      <c r="N80" s="156"/>
      <c r="O80" s="156"/>
      <c r="P80" s="132"/>
      <c r="Q80" s="487"/>
      <c r="R80" s="156"/>
      <c r="S80" s="156"/>
      <c r="T80" s="156"/>
      <c r="U80" s="154"/>
      <c r="V80" s="473"/>
      <c r="W80" s="156"/>
      <c r="X80" s="156"/>
      <c r="Y80" s="156"/>
      <c r="Z80" s="154"/>
      <c r="AA80" s="473"/>
      <c r="AB80" s="156"/>
      <c r="AC80" s="156"/>
      <c r="AD80" s="156"/>
      <c r="AE80" s="154"/>
      <c r="AF80" s="473"/>
      <c r="AG80" s="156"/>
      <c r="AH80" s="156"/>
      <c r="AI80" s="156"/>
      <c r="AJ80" s="154"/>
      <c r="AK80" s="473"/>
      <c r="AL80" s="156"/>
      <c r="AM80" s="156"/>
      <c r="AN80" s="156"/>
      <c r="AO80" s="154"/>
      <c r="AP80" s="473"/>
      <c r="AQ80" s="156"/>
      <c r="AR80" s="156"/>
      <c r="AS80" s="156"/>
      <c r="AT80" s="156"/>
      <c r="AU80" s="156"/>
      <c r="AV80" s="156"/>
      <c r="AW80" s="156"/>
      <c r="AX80" s="156"/>
      <c r="AY80" s="154"/>
      <c r="AZ80" s="473"/>
      <c r="BA80" s="156"/>
      <c r="BB80" s="156"/>
      <c r="BC80" s="156"/>
      <c r="BD80" s="156"/>
      <c r="BE80" s="156"/>
      <c r="BF80" s="156"/>
      <c r="BG80" s="156"/>
      <c r="BH80" s="156"/>
    </row>
    <row r="81">
      <c r="A81" s="154"/>
      <c r="B81" s="473"/>
      <c r="C81" s="156"/>
      <c r="D81" s="156"/>
      <c r="E81" s="156"/>
      <c r="F81" s="154"/>
      <c r="G81" s="473"/>
      <c r="H81" s="156"/>
      <c r="I81" s="156"/>
      <c r="J81" s="156"/>
      <c r="K81" s="132"/>
      <c r="L81" s="473"/>
      <c r="M81" s="156"/>
      <c r="N81" s="156"/>
      <c r="O81" s="156"/>
      <c r="P81" s="132"/>
      <c r="Q81" s="487"/>
      <c r="R81" s="156"/>
      <c r="S81" s="156"/>
      <c r="T81" s="156"/>
      <c r="U81" s="154"/>
      <c r="V81" s="473"/>
      <c r="W81" s="156"/>
      <c r="X81" s="156"/>
      <c r="Y81" s="156"/>
      <c r="Z81" s="154"/>
      <c r="AA81" s="473"/>
      <c r="AB81" s="156"/>
      <c r="AC81" s="156"/>
      <c r="AD81" s="156"/>
      <c r="AE81" s="154"/>
      <c r="AF81" s="473"/>
      <c r="AG81" s="156"/>
      <c r="AH81" s="156"/>
      <c r="AI81" s="156"/>
      <c r="AJ81" s="154"/>
      <c r="AK81" s="473"/>
      <c r="AL81" s="156"/>
      <c r="AM81" s="156"/>
      <c r="AN81" s="156"/>
      <c r="AO81" s="154"/>
      <c r="AP81" s="473"/>
      <c r="AQ81" s="156"/>
      <c r="AR81" s="156"/>
      <c r="AS81" s="156"/>
      <c r="AT81" s="156"/>
      <c r="AU81" s="156"/>
      <c r="AV81" s="156"/>
      <c r="AW81" s="156"/>
      <c r="AX81" s="156"/>
      <c r="AY81" s="154"/>
      <c r="AZ81" s="473"/>
      <c r="BA81" s="156"/>
      <c r="BB81" s="156"/>
      <c r="BC81" s="156"/>
      <c r="BD81" s="156"/>
      <c r="BE81" s="156"/>
      <c r="BF81" s="156"/>
      <c r="BG81" s="156"/>
      <c r="BH81" s="156"/>
    </row>
    <row r="82">
      <c r="A82" s="154"/>
      <c r="B82" s="473"/>
      <c r="C82" s="156"/>
      <c r="D82" s="156"/>
      <c r="E82" s="156"/>
      <c r="F82" s="154"/>
      <c r="G82" s="473"/>
      <c r="H82" s="156"/>
      <c r="I82" s="156"/>
      <c r="J82" s="156"/>
      <c r="K82" s="132"/>
      <c r="L82" s="473"/>
      <c r="M82" s="156"/>
      <c r="N82" s="156"/>
      <c r="O82" s="156"/>
      <c r="P82" s="132"/>
      <c r="Q82" s="487"/>
      <c r="R82" s="156"/>
      <c r="S82" s="156"/>
      <c r="T82" s="156"/>
      <c r="U82" s="154"/>
      <c r="V82" s="473"/>
      <c r="W82" s="156"/>
      <c r="X82" s="156"/>
      <c r="Y82" s="156"/>
      <c r="Z82" s="154"/>
      <c r="AA82" s="473"/>
      <c r="AB82" s="156"/>
      <c r="AC82" s="156"/>
      <c r="AD82" s="156"/>
      <c r="AE82" s="154"/>
      <c r="AF82" s="473"/>
      <c r="AG82" s="156"/>
      <c r="AH82" s="156"/>
      <c r="AI82" s="156"/>
      <c r="AJ82" s="154"/>
      <c r="AK82" s="473"/>
      <c r="AL82" s="156"/>
      <c r="AM82" s="156"/>
      <c r="AN82" s="156"/>
      <c r="AO82" s="154"/>
      <c r="AP82" s="473"/>
      <c r="AQ82" s="156"/>
      <c r="AR82" s="156"/>
      <c r="AS82" s="156"/>
      <c r="AT82" s="156"/>
      <c r="AU82" s="156"/>
      <c r="AV82" s="156"/>
      <c r="AW82" s="156"/>
      <c r="AX82" s="156"/>
      <c r="AY82" s="154"/>
      <c r="AZ82" s="473"/>
      <c r="BA82" s="156"/>
      <c r="BB82" s="156"/>
      <c r="BC82" s="156"/>
      <c r="BD82" s="156"/>
      <c r="BE82" s="156"/>
      <c r="BF82" s="156"/>
      <c r="BG82" s="156"/>
      <c r="BH82" s="156"/>
    </row>
    <row r="83">
      <c r="A83" s="154"/>
      <c r="B83" s="473"/>
      <c r="C83" s="156"/>
      <c r="D83" s="156"/>
      <c r="E83" s="156"/>
      <c r="F83" s="154"/>
      <c r="G83" s="473"/>
      <c r="H83" s="156"/>
      <c r="I83" s="156"/>
      <c r="J83" s="156"/>
      <c r="K83" s="132"/>
      <c r="L83" s="473"/>
      <c r="M83" s="156"/>
      <c r="N83" s="156"/>
      <c r="O83" s="156"/>
      <c r="P83" s="132"/>
      <c r="Q83" s="487"/>
      <c r="R83" s="156"/>
      <c r="S83" s="156"/>
      <c r="T83" s="156"/>
      <c r="U83" s="154"/>
      <c r="V83" s="473"/>
      <c r="W83" s="156"/>
      <c r="X83" s="156"/>
      <c r="Y83" s="156"/>
      <c r="Z83" s="154"/>
      <c r="AA83" s="473"/>
      <c r="AB83" s="156"/>
      <c r="AC83" s="156"/>
      <c r="AD83" s="156"/>
      <c r="AE83" s="154"/>
      <c r="AF83" s="473"/>
      <c r="AG83" s="156"/>
      <c r="AH83" s="156"/>
      <c r="AI83" s="156"/>
      <c r="AJ83" s="154"/>
      <c r="AK83" s="473"/>
      <c r="AL83" s="156"/>
      <c r="AM83" s="156"/>
      <c r="AN83" s="156"/>
      <c r="AO83" s="154"/>
      <c r="AP83" s="473"/>
      <c r="AQ83" s="156"/>
      <c r="AR83" s="156"/>
      <c r="AS83" s="156"/>
      <c r="AT83" s="156"/>
      <c r="AU83" s="156"/>
      <c r="AV83" s="156"/>
      <c r="AW83" s="156"/>
      <c r="AX83" s="156"/>
      <c r="AY83" s="154"/>
      <c r="AZ83" s="473"/>
      <c r="BA83" s="156"/>
      <c r="BB83" s="156"/>
      <c r="BC83" s="156"/>
      <c r="BD83" s="156"/>
      <c r="BE83" s="156"/>
      <c r="BF83" s="156"/>
      <c r="BG83" s="156"/>
      <c r="BH83" s="156"/>
    </row>
    <row r="84">
      <c r="A84" s="154"/>
      <c r="B84" s="473"/>
      <c r="C84" s="156"/>
      <c r="D84" s="156"/>
      <c r="E84" s="156"/>
      <c r="F84" s="154"/>
      <c r="G84" s="473"/>
      <c r="H84" s="156"/>
      <c r="I84" s="156"/>
      <c r="J84" s="156"/>
      <c r="K84" s="132"/>
      <c r="L84" s="473"/>
      <c r="M84" s="156"/>
      <c r="N84" s="156"/>
      <c r="O84" s="156"/>
      <c r="P84" s="132"/>
      <c r="Q84" s="487"/>
      <c r="R84" s="156"/>
      <c r="S84" s="156"/>
      <c r="T84" s="156"/>
      <c r="U84" s="154"/>
      <c r="V84" s="473"/>
      <c r="W84" s="156"/>
      <c r="X84" s="156"/>
      <c r="Y84" s="156"/>
      <c r="Z84" s="154"/>
      <c r="AA84" s="473"/>
      <c r="AB84" s="156"/>
      <c r="AC84" s="156"/>
      <c r="AD84" s="156"/>
      <c r="AE84" s="154"/>
      <c r="AF84" s="473"/>
      <c r="AG84" s="156"/>
      <c r="AH84" s="156"/>
      <c r="AI84" s="156"/>
      <c r="AJ84" s="154"/>
      <c r="AK84" s="473"/>
      <c r="AL84" s="156"/>
      <c r="AM84" s="156"/>
      <c r="AN84" s="156"/>
      <c r="AO84" s="154"/>
      <c r="AP84" s="473"/>
      <c r="AQ84" s="156"/>
      <c r="AR84" s="156"/>
      <c r="AS84" s="156"/>
      <c r="AT84" s="156"/>
      <c r="AU84" s="156"/>
      <c r="AV84" s="156"/>
      <c r="AW84" s="156"/>
      <c r="AX84" s="156"/>
      <c r="AY84" s="154"/>
      <c r="AZ84" s="473"/>
      <c r="BA84" s="156"/>
      <c r="BB84" s="156"/>
      <c r="BC84" s="156"/>
      <c r="BD84" s="156"/>
      <c r="BE84" s="156"/>
      <c r="BF84" s="156"/>
      <c r="BG84" s="156"/>
      <c r="BH84" s="156"/>
    </row>
    <row r="85">
      <c r="A85" s="154"/>
      <c r="B85" s="473"/>
      <c r="C85" s="156"/>
      <c r="D85" s="156"/>
      <c r="E85" s="156"/>
      <c r="F85" s="154"/>
      <c r="G85" s="473"/>
      <c r="H85" s="156"/>
      <c r="I85" s="156"/>
      <c r="J85" s="156"/>
      <c r="K85" s="132"/>
      <c r="L85" s="473"/>
      <c r="M85" s="156"/>
      <c r="N85" s="156"/>
      <c r="O85" s="156"/>
      <c r="P85" s="132"/>
      <c r="Q85" s="487"/>
      <c r="R85" s="156"/>
      <c r="S85" s="156"/>
      <c r="T85" s="156"/>
      <c r="U85" s="154"/>
      <c r="V85" s="473"/>
      <c r="W85" s="156"/>
      <c r="X85" s="156"/>
      <c r="Y85" s="156"/>
      <c r="Z85" s="154"/>
      <c r="AA85" s="473"/>
      <c r="AB85" s="156"/>
      <c r="AC85" s="156"/>
      <c r="AD85" s="156"/>
      <c r="AE85" s="154"/>
      <c r="AF85" s="473"/>
      <c r="AG85" s="156"/>
      <c r="AH85" s="156"/>
      <c r="AI85" s="156"/>
      <c r="AJ85" s="154"/>
      <c r="AK85" s="473"/>
      <c r="AL85" s="156"/>
      <c r="AM85" s="156"/>
      <c r="AN85" s="156"/>
      <c r="AO85" s="154"/>
      <c r="AP85" s="473"/>
      <c r="AQ85" s="156"/>
      <c r="AR85" s="156"/>
      <c r="AS85" s="156"/>
      <c r="AT85" s="156"/>
      <c r="AU85" s="156"/>
      <c r="AV85" s="156"/>
      <c r="AW85" s="156"/>
      <c r="AX85" s="156"/>
      <c r="AY85" s="154"/>
      <c r="AZ85" s="473"/>
      <c r="BA85" s="156"/>
      <c r="BB85" s="156"/>
      <c r="BC85" s="156"/>
      <c r="BD85" s="156"/>
      <c r="BE85" s="156"/>
      <c r="BF85" s="156"/>
      <c r="BG85" s="156"/>
      <c r="BH85" s="156"/>
    </row>
    <row r="86">
      <c r="A86" s="154"/>
      <c r="B86" s="473"/>
      <c r="C86" s="156"/>
      <c r="D86" s="156"/>
      <c r="E86" s="156"/>
      <c r="F86" s="154"/>
      <c r="G86" s="473"/>
      <c r="H86" s="156"/>
      <c r="I86" s="156"/>
      <c r="J86" s="156"/>
      <c r="K86" s="132"/>
      <c r="L86" s="473"/>
      <c r="M86" s="156"/>
      <c r="N86" s="156"/>
      <c r="O86" s="156"/>
      <c r="P86" s="132"/>
      <c r="Q86" s="487"/>
      <c r="R86" s="156"/>
      <c r="S86" s="156"/>
      <c r="T86" s="156"/>
      <c r="U86" s="154"/>
      <c r="V86" s="473"/>
      <c r="W86" s="156"/>
      <c r="X86" s="156"/>
      <c r="Y86" s="156"/>
      <c r="Z86" s="154"/>
      <c r="AA86" s="473"/>
      <c r="AB86" s="156"/>
      <c r="AC86" s="156"/>
      <c r="AD86" s="156"/>
      <c r="AE86" s="154"/>
      <c r="AF86" s="473"/>
      <c r="AG86" s="156"/>
      <c r="AH86" s="156"/>
      <c r="AI86" s="156"/>
      <c r="AJ86" s="154"/>
      <c r="AK86" s="473"/>
      <c r="AL86" s="156"/>
      <c r="AM86" s="156"/>
      <c r="AN86" s="156"/>
      <c r="AO86" s="154"/>
      <c r="AP86" s="473"/>
      <c r="AQ86" s="156"/>
      <c r="AR86" s="156"/>
      <c r="AS86" s="156"/>
      <c r="AT86" s="156"/>
      <c r="AU86" s="156"/>
      <c r="AV86" s="156"/>
      <c r="AW86" s="156"/>
      <c r="AX86" s="156"/>
      <c r="AY86" s="154"/>
      <c r="AZ86" s="473"/>
      <c r="BA86" s="156"/>
      <c r="BB86" s="156"/>
      <c r="BC86" s="156"/>
      <c r="BD86" s="156"/>
      <c r="BE86" s="156"/>
      <c r="BF86" s="156"/>
      <c r="BG86" s="156"/>
      <c r="BH86" s="156"/>
    </row>
    <row r="87">
      <c r="A87" s="154"/>
      <c r="B87" s="473"/>
      <c r="C87" s="156"/>
      <c r="D87" s="156"/>
      <c r="E87" s="156"/>
      <c r="F87" s="154"/>
      <c r="G87" s="473"/>
      <c r="H87" s="156"/>
      <c r="I87" s="156"/>
      <c r="J87" s="156"/>
      <c r="K87" s="132"/>
      <c r="L87" s="473"/>
      <c r="M87" s="156"/>
      <c r="N87" s="156"/>
      <c r="O87" s="156"/>
      <c r="P87" s="132"/>
      <c r="Q87" s="487"/>
      <c r="R87" s="156"/>
      <c r="S87" s="156"/>
      <c r="T87" s="156"/>
      <c r="U87" s="154"/>
      <c r="V87" s="473"/>
      <c r="W87" s="156"/>
      <c r="X87" s="156"/>
      <c r="Y87" s="156"/>
      <c r="Z87" s="154"/>
      <c r="AA87" s="473"/>
      <c r="AB87" s="156"/>
      <c r="AC87" s="156"/>
      <c r="AD87" s="156"/>
      <c r="AE87" s="154"/>
      <c r="AF87" s="473"/>
      <c r="AG87" s="156"/>
      <c r="AH87" s="156"/>
      <c r="AI87" s="156"/>
      <c r="AJ87" s="154"/>
      <c r="AK87" s="473"/>
      <c r="AL87" s="156"/>
      <c r="AM87" s="156"/>
      <c r="AN87" s="156"/>
      <c r="AO87" s="154"/>
      <c r="AP87" s="473"/>
      <c r="AQ87" s="156"/>
      <c r="AR87" s="156"/>
      <c r="AS87" s="156"/>
      <c r="AT87" s="156"/>
      <c r="AU87" s="156"/>
      <c r="AV87" s="156"/>
      <c r="AW87" s="156"/>
      <c r="AX87" s="156"/>
      <c r="AY87" s="154"/>
      <c r="AZ87" s="473"/>
      <c r="BA87" s="156"/>
      <c r="BB87" s="156"/>
      <c r="BC87" s="156"/>
      <c r="BD87" s="156"/>
      <c r="BE87" s="156"/>
      <c r="BF87" s="156"/>
      <c r="BG87" s="156"/>
      <c r="BH87" s="156"/>
    </row>
    <row r="88">
      <c r="A88" s="154"/>
      <c r="B88" s="473"/>
      <c r="C88" s="156"/>
      <c r="D88" s="156"/>
      <c r="E88" s="156"/>
      <c r="F88" s="154"/>
      <c r="G88" s="473"/>
      <c r="H88" s="156"/>
      <c r="I88" s="156"/>
      <c r="J88" s="156"/>
      <c r="K88" s="132"/>
      <c r="L88" s="473"/>
      <c r="M88" s="156"/>
      <c r="N88" s="156"/>
      <c r="O88" s="156"/>
      <c r="P88" s="132"/>
      <c r="Q88" s="487"/>
      <c r="R88" s="156"/>
      <c r="S88" s="156"/>
      <c r="T88" s="156"/>
      <c r="U88" s="154"/>
      <c r="V88" s="473"/>
      <c r="W88" s="156"/>
      <c r="X88" s="156"/>
      <c r="Y88" s="156"/>
      <c r="Z88" s="154"/>
      <c r="AA88" s="473"/>
      <c r="AB88" s="156"/>
      <c r="AC88" s="156"/>
      <c r="AD88" s="156"/>
      <c r="AE88" s="154"/>
      <c r="AF88" s="473"/>
      <c r="AG88" s="156"/>
      <c r="AH88" s="156"/>
      <c r="AI88" s="156"/>
      <c r="AJ88" s="154"/>
      <c r="AK88" s="473"/>
      <c r="AL88" s="156"/>
      <c r="AM88" s="156"/>
      <c r="AN88" s="156"/>
      <c r="AO88" s="154"/>
      <c r="AP88" s="473"/>
      <c r="AQ88" s="156"/>
      <c r="AR88" s="156"/>
      <c r="AS88" s="156"/>
      <c r="AT88" s="156"/>
      <c r="AU88" s="156"/>
      <c r="AV88" s="156"/>
      <c r="AW88" s="156"/>
      <c r="AX88" s="156"/>
      <c r="AY88" s="154"/>
      <c r="AZ88" s="473"/>
      <c r="BA88" s="156"/>
      <c r="BB88" s="156"/>
      <c r="BC88" s="156"/>
      <c r="BD88" s="156"/>
      <c r="BE88" s="156"/>
      <c r="BF88" s="156"/>
      <c r="BG88" s="156"/>
      <c r="BH88" s="156"/>
    </row>
    <row r="89">
      <c r="A89" s="154"/>
      <c r="B89" s="473"/>
      <c r="C89" s="156"/>
      <c r="D89" s="156"/>
      <c r="E89" s="156"/>
      <c r="F89" s="154"/>
      <c r="G89" s="473"/>
      <c r="H89" s="156"/>
      <c r="I89" s="156"/>
      <c r="J89" s="156"/>
      <c r="K89" s="132"/>
      <c r="L89" s="473"/>
      <c r="M89" s="156"/>
      <c r="N89" s="156"/>
      <c r="O89" s="156"/>
      <c r="P89" s="132"/>
      <c r="Q89" s="487"/>
      <c r="R89" s="156"/>
      <c r="S89" s="156"/>
      <c r="T89" s="156"/>
      <c r="U89" s="154"/>
      <c r="V89" s="473"/>
      <c r="W89" s="156"/>
      <c r="X89" s="156"/>
      <c r="Y89" s="156"/>
      <c r="Z89" s="154"/>
      <c r="AA89" s="473"/>
      <c r="AB89" s="156"/>
      <c r="AC89" s="156"/>
      <c r="AD89" s="156"/>
      <c r="AE89" s="154"/>
      <c r="AF89" s="473"/>
      <c r="AG89" s="156"/>
      <c r="AH89" s="156"/>
      <c r="AI89" s="156"/>
      <c r="AJ89" s="154"/>
      <c r="AK89" s="473"/>
      <c r="AL89" s="156"/>
      <c r="AM89" s="156"/>
      <c r="AN89" s="156"/>
      <c r="AO89" s="154"/>
      <c r="AP89" s="473"/>
      <c r="AQ89" s="156"/>
      <c r="AR89" s="156"/>
      <c r="AS89" s="156"/>
      <c r="AT89" s="156"/>
      <c r="AU89" s="156"/>
      <c r="AV89" s="156"/>
      <c r="AW89" s="156"/>
      <c r="AX89" s="156"/>
      <c r="AY89" s="154"/>
      <c r="AZ89" s="473"/>
      <c r="BA89" s="156"/>
      <c r="BB89" s="156"/>
      <c r="BC89" s="156"/>
      <c r="BD89" s="156"/>
      <c r="BE89" s="156"/>
      <c r="BF89" s="156"/>
      <c r="BG89" s="156"/>
      <c r="BH89" s="156"/>
    </row>
    <row r="90">
      <c r="A90" s="154"/>
      <c r="B90" s="473"/>
      <c r="C90" s="156"/>
      <c r="D90" s="156"/>
      <c r="E90" s="156"/>
      <c r="F90" s="154"/>
      <c r="G90" s="473"/>
      <c r="H90" s="156"/>
      <c r="I90" s="156"/>
      <c r="J90" s="156"/>
      <c r="K90" s="132"/>
      <c r="L90" s="473"/>
      <c r="M90" s="156"/>
      <c r="N90" s="156"/>
      <c r="O90" s="156"/>
      <c r="P90" s="132"/>
      <c r="Q90" s="487"/>
      <c r="R90" s="156"/>
      <c r="S90" s="156"/>
      <c r="T90" s="156"/>
      <c r="U90" s="154"/>
      <c r="V90" s="473"/>
      <c r="W90" s="156"/>
      <c r="X90" s="156"/>
      <c r="Y90" s="156"/>
      <c r="Z90" s="154"/>
      <c r="AA90" s="473"/>
      <c r="AB90" s="156"/>
      <c r="AC90" s="156"/>
      <c r="AD90" s="156"/>
      <c r="AE90" s="154"/>
      <c r="AF90" s="473"/>
      <c r="AG90" s="156"/>
      <c r="AH90" s="156"/>
      <c r="AI90" s="156"/>
      <c r="AJ90" s="154"/>
      <c r="AK90" s="473"/>
      <c r="AL90" s="156"/>
      <c r="AM90" s="156"/>
      <c r="AN90" s="156"/>
      <c r="AO90" s="154"/>
      <c r="AP90" s="473"/>
      <c r="AQ90" s="156"/>
      <c r="AR90" s="156"/>
      <c r="AS90" s="156"/>
      <c r="AT90" s="156"/>
      <c r="AU90" s="156"/>
      <c r="AV90" s="156"/>
      <c r="AW90" s="156"/>
      <c r="AX90" s="156"/>
      <c r="AY90" s="154"/>
      <c r="AZ90" s="473"/>
      <c r="BA90" s="156"/>
      <c r="BB90" s="156"/>
      <c r="BC90" s="156"/>
      <c r="BD90" s="156"/>
      <c r="BE90" s="156"/>
      <c r="BF90" s="156"/>
      <c r="BG90" s="156"/>
      <c r="BH90" s="156"/>
    </row>
    <row r="91">
      <c r="A91" s="154"/>
      <c r="B91" s="473"/>
      <c r="C91" s="156"/>
      <c r="D91" s="156"/>
      <c r="E91" s="156"/>
      <c r="F91" s="154"/>
      <c r="G91" s="473"/>
      <c r="H91" s="156"/>
      <c r="I91" s="156"/>
      <c r="J91" s="156"/>
      <c r="K91" s="132"/>
      <c r="L91" s="473"/>
      <c r="M91" s="156"/>
      <c r="N91" s="156"/>
      <c r="O91" s="156"/>
      <c r="P91" s="132"/>
      <c r="Q91" s="487"/>
      <c r="R91" s="156"/>
      <c r="S91" s="156"/>
      <c r="T91" s="156"/>
      <c r="U91" s="154"/>
      <c r="V91" s="473"/>
      <c r="W91" s="156"/>
      <c r="X91" s="156"/>
      <c r="Y91" s="156"/>
      <c r="Z91" s="154"/>
      <c r="AA91" s="473"/>
      <c r="AB91" s="156"/>
      <c r="AC91" s="156"/>
      <c r="AD91" s="156"/>
      <c r="AE91" s="154"/>
      <c r="AF91" s="473"/>
      <c r="AG91" s="156"/>
      <c r="AH91" s="156"/>
      <c r="AI91" s="156"/>
      <c r="AJ91" s="154"/>
      <c r="AK91" s="473"/>
      <c r="AL91" s="156"/>
      <c r="AM91" s="156"/>
      <c r="AN91" s="156"/>
      <c r="AO91" s="154"/>
      <c r="AP91" s="473"/>
      <c r="AQ91" s="156"/>
      <c r="AR91" s="156"/>
      <c r="AS91" s="156"/>
      <c r="AT91" s="156"/>
      <c r="AU91" s="156"/>
      <c r="AV91" s="156"/>
      <c r="AW91" s="156"/>
      <c r="AX91" s="156"/>
      <c r="AY91" s="154"/>
      <c r="AZ91" s="473"/>
      <c r="BA91" s="156"/>
      <c r="BB91" s="156"/>
      <c r="BC91" s="156"/>
      <c r="BD91" s="156"/>
      <c r="BE91" s="156"/>
      <c r="BF91" s="156"/>
      <c r="BG91" s="156"/>
      <c r="BH91" s="156"/>
    </row>
    <row r="92">
      <c r="A92" s="154"/>
      <c r="B92" s="473"/>
      <c r="C92" s="156"/>
      <c r="D92" s="156"/>
      <c r="E92" s="156"/>
      <c r="F92" s="154"/>
      <c r="G92" s="473"/>
      <c r="H92" s="156"/>
      <c r="I92" s="156"/>
      <c r="J92" s="156"/>
      <c r="K92" s="132"/>
      <c r="L92" s="473"/>
      <c r="M92" s="156"/>
      <c r="N92" s="156"/>
      <c r="O92" s="156"/>
      <c r="P92" s="132"/>
      <c r="Q92" s="487"/>
      <c r="R92" s="156"/>
      <c r="S92" s="156"/>
      <c r="T92" s="156"/>
      <c r="U92" s="154"/>
      <c r="V92" s="473"/>
      <c r="W92" s="156"/>
      <c r="X92" s="156"/>
      <c r="Y92" s="156"/>
      <c r="Z92" s="154"/>
      <c r="AA92" s="473"/>
      <c r="AB92" s="156"/>
      <c r="AC92" s="156"/>
      <c r="AD92" s="156"/>
      <c r="AE92" s="154"/>
      <c r="AF92" s="473"/>
      <c r="AG92" s="156"/>
      <c r="AH92" s="156"/>
      <c r="AI92" s="156"/>
      <c r="AJ92" s="154"/>
      <c r="AK92" s="473"/>
      <c r="AL92" s="156"/>
      <c r="AM92" s="156"/>
      <c r="AN92" s="156"/>
      <c r="AO92" s="154"/>
      <c r="AP92" s="473"/>
      <c r="AQ92" s="156"/>
      <c r="AR92" s="156"/>
      <c r="AS92" s="156"/>
      <c r="AT92" s="156"/>
      <c r="AU92" s="156"/>
      <c r="AV92" s="156"/>
      <c r="AW92" s="156"/>
      <c r="AX92" s="156"/>
      <c r="AY92" s="154"/>
      <c r="AZ92" s="473"/>
      <c r="BA92" s="156"/>
      <c r="BB92" s="156"/>
      <c r="BC92" s="156"/>
      <c r="BD92" s="156"/>
      <c r="BE92" s="156"/>
      <c r="BF92" s="156"/>
      <c r="BG92" s="156"/>
      <c r="BH92" s="156"/>
    </row>
    <row r="93">
      <c r="A93" s="154"/>
      <c r="B93" s="473"/>
      <c r="C93" s="156"/>
      <c r="D93" s="156"/>
      <c r="E93" s="156"/>
      <c r="F93" s="154"/>
      <c r="G93" s="473"/>
      <c r="H93" s="156"/>
      <c r="I93" s="156"/>
      <c r="J93" s="156"/>
      <c r="K93" s="132"/>
      <c r="L93" s="473"/>
      <c r="M93" s="156"/>
      <c r="N93" s="156"/>
      <c r="O93" s="156"/>
      <c r="P93" s="132"/>
      <c r="Q93" s="487"/>
      <c r="R93" s="156"/>
      <c r="S93" s="156"/>
      <c r="T93" s="156"/>
      <c r="U93" s="154"/>
      <c r="V93" s="473"/>
      <c r="W93" s="156"/>
      <c r="X93" s="156"/>
      <c r="Y93" s="156"/>
      <c r="Z93" s="154"/>
      <c r="AA93" s="473"/>
      <c r="AB93" s="156"/>
      <c r="AC93" s="156"/>
      <c r="AD93" s="156"/>
      <c r="AE93" s="154"/>
      <c r="AF93" s="473"/>
      <c r="AG93" s="156"/>
      <c r="AH93" s="156"/>
      <c r="AI93" s="156"/>
      <c r="AJ93" s="154"/>
      <c r="AK93" s="473"/>
      <c r="AL93" s="156"/>
      <c r="AM93" s="156"/>
      <c r="AN93" s="156"/>
      <c r="AO93" s="154"/>
      <c r="AP93" s="473"/>
      <c r="AQ93" s="156"/>
      <c r="AR93" s="156"/>
      <c r="AS93" s="156"/>
      <c r="AT93" s="156"/>
      <c r="AU93" s="156"/>
      <c r="AV93" s="156"/>
      <c r="AW93" s="156"/>
      <c r="AX93" s="156"/>
      <c r="AY93" s="154"/>
      <c r="AZ93" s="473"/>
      <c r="BA93" s="156"/>
      <c r="BB93" s="156"/>
      <c r="BC93" s="156"/>
      <c r="BD93" s="156"/>
      <c r="BE93" s="156"/>
      <c r="BF93" s="156"/>
      <c r="BG93" s="156"/>
      <c r="BH93" s="156"/>
    </row>
    <row r="94">
      <c r="A94" s="154"/>
      <c r="B94" s="473"/>
      <c r="C94" s="156"/>
      <c r="D94" s="156"/>
      <c r="E94" s="156"/>
      <c r="F94" s="154"/>
      <c r="G94" s="473"/>
      <c r="H94" s="156"/>
      <c r="I94" s="156"/>
      <c r="J94" s="156"/>
      <c r="K94" s="132"/>
      <c r="L94" s="473"/>
      <c r="M94" s="156"/>
      <c r="N94" s="156"/>
      <c r="O94" s="156"/>
      <c r="P94" s="132"/>
      <c r="Q94" s="487"/>
      <c r="R94" s="156"/>
      <c r="S94" s="156"/>
      <c r="T94" s="156"/>
      <c r="U94" s="154"/>
      <c r="V94" s="473"/>
      <c r="W94" s="156"/>
      <c r="X94" s="156"/>
      <c r="Y94" s="156"/>
      <c r="Z94" s="154"/>
      <c r="AA94" s="473"/>
      <c r="AB94" s="156"/>
      <c r="AC94" s="156"/>
      <c r="AD94" s="156"/>
      <c r="AE94" s="154"/>
      <c r="AF94" s="473"/>
      <c r="AG94" s="156"/>
      <c r="AH94" s="156"/>
      <c r="AI94" s="156"/>
      <c r="AJ94" s="154"/>
      <c r="AK94" s="473"/>
      <c r="AL94" s="156"/>
      <c r="AM94" s="156"/>
      <c r="AN94" s="156"/>
      <c r="AO94" s="154"/>
      <c r="AP94" s="473"/>
      <c r="AQ94" s="156"/>
      <c r="AR94" s="156"/>
      <c r="AS94" s="156"/>
      <c r="AT94" s="156"/>
      <c r="AU94" s="156"/>
      <c r="AV94" s="156"/>
      <c r="AW94" s="156"/>
      <c r="AX94" s="156"/>
      <c r="AY94" s="154"/>
      <c r="AZ94" s="473"/>
      <c r="BA94" s="156"/>
      <c r="BB94" s="156"/>
      <c r="BC94" s="156"/>
      <c r="BD94" s="156"/>
      <c r="BE94" s="156"/>
      <c r="BF94" s="156"/>
      <c r="BG94" s="156"/>
      <c r="BH94" s="156"/>
    </row>
    <row r="95">
      <c r="A95" s="154"/>
      <c r="B95" s="473"/>
      <c r="C95" s="156"/>
      <c r="D95" s="156"/>
      <c r="E95" s="156"/>
      <c r="F95" s="154"/>
      <c r="G95" s="473"/>
      <c r="H95" s="156"/>
      <c r="I95" s="156"/>
      <c r="J95" s="156"/>
      <c r="K95" s="132"/>
      <c r="L95" s="473"/>
      <c r="M95" s="156"/>
      <c r="N95" s="156"/>
      <c r="O95" s="156"/>
      <c r="P95" s="132"/>
      <c r="Q95" s="487"/>
      <c r="R95" s="156"/>
      <c r="S95" s="156"/>
      <c r="T95" s="156"/>
      <c r="U95" s="154"/>
      <c r="V95" s="473"/>
      <c r="W95" s="156"/>
      <c r="X95" s="156"/>
      <c r="Y95" s="156"/>
      <c r="Z95" s="154"/>
      <c r="AA95" s="473"/>
      <c r="AB95" s="156"/>
      <c r="AC95" s="156"/>
      <c r="AD95" s="156"/>
      <c r="AE95" s="154"/>
      <c r="AF95" s="473"/>
      <c r="AG95" s="156"/>
      <c r="AH95" s="156"/>
      <c r="AI95" s="156"/>
      <c r="AJ95" s="154"/>
      <c r="AK95" s="473"/>
      <c r="AL95" s="156"/>
      <c r="AM95" s="156"/>
      <c r="AN95" s="156"/>
      <c r="AO95" s="154"/>
      <c r="AP95" s="473"/>
      <c r="AQ95" s="156"/>
      <c r="AR95" s="156"/>
      <c r="AS95" s="156"/>
      <c r="AT95" s="156"/>
      <c r="AU95" s="156"/>
      <c r="AV95" s="156"/>
      <c r="AW95" s="156"/>
      <c r="AX95" s="156"/>
      <c r="AY95" s="154"/>
      <c r="AZ95" s="473"/>
      <c r="BA95" s="156"/>
      <c r="BB95" s="156"/>
      <c r="BC95" s="156"/>
      <c r="BD95" s="156"/>
      <c r="BE95" s="156"/>
      <c r="BF95" s="156"/>
      <c r="BG95" s="156"/>
      <c r="BH95" s="156"/>
    </row>
    <row r="96">
      <c r="A96" s="154"/>
      <c r="B96" s="473"/>
      <c r="C96" s="156"/>
      <c r="D96" s="156"/>
      <c r="E96" s="156"/>
      <c r="F96" s="154"/>
      <c r="G96" s="473"/>
      <c r="H96" s="156"/>
      <c r="I96" s="156"/>
      <c r="J96" s="156"/>
      <c r="K96" s="132"/>
      <c r="L96" s="473"/>
      <c r="M96" s="156"/>
      <c r="N96" s="156"/>
      <c r="O96" s="156"/>
      <c r="P96" s="132"/>
      <c r="Q96" s="487"/>
      <c r="R96" s="156"/>
      <c r="S96" s="156"/>
      <c r="T96" s="156"/>
      <c r="U96" s="154"/>
      <c r="V96" s="473"/>
      <c r="W96" s="156"/>
      <c r="X96" s="156"/>
      <c r="Y96" s="156"/>
      <c r="Z96" s="154"/>
      <c r="AA96" s="473"/>
      <c r="AB96" s="156"/>
      <c r="AC96" s="156"/>
      <c r="AD96" s="156"/>
      <c r="AE96" s="154"/>
      <c r="AF96" s="473"/>
      <c r="AG96" s="156"/>
      <c r="AH96" s="156"/>
      <c r="AI96" s="156"/>
      <c r="AJ96" s="154"/>
      <c r="AK96" s="473"/>
      <c r="AL96" s="156"/>
      <c r="AM96" s="156"/>
      <c r="AN96" s="156"/>
      <c r="AO96" s="154"/>
      <c r="AP96" s="473"/>
      <c r="AQ96" s="156"/>
      <c r="AR96" s="156"/>
      <c r="AS96" s="156"/>
      <c r="AT96" s="156"/>
      <c r="AU96" s="156"/>
      <c r="AV96" s="156"/>
      <c r="AW96" s="156"/>
      <c r="AX96" s="156"/>
      <c r="AY96" s="154"/>
      <c r="AZ96" s="473"/>
      <c r="BA96" s="156"/>
      <c r="BB96" s="156"/>
      <c r="BC96" s="156"/>
      <c r="BD96" s="156"/>
      <c r="BE96" s="156"/>
      <c r="BF96" s="156"/>
      <c r="BG96" s="156"/>
      <c r="BH96" s="156"/>
    </row>
    <row r="97">
      <c r="A97" s="154"/>
      <c r="B97" s="473"/>
      <c r="C97" s="156"/>
      <c r="D97" s="156"/>
      <c r="E97" s="156"/>
      <c r="F97" s="154"/>
      <c r="G97" s="473"/>
      <c r="H97" s="156"/>
      <c r="I97" s="156"/>
      <c r="J97" s="156"/>
      <c r="K97" s="132"/>
      <c r="L97" s="473"/>
      <c r="M97" s="156"/>
      <c r="N97" s="156"/>
      <c r="O97" s="156"/>
      <c r="P97" s="132"/>
      <c r="Q97" s="487"/>
      <c r="R97" s="156"/>
      <c r="S97" s="156"/>
      <c r="T97" s="156"/>
      <c r="U97" s="154"/>
      <c r="V97" s="473"/>
      <c r="W97" s="156"/>
      <c r="X97" s="156"/>
      <c r="Y97" s="156"/>
      <c r="Z97" s="154"/>
      <c r="AA97" s="473"/>
      <c r="AB97" s="156"/>
      <c r="AC97" s="156"/>
      <c r="AD97" s="156"/>
      <c r="AE97" s="154"/>
      <c r="AF97" s="473"/>
      <c r="AG97" s="156"/>
      <c r="AH97" s="156"/>
      <c r="AI97" s="156"/>
      <c r="AJ97" s="154"/>
      <c r="AK97" s="473"/>
      <c r="AL97" s="156"/>
      <c r="AM97" s="156"/>
      <c r="AN97" s="156"/>
      <c r="AO97" s="154"/>
      <c r="AP97" s="473"/>
      <c r="AQ97" s="156"/>
      <c r="AR97" s="156"/>
      <c r="AS97" s="156"/>
      <c r="AT97" s="156"/>
      <c r="AU97" s="156"/>
      <c r="AV97" s="156"/>
      <c r="AW97" s="156"/>
      <c r="AX97" s="156"/>
      <c r="AY97" s="154"/>
      <c r="AZ97" s="473"/>
      <c r="BA97" s="156"/>
      <c r="BB97" s="156"/>
      <c r="BC97" s="156"/>
      <c r="BD97" s="156"/>
      <c r="BE97" s="156"/>
      <c r="BF97" s="156"/>
      <c r="BG97" s="156"/>
      <c r="BH97" s="156"/>
    </row>
    <row r="98">
      <c r="A98" s="154"/>
      <c r="B98" s="473"/>
      <c r="C98" s="156"/>
      <c r="D98" s="156"/>
      <c r="E98" s="156"/>
      <c r="F98" s="154"/>
      <c r="G98" s="473"/>
      <c r="H98" s="156"/>
      <c r="I98" s="156"/>
      <c r="J98" s="156"/>
      <c r="K98" s="132"/>
      <c r="L98" s="473"/>
      <c r="M98" s="156"/>
      <c r="N98" s="156"/>
      <c r="O98" s="156"/>
      <c r="P98" s="132"/>
      <c r="Q98" s="487"/>
      <c r="R98" s="156"/>
      <c r="S98" s="156"/>
      <c r="T98" s="156"/>
      <c r="U98" s="154"/>
      <c r="V98" s="473"/>
      <c r="W98" s="156"/>
      <c r="X98" s="156"/>
      <c r="Y98" s="156"/>
      <c r="Z98" s="154"/>
      <c r="AA98" s="473"/>
      <c r="AB98" s="156"/>
      <c r="AC98" s="156"/>
      <c r="AD98" s="156"/>
      <c r="AE98" s="154"/>
      <c r="AF98" s="473"/>
      <c r="AG98" s="156"/>
      <c r="AH98" s="156"/>
      <c r="AI98" s="156"/>
      <c r="AJ98" s="154"/>
      <c r="AK98" s="473"/>
      <c r="AL98" s="156"/>
      <c r="AM98" s="156"/>
      <c r="AN98" s="156"/>
      <c r="AO98" s="154"/>
      <c r="AP98" s="473"/>
      <c r="AQ98" s="156"/>
      <c r="AR98" s="156"/>
      <c r="AS98" s="156"/>
      <c r="AT98" s="156"/>
      <c r="AU98" s="156"/>
      <c r="AV98" s="156"/>
      <c r="AW98" s="156"/>
      <c r="AX98" s="156"/>
      <c r="AY98" s="154"/>
      <c r="AZ98" s="473"/>
      <c r="BA98" s="156"/>
      <c r="BB98" s="156"/>
      <c r="BC98" s="156"/>
      <c r="BD98" s="156"/>
      <c r="BE98" s="156"/>
      <c r="BF98" s="156"/>
      <c r="BG98" s="156"/>
      <c r="BH98" s="156"/>
    </row>
    <row r="99">
      <c r="A99" s="154"/>
      <c r="B99" s="473"/>
      <c r="C99" s="156"/>
      <c r="D99" s="156"/>
      <c r="E99" s="156"/>
      <c r="F99" s="154"/>
      <c r="G99" s="473"/>
      <c r="H99" s="156"/>
      <c r="I99" s="156"/>
      <c r="J99" s="156"/>
      <c r="K99" s="132"/>
      <c r="L99" s="473"/>
      <c r="M99" s="156"/>
      <c r="N99" s="156"/>
      <c r="O99" s="156"/>
      <c r="P99" s="132"/>
      <c r="Q99" s="487"/>
      <c r="R99" s="156"/>
      <c r="S99" s="156"/>
      <c r="T99" s="156"/>
      <c r="U99" s="154"/>
      <c r="V99" s="473"/>
      <c r="W99" s="156"/>
      <c r="X99" s="156"/>
      <c r="Y99" s="156"/>
      <c r="Z99" s="154"/>
      <c r="AA99" s="473"/>
      <c r="AB99" s="156"/>
      <c r="AC99" s="156"/>
      <c r="AD99" s="156"/>
      <c r="AE99" s="154"/>
      <c r="AF99" s="473"/>
      <c r="AG99" s="156"/>
      <c r="AH99" s="156"/>
      <c r="AI99" s="156"/>
      <c r="AJ99" s="154"/>
      <c r="AK99" s="473"/>
      <c r="AL99" s="156"/>
      <c r="AM99" s="156"/>
      <c r="AN99" s="156"/>
      <c r="AO99" s="154"/>
      <c r="AP99" s="473"/>
      <c r="AQ99" s="156"/>
      <c r="AR99" s="156"/>
      <c r="AS99" s="156"/>
      <c r="AT99" s="156"/>
      <c r="AU99" s="156"/>
      <c r="AV99" s="156"/>
      <c r="AW99" s="156"/>
      <c r="AX99" s="156"/>
      <c r="AY99" s="154"/>
      <c r="AZ99" s="473"/>
      <c r="BA99" s="156"/>
      <c r="BB99" s="156"/>
      <c r="BC99" s="156"/>
      <c r="BD99" s="156"/>
      <c r="BE99" s="156"/>
      <c r="BF99" s="156"/>
      <c r="BG99" s="156"/>
      <c r="BH99" s="156"/>
    </row>
    <row r="100">
      <c r="A100" s="154"/>
      <c r="B100" s="473"/>
      <c r="C100" s="156"/>
      <c r="D100" s="156"/>
      <c r="E100" s="156"/>
      <c r="F100" s="154"/>
      <c r="G100" s="473"/>
      <c r="H100" s="156"/>
      <c r="I100" s="156"/>
      <c r="J100" s="156"/>
      <c r="K100" s="132"/>
      <c r="L100" s="473"/>
      <c r="M100" s="156"/>
      <c r="N100" s="156"/>
      <c r="O100" s="156"/>
      <c r="P100" s="132"/>
      <c r="Q100" s="487"/>
      <c r="R100" s="156"/>
      <c r="S100" s="156"/>
      <c r="T100" s="156"/>
      <c r="U100" s="154"/>
      <c r="V100" s="473"/>
      <c r="W100" s="156"/>
      <c r="X100" s="156"/>
      <c r="Y100" s="156"/>
      <c r="Z100" s="154"/>
      <c r="AA100" s="473"/>
      <c r="AB100" s="156"/>
      <c r="AC100" s="156"/>
      <c r="AD100" s="156"/>
      <c r="AE100" s="154"/>
      <c r="AF100" s="473"/>
      <c r="AG100" s="156"/>
      <c r="AH100" s="156"/>
      <c r="AI100" s="156"/>
      <c r="AJ100" s="154"/>
      <c r="AK100" s="473"/>
      <c r="AL100" s="156"/>
      <c r="AM100" s="156"/>
      <c r="AN100" s="156"/>
      <c r="AO100" s="154"/>
      <c r="AP100" s="473"/>
      <c r="AQ100" s="156"/>
      <c r="AR100" s="156"/>
      <c r="AS100" s="156"/>
      <c r="AT100" s="156"/>
      <c r="AU100" s="156"/>
      <c r="AV100" s="156"/>
      <c r="AW100" s="156"/>
      <c r="AX100" s="156"/>
      <c r="AY100" s="154"/>
      <c r="AZ100" s="473"/>
      <c r="BA100" s="156"/>
      <c r="BB100" s="156"/>
      <c r="BC100" s="156"/>
      <c r="BD100" s="156"/>
      <c r="BE100" s="156"/>
      <c r="BF100" s="156"/>
      <c r="BG100" s="156"/>
      <c r="BH100" s="156"/>
    </row>
    <row r="101">
      <c r="A101" s="154"/>
      <c r="B101" s="473"/>
      <c r="C101" s="156"/>
      <c r="D101" s="156"/>
      <c r="E101" s="156"/>
      <c r="F101" s="154"/>
      <c r="G101" s="473"/>
      <c r="H101" s="156"/>
      <c r="I101" s="156"/>
      <c r="J101" s="156"/>
      <c r="K101" s="132"/>
      <c r="L101" s="473"/>
      <c r="M101" s="156"/>
      <c r="N101" s="156"/>
      <c r="O101" s="156"/>
      <c r="P101" s="132"/>
      <c r="Q101" s="487"/>
      <c r="R101" s="156"/>
      <c r="S101" s="156"/>
      <c r="T101" s="156"/>
      <c r="U101" s="154"/>
      <c r="V101" s="473"/>
      <c r="W101" s="156"/>
      <c r="X101" s="156"/>
      <c r="Y101" s="156"/>
      <c r="Z101" s="154"/>
      <c r="AA101" s="473"/>
      <c r="AB101" s="156"/>
      <c r="AC101" s="156"/>
      <c r="AD101" s="156"/>
      <c r="AE101" s="154"/>
      <c r="AF101" s="473"/>
      <c r="AG101" s="156"/>
      <c r="AH101" s="156"/>
      <c r="AI101" s="156"/>
      <c r="AJ101" s="154"/>
      <c r="AK101" s="473"/>
      <c r="AL101" s="156"/>
      <c r="AM101" s="156"/>
      <c r="AN101" s="156"/>
      <c r="AO101" s="154"/>
      <c r="AP101" s="473"/>
      <c r="AQ101" s="156"/>
      <c r="AR101" s="156"/>
      <c r="AS101" s="156"/>
      <c r="AT101" s="156"/>
      <c r="AU101" s="156"/>
      <c r="AV101" s="156"/>
      <c r="AW101" s="156"/>
      <c r="AX101" s="156"/>
      <c r="AY101" s="154"/>
      <c r="AZ101" s="473"/>
      <c r="BA101" s="156"/>
      <c r="BB101" s="156"/>
      <c r="BC101" s="156"/>
      <c r="BD101" s="156"/>
      <c r="BE101" s="156"/>
      <c r="BF101" s="156"/>
      <c r="BG101" s="156"/>
      <c r="BH101" s="156"/>
    </row>
    <row r="102">
      <c r="A102" s="154"/>
      <c r="B102" s="473"/>
      <c r="C102" s="156"/>
      <c r="D102" s="156"/>
      <c r="E102" s="156"/>
      <c r="F102" s="154"/>
      <c r="G102" s="473"/>
      <c r="H102" s="156"/>
      <c r="I102" s="156"/>
      <c r="J102" s="156"/>
      <c r="K102" s="132"/>
      <c r="L102" s="473"/>
      <c r="M102" s="156"/>
      <c r="N102" s="156"/>
      <c r="O102" s="156"/>
      <c r="P102" s="132"/>
      <c r="Q102" s="487"/>
      <c r="R102" s="156"/>
      <c r="S102" s="156"/>
      <c r="T102" s="156"/>
      <c r="U102" s="154"/>
      <c r="V102" s="473"/>
      <c r="W102" s="156"/>
      <c r="X102" s="156"/>
      <c r="Y102" s="156"/>
      <c r="Z102" s="154"/>
      <c r="AA102" s="473"/>
      <c r="AB102" s="156"/>
      <c r="AC102" s="156"/>
      <c r="AD102" s="156"/>
      <c r="AE102" s="154"/>
      <c r="AF102" s="473"/>
      <c r="AG102" s="156"/>
      <c r="AH102" s="156"/>
      <c r="AI102" s="156"/>
      <c r="AJ102" s="154"/>
      <c r="AK102" s="473"/>
      <c r="AL102" s="156"/>
      <c r="AM102" s="156"/>
      <c r="AN102" s="156"/>
      <c r="AO102" s="154"/>
      <c r="AP102" s="473"/>
      <c r="AQ102" s="156"/>
      <c r="AR102" s="156"/>
      <c r="AS102" s="156"/>
      <c r="AT102" s="156"/>
      <c r="AU102" s="156"/>
      <c r="AV102" s="156"/>
      <c r="AW102" s="156"/>
      <c r="AX102" s="156"/>
      <c r="AY102" s="154"/>
      <c r="AZ102" s="473"/>
      <c r="BA102" s="156"/>
      <c r="BB102" s="156"/>
      <c r="BC102" s="156"/>
      <c r="BD102" s="156"/>
      <c r="BE102" s="156"/>
      <c r="BF102" s="156"/>
      <c r="BG102" s="156"/>
      <c r="BH102" s="156"/>
    </row>
    <row r="103">
      <c r="A103" s="154"/>
      <c r="B103" s="473"/>
      <c r="C103" s="156"/>
      <c r="D103" s="156"/>
      <c r="E103" s="156"/>
      <c r="F103" s="154"/>
      <c r="G103" s="473"/>
      <c r="H103" s="156"/>
      <c r="I103" s="156"/>
      <c r="J103" s="156"/>
      <c r="K103" s="132"/>
      <c r="L103" s="473"/>
      <c r="M103" s="156"/>
      <c r="N103" s="156"/>
      <c r="O103" s="156"/>
      <c r="P103" s="132"/>
      <c r="Q103" s="487"/>
      <c r="R103" s="156"/>
      <c r="S103" s="156"/>
      <c r="T103" s="156"/>
      <c r="U103" s="154"/>
      <c r="V103" s="473"/>
      <c r="W103" s="156"/>
      <c r="X103" s="156"/>
      <c r="Y103" s="156"/>
      <c r="Z103" s="154"/>
      <c r="AA103" s="473"/>
      <c r="AB103" s="156"/>
      <c r="AC103" s="156"/>
      <c r="AD103" s="156"/>
      <c r="AE103" s="154"/>
      <c r="AF103" s="473"/>
      <c r="AG103" s="156"/>
      <c r="AH103" s="156"/>
      <c r="AI103" s="156"/>
      <c r="AJ103" s="154"/>
      <c r="AK103" s="473"/>
      <c r="AL103" s="156"/>
      <c r="AM103" s="156"/>
      <c r="AN103" s="156"/>
      <c r="AO103" s="154"/>
      <c r="AP103" s="473"/>
      <c r="AQ103" s="156"/>
      <c r="AR103" s="156"/>
      <c r="AS103" s="156"/>
      <c r="AT103" s="156"/>
      <c r="AU103" s="156"/>
      <c r="AV103" s="156"/>
      <c r="AW103" s="156"/>
      <c r="AX103" s="156"/>
      <c r="AY103" s="154"/>
      <c r="AZ103" s="473"/>
      <c r="BA103" s="156"/>
      <c r="BB103" s="156"/>
      <c r="BC103" s="156"/>
      <c r="BD103" s="156"/>
      <c r="BE103" s="156"/>
      <c r="BF103" s="156"/>
      <c r="BG103" s="156"/>
      <c r="BH103" s="156"/>
    </row>
    <row r="104">
      <c r="A104" s="154"/>
      <c r="B104" s="473"/>
      <c r="C104" s="156"/>
      <c r="D104" s="156"/>
      <c r="E104" s="156"/>
      <c r="F104" s="154"/>
      <c r="G104" s="473"/>
      <c r="H104" s="156"/>
      <c r="I104" s="156"/>
      <c r="J104" s="156"/>
      <c r="K104" s="132"/>
      <c r="L104" s="473"/>
      <c r="M104" s="156"/>
      <c r="N104" s="156"/>
      <c r="O104" s="156"/>
      <c r="P104" s="132"/>
      <c r="Q104" s="487"/>
      <c r="R104" s="156"/>
      <c r="S104" s="156"/>
      <c r="T104" s="156"/>
      <c r="U104" s="154"/>
      <c r="V104" s="473"/>
      <c r="W104" s="156"/>
      <c r="X104" s="156"/>
      <c r="Y104" s="156"/>
      <c r="Z104" s="154"/>
      <c r="AA104" s="473"/>
      <c r="AB104" s="156"/>
      <c r="AC104" s="156"/>
      <c r="AD104" s="156"/>
      <c r="AE104" s="154"/>
      <c r="AF104" s="473"/>
      <c r="AG104" s="156"/>
      <c r="AH104" s="156"/>
      <c r="AI104" s="156"/>
      <c r="AJ104" s="154"/>
      <c r="AK104" s="473"/>
      <c r="AL104" s="156"/>
      <c r="AM104" s="156"/>
      <c r="AN104" s="156"/>
      <c r="AO104" s="154"/>
      <c r="AP104" s="473"/>
      <c r="AQ104" s="156"/>
      <c r="AR104" s="156"/>
      <c r="AS104" s="156"/>
      <c r="AT104" s="156"/>
      <c r="AU104" s="156"/>
      <c r="AV104" s="156"/>
      <c r="AW104" s="156"/>
      <c r="AX104" s="156"/>
      <c r="AY104" s="154"/>
      <c r="AZ104" s="473"/>
      <c r="BA104" s="156"/>
      <c r="BB104" s="156"/>
      <c r="BC104" s="156"/>
      <c r="BD104" s="156"/>
      <c r="BE104" s="156"/>
      <c r="BF104" s="156"/>
      <c r="BG104" s="156"/>
      <c r="BH104" s="156"/>
    </row>
    <row r="105">
      <c r="A105" s="154"/>
      <c r="B105" s="473"/>
      <c r="C105" s="156"/>
      <c r="D105" s="156"/>
      <c r="E105" s="156"/>
      <c r="F105" s="154"/>
      <c r="G105" s="473"/>
      <c r="H105" s="156"/>
      <c r="I105" s="156"/>
      <c r="J105" s="156"/>
      <c r="K105" s="132"/>
      <c r="L105" s="473"/>
      <c r="M105" s="156"/>
      <c r="N105" s="156"/>
      <c r="O105" s="156"/>
      <c r="P105" s="132"/>
      <c r="Q105" s="487"/>
      <c r="R105" s="156"/>
      <c r="S105" s="156"/>
      <c r="T105" s="156"/>
      <c r="U105" s="154"/>
      <c r="V105" s="473"/>
      <c r="W105" s="156"/>
      <c r="X105" s="156"/>
      <c r="Y105" s="156"/>
      <c r="Z105" s="154"/>
      <c r="AA105" s="473"/>
      <c r="AB105" s="156"/>
      <c r="AC105" s="156"/>
      <c r="AD105" s="156"/>
      <c r="AE105" s="154"/>
      <c r="AF105" s="473"/>
      <c r="AG105" s="156"/>
      <c r="AH105" s="156"/>
      <c r="AI105" s="156"/>
      <c r="AJ105" s="154"/>
      <c r="AK105" s="473"/>
      <c r="AL105" s="156"/>
      <c r="AM105" s="156"/>
      <c r="AN105" s="156"/>
      <c r="AO105" s="154"/>
      <c r="AP105" s="473"/>
      <c r="AQ105" s="156"/>
      <c r="AR105" s="156"/>
      <c r="AS105" s="156"/>
      <c r="AT105" s="156"/>
      <c r="AU105" s="156"/>
      <c r="AV105" s="156"/>
      <c r="AW105" s="156"/>
      <c r="AX105" s="156"/>
      <c r="AY105" s="154"/>
      <c r="AZ105" s="473"/>
      <c r="BA105" s="156"/>
      <c r="BB105" s="156"/>
      <c r="BC105" s="156"/>
      <c r="BD105" s="156"/>
      <c r="BE105" s="156"/>
      <c r="BF105" s="156"/>
      <c r="BG105" s="156"/>
      <c r="BH105" s="156"/>
    </row>
    <row r="106">
      <c r="A106" s="154"/>
      <c r="B106" s="473"/>
      <c r="C106" s="156"/>
      <c r="D106" s="156"/>
      <c r="E106" s="156"/>
      <c r="F106" s="154"/>
      <c r="G106" s="473"/>
      <c r="H106" s="156"/>
      <c r="I106" s="156"/>
      <c r="J106" s="156"/>
      <c r="K106" s="132"/>
      <c r="L106" s="473"/>
      <c r="M106" s="156"/>
      <c r="N106" s="156"/>
      <c r="O106" s="156"/>
      <c r="P106" s="132"/>
      <c r="Q106" s="487"/>
      <c r="R106" s="156"/>
      <c r="S106" s="156"/>
      <c r="T106" s="156"/>
      <c r="U106" s="154"/>
      <c r="V106" s="473"/>
      <c r="W106" s="156"/>
      <c r="X106" s="156"/>
      <c r="Y106" s="156"/>
      <c r="Z106" s="154"/>
      <c r="AA106" s="473"/>
      <c r="AB106" s="156"/>
      <c r="AC106" s="156"/>
      <c r="AD106" s="156"/>
      <c r="AE106" s="154"/>
      <c r="AF106" s="473"/>
      <c r="AG106" s="156"/>
      <c r="AH106" s="156"/>
      <c r="AI106" s="156"/>
      <c r="AJ106" s="154"/>
      <c r="AK106" s="473"/>
      <c r="AL106" s="156"/>
      <c r="AM106" s="156"/>
      <c r="AN106" s="156"/>
      <c r="AO106" s="154"/>
      <c r="AP106" s="473"/>
      <c r="AQ106" s="156"/>
      <c r="AR106" s="156"/>
      <c r="AS106" s="156"/>
      <c r="AT106" s="156"/>
      <c r="AU106" s="156"/>
      <c r="AV106" s="156"/>
      <c r="AW106" s="156"/>
      <c r="AX106" s="156"/>
      <c r="AY106" s="154"/>
      <c r="AZ106" s="473"/>
      <c r="BA106" s="156"/>
      <c r="BB106" s="156"/>
      <c r="BC106" s="156"/>
      <c r="BD106" s="156"/>
      <c r="BE106" s="156"/>
      <c r="BF106" s="156"/>
      <c r="BG106" s="156"/>
      <c r="BH106" s="156"/>
    </row>
    <row r="107">
      <c r="A107" s="154"/>
      <c r="B107" s="473"/>
      <c r="C107" s="156"/>
      <c r="D107" s="156"/>
      <c r="E107" s="156"/>
      <c r="F107" s="154"/>
      <c r="G107" s="473"/>
      <c r="H107" s="156"/>
      <c r="I107" s="156"/>
      <c r="J107" s="156"/>
      <c r="K107" s="132"/>
      <c r="L107" s="473"/>
      <c r="M107" s="156"/>
      <c r="N107" s="156"/>
      <c r="O107" s="156"/>
      <c r="P107" s="132"/>
      <c r="Q107" s="487"/>
      <c r="R107" s="156"/>
      <c r="S107" s="156"/>
      <c r="T107" s="156"/>
      <c r="U107" s="154"/>
      <c r="V107" s="473"/>
      <c r="W107" s="156"/>
      <c r="X107" s="156"/>
      <c r="Y107" s="156"/>
      <c r="Z107" s="154"/>
      <c r="AA107" s="473"/>
      <c r="AB107" s="156"/>
      <c r="AC107" s="156"/>
      <c r="AD107" s="156"/>
      <c r="AE107" s="154"/>
      <c r="AF107" s="473"/>
      <c r="AG107" s="156"/>
      <c r="AH107" s="156"/>
      <c r="AI107" s="156"/>
      <c r="AJ107" s="154"/>
      <c r="AK107" s="473"/>
      <c r="AL107" s="156"/>
      <c r="AM107" s="156"/>
      <c r="AN107" s="156"/>
      <c r="AO107" s="154"/>
      <c r="AP107" s="473"/>
      <c r="AQ107" s="156"/>
      <c r="AR107" s="156"/>
      <c r="AS107" s="156"/>
      <c r="AT107" s="156"/>
      <c r="AU107" s="156"/>
      <c r="AV107" s="156"/>
      <c r="AW107" s="156"/>
      <c r="AX107" s="156"/>
      <c r="AY107" s="154"/>
      <c r="AZ107" s="473"/>
      <c r="BA107" s="156"/>
      <c r="BB107" s="156"/>
      <c r="BC107" s="156"/>
      <c r="BD107" s="156"/>
      <c r="BE107" s="156"/>
      <c r="BF107" s="156"/>
      <c r="BG107" s="156"/>
      <c r="BH107" s="156"/>
    </row>
    <row r="108">
      <c r="A108" s="154"/>
      <c r="B108" s="473"/>
      <c r="C108" s="156"/>
      <c r="D108" s="156"/>
      <c r="E108" s="156"/>
      <c r="F108" s="154"/>
      <c r="G108" s="473"/>
      <c r="H108" s="156"/>
      <c r="I108" s="156"/>
      <c r="J108" s="156"/>
      <c r="K108" s="132"/>
      <c r="L108" s="473"/>
      <c r="M108" s="156"/>
      <c r="N108" s="156"/>
      <c r="O108" s="156"/>
      <c r="P108" s="132"/>
      <c r="Q108" s="487"/>
      <c r="R108" s="156"/>
      <c r="S108" s="156"/>
      <c r="T108" s="156"/>
      <c r="U108" s="154"/>
      <c r="V108" s="473"/>
      <c r="W108" s="156"/>
      <c r="X108" s="156"/>
      <c r="Y108" s="156"/>
      <c r="Z108" s="154"/>
      <c r="AA108" s="473"/>
      <c r="AB108" s="156"/>
      <c r="AC108" s="156"/>
      <c r="AD108" s="156"/>
      <c r="AE108" s="154"/>
      <c r="AF108" s="473"/>
      <c r="AG108" s="156"/>
      <c r="AH108" s="156"/>
      <c r="AI108" s="156"/>
      <c r="AJ108" s="154"/>
      <c r="AK108" s="473"/>
      <c r="AL108" s="156"/>
      <c r="AM108" s="156"/>
      <c r="AN108" s="156"/>
      <c r="AO108" s="154"/>
      <c r="AP108" s="473"/>
      <c r="AQ108" s="156"/>
      <c r="AR108" s="156"/>
      <c r="AS108" s="156"/>
      <c r="AT108" s="156"/>
      <c r="AU108" s="156"/>
      <c r="AV108" s="156"/>
      <c r="AW108" s="156"/>
      <c r="AX108" s="156"/>
      <c r="AY108" s="154"/>
      <c r="AZ108" s="473"/>
      <c r="BA108" s="156"/>
      <c r="BB108" s="156"/>
      <c r="BC108" s="156"/>
      <c r="BD108" s="156"/>
      <c r="BE108" s="156"/>
      <c r="BF108" s="156"/>
      <c r="BG108" s="156"/>
      <c r="BH108" s="156"/>
    </row>
    <row r="109">
      <c r="A109" s="154"/>
      <c r="B109" s="473"/>
      <c r="C109" s="156"/>
      <c r="D109" s="156"/>
      <c r="E109" s="156"/>
      <c r="F109" s="154"/>
      <c r="G109" s="473"/>
      <c r="H109" s="156"/>
      <c r="I109" s="156"/>
      <c r="J109" s="156"/>
      <c r="K109" s="132"/>
      <c r="L109" s="473"/>
      <c r="M109" s="156"/>
      <c r="N109" s="156"/>
      <c r="O109" s="156"/>
      <c r="P109" s="132"/>
      <c r="Q109" s="487"/>
      <c r="R109" s="156"/>
      <c r="S109" s="156"/>
      <c r="T109" s="156"/>
      <c r="U109" s="154"/>
      <c r="V109" s="473"/>
      <c r="W109" s="156"/>
      <c r="X109" s="156"/>
      <c r="Y109" s="156"/>
      <c r="Z109" s="154"/>
      <c r="AA109" s="473"/>
      <c r="AB109" s="156"/>
      <c r="AC109" s="156"/>
      <c r="AD109" s="156"/>
      <c r="AE109" s="154"/>
      <c r="AF109" s="473"/>
      <c r="AG109" s="156"/>
      <c r="AH109" s="156"/>
      <c r="AI109" s="156"/>
      <c r="AJ109" s="154"/>
      <c r="AK109" s="473"/>
      <c r="AL109" s="156"/>
      <c r="AM109" s="156"/>
      <c r="AN109" s="156"/>
      <c r="AO109" s="154"/>
      <c r="AP109" s="473"/>
      <c r="AQ109" s="156"/>
      <c r="AR109" s="156"/>
      <c r="AS109" s="156"/>
      <c r="AT109" s="156"/>
      <c r="AU109" s="156"/>
      <c r="AV109" s="156"/>
      <c r="AW109" s="156"/>
      <c r="AX109" s="156"/>
      <c r="AY109" s="154"/>
      <c r="AZ109" s="473"/>
      <c r="BA109" s="156"/>
      <c r="BB109" s="156"/>
      <c r="BC109" s="156"/>
      <c r="BD109" s="156"/>
      <c r="BE109" s="156"/>
      <c r="BF109" s="156"/>
      <c r="BG109" s="156"/>
      <c r="BH109" s="156"/>
    </row>
    <row r="110">
      <c r="A110" s="154"/>
      <c r="B110" s="473"/>
      <c r="C110" s="156"/>
      <c r="D110" s="156"/>
      <c r="E110" s="156"/>
      <c r="F110" s="154"/>
      <c r="G110" s="473"/>
      <c r="H110" s="156"/>
      <c r="I110" s="156"/>
      <c r="J110" s="156"/>
      <c r="K110" s="132"/>
      <c r="L110" s="473"/>
      <c r="M110" s="156"/>
      <c r="N110" s="156"/>
      <c r="O110" s="156"/>
      <c r="P110" s="132"/>
      <c r="Q110" s="487"/>
      <c r="R110" s="156"/>
      <c r="S110" s="156"/>
      <c r="T110" s="156"/>
      <c r="U110" s="154"/>
      <c r="V110" s="473"/>
      <c r="W110" s="156"/>
      <c r="X110" s="156"/>
      <c r="Y110" s="156"/>
      <c r="Z110" s="154"/>
      <c r="AA110" s="473"/>
      <c r="AB110" s="156"/>
      <c r="AC110" s="156"/>
      <c r="AD110" s="156"/>
      <c r="AE110" s="154"/>
      <c r="AF110" s="473"/>
      <c r="AG110" s="156"/>
      <c r="AH110" s="156"/>
      <c r="AI110" s="156"/>
      <c r="AJ110" s="154"/>
      <c r="AK110" s="473"/>
      <c r="AL110" s="156"/>
      <c r="AM110" s="156"/>
      <c r="AN110" s="156"/>
      <c r="AO110" s="154"/>
      <c r="AP110" s="473"/>
      <c r="AQ110" s="156"/>
      <c r="AR110" s="156"/>
      <c r="AS110" s="156"/>
      <c r="AT110" s="156"/>
      <c r="AU110" s="156"/>
      <c r="AV110" s="156"/>
      <c r="AW110" s="156"/>
      <c r="AX110" s="156"/>
      <c r="AY110" s="154"/>
      <c r="AZ110" s="473"/>
      <c r="BA110" s="156"/>
      <c r="BB110" s="156"/>
      <c r="BC110" s="156"/>
      <c r="BD110" s="156"/>
      <c r="BE110" s="156"/>
      <c r="BF110" s="156"/>
      <c r="BG110" s="156"/>
      <c r="BH110" s="156"/>
    </row>
    <row r="111">
      <c r="A111" s="154"/>
      <c r="B111" s="473"/>
      <c r="C111" s="156"/>
      <c r="D111" s="156"/>
      <c r="E111" s="156"/>
      <c r="F111" s="154"/>
      <c r="G111" s="473"/>
      <c r="H111" s="156"/>
      <c r="I111" s="156"/>
      <c r="J111" s="156"/>
      <c r="K111" s="132"/>
      <c r="L111" s="473"/>
      <c r="M111" s="156"/>
      <c r="N111" s="156"/>
      <c r="O111" s="156"/>
      <c r="P111" s="132"/>
      <c r="Q111" s="487"/>
      <c r="R111" s="156"/>
      <c r="S111" s="156"/>
      <c r="T111" s="156"/>
      <c r="U111" s="154"/>
      <c r="V111" s="473"/>
      <c r="W111" s="156"/>
      <c r="X111" s="156"/>
      <c r="Y111" s="156"/>
      <c r="Z111" s="154"/>
      <c r="AA111" s="473"/>
      <c r="AB111" s="156"/>
      <c r="AC111" s="156"/>
      <c r="AD111" s="156"/>
      <c r="AE111" s="154"/>
      <c r="AF111" s="473"/>
      <c r="AG111" s="156"/>
      <c r="AH111" s="156"/>
      <c r="AI111" s="156"/>
      <c r="AJ111" s="154"/>
      <c r="AK111" s="473"/>
      <c r="AL111" s="156"/>
      <c r="AM111" s="156"/>
      <c r="AN111" s="156"/>
      <c r="AO111" s="154"/>
      <c r="AP111" s="473"/>
      <c r="AQ111" s="156"/>
      <c r="AR111" s="156"/>
      <c r="AS111" s="156"/>
      <c r="AT111" s="156"/>
      <c r="AU111" s="156"/>
      <c r="AV111" s="156"/>
      <c r="AW111" s="156"/>
      <c r="AX111" s="156"/>
      <c r="AY111" s="154"/>
      <c r="AZ111" s="473"/>
      <c r="BA111" s="156"/>
      <c r="BB111" s="156"/>
      <c r="BC111" s="156"/>
      <c r="BD111" s="156"/>
      <c r="BE111" s="156"/>
      <c r="BF111" s="156"/>
      <c r="BG111" s="156"/>
      <c r="BH111" s="156"/>
    </row>
    <row r="112">
      <c r="A112" s="154"/>
      <c r="B112" s="473"/>
      <c r="C112" s="156"/>
      <c r="D112" s="156"/>
      <c r="E112" s="156"/>
      <c r="F112" s="154"/>
      <c r="G112" s="473"/>
      <c r="H112" s="156"/>
      <c r="I112" s="156"/>
      <c r="J112" s="156"/>
      <c r="K112" s="132"/>
      <c r="L112" s="473"/>
      <c r="M112" s="156"/>
      <c r="N112" s="156"/>
      <c r="O112" s="156"/>
      <c r="P112" s="132"/>
      <c r="Q112" s="487"/>
      <c r="R112" s="156"/>
      <c r="S112" s="156"/>
      <c r="T112" s="156"/>
      <c r="U112" s="154"/>
      <c r="V112" s="473"/>
      <c r="W112" s="156"/>
      <c r="X112" s="156"/>
      <c r="Y112" s="156"/>
      <c r="Z112" s="154"/>
      <c r="AA112" s="473"/>
      <c r="AB112" s="156"/>
      <c r="AC112" s="156"/>
      <c r="AD112" s="156"/>
      <c r="AE112" s="154"/>
      <c r="AF112" s="473"/>
      <c r="AG112" s="156"/>
      <c r="AH112" s="156"/>
      <c r="AI112" s="156"/>
      <c r="AJ112" s="154"/>
      <c r="AK112" s="473"/>
      <c r="AL112" s="156"/>
      <c r="AM112" s="156"/>
      <c r="AN112" s="156"/>
      <c r="AO112" s="154"/>
      <c r="AP112" s="473"/>
      <c r="AQ112" s="156"/>
      <c r="AR112" s="156"/>
      <c r="AS112" s="156"/>
      <c r="AT112" s="156"/>
      <c r="AU112" s="156"/>
      <c r="AV112" s="156"/>
      <c r="AW112" s="156"/>
      <c r="AX112" s="156"/>
      <c r="AY112" s="154"/>
      <c r="AZ112" s="473"/>
      <c r="BA112" s="156"/>
      <c r="BB112" s="156"/>
      <c r="BC112" s="156"/>
      <c r="BD112" s="156"/>
      <c r="BE112" s="156"/>
      <c r="BF112" s="156"/>
      <c r="BG112" s="156"/>
      <c r="BH112" s="156"/>
    </row>
    <row r="113">
      <c r="A113" s="154"/>
      <c r="B113" s="473"/>
      <c r="C113" s="156"/>
      <c r="D113" s="156"/>
      <c r="E113" s="156"/>
      <c r="F113" s="154"/>
      <c r="G113" s="473"/>
      <c r="H113" s="156"/>
      <c r="I113" s="156"/>
      <c r="J113" s="156"/>
      <c r="K113" s="132"/>
      <c r="L113" s="473"/>
      <c r="M113" s="156"/>
      <c r="N113" s="156"/>
      <c r="O113" s="156"/>
      <c r="P113" s="132"/>
      <c r="Q113" s="487"/>
      <c r="R113" s="156"/>
      <c r="S113" s="156"/>
      <c r="T113" s="156"/>
      <c r="U113" s="154"/>
      <c r="V113" s="473"/>
      <c r="W113" s="156"/>
      <c r="X113" s="156"/>
      <c r="Y113" s="156"/>
      <c r="Z113" s="154"/>
      <c r="AA113" s="473"/>
      <c r="AB113" s="156"/>
      <c r="AC113" s="156"/>
      <c r="AD113" s="156"/>
      <c r="AE113" s="154"/>
      <c r="AF113" s="473"/>
      <c r="AG113" s="156"/>
      <c r="AH113" s="156"/>
      <c r="AI113" s="156"/>
      <c r="AJ113" s="154"/>
      <c r="AK113" s="473"/>
      <c r="AL113" s="156"/>
      <c r="AM113" s="156"/>
      <c r="AN113" s="156"/>
      <c r="AO113" s="154"/>
      <c r="AP113" s="473"/>
      <c r="AQ113" s="156"/>
      <c r="AR113" s="156"/>
      <c r="AS113" s="156"/>
      <c r="AT113" s="156"/>
      <c r="AU113" s="156"/>
      <c r="AV113" s="156"/>
      <c r="AW113" s="156"/>
      <c r="AX113" s="156"/>
      <c r="AY113" s="154"/>
      <c r="AZ113" s="473"/>
      <c r="BA113" s="156"/>
      <c r="BB113" s="156"/>
      <c r="BC113" s="156"/>
      <c r="BD113" s="156"/>
      <c r="BE113" s="156"/>
      <c r="BF113" s="156"/>
      <c r="BG113" s="156"/>
      <c r="BH113" s="156"/>
    </row>
    <row r="114">
      <c r="A114" s="154"/>
      <c r="B114" s="473"/>
      <c r="C114" s="156"/>
      <c r="D114" s="156"/>
      <c r="E114" s="156"/>
      <c r="F114" s="154"/>
      <c r="G114" s="473"/>
      <c r="H114" s="156"/>
      <c r="I114" s="156"/>
      <c r="J114" s="156"/>
      <c r="K114" s="132"/>
      <c r="L114" s="473"/>
      <c r="M114" s="156"/>
      <c r="N114" s="156"/>
      <c r="O114" s="156"/>
      <c r="P114" s="132"/>
      <c r="Q114" s="487"/>
      <c r="R114" s="156"/>
      <c r="S114" s="156"/>
      <c r="T114" s="156"/>
      <c r="U114" s="154"/>
      <c r="V114" s="473"/>
      <c r="W114" s="156"/>
      <c r="X114" s="156"/>
      <c r="Y114" s="156"/>
      <c r="Z114" s="154"/>
      <c r="AA114" s="473"/>
      <c r="AB114" s="156"/>
      <c r="AC114" s="156"/>
      <c r="AD114" s="156"/>
      <c r="AE114" s="154"/>
      <c r="AF114" s="473"/>
      <c r="AG114" s="156"/>
      <c r="AH114" s="156"/>
      <c r="AI114" s="156"/>
      <c r="AJ114" s="154"/>
      <c r="AK114" s="473"/>
      <c r="AL114" s="156"/>
      <c r="AM114" s="156"/>
      <c r="AN114" s="156"/>
      <c r="AO114" s="154"/>
      <c r="AP114" s="473"/>
      <c r="AQ114" s="156"/>
      <c r="AR114" s="156"/>
      <c r="AS114" s="156"/>
      <c r="AT114" s="156"/>
      <c r="AU114" s="156"/>
      <c r="AV114" s="156"/>
      <c r="AW114" s="156"/>
      <c r="AX114" s="156"/>
      <c r="AY114" s="154"/>
      <c r="AZ114" s="473"/>
      <c r="BA114" s="156"/>
      <c r="BB114" s="156"/>
      <c r="BC114" s="156"/>
      <c r="BD114" s="156"/>
      <c r="BE114" s="156"/>
      <c r="BF114" s="156"/>
      <c r="BG114" s="156"/>
      <c r="BH114" s="156"/>
    </row>
    <row r="115">
      <c r="A115" s="154"/>
      <c r="B115" s="473"/>
      <c r="C115" s="156"/>
      <c r="D115" s="156"/>
      <c r="E115" s="156"/>
      <c r="F115" s="154"/>
      <c r="G115" s="473"/>
      <c r="H115" s="156"/>
      <c r="I115" s="156"/>
      <c r="J115" s="156"/>
      <c r="K115" s="132"/>
      <c r="L115" s="473"/>
      <c r="M115" s="156"/>
      <c r="N115" s="156"/>
      <c r="O115" s="156"/>
      <c r="P115" s="132"/>
      <c r="Q115" s="487"/>
      <c r="R115" s="156"/>
      <c r="S115" s="156"/>
      <c r="T115" s="156"/>
      <c r="U115" s="154"/>
      <c r="V115" s="473"/>
      <c r="W115" s="156"/>
      <c r="X115" s="156"/>
      <c r="Y115" s="156"/>
      <c r="Z115" s="154"/>
      <c r="AA115" s="473"/>
      <c r="AB115" s="156"/>
      <c r="AC115" s="156"/>
      <c r="AD115" s="156"/>
      <c r="AE115" s="154"/>
      <c r="AF115" s="473"/>
      <c r="AG115" s="156"/>
      <c r="AH115" s="156"/>
      <c r="AI115" s="156"/>
      <c r="AJ115" s="154"/>
      <c r="AK115" s="473"/>
      <c r="AL115" s="156"/>
      <c r="AM115" s="156"/>
      <c r="AN115" s="156"/>
      <c r="AO115" s="154"/>
      <c r="AP115" s="473"/>
      <c r="AQ115" s="156"/>
      <c r="AR115" s="156"/>
      <c r="AS115" s="156"/>
      <c r="AT115" s="156"/>
      <c r="AU115" s="156"/>
      <c r="AV115" s="156"/>
      <c r="AW115" s="156"/>
      <c r="AX115" s="156"/>
      <c r="AY115" s="154"/>
      <c r="AZ115" s="473"/>
      <c r="BA115" s="156"/>
      <c r="BB115" s="156"/>
      <c r="BC115" s="156"/>
      <c r="BD115" s="156"/>
      <c r="BE115" s="156"/>
      <c r="BF115" s="156"/>
      <c r="BG115" s="156"/>
      <c r="BH115" s="156"/>
    </row>
    <row r="116">
      <c r="A116" s="154"/>
      <c r="B116" s="473"/>
      <c r="C116" s="156"/>
      <c r="D116" s="156"/>
      <c r="E116" s="156"/>
      <c r="F116" s="154"/>
      <c r="G116" s="473"/>
      <c r="H116" s="156"/>
      <c r="I116" s="156"/>
      <c r="J116" s="156"/>
      <c r="K116" s="132"/>
      <c r="L116" s="473"/>
      <c r="M116" s="156"/>
      <c r="N116" s="156"/>
      <c r="O116" s="156"/>
      <c r="P116" s="132"/>
      <c r="Q116" s="487"/>
      <c r="R116" s="156"/>
      <c r="S116" s="156"/>
      <c r="T116" s="156"/>
      <c r="U116" s="154"/>
      <c r="V116" s="473"/>
      <c r="W116" s="156"/>
      <c r="X116" s="156"/>
      <c r="Y116" s="156"/>
      <c r="Z116" s="154"/>
      <c r="AA116" s="473"/>
      <c r="AB116" s="156"/>
      <c r="AC116" s="156"/>
      <c r="AD116" s="156"/>
      <c r="AE116" s="154"/>
      <c r="AF116" s="473"/>
      <c r="AG116" s="156"/>
      <c r="AH116" s="156"/>
      <c r="AI116" s="156"/>
      <c r="AJ116" s="154"/>
      <c r="AK116" s="473"/>
      <c r="AL116" s="156"/>
      <c r="AM116" s="156"/>
      <c r="AN116" s="156"/>
      <c r="AO116" s="154"/>
      <c r="AP116" s="473"/>
      <c r="AQ116" s="156"/>
      <c r="AR116" s="156"/>
      <c r="AS116" s="156"/>
      <c r="AT116" s="156"/>
      <c r="AU116" s="156"/>
      <c r="AV116" s="156"/>
      <c r="AW116" s="156"/>
      <c r="AX116" s="156"/>
      <c r="AY116" s="154"/>
      <c r="AZ116" s="473"/>
      <c r="BA116" s="156"/>
      <c r="BB116" s="156"/>
      <c r="BC116" s="156"/>
      <c r="BD116" s="156"/>
      <c r="BE116" s="156"/>
      <c r="BF116" s="156"/>
      <c r="BG116" s="156"/>
      <c r="BH116" s="156"/>
    </row>
    <row r="117">
      <c r="A117" s="154"/>
      <c r="B117" s="473"/>
      <c r="C117" s="156"/>
      <c r="D117" s="156"/>
      <c r="E117" s="156"/>
      <c r="F117" s="154"/>
      <c r="G117" s="473"/>
      <c r="H117" s="156"/>
      <c r="I117" s="156"/>
      <c r="J117" s="156"/>
      <c r="K117" s="132"/>
      <c r="L117" s="473"/>
      <c r="M117" s="156"/>
      <c r="N117" s="156"/>
      <c r="O117" s="156"/>
      <c r="P117" s="132"/>
      <c r="Q117" s="487"/>
      <c r="R117" s="156"/>
      <c r="S117" s="156"/>
      <c r="T117" s="156"/>
      <c r="U117" s="154"/>
      <c r="V117" s="473"/>
      <c r="W117" s="156"/>
      <c r="X117" s="156"/>
      <c r="Y117" s="156"/>
      <c r="Z117" s="154"/>
      <c r="AA117" s="473"/>
      <c r="AB117" s="156"/>
      <c r="AC117" s="156"/>
      <c r="AD117" s="156"/>
      <c r="AE117" s="154"/>
      <c r="AF117" s="473"/>
      <c r="AG117" s="156"/>
      <c r="AH117" s="156"/>
      <c r="AI117" s="156"/>
      <c r="AJ117" s="154"/>
      <c r="AK117" s="473"/>
      <c r="AL117" s="156"/>
      <c r="AM117" s="156"/>
      <c r="AN117" s="156"/>
      <c r="AO117" s="154"/>
      <c r="AP117" s="473"/>
      <c r="AQ117" s="156"/>
      <c r="AR117" s="156"/>
      <c r="AS117" s="156"/>
      <c r="AT117" s="156"/>
      <c r="AU117" s="156"/>
      <c r="AV117" s="156"/>
      <c r="AW117" s="156"/>
      <c r="AX117" s="156"/>
      <c r="AY117" s="154"/>
      <c r="AZ117" s="473"/>
      <c r="BA117" s="156"/>
      <c r="BB117" s="156"/>
      <c r="BC117" s="156"/>
      <c r="BD117" s="156"/>
      <c r="BE117" s="156"/>
      <c r="BF117" s="156"/>
      <c r="BG117" s="156"/>
      <c r="BH117" s="156"/>
    </row>
    <row r="118">
      <c r="A118" s="154"/>
      <c r="B118" s="473"/>
      <c r="C118" s="156"/>
      <c r="D118" s="156"/>
      <c r="E118" s="156"/>
      <c r="F118" s="154"/>
      <c r="G118" s="473"/>
      <c r="H118" s="156"/>
      <c r="I118" s="156"/>
      <c r="J118" s="156"/>
      <c r="K118" s="132"/>
      <c r="L118" s="473"/>
      <c r="M118" s="156"/>
      <c r="N118" s="156"/>
      <c r="O118" s="156"/>
      <c r="P118" s="132"/>
      <c r="Q118" s="487"/>
      <c r="R118" s="156"/>
      <c r="S118" s="156"/>
      <c r="T118" s="156"/>
      <c r="U118" s="154"/>
      <c r="V118" s="473"/>
      <c r="W118" s="156"/>
      <c r="X118" s="156"/>
      <c r="Y118" s="156"/>
      <c r="Z118" s="154"/>
      <c r="AA118" s="473"/>
      <c r="AB118" s="156"/>
      <c r="AC118" s="156"/>
      <c r="AD118" s="156"/>
      <c r="AE118" s="154"/>
      <c r="AF118" s="473"/>
      <c r="AG118" s="156"/>
      <c r="AH118" s="156"/>
      <c r="AI118" s="156"/>
      <c r="AJ118" s="154"/>
      <c r="AK118" s="473"/>
      <c r="AL118" s="156"/>
      <c r="AM118" s="156"/>
      <c r="AN118" s="156"/>
      <c r="AO118" s="154"/>
      <c r="AP118" s="473"/>
      <c r="AQ118" s="156"/>
      <c r="AR118" s="156"/>
      <c r="AS118" s="156"/>
      <c r="AT118" s="156"/>
      <c r="AU118" s="156"/>
      <c r="AV118" s="156"/>
      <c r="AW118" s="156"/>
      <c r="AX118" s="156"/>
      <c r="AY118" s="154"/>
      <c r="AZ118" s="473"/>
      <c r="BA118" s="156"/>
      <c r="BB118" s="156"/>
      <c r="BC118" s="156"/>
      <c r="BD118" s="156"/>
      <c r="BE118" s="156"/>
      <c r="BF118" s="156"/>
      <c r="BG118" s="156"/>
      <c r="BH118" s="156"/>
    </row>
    <row r="119">
      <c r="A119" s="154"/>
      <c r="B119" s="473"/>
      <c r="C119" s="156"/>
      <c r="D119" s="156"/>
      <c r="E119" s="156"/>
      <c r="F119" s="154"/>
      <c r="G119" s="473"/>
      <c r="H119" s="156"/>
      <c r="I119" s="156"/>
      <c r="J119" s="156"/>
      <c r="K119" s="132"/>
      <c r="L119" s="473"/>
      <c r="M119" s="156"/>
      <c r="N119" s="156"/>
      <c r="O119" s="156"/>
      <c r="P119" s="132"/>
      <c r="Q119" s="487"/>
      <c r="R119" s="156"/>
      <c r="S119" s="156"/>
      <c r="T119" s="156"/>
      <c r="U119" s="154"/>
      <c r="V119" s="473"/>
      <c r="W119" s="156"/>
      <c r="X119" s="156"/>
      <c r="Y119" s="156"/>
      <c r="Z119" s="154"/>
      <c r="AA119" s="473"/>
      <c r="AB119" s="156"/>
      <c r="AC119" s="156"/>
      <c r="AD119" s="156"/>
      <c r="AE119" s="154"/>
      <c r="AF119" s="473"/>
      <c r="AG119" s="156"/>
      <c r="AH119" s="156"/>
      <c r="AI119" s="156"/>
      <c r="AJ119" s="154"/>
      <c r="AK119" s="473"/>
      <c r="AL119" s="156"/>
      <c r="AM119" s="156"/>
      <c r="AN119" s="156"/>
      <c r="AO119" s="154"/>
      <c r="AP119" s="473"/>
      <c r="AQ119" s="156"/>
      <c r="AR119" s="156"/>
      <c r="AS119" s="156"/>
      <c r="AT119" s="156"/>
      <c r="AU119" s="156"/>
      <c r="AV119" s="156"/>
      <c r="AW119" s="156"/>
      <c r="AX119" s="156"/>
      <c r="AY119" s="154"/>
      <c r="AZ119" s="473"/>
      <c r="BA119" s="156"/>
      <c r="BB119" s="156"/>
      <c r="BC119" s="156"/>
      <c r="BD119" s="156"/>
      <c r="BE119" s="156"/>
      <c r="BF119" s="156"/>
      <c r="BG119" s="156"/>
      <c r="BH119" s="156"/>
    </row>
    <row r="120">
      <c r="A120" s="154"/>
      <c r="B120" s="473"/>
      <c r="C120" s="156"/>
      <c r="D120" s="156"/>
      <c r="E120" s="156"/>
      <c r="F120" s="154"/>
      <c r="G120" s="473"/>
      <c r="H120" s="156"/>
      <c r="I120" s="156"/>
      <c r="J120" s="156"/>
      <c r="K120" s="132"/>
      <c r="L120" s="473"/>
      <c r="M120" s="156"/>
      <c r="N120" s="156"/>
      <c r="O120" s="156"/>
      <c r="P120" s="132"/>
      <c r="Q120" s="487"/>
      <c r="R120" s="156"/>
      <c r="S120" s="156"/>
      <c r="T120" s="156"/>
      <c r="U120" s="154"/>
      <c r="V120" s="473"/>
      <c r="W120" s="156"/>
      <c r="X120" s="156"/>
      <c r="Y120" s="156"/>
      <c r="Z120" s="154"/>
      <c r="AA120" s="473"/>
      <c r="AB120" s="156"/>
      <c r="AC120" s="156"/>
      <c r="AD120" s="156"/>
      <c r="AE120" s="154"/>
      <c r="AF120" s="473"/>
      <c r="AG120" s="156"/>
      <c r="AH120" s="156"/>
      <c r="AI120" s="156"/>
      <c r="AJ120" s="154"/>
      <c r="AK120" s="473"/>
      <c r="AL120" s="156"/>
      <c r="AM120" s="156"/>
      <c r="AN120" s="156"/>
      <c r="AO120" s="154"/>
      <c r="AP120" s="473"/>
      <c r="AQ120" s="156"/>
      <c r="AR120" s="156"/>
      <c r="AS120" s="156"/>
      <c r="AT120" s="156"/>
      <c r="AU120" s="156"/>
      <c r="AV120" s="156"/>
      <c r="AW120" s="156"/>
      <c r="AX120" s="156"/>
      <c r="AY120" s="154"/>
      <c r="AZ120" s="473"/>
      <c r="BA120" s="156"/>
      <c r="BB120" s="156"/>
      <c r="BC120" s="156"/>
      <c r="BD120" s="156"/>
      <c r="BE120" s="156"/>
      <c r="BF120" s="156"/>
      <c r="BG120" s="156"/>
      <c r="BH120" s="156"/>
    </row>
    <row r="121">
      <c r="A121" s="154"/>
      <c r="B121" s="473"/>
      <c r="C121" s="156"/>
      <c r="D121" s="156"/>
      <c r="E121" s="156"/>
      <c r="F121" s="154"/>
      <c r="G121" s="473"/>
      <c r="H121" s="156"/>
      <c r="I121" s="156"/>
      <c r="J121" s="156"/>
      <c r="K121" s="132"/>
      <c r="L121" s="473"/>
      <c r="M121" s="156"/>
      <c r="N121" s="156"/>
      <c r="O121" s="156"/>
      <c r="P121" s="132"/>
      <c r="Q121" s="487"/>
      <c r="R121" s="156"/>
      <c r="S121" s="156"/>
      <c r="T121" s="156"/>
      <c r="U121" s="154"/>
      <c r="V121" s="473"/>
      <c r="W121" s="156"/>
      <c r="X121" s="156"/>
      <c r="Y121" s="156"/>
      <c r="Z121" s="154"/>
      <c r="AA121" s="473"/>
      <c r="AB121" s="156"/>
      <c r="AC121" s="156"/>
      <c r="AD121" s="156"/>
      <c r="AE121" s="154"/>
      <c r="AF121" s="473"/>
      <c r="AG121" s="156"/>
      <c r="AH121" s="156"/>
      <c r="AI121" s="156"/>
      <c r="AJ121" s="154"/>
      <c r="AK121" s="473"/>
      <c r="AL121" s="156"/>
      <c r="AM121" s="156"/>
      <c r="AN121" s="156"/>
      <c r="AO121" s="154"/>
      <c r="AP121" s="473"/>
      <c r="AQ121" s="156"/>
      <c r="AR121" s="156"/>
      <c r="AS121" s="156"/>
      <c r="AT121" s="156"/>
      <c r="AU121" s="156"/>
      <c r="AV121" s="156"/>
      <c r="AW121" s="156"/>
      <c r="AX121" s="156"/>
      <c r="AY121" s="154"/>
      <c r="AZ121" s="473"/>
      <c r="BA121" s="156"/>
      <c r="BB121" s="156"/>
      <c r="BC121" s="156"/>
      <c r="BD121" s="156"/>
      <c r="BE121" s="156"/>
      <c r="BF121" s="156"/>
      <c r="BG121" s="156"/>
      <c r="BH121" s="156"/>
    </row>
    <row r="122">
      <c r="A122" s="154"/>
      <c r="B122" s="473"/>
      <c r="C122" s="156"/>
      <c r="D122" s="156"/>
      <c r="E122" s="156"/>
      <c r="F122" s="154"/>
      <c r="G122" s="473"/>
      <c r="H122" s="156"/>
      <c r="I122" s="156"/>
      <c r="J122" s="156"/>
      <c r="K122" s="132"/>
      <c r="L122" s="473"/>
      <c r="M122" s="156"/>
      <c r="N122" s="156"/>
      <c r="O122" s="156"/>
      <c r="P122" s="132"/>
      <c r="Q122" s="487"/>
      <c r="R122" s="156"/>
      <c r="S122" s="156"/>
      <c r="T122" s="156"/>
      <c r="U122" s="154"/>
      <c r="V122" s="473"/>
      <c r="W122" s="156"/>
      <c r="X122" s="156"/>
      <c r="Y122" s="156"/>
      <c r="Z122" s="154"/>
      <c r="AA122" s="473"/>
      <c r="AB122" s="156"/>
      <c r="AC122" s="156"/>
      <c r="AD122" s="156"/>
      <c r="AE122" s="154"/>
      <c r="AF122" s="473"/>
      <c r="AG122" s="156"/>
      <c r="AH122" s="156"/>
      <c r="AI122" s="156"/>
      <c r="AJ122" s="154"/>
      <c r="AK122" s="473"/>
      <c r="AL122" s="156"/>
      <c r="AM122" s="156"/>
      <c r="AN122" s="156"/>
      <c r="AO122" s="154"/>
      <c r="AP122" s="473"/>
      <c r="AQ122" s="156"/>
      <c r="AR122" s="156"/>
      <c r="AS122" s="156"/>
      <c r="AT122" s="156"/>
      <c r="AU122" s="156"/>
      <c r="AV122" s="156"/>
      <c r="AW122" s="156"/>
      <c r="AX122" s="156"/>
      <c r="AY122" s="154"/>
      <c r="AZ122" s="473"/>
      <c r="BA122" s="156"/>
      <c r="BB122" s="156"/>
      <c r="BC122" s="156"/>
      <c r="BD122" s="156"/>
      <c r="BE122" s="156"/>
      <c r="BF122" s="156"/>
      <c r="BG122" s="156"/>
      <c r="BH122" s="156"/>
    </row>
    <row r="123">
      <c r="A123" s="154"/>
      <c r="B123" s="473"/>
      <c r="C123" s="156"/>
      <c r="D123" s="156"/>
      <c r="E123" s="156"/>
      <c r="F123" s="154"/>
      <c r="G123" s="473"/>
      <c r="H123" s="156"/>
      <c r="I123" s="156"/>
      <c r="J123" s="156"/>
      <c r="K123" s="132"/>
      <c r="L123" s="473"/>
      <c r="M123" s="156"/>
      <c r="N123" s="156"/>
      <c r="O123" s="156"/>
      <c r="P123" s="132"/>
      <c r="Q123" s="487"/>
      <c r="R123" s="156"/>
      <c r="S123" s="156"/>
      <c r="T123" s="156"/>
      <c r="U123" s="154"/>
      <c r="V123" s="473"/>
      <c r="W123" s="156"/>
      <c r="X123" s="156"/>
      <c r="Y123" s="156"/>
      <c r="Z123" s="154"/>
      <c r="AA123" s="473"/>
      <c r="AB123" s="156"/>
      <c r="AC123" s="156"/>
      <c r="AD123" s="156"/>
      <c r="AE123" s="154"/>
      <c r="AF123" s="473"/>
      <c r="AG123" s="156"/>
      <c r="AH123" s="156"/>
      <c r="AI123" s="156"/>
      <c r="AJ123" s="154"/>
      <c r="AK123" s="473"/>
      <c r="AL123" s="156"/>
      <c r="AM123" s="156"/>
      <c r="AN123" s="156"/>
      <c r="AO123" s="154"/>
      <c r="AP123" s="473"/>
      <c r="AQ123" s="156"/>
      <c r="AR123" s="156"/>
      <c r="AS123" s="156"/>
      <c r="AT123" s="156"/>
      <c r="AU123" s="156"/>
      <c r="AV123" s="156"/>
      <c r="AW123" s="156"/>
      <c r="AX123" s="156"/>
      <c r="AY123" s="154"/>
      <c r="AZ123" s="473"/>
      <c r="BA123" s="156"/>
      <c r="BB123" s="156"/>
      <c r="BC123" s="156"/>
      <c r="BD123" s="156"/>
      <c r="BE123" s="156"/>
      <c r="BF123" s="156"/>
      <c r="BG123" s="156"/>
      <c r="BH123" s="156"/>
    </row>
    <row r="124">
      <c r="A124" s="154"/>
      <c r="B124" s="473"/>
      <c r="C124" s="156"/>
      <c r="D124" s="156"/>
      <c r="E124" s="156"/>
      <c r="F124" s="154"/>
      <c r="G124" s="473"/>
      <c r="H124" s="156"/>
      <c r="I124" s="156"/>
      <c r="J124" s="156"/>
      <c r="K124" s="132"/>
      <c r="L124" s="473"/>
      <c r="M124" s="156"/>
      <c r="N124" s="156"/>
      <c r="O124" s="156"/>
      <c r="P124" s="132"/>
      <c r="Q124" s="487"/>
      <c r="R124" s="156"/>
      <c r="S124" s="156"/>
      <c r="T124" s="156"/>
      <c r="U124" s="154"/>
      <c r="V124" s="473"/>
      <c r="W124" s="156"/>
      <c r="X124" s="156"/>
      <c r="Y124" s="156"/>
      <c r="Z124" s="154"/>
      <c r="AA124" s="473"/>
      <c r="AB124" s="156"/>
      <c r="AC124" s="156"/>
      <c r="AD124" s="156"/>
      <c r="AE124" s="154"/>
      <c r="AF124" s="473"/>
      <c r="AG124" s="156"/>
      <c r="AH124" s="156"/>
      <c r="AI124" s="156"/>
      <c r="AJ124" s="154"/>
      <c r="AK124" s="473"/>
      <c r="AL124" s="156"/>
      <c r="AM124" s="156"/>
      <c r="AN124" s="156"/>
      <c r="AO124" s="154"/>
      <c r="AP124" s="473"/>
      <c r="AQ124" s="156"/>
      <c r="AR124" s="156"/>
      <c r="AS124" s="156"/>
      <c r="AT124" s="156"/>
      <c r="AU124" s="156"/>
      <c r="AV124" s="156"/>
      <c r="AW124" s="156"/>
      <c r="AX124" s="156"/>
      <c r="AY124" s="154"/>
      <c r="AZ124" s="473"/>
      <c r="BA124" s="156"/>
      <c r="BB124" s="156"/>
      <c r="BC124" s="156"/>
      <c r="BD124" s="156"/>
      <c r="BE124" s="156"/>
      <c r="BF124" s="156"/>
      <c r="BG124" s="156"/>
      <c r="BH124" s="156"/>
    </row>
    <row r="125">
      <c r="A125" s="154"/>
      <c r="B125" s="473"/>
      <c r="C125" s="156"/>
      <c r="D125" s="156"/>
      <c r="E125" s="156"/>
      <c r="F125" s="154"/>
      <c r="G125" s="473"/>
      <c r="H125" s="156"/>
      <c r="I125" s="156"/>
      <c r="J125" s="156"/>
      <c r="K125" s="132"/>
      <c r="L125" s="473"/>
      <c r="M125" s="156"/>
      <c r="N125" s="156"/>
      <c r="O125" s="156"/>
      <c r="P125" s="132"/>
      <c r="Q125" s="487"/>
      <c r="R125" s="156"/>
      <c r="S125" s="156"/>
      <c r="T125" s="156"/>
      <c r="U125" s="154"/>
      <c r="V125" s="473"/>
      <c r="W125" s="156"/>
      <c r="X125" s="156"/>
      <c r="Y125" s="156"/>
      <c r="Z125" s="154"/>
      <c r="AA125" s="473"/>
      <c r="AB125" s="156"/>
      <c r="AC125" s="156"/>
      <c r="AD125" s="156"/>
      <c r="AE125" s="154"/>
      <c r="AF125" s="473"/>
      <c r="AG125" s="156"/>
      <c r="AH125" s="156"/>
      <c r="AI125" s="156"/>
      <c r="AJ125" s="154"/>
      <c r="AK125" s="473"/>
      <c r="AL125" s="156"/>
      <c r="AM125" s="156"/>
      <c r="AN125" s="156"/>
      <c r="AO125" s="154"/>
      <c r="AP125" s="473"/>
      <c r="AQ125" s="156"/>
      <c r="AR125" s="156"/>
      <c r="AS125" s="156"/>
      <c r="AT125" s="156"/>
      <c r="AU125" s="156"/>
      <c r="AV125" s="156"/>
      <c r="AW125" s="156"/>
      <c r="AX125" s="156"/>
      <c r="AY125" s="154"/>
      <c r="AZ125" s="473"/>
      <c r="BA125" s="156"/>
      <c r="BB125" s="156"/>
      <c r="BC125" s="156"/>
      <c r="BD125" s="156"/>
      <c r="BE125" s="156"/>
      <c r="BF125" s="156"/>
      <c r="BG125" s="156"/>
      <c r="BH125" s="156"/>
    </row>
    <row r="126">
      <c r="A126" s="154"/>
      <c r="B126" s="473"/>
      <c r="C126" s="156"/>
      <c r="D126" s="156"/>
      <c r="E126" s="156"/>
      <c r="F126" s="154"/>
      <c r="G126" s="473"/>
      <c r="H126" s="156"/>
      <c r="I126" s="156"/>
      <c r="J126" s="156"/>
      <c r="K126" s="132"/>
      <c r="L126" s="473"/>
      <c r="M126" s="156"/>
      <c r="N126" s="156"/>
      <c r="O126" s="156"/>
      <c r="P126" s="132"/>
      <c r="Q126" s="487"/>
      <c r="R126" s="156"/>
      <c r="S126" s="156"/>
      <c r="T126" s="156"/>
      <c r="U126" s="154"/>
      <c r="V126" s="473"/>
      <c r="W126" s="156"/>
      <c r="X126" s="156"/>
      <c r="Y126" s="156"/>
      <c r="Z126" s="154"/>
      <c r="AA126" s="473"/>
      <c r="AB126" s="156"/>
      <c r="AC126" s="156"/>
      <c r="AD126" s="156"/>
      <c r="AE126" s="154"/>
      <c r="AF126" s="473"/>
      <c r="AG126" s="156"/>
      <c r="AH126" s="156"/>
      <c r="AI126" s="156"/>
      <c r="AJ126" s="154"/>
      <c r="AK126" s="473"/>
      <c r="AL126" s="156"/>
      <c r="AM126" s="156"/>
      <c r="AN126" s="156"/>
      <c r="AO126" s="154"/>
      <c r="AP126" s="473"/>
      <c r="AQ126" s="156"/>
      <c r="AR126" s="156"/>
      <c r="AS126" s="156"/>
      <c r="AT126" s="156"/>
      <c r="AU126" s="156"/>
      <c r="AV126" s="156"/>
      <c r="AW126" s="156"/>
      <c r="AX126" s="156"/>
      <c r="AY126" s="154"/>
      <c r="AZ126" s="473"/>
      <c r="BA126" s="156"/>
      <c r="BB126" s="156"/>
      <c r="BC126" s="156"/>
      <c r="BD126" s="156"/>
      <c r="BE126" s="156"/>
      <c r="BF126" s="156"/>
      <c r="BG126" s="156"/>
      <c r="BH126" s="156"/>
    </row>
    <row r="127">
      <c r="A127" s="154"/>
      <c r="B127" s="473"/>
      <c r="C127" s="156"/>
      <c r="D127" s="156"/>
      <c r="E127" s="156"/>
      <c r="F127" s="154"/>
      <c r="G127" s="473"/>
      <c r="H127" s="156"/>
      <c r="I127" s="156"/>
      <c r="J127" s="156"/>
      <c r="K127" s="132"/>
      <c r="L127" s="473"/>
      <c r="M127" s="156"/>
      <c r="N127" s="156"/>
      <c r="O127" s="156"/>
      <c r="P127" s="132"/>
      <c r="Q127" s="487"/>
      <c r="R127" s="156"/>
      <c r="S127" s="156"/>
      <c r="T127" s="156"/>
      <c r="U127" s="154"/>
      <c r="V127" s="473"/>
      <c r="W127" s="156"/>
      <c r="X127" s="156"/>
      <c r="Y127" s="156"/>
      <c r="Z127" s="154"/>
      <c r="AA127" s="473"/>
      <c r="AB127" s="156"/>
      <c r="AC127" s="156"/>
      <c r="AD127" s="156"/>
      <c r="AE127" s="154"/>
      <c r="AF127" s="473"/>
      <c r="AG127" s="156"/>
      <c r="AH127" s="156"/>
      <c r="AI127" s="156"/>
      <c r="AJ127" s="154"/>
      <c r="AK127" s="473"/>
      <c r="AL127" s="156"/>
      <c r="AM127" s="156"/>
      <c r="AN127" s="156"/>
      <c r="AO127" s="154"/>
      <c r="AP127" s="473"/>
      <c r="AQ127" s="156"/>
      <c r="AR127" s="156"/>
      <c r="AS127" s="156"/>
      <c r="AT127" s="156"/>
      <c r="AU127" s="156"/>
      <c r="AV127" s="156"/>
      <c r="AW127" s="156"/>
      <c r="AX127" s="156"/>
      <c r="AY127" s="154"/>
      <c r="AZ127" s="473"/>
      <c r="BA127" s="156"/>
      <c r="BB127" s="156"/>
      <c r="BC127" s="156"/>
      <c r="BD127" s="156"/>
      <c r="BE127" s="156"/>
      <c r="BF127" s="156"/>
      <c r="BG127" s="156"/>
      <c r="BH127" s="156"/>
    </row>
    <row r="128">
      <c r="A128" s="154"/>
      <c r="B128" s="473"/>
      <c r="C128" s="156"/>
      <c r="D128" s="156"/>
      <c r="E128" s="156"/>
      <c r="F128" s="154"/>
      <c r="G128" s="473"/>
      <c r="H128" s="156"/>
      <c r="I128" s="156"/>
      <c r="J128" s="156"/>
      <c r="K128" s="132"/>
      <c r="L128" s="473"/>
      <c r="M128" s="156"/>
      <c r="N128" s="156"/>
      <c r="O128" s="156"/>
      <c r="P128" s="132"/>
      <c r="Q128" s="487"/>
      <c r="R128" s="156"/>
      <c r="S128" s="156"/>
      <c r="T128" s="156"/>
      <c r="U128" s="154"/>
      <c r="V128" s="473"/>
      <c r="W128" s="156"/>
      <c r="X128" s="156"/>
      <c r="Y128" s="156"/>
      <c r="Z128" s="154"/>
      <c r="AA128" s="473"/>
      <c r="AB128" s="156"/>
      <c r="AC128" s="156"/>
      <c r="AD128" s="156"/>
      <c r="AE128" s="154"/>
      <c r="AF128" s="473"/>
      <c r="AG128" s="156"/>
      <c r="AH128" s="156"/>
      <c r="AI128" s="156"/>
      <c r="AJ128" s="154"/>
      <c r="AK128" s="473"/>
      <c r="AL128" s="156"/>
      <c r="AM128" s="156"/>
      <c r="AN128" s="156"/>
      <c r="AO128" s="154"/>
      <c r="AP128" s="473"/>
      <c r="AQ128" s="156"/>
      <c r="AR128" s="156"/>
      <c r="AS128" s="156"/>
      <c r="AT128" s="156"/>
      <c r="AU128" s="156"/>
      <c r="AV128" s="156"/>
      <c r="AW128" s="156"/>
      <c r="AX128" s="156"/>
      <c r="AY128" s="154"/>
      <c r="AZ128" s="473"/>
      <c r="BA128" s="156"/>
      <c r="BB128" s="156"/>
      <c r="BC128" s="156"/>
      <c r="BD128" s="156"/>
      <c r="BE128" s="156"/>
      <c r="BF128" s="156"/>
      <c r="BG128" s="156"/>
      <c r="BH128" s="156"/>
    </row>
    <row r="129">
      <c r="A129" s="154"/>
      <c r="B129" s="473"/>
      <c r="C129" s="156"/>
      <c r="D129" s="156"/>
      <c r="E129" s="156"/>
      <c r="F129" s="154"/>
      <c r="G129" s="473"/>
      <c r="H129" s="156"/>
      <c r="I129" s="156"/>
      <c r="J129" s="156"/>
      <c r="K129" s="132"/>
      <c r="L129" s="473"/>
      <c r="M129" s="156"/>
      <c r="N129" s="156"/>
      <c r="O129" s="156"/>
      <c r="P129" s="132"/>
      <c r="Q129" s="487"/>
      <c r="R129" s="156"/>
      <c r="S129" s="156"/>
      <c r="T129" s="156"/>
      <c r="U129" s="154"/>
      <c r="V129" s="473"/>
      <c r="W129" s="156"/>
      <c r="X129" s="156"/>
      <c r="Y129" s="156"/>
      <c r="Z129" s="154"/>
      <c r="AA129" s="473"/>
      <c r="AB129" s="156"/>
      <c r="AC129" s="156"/>
      <c r="AD129" s="156"/>
      <c r="AE129" s="154"/>
      <c r="AF129" s="473"/>
      <c r="AG129" s="156"/>
      <c r="AH129" s="156"/>
      <c r="AI129" s="156"/>
      <c r="AJ129" s="154"/>
      <c r="AK129" s="473"/>
      <c r="AL129" s="156"/>
      <c r="AM129" s="156"/>
      <c r="AN129" s="156"/>
      <c r="AO129" s="154"/>
      <c r="AP129" s="473"/>
      <c r="AQ129" s="156"/>
      <c r="AR129" s="156"/>
      <c r="AS129" s="156"/>
      <c r="AT129" s="156"/>
      <c r="AU129" s="156"/>
      <c r="AV129" s="156"/>
      <c r="AW129" s="156"/>
      <c r="AX129" s="156"/>
      <c r="AY129" s="154"/>
      <c r="AZ129" s="473"/>
      <c r="BA129" s="156"/>
      <c r="BB129" s="156"/>
      <c r="BC129" s="156"/>
      <c r="BD129" s="156"/>
      <c r="BE129" s="156"/>
      <c r="BF129" s="156"/>
      <c r="BG129" s="156"/>
      <c r="BH129" s="156"/>
    </row>
    <row r="130">
      <c r="A130" s="154"/>
      <c r="B130" s="473"/>
      <c r="C130" s="156"/>
      <c r="D130" s="156"/>
      <c r="E130" s="156"/>
      <c r="F130" s="154"/>
      <c r="G130" s="473"/>
      <c r="H130" s="156"/>
      <c r="I130" s="156"/>
      <c r="J130" s="156"/>
      <c r="K130" s="132"/>
      <c r="L130" s="473"/>
      <c r="M130" s="156"/>
      <c r="N130" s="156"/>
      <c r="O130" s="156"/>
      <c r="P130" s="132"/>
      <c r="Q130" s="487"/>
      <c r="R130" s="156"/>
      <c r="S130" s="156"/>
      <c r="T130" s="156"/>
      <c r="U130" s="154"/>
      <c r="V130" s="473"/>
      <c r="W130" s="156"/>
      <c r="X130" s="156"/>
      <c r="Y130" s="156"/>
      <c r="Z130" s="154"/>
      <c r="AA130" s="473"/>
      <c r="AB130" s="156"/>
      <c r="AC130" s="156"/>
      <c r="AD130" s="156"/>
      <c r="AE130" s="154"/>
      <c r="AF130" s="473"/>
      <c r="AG130" s="156"/>
      <c r="AH130" s="156"/>
      <c r="AI130" s="156"/>
      <c r="AJ130" s="154"/>
      <c r="AK130" s="473"/>
      <c r="AL130" s="156"/>
      <c r="AM130" s="156"/>
      <c r="AN130" s="156"/>
      <c r="AO130" s="154"/>
      <c r="AP130" s="473"/>
      <c r="AQ130" s="156"/>
      <c r="AR130" s="156"/>
      <c r="AS130" s="156"/>
      <c r="AT130" s="156"/>
      <c r="AU130" s="156"/>
      <c r="AV130" s="156"/>
      <c r="AW130" s="156"/>
      <c r="AX130" s="156"/>
      <c r="AY130" s="154"/>
      <c r="AZ130" s="473"/>
      <c r="BA130" s="156"/>
      <c r="BB130" s="156"/>
      <c r="BC130" s="156"/>
      <c r="BD130" s="156"/>
      <c r="BE130" s="156"/>
      <c r="BF130" s="156"/>
      <c r="BG130" s="156"/>
      <c r="BH130" s="156"/>
    </row>
    <row r="131">
      <c r="A131" s="154"/>
      <c r="B131" s="473"/>
      <c r="C131" s="156"/>
      <c r="D131" s="156"/>
      <c r="E131" s="156"/>
      <c r="F131" s="154"/>
      <c r="G131" s="473"/>
      <c r="H131" s="156"/>
      <c r="I131" s="156"/>
      <c r="J131" s="156"/>
      <c r="K131" s="132"/>
      <c r="L131" s="473"/>
      <c r="M131" s="156"/>
      <c r="N131" s="156"/>
      <c r="O131" s="156"/>
      <c r="P131" s="132"/>
      <c r="Q131" s="487"/>
      <c r="R131" s="156"/>
      <c r="S131" s="156"/>
      <c r="T131" s="156"/>
      <c r="U131" s="154"/>
      <c r="V131" s="473"/>
      <c r="W131" s="156"/>
      <c r="X131" s="156"/>
      <c r="Y131" s="156"/>
      <c r="Z131" s="154"/>
      <c r="AA131" s="473"/>
      <c r="AB131" s="156"/>
      <c r="AC131" s="156"/>
      <c r="AD131" s="156"/>
      <c r="AE131" s="154"/>
      <c r="AF131" s="473"/>
      <c r="AG131" s="156"/>
      <c r="AH131" s="156"/>
      <c r="AI131" s="156"/>
      <c r="AJ131" s="154"/>
      <c r="AK131" s="473"/>
      <c r="AL131" s="156"/>
      <c r="AM131" s="156"/>
      <c r="AN131" s="156"/>
      <c r="AO131" s="154"/>
      <c r="AP131" s="473"/>
      <c r="AQ131" s="156"/>
      <c r="AR131" s="156"/>
      <c r="AS131" s="156"/>
      <c r="AT131" s="156"/>
      <c r="AU131" s="156"/>
      <c r="AV131" s="156"/>
      <c r="AW131" s="156"/>
      <c r="AX131" s="156"/>
      <c r="AY131" s="154"/>
      <c r="AZ131" s="473"/>
      <c r="BA131" s="156"/>
      <c r="BB131" s="156"/>
      <c r="BC131" s="156"/>
      <c r="BD131" s="156"/>
      <c r="BE131" s="156"/>
      <c r="BF131" s="156"/>
      <c r="BG131" s="156"/>
      <c r="BH131" s="156"/>
    </row>
    <row r="132">
      <c r="A132" s="154"/>
      <c r="B132" s="473"/>
      <c r="C132" s="156"/>
      <c r="D132" s="156"/>
      <c r="E132" s="156"/>
      <c r="F132" s="154"/>
      <c r="G132" s="473"/>
      <c r="H132" s="156"/>
      <c r="I132" s="156"/>
      <c r="J132" s="156"/>
      <c r="K132" s="132"/>
      <c r="L132" s="473"/>
      <c r="M132" s="156"/>
      <c r="N132" s="156"/>
      <c r="O132" s="156"/>
      <c r="P132" s="132"/>
      <c r="Q132" s="487"/>
      <c r="R132" s="156"/>
      <c r="S132" s="156"/>
      <c r="T132" s="156"/>
      <c r="U132" s="154"/>
      <c r="V132" s="473"/>
      <c r="W132" s="156"/>
      <c r="X132" s="156"/>
      <c r="Y132" s="156"/>
      <c r="Z132" s="154"/>
      <c r="AA132" s="473"/>
      <c r="AB132" s="156"/>
      <c r="AC132" s="156"/>
      <c r="AD132" s="156"/>
      <c r="AE132" s="154"/>
      <c r="AF132" s="473"/>
      <c r="AG132" s="156"/>
      <c r="AH132" s="156"/>
      <c r="AI132" s="156"/>
      <c r="AJ132" s="154"/>
      <c r="AK132" s="473"/>
      <c r="AL132" s="156"/>
      <c r="AM132" s="156"/>
      <c r="AN132" s="156"/>
      <c r="AO132" s="154"/>
      <c r="AP132" s="473"/>
      <c r="AQ132" s="156"/>
      <c r="AR132" s="156"/>
      <c r="AS132" s="156"/>
      <c r="AT132" s="156"/>
      <c r="AU132" s="156"/>
      <c r="AV132" s="156"/>
      <c r="AW132" s="156"/>
      <c r="AX132" s="156"/>
      <c r="AY132" s="154"/>
      <c r="AZ132" s="473"/>
      <c r="BA132" s="156"/>
      <c r="BB132" s="156"/>
      <c r="BC132" s="156"/>
      <c r="BD132" s="156"/>
      <c r="BE132" s="156"/>
      <c r="BF132" s="156"/>
      <c r="BG132" s="156"/>
      <c r="BH132" s="156"/>
    </row>
    <row r="133">
      <c r="A133" s="154"/>
      <c r="B133" s="473"/>
      <c r="C133" s="156"/>
      <c r="D133" s="156"/>
      <c r="E133" s="156"/>
      <c r="F133" s="154"/>
      <c r="G133" s="473"/>
      <c r="H133" s="156"/>
      <c r="I133" s="156"/>
      <c r="J133" s="156"/>
      <c r="K133" s="132"/>
      <c r="L133" s="473"/>
      <c r="M133" s="156"/>
      <c r="N133" s="156"/>
      <c r="O133" s="156"/>
      <c r="P133" s="132"/>
      <c r="Q133" s="487"/>
      <c r="R133" s="156"/>
      <c r="S133" s="156"/>
      <c r="T133" s="156"/>
      <c r="U133" s="154"/>
      <c r="V133" s="473"/>
      <c r="W133" s="156"/>
      <c r="X133" s="156"/>
      <c r="Y133" s="156"/>
      <c r="Z133" s="154"/>
      <c r="AA133" s="473"/>
      <c r="AB133" s="156"/>
      <c r="AC133" s="156"/>
      <c r="AD133" s="156"/>
      <c r="AE133" s="154"/>
      <c r="AF133" s="473"/>
      <c r="AG133" s="156"/>
      <c r="AH133" s="156"/>
      <c r="AI133" s="156"/>
      <c r="AJ133" s="154"/>
      <c r="AK133" s="473"/>
      <c r="AL133" s="156"/>
      <c r="AM133" s="156"/>
      <c r="AN133" s="156"/>
      <c r="AO133" s="154"/>
      <c r="AP133" s="473"/>
      <c r="AQ133" s="156"/>
      <c r="AR133" s="156"/>
      <c r="AS133" s="156"/>
      <c r="AT133" s="156"/>
      <c r="AU133" s="156"/>
      <c r="AV133" s="156"/>
      <c r="AW133" s="156"/>
      <c r="AX133" s="156"/>
      <c r="AY133" s="154"/>
      <c r="AZ133" s="473"/>
      <c r="BA133" s="156"/>
      <c r="BB133" s="156"/>
      <c r="BC133" s="156"/>
      <c r="BD133" s="156"/>
      <c r="BE133" s="156"/>
      <c r="BF133" s="156"/>
      <c r="BG133" s="156"/>
      <c r="BH133" s="156"/>
    </row>
    <row r="134">
      <c r="A134" s="154"/>
      <c r="B134" s="473"/>
      <c r="C134" s="156"/>
      <c r="D134" s="156"/>
      <c r="E134" s="156"/>
      <c r="F134" s="154"/>
      <c r="G134" s="473"/>
      <c r="H134" s="156"/>
      <c r="I134" s="156"/>
      <c r="J134" s="156"/>
      <c r="K134" s="132"/>
      <c r="L134" s="473"/>
      <c r="M134" s="156"/>
      <c r="N134" s="156"/>
      <c r="O134" s="156"/>
      <c r="P134" s="132"/>
      <c r="Q134" s="487"/>
      <c r="R134" s="156"/>
      <c r="S134" s="156"/>
      <c r="T134" s="156"/>
      <c r="U134" s="154"/>
      <c r="V134" s="473"/>
      <c r="W134" s="156"/>
      <c r="X134" s="156"/>
      <c r="Y134" s="156"/>
      <c r="Z134" s="154"/>
      <c r="AA134" s="473"/>
      <c r="AB134" s="156"/>
      <c r="AC134" s="156"/>
      <c r="AD134" s="156"/>
      <c r="AE134" s="154"/>
      <c r="AF134" s="473"/>
      <c r="AG134" s="156"/>
      <c r="AH134" s="156"/>
      <c r="AI134" s="156"/>
      <c r="AJ134" s="154"/>
      <c r="AK134" s="473"/>
      <c r="AL134" s="156"/>
      <c r="AM134" s="156"/>
      <c r="AN134" s="156"/>
      <c r="AO134" s="154"/>
      <c r="AP134" s="473"/>
      <c r="AQ134" s="156"/>
      <c r="AR134" s="156"/>
      <c r="AS134" s="156"/>
      <c r="AT134" s="156"/>
      <c r="AU134" s="156"/>
      <c r="AV134" s="156"/>
      <c r="AW134" s="156"/>
      <c r="AX134" s="156"/>
      <c r="AY134" s="154"/>
      <c r="AZ134" s="473"/>
      <c r="BA134" s="156"/>
      <c r="BB134" s="156"/>
      <c r="BC134" s="156"/>
      <c r="BD134" s="156"/>
      <c r="BE134" s="156"/>
      <c r="BF134" s="156"/>
      <c r="BG134" s="156"/>
      <c r="BH134" s="156"/>
    </row>
    <row r="135">
      <c r="A135" s="154"/>
      <c r="B135" s="473"/>
      <c r="C135" s="156"/>
      <c r="D135" s="156"/>
      <c r="E135" s="156"/>
      <c r="F135" s="154"/>
      <c r="G135" s="473"/>
      <c r="H135" s="156"/>
      <c r="I135" s="156"/>
      <c r="J135" s="156"/>
      <c r="K135" s="132"/>
      <c r="L135" s="473"/>
      <c r="M135" s="156"/>
      <c r="N135" s="156"/>
      <c r="O135" s="156"/>
      <c r="P135" s="132"/>
      <c r="Q135" s="487"/>
      <c r="R135" s="156"/>
      <c r="S135" s="156"/>
      <c r="T135" s="156"/>
      <c r="U135" s="154"/>
      <c r="V135" s="473"/>
      <c r="W135" s="156"/>
      <c r="X135" s="156"/>
      <c r="Y135" s="156"/>
      <c r="Z135" s="154"/>
      <c r="AA135" s="473"/>
      <c r="AB135" s="156"/>
      <c r="AC135" s="156"/>
      <c r="AD135" s="156"/>
      <c r="AE135" s="154"/>
      <c r="AF135" s="473"/>
      <c r="AG135" s="156"/>
      <c r="AH135" s="156"/>
      <c r="AI135" s="156"/>
      <c r="AJ135" s="154"/>
      <c r="AK135" s="473"/>
      <c r="AL135" s="156"/>
      <c r="AM135" s="156"/>
      <c r="AN135" s="156"/>
      <c r="AO135" s="154"/>
      <c r="AP135" s="473"/>
      <c r="AQ135" s="156"/>
      <c r="AR135" s="156"/>
      <c r="AS135" s="156"/>
      <c r="AT135" s="156"/>
      <c r="AU135" s="156"/>
      <c r="AV135" s="156"/>
      <c r="AW135" s="156"/>
      <c r="AX135" s="156"/>
      <c r="AY135" s="154"/>
      <c r="AZ135" s="473"/>
      <c r="BA135" s="156"/>
      <c r="BB135" s="156"/>
      <c r="BC135" s="156"/>
      <c r="BD135" s="156"/>
      <c r="BE135" s="156"/>
      <c r="BF135" s="156"/>
      <c r="BG135" s="156"/>
      <c r="BH135" s="156"/>
    </row>
    <row r="136">
      <c r="A136" s="154"/>
      <c r="B136" s="473"/>
      <c r="C136" s="156"/>
      <c r="D136" s="156"/>
      <c r="E136" s="156"/>
      <c r="F136" s="154"/>
      <c r="G136" s="473"/>
      <c r="H136" s="156"/>
      <c r="I136" s="156"/>
      <c r="J136" s="156"/>
      <c r="K136" s="132"/>
      <c r="L136" s="473"/>
      <c r="M136" s="156"/>
      <c r="N136" s="156"/>
      <c r="O136" s="156"/>
      <c r="P136" s="132"/>
      <c r="Q136" s="487"/>
      <c r="R136" s="156"/>
      <c r="S136" s="156"/>
      <c r="T136" s="156"/>
      <c r="U136" s="154"/>
      <c r="V136" s="473"/>
      <c r="W136" s="156"/>
      <c r="X136" s="156"/>
      <c r="Y136" s="156"/>
      <c r="Z136" s="154"/>
      <c r="AA136" s="473"/>
      <c r="AB136" s="156"/>
      <c r="AC136" s="156"/>
      <c r="AD136" s="156"/>
      <c r="AE136" s="154"/>
      <c r="AF136" s="473"/>
      <c r="AG136" s="156"/>
      <c r="AH136" s="156"/>
      <c r="AI136" s="156"/>
      <c r="AJ136" s="154"/>
      <c r="AK136" s="473"/>
      <c r="AL136" s="156"/>
      <c r="AM136" s="156"/>
      <c r="AN136" s="156"/>
      <c r="AO136" s="154"/>
      <c r="AP136" s="473"/>
      <c r="AQ136" s="156"/>
      <c r="AR136" s="156"/>
      <c r="AS136" s="156"/>
      <c r="AT136" s="156"/>
      <c r="AU136" s="156"/>
      <c r="AV136" s="156"/>
      <c r="AW136" s="156"/>
      <c r="AX136" s="156"/>
      <c r="AY136" s="154"/>
      <c r="AZ136" s="473"/>
      <c r="BA136" s="156"/>
      <c r="BB136" s="156"/>
      <c r="BC136" s="156"/>
      <c r="BD136" s="156"/>
      <c r="BE136" s="156"/>
      <c r="BF136" s="156"/>
      <c r="BG136" s="156"/>
      <c r="BH136" s="156"/>
    </row>
    <row r="137">
      <c r="A137" s="154"/>
      <c r="B137" s="473"/>
      <c r="C137" s="156"/>
      <c r="D137" s="156"/>
      <c r="E137" s="156"/>
      <c r="F137" s="154"/>
      <c r="G137" s="473"/>
      <c r="H137" s="156"/>
      <c r="I137" s="156"/>
      <c r="J137" s="156"/>
      <c r="K137" s="132"/>
      <c r="L137" s="473"/>
      <c r="M137" s="156"/>
      <c r="N137" s="156"/>
      <c r="O137" s="156"/>
      <c r="P137" s="132"/>
      <c r="Q137" s="487"/>
      <c r="R137" s="156"/>
      <c r="S137" s="156"/>
      <c r="T137" s="156"/>
      <c r="U137" s="154"/>
      <c r="V137" s="473"/>
      <c r="W137" s="156"/>
      <c r="X137" s="156"/>
      <c r="Y137" s="156"/>
      <c r="Z137" s="154"/>
      <c r="AA137" s="473"/>
      <c r="AB137" s="156"/>
      <c r="AC137" s="156"/>
      <c r="AD137" s="156"/>
      <c r="AE137" s="154"/>
      <c r="AF137" s="473"/>
      <c r="AG137" s="156"/>
      <c r="AH137" s="156"/>
      <c r="AI137" s="156"/>
      <c r="AJ137" s="154"/>
      <c r="AK137" s="473"/>
      <c r="AL137" s="156"/>
      <c r="AM137" s="156"/>
      <c r="AN137" s="156"/>
      <c r="AO137" s="154"/>
      <c r="AP137" s="473"/>
      <c r="AQ137" s="156"/>
      <c r="AR137" s="156"/>
      <c r="AS137" s="156"/>
      <c r="AT137" s="156"/>
      <c r="AU137" s="156"/>
      <c r="AV137" s="156"/>
      <c r="AW137" s="156"/>
      <c r="AX137" s="156"/>
      <c r="AY137" s="154"/>
      <c r="AZ137" s="473"/>
      <c r="BA137" s="156"/>
      <c r="BB137" s="156"/>
      <c r="BC137" s="156"/>
      <c r="BD137" s="156"/>
      <c r="BE137" s="156"/>
      <c r="BF137" s="156"/>
      <c r="BG137" s="156"/>
      <c r="BH137" s="156"/>
    </row>
    <row r="138">
      <c r="A138" s="154"/>
      <c r="B138" s="473"/>
      <c r="C138" s="156"/>
      <c r="D138" s="156"/>
      <c r="E138" s="156"/>
      <c r="F138" s="154"/>
      <c r="G138" s="473"/>
      <c r="H138" s="156"/>
      <c r="I138" s="156"/>
      <c r="J138" s="156"/>
      <c r="K138" s="132"/>
      <c r="L138" s="473"/>
      <c r="M138" s="156"/>
      <c r="N138" s="156"/>
      <c r="O138" s="156"/>
      <c r="P138" s="132"/>
      <c r="Q138" s="487"/>
      <c r="R138" s="156"/>
      <c r="S138" s="156"/>
      <c r="T138" s="156"/>
      <c r="U138" s="154"/>
      <c r="V138" s="473"/>
      <c r="W138" s="156"/>
      <c r="X138" s="156"/>
      <c r="Y138" s="156"/>
      <c r="Z138" s="154"/>
      <c r="AA138" s="473"/>
      <c r="AB138" s="156"/>
      <c r="AC138" s="156"/>
      <c r="AD138" s="156"/>
      <c r="AE138" s="154"/>
      <c r="AF138" s="473"/>
      <c r="AG138" s="156"/>
      <c r="AH138" s="156"/>
      <c r="AI138" s="156"/>
      <c r="AJ138" s="154"/>
      <c r="AK138" s="473"/>
      <c r="AL138" s="156"/>
      <c r="AM138" s="156"/>
      <c r="AN138" s="156"/>
      <c r="AO138" s="154"/>
      <c r="AP138" s="473"/>
      <c r="AQ138" s="156"/>
      <c r="AR138" s="156"/>
      <c r="AS138" s="156"/>
      <c r="AT138" s="156"/>
      <c r="AU138" s="156"/>
      <c r="AV138" s="156"/>
      <c r="AW138" s="156"/>
      <c r="AX138" s="156"/>
      <c r="AY138" s="154"/>
      <c r="AZ138" s="473"/>
      <c r="BA138" s="156"/>
      <c r="BB138" s="156"/>
      <c r="BC138" s="156"/>
      <c r="BD138" s="156"/>
      <c r="BE138" s="156"/>
      <c r="BF138" s="156"/>
      <c r="BG138" s="156"/>
      <c r="BH138" s="156"/>
    </row>
    <row r="139">
      <c r="A139" s="154"/>
      <c r="B139" s="473"/>
      <c r="C139" s="156"/>
      <c r="D139" s="156"/>
      <c r="E139" s="156"/>
      <c r="F139" s="154"/>
      <c r="G139" s="473"/>
      <c r="H139" s="156"/>
      <c r="I139" s="156"/>
      <c r="J139" s="156"/>
      <c r="K139" s="132"/>
      <c r="L139" s="473"/>
      <c r="M139" s="156"/>
      <c r="N139" s="156"/>
      <c r="O139" s="156"/>
      <c r="P139" s="132"/>
      <c r="Q139" s="487"/>
      <c r="R139" s="156"/>
      <c r="S139" s="156"/>
      <c r="T139" s="156"/>
      <c r="U139" s="154"/>
      <c r="V139" s="473"/>
      <c r="W139" s="156"/>
      <c r="X139" s="156"/>
      <c r="Y139" s="156"/>
      <c r="Z139" s="154"/>
      <c r="AA139" s="473"/>
      <c r="AB139" s="156"/>
      <c r="AC139" s="156"/>
      <c r="AD139" s="156"/>
      <c r="AE139" s="154"/>
      <c r="AF139" s="473"/>
      <c r="AG139" s="156"/>
      <c r="AH139" s="156"/>
      <c r="AI139" s="156"/>
      <c r="AJ139" s="154"/>
      <c r="AK139" s="473"/>
      <c r="AL139" s="156"/>
      <c r="AM139" s="156"/>
      <c r="AN139" s="156"/>
      <c r="AO139" s="154"/>
      <c r="AP139" s="473"/>
      <c r="AQ139" s="156"/>
      <c r="AR139" s="156"/>
      <c r="AS139" s="156"/>
      <c r="AT139" s="156"/>
      <c r="AU139" s="156"/>
      <c r="AV139" s="156"/>
      <c r="AW139" s="156"/>
      <c r="AX139" s="156"/>
      <c r="AY139" s="154"/>
      <c r="AZ139" s="473"/>
      <c r="BA139" s="156"/>
      <c r="BB139" s="156"/>
      <c r="BC139" s="156"/>
      <c r="BD139" s="156"/>
      <c r="BE139" s="156"/>
      <c r="BF139" s="156"/>
      <c r="BG139" s="156"/>
      <c r="BH139" s="156"/>
    </row>
    <row r="140">
      <c r="A140" s="154"/>
      <c r="B140" s="473"/>
      <c r="C140" s="156"/>
      <c r="D140" s="156"/>
      <c r="E140" s="156"/>
      <c r="F140" s="154"/>
      <c r="G140" s="473"/>
      <c r="H140" s="156"/>
      <c r="I140" s="156"/>
      <c r="J140" s="156"/>
      <c r="K140" s="132"/>
      <c r="L140" s="473"/>
      <c r="M140" s="156"/>
      <c r="N140" s="156"/>
      <c r="O140" s="156"/>
      <c r="P140" s="132"/>
      <c r="Q140" s="487"/>
      <c r="R140" s="156"/>
      <c r="S140" s="156"/>
      <c r="T140" s="156"/>
      <c r="U140" s="154"/>
      <c r="V140" s="473"/>
      <c r="W140" s="156"/>
      <c r="X140" s="156"/>
      <c r="Y140" s="156"/>
      <c r="Z140" s="154"/>
      <c r="AA140" s="473"/>
      <c r="AB140" s="156"/>
      <c r="AC140" s="156"/>
      <c r="AD140" s="156"/>
      <c r="AE140" s="154"/>
      <c r="AF140" s="473"/>
      <c r="AG140" s="156"/>
      <c r="AH140" s="156"/>
      <c r="AI140" s="156"/>
      <c r="AJ140" s="154"/>
      <c r="AK140" s="473"/>
      <c r="AL140" s="156"/>
      <c r="AM140" s="156"/>
      <c r="AN140" s="156"/>
      <c r="AO140" s="154"/>
      <c r="AP140" s="473"/>
      <c r="AQ140" s="156"/>
      <c r="AR140" s="156"/>
      <c r="AS140" s="156"/>
      <c r="AT140" s="156"/>
      <c r="AU140" s="156"/>
      <c r="AV140" s="156"/>
      <c r="AW140" s="156"/>
      <c r="AX140" s="156"/>
      <c r="AY140" s="154"/>
      <c r="AZ140" s="473"/>
      <c r="BA140" s="156"/>
      <c r="BB140" s="156"/>
      <c r="BC140" s="156"/>
      <c r="BD140" s="156"/>
      <c r="BE140" s="156"/>
      <c r="BF140" s="156"/>
      <c r="BG140" s="156"/>
      <c r="BH140" s="156"/>
    </row>
    <row r="141">
      <c r="A141" s="154"/>
      <c r="B141" s="473"/>
      <c r="C141" s="156"/>
      <c r="D141" s="156"/>
      <c r="E141" s="156"/>
      <c r="F141" s="154"/>
      <c r="G141" s="473"/>
      <c r="H141" s="156"/>
      <c r="I141" s="156"/>
      <c r="J141" s="156"/>
      <c r="K141" s="132"/>
      <c r="L141" s="473"/>
      <c r="M141" s="156"/>
      <c r="N141" s="156"/>
      <c r="O141" s="156"/>
      <c r="P141" s="132"/>
      <c r="Q141" s="487"/>
      <c r="R141" s="156"/>
      <c r="S141" s="156"/>
      <c r="T141" s="156"/>
      <c r="U141" s="154"/>
      <c r="V141" s="473"/>
      <c r="W141" s="156"/>
      <c r="X141" s="156"/>
      <c r="Y141" s="156"/>
      <c r="Z141" s="154"/>
      <c r="AA141" s="473"/>
      <c r="AB141" s="156"/>
      <c r="AC141" s="156"/>
      <c r="AD141" s="156"/>
      <c r="AE141" s="154"/>
      <c r="AF141" s="473"/>
      <c r="AG141" s="156"/>
      <c r="AH141" s="156"/>
      <c r="AI141" s="156"/>
      <c r="AJ141" s="154"/>
      <c r="AK141" s="473"/>
      <c r="AL141" s="156"/>
      <c r="AM141" s="156"/>
      <c r="AN141" s="156"/>
      <c r="AO141" s="154"/>
      <c r="AP141" s="473"/>
      <c r="AQ141" s="156"/>
      <c r="AR141" s="156"/>
      <c r="AS141" s="156"/>
      <c r="AT141" s="156"/>
      <c r="AU141" s="156"/>
      <c r="AV141" s="156"/>
      <c r="AW141" s="156"/>
      <c r="AX141" s="156"/>
      <c r="AY141" s="154"/>
      <c r="AZ141" s="473"/>
      <c r="BA141" s="156"/>
      <c r="BB141" s="156"/>
      <c r="BC141" s="156"/>
      <c r="BD141" s="156"/>
      <c r="BE141" s="156"/>
      <c r="BF141" s="156"/>
      <c r="BG141" s="156"/>
      <c r="BH141" s="156"/>
    </row>
    <row r="142">
      <c r="A142" s="154"/>
      <c r="B142" s="473"/>
      <c r="C142" s="156"/>
      <c r="D142" s="156"/>
      <c r="E142" s="156"/>
      <c r="F142" s="154"/>
      <c r="G142" s="473"/>
      <c r="H142" s="156"/>
      <c r="I142" s="156"/>
      <c r="J142" s="156"/>
      <c r="K142" s="132"/>
      <c r="L142" s="473"/>
      <c r="M142" s="156"/>
      <c r="N142" s="156"/>
      <c r="O142" s="156"/>
      <c r="P142" s="132"/>
      <c r="Q142" s="487"/>
      <c r="R142" s="156"/>
      <c r="S142" s="156"/>
      <c r="T142" s="156"/>
      <c r="U142" s="154"/>
      <c r="V142" s="473"/>
      <c r="W142" s="156"/>
      <c r="X142" s="156"/>
      <c r="Y142" s="156"/>
      <c r="Z142" s="154"/>
      <c r="AA142" s="473"/>
      <c r="AB142" s="156"/>
      <c r="AC142" s="156"/>
      <c r="AD142" s="156"/>
      <c r="AE142" s="154"/>
      <c r="AF142" s="473"/>
      <c r="AG142" s="156"/>
      <c r="AH142" s="156"/>
      <c r="AI142" s="156"/>
      <c r="AJ142" s="154"/>
      <c r="AK142" s="473"/>
      <c r="AL142" s="156"/>
      <c r="AM142" s="156"/>
      <c r="AN142" s="156"/>
      <c r="AO142" s="154"/>
      <c r="AP142" s="473"/>
      <c r="AQ142" s="156"/>
      <c r="AR142" s="156"/>
      <c r="AS142" s="156"/>
      <c r="AT142" s="156"/>
      <c r="AU142" s="156"/>
      <c r="AV142" s="156"/>
      <c r="AW142" s="156"/>
      <c r="AX142" s="156"/>
      <c r="AY142" s="154"/>
      <c r="AZ142" s="473"/>
      <c r="BA142" s="156"/>
      <c r="BB142" s="156"/>
      <c r="BC142" s="156"/>
      <c r="BD142" s="156"/>
      <c r="BE142" s="156"/>
      <c r="BF142" s="156"/>
      <c r="BG142" s="156"/>
      <c r="BH142" s="156"/>
    </row>
    <row r="143">
      <c r="A143" s="154"/>
      <c r="B143" s="473"/>
      <c r="C143" s="156"/>
      <c r="D143" s="156"/>
      <c r="E143" s="156"/>
      <c r="F143" s="154"/>
      <c r="G143" s="473"/>
      <c r="H143" s="156"/>
      <c r="I143" s="156"/>
      <c r="J143" s="156"/>
      <c r="K143" s="132"/>
      <c r="L143" s="473"/>
      <c r="M143" s="156"/>
      <c r="N143" s="156"/>
      <c r="O143" s="156"/>
      <c r="P143" s="132"/>
      <c r="Q143" s="487"/>
      <c r="R143" s="156"/>
      <c r="S143" s="156"/>
      <c r="T143" s="156"/>
      <c r="U143" s="154"/>
      <c r="V143" s="473"/>
      <c r="W143" s="156"/>
      <c r="X143" s="156"/>
      <c r="Y143" s="156"/>
      <c r="Z143" s="154"/>
      <c r="AA143" s="473"/>
      <c r="AB143" s="156"/>
      <c r="AC143" s="156"/>
      <c r="AD143" s="156"/>
      <c r="AE143" s="154"/>
      <c r="AF143" s="473"/>
      <c r="AG143" s="156"/>
      <c r="AH143" s="156"/>
      <c r="AI143" s="156"/>
      <c r="AJ143" s="154"/>
      <c r="AK143" s="473"/>
      <c r="AL143" s="156"/>
      <c r="AM143" s="156"/>
      <c r="AN143" s="156"/>
      <c r="AO143" s="154"/>
      <c r="AP143" s="473"/>
      <c r="AQ143" s="156"/>
      <c r="AR143" s="156"/>
      <c r="AS143" s="156"/>
      <c r="AT143" s="156"/>
      <c r="AU143" s="156"/>
      <c r="AV143" s="156"/>
      <c r="AW143" s="156"/>
      <c r="AX143" s="156"/>
      <c r="AY143" s="154"/>
      <c r="AZ143" s="473"/>
      <c r="BA143" s="156"/>
      <c r="BB143" s="156"/>
      <c r="BC143" s="156"/>
      <c r="BD143" s="156"/>
      <c r="BE143" s="156"/>
      <c r="BF143" s="156"/>
      <c r="BG143" s="156"/>
      <c r="BH143" s="156"/>
    </row>
    <row r="144">
      <c r="A144" s="154"/>
      <c r="B144" s="473"/>
      <c r="C144" s="156"/>
      <c r="D144" s="156"/>
      <c r="E144" s="156"/>
      <c r="F144" s="154"/>
      <c r="G144" s="473"/>
      <c r="H144" s="156"/>
      <c r="I144" s="156"/>
      <c r="J144" s="156"/>
      <c r="K144" s="132"/>
      <c r="L144" s="473"/>
      <c r="M144" s="156"/>
      <c r="N144" s="156"/>
      <c r="O144" s="156"/>
      <c r="P144" s="132"/>
      <c r="Q144" s="487"/>
      <c r="R144" s="156"/>
      <c r="S144" s="156"/>
      <c r="T144" s="156"/>
      <c r="U144" s="154"/>
      <c r="V144" s="473"/>
      <c r="W144" s="156"/>
      <c r="X144" s="156"/>
      <c r="Y144" s="156"/>
      <c r="Z144" s="154"/>
      <c r="AA144" s="473"/>
      <c r="AB144" s="156"/>
      <c r="AC144" s="156"/>
      <c r="AD144" s="156"/>
      <c r="AE144" s="154"/>
      <c r="AF144" s="473"/>
      <c r="AG144" s="156"/>
      <c r="AH144" s="156"/>
      <c r="AI144" s="156"/>
      <c r="AJ144" s="154"/>
      <c r="AK144" s="473"/>
      <c r="AL144" s="156"/>
      <c r="AM144" s="156"/>
      <c r="AN144" s="156"/>
      <c r="AO144" s="154"/>
      <c r="AP144" s="473"/>
      <c r="AQ144" s="156"/>
      <c r="AR144" s="156"/>
      <c r="AS144" s="156"/>
      <c r="AT144" s="156"/>
      <c r="AU144" s="156"/>
      <c r="AV144" s="156"/>
      <c r="AW144" s="156"/>
      <c r="AX144" s="156"/>
      <c r="AY144" s="154"/>
      <c r="AZ144" s="473"/>
      <c r="BA144" s="156"/>
      <c r="BB144" s="156"/>
      <c r="BC144" s="156"/>
      <c r="BD144" s="156"/>
      <c r="BE144" s="156"/>
      <c r="BF144" s="156"/>
      <c r="BG144" s="156"/>
      <c r="BH144" s="156"/>
    </row>
    <row r="145">
      <c r="A145" s="154"/>
      <c r="B145" s="473"/>
      <c r="C145" s="156"/>
      <c r="D145" s="156"/>
      <c r="E145" s="156"/>
      <c r="F145" s="154"/>
      <c r="G145" s="473"/>
      <c r="H145" s="156"/>
      <c r="I145" s="156"/>
      <c r="J145" s="156"/>
      <c r="K145" s="132"/>
      <c r="L145" s="473"/>
      <c r="M145" s="156"/>
      <c r="N145" s="156"/>
      <c r="O145" s="156"/>
      <c r="P145" s="132"/>
      <c r="Q145" s="487"/>
      <c r="R145" s="156"/>
      <c r="S145" s="156"/>
      <c r="T145" s="156"/>
      <c r="U145" s="154"/>
      <c r="V145" s="473"/>
      <c r="W145" s="156"/>
      <c r="X145" s="156"/>
      <c r="Y145" s="156"/>
      <c r="Z145" s="154"/>
      <c r="AA145" s="473"/>
      <c r="AB145" s="156"/>
      <c r="AC145" s="156"/>
      <c r="AD145" s="156"/>
      <c r="AE145" s="154"/>
      <c r="AF145" s="473"/>
      <c r="AG145" s="156"/>
      <c r="AH145" s="156"/>
      <c r="AI145" s="156"/>
      <c r="AJ145" s="154"/>
      <c r="AK145" s="473"/>
      <c r="AL145" s="156"/>
      <c r="AM145" s="156"/>
      <c r="AN145" s="156"/>
      <c r="AO145" s="154"/>
      <c r="AP145" s="473"/>
      <c r="AQ145" s="156"/>
      <c r="AR145" s="156"/>
      <c r="AS145" s="156"/>
      <c r="AT145" s="156"/>
      <c r="AU145" s="156"/>
      <c r="AV145" s="156"/>
      <c r="AW145" s="156"/>
      <c r="AX145" s="156"/>
      <c r="AY145" s="154"/>
      <c r="AZ145" s="473"/>
      <c r="BA145" s="156"/>
      <c r="BB145" s="156"/>
      <c r="BC145" s="156"/>
      <c r="BD145" s="156"/>
      <c r="BE145" s="156"/>
      <c r="BF145" s="156"/>
      <c r="BG145" s="156"/>
      <c r="BH145" s="156"/>
    </row>
    <row r="146">
      <c r="A146" s="154"/>
      <c r="B146" s="473"/>
      <c r="C146" s="156"/>
      <c r="D146" s="156"/>
      <c r="E146" s="156"/>
      <c r="F146" s="154"/>
      <c r="G146" s="473"/>
      <c r="H146" s="156"/>
      <c r="I146" s="156"/>
      <c r="J146" s="156"/>
      <c r="K146" s="132"/>
      <c r="L146" s="473"/>
      <c r="M146" s="156"/>
      <c r="N146" s="156"/>
      <c r="O146" s="156"/>
      <c r="P146" s="132"/>
      <c r="Q146" s="487"/>
      <c r="R146" s="156"/>
      <c r="S146" s="156"/>
      <c r="T146" s="156"/>
      <c r="U146" s="154"/>
      <c r="V146" s="473"/>
      <c r="W146" s="156"/>
      <c r="X146" s="156"/>
      <c r="Y146" s="156"/>
      <c r="Z146" s="154"/>
      <c r="AA146" s="473"/>
      <c r="AB146" s="156"/>
      <c r="AC146" s="156"/>
      <c r="AD146" s="156"/>
      <c r="AE146" s="154"/>
      <c r="AF146" s="473"/>
      <c r="AG146" s="156"/>
      <c r="AH146" s="156"/>
      <c r="AI146" s="156"/>
      <c r="AJ146" s="154"/>
      <c r="AK146" s="473"/>
      <c r="AL146" s="156"/>
      <c r="AM146" s="156"/>
      <c r="AN146" s="156"/>
      <c r="AO146" s="154"/>
      <c r="AP146" s="473"/>
      <c r="AQ146" s="156"/>
      <c r="AR146" s="156"/>
      <c r="AS146" s="156"/>
      <c r="AT146" s="156"/>
      <c r="AU146" s="156"/>
      <c r="AV146" s="156"/>
      <c r="AW146" s="156"/>
      <c r="AX146" s="156"/>
      <c r="AY146" s="154"/>
      <c r="AZ146" s="473"/>
      <c r="BA146" s="156"/>
      <c r="BB146" s="156"/>
      <c r="BC146" s="156"/>
      <c r="BD146" s="156"/>
      <c r="BE146" s="156"/>
      <c r="BF146" s="156"/>
      <c r="BG146" s="156"/>
      <c r="BH146" s="156"/>
    </row>
    <row r="147">
      <c r="A147" s="154"/>
      <c r="B147" s="473"/>
      <c r="C147" s="156"/>
      <c r="D147" s="156"/>
      <c r="E147" s="156"/>
      <c r="F147" s="154"/>
      <c r="G147" s="473"/>
      <c r="H147" s="156"/>
      <c r="I147" s="156"/>
      <c r="J147" s="156"/>
      <c r="K147" s="132"/>
      <c r="L147" s="473"/>
      <c r="M147" s="156"/>
      <c r="N147" s="156"/>
      <c r="O147" s="156"/>
      <c r="P147" s="132"/>
      <c r="Q147" s="487"/>
      <c r="R147" s="156"/>
      <c r="S147" s="156"/>
      <c r="T147" s="156"/>
      <c r="U147" s="154"/>
      <c r="V147" s="473"/>
      <c r="W147" s="156"/>
      <c r="X147" s="156"/>
      <c r="Y147" s="156"/>
      <c r="Z147" s="154"/>
      <c r="AA147" s="473"/>
      <c r="AB147" s="156"/>
      <c r="AC147" s="156"/>
      <c r="AD147" s="156"/>
      <c r="AE147" s="154"/>
      <c r="AF147" s="473"/>
      <c r="AG147" s="156"/>
      <c r="AH147" s="156"/>
      <c r="AI147" s="156"/>
      <c r="AJ147" s="154"/>
      <c r="AK147" s="473"/>
      <c r="AL147" s="156"/>
      <c r="AM147" s="156"/>
      <c r="AN147" s="156"/>
      <c r="AO147" s="154"/>
      <c r="AP147" s="473"/>
      <c r="AQ147" s="156"/>
      <c r="AR147" s="156"/>
      <c r="AS147" s="156"/>
      <c r="AT147" s="156"/>
      <c r="AU147" s="156"/>
      <c r="AV147" s="156"/>
      <c r="AW147" s="156"/>
      <c r="AX147" s="156"/>
      <c r="AY147" s="154"/>
      <c r="AZ147" s="473"/>
      <c r="BA147" s="156"/>
      <c r="BB147" s="156"/>
      <c r="BC147" s="156"/>
      <c r="BD147" s="156"/>
      <c r="BE147" s="156"/>
      <c r="BF147" s="156"/>
      <c r="BG147" s="156"/>
      <c r="BH147" s="156"/>
    </row>
    <row r="148">
      <c r="A148" s="154"/>
      <c r="B148" s="473"/>
      <c r="C148" s="156"/>
      <c r="D148" s="156"/>
      <c r="E148" s="156"/>
      <c r="F148" s="154"/>
      <c r="G148" s="473"/>
      <c r="H148" s="156"/>
      <c r="I148" s="156"/>
      <c r="J148" s="156"/>
      <c r="K148" s="132"/>
      <c r="L148" s="473"/>
      <c r="M148" s="156"/>
      <c r="N148" s="156"/>
      <c r="O148" s="156"/>
      <c r="P148" s="132"/>
      <c r="Q148" s="487"/>
      <c r="R148" s="156"/>
      <c r="S148" s="156"/>
      <c r="T148" s="156"/>
      <c r="U148" s="154"/>
      <c r="V148" s="473"/>
      <c r="W148" s="156"/>
      <c r="X148" s="156"/>
      <c r="Y148" s="156"/>
      <c r="Z148" s="154"/>
      <c r="AA148" s="473"/>
      <c r="AB148" s="156"/>
      <c r="AC148" s="156"/>
      <c r="AD148" s="156"/>
      <c r="AE148" s="154"/>
      <c r="AF148" s="473"/>
      <c r="AG148" s="156"/>
      <c r="AH148" s="156"/>
      <c r="AI148" s="156"/>
      <c r="AJ148" s="154"/>
      <c r="AK148" s="473"/>
      <c r="AL148" s="156"/>
      <c r="AM148" s="156"/>
      <c r="AN148" s="156"/>
      <c r="AO148" s="154"/>
      <c r="AP148" s="473"/>
      <c r="AQ148" s="156"/>
      <c r="AR148" s="156"/>
      <c r="AS148" s="156"/>
      <c r="AT148" s="156"/>
      <c r="AU148" s="156"/>
      <c r="AV148" s="156"/>
      <c r="AW148" s="156"/>
      <c r="AX148" s="156"/>
      <c r="AY148" s="154"/>
      <c r="AZ148" s="473"/>
      <c r="BA148" s="156"/>
      <c r="BB148" s="156"/>
      <c r="BC148" s="156"/>
      <c r="BD148" s="156"/>
      <c r="BE148" s="156"/>
      <c r="BF148" s="156"/>
      <c r="BG148" s="156"/>
      <c r="BH148" s="156"/>
    </row>
    <row r="149">
      <c r="A149" s="154"/>
      <c r="B149" s="473"/>
      <c r="C149" s="156"/>
      <c r="D149" s="156"/>
      <c r="E149" s="156"/>
      <c r="F149" s="154"/>
      <c r="G149" s="473"/>
      <c r="H149" s="156"/>
      <c r="I149" s="156"/>
      <c r="J149" s="156"/>
      <c r="K149" s="132"/>
      <c r="L149" s="473"/>
      <c r="M149" s="156"/>
      <c r="N149" s="156"/>
      <c r="O149" s="156"/>
      <c r="P149" s="132"/>
      <c r="Q149" s="487"/>
      <c r="R149" s="156"/>
      <c r="S149" s="156"/>
      <c r="T149" s="156"/>
      <c r="U149" s="154"/>
      <c r="V149" s="473"/>
      <c r="W149" s="156"/>
      <c r="X149" s="156"/>
      <c r="Y149" s="156"/>
      <c r="Z149" s="154"/>
      <c r="AA149" s="473"/>
      <c r="AB149" s="156"/>
      <c r="AC149" s="156"/>
      <c r="AD149" s="156"/>
      <c r="AE149" s="154"/>
      <c r="AF149" s="473"/>
      <c r="AG149" s="156"/>
      <c r="AH149" s="156"/>
      <c r="AI149" s="156"/>
      <c r="AJ149" s="154"/>
      <c r="AK149" s="473"/>
      <c r="AL149" s="156"/>
      <c r="AM149" s="156"/>
      <c r="AN149" s="156"/>
      <c r="AO149" s="154"/>
      <c r="AP149" s="473"/>
      <c r="AQ149" s="156"/>
      <c r="AR149" s="156"/>
      <c r="AS149" s="156"/>
      <c r="AT149" s="156"/>
      <c r="AU149" s="156"/>
      <c r="AV149" s="156"/>
      <c r="AW149" s="156"/>
      <c r="AX149" s="156"/>
      <c r="AY149" s="154"/>
      <c r="AZ149" s="473"/>
      <c r="BA149" s="156"/>
      <c r="BB149" s="156"/>
      <c r="BC149" s="156"/>
      <c r="BD149" s="156"/>
      <c r="BE149" s="156"/>
      <c r="BF149" s="156"/>
      <c r="BG149" s="156"/>
      <c r="BH149" s="156"/>
    </row>
    <row r="150">
      <c r="A150" s="154"/>
      <c r="B150" s="473"/>
      <c r="C150" s="156"/>
      <c r="D150" s="156"/>
      <c r="E150" s="156"/>
      <c r="F150" s="154"/>
      <c r="G150" s="473"/>
      <c r="H150" s="156"/>
      <c r="I150" s="156"/>
      <c r="J150" s="156"/>
      <c r="K150" s="132"/>
      <c r="L150" s="473"/>
      <c r="M150" s="156"/>
      <c r="N150" s="156"/>
      <c r="O150" s="156"/>
      <c r="P150" s="132"/>
      <c r="Q150" s="487"/>
      <c r="R150" s="156"/>
      <c r="S150" s="156"/>
      <c r="T150" s="156"/>
      <c r="U150" s="154"/>
      <c r="V150" s="473"/>
      <c r="W150" s="156"/>
      <c r="X150" s="156"/>
      <c r="Y150" s="156"/>
      <c r="Z150" s="154"/>
      <c r="AA150" s="473"/>
      <c r="AB150" s="156"/>
      <c r="AC150" s="156"/>
      <c r="AD150" s="156"/>
      <c r="AE150" s="154"/>
      <c r="AF150" s="473"/>
      <c r="AG150" s="156"/>
      <c r="AH150" s="156"/>
      <c r="AI150" s="156"/>
      <c r="AJ150" s="154"/>
      <c r="AK150" s="473"/>
      <c r="AL150" s="156"/>
      <c r="AM150" s="156"/>
      <c r="AN150" s="156"/>
      <c r="AO150" s="154"/>
      <c r="AP150" s="473"/>
      <c r="AQ150" s="156"/>
      <c r="AR150" s="156"/>
      <c r="AS150" s="156"/>
      <c r="AT150" s="156"/>
      <c r="AU150" s="156"/>
      <c r="AV150" s="156"/>
      <c r="AW150" s="156"/>
      <c r="AX150" s="156"/>
      <c r="AY150" s="154"/>
      <c r="AZ150" s="473"/>
      <c r="BA150" s="156"/>
      <c r="BB150" s="156"/>
      <c r="BC150" s="156"/>
      <c r="BD150" s="156"/>
      <c r="BE150" s="156"/>
      <c r="BF150" s="156"/>
      <c r="BG150" s="156"/>
      <c r="BH150" s="156"/>
    </row>
    <row r="151">
      <c r="A151" s="154"/>
      <c r="B151" s="473"/>
      <c r="C151" s="156"/>
      <c r="D151" s="156"/>
      <c r="E151" s="156"/>
      <c r="F151" s="154"/>
      <c r="G151" s="473"/>
      <c r="H151" s="156"/>
      <c r="I151" s="156"/>
      <c r="J151" s="156"/>
      <c r="K151" s="132"/>
      <c r="L151" s="473"/>
      <c r="M151" s="156"/>
      <c r="N151" s="156"/>
      <c r="O151" s="156"/>
      <c r="P151" s="132"/>
      <c r="Q151" s="487"/>
      <c r="R151" s="156"/>
      <c r="S151" s="156"/>
      <c r="T151" s="156"/>
      <c r="U151" s="154"/>
      <c r="V151" s="473"/>
      <c r="W151" s="156"/>
      <c r="X151" s="156"/>
      <c r="Y151" s="156"/>
      <c r="Z151" s="154"/>
      <c r="AA151" s="473"/>
      <c r="AB151" s="156"/>
      <c r="AC151" s="156"/>
      <c r="AD151" s="156"/>
      <c r="AE151" s="154"/>
      <c r="AF151" s="473"/>
      <c r="AG151" s="156"/>
      <c r="AH151" s="156"/>
      <c r="AI151" s="156"/>
      <c r="AJ151" s="154"/>
      <c r="AK151" s="473"/>
      <c r="AL151" s="156"/>
      <c r="AM151" s="156"/>
      <c r="AN151" s="156"/>
      <c r="AO151" s="154"/>
      <c r="AP151" s="473"/>
      <c r="AQ151" s="156"/>
      <c r="AR151" s="156"/>
      <c r="AS151" s="156"/>
      <c r="AT151" s="156"/>
      <c r="AU151" s="156"/>
      <c r="AV151" s="156"/>
      <c r="AW151" s="156"/>
      <c r="AX151" s="156"/>
      <c r="AY151" s="154"/>
      <c r="AZ151" s="473"/>
      <c r="BA151" s="156"/>
      <c r="BB151" s="156"/>
      <c r="BC151" s="156"/>
      <c r="BD151" s="156"/>
      <c r="BE151" s="156"/>
      <c r="BF151" s="156"/>
      <c r="BG151" s="156"/>
      <c r="BH151" s="156"/>
    </row>
    <row r="152">
      <c r="A152" s="154"/>
      <c r="B152" s="473"/>
      <c r="C152" s="156"/>
      <c r="D152" s="156"/>
      <c r="E152" s="156"/>
      <c r="F152" s="154"/>
      <c r="G152" s="473"/>
      <c r="H152" s="156"/>
      <c r="I152" s="156"/>
      <c r="J152" s="156"/>
      <c r="K152" s="132"/>
      <c r="L152" s="473"/>
      <c r="M152" s="156"/>
      <c r="N152" s="156"/>
      <c r="O152" s="156"/>
      <c r="P152" s="132"/>
      <c r="Q152" s="487"/>
      <c r="R152" s="156"/>
      <c r="S152" s="156"/>
      <c r="T152" s="156"/>
      <c r="U152" s="154"/>
      <c r="V152" s="473"/>
      <c r="W152" s="156"/>
      <c r="X152" s="156"/>
      <c r="Y152" s="156"/>
      <c r="Z152" s="154"/>
      <c r="AA152" s="473"/>
      <c r="AB152" s="156"/>
      <c r="AC152" s="156"/>
      <c r="AD152" s="156"/>
      <c r="AE152" s="154"/>
      <c r="AF152" s="473"/>
      <c r="AG152" s="156"/>
      <c r="AH152" s="156"/>
      <c r="AI152" s="156"/>
      <c r="AJ152" s="154"/>
      <c r="AK152" s="473"/>
      <c r="AL152" s="156"/>
      <c r="AM152" s="156"/>
      <c r="AN152" s="156"/>
      <c r="AO152" s="154"/>
      <c r="AP152" s="473"/>
      <c r="AQ152" s="156"/>
      <c r="AR152" s="156"/>
      <c r="AS152" s="156"/>
      <c r="AT152" s="156"/>
      <c r="AU152" s="156"/>
      <c r="AV152" s="156"/>
      <c r="AW152" s="156"/>
      <c r="AX152" s="156"/>
      <c r="AY152" s="154"/>
      <c r="AZ152" s="473"/>
      <c r="BA152" s="156"/>
      <c r="BB152" s="156"/>
      <c r="BC152" s="156"/>
      <c r="BD152" s="156"/>
      <c r="BE152" s="156"/>
      <c r="BF152" s="156"/>
      <c r="BG152" s="156"/>
      <c r="BH152" s="156"/>
    </row>
    <row r="153">
      <c r="A153" s="154"/>
      <c r="B153" s="473"/>
      <c r="C153" s="156"/>
      <c r="D153" s="156"/>
      <c r="E153" s="156"/>
      <c r="F153" s="154"/>
      <c r="G153" s="473"/>
      <c r="H153" s="156"/>
      <c r="I153" s="156"/>
      <c r="J153" s="156"/>
      <c r="K153" s="132"/>
      <c r="L153" s="473"/>
      <c r="M153" s="156"/>
      <c r="N153" s="156"/>
      <c r="O153" s="156"/>
      <c r="P153" s="132"/>
      <c r="Q153" s="487"/>
      <c r="R153" s="156"/>
      <c r="S153" s="156"/>
      <c r="T153" s="156"/>
      <c r="U153" s="154"/>
      <c r="V153" s="473"/>
      <c r="W153" s="156"/>
      <c r="X153" s="156"/>
      <c r="Y153" s="156"/>
      <c r="Z153" s="154"/>
      <c r="AA153" s="473"/>
      <c r="AB153" s="156"/>
      <c r="AC153" s="156"/>
      <c r="AD153" s="156"/>
      <c r="AE153" s="154"/>
      <c r="AF153" s="473"/>
      <c r="AG153" s="156"/>
      <c r="AH153" s="156"/>
      <c r="AI153" s="156"/>
      <c r="AJ153" s="154"/>
      <c r="AK153" s="473"/>
      <c r="AL153" s="156"/>
      <c r="AM153" s="156"/>
      <c r="AN153" s="156"/>
      <c r="AO153" s="154"/>
      <c r="AP153" s="473"/>
      <c r="AQ153" s="156"/>
      <c r="AR153" s="156"/>
      <c r="AS153" s="156"/>
      <c r="AT153" s="156"/>
      <c r="AU153" s="156"/>
      <c r="AV153" s="156"/>
      <c r="AW153" s="156"/>
      <c r="AX153" s="156"/>
      <c r="AY153" s="154"/>
      <c r="AZ153" s="473"/>
      <c r="BA153" s="156"/>
      <c r="BB153" s="156"/>
      <c r="BC153" s="156"/>
      <c r="BD153" s="156"/>
      <c r="BE153" s="156"/>
      <c r="BF153" s="156"/>
      <c r="BG153" s="156"/>
      <c r="BH153" s="156"/>
    </row>
    <row r="154">
      <c r="A154" s="154"/>
      <c r="B154" s="473"/>
      <c r="C154" s="156"/>
      <c r="D154" s="156"/>
      <c r="E154" s="156"/>
      <c r="F154" s="154"/>
      <c r="G154" s="473"/>
      <c r="H154" s="156"/>
      <c r="I154" s="156"/>
      <c r="J154" s="156"/>
      <c r="K154" s="132"/>
      <c r="L154" s="473"/>
      <c r="M154" s="156"/>
      <c r="N154" s="156"/>
      <c r="O154" s="156"/>
      <c r="P154" s="132"/>
      <c r="Q154" s="487"/>
      <c r="R154" s="156"/>
      <c r="S154" s="156"/>
      <c r="T154" s="156"/>
      <c r="U154" s="154"/>
      <c r="V154" s="473"/>
      <c r="W154" s="156"/>
      <c r="X154" s="156"/>
      <c r="Y154" s="156"/>
      <c r="Z154" s="154"/>
      <c r="AA154" s="473"/>
      <c r="AB154" s="156"/>
      <c r="AC154" s="156"/>
      <c r="AD154" s="156"/>
      <c r="AE154" s="154"/>
      <c r="AF154" s="473"/>
      <c r="AG154" s="156"/>
      <c r="AH154" s="156"/>
      <c r="AI154" s="156"/>
      <c r="AJ154" s="154"/>
      <c r="AK154" s="473"/>
      <c r="AL154" s="156"/>
      <c r="AM154" s="156"/>
      <c r="AN154" s="156"/>
      <c r="AO154" s="154"/>
      <c r="AP154" s="473"/>
      <c r="AQ154" s="156"/>
      <c r="AR154" s="156"/>
      <c r="AS154" s="156"/>
      <c r="AT154" s="156"/>
      <c r="AU154" s="156"/>
      <c r="AV154" s="156"/>
      <c r="AW154" s="156"/>
      <c r="AX154" s="156"/>
      <c r="AY154" s="154"/>
      <c r="AZ154" s="473"/>
      <c r="BA154" s="156"/>
      <c r="BB154" s="156"/>
      <c r="BC154" s="156"/>
      <c r="BD154" s="156"/>
      <c r="BE154" s="156"/>
      <c r="BF154" s="156"/>
      <c r="BG154" s="156"/>
      <c r="BH154" s="156"/>
    </row>
    <row r="155">
      <c r="A155" s="154"/>
      <c r="B155" s="473"/>
      <c r="C155" s="156"/>
      <c r="D155" s="156"/>
      <c r="E155" s="156"/>
      <c r="F155" s="154"/>
      <c r="G155" s="473"/>
      <c r="H155" s="156"/>
      <c r="I155" s="156"/>
      <c r="J155" s="156"/>
      <c r="K155" s="132"/>
      <c r="L155" s="473"/>
      <c r="M155" s="156"/>
      <c r="N155" s="156"/>
      <c r="O155" s="156"/>
      <c r="P155" s="132"/>
      <c r="Q155" s="487"/>
      <c r="R155" s="156"/>
      <c r="S155" s="156"/>
      <c r="T155" s="156"/>
      <c r="U155" s="154"/>
      <c r="V155" s="473"/>
      <c r="W155" s="156"/>
      <c r="X155" s="156"/>
      <c r="Y155" s="156"/>
      <c r="Z155" s="154"/>
      <c r="AA155" s="473"/>
      <c r="AB155" s="156"/>
      <c r="AC155" s="156"/>
      <c r="AD155" s="156"/>
      <c r="AE155" s="154"/>
      <c r="AF155" s="473"/>
      <c r="AG155" s="156"/>
      <c r="AH155" s="156"/>
      <c r="AI155" s="156"/>
      <c r="AJ155" s="154"/>
      <c r="AK155" s="473"/>
      <c r="AL155" s="156"/>
      <c r="AM155" s="156"/>
      <c r="AN155" s="156"/>
      <c r="AO155" s="154"/>
      <c r="AP155" s="473"/>
      <c r="AQ155" s="156"/>
      <c r="AR155" s="156"/>
      <c r="AS155" s="156"/>
      <c r="AT155" s="156"/>
      <c r="AU155" s="156"/>
      <c r="AV155" s="156"/>
      <c r="AW155" s="156"/>
      <c r="AX155" s="156"/>
      <c r="AY155" s="154"/>
      <c r="AZ155" s="473"/>
      <c r="BA155" s="156"/>
      <c r="BB155" s="156"/>
      <c r="BC155" s="156"/>
      <c r="BD155" s="156"/>
      <c r="BE155" s="156"/>
      <c r="BF155" s="156"/>
      <c r="BG155" s="156"/>
      <c r="BH155" s="156"/>
    </row>
    <row r="156">
      <c r="A156" s="154"/>
      <c r="B156" s="473"/>
      <c r="C156" s="156"/>
      <c r="D156" s="156"/>
      <c r="E156" s="156"/>
      <c r="F156" s="154"/>
      <c r="G156" s="473"/>
      <c r="H156" s="156"/>
      <c r="I156" s="156"/>
      <c r="J156" s="156"/>
      <c r="K156" s="132"/>
      <c r="L156" s="473"/>
      <c r="M156" s="156"/>
      <c r="N156" s="156"/>
      <c r="O156" s="156"/>
      <c r="P156" s="132"/>
      <c r="Q156" s="487"/>
      <c r="R156" s="156"/>
      <c r="S156" s="156"/>
      <c r="T156" s="156"/>
      <c r="U156" s="154"/>
      <c r="V156" s="473"/>
      <c r="W156" s="156"/>
      <c r="X156" s="156"/>
      <c r="Y156" s="156"/>
      <c r="Z156" s="154"/>
      <c r="AA156" s="473"/>
      <c r="AB156" s="156"/>
      <c r="AC156" s="156"/>
      <c r="AD156" s="156"/>
      <c r="AE156" s="154"/>
      <c r="AF156" s="473"/>
      <c r="AG156" s="156"/>
      <c r="AH156" s="156"/>
      <c r="AI156" s="156"/>
      <c r="AJ156" s="154"/>
      <c r="AK156" s="473"/>
      <c r="AL156" s="156"/>
      <c r="AM156" s="156"/>
      <c r="AN156" s="156"/>
      <c r="AO156" s="154"/>
      <c r="AP156" s="473"/>
      <c r="AQ156" s="156"/>
      <c r="AR156" s="156"/>
      <c r="AS156" s="156"/>
      <c r="AT156" s="156"/>
      <c r="AU156" s="156"/>
      <c r="AV156" s="156"/>
      <c r="AW156" s="156"/>
      <c r="AX156" s="156"/>
      <c r="AY156" s="154"/>
      <c r="AZ156" s="473"/>
      <c r="BA156" s="156"/>
      <c r="BB156" s="156"/>
      <c r="BC156" s="156"/>
      <c r="BD156" s="156"/>
      <c r="BE156" s="156"/>
      <c r="BF156" s="156"/>
      <c r="BG156" s="156"/>
      <c r="BH156" s="156"/>
    </row>
    <row r="157">
      <c r="A157" s="154"/>
      <c r="B157" s="473"/>
      <c r="C157" s="156"/>
      <c r="D157" s="156"/>
      <c r="E157" s="156"/>
      <c r="F157" s="154"/>
      <c r="G157" s="473"/>
      <c r="H157" s="156"/>
      <c r="I157" s="156"/>
      <c r="J157" s="156"/>
      <c r="K157" s="132"/>
      <c r="L157" s="473"/>
      <c r="M157" s="156"/>
      <c r="N157" s="156"/>
      <c r="O157" s="156"/>
      <c r="P157" s="132"/>
      <c r="Q157" s="487"/>
      <c r="R157" s="156"/>
      <c r="S157" s="156"/>
      <c r="T157" s="156"/>
      <c r="U157" s="154"/>
      <c r="V157" s="473"/>
      <c r="W157" s="156"/>
      <c r="X157" s="156"/>
      <c r="Y157" s="156"/>
      <c r="Z157" s="154"/>
      <c r="AA157" s="473"/>
      <c r="AB157" s="156"/>
      <c r="AC157" s="156"/>
      <c r="AD157" s="156"/>
      <c r="AE157" s="154"/>
      <c r="AF157" s="473"/>
      <c r="AG157" s="156"/>
      <c r="AH157" s="156"/>
      <c r="AI157" s="156"/>
      <c r="AJ157" s="154"/>
      <c r="AK157" s="473"/>
      <c r="AL157" s="156"/>
      <c r="AM157" s="156"/>
      <c r="AN157" s="156"/>
      <c r="AO157" s="154"/>
      <c r="AP157" s="473"/>
      <c r="AQ157" s="156"/>
      <c r="AR157" s="156"/>
      <c r="AS157" s="156"/>
      <c r="AT157" s="156"/>
      <c r="AU157" s="156"/>
      <c r="AV157" s="156"/>
      <c r="AW157" s="156"/>
      <c r="AX157" s="156"/>
      <c r="AY157" s="154"/>
      <c r="AZ157" s="473"/>
      <c r="BA157" s="156"/>
      <c r="BB157" s="156"/>
      <c r="BC157" s="156"/>
      <c r="BD157" s="156"/>
      <c r="BE157" s="156"/>
      <c r="BF157" s="156"/>
      <c r="BG157" s="156"/>
      <c r="BH157" s="156"/>
    </row>
    <row r="158">
      <c r="A158" s="154"/>
      <c r="B158" s="473"/>
      <c r="C158" s="156"/>
      <c r="D158" s="156"/>
      <c r="E158" s="156"/>
      <c r="F158" s="154"/>
      <c r="G158" s="473"/>
      <c r="H158" s="156"/>
      <c r="I158" s="156"/>
      <c r="J158" s="156"/>
      <c r="K158" s="132"/>
      <c r="L158" s="473"/>
      <c r="M158" s="156"/>
      <c r="N158" s="156"/>
      <c r="O158" s="156"/>
      <c r="P158" s="132"/>
      <c r="Q158" s="487"/>
      <c r="R158" s="156"/>
      <c r="S158" s="156"/>
      <c r="T158" s="156"/>
      <c r="U158" s="154"/>
      <c r="V158" s="473"/>
      <c r="W158" s="156"/>
      <c r="X158" s="156"/>
      <c r="Y158" s="156"/>
      <c r="Z158" s="154"/>
      <c r="AA158" s="473"/>
      <c r="AB158" s="156"/>
      <c r="AC158" s="156"/>
      <c r="AD158" s="156"/>
      <c r="AE158" s="154"/>
      <c r="AF158" s="473"/>
      <c r="AG158" s="156"/>
      <c r="AH158" s="156"/>
      <c r="AI158" s="156"/>
      <c r="AJ158" s="154"/>
      <c r="AK158" s="473"/>
      <c r="AL158" s="156"/>
      <c r="AM158" s="156"/>
      <c r="AN158" s="156"/>
      <c r="AO158" s="154"/>
      <c r="AP158" s="473"/>
      <c r="AQ158" s="156"/>
      <c r="AR158" s="156"/>
      <c r="AS158" s="156"/>
      <c r="AT158" s="156"/>
      <c r="AU158" s="156"/>
      <c r="AV158" s="156"/>
      <c r="AW158" s="156"/>
      <c r="AX158" s="156"/>
      <c r="AY158" s="154"/>
      <c r="AZ158" s="473"/>
      <c r="BA158" s="156"/>
      <c r="BB158" s="156"/>
      <c r="BC158" s="156"/>
      <c r="BD158" s="156"/>
      <c r="BE158" s="156"/>
      <c r="BF158" s="156"/>
      <c r="BG158" s="156"/>
      <c r="BH158" s="156"/>
    </row>
    <row r="159">
      <c r="A159" s="154"/>
      <c r="B159" s="473"/>
      <c r="C159" s="156"/>
      <c r="D159" s="156"/>
      <c r="E159" s="156"/>
      <c r="F159" s="154"/>
      <c r="G159" s="473"/>
      <c r="H159" s="156"/>
      <c r="I159" s="156"/>
      <c r="J159" s="156"/>
      <c r="K159" s="132"/>
      <c r="L159" s="473"/>
      <c r="M159" s="156"/>
      <c r="N159" s="156"/>
      <c r="O159" s="156"/>
      <c r="P159" s="132"/>
      <c r="Q159" s="487"/>
      <c r="R159" s="156"/>
      <c r="S159" s="156"/>
      <c r="T159" s="156"/>
      <c r="U159" s="154"/>
      <c r="V159" s="473"/>
      <c r="W159" s="156"/>
      <c r="X159" s="156"/>
      <c r="Y159" s="156"/>
      <c r="Z159" s="154"/>
      <c r="AA159" s="473"/>
      <c r="AB159" s="156"/>
      <c r="AC159" s="156"/>
      <c r="AD159" s="156"/>
      <c r="AE159" s="154"/>
      <c r="AF159" s="473"/>
      <c r="AG159" s="156"/>
      <c r="AH159" s="156"/>
      <c r="AI159" s="156"/>
      <c r="AJ159" s="154"/>
      <c r="AK159" s="473"/>
      <c r="AL159" s="156"/>
      <c r="AM159" s="156"/>
      <c r="AN159" s="156"/>
      <c r="AO159" s="154"/>
      <c r="AP159" s="473"/>
      <c r="AQ159" s="156"/>
      <c r="AR159" s="156"/>
      <c r="AS159" s="156"/>
      <c r="AT159" s="156"/>
      <c r="AU159" s="156"/>
      <c r="AV159" s="156"/>
      <c r="AW159" s="156"/>
      <c r="AX159" s="156"/>
      <c r="AY159" s="154"/>
      <c r="AZ159" s="473"/>
      <c r="BA159" s="156"/>
      <c r="BB159" s="156"/>
      <c r="BC159" s="156"/>
      <c r="BD159" s="156"/>
      <c r="BE159" s="156"/>
      <c r="BF159" s="156"/>
      <c r="BG159" s="156"/>
      <c r="BH159" s="156"/>
    </row>
    <row r="160">
      <c r="A160" s="154"/>
      <c r="B160" s="473"/>
      <c r="C160" s="156"/>
      <c r="D160" s="156"/>
      <c r="E160" s="156"/>
      <c r="F160" s="154"/>
      <c r="G160" s="473"/>
      <c r="H160" s="156"/>
      <c r="I160" s="156"/>
      <c r="J160" s="156"/>
      <c r="K160" s="132"/>
      <c r="L160" s="473"/>
      <c r="M160" s="156"/>
      <c r="N160" s="156"/>
      <c r="O160" s="156"/>
      <c r="P160" s="132"/>
      <c r="Q160" s="487"/>
      <c r="R160" s="156"/>
      <c r="S160" s="156"/>
      <c r="T160" s="156"/>
      <c r="U160" s="154"/>
      <c r="V160" s="473"/>
      <c r="W160" s="156"/>
      <c r="X160" s="156"/>
      <c r="Y160" s="156"/>
      <c r="Z160" s="154"/>
      <c r="AA160" s="473"/>
      <c r="AB160" s="156"/>
      <c r="AC160" s="156"/>
      <c r="AD160" s="156"/>
      <c r="AE160" s="154"/>
      <c r="AF160" s="473"/>
      <c r="AG160" s="156"/>
      <c r="AH160" s="156"/>
      <c r="AI160" s="156"/>
      <c r="AJ160" s="154"/>
      <c r="AK160" s="473"/>
      <c r="AL160" s="156"/>
      <c r="AM160" s="156"/>
      <c r="AN160" s="156"/>
      <c r="AO160" s="154"/>
      <c r="AP160" s="473"/>
      <c r="AQ160" s="156"/>
      <c r="AR160" s="156"/>
      <c r="AS160" s="156"/>
      <c r="AT160" s="156"/>
      <c r="AU160" s="156"/>
      <c r="AV160" s="156"/>
      <c r="AW160" s="156"/>
      <c r="AX160" s="156"/>
      <c r="AY160" s="154"/>
      <c r="AZ160" s="473"/>
      <c r="BA160" s="156"/>
      <c r="BB160" s="156"/>
      <c r="BC160" s="156"/>
      <c r="BD160" s="156"/>
      <c r="BE160" s="156"/>
      <c r="BF160" s="156"/>
      <c r="BG160" s="156"/>
      <c r="BH160" s="156"/>
    </row>
    <row r="161">
      <c r="A161" s="154"/>
      <c r="B161" s="473"/>
      <c r="C161" s="156"/>
      <c r="D161" s="156"/>
      <c r="E161" s="156"/>
      <c r="F161" s="154"/>
      <c r="G161" s="473"/>
      <c r="H161" s="156"/>
      <c r="I161" s="156"/>
      <c r="J161" s="156"/>
      <c r="K161" s="132"/>
      <c r="L161" s="473"/>
      <c r="M161" s="156"/>
      <c r="N161" s="156"/>
      <c r="O161" s="156"/>
      <c r="P161" s="132"/>
      <c r="Q161" s="487"/>
      <c r="R161" s="156"/>
      <c r="S161" s="156"/>
      <c r="T161" s="156"/>
      <c r="U161" s="154"/>
      <c r="V161" s="473"/>
      <c r="W161" s="156"/>
      <c r="X161" s="156"/>
      <c r="Y161" s="156"/>
      <c r="Z161" s="154"/>
      <c r="AA161" s="473"/>
      <c r="AB161" s="156"/>
      <c r="AC161" s="156"/>
      <c r="AD161" s="156"/>
      <c r="AE161" s="154"/>
      <c r="AF161" s="473"/>
      <c r="AG161" s="156"/>
      <c r="AH161" s="156"/>
      <c r="AI161" s="156"/>
      <c r="AJ161" s="154"/>
      <c r="AK161" s="473"/>
      <c r="AL161" s="156"/>
      <c r="AM161" s="156"/>
      <c r="AN161" s="156"/>
      <c r="AO161" s="154"/>
      <c r="AP161" s="473"/>
      <c r="AQ161" s="156"/>
      <c r="AR161" s="156"/>
      <c r="AS161" s="156"/>
      <c r="AT161" s="156"/>
      <c r="AU161" s="156"/>
      <c r="AV161" s="156"/>
      <c r="AW161" s="156"/>
      <c r="AX161" s="156"/>
      <c r="AY161" s="154"/>
      <c r="AZ161" s="473"/>
      <c r="BA161" s="156"/>
      <c r="BB161" s="156"/>
      <c r="BC161" s="156"/>
      <c r="BD161" s="156"/>
      <c r="BE161" s="156"/>
      <c r="BF161" s="156"/>
      <c r="BG161" s="156"/>
      <c r="BH161" s="156"/>
    </row>
    <row r="162">
      <c r="A162" s="154"/>
      <c r="B162" s="473"/>
      <c r="C162" s="156"/>
      <c r="D162" s="156"/>
      <c r="E162" s="156"/>
      <c r="F162" s="154"/>
      <c r="G162" s="473"/>
      <c r="H162" s="156"/>
      <c r="I162" s="156"/>
      <c r="J162" s="156"/>
      <c r="K162" s="132"/>
      <c r="L162" s="473"/>
      <c r="M162" s="156"/>
      <c r="N162" s="156"/>
      <c r="O162" s="156"/>
      <c r="P162" s="132"/>
      <c r="Q162" s="487"/>
      <c r="R162" s="156"/>
      <c r="S162" s="156"/>
      <c r="T162" s="156"/>
      <c r="U162" s="154"/>
      <c r="V162" s="473"/>
      <c r="W162" s="156"/>
      <c r="X162" s="156"/>
      <c r="Y162" s="156"/>
      <c r="Z162" s="154"/>
      <c r="AA162" s="473"/>
      <c r="AB162" s="156"/>
      <c r="AC162" s="156"/>
      <c r="AD162" s="156"/>
      <c r="AE162" s="154"/>
      <c r="AF162" s="473"/>
      <c r="AG162" s="156"/>
      <c r="AH162" s="156"/>
      <c r="AI162" s="156"/>
      <c r="AJ162" s="154"/>
      <c r="AK162" s="473"/>
      <c r="AL162" s="156"/>
      <c r="AM162" s="156"/>
      <c r="AN162" s="156"/>
      <c r="AO162" s="154"/>
      <c r="AP162" s="473"/>
      <c r="AQ162" s="156"/>
      <c r="AR162" s="156"/>
      <c r="AS162" s="156"/>
      <c r="AT162" s="156"/>
      <c r="AU162" s="156"/>
      <c r="AV162" s="156"/>
      <c r="AW162" s="156"/>
      <c r="AX162" s="156"/>
      <c r="AY162" s="154"/>
      <c r="AZ162" s="473"/>
      <c r="BA162" s="156"/>
      <c r="BB162" s="156"/>
      <c r="BC162" s="156"/>
      <c r="BD162" s="156"/>
      <c r="BE162" s="156"/>
      <c r="BF162" s="156"/>
      <c r="BG162" s="156"/>
      <c r="BH162" s="156"/>
    </row>
    <row r="163">
      <c r="A163" s="154"/>
      <c r="B163" s="473"/>
      <c r="C163" s="156"/>
      <c r="D163" s="156"/>
      <c r="E163" s="156"/>
      <c r="F163" s="154"/>
      <c r="G163" s="473"/>
      <c r="H163" s="156"/>
      <c r="I163" s="156"/>
      <c r="J163" s="156"/>
      <c r="K163" s="132"/>
      <c r="L163" s="473"/>
      <c r="M163" s="156"/>
      <c r="N163" s="156"/>
      <c r="O163" s="156"/>
      <c r="P163" s="132"/>
      <c r="Q163" s="487"/>
      <c r="R163" s="156"/>
      <c r="S163" s="156"/>
      <c r="T163" s="156"/>
      <c r="U163" s="154"/>
      <c r="V163" s="473"/>
      <c r="W163" s="156"/>
      <c r="X163" s="156"/>
      <c r="Y163" s="156"/>
      <c r="Z163" s="154"/>
      <c r="AA163" s="473"/>
      <c r="AB163" s="156"/>
      <c r="AC163" s="156"/>
      <c r="AD163" s="156"/>
      <c r="AE163" s="154"/>
      <c r="AF163" s="473"/>
      <c r="AG163" s="156"/>
      <c r="AH163" s="156"/>
      <c r="AI163" s="156"/>
      <c r="AJ163" s="154"/>
      <c r="AK163" s="473"/>
      <c r="AL163" s="156"/>
      <c r="AM163" s="156"/>
      <c r="AN163" s="156"/>
      <c r="AO163" s="154"/>
      <c r="AP163" s="473"/>
      <c r="AQ163" s="156"/>
      <c r="AR163" s="156"/>
      <c r="AS163" s="156"/>
      <c r="AT163" s="156"/>
      <c r="AU163" s="156"/>
      <c r="AV163" s="156"/>
      <c r="AW163" s="156"/>
      <c r="AX163" s="156"/>
      <c r="AY163" s="154"/>
      <c r="AZ163" s="473"/>
      <c r="BA163" s="156"/>
      <c r="BB163" s="156"/>
      <c r="BC163" s="156"/>
      <c r="BD163" s="156"/>
      <c r="BE163" s="156"/>
      <c r="BF163" s="156"/>
      <c r="BG163" s="156"/>
      <c r="BH163" s="156"/>
    </row>
    <row r="164">
      <c r="A164" s="154"/>
      <c r="B164" s="473"/>
      <c r="C164" s="156"/>
      <c r="D164" s="156"/>
      <c r="E164" s="156"/>
      <c r="F164" s="154"/>
      <c r="G164" s="473"/>
      <c r="H164" s="156"/>
      <c r="I164" s="156"/>
      <c r="J164" s="156"/>
      <c r="K164" s="132"/>
      <c r="L164" s="473"/>
      <c r="M164" s="156"/>
      <c r="N164" s="156"/>
      <c r="O164" s="156"/>
      <c r="P164" s="132"/>
      <c r="Q164" s="487"/>
      <c r="R164" s="156"/>
      <c r="S164" s="156"/>
      <c r="T164" s="156"/>
      <c r="U164" s="154"/>
      <c r="V164" s="473"/>
      <c r="W164" s="156"/>
      <c r="X164" s="156"/>
      <c r="Y164" s="156"/>
      <c r="Z164" s="154"/>
      <c r="AA164" s="473"/>
      <c r="AB164" s="156"/>
      <c r="AC164" s="156"/>
      <c r="AD164" s="156"/>
      <c r="AE164" s="154"/>
      <c r="AF164" s="473"/>
      <c r="AG164" s="156"/>
      <c r="AH164" s="156"/>
      <c r="AI164" s="156"/>
      <c r="AJ164" s="154"/>
      <c r="AK164" s="473"/>
      <c r="AL164" s="156"/>
      <c r="AM164" s="156"/>
      <c r="AN164" s="156"/>
      <c r="AO164" s="154"/>
      <c r="AP164" s="473"/>
      <c r="AQ164" s="156"/>
      <c r="AR164" s="156"/>
      <c r="AS164" s="156"/>
      <c r="AT164" s="156"/>
      <c r="AU164" s="156"/>
      <c r="AV164" s="156"/>
      <c r="AW164" s="156"/>
      <c r="AX164" s="156"/>
      <c r="AY164" s="154"/>
      <c r="AZ164" s="473"/>
      <c r="BA164" s="156"/>
      <c r="BB164" s="156"/>
      <c r="BC164" s="156"/>
      <c r="BD164" s="156"/>
      <c r="BE164" s="156"/>
      <c r="BF164" s="156"/>
      <c r="BG164" s="156"/>
      <c r="BH164" s="156"/>
    </row>
    <row r="165">
      <c r="A165" s="154"/>
      <c r="B165" s="473"/>
      <c r="C165" s="156"/>
      <c r="D165" s="156"/>
      <c r="E165" s="156"/>
      <c r="F165" s="154"/>
      <c r="G165" s="473"/>
      <c r="H165" s="156"/>
      <c r="I165" s="156"/>
      <c r="J165" s="156"/>
      <c r="K165" s="132"/>
      <c r="L165" s="473"/>
      <c r="M165" s="156"/>
      <c r="N165" s="156"/>
      <c r="O165" s="156"/>
      <c r="P165" s="132"/>
      <c r="Q165" s="487"/>
      <c r="R165" s="156"/>
      <c r="S165" s="156"/>
      <c r="T165" s="156"/>
      <c r="U165" s="154"/>
      <c r="V165" s="473"/>
      <c r="W165" s="156"/>
      <c r="X165" s="156"/>
      <c r="Y165" s="156"/>
      <c r="Z165" s="154"/>
      <c r="AA165" s="473"/>
      <c r="AB165" s="156"/>
      <c r="AC165" s="156"/>
      <c r="AD165" s="156"/>
      <c r="AE165" s="154"/>
      <c r="AF165" s="473"/>
      <c r="AG165" s="156"/>
      <c r="AH165" s="156"/>
      <c r="AI165" s="156"/>
      <c r="AJ165" s="154"/>
      <c r="AK165" s="473"/>
      <c r="AL165" s="156"/>
      <c r="AM165" s="156"/>
      <c r="AN165" s="156"/>
      <c r="AO165" s="154"/>
      <c r="AP165" s="473"/>
      <c r="AQ165" s="156"/>
      <c r="AR165" s="156"/>
      <c r="AS165" s="156"/>
      <c r="AT165" s="156"/>
      <c r="AU165" s="156"/>
      <c r="AV165" s="156"/>
      <c r="AW165" s="156"/>
      <c r="AX165" s="156"/>
      <c r="AY165" s="154"/>
      <c r="AZ165" s="473"/>
      <c r="BA165" s="156"/>
      <c r="BB165" s="156"/>
      <c r="BC165" s="156"/>
      <c r="BD165" s="156"/>
      <c r="BE165" s="156"/>
      <c r="BF165" s="156"/>
      <c r="BG165" s="156"/>
      <c r="BH165" s="156"/>
    </row>
    <row r="166">
      <c r="A166" s="154"/>
      <c r="B166" s="473"/>
      <c r="C166" s="156"/>
      <c r="D166" s="156"/>
      <c r="E166" s="156"/>
      <c r="F166" s="154"/>
      <c r="G166" s="473"/>
      <c r="H166" s="156"/>
      <c r="I166" s="156"/>
      <c r="J166" s="156"/>
      <c r="K166" s="132"/>
      <c r="L166" s="473"/>
      <c r="M166" s="156"/>
      <c r="N166" s="156"/>
      <c r="O166" s="156"/>
      <c r="P166" s="132"/>
      <c r="Q166" s="487"/>
      <c r="R166" s="156"/>
      <c r="S166" s="156"/>
      <c r="T166" s="156"/>
      <c r="U166" s="154"/>
      <c r="V166" s="473"/>
      <c r="W166" s="156"/>
      <c r="X166" s="156"/>
      <c r="Y166" s="156"/>
      <c r="Z166" s="154"/>
      <c r="AA166" s="473"/>
      <c r="AB166" s="156"/>
      <c r="AC166" s="156"/>
      <c r="AD166" s="156"/>
      <c r="AE166" s="154"/>
      <c r="AF166" s="473"/>
      <c r="AG166" s="156"/>
      <c r="AH166" s="156"/>
      <c r="AI166" s="156"/>
      <c r="AJ166" s="154"/>
      <c r="AK166" s="473"/>
      <c r="AL166" s="156"/>
      <c r="AM166" s="156"/>
      <c r="AN166" s="156"/>
      <c r="AO166" s="154"/>
      <c r="AP166" s="473"/>
      <c r="AQ166" s="156"/>
      <c r="AR166" s="156"/>
      <c r="AS166" s="156"/>
      <c r="AT166" s="156"/>
      <c r="AU166" s="156"/>
      <c r="AV166" s="156"/>
      <c r="AW166" s="156"/>
      <c r="AX166" s="156"/>
      <c r="AY166" s="154"/>
      <c r="AZ166" s="473"/>
      <c r="BA166" s="156"/>
      <c r="BB166" s="156"/>
      <c r="BC166" s="156"/>
      <c r="BD166" s="156"/>
      <c r="BE166" s="156"/>
      <c r="BF166" s="156"/>
      <c r="BG166" s="156"/>
      <c r="BH166" s="156"/>
    </row>
    <row r="167">
      <c r="A167" s="154"/>
      <c r="B167" s="473"/>
      <c r="C167" s="156"/>
      <c r="D167" s="156"/>
      <c r="E167" s="156"/>
      <c r="F167" s="154"/>
      <c r="G167" s="473"/>
      <c r="H167" s="156"/>
      <c r="I167" s="156"/>
      <c r="J167" s="156"/>
      <c r="K167" s="132"/>
      <c r="L167" s="473"/>
      <c r="M167" s="156"/>
      <c r="N167" s="156"/>
      <c r="O167" s="156"/>
      <c r="P167" s="132"/>
      <c r="Q167" s="487"/>
      <c r="R167" s="156"/>
      <c r="S167" s="156"/>
      <c r="T167" s="156"/>
      <c r="U167" s="154"/>
      <c r="V167" s="473"/>
      <c r="W167" s="156"/>
      <c r="X167" s="156"/>
      <c r="Y167" s="156"/>
      <c r="Z167" s="154"/>
      <c r="AA167" s="473"/>
      <c r="AB167" s="156"/>
      <c r="AC167" s="156"/>
      <c r="AD167" s="156"/>
      <c r="AE167" s="154"/>
      <c r="AF167" s="473"/>
      <c r="AG167" s="156"/>
      <c r="AH167" s="156"/>
      <c r="AI167" s="156"/>
      <c r="AJ167" s="154"/>
      <c r="AK167" s="473"/>
      <c r="AL167" s="156"/>
      <c r="AM167" s="156"/>
      <c r="AN167" s="156"/>
      <c r="AO167" s="154"/>
      <c r="AP167" s="473"/>
      <c r="AQ167" s="156"/>
      <c r="AR167" s="156"/>
      <c r="AS167" s="156"/>
      <c r="AT167" s="156"/>
      <c r="AU167" s="156"/>
      <c r="AV167" s="156"/>
      <c r="AW167" s="156"/>
      <c r="AX167" s="156"/>
      <c r="AY167" s="154"/>
      <c r="AZ167" s="473"/>
      <c r="BA167" s="156"/>
      <c r="BB167" s="156"/>
      <c r="BC167" s="156"/>
      <c r="BD167" s="156"/>
      <c r="BE167" s="156"/>
      <c r="BF167" s="156"/>
      <c r="BG167" s="156"/>
      <c r="BH167" s="156"/>
    </row>
    <row r="168">
      <c r="A168" s="154"/>
      <c r="B168" s="473"/>
      <c r="C168" s="156"/>
      <c r="D168" s="156"/>
      <c r="E168" s="156"/>
      <c r="F168" s="154"/>
      <c r="G168" s="473"/>
      <c r="H168" s="156"/>
      <c r="I168" s="156"/>
      <c r="J168" s="156"/>
      <c r="K168" s="132"/>
      <c r="L168" s="473"/>
      <c r="M168" s="156"/>
      <c r="N168" s="156"/>
      <c r="O168" s="156"/>
      <c r="P168" s="132"/>
      <c r="Q168" s="487"/>
      <c r="R168" s="156"/>
      <c r="S168" s="156"/>
      <c r="T168" s="156"/>
      <c r="U168" s="154"/>
      <c r="V168" s="473"/>
      <c r="W168" s="156"/>
      <c r="X168" s="156"/>
      <c r="Y168" s="156"/>
      <c r="Z168" s="154"/>
      <c r="AA168" s="473"/>
      <c r="AB168" s="156"/>
      <c r="AC168" s="156"/>
      <c r="AD168" s="156"/>
      <c r="AE168" s="154"/>
      <c r="AF168" s="473"/>
      <c r="AG168" s="156"/>
      <c r="AH168" s="156"/>
      <c r="AI168" s="156"/>
      <c r="AJ168" s="154"/>
      <c r="AK168" s="473"/>
      <c r="AL168" s="156"/>
      <c r="AM168" s="156"/>
      <c r="AN168" s="156"/>
      <c r="AO168" s="154"/>
      <c r="AP168" s="473"/>
      <c r="AQ168" s="156"/>
      <c r="AR168" s="156"/>
      <c r="AS168" s="156"/>
      <c r="AT168" s="156"/>
      <c r="AU168" s="156"/>
      <c r="AV168" s="156"/>
      <c r="AW168" s="156"/>
      <c r="AX168" s="156"/>
      <c r="AY168" s="154"/>
      <c r="AZ168" s="473"/>
      <c r="BA168" s="156"/>
      <c r="BB168" s="156"/>
      <c r="BC168" s="156"/>
      <c r="BD168" s="156"/>
      <c r="BE168" s="156"/>
      <c r="BF168" s="156"/>
      <c r="BG168" s="156"/>
      <c r="BH168" s="156"/>
    </row>
    <row r="169">
      <c r="A169" s="154"/>
      <c r="B169" s="473"/>
      <c r="C169" s="156"/>
      <c r="D169" s="156"/>
      <c r="E169" s="156"/>
      <c r="F169" s="154"/>
      <c r="G169" s="473"/>
      <c r="H169" s="156"/>
      <c r="I169" s="156"/>
      <c r="J169" s="156"/>
      <c r="K169" s="132"/>
      <c r="L169" s="473"/>
      <c r="M169" s="156"/>
      <c r="N169" s="156"/>
      <c r="O169" s="156"/>
      <c r="P169" s="132"/>
      <c r="Q169" s="487"/>
      <c r="R169" s="156"/>
      <c r="S169" s="156"/>
      <c r="T169" s="156"/>
      <c r="U169" s="154"/>
      <c r="V169" s="473"/>
      <c r="W169" s="156"/>
      <c r="X169" s="156"/>
      <c r="Y169" s="156"/>
      <c r="Z169" s="154"/>
      <c r="AA169" s="473"/>
      <c r="AB169" s="156"/>
      <c r="AC169" s="156"/>
      <c r="AD169" s="156"/>
      <c r="AE169" s="154"/>
      <c r="AF169" s="473"/>
      <c r="AG169" s="156"/>
      <c r="AH169" s="156"/>
      <c r="AI169" s="156"/>
      <c r="AJ169" s="154"/>
      <c r="AK169" s="473"/>
      <c r="AL169" s="156"/>
      <c r="AM169" s="156"/>
      <c r="AN169" s="156"/>
      <c r="AO169" s="154"/>
      <c r="AP169" s="473"/>
      <c r="AQ169" s="156"/>
      <c r="AR169" s="156"/>
      <c r="AS169" s="156"/>
      <c r="AT169" s="156"/>
      <c r="AU169" s="156"/>
      <c r="AV169" s="156"/>
      <c r="AW169" s="156"/>
      <c r="AX169" s="156"/>
      <c r="AY169" s="154"/>
      <c r="AZ169" s="473"/>
      <c r="BA169" s="156"/>
      <c r="BB169" s="156"/>
      <c r="BC169" s="156"/>
      <c r="BD169" s="156"/>
      <c r="BE169" s="156"/>
      <c r="BF169" s="156"/>
      <c r="BG169" s="156"/>
      <c r="BH169" s="156"/>
    </row>
    <row r="170">
      <c r="A170" s="154"/>
      <c r="B170" s="473"/>
      <c r="C170" s="156"/>
      <c r="D170" s="156"/>
      <c r="E170" s="156"/>
      <c r="F170" s="154"/>
      <c r="G170" s="473"/>
      <c r="H170" s="156"/>
      <c r="I170" s="156"/>
      <c r="J170" s="156"/>
      <c r="K170" s="132"/>
      <c r="L170" s="473"/>
      <c r="M170" s="156"/>
      <c r="N170" s="156"/>
      <c r="O170" s="156"/>
      <c r="P170" s="132"/>
      <c r="Q170" s="487"/>
      <c r="R170" s="156"/>
      <c r="S170" s="156"/>
      <c r="T170" s="156"/>
      <c r="U170" s="154"/>
      <c r="V170" s="473"/>
      <c r="W170" s="156"/>
      <c r="X170" s="156"/>
      <c r="Y170" s="156"/>
      <c r="Z170" s="154"/>
      <c r="AA170" s="473"/>
      <c r="AB170" s="156"/>
      <c r="AC170" s="156"/>
      <c r="AD170" s="156"/>
      <c r="AE170" s="154"/>
      <c r="AF170" s="473"/>
      <c r="AG170" s="156"/>
      <c r="AH170" s="156"/>
      <c r="AI170" s="156"/>
      <c r="AJ170" s="154"/>
      <c r="AK170" s="473"/>
      <c r="AL170" s="156"/>
      <c r="AM170" s="156"/>
      <c r="AN170" s="156"/>
      <c r="AO170" s="154"/>
      <c r="AP170" s="473"/>
      <c r="AQ170" s="156"/>
      <c r="AR170" s="156"/>
      <c r="AS170" s="156"/>
      <c r="AT170" s="156"/>
      <c r="AU170" s="156"/>
      <c r="AV170" s="156"/>
      <c r="AW170" s="156"/>
      <c r="AX170" s="156"/>
      <c r="AY170" s="154"/>
      <c r="AZ170" s="473"/>
      <c r="BA170" s="156"/>
      <c r="BB170" s="156"/>
      <c r="BC170" s="156"/>
      <c r="BD170" s="156"/>
      <c r="BE170" s="156"/>
      <c r="BF170" s="156"/>
      <c r="BG170" s="156"/>
      <c r="BH170" s="156"/>
    </row>
    <row r="171">
      <c r="A171" s="154"/>
      <c r="B171" s="473"/>
      <c r="C171" s="156"/>
      <c r="D171" s="156"/>
      <c r="E171" s="156"/>
      <c r="F171" s="154"/>
      <c r="G171" s="473"/>
      <c r="H171" s="156"/>
      <c r="I171" s="156"/>
      <c r="J171" s="156"/>
      <c r="K171" s="132"/>
      <c r="L171" s="473"/>
      <c r="M171" s="156"/>
      <c r="N171" s="156"/>
      <c r="O171" s="156"/>
      <c r="P171" s="132"/>
      <c r="Q171" s="487"/>
      <c r="R171" s="156"/>
      <c r="S171" s="156"/>
      <c r="T171" s="156"/>
      <c r="U171" s="154"/>
      <c r="V171" s="473"/>
      <c r="W171" s="156"/>
      <c r="X171" s="156"/>
      <c r="Y171" s="156"/>
      <c r="Z171" s="154"/>
      <c r="AA171" s="473"/>
      <c r="AB171" s="156"/>
      <c r="AC171" s="156"/>
      <c r="AD171" s="156"/>
      <c r="AE171" s="154"/>
      <c r="AF171" s="473"/>
      <c r="AG171" s="156"/>
      <c r="AH171" s="156"/>
      <c r="AI171" s="156"/>
      <c r="AJ171" s="154"/>
      <c r="AK171" s="473"/>
      <c r="AL171" s="156"/>
      <c r="AM171" s="156"/>
      <c r="AN171" s="156"/>
      <c r="AO171" s="154"/>
      <c r="AP171" s="473"/>
      <c r="AQ171" s="156"/>
      <c r="AR171" s="156"/>
      <c r="AS171" s="156"/>
      <c r="AT171" s="156"/>
      <c r="AU171" s="156"/>
      <c r="AV171" s="156"/>
      <c r="AW171" s="156"/>
      <c r="AX171" s="156"/>
      <c r="AY171" s="154"/>
      <c r="AZ171" s="473"/>
      <c r="BA171" s="156"/>
      <c r="BB171" s="156"/>
      <c r="BC171" s="156"/>
      <c r="BD171" s="156"/>
      <c r="BE171" s="156"/>
      <c r="BF171" s="156"/>
      <c r="BG171" s="156"/>
      <c r="BH171" s="156"/>
    </row>
    <row r="172">
      <c r="A172" s="154"/>
      <c r="B172" s="473"/>
      <c r="C172" s="156"/>
      <c r="D172" s="156"/>
      <c r="E172" s="156"/>
      <c r="F172" s="154"/>
      <c r="G172" s="473"/>
      <c r="H172" s="156"/>
      <c r="I172" s="156"/>
      <c r="J172" s="156"/>
      <c r="K172" s="132"/>
      <c r="L172" s="473"/>
      <c r="M172" s="156"/>
      <c r="N172" s="156"/>
      <c r="O172" s="156"/>
      <c r="P172" s="132"/>
      <c r="Q172" s="487"/>
      <c r="R172" s="156"/>
      <c r="S172" s="156"/>
      <c r="T172" s="156"/>
      <c r="U172" s="154"/>
      <c r="V172" s="473"/>
      <c r="W172" s="156"/>
      <c r="X172" s="156"/>
      <c r="Y172" s="156"/>
      <c r="Z172" s="154"/>
      <c r="AA172" s="473"/>
      <c r="AB172" s="156"/>
      <c r="AC172" s="156"/>
      <c r="AD172" s="156"/>
      <c r="AE172" s="154"/>
      <c r="AF172" s="473"/>
      <c r="AG172" s="156"/>
      <c r="AH172" s="156"/>
      <c r="AI172" s="156"/>
      <c r="AJ172" s="154"/>
      <c r="AK172" s="473"/>
      <c r="AL172" s="156"/>
      <c r="AM172" s="156"/>
      <c r="AN172" s="156"/>
      <c r="AO172" s="154"/>
      <c r="AP172" s="473"/>
      <c r="AQ172" s="156"/>
      <c r="AR172" s="156"/>
      <c r="AS172" s="156"/>
      <c r="AT172" s="156"/>
      <c r="AU172" s="156"/>
      <c r="AV172" s="156"/>
      <c r="AW172" s="156"/>
      <c r="AX172" s="156"/>
      <c r="AY172" s="154"/>
      <c r="AZ172" s="473"/>
      <c r="BA172" s="156"/>
      <c r="BB172" s="156"/>
      <c r="BC172" s="156"/>
      <c r="BD172" s="156"/>
      <c r="BE172" s="156"/>
      <c r="BF172" s="156"/>
      <c r="BG172" s="156"/>
      <c r="BH172" s="156"/>
    </row>
    <row r="173">
      <c r="A173" s="154"/>
      <c r="B173" s="473"/>
      <c r="C173" s="156"/>
      <c r="D173" s="156"/>
      <c r="E173" s="156"/>
      <c r="F173" s="154"/>
      <c r="G173" s="473"/>
      <c r="H173" s="156"/>
      <c r="I173" s="156"/>
      <c r="J173" s="156"/>
      <c r="K173" s="132"/>
      <c r="L173" s="473"/>
      <c r="M173" s="156"/>
      <c r="N173" s="156"/>
      <c r="O173" s="156"/>
      <c r="P173" s="132"/>
      <c r="Q173" s="487"/>
      <c r="R173" s="156"/>
      <c r="S173" s="156"/>
      <c r="T173" s="156"/>
      <c r="U173" s="154"/>
      <c r="V173" s="473"/>
      <c r="W173" s="156"/>
      <c r="X173" s="156"/>
      <c r="Y173" s="156"/>
      <c r="Z173" s="154"/>
      <c r="AA173" s="473"/>
      <c r="AB173" s="156"/>
      <c r="AC173" s="156"/>
      <c r="AD173" s="156"/>
      <c r="AE173" s="154"/>
      <c r="AF173" s="473"/>
      <c r="AG173" s="156"/>
      <c r="AH173" s="156"/>
      <c r="AI173" s="156"/>
      <c r="AJ173" s="154"/>
      <c r="AK173" s="473"/>
      <c r="AL173" s="156"/>
      <c r="AM173" s="156"/>
      <c r="AN173" s="156"/>
      <c r="AO173" s="154"/>
      <c r="AP173" s="473"/>
      <c r="AQ173" s="156"/>
      <c r="AR173" s="156"/>
      <c r="AS173" s="156"/>
      <c r="AT173" s="156"/>
      <c r="AU173" s="156"/>
      <c r="AV173" s="156"/>
      <c r="AW173" s="156"/>
      <c r="AX173" s="156"/>
      <c r="AY173" s="154"/>
      <c r="AZ173" s="473"/>
      <c r="BA173" s="156"/>
      <c r="BB173" s="156"/>
      <c r="BC173" s="156"/>
      <c r="BD173" s="156"/>
      <c r="BE173" s="156"/>
      <c r="BF173" s="156"/>
      <c r="BG173" s="156"/>
      <c r="BH173" s="156"/>
    </row>
    <row r="174">
      <c r="A174" s="154"/>
      <c r="B174" s="473"/>
      <c r="C174" s="156"/>
      <c r="D174" s="156"/>
      <c r="E174" s="156"/>
      <c r="F174" s="154"/>
      <c r="G174" s="473"/>
      <c r="H174" s="156"/>
      <c r="I174" s="156"/>
      <c r="J174" s="156"/>
      <c r="K174" s="132"/>
      <c r="L174" s="473"/>
      <c r="M174" s="156"/>
      <c r="N174" s="156"/>
      <c r="O174" s="156"/>
      <c r="P174" s="132"/>
      <c r="Q174" s="487"/>
      <c r="R174" s="156"/>
      <c r="S174" s="156"/>
      <c r="T174" s="156"/>
      <c r="U174" s="154"/>
      <c r="V174" s="473"/>
      <c r="W174" s="156"/>
      <c r="X174" s="156"/>
      <c r="Y174" s="156"/>
      <c r="Z174" s="154"/>
      <c r="AA174" s="473"/>
      <c r="AB174" s="156"/>
      <c r="AC174" s="156"/>
      <c r="AD174" s="156"/>
      <c r="AE174" s="154"/>
      <c r="AF174" s="473"/>
      <c r="AG174" s="156"/>
      <c r="AH174" s="156"/>
      <c r="AI174" s="156"/>
      <c r="AJ174" s="154"/>
      <c r="AK174" s="473"/>
      <c r="AL174" s="156"/>
      <c r="AM174" s="156"/>
      <c r="AN174" s="156"/>
      <c r="AO174" s="154"/>
      <c r="AP174" s="473"/>
      <c r="AQ174" s="156"/>
      <c r="AR174" s="156"/>
      <c r="AS174" s="156"/>
      <c r="AT174" s="156"/>
      <c r="AU174" s="156"/>
      <c r="AV174" s="156"/>
      <c r="AW174" s="156"/>
      <c r="AX174" s="156"/>
      <c r="AY174" s="154"/>
      <c r="AZ174" s="473"/>
      <c r="BA174" s="156"/>
      <c r="BB174" s="156"/>
      <c r="BC174" s="156"/>
      <c r="BD174" s="156"/>
      <c r="BE174" s="156"/>
      <c r="BF174" s="156"/>
      <c r="BG174" s="156"/>
      <c r="BH174" s="156"/>
    </row>
    <row r="175">
      <c r="A175" s="154"/>
      <c r="B175" s="473"/>
      <c r="C175" s="156"/>
      <c r="D175" s="156"/>
      <c r="E175" s="156"/>
      <c r="F175" s="154"/>
      <c r="G175" s="473"/>
      <c r="H175" s="156"/>
      <c r="I175" s="156"/>
      <c r="J175" s="156"/>
      <c r="K175" s="132"/>
      <c r="L175" s="473"/>
      <c r="M175" s="156"/>
      <c r="N175" s="156"/>
      <c r="O175" s="156"/>
      <c r="P175" s="132"/>
      <c r="Q175" s="487"/>
      <c r="R175" s="156"/>
      <c r="S175" s="156"/>
      <c r="T175" s="156"/>
      <c r="U175" s="154"/>
      <c r="V175" s="473"/>
      <c r="W175" s="156"/>
      <c r="X175" s="156"/>
      <c r="Y175" s="156"/>
      <c r="Z175" s="154"/>
      <c r="AA175" s="473"/>
      <c r="AB175" s="156"/>
      <c r="AC175" s="156"/>
      <c r="AD175" s="156"/>
      <c r="AE175" s="154"/>
      <c r="AF175" s="473"/>
      <c r="AG175" s="156"/>
      <c r="AH175" s="156"/>
      <c r="AI175" s="156"/>
      <c r="AJ175" s="154"/>
      <c r="AK175" s="473"/>
      <c r="AL175" s="156"/>
      <c r="AM175" s="156"/>
      <c r="AN175" s="156"/>
      <c r="AO175" s="154"/>
      <c r="AP175" s="473"/>
      <c r="AQ175" s="156"/>
      <c r="AR175" s="156"/>
      <c r="AS175" s="156"/>
      <c r="AT175" s="156"/>
      <c r="AU175" s="156"/>
      <c r="AV175" s="156"/>
      <c r="AW175" s="156"/>
      <c r="AX175" s="156"/>
      <c r="AY175" s="154"/>
      <c r="AZ175" s="473"/>
      <c r="BA175" s="156"/>
      <c r="BB175" s="156"/>
      <c r="BC175" s="156"/>
      <c r="BD175" s="156"/>
      <c r="BE175" s="156"/>
      <c r="BF175" s="156"/>
      <c r="BG175" s="156"/>
      <c r="BH175" s="156"/>
    </row>
    <row r="176">
      <c r="A176" s="154"/>
      <c r="B176" s="473"/>
      <c r="C176" s="156"/>
      <c r="D176" s="156"/>
      <c r="E176" s="156"/>
      <c r="F176" s="154"/>
      <c r="G176" s="473"/>
      <c r="H176" s="156"/>
      <c r="I176" s="156"/>
      <c r="J176" s="156"/>
      <c r="K176" s="132"/>
      <c r="L176" s="473"/>
      <c r="M176" s="156"/>
      <c r="N176" s="156"/>
      <c r="O176" s="156"/>
      <c r="P176" s="132"/>
      <c r="Q176" s="487"/>
      <c r="R176" s="156"/>
      <c r="S176" s="156"/>
      <c r="T176" s="156"/>
      <c r="U176" s="154"/>
      <c r="V176" s="473"/>
      <c r="W176" s="156"/>
      <c r="X176" s="156"/>
      <c r="Y176" s="156"/>
      <c r="Z176" s="154"/>
      <c r="AA176" s="473"/>
      <c r="AB176" s="156"/>
      <c r="AC176" s="156"/>
      <c r="AD176" s="156"/>
      <c r="AE176" s="154"/>
      <c r="AF176" s="473"/>
      <c r="AG176" s="156"/>
      <c r="AH176" s="156"/>
      <c r="AI176" s="156"/>
      <c r="AJ176" s="154"/>
      <c r="AK176" s="473"/>
      <c r="AL176" s="156"/>
      <c r="AM176" s="156"/>
      <c r="AN176" s="156"/>
      <c r="AO176" s="154"/>
      <c r="AP176" s="473"/>
      <c r="AQ176" s="156"/>
      <c r="AR176" s="156"/>
      <c r="AS176" s="156"/>
      <c r="AT176" s="156"/>
      <c r="AU176" s="156"/>
      <c r="AV176" s="156"/>
      <c r="AW176" s="156"/>
      <c r="AX176" s="156"/>
      <c r="AY176" s="154"/>
      <c r="AZ176" s="473"/>
      <c r="BA176" s="156"/>
      <c r="BB176" s="156"/>
      <c r="BC176" s="156"/>
      <c r="BD176" s="156"/>
      <c r="BE176" s="156"/>
      <c r="BF176" s="156"/>
      <c r="BG176" s="156"/>
      <c r="BH176" s="156"/>
    </row>
    <row r="177">
      <c r="A177" s="154"/>
      <c r="B177" s="473"/>
      <c r="C177" s="156"/>
      <c r="D177" s="156"/>
      <c r="E177" s="156"/>
      <c r="F177" s="154"/>
      <c r="G177" s="473"/>
      <c r="H177" s="156"/>
      <c r="I177" s="156"/>
      <c r="J177" s="156"/>
      <c r="K177" s="132"/>
      <c r="L177" s="473"/>
      <c r="M177" s="156"/>
      <c r="N177" s="156"/>
      <c r="O177" s="156"/>
      <c r="P177" s="132"/>
      <c r="Q177" s="487"/>
      <c r="R177" s="156"/>
      <c r="S177" s="156"/>
      <c r="T177" s="156"/>
      <c r="U177" s="154"/>
      <c r="V177" s="473"/>
      <c r="W177" s="156"/>
      <c r="X177" s="156"/>
      <c r="Y177" s="156"/>
      <c r="Z177" s="154"/>
      <c r="AA177" s="473"/>
      <c r="AB177" s="156"/>
      <c r="AC177" s="156"/>
      <c r="AD177" s="156"/>
      <c r="AE177" s="154"/>
      <c r="AF177" s="473"/>
      <c r="AG177" s="156"/>
      <c r="AH177" s="156"/>
      <c r="AI177" s="156"/>
      <c r="AJ177" s="154"/>
      <c r="AK177" s="473"/>
      <c r="AL177" s="156"/>
      <c r="AM177" s="156"/>
      <c r="AN177" s="156"/>
      <c r="AO177" s="154"/>
      <c r="AP177" s="473"/>
      <c r="AQ177" s="156"/>
      <c r="AR177" s="156"/>
      <c r="AS177" s="156"/>
      <c r="AT177" s="156"/>
      <c r="AU177" s="156"/>
      <c r="AV177" s="156"/>
      <c r="AW177" s="156"/>
      <c r="AX177" s="156"/>
      <c r="AY177" s="154"/>
      <c r="AZ177" s="473"/>
      <c r="BA177" s="156"/>
      <c r="BB177" s="156"/>
      <c r="BC177" s="156"/>
      <c r="BD177" s="156"/>
      <c r="BE177" s="156"/>
      <c r="BF177" s="156"/>
      <c r="BG177" s="156"/>
      <c r="BH177" s="156"/>
    </row>
    <row r="178">
      <c r="A178" s="154"/>
      <c r="B178" s="473"/>
      <c r="C178" s="156"/>
      <c r="D178" s="156"/>
      <c r="E178" s="156"/>
      <c r="F178" s="154"/>
      <c r="G178" s="473"/>
      <c r="H178" s="156"/>
      <c r="I178" s="156"/>
      <c r="J178" s="156"/>
      <c r="K178" s="132"/>
      <c r="L178" s="473"/>
      <c r="M178" s="156"/>
      <c r="N178" s="156"/>
      <c r="O178" s="156"/>
      <c r="P178" s="132"/>
      <c r="Q178" s="487"/>
      <c r="R178" s="156"/>
      <c r="S178" s="156"/>
      <c r="T178" s="156"/>
      <c r="U178" s="154"/>
      <c r="V178" s="473"/>
      <c r="W178" s="156"/>
      <c r="X178" s="156"/>
      <c r="Y178" s="156"/>
      <c r="Z178" s="154"/>
      <c r="AA178" s="473"/>
      <c r="AB178" s="156"/>
      <c r="AC178" s="156"/>
      <c r="AD178" s="156"/>
      <c r="AE178" s="154"/>
      <c r="AF178" s="473"/>
      <c r="AG178" s="156"/>
      <c r="AH178" s="156"/>
      <c r="AI178" s="156"/>
      <c r="AJ178" s="154"/>
      <c r="AK178" s="473"/>
      <c r="AL178" s="156"/>
      <c r="AM178" s="156"/>
      <c r="AN178" s="156"/>
      <c r="AO178" s="154"/>
      <c r="AP178" s="473"/>
      <c r="AQ178" s="156"/>
      <c r="AR178" s="156"/>
      <c r="AS178" s="156"/>
      <c r="AT178" s="156"/>
      <c r="AU178" s="156"/>
      <c r="AV178" s="156"/>
      <c r="AW178" s="156"/>
      <c r="AX178" s="156"/>
      <c r="AY178" s="154"/>
      <c r="AZ178" s="473"/>
      <c r="BA178" s="156"/>
      <c r="BB178" s="156"/>
      <c r="BC178" s="156"/>
      <c r="BD178" s="156"/>
      <c r="BE178" s="156"/>
      <c r="BF178" s="156"/>
      <c r="BG178" s="156"/>
      <c r="BH178" s="156"/>
    </row>
    <row r="179">
      <c r="A179" s="154"/>
      <c r="B179" s="473"/>
      <c r="C179" s="156"/>
      <c r="D179" s="156"/>
      <c r="E179" s="156"/>
      <c r="F179" s="154"/>
      <c r="G179" s="473"/>
      <c r="H179" s="156"/>
      <c r="I179" s="156"/>
      <c r="J179" s="156"/>
      <c r="K179" s="132"/>
      <c r="L179" s="473"/>
      <c r="M179" s="156"/>
      <c r="N179" s="156"/>
      <c r="O179" s="156"/>
      <c r="P179" s="132"/>
      <c r="Q179" s="487"/>
      <c r="R179" s="156"/>
      <c r="S179" s="156"/>
      <c r="T179" s="156"/>
      <c r="U179" s="154"/>
      <c r="V179" s="473"/>
      <c r="W179" s="156"/>
      <c r="X179" s="156"/>
      <c r="Y179" s="156"/>
      <c r="Z179" s="154"/>
      <c r="AA179" s="473"/>
      <c r="AB179" s="156"/>
      <c r="AC179" s="156"/>
      <c r="AD179" s="156"/>
      <c r="AE179" s="154"/>
      <c r="AF179" s="473"/>
      <c r="AG179" s="156"/>
      <c r="AH179" s="156"/>
      <c r="AI179" s="156"/>
      <c r="AJ179" s="154"/>
      <c r="AK179" s="473"/>
      <c r="AL179" s="156"/>
      <c r="AM179" s="156"/>
      <c r="AN179" s="156"/>
      <c r="AO179" s="154"/>
      <c r="AP179" s="473"/>
      <c r="AQ179" s="156"/>
      <c r="AR179" s="156"/>
      <c r="AS179" s="156"/>
      <c r="AT179" s="156"/>
      <c r="AU179" s="156"/>
      <c r="AV179" s="156"/>
      <c r="AW179" s="156"/>
      <c r="AX179" s="156"/>
      <c r="AY179" s="154"/>
      <c r="AZ179" s="473"/>
      <c r="BA179" s="156"/>
      <c r="BB179" s="156"/>
      <c r="BC179" s="156"/>
      <c r="BD179" s="156"/>
      <c r="BE179" s="156"/>
      <c r="BF179" s="156"/>
      <c r="BG179" s="156"/>
      <c r="BH179" s="156"/>
    </row>
    <row r="180">
      <c r="A180" s="154"/>
      <c r="B180" s="473"/>
      <c r="C180" s="156"/>
      <c r="D180" s="156"/>
      <c r="E180" s="156"/>
      <c r="F180" s="154"/>
      <c r="G180" s="473"/>
      <c r="H180" s="156"/>
      <c r="I180" s="156"/>
      <c r="J180" s="156"/>
      <c r="K180" s="132"/>
      <c r="L180" s="473"/>
      <c r="M180" s="156"/>
      <c r="N180" s="156"/>
      <c r="O180" s="156"/>
      <c r="P180" s="132"/>
      <c r="Q180" s="487"/>
      <c r="R180" s="156"/>
      <c r="S180" s="156"/>
      <c r="T180" s="156"/>
      <c r="U180" s="154"/>
      <c r="V180" s="473"/>
      <c r="W180" s="156"/>
      <c r="X180" s="156"/>
      <c r="Y180" s="156"/>
      <c r="Z180" s="154"/>
      <c r="AA180" s="473"/>
      <c r="AB180" s="156"/>
      <c r="AC180" s="156"/>
      <c r="AD180" s="156"/>
      <c r="AE180" s="154"/>
      <c r="AF180" s="473"/>
      <c r="AG180" s="156"/>
      <c r="AH180" s="156"/>
      <c r="AI180" s="156"/>
      <c r="AJ180" s="154"/>
      <c r="AK180" s="473"/>
      <c r="AL180" s="156"/>
      <c r="AM180" s="156"/>
      <c r="AN180" s="156"/>
      <c r="AO180" s="154"/>
      <c r="AP180" s="473"/>
      <c r="AQ180" s="156"/>
      <c r="AR180" s="156"/>
      <c r="AS180" s="156"/>
      <c r="AT180" s="156"/>
      <c r="AU180" s="156"/>
      <c r="AV180" s="156"/>
      <c r="AW180" s="156"/>
      <c r="AX180" s="156"/>
      <c r="AY180" s="154"/>
      <c r="AZ180" s="473"/>
      <c r="BA180" s="156"/>
      <c r="BB180" s="156"/>
      <c r="BC180" s="156"/>
      <c r="BD180" s="156"/>
      <c r="BE180" s="156"/>
      <c r="BF180" s="156"/>
      <c r="BG180" s="156"/>
      <c r="BH180" s="156"/>
    </row>
    <row r="181">
      <c r="A181" s="154"/>
      <c r="B181" s="473"/>
      <c r="C181" s="156"/>
      <c r="D181" s="156"/>
      <c r="E181" s="156"/>
      <c r="F181" s="154"/>
      <c r="G181" s="473"/>
      <c r="H181" s="156"/>
      <c r="I181" s="156"/>
      <c r="J181" s="156"/>
      <c r="K181" s="132"/>
      <c r="L181" s="473"/>
      <c r="M181" s="156"/>
      <c r="N181" s="156"/>
      <c r="O181" s="156"/>
      <c r="P181" s="132"/>
      <c r="Q181" s="487"/>
      <c r="R181" s="156"/>
      <c r="S181" s="156"/>
      <c r="T181" s="156"/>
      <c r="U181" s="154"/>
      <c r="V181" s="473"/>
      <c r="W181" s="156"/>
      <c r="X181" s="156"/>
      <c r="Y181" s="156"/>
      <c r="Z181" s="154"/>
      <c r="AA181" s="473"/>
      <c r="AB181" s="156"/>
      <c r="AC181" s="156"/>
      <c r="AD181" s="156"/>
      <c r="AE181" s="154"/>
      <c r="AF181" s="473"/>
      <c r="AG181" s="156"/>
      <c r="AH181" s="156"/>
      <c r="AI181" s="156"/>
      <c r="AJ181" s="154"/>
      <c r="AK181" s="473"/>
      <c r="AL181" s="156"/>
      <c r="AM181" s="156"/>
      <c r="AN181" s="156"/>
      <c r="AO181" s="154"/>
      <c r="AP181" s="473"/>
      <c r="AQ181" s="156"/>
      <c r="AR181" s="156"/>
      <c r="AS181" s="156"/>
      <c r="AT181" s="156"/>
      <c r="AU181" s="156"/>
      <c r="AV181" s="156"/>
      <c r="AW181" s="156"/>
      <c r="AX181" s="156"/>
      <c r="AY181" s="154"/>
      <c r="AZ181" s="473"/>
      <c r="BA181" s="156"/>
      <c r="BB181" s="156"/>
      <c r="BC181" s="156"/>
      <c r="BD181" s="156"/>
      <c r="BE181" s="156"/>
      <c r="BF181" s="156"/>
      <c r="BG181" s="156"/>
      <c r="BH181" s="156"/>
    </row>
    <row r="182">
      <c r="A182" s="154"/>
      <c r="B182" s="473"/>
      <c r="C182" s="156"/>
      <c r="D182" s="156"/>
      <c r="E182" s="156"/>
      <c r="F182" s="154"/>
      <c r="G182" s="473"/>
      <c r="H182" s="156"/>
      <c r="I182" s="156"/>
      <c r="J182" s="156"/>
      <c r="K182" s="132"/>
      <c r="L182" s="473"/>
      <c r="M182" s="156"/>
      <c r="N182" s="156"/>
      <c r="O182" s="156"/>
      <c r="P182" s="132"/>
      <c r="Q182" s="487"/>
      <c r="R182" s="156"/>
      <c r="S182" s="156"/>
      <c r="T182" s="156"/>
      <c r="U182" s="154"/>
      <c r="V182" s="473"/>
      <c r="W182" s="156"/>
      <c r="X182" s="156"/>
      <c r="Y182" s="156"/>
      <c r="Z182" s="154"/>
      <c r="AA182" s="473"/>
      <c r="AB182" s="156"/>
      <c r="AC182" s="156"/>
      <c r="AD182" s="156"/>
      <c r="AE182" s="154"/>
      <c r="AF182" s="473"/>
      <c r="AG182" s="156"/>
      <c r="AH182" s="156"/>
      <c r="AI182" s="156"/>
      <c r="AJ182" s="154"/>
      <c r="AK182" s="473"/>
      <c r="AL182" s="156"/>
      <c r="AM182" s="156"/>
      <c r="AN182" s="156"/>
      <c r="AO182" s="154"/>
      <c r="AP182" s="473"/>
      <c r="AQ182" s="156"/>
      <c r="AR182" s="156"/>
      <c r="AS182" s="156"/>
      <c r="AT182" s="156"/>
      <c r="AU182" s="156"/>
      <c r="AV182" s="156"/>
      <c r="AW182" s="156"/>
      <c r="AX182" s="156"/>
      <c r="AY182" s="154"/>
      <c r="AZ182" s="473"/>
      <c r="BA182" s="156"/>
      <c r="BB182" s="156"/>
      <c r="BC182" s="156"/>
      <c r="BD182" s="156"/>
      <c r="BE182" s="156"/>
      <c r="BF182" s="156"/>
      <c r="BG182" s="156"/>
      <c r="BH182" s="156"/>
    </row>
    <row r="183">
      <c r="A183" s="154"/>
      <c r="B183" s="473"/>
      <c r="C183" s="156"/>
      <c r="D183" s="156"/>
      <c r="E183" s="156"/>
      <c r="F183" s="154"/>
      <c r="G183" s="473"/>
      <c r="H183" s="156"/>
      <c r="I183" s="156"/>
      <c r="J183" s="156"/>
      <c r="K183" s="132"/>
      <c r="L183" s="473"/>
      <c r="M183" s="156"/>
      <c r="N183" s="156"/>
      <c r="O183" s="156"/>
      <c r="P183" s="132"/>
      <c r="Q183" s="487"/>
      <c r="R183" s="156"/>
      <c r="S183" s="156"/>
      <c r="T183" s="156"/>
      <c r="U183" s="154"/>
      <c r="V183" s="473"/>
      <c r="W183" s="156"/>
      <c r="X183" s="156"/>
      <c r="Y183" s="156"/>
      <c r="Z183" s="154"/>
      <c r="AA183" s="473"/>
      <c r="AB183" s="156"/>
      <c r="AC183" s="156"/>
      <c r="AD183" s="156"/>
      <c r="AE183" s="154"/>
      <c r="AF183" s="473"/>
      <c r="AG183" s="156"/>
      <c r="AH183" s="156"/>
      <c r="AI183" s="156"/>
      <c r="AJ183" s="154"/>
      <c r="AK183" s="473"/>
      <c r="AL183" s="156"/>
      <c r="AM183" s="156"/>
      <c r="AN183" s="156"/>
      <c r="AO183" s="154"/>
      <c r="AP183" s="473"/>
      <c r="AQ183" s="156"/>
      <c r="AR183" s="156"/>
      <c r="AS183" s="156"/>
      <c r="AT183" s="156"/>
      <c r="AU183" s="156"/>
      <c r="AV183" s="156"/>
      <c r="AW183" s="156"/>
      <c r="AX183" s="156"/>
      <c r="AY183" s="154"/>
      <c r="AZ183" s="473"/>
      <c r="BA183" s="156"/>
      <c r="BB183" s="156"/>
      <c r="BC183" s="156"/>
      <c r="BD183" s="156"/>
      <c r="BE183" s="156"/>
      <c r="BF183" s="156"/>
      <c r="BG183" s="156"/>
      <c r="BH183" s="156"/>
    </row>
    <row r="184">
      <c r="A184" s="154"/>
      <c r="B184" s="473"/>
      <c r="C184" s="156"/>
      <c r="D184" s="156"/>
      <c r="E184" s="156"/>
      <c r="F184" s="154"/>
      <c r="G184" s="473"/>
      <c r="H184" s="156"/>
      <c r="I184" s="156"/>
      <c r="J184" s="156"/>
      <c r="K184" s="132"/>
      <c r="L184" s="473"/>
      <c r="M184" s="156"/>
      <c r="N184" s="156"/>
      <c r="O184" s="156"/>
      <c r="P184" s="132"/>
      <c r="Q184" s="487"/>
      <c r="R184" s="156"/>
      <c r="S184" s="156"/>
      <c r="T184" s="156"/>
      <c r="U184" s="154"/>
      <c r="V184" s="473"/>
      <c r="W184" s="156"/>
      <c r="X184" s="156"/>
      <c r="Y184" s="156"/>
      <c r="Z184" s="154"/>
      <c r="AA184" s="473"/>
      <c r="AB184" s="156"/>
      <c r="AC184" s="156"/>
      <c r="AD184" s="156"/>
      <c r="AE184" s="154"/>
      <c r="AF184" s="473"/>
      <c r="AG184" s="156"/>
      <c r="AH184" s="156"/>
      <c r="AI184" s="156"/>
      <c r="AJ184" s="154"/>
      <c r="AK184" s="473"/>
      <c r="AL184" s="156"/>
      <c r="AM184" s="156"/>
      <c r="AN184" s="156"/>
      <c r="AO184" s="154"/>
      <c r="AP184" s="473"/>
      <c r="AQ184" s="156"/>
      <c r="AR184" s="156"/>
      <c r="AS184" s="156"/>
      <c r="AT184" s="156"/>
      <c r="AU184" s="156"/>
      <c r="AV184" s="156"/>
      <c r="AW184" s="156"/>
      <c r="AX184" s="156"/>
      <c r="AY184" s="154"/>
      <c r="AZ184" s="473"/>
      <c r="BA184" s="156"/>
      <c r="BB184" s="156"/>
      <c r="BC184" s="156"/>
      <c r="BD184" s="156"/>
      <c r="BE184" s="156"/>
      <c r="BF184" s="156"/>
      <c r="BG184" s="156"/>
      <c r="BH184" s="156"/>
    </row>
    <row r="185">
      <c r="A185" s="154"/>
      <c r="B185" s="473"/>
      <c r="C185" s="156"/>
      <c r="D185" s="156"/>
      <c r="E185" s="156"/>
      <c r="F185" s="154"/>
      <c r="G185" s="473"/>
      <c r="H185" s="156"/>
      <c r="I185" s="156"/>
      <c r="J185" s="156"/>
      <c r="K185" s="132"/>
      <c r="L185" s="473"/>
      <c r="M185" s="156"/>
      <c r="N185" s="156"/>
      <c r="O185" s="156"/>
      <c r="P185" s="132"/>
      <c r="Q185" s="487"/>
      <c r="R185" s="156"/>
      <c r="S185" s="156"/>
      <c r="T185" s="156"/>
      <c r="U185" s="154"/>
      <c r="V185" s="473"/>
      <c r="W185" s="156"/>
      <c r="X185" s="156"/>
      <c r="Y185" s="156"/>
      <c r="Z185" s="154"/>
      <c r="AA185" s="473"/>
      <c r="AB185" s="156"/>
      <c r="AC185" s="156"/>
      <c r="AD185" s="156"/>
      <c r="AE185" s="154"/>
      <c r="AF185" s="473"/>
      <c r="AG185" s="156"/>
      <c r="AH185" s="156"/>
      <c r="AI185" s="156"/>
      <c r="AJ185" s="154"/>
      <c r="AK185" s="473"/>
      <c r="AL185" s="156"/>
      <c r="AM185" s="156"/>
      <c r="AN185" s="156"/>
      <c r="AO185" s="154"/>
      <c r="AP185" s="473"/>
      <c r="AQ185" s="156"/>
      <c r="AR185" s="156"/>
      <c r="AS185" s="156"/>
      <c r="AT185" s="156"/>
      <c r="AU185" s="156"/>
      <c r="AV185" s="156"/>
      <c r="AW185" s="156"/>
      <c r="AX185" s="156"/>
      <c r="AY185" s="154"/>
      <c r="AZ185" s="473"/>
      <c r="BA185" s="156"/>
      <c r="BB185" s="156"/>
      <c r="BC185" s="156"/>
      <c r="BD185" s="156"/>
      <c r="BE185" s="156"/>
      <c r="BF185" s="156"/>
      <c r="BG185" s="156"/>
      <c r="BH185" s="156"/>
    </row>
    <row r="186">
      <c r="A186" s="154"/>
      <c r="B186" s="473"/>
      <c r="C186" s="156"/>
      <c r="D186" s="156"/>
      <c r="E186" s="156"/>
      <c r="F186" s="154"/>
      <c r="G186" s="473"/>
      <c r="H186" s="156"/>
      <c r="I186" s="156"/>
      <c r="J186" s="156"/>
      <c r="K186" s="132"/>
      <c r="L186" s="473"/>
      <c r="M186" s="156"/>
      <c r="N186" s="156"/>
      <c r="O186" s="156"/>
      <c r="P186" s="132"/>
      <c r="Q186" s="487"/>
      <c r="R186" s="156"/>
      <c r="S186" s="156"/>
      <c r="T186" s="156"/>
      <c r="U186" s="154"/>
      <c r="V186" s="473"/>
      <c r="W186" s="156"/>
      <c r="X186" s="156"/>
      <c r="Y186" s="156"/>
      <c r="Z186" s="154"/>
      <c r="AA186" s="473"/>
      <c r="AB186" s="156"/>
      <c r="AC186" s="156"/>
      <c r="AD186" s="156"/>
      <c r="AE186" s="154"/>
      <c r="AF186" s="473"/>
      <c r="AG186" s="156"/>
      <c r="AH186" s="156"/>
      <c r="AI186" s="156"/>
      <c r="AJ186" s="154"/>
      <c r="AK186" s="473"/>
      <c r="AL186" s="156"/>
      <c r="AM186" s="156"/>
      <c r="AN186" s="156"/>
      <c r="AO186" s="154"/>
      <c r="AP186" s="473"/>
      <c r="AQ186" s="156"/>
      <c r="AR186" s="156"/>
      <c r="AS186" s="156"/>
      <c r="AT186" s="156"/>
      <c r="AU186" s="156"/>
      <c r="AV186" s="156"/>
      <c r="AW186" s="156"/>
      <c r="AX186" s="156"/>
      <c r="AY186" s="154"/>
      <c r="AZ186" s="473"/>
      <c r="BA186" s="156"/>
      <c r="BB186" s="156"/>
      <c r="BC186" s="156"/>
      <c r="BD186" s="156"/>
      <c r="BE186" s="156"/>
      <c r="BF186" s="156"/>
      <c r="BG186" s="156"/>
      <c r="BH186" s="156"/>
    </row>
    <row r="187">
      <c r="A187" s="154"/>
      <c r="B187" s="473"/>
      <c r="C187" s="156"/>
      <c r="D187" s="156"/>
      <c r="E187" s="156"/>
      <c r="F187" s="154"/>
      <c r="G187" s="473"/>
      <c r="H187" s="156"/>
      <c r="I187" s="156"/>
      <c r="J187" s="156"/>
      <c r="K187" s="132"/>
      <c r="L187" s="473"/>
      <c r="M187" s="156"/>
      <c r="N187" s="156"/>
      <c r="O187" s="156"/>
      <c r="P187" s="132"/>
      <c r="Q187" s="487"/>
      <c r="R187" s="156"/>
      <c r="S187" s="156"/>
      <c r="T187" s="156"/>
      <c r="U187" s="154"/>
      <c r="V187" s="473"/>
      <c r="W187" s="156"/>
      <c r="X187" s="156"/>
      <c r="Y187" s="156"/>
      <c r="Z187" s="154"/>
      <c r="AA187" s="473"/>
      <c r="AB187" s="156"/>
      <c r="AC187" s="156"/>
      <c r="AD187" s="156"/>
      <c r="AE187" s="154"/>
      <c r="AF187" s="473"/>
      <c r="AG187" s="156"/>
      <c r="AH187" s="156"/>
      <c r="AI187" s="156"/>
      <c r="AJ187" s="154"/>
      <c r="AK187" s="473"/>
      <c r="AL187" s="156"/>
      <c r="AM187" s="156"/>
      <c r="AN187" s="156"/>
      <c r="AO187" s="154"/>
      <c r="AP187" s="473"/>
      <c r="AQ187" s="156"/>
      <c r="AR187" s="156"/>
      <c r="AS187" s="156"/>
      <c r="AT187" s="156"/>
      <c r="AU187" s="156"/>
      <c r="AV187" s="156"/>
      <c r="AW187" s="156"/>
      <c r="AX187" s="156"/>
      <c r="AY187" s="154"/>
      <c r="AZ187" s="473"/>
      <c r="BA187" s="156"/>
      <c r="BB187" s="156"/>
      <c r="BC187" s="156"/>
      <c r="BD187" s="156"/>
      <c r="BE187" s="156"/>
      <c r="BF187" s="156"/>
      <c r="BG187" s="156"/>
      <c r="BH187" s="156"/>
    </row>
    <row r="188">
      <c r="A188" s="154"/>
      <c r="B188" s="473"/>
      <c r="C188" s="156"/>
      <c r="D188" s="156"/>
      <c r="E188" s="156"/>
      <c r="F188" s="154"/>
      <c r="G188" s="473"/>
      <c r="H188" s="156"/>
      <c r="I188" s="156"/>
      <c r="J188" s="156"/>
      <c r="K188" s="132"/>
      <c r="L188" s="473"/>
      <c r="M188" s="156"/>
      <c r="N188" s="156"/>
      <c r="O188" s="156"/>
      <c r="P188" s="132"/>
      <c r="Q188" s="487"/>
      <c r="R188" s="156"/>
      <c r="S188" s="156"/>
      <c r="T188" s="156"/>
      <c r="U188" s="154"/>
      <c r="V188" s="473"/>
      <c r="W188" s="156"/>
      <c r="X188" s="156"/>
      <c r="Y188" s="156"/>
      <c r="Z188" s="154"/>
      <c r="AA188" s="473"/>
      <c r="AB188" s="156"/>
      <c r="AC188" s="156"/>
      <c r="AD188" s="156"/>
      <c r="AE188" s="154"/>
      <c r="AF188" s="473"/>
      <c r="AG188" s="156"/>
      <c r="AH188" s="156"/>
      <c r="AI188" s="156"/>
      <c r="AJ188" s="154"/>
      <c r="AK188" s="473"/>
      <c r="AL188" s="156"/>
      <c r="AM188" s="156"/>
      <c r="AN188" s="156"/>
      <c r="AO188" s="154"/>
      <c r="AP188" s="473"/>
      <c r="AQ188" s="156"/>
      <c r="AR188" s="156"/>
      <c r="AS188" s="156"/>
      <c r="AT188" s="156"/>
      <c r="AU188" s="156"/>
      <c r="AV188" s="156"/>
      <c r="AW188" s="156"/>
      <c r="AX188" s="156"/>
      <c r="AY188" s="154"/>
      <c r="AZ188" s="473"/>
      <c r="BA188" s="156"/>
      <c r="BB188" s="156"/>
      <c r="BC188" s="156"/>
      <c r="BD188" s="156"/>
      <c r="BE188" s="156"/>
      <c r="BF188" s="156"/>
      <c r="BG188" s="156"/>
      <c r="BH188" s="156"/>
    </row>
    <row r="189">
      <c r="A189" s="154"/>
      <c r="B189" s="473"/>
      <c r="C189" s="156"/>
      <c r="D189" s="156"/>
      <c r="E189" s="156"/>
      <c r="F189" s="154"/>
      <c r="G189" s="473"/>
      <c r="H189" s="156"/>
      <c r="I189" s="156"/>
      <c r="J189" s="156"/>
      <c r="K189" s="132"/>
      <c r="L189" s="473"/>
      <c r="M189" s="156"/>
      <c r="N189" s="156"/>
      <c r="O189" s="156"/>
      <c r="P189" s="132"/>
      <c r="Q189" s="487"/>
      <c r="R189" s="156"/>
      <c r="S189" s="156"/>
      <c r="T189" s="156"/>
      <c r="U189" s="154"/>
      <c r="V189" s="473"/>
      <c r="W189" s="156"/>
      <c r="X189" s="156"/>
      <c r="Y189" s="156"/>
      <c r="Z189" s="154"/>
      <c r="AA189" s="473"/>
      <c r="AB189" s="156"/>
      <c r="AC189" s="156"/>
      <c r="AD189" s="156"/>
      <c r="AE189" s="154"/>
      <c r="AF189" s="473"/>
      <c r="AG189" s="156"/>
      <c r="AH189" s="156"/>
      <c r="AI189" s="156"/>
      <c r="AJ189" s="154"/>
      <c r="AK189" s="473"/>
      <c r="AL189" s="156"/>
      <c r="AM189" s="156"/>
      <c r="AN189" s="156"/>
      <c r="AO189" s="154"/>
      <c r="AP189" s="473"/>
      <c r="AQ189" s="156"/>
      <c r="AR189" s="156"/>
      <c r="AS189" s="156"/>
      <c r="AT189" s="156"/>
      <c r="AU189" s="156"/>
      <c r="AV189" s="156"/>
      <c r="AW189" s="156"/>
      <c r="AX189" s="156"/>
      <c r="AY189" s="154"/>
      <c r="AZ189" s="473"/>
      <c r="BA189" s="156"/>
      <c r="BB189" s="156"/>
      <c r="BC189" s="156"/>
      <c r="BD189" s="156"/>
      <c r="BE189" s="156"/>
      <c r="BF189" s="156"/>
      <c r="BG189" s="156"/>
      <c r="BH189" s="156"/>
    </row>
    <row r="190">
      <c r="A190" s="154"/>
      <c r="B190" s="473"/>
      <c r="C190" s="156"/>
      <c r="D190" s="156"/>
      <c r="E190" s="156"/>
      <c r="F190" s="154"/>
      <c r="G190" s="473"/>
      <c r="H190" s="156"/>
      <c r="I190" s="156"/>
      <c r="J190" s="156"/>
      <c r="K190" s="132"/>
      <c r="L190" s="473"/>
      <c r="M190" s="156"/>
      <c r="N190" s="156"/>
      <c r="O190" s="156"/>
      <c r="P190" s="132"/>
      <c r="Q190" s="487"/>
      <c r="R190" s="156"/>
      <c r="S190" s="156"/>
      <c r="T190" s="156"/>
      <c r="U190" s="154"/>
      <c r="V190" s="473"/>
      <c r="W190" s="156"/>
      <c r="X190" s="156"/>
      <c r="Y190" s="156"/>
      <c r="Z190" s="154"/>
      <c r="AA190" s="473"/>
      <c r="AB190" s="156"/>
      <c r="AC190" s="156"/>
      <c r="AD190" s="156"/>
      <c r="AE190" s="154"/>
      <c r="AF190" s="473"/>
      <c r="AG190" s="156"/>
      <c r="AH190" s="156"/>
      <c r="AI190" s="156"/>
      <c r="AJ190" s="154"/>
      <c r="AK190" s="473"/>
      <c r="AL190" s="156"/>
      <c r="AM190" s="156"/>
      <c r="AN190" s="156"/>
      <c r="AO190" s="154"/>
      <c r="AP190" s="473"/>
      <c r="AQ190" s="156"/>
      <c r="AR190" s="156"/>
      <c r="AS190" s="156"/>
      <c r="AT190" s="156"/>
      <c r="AU190" s="156"/>
      <c r="AV190" s="156"/>
      <c r="AW190" s="156"/>
      <c r="AX190" s="156"/>
      <c r="AY190" s="154"/>
      <c r="AZ190" s="473"/>
      <c r="BA190" s="156"/>
      <c r="BB190" s="156"/>
      <c r="BC190" s="156"/>
      <c r="BD190" s="156"/>
      <c r="BE190" s="156"/>
      <c r="BF190" s="156"/>
      <c r="BG190" s="156"/>
      <c r="BH190" s="156"/>
    </row>
    <row r="191">
      <c r="A191" s="154"/>
      <c r="B191" s="473"/>
      <c r="C191" s="156"/>
      <c r="D191" s="156"/>
      <c r="E191" s="156"/>
      <c r="F191" s="154"/>
      <c r="G191" s="473"/>
      <c r="H191" s="156"/>
      <c r="I191" s="156"/>
      <c r="J191" s="156"/>
      <c r="K191" s="132"/>
      <c r="L191" s="473"/>
      <c r="M191" s="156"/>
      <c r="N191" s="156"/>
      <c r="O191" s="156"/>
      <c r="P191" s="132"/>
      <c r="Q191" s="487"/>
      <c r="R191" s="156"/>
      <c r="S191" s="156"/>
      <c r="T191" s="156"/>
      <c r="U191" s="154"/>
      <c r="V191" s="473"/>
      <c r="W191" s="156"/>
      <c r="X191" s="156"/>
      <c r="Y191" s="156"/>
      <c r="Z191" s="154"/>
      <c r="AA191" s="473"/>
      <c r="AB191" s="156"/>
      <c r="AC191" s="156"/>
      <c r="AD191" s="156"/>
      <c r="AE191" s="154"/>
      <c r="AF191" s="473"/>
      <c r="AG191" s="156"/>
      <c r="AH191" s="156"/>
      <c r="AI191" s="156"/>
      <c r="AJ191" s="154"/>
      <c r="AK191" s="473"/>
      <c r="AL191" s="156"/>
      <c r="AM191" s="156"/>
      <c r="AN191" s="156"/>
      <c r="AO191" s="154"/>
      <c r="AP191" s="473"/>
      <c r="AQ191" s="156"/>
      <c r="AR191" s="156"/>
      <c r="AS191" s="156"/>
      <c r="AT191" s="156"/>
      <c r="AU191" s="156"/>
      <c r="AV191" s="156"/>
      <c r="AW191" s="156"/>
      <c r="AX191" s="156"/>
      <c r="AY191" s="154"/>
      <c r="AZ191" s="473"/>
      <c r="BA191" s="156"/>
      <c r="BB191" s="156"/>
      <c r="BC191" s="156"/>
      <c r="BD191" s="156"/>
      <c r="BE191" s="156"/>
      <c r="BF191" s="156"/>
      <c r="BG191" s="156"/>
      <c r="BH191" s="156"/>
    </row>
    <row r="192">
      <c r="A192" s="154"/>
      <c r="B192" s="473"/>
      <c r="C192" s="156"/>
      <c r="D192" s="156"/>
      <c r="E192" s="156"/>
      <c r="F192" s="154"/>
      <c r="G192" s="473"/>
      <c r="H192" s="156"/>
      <c r="I192" s="156"/>
      <c r="J192" s="156"/>
      <c r="K192" s="132"/>
      <c r="L192" s="473"/>
      <c r="M192" s="156"/>
      <c r="N192" s="156"/>
      <c r="O192" s="156"/>
      <c r="P192" s="132"/>
      <c r="Q192" s="487"/>
      <c r="R192" s="156"/>
      <c r="S192" s="156"/>
      <c r="T192" s="156"/>
      <c r="U192" s="154"/>
      <c r="V192" s="473"/>
      <c r="W192" s="156"/>
      <c r="X192" s="156"/>
      <c r="Y192" s="156"/>
      <c r="Z192" s="154"/>
      <c r="AA192" s="473"/>
      <c r="AB192" s="156"/>
      <c r="AC192" s="156"/>
      <c r="AD192" s="156"/>
      <c r="AE192" s="154"/>
      <c r="AF192" s="473"/>
      <c r="AG192" s="156"/>
      <c r="AH192" s="156"/>
      <c r="AI192" s="156"/>
      <c r="AJ192" s="154"/>
      <c r="AK192" s="473"/>
      <c r="AL192" s="156"/>
      <c r="AM192" s="156"/>
      <c r="AN192" s="156"/>
      <c r="AO192" s="154"/>
      <c r="AP192" s="473"/>
      <c r="AQ192" s="156"/>
      <c r="AR192" s="156"/>
      <c r="AS192" s="156"/>
      <c r="AT192" s="156"/>
      <c r="AU192" s="156"/>
      <c r="AV192" s="156"/>
      <c r="AW192" s="156"/>
      <c r="AX192" s="156"/>
      <c r="AY192" s="154"/>
      <c r="AZ192" s="473"/>
      <c r="BA192" s="156"/>
      <c r="BB192" s="156"/>
      <c r="BC192" s="156"/>
      <c r="BD192" s="156"/>
      <c r="BE192" s="156"/>
      <c r="BF192" s="156"/>
      <c r="BG192" s="156"/>
      <c r="BH192" s="156"/>
    </row>
    <row r="193">
      <c r="A193" s="154"/>
      <c r="B193" s="473"/>
      <c r="C193" s="156"/>
      <c r="D193" s="156"/>
      <c r="E193" s="156"/>
      <c r="F193" s="154"/>
      <c r="G193" s="473"/>
      <c r="H193" s="156"/>
      <c r="I193" s="156"/>
      <c r="J193" s="156"/>
      <c r="K193" s="132"/>
      <c r="L193" s="473"/>
      <c r="M193" s="156"/>
      <c r="N193" s="156"/>
      <c r="O193" s="156"/>
      <c r="P193" s="132"/>
      <c r="Q193" s="487"/>
      <c r="R193" s="156"/>
      <c r="S193" s="156"/>
      <c r="T193" s="156"/>
      <c r="U193" s="154"/>
      <c r="V193" s="473"/>
      <c r="W193" s="156"/>
      <c r="X193" s="156"/>
      <c r="Y193" s="156"/>
      <c r="Z193" s="154"/>
      <c r="AA193" s="473"/>
      <c r="AB193" s="156"/>
      <c r="AC193" s="156"/>
      <c r="AD193" s="156"/>
      <c r="AE193" s="154"/>
      <c r="AF193" s="473"/>
      <c r="AG193" s="156"/>
      <c r="AH193" s="156"/>
      <c r="AI193" s="156"/>
      <c r="AJ193" s="154"/>
      <c r="AK193" s="473"/>
      <c r="AL193" s="156"/>
      <c r="AM193" s="156"/>
      <c r="AN193" s="156"/>
      <c r="AO193" s="154"/>
      <c r="AP193" s="473"/>
      <c r="AQ193" s="156"/>
      <c r="AR193" s="156"/>
      <c r="AS193" s="156"/>
      <c r="AT193" s="156"/>
      <c r="AU193" s="156"/>
      <c r="AV193" s="156"/>
      <c r="AW193" s="156"/>
      <c r="AX193" s="156"/>
      <c r="AY193" s="154"/>
      <c r="AZ193" s="473"/>
      <c r="BA193" s="156"/>
      <c r="BB193" s="156"/>
      <c r="BC193" s="156"/>
      <c r="BD193" s="156"/>
      <c r="BE193" s="156"/>
      <c r="BF193" s="156"/>
      <c r="BG193" s="156"/>
      <c r="BH193" s="156"/>
    </row>
    <row r="194">
      <c r="A194" s="154"/>
      <c r="B194" s="473"/>
      <c r="C194" s="156"/>
      <c r="D194" s="156"/>
      <c r="E194" s="156"/>
      <c r="F194" s="154"/>
      <c r="G194" s="473"/>
      <c r="H194" s="156"/>
      <c r="I194" s="156"/>
      <c r="J194" s="156"/>
      <c r="K194" s="132"/>
      <c r="L194" s="473"/>
      <c r="M194" s="156"/>
      <c r="N194" s="156"/>
      <c r="O194" s="156"/>
      <c r="P194" s="132"/>
      <c r="Q194" s="487"/>
      <c r="R194" s="156"/>
      <c r="S194" s="156"/>
      <c r="T194" s="156"/>
      <c r="U194" s="154"/>
      <c r="V194" s="473"/>
      <c r="W194" s="156"/>
      <c r="X194" s="156"/>
      <c r="Y194" s="156"/>
      <c r="Z194" s="154"/>
      <c r="AA194" s="473"/>
      <c r="AB194" s="156"/>
      <c r="AC194" s="156"/>
      <c r="AD194" s="156"/>
      <c r="AE194" s="154"/>
      <c r="AF194" s="473"/>
      <c r="AG194" s="156"/>
      <c r="AH194" s="156"/>
      <c r="AI194" s="156"/>
      <c r="AJ194" s="154"/>
      <c r="AK194" s="473"/>
      <c r="AL194" s="156"/>
      <c r="AM194" s="156"/>
      <c r="AN194" s="156"/>
      <c r="AO194" s="154"/>
      <c r="AP194" s="473"/>
      <c r="AQ194" s="156"/>
      <c r="AR194" s="156"/>
      <c r="AS194" s="156"/>
      <c r="AT194" s="156"/>
      <c r="AU194" s="156"/>
      <c r="AV194" s="156"/>
      <c r="AW194" s="156"/>
      <c r="AX194" s="156"/>
      <c r="AY194" s="154"/>
      <c r="AZ194" s="473"/>
      <c r="BA194" s="156"/>
      <c r="BB194" s="156"/>
      <c r="BC194" s="156"/>
      <c r="BD194" s="156"/>
      <c r="BE194" s="156"/>
      <c r="BF194" s="156"/>
      <c r="BG194" s="156"/>
      <c r="BH194" s="156"/>
    </row>
    <row r="195">
      <c r="A195" s="154"/>
      <c r="B195" s="473"/>
      <c r="C195" s="156"/>
      <c r="D195" s="156"/>
      <c r="E195" s="156"/>
      <c r="F195" s="154"/>
      <c r="G195" s="473"/>
      <c r="H195" s="156"/>
      <c r="I195" s="156"/>
      <c r="J195" s="156"/>
      <c r="K195" s="132"/>
      <c r="L195" s="473"/>
      <c r="M195" s="156"/>
      <c r="N195" s="156"/>
      <c r="O195" s="156"/>
      <c r="P195" s="132"/>
      <c r="Q195" s="487"/>
      <c r="R195" s="156"/>
      <c r="S195" s="156"/>
      <c r="T195" s="156"/>
      <c r="U195" s="154"/>
      <c r="V195" s="473"/>
      <c r="W195" s="156"/>
      <c r="X195" s="156"/>
      <c r="Y195" s="156"/>
      <c r="Z195" s="154"/>
      <c r="AA195" s="473"/>
      <c r="AB195" s="156"/>
      <c r="AC195" s="156"/>
      <c r="AD195" s="156"/>
      <c r="AE195" s="154"/>
      <c r="AF195" s="473"/>
      <c r="AG195" s="156"/>
      <c r="AH195" s="156"/>
      <c r="AI195" s="156"/>
      <c r="AJ195" s="154"/>
      <c r="AK195" s="473"/>
      <c r="AL195" s="156"/>
      <c r="AM195" s="156"/>
      <c r="AN195" s="156"/>
      <c r="AO195" s="154"/>
      <c r="AP195" s="473"/>
      <c r="AQ195" s="156"/>
      <c r="AR195" s="156"/>
      <c r="AS195" s="156"/>
      <c r="AT195" s="156"/>
      <c r="AU195" s="156"/>
      <c r="AV195" s="156"/>
      <c r="AW195" s="156"/>
      <c r="AX195" s="156"/>
      <c r="AY195" s="154"/>
      <c r="AZ195" s="473"/>
      <c r="BA195" s="156"/>
      <c r="BB195" s="156"/>
      <c r="BC195" s="156"/>
      <c r="BD195" s="156"/>
      <c r="BE195" s="156"/>
      <c r="BF195" s="156"/>
      <c r="BG195" s="156"/>
      <c r="BH195" s="156"/>
    </row>
    <row r="196">
      <c r="A196" s="154"/>
      <c r="B196" s="473"/>
      <c r="C196" s="156"/>
      <c r="D196" s="156"/>
      <c r="E196" s="156"/>
      <c r="F196" s="154"/>
      <c r="G196" s="473"/>
      <c r="H196" s="156"/>
      <c r="I196" s="156"/>
      <c r="J196" s="156"/>
      <c r="K196" s="132"/>
      <c r="L196" s="473"/>
      <c r="M196" s="156"/>
      <c r="N196" s="156"/>
      <c r="O196" s="156"/>
      <c r="P196" s="132"/>
      <c r="Q196" s="487"/>
      <c r="R196" s="156"/>
      <c r="S196" s="156"/>
      <c r="T196" s="156"/>
      <c r="U196" s="154"/>
      <c r="V196" s="473"/>
      <c r="W196" s="156"/>
      <c r="X196" s="156"/>
      <c r="Y196" s="156"/>
      <c r="Z196" s="154"/>
      <c r="AA196" s="473"/>
      <c r="AB196" s="156"/>
      <c r="AC196" s="156"/>
      <c r="AD196" s="156"/>
      <c r="AE196" s="154"/>
      <c r="AF196" s="473"/>
      <c r="AG196" s="156"/>
      <c r="AH196" s="156"/>
      <c r="AI196" s="156"/>
      <c r="AJ196" s="154"/>
      <c r="AK196" s="473"/>
      <c r="AL196" s="156"/>
      <c r="AM196" s="156"/>
      <c r="AN196" s="156"/>
      <c r="AO196" s="154"/>
      <c r="AP196" s="473"/>
      <c r="AQ196" s="156"/>
      <c r="AR196" s="156"/>
      <c r="AS196" s="156"/>
      <c r="AT196" s="156"/>
      <c r="AU196" s="156"/>
      <c r="AV196" s="156"/>
      <c r="AW196" s="156"/>
      <c r="AX196" s="156"/>
      <c r="AY196" s="154"/>
      <c r="AZ196" s="473"/>
      <c r="BA196" s="156"/>
      <c r="BB196" s="156"/>
      <c r="BC196" s="156"/>
      <c r="BD196" s="156"/>
      <c r="BE196" s="156"/>
      <c r="BF196" s="156"/>
      <c r="BG196" s="156"/>
      <c r="BH196" s="156"/>
    </row>
    <row r="197">
      <c r="A197" s="154"/>
      <c r="B197" s="473"/>
      <c r="C197" s="156"/>
      <c r="D197" s="156"/>
      <c r="E197" s="156"/>
      <c r="F197" s="154"/>
      <c r="G197" s="473"/>
      <c r="H197" s="156"/>
      <c r="I197" s="156"/>
      <c r="J197" s="156"/>
      <c r="K197" s="132"/>
      <c r="L197" s="473"/>
      <c r="M197" s="156"/>
      <c r="N197" s="156"/>
      <c r="O197" s="156"/>
      <c r="P197" s="132"/>
      <c r="Q197" s="487"/>
      <c r="R197" s="156"/>
      <c r="S197" s="156"/>
      <c r="T197" s="156"/>
      <c r="U197" s="154"/>
      <c r="V197" s="473"/>
      <c r="W197" s="156"/>
      <c r="X197" s="156"/>
      <c r="Y197" s="156"/>
      <c r="Z197" s="154"/>
      <c r="AA197" s="473"/>
      <c r="AB197" s="156"/>
      <c r="AC197" s="156"/>
      <c r="AD197" s="156"/>
      <c r="AE197" s="154"/>
      <c r="AF197" s="473"/>
      <c r="AG197" s="156"/>
      <c r="AH197" s="156"/>
      <c r="AI197" s="156"/>
      <c r="AJ197" s="154"/>
      <c r="AK197" s="473"/>
      <c r="AL197" s="156"/>
      <c r="AM197" s="156"/>
      <c r="AN197" s="156"/>
      <c r="AO197" s="154"/>
      <c r="AP197" s="473"/>
      <c r="AQ197" s="156"/>
      <c r="AR197" s="156"/>
      <c r="AS197" s="156"/>
      <c r="AT197" s="156"/>
      <c r="AU197" s="156"/>
      <c r="AV197" s="156"/>
      <c r="AW197" s="156"/>
      <c r="AX197" s="156"/>
      <c r="AY197" s="154"/>
      <c r="AZ197" s="473"/>
      <c r="BA197" s="156"/>
      <c r="BB197" s="156"/>
      <c r="BC197" s="156"/>
      <c r="BD197" s="156"/>
      <c r="BE197" s="156"/>
      <c r="BF197" s="156"/>
      <c r="BG197" s="156"/>
      <c r="BH197" s="156"/>
    </row>
    <row r="198">
      <c r="A198" s="154"/>
      <c r="B198" s="473"/>
      <c r="C198" s="156"/>
      <c r="D198" s="156"/>
      <c r="E198" s="156"/>
      <c r="F198" s="154"/>
      <c r="G198" s="473"/>
      <c r="H198" s="156"/>
      <c r="I198" s="156"/>
      <c r="J198" s="156"/>
      <c r="K198" s="132"/>
      <c r="L198" s="473"/>
      <c r="M198" s="156"/>
      <c r="N198" s="156"/>
      <c r="O198" s="156"/>
      <c r="P198" s="132"/>
      <c r="Q198" s="487"/>
      <c r="R198" s="156"/>
      <c r="S198" s="156"/>
      <c r="T198" s="156"/>
      <c r="U198" s="154"/>
      <c r="V198" s="473"/>
      <c r="W198" s="156"/>
      <c r="X198" s="156"/>
      <c r="Y198" s="156"/>
      <c r="Z198" s="154"/>
      <c r="AA198" s="473"/>
      <c r="AB198" s="156"/>
      <c r="AC198" s="156"/>
      <c r="AD198" s="156"/>
      <c r="AE198" s="154"/>
      <c r="AF198" s="473"/>
      <c r="AG198" s="156"/>
      <c r="AH198" s="156"/>
      <c r="AI198" s="156"/>
      <c r="AJ198" s="154"/>
      <c r="AK198" s="473"/>
      <c r="AL198" s="156"/>
      <c r="AM198" s="156"/>
      <c r="AN198" s="156"/>
      <c r="AO198" s="154"/>
      <c r="AP198" s="473"/>
      <c r="AQ198" s="156"/>
      <c r="AR198" s="156"/>
      <c r="AS198" s="156"/>
      <c r="AT198" s="156"/>
      <c r="AU198" s="156"/>
      <c r="AV198" s="156"/>
      <c r="AW198" s="156"/>
      <c r="AX198" s="156"/>
      <c r="AY198" s="154"/>
      <c r="AZ198" s="473"/>
      <c r="BA198" s="156"/>
      <c r="BB198" s="156"/>
      <c r="BC198" s="156"/>
      <c r="BD198" s="156"/>
      <c r="BE198" s="156"/>
      <c r="BF198" s="156"/>
      <c r="BG198" s="156"/>
      <c r="BH198" s="156"/>
    </row>
    <row r="199">
      <c r="A199" s="154"/>
      <c r="B199" s="473"/>
      <c r="C199" s="156"/>
      <c r="D199" s="156"/>
      <c r="E199" s="156"/>
      <c r="F199" s="154"/>
      <c r="G199" s="473"/>
      <c r="H199" s="156"/>
      <c r="I199" s="156"/>
      <c r="J199" s="156"/>
      <c r="K199" s="132"/>
      <c r="L199" s="473"/>
      <c r="M199" s="156"/>
      <c r="N199" s="156"/>
      <c r="O199" s="156"/>
      <c r="P199" s="132"/>
      <c r="Q199" s="487"/>
      <c r="R199" s="156"/>
      <c r="S199" s="156"/>
      <c r="T199" s="156"/>
      <c r="U199" s="154"/>
      <c r="V199" s="473"/>
      <c r="W199" s="156"/>
      <c r="X199" s="156"/>
      <c r="Y199" s="156"/>
      <c r="Z199" s="154"/>
      <c r="AA199" s="473"/>
      <c r="AB199" s="156"/>
      <c r="AC199" s="156"/>
      <c r="AD199" s="156"/>
      <c r="AE199" s="154"/>
      <c r="AF199" s="473"/>
      <c r="AG199" s="156"/>
      <c r="AH199" s="156"/>
      <c r="AI199" s="156"/>
      <c r="AJ199" s="154"/>
      <c r="AK199" s="473"/>
      <c r="AL199" s="156"/>
      <c r="AM199" s="156"/>
      <c r="AN199" s="156"/>
      <c r="AO199" s="154"/>
      <c r="AP199" s="473"/>
      <c r="AQ199" s="156"/>
      <c r="AR199" s="156"/>
      <c r="AS199" s="156"/>
      <c r="AT199" s="156"/>
      <c r="AU199" s="156"/>
      <c r="AV199" s="156"/>
      <c r="AW199" s="156"/>
      <c r="AX199" s="156"/>
      <c r="AY199" s="154"/>
      <c r="AZ199" s="473"/>
      <c r="BA199" s="156"/>
      <c r="BB199" s="156"/>
      <c r="BC199" s="156"/>
      <c r="BD199" s="156"/>
      <c r="BE199" s="156"/>
      <c r="BF199" s="156"/>
      <c r="BG199" s="156"/>
      <c r="BH199" s="156"/>
    </row>
    <row r="200">
      <c r="A200" s="154"/>
      <c r="B200" s="473"/>
      <c r="C200" s="156"/>
      <c r="D200" s="156"/>
      <c r="E200" s="156"/>
      <c r="F200" s="154"/>
      <c r="G200" s="473"/>
      <c r="H200" s="156"/>
      <c r="I200" s="156"/>
      <c r="J200" s="156"/>
      <c r="K200" s="132"/>
      <c r="L200" s="473"/>
      <c r="M200" s="156"/>
      <c r="N200" s="156"/>
      <c r="O200" s="156"/>
      <c r="P200" s="132"/>
      <c r="Q200" s="487"/>
      <c r="R200" s="156"/>
      <c r="S200" s="156"/>
      <c r="T200" s="156"/>
      <c r="U200" s="154"/>
      <c r="V200" s="473"/>
      <c r="W200" s="156"/>
      <c r="X200" s="156"/>
      <c r="Y200" s="156"/>
      <c r="Z200" s="154"/>
      <c r="AA200" s="473"/>
      <c r="AB200" s="156"/>
      <c r="AC200" s="156"/>
      <c r="AD200" s="156"/>
      <c r="AE200" s="154"/>
      <c r="AF200" s="473"/>
      <c r="AG200" s="156"/>
      <c r="AH200" s="156"/>
      <c r="AI200" s="156"/>
      <c r="AJ200" s="154"/>
      <c r="AK200" s="473"/>
      <c r="AL200" s="156"/>
      <c r="AM200" s="156"/>
      <c r="AN200" s="156"/>
      <c r="AO200" s="154"/>
      <c r="AP200" s="473"/>
      <c r="AQ200" s="156"/>
      <c r="AR200" s="156"/>
      <c r="AS200" s="156"/>
      <c r="AT200" s="156"/>
      <c r="AU200" s="156"/>
      <c r="AV200" s="156"/>
      <c r="AW200" s="156"/>
      <c r="AX200" s="156"/>
      <c r="AY200" s="154"/>
      <c r="AZ200" s="473"/>
      <c r="BA200" s="156"/>
      <c r="BB200" s="156"/>
      <c r="BC200" s="156"/>
      <c r="BD200" s="156"/>
      <c r="BE200" s="156"/>
      <c r="BF200" s="156"/>
      <c r="BG200" s="156"/>
      <c r="BH200" s="156"/>
    </row>
    <row r="201">
      <c r="A201" s="154"/>
      <c r="B201" s="473"/>
      <c r="C201" s="156"/>
      <c r="D201" s="156"/>
      <c r="E201" s="156"/>
      <c r="F201" s="154"/>
      <c r="G201" s="473"/>
      <c r="H201" s="156"/>
      <c r="I201" s="156"/>
      <c r="J201" s="156"/>
      <c r="K201" s="132"/>
      <c r="L201" s="473"/>
      <c r="M201" s="156"/>
      <c r="N201" s="156"/>
      <c r="O201" s="156"/>
      <c r="P201" s="132"/>
      <c r="Q201" s="487"/>
      <c r="R201" s="156"/>
      <c r="S201" s="156"/>
      <c r="T201" s="156"/>
      <c r="U201" s="154"/>
      <c r="V201" s="473"/>
      <c r="W201" s="156"/>
      <c r="X201" s="156"/>
      <c r="Y201" s="156"/>
      <c r="Z201" s="154"/>
      <c r="AA201" s="473"/>
      <c r="AB201" s="156"/>
      <c r="AC201" s="156"/>
      <c r="AD201" s="156"/>
      <c r="AE201" s="154"/>
      <c r="AF201" s="473"/>
      <c r="AG201" s="156"/>
      <c r="AH201" s="156"/>
      <c r="AI201" s="156"/>
      <c r="AJ201" s="154"/>
      <c r="AK201" s="473"/>
      <c r="AL201" s="156"/>
      <c r="AM201" s="156"/>
      <c r="AN201" s="156"/>
      <c r="AO201" s="154"/>
      <c r="AP201" s="473"/>
      <c r="AQ201" s="156"/>
      <c r="AR201" s="156"/>
      <c r="AS201" s="156"/>
      <c r="AT201" s="156"/>
      <c r="AU201" s="156"/>
      <c r="AV201" s="156"/>
      <c r="AW201" s="156"/>
      <c r="AX201" s="156"/>
      <c r="AY201" s="154"/>
      <c r="AZ201" s="473"/>
      <c r="BA201" s="156"/>
      <c r="BB201" s="156"/>
      <c r="BC201" s="156"/>
      <c r="BD201" s="156"/>
      <c r="BE201" s="156"/>
      <c r="BF201" s="156"/>
      <c r="BG201" s="156"/>
      <c r="BH201" s="156"/>
    </row>
    <row r="202">
      <c r="A202" s="154"/>
      <c r="B202" s="473"/>
      <c r="C202" s="156"/>
      <c r="D202" s="156"/>
      <c r="E202" s="156"/>
      <c r="F202" s="154"/>
      <c r="G202" s="473"/>
      <c r="H202" s="156"/>
      <c r="I202" s="156"/>
      <c r="J202" s="156"/>
      <c r="K202" s="132"/>
      <c r="L202" s="473"/>
      <c r="M202" s="156"/>
      <c r="N202" s="156"/>
      <c r="O202" s="156"/>
      <c r="P202" s="132"/>
      <c r="Q202" s="487"/>
      <c r="R202" s="156"/>
      <c r="S202" s="156"/>
      <c r="T202" s="156"/>
      <c r="U202" s="154"/>
      <c r="V202" s="473"/>
      <c r="W202" s="156"/>
      <c r="X202" s="156"/>
      <c r="Y202" s="156"/>
      <c r="Z202" s="154"/>
      <c r="AA202" s="473"/>
      <c r="AB202" s="156"/>
      <c r="AC202" s="156"/>
      <c r="AD202" s="156"/>
      <c r="AE202" s="154"/>
      <c r="AF202" s="473"/>
      <c r="AG202" s="156"/>
      <c r="AH202" s="156"/>
      <c r="AI202" s="156"/>
      <c r="AJ202" s="154"/>
      <c r="AK202" s="473"/>
      <c r="AL202" s="156"/>
      <c r="AM202" s="156"/>
      <c r="AN202" s="156"/>
      <c r="AO202" s="154"/>
      <c r="AP202" s="473"/>
      <c r="AQ202" s="156"/>
      <c r="AR202" s="156"/>
      <c r="AS202" s="156"/>
      <c r="AT202" s="156"/>
      <c r="AU202" s="156"/>
      <c r="AV202" s="156"/>
      <c r="AW202" s="156"/>
      <c r="AX202" s="156"/>
      <c r="AY202" s="154"/>
      <c r="AZ202" s="473"/>
      <c r="BA202" s="156"/>
      <c r="BB202" s="156"/>
      <c r="BC202" s="156"/>
      <c r="BD202" s="156"/>
      <c r="BE202" s="156"/>
      <c r="BF202" s="156"/>
      <c r="BG202" s="156"/>
      <c r="BH202" s="156"/>
    </row>
    <row r="203">
      <c r="A203" s="154"/>
      <c r="B203" s="473"/>
      <c r="C203" s="156"/>
      <c r="D203" s="156"/>
      <c r="E203" s="156"/>
      <c r="F203" s="154"/>
      <c r="G203" s="473"/>
      <c r="H203" s="156"/>
      <c r="I203" s="156"/>
      <c r="J203" s="156"/>
      <c r="K203" s="132"/>
      <c r="L203" s="473"/>
      <c r="M203" s="156"/>
      <c r="N203" s="156"/>
      <c r="O203" s="156"/>
      <c r="P203" s="132"/>
      <c r="Q203" s="487"/>
      <c r="R203" s="156"/>
      <c r="S203" s="156"/>
      <c r="T203" s="156"/>
      <c r="U203" s="154"/>
      <c r="V203" s="473"/>
      <c r="W203" s="156"/>
      <c r="X203" s="156"/>
      <c r="Y203" s="156"/>
      <c r="Z203" s="154"/>
      <c r="AA203" s="473"/>
      <c r="AB203" s="156"/>
      <c r="AC203" s="156"/>
      <c r="AD203" s="156"/>
      <c r="AE203" s="154"/>
      <c r="AF203" s="473"/>
      <c r="AG203" s="156"/>
      <c r="AH203" s="156"/>
      <c r="AI203" s="156"/>
      <c r="AJ203" s="154"/>
      <c r="AK203" s="473"/>
      <c r="AL203" s="156"/>
      <c r="AM203" s="156"/>
      <c r="AN203" s="156"/>
      <c r="AO203" s="154"/>
      <c r="AP203" s="473"/>
      <c r="AQ203" s="156"/>
      <c r="AR203" s="156"/>
      <c r="AS203" s="156"/>
      <c r="AT203" s="156"/>
      <c r="AU203" s="156"/>
      <c r="AV203" s="156"/>
      <c r="AW203" s="156"/>
      <c r="AX203" s="156"/>
      <c r="AY203" s="154"/>
      <c r="AZ203" s="473"/>
      <c r="BA203" s="156"/>
      <c r="BB203" s="156"/>
      <c r="BC203" s="156"/>
      <c r="BD203" s="156"/>
      <c r="BE203" s="156"/>
      <c r="BF203" s="156"/>
      <c r="BG203" s="156"/>
      <c r="BH203" s="156"/>
    </row>
    <row r="204">
      <c r="A204" s="154"/>
      <c r="B204" s="473"/>
      <c r="C204" s="156"/>
      <c r="D204" s="156"/>
      <c r="E204" s="156"/>
      <c r="F204" s="154"/>
      <c r="G204" s="473"/>
      <c r="H204" s="156"/>
      <c r="I204" s="156"/>
      <c r="J204" s="156"/>
      <c r="K204" s="132"/>
      <c r="L204" s="473"/>
      <c r="M204" s="156"/>
      <c r="N204" s="156"/>
      <c r="O204" s="156"/>
      <c r="P204" s="132"/>
      <c r="Q204" s="487"/>
      <c r="R204" s="156"/>
      <c r="S204" s="156"/>
      <c r="T204" s="156"/>
      <c r="U204" s="154"/>
      <c r="V204" s="473"/>
      <c r="W204" s="156"/>
      <c r="X204" s="156"/>
      <c r="Y204" s="156"/>
      <c r="Z204" s="154"/>
      <c r="AA204" s="473"/>
      <c r="AB204" s="156"/>
      <c r="AC204" s="156"/>
      <c r="AD204" s="156"/>
      <c r="AE204" s="154"/>
      <c r="AF204" s="473"/>
      <c r="AG204" s="156"/>
      <c r="AH204" s="156"/>
      <c r="AI204" s="156"/>
      <c r="AJ204" s="154"/>
      <c r="AK204" s="473"/>
      <c r="AL204" s="156"/>
      <c r="AM204" s="156"/>
      <c r="AN204" s="156"/>
      <c r="AO204" s="154"/>
      <c r="AP204" s="473"/>
      <c r="AQ204" s="156"/>
      <c r="AR204" s="156"/>
      <c r="AS204" s="156"/>
      <c r="AT204" s="156"/>
      <c r="AU204" s="156"/>
      <c r="AV204" s="156"/>
      <c r="AW204" s="156"/>
      <c r="AX204" s="156"/>
      <c r="AY204" s="154"/>
      <c r="AZ204" s="473"/>
      <c r="BA204" s="156"/>
      <c r="BB204" s="156"/>
      <c r="BC204" s="156"/>
      <c r="BD204" s="156"/>
      <c r="BE204" s="156"/>
      <c r="BF204" s="156"/>
      <c r="BG204" s="156"/>
      <c r="BH204" s="156"/>
    </row>
    <row r="205">
      <c r="A205" s="154"/>
      <c r="B205" s="473"/>
      <c r="C205" s="156"/>
      <c r="D205" s="156"/>
      <c r="E205" s="156"/>
      <c r="F205" s="154"/>
      <c r="G205" s="473"/>
      <c r="H205" s="156"/>
      <c r="I205" s="156"/>
      <c r="J205" s="156"/>
      <c r="K205" s="132"/>
      <c r="L205" s="473"/>
      <c r="M205" s="156"/>
      <c r="N205" s="156"/>
      <c r="O205" s="156"/>
      <c r="P205" s="132"/>
      <c r="Q205" s="487"/>
      <c r="R205" s="156"/>
      <c r="S205" s="156"/>
      <c r="T205" s="156"/>
      <c r="U205" s="154"/>
      <c r="V205" s="473"/>
      <c r="W205" s="156"/>
      <c r="X205" s="156"/>
      <c r="Y205" s="156"/>
      <c r="Z205" s="154"/>
      <c r="AA205" s="473"/>
      <c r="AB205" s="156"/>
      <c r="AC205" s="156"/>
      <c r="AD205" s="156"/>
      <c r="AE205" s="154"/>
      <c r="AF205" s="473"/>
      <c r="AG205" s="156"/>
      <c r="AH205" s="156"/>
      <c r="AI205" s="156"/>
      <c r="AJ205" s="154"/>
      <c r="AK205" s="473"/>
      <c r="AL205" s="156"/>
      <c r="AM205" s="156"/>
      <c r="AN205" s="156"/>
      <c r="AO205" s="154"/>
      <c r="AP205" s="473"/>
      <c r="AQ205" s="156"/>
      <c r="AR205" s="156"/>
      <c r="AS205" s="156"/>
      <c r="AT205" s="156"/>
      <c r="AU205" s="156"/>
      <c r="AV205" s="156"/>
      <c r="AW205" s="156"/>
      <c r="AX205" s="156"/>
      <c r="AY205" s="154"/>
      <c r="AZ205" s="473"/>
      <c r="BA205" s="156"/>
      <c r="BB205" s="156"/>
      <c r="BC205" s="156"/>
      <c r="BD205" s="156"/>
      <c r="BE205" s="156"/>
      <c r="BF205" s="156"/>
      <c r="BG205" s="156"/>
      <c r="BH205" s="156"/>
    </row>
    <row r="206">
      <c r="A206" s="154"/>
      <c r="B206" s="473"/>
      <c r="C206" s="156"/>
      <c r="D206" s="156"/>
      <c r="E206" s="156"/>
      <c r="F206" s="154"/>
      <c r="G206" s="473"/>
      <c r="H206" s="156"/>
      <c r="I206" s="156"/>
      <c r="J206" s="156"/>
      <c r="K206" s="132"/>
      <c r="L206" s="473"/>
      <c r="M206" s="156"/>
      <c r="N206" s="156"/>
      <c r="O206" s="156"/>
      <c r="P206" s="132"/>
      <c r="Q206" s="487"/>
      <c r="R206" s="156"/>
      <c r="S206" s="156"/>
      <c r="T206" s="156"/>
      <c r="U206" s="154"/>
      <c r="V206" s="473"/>
      <c r="W206" s="156"/>
      <c r="X206" s="156"/>
      <c r="Y206" s="156"/>
      <c r="Z206" s="154"/>
      <c r="AA206" s="473"/>
      <c r="AB206" s="156"/>
      <c r="AC206" s="156"/>
      <c r="AD206" s="156"/>
      <c r="AE206" s="154"/>
      <c r="AF206" s="473"/>
      <c r="AG206" s="156"/>
      <c r="AH206" s="156"/>
      <c r="AI206" s="156"/>
      <c r="AJ206" s="154"/>
      <c r="AK206" s="473"/>
      <c r="AL206" s="156"/>
      <c r="AM206" s="156"/>
      <c r="AN206" s="156"/>
      <c r="AO206" s="154"/>
      <c r="AP206" s="473"/>
      <c r="AQ206" s="156"/>
      <c r="AR206" s="156"/>
      <c r="AS206" s="156"/>
      <c r="AT206" s="156"/>
      <c r="AU206" s="156"/>
      <c r="AV206" s="156"/>
      <c r="AW206" s="156"/>
      <c r="AX206" s="156"/>
      <c r="AY206" s="154"/>
      <c r="AZ206" s="473"/>
      <c r="BA206" s="156"/>
      <c r="BB206" s="156"/>
      <c r="BC206" s="156"/>
      <c r="BD206" s="156"/>
      <c r="BE206" s="156"/>
      <c r="BF206" s="156"/>
      <c r="BG206" s="156"/>
      <c r="BH206" s="156"/>
    </row>
    <row r="207">
      <c r="A207" s="154"/>
      <c r="B207" s="473"/>
      <c r="C207" s="156"/>
      <c r="D207" s="156"/>
      <c r="E207" s="156"/>
      <c r="F207" s="154"/>
      <c r="G207" s="473"/>
      <c r="H207" s="156"/>
      <c r="I207" s="156"/>
      <c r="J207" s="156"/>
      <c r="K207" s="132"/>
      <c r="L207" s="473"/>
      <c r="M207" s="156"/>
      <c r="N207" s="156"/>
      <c r="O207" s="156"/>
      <c r="P207" s="132"/>
      <c r="Q207" s="487"/>
      <c r="R207" s="156"/>
      <c r="S207" s="156"/>
      <c r="T207" s="156"/>
      <c r="U207" s="154"/>
      <c r="V207" s="473"/>
      <c r="W207" s="156"/>
      <c r="X207" s="156"/>
      <c r="Y207" s="156"/>
      <c r="Z207" s="154"/>
      <c r="AA207" s="473"/>
      <c r="AB207" s="156"/>
      <c r="AC207" s="156"/>
      <c r="AD207" s="156"/>
      <c r="AE207" s="154"/>
      <c r="AF207" s="473"/>
      <c r="AG207" s="156"/>
      <c r="AH207" s="156"/>
      <c r="AI207" s="156"/>
      <c r="AJ207" s="154"/>
      <c r="AK207" s="473"/>
      <c r="AL207" s="156"/>
      <c r="AM207" s="156"/>
      <c r="AN207" s="156"/>
      <c r="AO207" s="154"/>
      <c r="AP207" s="473"/>
      <c r="AQ207" s="156"/>
      <c r="AR207" s="156"/>
      <c r="AS207" s="156"/>
      <c r="AT207" s="156"/>
      <c r="AU207" s="156"/>
      <c r="AV207" s="156"/>
      <c r="AW207" s="156"/>
      <c r="AX207" s="156"/>
      <c r="AY207" s="154"/>
      <c r="AZ207" s="473"/>
      <c r="BA207" s="156"/>
      <c r="BB207" s="156"/>
      <c r="BC207" s="156"/>
      <c r="BD207" s="156"/>
      <c r="BE207" s="156"/>
      <c r="BF207" s="156"/>
      <c r="BG207" s="156"/>
      <c r="BH207" s="156"/>
    </row>
    <row r="208">
      <c r="A208" s="154"/>
      <c r="B208" s="473"/>
      <c r="C208" s="156"/>
      <c r="D208" s="156"/>
      <c r="E208" s="156"/>
      <c r="F208" s="154"/>
      <c r="G208" s="473"/>
      <c r="H208" s="156"/>
      <c r="I208" s="156"/>
      <c r="J208" s="156"/>
      <c r="K208" s="132"/>
      <c r="L208" s="473"/>
      <c r="M208" s="156"/>
      <c r="N208" s="156"/>
      <c r="O208" s="156"/>
      <c r="P208" s="132"/>
      <c r="Q208" s="487"/>
      <c r="R208" s="156"/>
      <c r="S208" s="156"/>
      <c r="T208" s="156"/>
      <c r="U208" s="154"/>
      <c r="V208" s="473"/>
      <c r="W208" s="156"/>
      <c r="X208" s="156"/>
      <c r="Y208" s="156"/>
      <c r="Z208" s="154"/>
      <c r="AA208" s="473"/>
      <c r="AB208" s="156"/>
      <c r="AC208" s="156"/>
      <c r="AD208" s="156"/>
      <c r="AE208" s="154"/>
      <c r="AF208" s="473"/>
      <c r="AG208" s="156"/>
      <c r="AH208" s="156"/>
      <c r="AI208" s="156"/>
      <c r="AJ208" s="154"/>
      <c r="AK208" s="473"/>
      <c r="AL208" s="156"/>
      <c r="AM208" s="156"/>
      <c r="AN208" s="156"/>
      <c r="AO208" s="154"/>
      <c r="AP208" s="473"/>
      <c r="AQ208" s="156"/>
      <c r="AR208" s="156"/>
      <c r="AS208" s="156"/>
      <c r="AT208" s="156"/>
      <c r="AU208" s="156"/>
      <c r="AV208" s="156"/>
      <c r="AW208" s="156"/>
      <c r="AX208" s="156"/>
      <c r="AY208" s="154"/>
      <c r="AZ208" s="473"/>
      <c r="BA208" s="156"/>
      <c r="BB208" s="156"/>
      <c r="BC208" s="156"/>
      <c r="BD208" s="156"/>
      <c r="BE208" s="156"/>
      <c r="BF208" s="156"/>
      <c r="BG208" s="156"/>
      <c r="BH208" s="156"/>
    </row>
    <row r="209">
      <c r="A209" s="154"/>
      <c r="B209" s="473"/>
      <c r="C209" s="156"/>
      <c r="D209" s="156"/>
      <c r="E209" s="156"/>
      <c r="F209" s="154"/>
      <c r="G209" s="473"/>
      <c r="H209" s="156"/>
      <c r="I209" s="156"/>
      <c r="J209" s="156"/>
      <c r="K209" s="132"/>
      <c r="L209" s="473"/>
      <c r="M209" s="156"/>
      <c r="N209" s="156"/>
      <c r="O209" s="156"/>
      <c r="P209" s="132"/>
      <c r="Q209" s="487"/>
      <c r="R209" s="156"/>
      <c r="S209" s="156"/>
      <c r="T209" s="156"/>
      <c r="U209" s="154"/>
      <c r="V209" s="473"/>
      <c r="W209" s="156"/>
      <c r="X209" s="156"/>
      <c r="Y209" s="156"/>
      <c r="Z209" s="154"/>
      <c r="AA209" s="473"/>
      <c r="AB209" s="156"/>
      <c r="AC209" s="156"/>
      <c r="AD209" s="156"/>
      <c r="AE209" s="154"/>
      <c r="AF209" s="473"/>
      <c r="AG209" s="156"/>
      <c r="AH209" s="156"/>
      <c r="AI209" s="156"/>
      <c r="AJ209" s="154"/>
      <c r="AK209" s="473"/>
      <c r="AL209" s="156"/>
      <c r="AM209" s="156"/>
      <c r="AN209" s="156"/>
      <c r="AO209" s="154"/>
      <c r="AP209" s="473"/>
      <c r="AQ209" s="156"/>
      <c r="AR209" s="156"/>
      <c r="AS209" s="156"/>
      <c r="AT209" s="156"/>
      <c r="AU209" s="156"/>
      <c r="AV209" s="156"/>
      <c r="AW209" s="156"/>
      <c r="AX209" s="156"/>
      <c r="AY209" s="154"/>
      <c r="AZ209" s="473"/>
      <c r="BA209" s="156"/>
      <c r="BB209" s="156"/>
      <c r="BC209" s="156"/>
      <c r="BD209" s="156"/>
      <c r="BE209" s="156"/>
      <c r="BF209" s="156"/>
      <c r="BG209" s="156"/>
      <c r="BH209" s="156"/>
    </row>
    <row r="210">
      <c r="A210" s="154"/>
      <c r="B210" s="473"/>
      <c r="C210" s="156"/>
      <c r="D210" s="156"/>
      <c r="E210" s="156"/>
      <c r="F210" s="154"/>
      <c r="G210" s="473"/>
      <c r="H210" s="156"/>
      <c r="I210" s="156"/>
      <c r="J210" s="156"/>
      <c r="K210" s="132"/>
      <c r="L210" s="473"/>
      <c r="M210" s="156"/>
      <c r="N210" s="156"/>
      <c r="O210" s="156"/>
      <c r="P210" s="132"/>
      <c r="Q210" s="487"/>
      <c r="R210" s="156"/>
      <c r="S210" s="156"/>
      <c r="T210" s="156"/>
      <c r="U210" s="154"/>
      <c r="V210" s="473"/>
      <c r="W210" s="156"/>
      <c r="X210" s="156"/>
      <c r="Y210" s="156"/>
      <c r="Z210" s="154"/>
      <c r="AA210" s="473"/>
      <c r="AB210" s="156"/>
      <c r="AC210" s="156"/>
      <c r="AD210" s="156"/>
      <c r="AE210" s="154"/>
      <c r="AF210" s="473"/>
      <c r="AG210" s="156"/>
      <c r="AH210" s="156"/>
      <c r="AI210" s="156"/>
      <c r="AJ210" s="154"/>
      <c r="AK210" s="473"/>
      <c r="AL210" s="156"/>
      <c r="AM210" s="156"/>
      <c r="AN210" s="156"/>
      <c r="AO210" s="154"/>
      <c r="AP210" s="473"/>
      <c r="AQ210" s="156"/>
      <c r="AR210" s="156"/>
      <c r="AS210" s="156"/>
      <c r="AT210" s="156"/>
      <c r="AU210" s="156"/>
      <c r="AV210" s="156"/>
      <c r="AW210" s="156"/>
      <c r="AX210" s="156"/>
      <c r="AY210" s="154"/>
      <c r="AZ210" s="473"/>
      <c r="BA210" s="156"/>
      <c r="BB210" s="156"/>
      <c r="BC210" s="156"/>
      <c r="BD210" s="156"/>
      <c r="BE210" s="156"/>
      <c r="BF210" s="156"/>
      <c r="BG210" s="156"/>
      <c r="BH210" s="156"/>
    </row>
    <row r="211">
      <c r="A211" s="154"/>
      <c r="B211" s="473"/>
      <c r="C211" s="156"/>
      <c r="D211" s="156"/>
      <c r="E211" s="156"/>
      <c r="F211" s="154"/>
      <c r="G211" s="473"/>
      <c r="H211" s="156"/>
      <c r="I211" s="156"/>
      <c r="J211" s="156"/>
      <c r="K211" s="132"/>
      <c r="L211" s="473"/>
      <c r="M211" s="156"/>
      <c r="N211" s="156"/>
      <c r="O211" s="156"/>
      <c r="P211" s="132"/>
      <c r="Q211" s="487"/>
      <c r="R211" s="156"/>
      <c r="S211" s="156"/>
      <c r="T211" s="156"/>
      <c r="U211" s="154"/>
      <c r="V211" s="473"/>
      <c r="W211" s="156"/>
      <c r="X211" s="156"/>
      <c r="Y211" s="156"/>
      <c r="Z211" s="154"/>
      <c r="AA211" s="473"/>
      <c r="AB211" s="156"/>
      <c r="AC211" s="156"/>
      <c r="AD211" s="156"/>
      <c r="AE211" s="154"/>
      <c r="AF211" s="473"/>
      <c r="AG211" s="156"/>
      <c r="AH211" s="156"/>
      <c r="AI211" s="156"/>
      <c r="AJ211" s="154"/>
      <c r="AK211" s="473"/>
      <c r="AL211" s="156"/>
      <c r="AM211" s="156"/>
      <c r="AN211" s="156"/>
      <c r="AO211" s="154"/>
      <c r="AP211" s="473"/>
      <c r="AQ211" s="156"/>
      <c r="AR211" s="156"/>
      <c r="AS211" s="156"/>
      <c r="AT211" s="156"/>
      <c r="AU211" s="156"/>
      <c r="AV211" s="156"/>
      <c r="AW211" s="156"/>
      <c r="AX211" s="156"/>
      <c r="AY211" s="154"/>
      <c r="AZ211" s="473"/>
      <c r="BA211" s="156"/>
      <c r="BB211" s="156"/>
      <c r="BC211" s="156"/>
      <c r="BD211" s="156"/>
      <c r="BE211" s="156"/>
      <c r="BF211" s="156"/>
      <c r="BG211" s="156"/>
      <c r="BH211" s="156"/>
    </row>
    <row r="212">
      <c r="A212" s="154"/>
      <c r="B212" s="473"/>
      <c r="C212" s="156"/>
      <c r="D212" s="156"/>
      <c r="E212" s="156"/>
      <c r="F212" s="154"/>
      <c r="G212" s="473"/>
      <c r="H212" s="156"/>
      <c r="I212" s="156"/>
      <c r="J212" s="156"/>
      <c r="K212" s="132"/>
      <c r="L212" s="473"/>
      <c r="M212" s="156"/>
      <c r="N212" s="156"/>
      <c r="O212" s="156"/>
      <c r="P212" s="132"/>
      <c r="Q212" s="487"/>
      <c r="R212" s="156"/>
      <c r="S212" s="156"/>
      <c r="T212" s="156"/>
      <c r="U212" s="154"/>
      <c r="V212" s="473"/>
      <c r="W212" s="156"/>
      <c r="X212" s="156"/>
      <c r="Y212" s="156"/>
      <c r="Z212" s="154"/>
      <c r="AA212" s="473"/>
      <c r="AB212" s="156"/>
      <c r="AC212" s="156"/>
      <c r="AD212" s="156"/>
      <c r="AE212" s="154"/>
      <c r="AF212" s="473"/>
      <c r="AG212" s="156"/>
      <c r="AH212" s="156"/>
      <c r="AI212" s="156"/>
      <c r="AJ212" s="154"/>
      <c r="AK212" s="473"/>
      <c r="AL212" s="156"/>
      <c r="AM212" s="156"/>
      <c r="AN212" s="156"/>
      <c r="AO212" s="154"/>
      <c r="AP212" s="473"/>
      <c r="AQ212" s="156"/>
      <c r="AR212" s="156"/>
      <c r="AS212" s="156"/>
      <c r="AT212" s="156"/>
      <c r="AU212" s="156"/>
      <c r="AV212" s="156"/>
      <c r="AW212" s="156"/>
      <c r="AX212" s="156"/>
      <c r="AY212" s="154"/>
      <c r="AZ212" s="473"/>
      <c r="BA212" s="156"/>
      <c r="BB212" s="156"/>
      <c r="BC212" s="156"/>
      <c r="BD212" s="156"/>
      <c r="BE212" s="156"/>
      <c r="BF212" s="156"/>
      <c r="BG212" s="156"/>
      <c r="BH212" s="156"/>
    </row>
    <row r="213">
      <c r="A213" s="154"/>
      <c r="B213" s="473"/>
      <c r="C213" s="156"/>
      <c r="D213" s="156"/>
      <c r="E213" s="156"/>
      <c r="F213" s="154"/>
      <c r="G213" s="473"/>
      <c r="H213" s="156"/>
      <c r="I213" s="156"/>
      <c r="J213" s="156"/>
      <c r="K213" s="132"/>
      <c r="L213" s="473"/>
      <c r="M213" s="156"/>
      <c r="N213" s="156"/>
      <c r="O213" s="156"/>
      <c r="P213" s="132"/>
      <c r="Q213" s="487"/>
      <c r="R213" s="156"/>
      <c r="S213" s="156"/>
      <c r="T213" s="156"/>
      <c r="U213" s="154"/>
      <c r="V213" s="473"/>
      <c r="W213" s="156"/>
      <c r="X213" s="156"/>
      <c r="Y213" s="156"/>
      <c r="Z213" s="154"/>
      <c r="AA213" s="473"/>
      <c r="AB213" s="156"/>
      <c r="AC213" s="156"/>
      <c r="AD213" s="156"/>
      <c r="AE213" s="154"/>
      <c r="AF213" s="473"/>
      <c r="AG213" s="156"/>
      <c r="AH213" s="156"/>
      <c r="AI213" s="156"/>
      <c r="AJ213" s="154"/>
      <c r="AK213" s="473"/>
      <c r="AL213" s="156"/>
      <c r="AM213" s="156"/>
      <c r="AN213" s="156"/>
      <c r="AO213" s="154"/>
      <c r="AP213" s="473"/>
      <c r="AQ213" s="156"/>
      <c r="AR213" s="156"/>
      <c r="AS213" s="156"/>
      <c r="AT213" s="156"/>
      <c r="AU213" s="156"/>
      <c r="AV213" s="156"/>
      <c r="AW213" s="156"/>
      <c r="AX213" s="156"/>
      <c r="AY213" s="154"/>
      <c r="AZ213" s="473"/>
      <c r="BA213" s="156"/>
      <c r="BB213" s="156"/>
      <c r="BC213" s="156"/>
      <c r="BD213" s="156"/>
      <c r="BE213" s="156"/>
      <c r="BF213" s="156"/>
      <c r="BG213" s="156"/>
      <c r="BH213" s="156"/>
    </row>
    <row r="214">
      <c r="A214" s="154"/>
      <c r="B214" s="473"/>
      <c r="C214" s="156"/>
      <c r="D214" s="156"/>
      <c r="E214" s="156"/>
      <c r="F214" s="154"/>
      <c r="G214" s="473"/>
      <c r="H214" s="156"/>
      <c r="I214" s="156"/>
      <c r="J214" s="156"/>
      <c r="K214" s="132"/>
      <c r="L214" s="473"/>
      <c r="M214" s="156"/>
      <c r="N214" s="156"/>
      <c r="O214" s="156"/>
      <c r="P214" s="132"/>
      <c r="Q214" s="487"/>
      <c r="R214" s="156"/>
      <c r="S214" s="156"/>
      <c r="T214" s="156"/>
      <c r="U214" s="154"/>
      <c r="V214" s="473"/>
      <c r="W214" s="156"/>
      <c r="X214" s="156"/>
      <c r="Y214" s="156"/>
      <c r="Z214" s="154"/>
      <c r="AA214" s="473"/>
      <c r="AB214" s="156"/>
      <c r="AC214" s="156"/>
      <c r="AD214" s="156"/>
      <c r="AE214" s="154"/>
      <c r="AF214" s="473"/>
      <c r="AG214" s="156"/>
      <c r="AH214" s="156"/>
      <c r="AI214" s="156"/>
      <c r="AJ214" s="154"/>
      <c r="AK214" s="473"/>
      <c r="AL214" s="156"/>
      <c r="AM214" s="156"/>
      <c r="AN214" s="156"/>
      <c r="AO214" s="154"/>
      <c r="AP214" s="473"/>
      <c r="AQ214" s="156"/>
      <c r="AR214" s="156"/>
      <c r="AS214" s="156"/>
      <c r="AT214" s="156"/>
      <c r="AU214" s="156"/>
      <c r="AV214" s="156"/>
      <c r="AW214" s="156"/>
      <c r="AX214" s="156"/>
      <c r="AY214" s="154"/>
      <c r="AZ214" s="473"/>
      <c r="BA214" s="156"/>
      <c r="BB214" s="156"/>
      <c r="BC214" s="156"/>
      <c r="BD214" s="156"/>
      <c r="BE214" s="156"/>
      <c r="BF214" s="156"/>
      <c r="BG214" s="156"/>
      <c r="BH214" s="156"/>
    </row>
    <row r="215">
      <c r="A215" s="154"/>
      <c r="B215" s="473"/>
      <c r="C215" s="156"/>
      <c r="D215" s="156"/>
      <c r="E215" s="156"/>
      <c r="F215" s="154"/>
      <c r="G215" s="473"/>
      <c r="H215" s="156"/>
      <c r="I215" s="156"/>
      <c r="J215" s="156"/>
      <c r="K215" s="132"/>
      <c r="L215" s="473"/>
      <c r="M215" s="156"/>
      <c r="N215" s="156"/>
      <c r="O215" s="156"/>
      <c r="P215" s="132"/>
      <c r="Q215" s="487"/>
      <c r="R215" s="156"/>
      <c r="S215" s="156"/>
      <c r="T215" s="156"/>
      <c r="U215" s="154"/>
      <c r="V215" s="473"/>
      <c r="W215" s="156"/>
      <c r="X215" s="156"/>
      <c r="Y215" s="156"/>
      <c r="Z215" s="154"/>
      <c r="AA215" s="473"/>
      <c r="AB215" s="156"/>
      <c r="AC215" s="156"/>
      <c r="AD215" s="156"/>
      <c r="AE215" s="154"/>
      <c r="AF215" s="473"/>
      <c r="AG215" s="156"/>
      <c r="AH215" s="156"/>
      <c r="AI215" s="156"/>
      <c r="AJ215" s="154"/>
      <c r="AK215" s="473"/>
      <c r="AL215" s="156"/>
      <c r="AM215" s="156"/>
      <c r="AN215" s="156"/>
      <c r="AO215" s="154"/>
      <c r="AP215" s="473"/>
      <c r="AQ215" s="156"/>
      <c r="AR215" s="156"/>
      <c r="AS215" s="156"/>
      <c r="AT215" s="156"/>
      <c r="AU215" s="156"/>
      <c r="AV215" s="156"/>
      <c r="AW215" s="156"/>
      <c r="AX215" s="156"/>
      <c r="AY215" s="154"/>
      <c r="AZ215" s="473"/>
      <c r="BA215" s="156"/>
      <c r="BB215" s="156"/>
      <c r="BC215" s="156"/>
      <c r="BD215" s="156"/>
      <c r="BE215" s="156"/>
      <c r="BF215" s="156"/>
      <c r="BG215" s="156"/>
      <c r="BH215" s="156"/>
    </row>
    <row r="216">
      <c r="A216" s="154"/>
      <c r="B216" s="473"/>
      <c r="C216" s="156"/>
      <c r="D216" s="156"/>
      <c r="E216" s="156"/>
      <c r="F216" s="154"/>
      <c r="G216" s="473"/>
      <c r="H216" s="156"/>
      <c r="I216" s="156"/>
      <c r="J216" s="156"/>
      <c r="K216" s="132"/>
      <c r="L216" s="473"/>
      <c r="M216" s="156"/>
      <c r="N216" s="156"/>
      <c r="O216" s="156"/>
      <c r="P216" s="132"/>
      <c r="Q216" s="487"/>
      <c r="R216" s="156"/>
      <c r="S216" s="156"/>
      <c r="T216" s="156"/>
      <c r="U216" s="154"/>
      <c r="V216" s="473"/>
      <c r="W216" s="156"/>
      <c r="X216" s="156"/>
      <c r="Y216" s="156"/>
      <c r="Z216" s="154"/>
      <c r="AA216" s="473"/>
      <c r="AB216" s="156"/>
      <c r="AC216" s="156"/>
      <c r="AD216" s="156"/>
      <c r="AE216" s="154"/>
      <c r="AF216" s="473"/>
      <c r="AG216" s="156"/>
      <c r="AH216" s="156"/>
      <c r="AI216" s="156"/>
      <c r="AJ216" s="154"/>
      <c r="AK216" s="473"/>
      <c r="AL216" s="156"/>
      <c r="AM216" s="156"/>
      <c r="AN216" s="156"/>
      <c r="AO216" s="154"/>
      <c r="AP216" s="473"/>
      <c r="AQ216" s="156"/>
      <c r="AR216" s="156"/>
      <c r="AS216" s="156"/>
      <c r="AT216" s="156"/>
      <c r="AU216" s="156"/>
      <c r="AV216" s="156"/>
      <c r="AW216" s="156"/>
      <c r="AX216" s="156"/>
      <c r="AY216" s="154"/>
      <c r="AZ216" s="473"/>
      <c r="BA216" s="156"/>
      <c r="BB216" s="156"/>
      <c r="BC216" s="156"/>
      <c r="BD216" s="156"/>
      <c r="BE216" s="156"/>
      <c r="BF216" s="156"/>
      <c r="BG216" s="156"/>
      <c r="BH216" s="156"/>
    </row>
    <row r="217">
      <c r="A217" s="154"/>
      <c r="B217" s="473"/>
      <c r="C217" s="156"/>
      <c r="D217" s="156"/>
      <c r="E217" s="156"/>
      <c r="F217" s="154"/>
      <c r="G217" s="473"/>
      <c r="H217" s="156"/>
      <c r="I217" s="156"/>
      <c r="J217" s="156"/>
      <c r="K217" s="132"/>
      <c r="L217" s="473"/>
      <c r="M217" s="156"/>
      <c r="N217" s="156"/>
      <c r="O217" s="156"/>
      <c r="P217" s="132"/>
      <c r="Q217" s="487"/>
      <c r="R217" s="156"/>
      <c r="S217" s="156"/>
      <c r="T217" s="156"/>
      <c r="U217" s="154"/>
      <c r="V217" s="473"/>
      <c r="W217" s="156"/>
      <c r="X217" s="156"/>
      <c r="Y217" s="156"/>
      <c r="Z217" s="154"/>
      <c r="AA217" s="473"/>
      <c r="AB217" s="156"/>
      <c r="AC217" s="156"/>
      <c r="AD217" s="156"/>
      <c r="AE217" s="154"/>
      <c r="AF217" s="473"/>
      <c r="AG217" s="156"/>
      <c r="AH217" s="156"/>
      <c r="AI217" s="156"/>
      <c r="AJ217" s="154"/>
      <c r="AK217" s="473"/>
      <c r="AL217" s="156"/>
      <c r="AM217" s="156"/>
      <c r="AN217" s="156"/>
      <c r="AO217" s="154"/>
      <c r="AP217" s="473"/>
      <c r="AQ217" s="156"/>
      <c r="AR217" s="156"/>
      <c r="AS217" s="156"/>
      <c r="AT217" s="156"/>
      <c r="AU217" s="156"/>
      <c r="AV217" s="156"/>
      <c r="AW217" s="156"/>
      <c r="AX217" s="156"/>
      <c r="AY217" s="154"/>
      <c r="AZ217" s="473"/>
      <c r="BA217" s="156"/>
      <c r="BB217" s="156"/>
      <c r="BC217" s="156"/>
      <c r="BD217" s="156"/>
      <c r="BE217" s="156"/>
      <c r="BF217" s="156"/>
      <c r="BG217" s="156"/>
      <c r="BH217" s="156"/>
    </row>
    <row r="218">
      <c r="A218" s="154"/>
      <c r="B218" s="473"/>
      <c r="C218" s="156"/>
      <c r="D218" s="156"/>
      <c r="E218" s="156"/>
      <c r="F218" s="154"/>
      <c r="G218" s="473"/>
      <c r="H218" s="156"/>
      <c r="I218" s="156"/>
      <c r="J218" s="156"/>
      <c r="K218" s="132"/>
      <c r="L218" s="473"/>
      <c r="M218" s="156"/>
      <c r="N218" s="156"/>
      <c r="O218" s="156"/>
      <c r="P218" s="132"/>
      <c r="Q218" s="487"/>
      <c r="R218" s="156"/>
      <c r="S218" s="156"/>
      <c r="T218" s="156"/>
      <c r="U218" s="154"/>
      <c r="V218" s="473"/>
      <c r="W218" s="156"/>
      <c r="X218" s="156"/>
      <c r="Y218" s="156"/>
      <c r="Z218" s="154"/>
      <c r="AA218" s="473"/>
      <c r="AB218" s="156"/>
      <c r="AC218" s="156"/>
      <c r="AD218" s="156"/>
      <c r="AE218" s="154"/>
      <c r="AF218" s="473"/>
      <c r="AG218" s="156"/>
      <c r="AH218" s="156"/>
      <c r="AI218" s="156"/>
      <c r="AJ218" s="154"/>
      <c r="AK218" s="473"/>
      <c r="AL218" s="156"/>
      <c r="AM218" s="156"/>
      <c r="AN218" s="156"/>
      <c r="AO218" s="154"/>
      <c r="AP218" s="473"/>
      <c r="AQ218" s="156"/>
      <c r="AR218" s="156"/>
      <c r="AS218" s="156"/>
      <c r="AT218" s="156"/>
      <c r="AU218" s="156"/>
      <c r="AV218" s="156"/>
      <c r="AW218" s="156"/>
      <c r="AX218" s="156"/>
      <c r="AY218" s="154"/>
      <c r="AZ218" s="473"/>
      <c r="BA218" s="156"/>
      <c r="BB218" s="156"/>
      <c r="BC218" s="156"/>
      <c r="BD218" s="156"/>
      <c r="BE218" s="156"/>
      <c r="BF218" s="156"/>
      <c r="BG218" s="156"/>
      <c r="BH218" s="156"/>
    </row>
    <row r="219">
      <c r="A219" s="154"/>
      <c r="B219" s="473"/>
      <c r="C219" s="156"/>
      <c r="D219" s="156"/>
      <c r="E219" s="156"/>
      <c r="F219" s="154"/>
      <c r="G219" s="473"/>
      <c r="H219" s="156"/>
      <c r="I219" s="156"/>
      <c r="J219" s="156"/>
      <c r="K219" s="132"/>
      <c r="L219" s="473"/>
      <c r="M219" s="156"/>
      <c r="N219" s="156"/>
      <c r="O219" s="156"/>
      <c r="P219" s="132"/>
      <c r="Q219" s="487"/>
      <c r="R219" s="156"/>
      <c r="S219" s="156"/>
      <c r="T219" s="156"/>
      <c r="U219" s="154"/>
      <c r="V219" s="473"/>
      <c r="W219" s="156"/>
      <c r="X219" s="156"/>
      <c r="Y219" s="156"/>
      <c r="Z219" s="154"/>
      <c r="AA219" s="473"/>
      <c r="AB219" s="156"/>
      <c r="AC219" s="156"/>
      <c r="AD219" s="156"/>
      <c r="AE219" s="154"/>
      <c r="AF219" s="473"/>
      <c r="AG219" s="156"/>
      <c r="AH219" s="156"/>
      <c r="AI219" s="156"/>
      <c r="AJ219" s="154"/>
      <c r="AK219" s="473"/>
      <c r="AL219" s="156"/>
      <c r="AM219" s="156"/>
      <c r="AN219" s="156"/>
      <c r="AO219" s="154"/>
      <c r="AP219" s="473"/>
      <c r="AQ219" s="156"/>
      <c r="AR219" s="156"/>
      <c r="AS219" s="156"/>
      <c r="AT219" s="156"/>
      <c r="AU219" s="156"/>
      <c r="AV219" s="156"/>
      <c r="AW219" s="156"/>
      <c r="AX219" s="156"/>
      <c r="AY219" s="154"/>
      <c r="AZ219" s="473"/>
      <c r="BA219" s="156"/>
      <c r="BB219" s="156"/>
      <c r="BC219" s="156"/>
      <c r="BD219" s="156"/>
      <c r="BE219" s="156"/>
      <c r="BF219" s="156"/>
      <c r="BG219" s="156"/>
      <c r="BH219" s="156"/>
    </row>
    <row r="220">
      <c r="A220" s="154"/>
      <c r="B220" s="473"/>
      <c r="C220" s="156"/>
      <c r="D220" s="156"/>
      <c r="E220" s="156"/>
      <c r="F220" s="154"/>
      <c r="G220" s="473"/>
      <c r="H220" s="156"/>
      <c r="I220" s="156"/>
      <c r="J220" s="156"/>
      <c r="K220" s="132"/>
      <c r="L220" s="473"/>
      <c r="M220" s="156"/>
      <c r="N220" s="156"/>
      <c r="O220" s="156"/>
      <c r="P220" s="132"/>
      <c r="Q220" s="487"/>
      <c r="R220" s="156"/>
      <c r="S220" s="156"/>
      <c r="T220" s="156"/>
      <c r="U220" s="154"/>
      <c r="V220" s="473"/>
      <c r="W220" s="156"/>
      <c r="X220" s="156"/>
      <c r="Y220" s="156"/>
      <c r="Z220" s="154"/>
      <c r="AA220" s="473"/>
      <c r="AB220" s="156"/>
      <c r="AC220" s="156"/>
      <c r="AD220" s="156"/>
      <c r="AE220" s="154"/>
      <c r="AF220" s="473"/>
      <c r="AG220" s="156"/>
      <c r="AH220" s="156"/>
      <c r="AI220" s="156"/>
      <c r="AJ220" s="154"/>
      <c r="AK220" s="473"/>
      <c r="AL220" s="156"/>
      <c r="AM220" s="156"/>
      <c r="AN220" s="156"/>
      <c r="AO220" s="154"/>
      <c r="AP220" s="473"/>
      <c r="AQ220" s="156"/>
      <c r="AR220" s="156"/>
      <c r="AS220" s="156"/>
      <c r="AT220" s="156"/>
      <c r="AU220" s="156"/>
      <c r="AV220" s="156"/>
      <c r="AW220" s="156"/>
      <c r="AX220" s="156"/>
      <c r="AY220" s="154"/>
      <c r="AZ220" s="473"/>
      <c r="BA220" s="156"/>
      <c r="BB220" s="156"/>
      <c r="BC220" s="156"/>
      <c r="BD220" s="156"/>
      <c r="BE220" s="156"/>
      <c r="BF220" s="156"/>
      <c r="BG220" s="156"/>
      <c r="BH220" s="156"/>
    </row>
    <row r="221">
      <c r="A221" s="154"/>
      <c r="B221" s="473"/>
      <c r="C221" s="156"/>
      <c r="D221" s="156"/>
      <c r="E221" s="156"/>
      <c r="F221" s="154"/>
      <c r="G221" s="473"/>
      <c r="H221" s="156"/>
      <c r="I221" s="156"/>
      <c r="J221" s="156"/>
      <c r="K221" s="132"/>
      <c r="L221" s="473"/>
      <c r="M221" s="156"/>
      <c r="N221" s="156"/>
      <c r="O221" s="156"/>
      <c r="P221" s="132"/>
      <c r="Q221" s="487"/>
      <c r="R221" s="156"/>
      <c r="S221" s="156"/>
      <c r="T221" s="156"/>
      <c r="U221" s="154"/>
      <c r="V221" s="473"/>
      <c r="W221" s="156"/>
      <c r="X221" s="156"/>
      <c r="Y221" s="156"/>
      <c r="Z221" s="154"/>
      <c r="AA221" s="473"/>
      <c r="AB221" s="156"/>
      <c r="AC221" s="156"/>
      <c r="AD221" s="156"/>
      <c r="AE221" s="154"/>
      <c r="AF221" s="473"/>
      <c r="AG221" s="156"/>
      <c r="AH221" s="156"/>
      <c r="AI221" s="156"/>
      <c r="AJ221" s="154"/>
      <c r="AK221" s="473"/>
      <c r="AL221" s="156"/>
      <c r="AM221" s="156"/>
      <c r="AN221" s="156"/>
      <c r="AO221" s="154"/>
      <c r="AP221" s="473"/>
      <c r="AQ221" s="156"/>
      <c r="AR221" s="156"/>
      <c r="AS221" s="156"/>
      <c r="AT221" s="156"/>
      <c r="AU221" s="156"/>
      <c r="AV221" s="156"/>
      <c r="AW221" s="156"/>
      <c r="AX221" s="156"/>
      <c r="AY221" s="154"/>
      <c r="AZ221" s="473"/>
      <c r="BA221" s="156"/>
      <c r="BB221" s="156"/>
      <c r="BC221" s="156"/>
      <c r="BD221" s="156"/>
      <c r="BE221" s="156"/>
      <c r="BF221" s="156"/>
      <c r="BG221" s="156"/>
      <c r="BH221" s="156"/>
    </row>
    <row r="222">
      <c r="A222" s="154"/>
      <c r="B222" s="473"/>
      <c r="C222" s="156"/>
      <c r="D222" s="156"/>
      <c r="E222" s="156"/>
      <c r="F222" s="154"/>
      <c r="G222" s="473"/>
      <c r="H222" s="156"/>
      <c r="I222" s="156"/>
      <c r="J222" s="156"/>
      <c r="K222" s="132"/>
      <c r="L222" s="473"/>
      <c r="M222" s="156"/>
      <c r="N222" s="156"/>
      <c r="O222" s="156"/>
      <c r="P222" s="132"/>
      <c r="Q222" s="487"/>
      <c r="R222" s="156"/>
      <c r="S222" s="156"/>
      <c r="T222" s="156"/>
      <c r="U222" s="154"/>
      <c r="V222" s="473"/>
      <c r="W222" s="156"/>
      <c r="X222" s="156"/>
      <c r="Y222" s="156"/>
      <c r="Z222" s="154"/>
      <c r="AA222" s="473"/>
      <c r="AB222" s="156"/>
      <c r="AC222" s="156"/>
      <c r="AD222" s="156"/>
      <c r="AE222" s="154"/>
      <c r="AF222" s="473"/>
      <c r="AG222" s="156"/>
      <c r="AH222" s="156"/>
      <c r="AI222" s="156"/>
      <c r="AJ222" s="154"/>
      <c r="AK222" s="473"/>
      <c r="AL222" s="156"/>
      <c r="AM222" s="156"/>
      <c r="AN222" s="156"/>
      <c r="AO222" s="154"/>
      <c r="AP222" s="473"/>
      <c r="AQ222" s="156"/>
      <c r="AR222" s="156"/>
      <c r="AS222" s="156"/>
      <c r="AT222" s="156"/>
      <c r="AU222" s="156"/>
      <c r="AV222" s="156"/>
      <c r="AW222" s="156"/>
      <c r="AX222" s="156"/>
      <c r="AY222" s="154"/>
      <c r="AZ222" s="473"/>
      <c r="BA222" s="156"/>
      <c r="BB222" s="156"/>
      <c r="BC222" s="156"/>
      <c r="BD222" s="156"/>
      <c r="BE222" s="156"/>
      <c r="BF222" s="156"/>
      <c r="BG222" s="156"/>
      <c r="BH222" s="156"/>
    </row>
    <row r="223">
      <c r="A223" s="154"/>
      <c r="B223" s="473"/>
      <c r="C223" s="156"/>
      <c r="D223" s="156"/>
      <c r="E223" s="156"/>
      <c r="F223" s="154"/>
      <c r="G223" s="473"/>
      <c r="H223" s="156"/>
      <c r="I223" s="156"/>
      <c r="J223" s="156"/>
      <c r="K223" s="132"/>
      <c r="L223" s="473"/>
      <c r="M223" s="156"/>
      <c r="N223" s="156"/>
      <c r="O223" s="156"/>
      <c r="P223" s="132"/>
      <c r="Q223" s="487"/>
      <c r="R223" s="156"/>
      <c r="S223" s="156"/>
      <c r="T223" s="156"/>
      <c r="U223" s="154"/>
      <c r="V223" s="473"/>
      <c r="W223" s="156"/>
      <c r="X223" s="156"/>
      <c r="Y223" s="156"/>
      <c r="Z223" s="154"/>
      <c r="AA223" s="473"/>
      <c r="AB223" s="156"/>
      <c r="AC223" s="156"/>
      <c r="AD223" s="156"/>
      <c r="AE223" s="154"/>
      <c r="AF223" s="473"/>
      <c r="AG223" s="156"/>
      <c r="AH223" s="156"/>
      <c r="AI223" s="156"/>
      <c r="AJ223" s="154"/>
      <c r="AK223" s="473"/>
      <c r="AL223" s="156"/>
      <c r="AM223" s="156"/>
      <c r="AN223" s="156"/>
      <c r="AO223" s="154"/>
      <c r="AP223" s="473"/>
      <c r="AQ223" s="156"/>
      <c r="AR223" s="156"/>
      <c r="AS223" s="156"/>
      <c r="AT223" s="156"/>
      <c r="AU223" s="156"/>
      <c r="AV223" s="156"/>
      <c r="AW223" s="156"/>
      <c r="AX223" s="156"/>
      <c r="AY223" s="154"/>
      <c r="AZ223" s="473"/>
      <c r="BA223" s="156"/>
      <c r="BB223" s="156"/>
      <c r="BC223" s="156"/>
      <c r="BD223" s="156"/>
      <c r="BE223" s="156"/>
      <c r="BF223" s="156"/>
      <c r="BG223" s="156"/>
      <c r="BH223" s="156"/>
    </row>
    <row r="224">
      <c r="A224" s="154"/>
      <c r="B224" s="473"/>
      <c r="C224" s="156"/>
      <c r="D224" s="156"/>
      <c r="E224" s="156"/>
      <c r="F224" s="154"/>
      <c r="G224" s="473"/>
      <c r="H224" s="156"/>
      <c r="I224" s="156"/>
      <c r="J224" s="156"/>
      <c r="K224" s="132"/>
      <c r="L224" s="473"/>
      <c r="M224" s="156"/>
      <c r="N224" s="156"/>
      <c r="O224" s="156"/>
      <c r="P224" s="132"/>
      <c r="Q224" s="487"/>
      <c r="R224" s="156"/>
      <c r="S224" s="156"/>
      <c r="T224" s="156"/>
      <c r="U224" s="154"/>
      <c r="V224" s="473"/>
      <c r="W224" s="156"/>
      <c r="X224" s="156"/>
      <c r="Y224" s="156"/>
      <c r="Z224" s="154"/>
      <c r="AA224" s="473"/>
      <c r="AB224" s="156"/>
      <c r="AC224" s="156"/>
      <c r="AD224" s="156"/>
      <c r="AE224" s="154"/>
      <c r="AF224" s="473"/>
      <c r="AG224" s="156"/>
      <c r="AH224" s="156"/>
      <c r="AI224" s="156"/>
      <c r="AJ224" s="154"/>
      <c r="AK224" s="473"/>
      <c r="AL224" s="156"/>
      <c r="AM224" s="156"/>
      <c r="AN224" s="156"/>
      <c r="AO224" s="154"/>
      <c r="AP224" s="473"/>
      <c r="AQ224" s="156"/>
      <c r="AR224" s="156"/>
      <c r="AS224" s="156"/>
      <c r="AT224" s="156"/>
      <c r="AU224" s="156"/>
      <c r="AV224" s="156"/>
      <c r="AW224" s="156"/>
      <c r="AX224" s="156"/>
      <c r="AY224" s="154"/>
      <c r="AZ224" s="473"/>
      <c r="BA224" s="156"/>
      <c r="BB224" s="156"/>
      <c r="BC224" s="156"/>
      <c r="BD224" s="156"/>
      <c r="BE224" s="156"/>
      <c r="BF224" s="156"/>
      <c r="BG224" s="156"/>
      <c r="BH224" s="156"/>
    </row>
    <row r="225">
      <c r="A225" s="154"/>
      <c r="B225" s="473"/>
      <c r="C225" s="156"/>
      <c r="D225" s="156"/>
      <c r="E225" s="156"/>
      <c r="F225" s="154"/>
      <c r="G225" s="473"/>
      <c r="H225" s="156"/>
      <c r="I225" s="156"/>
      <c r="J225" s="156"/>
      <c r="K225" s="132"/>
      <c r="L225" s="473"/>
      <c r="M225" s="156"/>
      <c r="N225" s="156"/>
      <c r="O225" s="156"/>
      <c r="P225" s="132"/>
      <c r="Q225" s="487"/>
      <c r="R225" s="156"/>
      <c r="S225" s="156"/>
      <c r="T225" s="156"/>
      <c r="U225" s="154"/>
      <c r="V225" s="473"/>
      <c r="W225" s="156"/>
      <c r="X225" s="156"/>
      <c r="Y225" s="156"/>
      <c r="Z225" s="154"/>
      <c r="AA225" s="473"/>
      <c r="AB225" s="156"/>
      <c r="AC225" s="156"/>
      <c r="AD225" s="156"/>
      <c r="AE225" s="154"/>
      <c r="AF225" s="473"/>
      <c r="AG225" s="156"/>
      <c r="AH225" s="156"/>
      <c r="AI225" s="156"/>
      <c r="AJ225" s="154"/>
      <c r="AK225" s="473"/>
      <c r="AL225" s="156"/>
      <c r="AM225" s="156"/>
      <c r="AN225" s="156"/>
      <c r="AO225" s="154"/>
      <c r="AP225" s="473"/>
      <c r="AQ225" s="156"/>
      <c r="AR225" s="156"/>
      <c r="AS225" s="156"/>
      <c r="AT225" s="156"/>
      <c r="AU225" s="156"/>
      <c r="AV225" s="156"/>
      <c r="AW225" s="156"/>
      <c r="AX225" s="156"/>
      <c r="AY225" s="154"/>
      <c r="AZ225" s="473"/>
      <c r="BA225" s="156"/>
      <c r="BB225" s="156"/>
      <c r="BC225" s="156"/>
      <c r="BD225" s="156"/>
      <c r="BE225" s="156"/>
      <c r="BF225" s="156"/>
      <c r="BG225" s="156"/>
      <c r="BH225" s="156"/>
    </row>
    <row r="226">
      <c r="A226" s="154"/>
      <c r="B226" s="473"/>
      <c r="C226" s="156"/>
      <c r="D226" s="156"/>
      <c r="E226" s="156"/>
      <c r="F226" s="154"/>
      <c r="G226" s="473"/>
      <c r="H226" s="156"/>
      <c r="I226" s="156"/>
      <c r="J226" s="156"/>
      <c r="K226" s="132"/>
      <c r="L226" s="473"/>
      <c r="M226" s="156"/>
      <c r="N226" s="156"/>
      <c r="O226" s="156"/>
      <c r="P226" s="132"/>
      <c r="Q226" s="487"/>
      <c r="R226" s="156"/>
      <c r="S226" s="156"/>
      <c r="T226" s="156"/>
      <c r="U226" s="154"/>
      <c r="V226" s="473"/>
      <c r="W226" s="156"/>
      <c r="X226" s="156"/>
      <c r="Y226" s="156"/>
      <c r="Z226" s="154"/>
      <c r="AA226" s="473"/>
      <c r="AB226" s="156"/>
      <c r="AC226" s="156"/>
      <c r="AD226" s="156"/>
      <c r="AE226" s="154"/>
      <c r="AF226" s="473"/>
      <c r="AG226" s="156"/>
      <c r="AH226" s="156"/>
      <c r="AI226" s="156"/>
      <c r="AJ226" s="154"/>
      <c r="AK226" s="473"/>
      <c r="AL226" s="156"/>
      <c r="AM226" s="156"/>
      <c r="AN226" s="156"/>
      <c r="AO226" s="154"/>
      <c r="AP226" s="473"/>
      <c r="AQ226" s="156"/>
      <c r="AR226" s="156"/>
      <c r="AS226" s="156"/>
      <c r="AT226" s="156"/>
      <c r="AU226" s="156"/>
      <c r="AV226" s="156"/>
      <c r="AW226" s="156"/>
      <c r="AX226" s="156"/>
      <c r="AY226" s="154"/>
      <c r="AZ226" s="473"/>
      <c r="BA226" s="156"/>
      <c r="BB226" s="156"/>
      <c r="BC226" s="156"/>
      <c r="BD226" s="156"/>
      <c r="BE226" s="156"/>
      <c r="BF226" s="156"/>
      <c r="BG226" s="156"/>
      <c r="BH226" s="156"/>
    </row>
    <row r="227">
      <c r="A227" s="154"/>
      <c r="B227" s="473"/>
      <c r="C227" s="156"/>
      <c r="D227" s="156"/>
      <c r="E227" s="156"/>
      <c r="F227" s="154"/>
      <c r="G227" s="473"/>
      <c r="H227" s="156"/>
      <c r="I227" s="156"/>
      <c r="J227" s="156"/>
      <c r="K227" s="132"/>
      <c r="L227" s="473"/>
      <c r="M227" s="156"/>
      <c r="N227" s="156"/>
      <c r="O227" s="156"/>
      <c r="P227" s="132"/>
      <c r="Q227" s="487"/>
      <c r="R227" s="156"/>
      <c r="S227" s="156"/>
      <c r="T227" s="156"/>
      <c r="U227" s="154"/>
      <c r="V227" s="473"/>
      <c r="W227" s="156"/>
      <c r="X227" s="156"/>
      <c r="Y227" s="156"/>
      <c r="Z227" s="154"/>
      <c r="AA227" s="473"/>
      <c r="AB227" s="156"/>
      <c r="AC227" s="156"/>
      <c r="AD227" s="156"/>
      <c r="AE227" s="154"/>
      <c r="AF227" s="473"/>
      <c r="AG227" s="156"/>
      <c r="AH227" s="156"/>
      <c r="AI227" s="156"/>
      <c r="AJ227" s="154"/>
      <c r="AK227" s="473"/>
      <c r="AL227" s="156"/>
      <c r="AM227" s="156"/>
      <c r="AN227" s="156"/>
      <c r="AO227" s="154"/>
      <c r="AP227" s="473"/>
      <c r="AQ227" s="156"/>
      <c r="AR227" s="156"/>
      <c r="AS227" s="156"/>
      <c r="AT227" s="156"/>
      <c r="AU227" s="156"/>
      <c r="AV227" s="156"/>
      <c r="AW227" s="156"/>
      <c r="AX227" s="156"/>
      <c r="AY227" s="154"/>
      <c r="AZ227" s="473"/>
      <c r="BA227" s="156"/>
      <c r="BB227" s="156"/>
      <c r="BC227" s="156"/>
      <c r="BD227" s="156"/>
      <c r="BE227" s="156"/>
      <c r="BF227" s="156"/>
      <c r="BG227" s="156"/>
      <c r="BH227" s="156"/>
    </row>
    <row r="228">
      <c r="A228" s="154"/>
      <c r="B228" s="473"/>
      <c r="C228" s="156"/>
      <c r="D228" s="156"/>
      <c r="E228" s="156"/>
      <c r="F228" s="154"/>
      <c r="G228" s="473"/>
      <c r="H228" s="156"/>
      <c r="I228" s="156"/>
      <c r="J228" s="156"/>
      <c r="K228" s="132"/>
      <c r="L228" s="473"/>
      <c r="M228" s="156"/>
      <c r="N228" s="156"/>
      <c r="O228" s="156"/>
      <c r="P228" s="132"/>
      <c r="Q228" s="487"/>
      <c r="R228" s="156"/>
      <c r="S228" s="156"/>
      <c r="T228" s="156"/>
      <c r="U228" s="154"/>
      <c r="V228" s="473"/>
      <c r="W228" s="156"/>
      <c r="X228" s="156"/>
      <c r="Y228" s="156"/>
      <c r="Z228" s="154"/>
      <c r="AA228" s="473"/>
      <c r="AB228" s="156"/>
      <c r="AC228" s="156"/>
      <c r="AD228" s="156"/>
      <c r="AE228" s="154"/>
      <c r="AF228" s="473"/>
      <c r="AG228" s="156"/>
      <c r="AH228" s="156"/>
      <c r="AI228" s="156"/>
      <c r="AJ228" s="154"/>
      <c r="AK228" s="473"/>
      <c r="AL228" s="156"/>
      <c r="AM228" s="156"/>
      <c r="AN228" s="156"/>
      <c r="AO228" s="154"/>
      <c r="AP228" s="473"/>
      <c r="AQ228" s="156"/>
      <c r="AR228" s="156"/>
      <c r="AS228" s="156"/>
      <c r="AT228" s="156"/>
      <c r="AU228" s="156"/>
      <c r="AV228" s="156"/>
      <c r="AW228" s="156"/>
      <c r="AX228" s="156"/>
      <c r="AY228" s="154"/>
      <c r="AZ228" s="473"/>
      <c r="BA228" s="156"/>
      <c r="BB228" s="156"/>
      <c r="BC228" s="156"/>
      <c r="BD228" s="156"/>
      <c r="BE228" s="156"/>
      <c r="BF228" s="156"/>
      <c r="BG228" s="156"/>
      <c r="BH228" s="156"/>
    </row>
    <row r="229">
      <c r="A229" s="154"/>
      <c r="B229" s="473"/>
      <c r="C229" s="156"/>
      <c r="D229" s="156"/>
      <c r="E229" s="156"/>
      <c r="F229" s="154"/>
      <c r="G229" s="473"/>
      <c r="H229" s="156"/>
      <c r="I229" s="156"/>
      <c r="J229" s="156"/>
      <c r="K229" s="132"/>
      <c r="L229" s="473"/>
      <c r="M229" s="156"/>
      <c r="N229" s="156"/>
      <c r="O229" s="156"/>
      <c r="P229" s="132"/>
      <c r="Q229" s="487"/>
      <c r="R229" s="156"/>
      <c r="S229" s="156"/>
      <c r="T229" s="156"/>
      <c r="U229" s="154"/>
      <c r="V229" s="473"/>
      <c r="W229" s="156"/>
      <c r="X229" s="156"/>
      <c r="Y229" s="156"/>
      <c r="Z229" s="154"/>
      <c r="AA229" s="473"/>
      <c r="AB229" s="156"/>
      <c r="AC229" s="156"/>
      <c r="AD229" s="156"/>
      <c r="AE229" s="154"/>
      <c r="AF229" s="473"/>
      <c r="AG229" s="156"/>
      <c r="AH229" s="156"/>
      <c r="AI229" s="156"/>
      <c r="AJ229" s="154"/>
      <c r="AK229" s="473"/>
      <c r="AL229" s="156"/>
      <c r="AM229" s="156"/>
      <c r="AN229" s="156"/>
      <c r="AO229" s="154"/>
      <c r="AP229" s="473"/>
      <c r="AQ229" s="156"/>
      <c r="AR229" s="156"/>
      <c r="AS229" s="156"/>
      <c r="AT229" s="156"/>
      <c r="AU229" s="156"/>
      <c r="AV229" s="156"/>
      <c r="AW229" s="156"/>
      <c r="AX229" s="156"/>
      <c r="AY229" s="154"/>
      <c r="AZ229" s="473"/>
      <c r="BA229" s="156"/>
      <c r="BB229" s="156"/>
      <c r="BC229" s="156"/>
      <c r="BD229" s="156"/>
      <c r="BE229" s="156"/>
      <c r="BF229" s="156"/>
      <c r="BG229" s="156"/>
      <c r="BH229" s="156"/>
    </row>
    <row r="230">
      <c r="A230" s="154"/>
      <c r="B230" s="473"/>
      <c r="C230" s="156"/>
      <c r="D230" s="156"/>
      <c r="E230" s="156"/>
      <c r="F230" s="154"/>
      <c r="G230" s="473"/>
      <c r="H230" s="156"/>
      <c r="I230" s="156"/>
      <c r="J230" s="156"/>
      <c r="K230" s="132"/>
      <c r="L230" s="473"/>
      <c r="M230" s="156"/>
      <c r="N230" s="156"/>
      <c r="O230" s="156"/>
      <c r="P230" s="132"/>
      <c r="Q230" s="487"/>
      <c r="R230" s="156"/>
      <c r="S230" s="156"/>
      <c r="T230" s="156"/>
      <c r="U230" s="154"/>
      <c r="V230" s="473"/>
      <c r="W230" s="156"/>
      <c r="X230" s="156"/>
      <c r="Y230" s="156"/>
      <c r="Z230" s="154"/>
      <c r="AA230" s="473"/>
      <c r="AB230" s="156"/>
      <c r="AC230" s="156"/>
      <c r="AD230" s="156"/>
      <c r="AE230" s="154"/>
      <c r="AF230" s="473"/>
      <c r="AG230" s="156"/>
      <c r="AH230" s="156"/>
      <c r="AI230" s="156"/>
      <c r="AJ230" s="154"/>
      <c r="AK230" s="473"/>
      <c r="AL230" s="156"/>
      <c r="AM230" s="156"/>
      <c r="AN230" s="156"/>
      <c r="AO230" s="154"/>
      <c r="AP230" s="473"/>
      <c r="AQ230" s="156"/>
      <c r="AR230" s="156"/>
      <c r="AS230" s="156"/>
      <c r="AT230" s="156"/>
      <c r="AU230" s="156"/>
      <c r="AV230" s="156"/>
      <c r="AW230" s="156"/>
      <c r="AX230" s="156"/>
      <c r="AY230" s="154"/>
      <c r="AZ230" s="473"/>
      <c r="BA230" s="156"/>
      <c r="BB230" s="156"/>
      <c r="BC230" s="156"/>
      <c r="BD230" s="156"/>
      <c r="BE230" s="156"/>
      <c r="BF230" s="156"/>
      <c r="BG230" s="156"/>
      <c r="BH230" s="156"/>
    </row>
    <row r="231">
      <c r="A231" s="154"/>
      <c r="B231" s="473"/>
      <c r="C231" s="156"/>
      <c r="D231" s="156"/>
      <c r="E231" s="156"/>
      <c r="F231" s="154"/>
      <c r="G231" s="473"/>
      <c r="H231" s="156"/>
      <c r="I231" s="156"/>
      <c r="J231" s="156"/>
      <c r="K231" s="132"/>
      <c r="L231" s="473"/>
      <c r="M231" s="156"/>
      <c r="N231" s="156"/>
      <c r="O231" s="156"/>
      <c r="P231" s="132"/>
      <c r="Q231" s="487"/>
      <c r="R231" s="156"/>
      <c r="S231" s="156"/>
      <c r="T231" s="156"/>
      <c r="U231" s="154"/>
      <c r="V231" s="473"/>
      <c r="W231" s="156"/>
      <c r="X231" s="156"/>
      <c r="Y231" s="156"/>
      <c r="Z231" s="154"/>
      <c r="AA231" s="473"/>
      <c r="AB231" s="156"/>
      <c r="AC231" s="156"/>
      <c r="AD231" s="156"/>
      <c r="AE231" s="154"/>
      <c r="AF231" s="473"/>
      <c r="AG231" s="156"/>
      <c r="AH231" s="156"/>
      <c r="AI231" s="156"/>
      <c r="AJ231" s="154"/>
      <c r="AK231" s="473"/>
      <c r="AL231" s="156"/>
      <c r="AM231" s="156"/>
      <c r="AN231" s="156"/>
      <c r="AO231" s="154"/>
      <c r="AP231" s="473"/>
      <c r="AQ231" s="156"/>
      <c r="AR231" s="156"/>
      <c r="AS231" s="156"/>
      <c r="AT231" s="156"/>
      <c r="AU231" s="156"/>
      <c r="AV231" s="156"/>
      <c r="AW231" s="156"/>
      <c r="AX231" s="156"/>
      <c r="AY231" s="154"/>
      <c r="AZ231" s="473"/>
      <c r="BA231" s="156"/>
      <c r="BB231" s="156"/>
      <c r="BC231" s="156"/>
      <c r="BD231" s="156"/>
      <c r="BE231" s="156"/>
      <c r="BF231" s="156"/>
      <c r="BG231" s="156"/>
      <c r="BH231" s="156"/>
    </row>
    <row r="232">
      <c r="A232" s="154"/>
      <c r="B232" s="473"/>
      <c r="C232" s="156"/>
      <c r="D232" s="156"/>
      <c r="E232" s="156"/>
      <c r="F232" s="154"/>
      <c r="G232" s="473"/>
      <c r="H232" s="156"/>
      <c r="I232" s="156"/>
      <c r="J232" s="156"/>
      <c r="K232" s="132"/>
      <c r="L232" s="473"/>
      <c r="M232" s="156"/>
      <c r="N232" s="156"/>
      <c r="O232" s="156"/>
      <c r="P232" s="132"/>
      <c r="Q232" s="487"/>
      <c r="R232" s="156"/>
      <c r="S232" s="156"/>
      <c r="T232" s="156"/>
      <c r="U232" s="154"/>
      <c r="V232" s="473"/>
      <c r="W232" s="156"/>
      <c r="X232" s="156"/>
      <c r="Y232" s="156"/>
      <c r="Z232" s="154"/>
      <c r="AA232" s="473"/>
      <c r="AB232" s="156"/>
      <c r="AC232" s="156"/>
      <c r="AD232" s="156"/>
      <c r="AE232" s="154"/>
      <c r="AF232" s="473"/>
      <c r="AG232" s="156"/>
      <c r="AH232" s="156"/>
      <c r="AI232" s="156"/>
      <c r="AJ232" s="154"/>
      <c r="AK232" s="473"/>
      <c r="AL232" s="156"/>
      <c r="AM232" s="156"/>
      <c r="AN232" s="156"/>
      <c r="AO232" s="154"/>
      <c r="AP232" s="473"/>
      <c r="AQ232" s="156"/>
      <c r="AR232" s="156"/>
      <c r="AS232" s="156"/>
      <c r="AT232" s="156"/>
      <c r="AU232" s="156"/>
      <c r="AV232" s="156"/>
      <c r="AW232" s="156"/>
      <c r="AX232" s="156"/>
      <c r="AY232" s="154"/>
      <c r="AZ232" s="473"/>
      <c r="BA232" s="156"/>
      <c r="BB232" s="156"/>
      <c r="BC232" s="156"/>
      <c r="BD232" s="156"/>
      <c r="BE232" s="156"/>
      <c r="BF232" s="156"/>
      <c r="BG232" s="156"/>
      <c r="BH232" s="156"/>
    </row>
    <row r="233">
      <c r="A233" s="154"/>
      <c r="B233" s="473"/>
      <c r="C233" s="156"/>
      <c r="D233" s="156"/>
      <c r="E233" s="156"/>
      <c r="F233" s="154"/>
      <c r="G233" s="473"/>
      <c r="H233" s="156"/>
      <c r="I233" s="156"/>
      <c r="J233" s="156"/>
      <c r="K233" s="132"/>
      <c r="L233" s="473"/>
      <c r="M233" s="156"/>
      <c r="N233" s="156"/>
      <c r="O233" s="156"/>
      <c r="P233" s="132"/>
      <c r="Q233" s="487"/>
      <c r="R233" s="156"/>
      <c r="S233" s="156"/>
      <c r="T233" s="156"/>
      <c r="U233" s="154"/>
      <c r="V233" s="473"/>
      <c r="W233" s="156"/>
      <c r="X233" s="156"/>
      <c r="Y233" s="156"/>
      <c r="Z233" s="154"/>
      <c r="AA233" s="473"/>
      <c r="AB233" s="156"/>
      <c r="AC233" s="156"/>
      <c r="AD233" s="156"/>
      <c r="AE233" s="154"/>
      <c r="AF233" s="473"/>
      <c r="AG233" s="156"/>
      <c r="AH233" s="156"/>
      <c r="AI233" s="156"/>
      <c r="AJ233" s="154"/>
      <c r="AK233" s="473"/>
      <c r="AL233" s="156"/>
      <c r="AM233" s="156"/>
      <c r="AN233" s="156"/>
      <c r="AO233" s="154"/>
      <c r="AP233" s="473"/>
      <c r="AQ233" s="156"/>
      <c r="AR233" s="156"/>
      <c r="AS233" s="156"/>
      <c r="AT233" s="156"/>
      <c r="AU233" s="156"/>
      <c r="AV233" s="156"/>
      <c r="AW233" s="156"/>
      <c r="AX233" s="156"/>
      <c r="AY233" s="154"/>
      <c r="AZ233" s="473"/>
      <c r="BA233" s="156"/>
      <c r="BB233" s="156"/>
      <c r="BC233" s="156"/>
      <c r="BD233" s="156"/>
      <c r="BE233" s="156"/>
      <c r="BF233" s="156"/>
      <c r="BG233" s="156"/>
      <c r="BH233" s="156"/>
    </row>
    <row r="234">
      <c r="A234" s="154"/>
      <c r="B234" s="473"/>
      <c r="C234" s="156"/>
      <c r="D234" s="156"/>
      <c r="E234" s="156"/>
      <c r="F234" s="154"/>
      <c r="G234" s="473"/>
      <c r="H234" s="156"/>
      <c r="I234" s="156"/>
      <c r="J234" s="156"/>
      <c r="K234" s="132"/>
      <c r="L234" s="473"/>
      <c r="M234" s="156"/>
      <c r="N234" s="156"/>
      <c r="O234" s="156"/>
      <c r="P234" s="132"/>
      <c r="Q234" s="487"/>
      <c r="R234" s="156"/>
      <c r="S234" s="156"/>
      <c r="T234" s="156"/>
      <c r="U234" s="154"/>
      <c r="V234" s="473"/>
      <c r="W234" s="156"/>
      <c r="X234" s="156"/>
      <c r="Y234" s="156"/>
      <c r="Z234" s="154"/>
      <c r="AA234" s="473"/>
      <c r="AB234" s="156"/>
      <c r="AC234" s="156"/>
      <c r="AD234" s="156"/>
      <c r="AE234" s="154"/>
      <c r="AF234" s="473"/>
      <c r="AG234" s="156"/>
      <c r="AH234" s="156"/>
      <c r="AI234" s="156"/>
      <c r="AJ234" s="154"/>
      <c r="AK234" s="473"/>
      <c r="AL234" s="156"/>
      <c r="AM234" s="156"/>
      <c r="AN234" s="156"/>
      <c r="AO234" s="154"/>
      <c r="AP234" s="473"/>
      <c r="AQ234" s="156"/>
      <c r="AR234" s="156"/>
      <c r="AS234" s="156"/>
      <c r="AT234" s="156"/>
      <c r="AU234" s="156"/>
      <c r="AV234" s="156"/>
      <c r="AW234" s="156"/>
      <c r="AX234" s="156"/>
      <c r="AY234" s="154"/>
      <c r="AZ234" s="473"/>
      <c r="BA234" s="156"/>
      <c r="BB234" s="156"/>
      <c r="BC234" s="156"/>
      <c r="BD234" s="156"/>
      <c r="BE234" s="156"/>
      <c r="BF234" s="156"/>
      <c r="BG234" s="156"/>
      <c r="BH234" s="156"/>
    </row>
    <row r="235">
      <c r="A235" s="154"/>
      <c r="B235" s="473"/>
      <c r="C235" s="156"/>
      <c r="D235" s="156"/>
      <c r="E235" s="156"/>
      <c r="F235" s="154"/>
      <c r="G235" s="473"/>
      <c r="H235" s="156"/>
      <c r="I235" s="156"/>
      <c r="J235" s="156"/>
      <c r="K235" s="132"/>
      <c r="L235" s="473"/>
      <c r="M235" s="156"/>
      <c r="N235" s="156"/>
      <c r="O235" s="156"/>
      <c r="P235" s="132"/>
      <c r="Q235" s="487"/>
      <c r="R235" s="156"/>
      <c r="S235" s="156"/>
      <c r="T235" s="156"/>
      <c r="U235" s="154"/>
      <c r="V235" s="473"/>
      <c r="W235" s="156"/>
      <c r="X235" s="156"/>
      <c r="Y235" s="156"/>
      <c r="Z235" s="154"/>
      <c r="AA235" s="473"/>
      <c r="AB235" s="156"/>
      <c r="AC235" s="156"/>
      <c r="AD235" s="156"/>
      <c r="AE235" s="154"/>
      <c r="AF235" s="473"/>
      <c r="AG235" s="156"/>
      <c r="AH235" s="156"/>
      <c r="AI235" s="156"/>
      <c r="AJ235" s="154"/>
      <c r="AK235" s="473"/>
      <c r="AL235" s="156"/>
      <c r="AM235" s="156"/>
      <c r="AN235" s="156"/>
      <c r="AO235" s="154"/>
      <c r="AP235" s="473"/>
      <c r="AQ235" s="156"/>
      <c r="AR235" s="156"/>
      <c r="AS235" s="156"/>
      <c r="AT235" s="156"/>
      <c r="AU235" s="156"/>
      <c r="AV235" s="156"/>
      <c r="AW235" s="156"/>
      <c r="AX235" s="156"/>
      <c r="AY235" s="154"/>
      <c r="AZ235" s="473"/>
      <c r="BA235" s="156"/>
      <c r="BB235" s="156"/>
      <c r="BC235" s="156"/>
      <c r="BD235" s="156"/>
      <c r="BE235" s="156"/>
      <c r="BF235" s="156"/>
      <c r="BG235" s="156"/>
      <c r="BH235" s="156"/>
    </row>
    <row r="236">
      <c r="A236" s="154"/>
      <c r="B236" s="473"/>
      <c r="C236" s="156"/>
      <c r="D236" s="156"/>
      <c r="E236" s="156"/>
      <c r="F236" s="154"/>
      <c r="G236" s="473"/>
      <c r="H236" s="156"/>
      <c r="I236" s="156"/>
      <c r="J236" s="156"/>
      <c r="K236" s="132"/>
      <c r="L236" s="473"/>
      <c r="M236" s="156"/>
      <c r="N236" s="156"/>
      <c r="O236" s="156"/>
      <c r="P236" s="132"/>
      <c r="Q236" s="487"/>
      <c r="R236" s="156"/>
      <c r="S236" s="156"/>
      <c r="T236" s="156"/>
      <c r="U236" s="154"/>
      <c r="V236" s="473"/>
      <c r="W236" s="156"/>
      <c r="X236" s="156"/>
      <c r="Y236" s="156"/>
      <c r="Z236" s="154"/>
      <c r="AA236" s="473"/>
      <c r="AB236" s="156"/>
      <c r="AC236" s="156"/>
      <c r="AD236" s="156"/>
      <c r="AE236" s="154"/>
      <c r="AF236" s="473"/>
      <c r="AG236" s="156"/>
      <c r="AH236" s="156"/>
      <c r="AI236" s="156"/>
      <c r="AJ236" s="154"/>
      <c r="AK236" s="473"/>
      <c r="AL236" s="156"/>
      <c r="AM236" s="156"/>
      <c r="AN236" s="156"/>
      <c r="AO236" s="154"/>
      <c r="AP236" s="473"/>
      <c r="AQ236" s="156"/>
      <c r="AR236" s="156"/>
      <c r="AS236" s="156"/>
      <c r="AT236" s="156"/>
      <c r="AU236" s="156"/>
      <c r="AV236" s="156"/>
      <c r="AW236" s="156"/>
      <c r="AX236" s="156"/>
      <c r="AY236" s="154"/>
      <c r="AZ236" s="473"/>
      <c r="BA236" s="156"/>
      <c r="BB236" s="156"/>
      <c r="BC236" s="156"/>
      <c r="BD236" s="156"/>
      <c r="BE236" s="156"/>
      <c r="BF236" s="156"/>
      <c r="BG236" s="156"/>
      <c r="BH236" s="156"/>
    </row>
    <row r="237">
      <c r="A237" s="154"/>
      <c r="B237" s="473"/>
      <c r="C237" s="156"/>
      <c r="D237" s="156"/>
      <c r="E237" s="156"/>
      <c r="F237" s="154"/>
      <c r="G237" s="473"/>
      <c r="H237" s="156"/>
      <c r="I237" s="156"/>
      <c r="J237" s="156"/>
      <c r="K237" s="132"/>
      <c r="L237" s="473"/>
      <c r="M237" s="156"/>
      <c r="N237" s="156"/>
      <c r="O237" s="156"/>
      <c r="P237" s="132"/>
      <c r="Q237" s="487"/>
      <c r="R237" s="156"/>
      <c r="S237" s="156"/>
      <c r="T237" s="156"/>
      <c r="U237" s="154"/>
      <c r="V237" s="473"/>
      <c r="W237" s="156"/>
      <c r="X237" s="156"/>
      <c r="Y237" s="156"/>
      <c r="Z237" s="154"/>
      <c r="AA237" s="473"/>
      <c r="AB237" s="156"/>
      <c r="AC237" s="156"/>
      <c r="AD237" s="156"/>
      <c r="AE237" s="154"/>
      <c r="AF237" s="473"/>
      <c r="AG237" s="156"/>
      <c r="AH237" s="156"/>
      <c r="AI237" s="156"/>
      <c r="AJ237" s="154"/>
      <c r="AK237" s="473"/>
      <c r="AL237" s="156"/>
      <c r="AM237" s="156"/>
      <c r="AN237" s="156"/>
      <c r="AO237" s="154"/>
      <c r="AP237" s="473"/>
      <c r="AQ237" s="156"/>
      <c r="AR237" s="156"/>
      <c r="AS237" s="156"/>
      <c r="AT237" s="156"/>
      <c r="AU237" s="156"/>
      <c r="AV237" s="156"/>
      <c r="AW237" s="156"/>
      <c r="AX237" s="156"/>
      <c r="AY237" s="154"/>
      <c r="AZ237" s="473"/>
      <c r="BA237" s="156"/>
      <c r="BB237" s="156"/>
      <c r="BC237" s="156"/>
      <c r="BD237" s="156"/>
      <c r="BE237" s="156"/>
      <c r="BF237" s="156"/>
      <c r="BG237" s="156"/>
      <c r="BH237" s="156"/>
    </row>
    <row r="238">
      <c r="A238" s="154"/>
      <c r="B238" s="473"/>
      <c r="C238" s="156"/>
      <c r="D238" s="156"/>
      <c r="E238" s="156"/>
      <c r="F238" s="154"/>
      <c r="G238" s="473"/>
      <c r="H238" s="156"/>
      <c r="I238" s="156"/>
      <c r="J238" s="156"/>
      <c r="K238" s="132"/>
      <c r="L238" s="473"/>
      <c r="M238" s="156"/>
      <c r="N238" s="156"/>
      <c r="O238" s="156"/>
      <c r="P238" s="132"/>
      <c r="Q238" s="487"/>
      <c r="R238" s="156"/>
      <c r="S238" s="156"/>
      <c r="T238" s="156"/>
      <c r="U238" s="154"/>
      <c r="V238" s="473"/>
      <c r="W238" s="156"/>
      <c r="X238" s="156"/>
      <c r="Y238" s="156"/>
      <c r="Z238" s="154"/>
      <c r="AA238" s="473"/>
      <c r="AB238" s="156"/>
      <c r="AC238" s="156"/>
      <c r="AD238" s="156"/>
      <c r="AE238" s="154"/>
      <c r="AF238" s="473"/>
      <c r="AG238" s="156"/>
      <c r="AH238" s="156"/>
      <c r="AI238" s="156"/>
      <c r="AJ238" s="154"/>
      <c r="AK238" s="473"/>
      <c r="AL238" s="156"/>
      <c r="AM238" s="156"/>
      <c r="AN238" s="156"/>
      <c r="AO238" s="154"/>
      <c r="AP238" s="473"/>
      <c r="AQ238" s="156"/>
      <c r="AR238" s="156"/>
      <c r="AS238" s="156"/>
      <c r="AT238" s="156"/>
      <c r="AU238" s="156"/>
      <c r="AV238" s="156"/>
      <c r="AW238" s="156"/>
      <c r="AX238" s="156"/>
      <c r="AY238" s="154"/>
      <c r="AZ238" s="473"/>
      <c r="BA238" s="156"/>
      <c r="BB238" s="156"/>
      <c r="BC238" s="156"/>
      <c r="BD238" s="156"/>
      <c r="BE238" s="156"/>
      <c r="BF238" s="156"/>
      <c r="BG238" s="156"/>
      <c r="BH238" s="156"/>
    </row>
    <row r="239">
      <c r="A239" s="154"/>
      <c r="B239" s="473"/>
      <c r="C239" s="156"/>
      <c r="D239" s="156"/>
      <c r="E239" s="156"/>
      <c r="F239" s="154"/>
      <c r="G239" s="473"/>
      <c r="H239" s="156"/>
      <c r="I239" s="156"/>
      <c r="J239" s="156"/>
      <c r="K239" s="132"/>
      <c r="L239" s="473"/>
      <c r="M239" s="156"/>
      <c r="N239" s="156"/>
      <c r="O239" s="156"/>
      <c r="P239" s="132"/>
      <c r="Q239" s="487"/>
      <c r="R239" s="156"/>
      <c r="S239" s="156"/>
      <c r="T239" s="156"/>
      <c r="U239" s="154"/>
      <c r="V239" s="473"/>
      <c r="W239" s="156"/>
      <c r="X239" s="156"/>
      <c r="Y239" s="156"/>
      <c r="Z239" s="154"/>
      <c r="AA239" s="473"/>
      <c r="AB239" s="156"/>
      <c r="AC239" s="156"/>
      <c r="AD239" s="156"/>
      <c r="AE239" s="154"/>
      <c r="AF239" s="473"/>
      <c r="AG239" s="156"/>
      <c r="AH239" s="156"/>
      <c r="AI239" s="156"/>
      <c r="AJ239" s="154"/>
      <c r="AK239" s="473"/>
      <c r="AL239" s="156"/>
      <c r="AM239" s="156"/>
      <c r="AN239" s="156"/>
      <c r="AO239" s="154"/>
      <c r="AP239" s="473"/>
      <c r="AQ239" s="156"/>
      <c r="AR239" s="156"/>
      <c r="AS239" s="156"/>
      <c r="AT239" s="156"/>
      <c r="AU239" s="156"/>
      <c r="AV239" s="156"/>
      <c r="AW239" s="156"/>
      <c r="AX239" s="156"/>
      <c r="AY239" s="154"/>
      <c r="AZ239" s="473"/>
      <c r="BA239" s="156"/>
      <c r="BB239" s="156"/>
      <c r="BC239" s="156"/>
      <c r="BD239" s="156"/>
      <c r="BE239" s="156"/>
      <c r="BF239" s="156"/>
      <c r="BG239" s="156"/>
      <c r="BH239" s="156"/>
    </row>
    <row r="240">
      <c r="A240" s="154"/>
      <c r="B240" s="473"/>
      <c r="C240" s="156"/>
      <c r="D240" s="156"/>
      <c r="E240" s="156"/>
      <c r="F240" s="154"/>
      <c r="G240" s="473"/>
      <c r="H240" s="156"/>
      <c r="I240" s="156"/>
      <c r="J240" s="156"/>
      <c r="K240" s="132"/>
      <c r="L240" s="473"/>
      <c r="M240" s="156"/>
      <c r="N240" s="156"/>
      <c r="O240" s="156"/>
      <c r="P240" s="132"/>
      <c r="Q240" s="487"/>
      <c r="R240" s="156"/>
      <c r="S240" s="156"/>
      <c r="T240" s="156"/>
      <c r="U240" s="154"/>
      <c r="V240" s="473"/>
      <c r="W240" s="156"/>
      <c r="X240" s="156"/>
      <c r="Y240" s="156"/>
      <c r="Z240" s="154"/>
      <c r="AA240" s="473"/>
      <c r="AB240" s="156"/>
      <c r="AC240" s="156"/>
      <c r="AD240" s="156"/>
      <c r="AE240" s="154"/>
      <c r="AF240" s="473"/>
      <c r="AG240" s="156"/>
      <c r="AH240" s="156"/>
      <c r="AI240" s="156"/>
      <c r="AJ240" s="154"/>
      <c r="AK240" s="473"/>
      <c r="AL240" s="156"/>
      <c r="AM240" s="156"/>
      <c r="AN240" s="156"/>
      <c r="AO240" s="154"/>
      <c r="AP240" s="473"/>
      <c r="AQ240" s="156"/>
      <c r="AR240" s="156"/>
      <c r="AS240" s="156"/>
      <c r="AT240" s="156"/>
      <c r="AU240" s="156"/>
      <c r="AV240" s="156"/>
      <c r="AW240" s="156"/>
      <c r="AX240" s="156"/>
      <c r="AY240" s="154"/>
      <c r="AZ240" s="473"/>
      <c r="BA240" s="156"/>
      <c r="BB240" s="156"/>
      <c r="BC240" s="156"/>
      <c r="BD240" s="156"/>
      <c r="BE240" s="156"/>
      <c r="BF240" s="156"/>
      <c r="BG240" s="156"/>
      <c r="BH240" s="156"/>
    </row>
    <row r="241">
      <c r="A241" s="154"/>
      <c r="B241" s="473"/>
      <c r="C241" s="156"/>
      <c r="D241" s="156"/>
      <c r="E241" s="156"/>
      <c r="F241" s="154"/>
      <c r="G241" s="473"/>
      <c r="H241" s="156"/>
      <c r="I241" s="156"/>
      <c r="J241" s="156"/>
      <c r="K241" s="132"/>
      <c r="L241" s="473"/>
      <c r="M241" s="156"/>
      <c r="N241" s="156"/>
      <c r="O241" s="156"/>
      <c r="P241" s="132"/>
      <c r="Q241" s="487"/>
      <c r="R241" s="156"/>
      <c r="S241" s="156"/>
      <c r="T241" s="156"/>
      <c r="U241" s="154"/>
      <c r="V241" s="473"/>
      <c r="W241" s="156"/>
      <c r="X241" s="156"/>
      <c r="Y241" s="156"/>
      <c r="Z241" s="154"/>
      <c r="AA241" s="473"/>
      <c r="AB241" s="156"/>
      <c r="AC241" s="156"/>
      <c r="AD241" s="156"/>
      <c r="AE241" s="154"/>
      <c r="AF241" s="473"/>
      <c r="AG241" s="156"/>
      <c r="AH241" s="156"/>
      <c r="AI241" s="156"/>
      <c r="AJ241" s="154"/>
      <c r="AK241" s="473"/>
      <c r="AL241" s="156"/>
      <c r="AM241" s="156"/>
      <c r="AN241" s="156"/>
      <c r="AO241" s="154"/>
      <c r="AP241" s="473"/>
      <c r="AQ241" s="156"/>
      <c r="AR241" s="156"/>
      <c r="AS241" s="156"/>
      <c r="AT241" s="156"/>
      <c r="AU241" s="156"/>
      <c r="AV241" s="156"/>
      <c r="AW241" s="156"/>
      <c r="AX241" s="156"/>
      <c r="AY241" s="154"/>
      <c r="AZ241" s="473"/>
      <c r="BA241" s="156"/>
      <c r="BB241" s="156"/>
      <c r="BC241" s="156"/>
      <c r="BD241" s="156"/>
      <c r="BE241" s="156"/>
      <c r="BF241" s="156"/>
      <c r="BG241" s="156"/>
      <c r="BH241" s="156"/>
    </row>
    <row r="242">
      <c r="A242" s="154"/>
      <c r="B242" s="473"/>
      <c r="C242" s="156"/>
      <c r="D242" s="156"/>
      <c r="E242" s="156"/>
      <c r="F242" s="154"/>
      <c r="G242" s="473"/>
      <c r="H242" s="156"/>
      <c r="I242" s="156"/>
      <c r="J242" s="156"/>
      <c r="K242" s="132"/>
      <c r="L242" s="473"/>
      <c r="M242" s="156"/>
      <c r="N242" s="156"/>
      <c r="O242" s="156"/>
      <c r="P242" s="132"/>
      <c r="Q242" s="487"/>
      <c r="R242" s="156"/>
      <c r="S242" s="156"/>
      <c r="T242" s="156"/>
      <c r="U242" s="154"/>
      <c r="V242" s="473"/>
      <c r="W242" s="156"/>
      <c r="X242" s="156"/>
      <c r="Y242" s="156"/>
      <c r="Z242" s="154"/>
      <c r="AA242" s="473"/>
      <c r="AB242" s="156"/>
      <c r="AC242" s="156"/>
      <c r="AD242" s="156"/>
      <c r="AE242" s="154"/>
      <c r="AF242" s="473"/>
      <c r="AG242" s="156"/>
      <c r="AH242" s="156"/>
      <c r="AI242" s="156"/>
      <c r="AJ242" s="154"/>
      <c r="AK242" s="473"/>
      <c r="AL242" s="156"/>
      <c r="AM242" s="156"/>
      <c r="AN242" s="156"/>
      <c r="AO242" s="154"/>
      <c r="AP242" s="473"/>
      <c r="AQ242" s="156"/>
      <c r="AR242" s="156"/>
      <c r="AS242" s="156"/>
      <c r="AT242" s="156"/>
      <c r="AU242" s="156"/>
      <c r="AV242" s="156"/>
      <c r="AW242" s="156"/>
      <c r="AX242" s="156"/>
      <c r="AY242" s="154"/>
      <c r="AZ242" s="473"/>
      <c r="BA242" s="156"/>
      <c r="BB242" s="156"/>
      <c r="BC242" s="156"/>
      <c r="BD242" s="156"/>
      <c r="BE242" s="156"/>
      <c r="BF242" s="156"/>
      <c r="BG242" s="156"/>
      <c r="BH242" s="156"/>
    </row>
    <row r="243">
      <c r="A243" s="154"/>
      <c r="B243" s="473"/>
      <c r="C243" s="156"/>
      <c r="D243" s="156"/>
      <c r="E243" s="156"/>
      <c r="F243" s="154"/>
      <c r="G243" s="473"/>
      <c r="H243" s="156"/>
      <c r="I243" s="156"/>
      <c r="J243" s="156"/>
      <c r="K243" s="132"/>
      <c r="L243" s="473"/>
      <c r="M243" s="156"/>
      <c r="N243" s="156"/>
      <c r="O243" s="156"/>
      <c r="P243" s="132"/>
      <c r="Q243" s="487"/>
      <c r="R243" s="156"/>
      <c r="S243" s="156"/>
      <c r="T243" s="156"/>
      <c r="U243" s="154"/>
      <c r="V243" s="473"/>
      <c r="W243" s="156"/>
      <c r="X243" s="156"/>
      <c r="Y243" s="156"/>
      <c r="Z243" s="154"/>
      <c r="AA243" s="473"/>
      <c r="AB243" s="156"/>
      <c r="AC243" s="156"/>
      <c r="AD243" s="156"/>
      <c r="AE243" s="154"/>
      <c r="AF243" s="473"/>
      <c r="AG243" s="156"/>
      <c r="AH243" s="156"/>
      <c r="AI243" s="156"/>
      <c r="AJ243" s="154"/>
      <c r="AK243" s="473"/>
      <c r="AL243" s="156"/>
      <c r="AM243" s="156"/>
      <c r="AN243" s="156"/>
      <c r="AO243" s="154"/>
      <c r="AP243" s="473"/>
      <c r="AQ243" s="156"/>
      <c r="AR243" s="156"/>
      <c r="AS243" s="156"/>
      <c r="AT243" s="156"/>
      <c r="AU243" s="156"/>
      <c r="AV243" s="156"/>
      <c r="AW243" s="156"/>
      <c r="AX243" s="156"/>
      <c r="AY243" s="154"/>
      <c r="AZ243" s="473"/>
      <c r="BA243" s="156"/>
      <c r="BB243" s="156"/>
      <c r="BC243" s="156"/>
      <c r="BD243" s="156"/>
      <c r="BE243" s="156"/>
      <c r="BF243" s="156"/>
      <c r="BG243" s="156"/>
      <c r="BH243" s="156"/>
    </row>
    <row r="244">
      <c r="A244" s="154"/>
      <c r="B244" s="473"/>
      <c r="C244" s="156"/>
      <c r="D244" s="156"/>
      <c r="E244" s="156"/>
      <c r="F244" s="154"/>
      <c r="G244" s="473"/>
      <c r="H244" s="156"/>
      <c r="I244" s="156"/>
      <c r="J244" s="156"/>
      <c r="K244" s="132"/>
      <c r="L244" s="473"/>
      <c r="M244" s="156"/>
      <c r="N244" s="156"/>
      <c r="O244" s="156"/>
      <c r="P244" s="132"/>
      <c r="Q244" s="487"/>
      <c r="R244" s="156"/>
      <c r="S244" s="156"/>
      <c r="T244" s="156"/>
      <c r="U244" s="154"/>
      <c r="V244" s="473"/>
      <c r="W244" s="156"/>
      <c r="X244" s="156"/>
      <c r="Y244" s="156"/>
      <c r="Z244" s="154"/>
      <c r="AA244" s="473"/>
      <c r="AB244" s="156"/>
      <c r="AC244" s="156"/>
      <c r="AD244" s="156"/>
      <c r="AE244" s="154"/>
      <c r="AF244" s="473"/>
      <c r="AG244" s="156"/>
      <c r="AH244" s="156"/>
      <c r="AI244" s="156"/>
      <c r="AJ244" s="154"/>
      <c r="AK244" s="473"/>
      <c r="AL244" s="156"/>
      <c r="AM244" s="156"/>
      <c r="AN244" s="156"/>
      <c r="AO244" s="154"/>
      <c r="AP244" s="473"/>
      <c r="AQ244" s="156"/>
      <c r="AR244" s="156"/>
      <c r="AS244" s="156"/>
      <c r="AT244" s="156"/>
      <c r="AU244" s="156"/>
      <c r="AV244" s="156"/>
      <c r="AW244" s="156"/>
      <c r="AX244" s="156"/>
      <c r="AY244" s="154"/>
      <c r="AZ244" s="473"/>
      <c r="BA244" s="156"/>
      <c r="BB244" s="156"/>
      <c r="BC244" s="156"/>
      <c r="BD244" s="156"/>
      <c r="BE244" s="156"/>
      <c r="BF244" s="156"/>
      <c r="BG244" s="156"/>
      <c r="BH244" s="156"/>
    </row>
    <row r="245">
      <c r="A245" s="154"/>
      <c r="B245" s="473"/>
      <c r="C245" s="156"/>
      <c r="D245" s="156"/>
      <c r="E245" s="156"/>
      <c r="F245" s="154"/>
      <c r="G245" s="473"/>
      <c r="H245" s="156"/>
      <c r="I245" s="156"/>
      <c r="J245" s="156"/>
      <c r="K245" s="132"/>
      <c r="L245" s="473"/>
      <c r="M245" s="156"/>
      <c r="N245" s="156"/>
      <c r="O245" s="156"/>
      <c r="P245" s="132"/>
      <c r="Q245" s="487"/>
      <c r="R245" s="156"/>
      <c r="S245" s="156"/>
      <c r="T245" s="156"/>
      <c r="U245" s="154"/>
      <c r="V245" s="473"/>
      <c r="W245" s="156"/>
      <c r="X245" s="156"/>
      <c r="Y245" s="156"/>
      <c r="Z245" s="154"/>
      <c r="AA245" s="473"/>
      <c r="AB245" s="156"/>
      <c r="AC245" s="156"/>
      <c r="AD245" s="156"/>
      <c r="AE245" s="154"/>
      <c r="AF245" s="473"/>
      <c r="AG245" s="156"/>
      <c r="AH245" s="156"/>
      <c r="AI245" s="156"/>
      <c r="AJ245" s="154"/>
      <c r="AK245" s="473"/>
      <c r="AL245" s="156"/>
      <c r="AM245" s="156"/>
      <c r="AN245" s="156"/>
      <c r="AO245" s="154"/>
      <c r="AP245" s="473"/>
      <c r="AQ245" s="156"/>
      <c r="AR245" s="156"/>
      <c r="AS245" s="156"/>
      <c r="AT245" s="156"/>
      <c r="AU245" s="156"/>
      <c r="AV245" s="156"/>
      <c r="AW245" s="156"/>
      <c r="AX245" s="156"/>
      <c r="AY245" s="154"/>
      <c r="AZ245" s="473"/>
      <c r="BA245" s="156"/>
      <c r="BB245" s="156"/>
      <c r="BC245" s="156"/>
      <c r="BD245" s="156"/>
      <c r="BE245" s="156"/>
      <c r="BF245" s="156"/>
      <c r="BG245" s="156"/>
      <c r="BH245" s="156"/>
    </row>
    <row r="246">
      <c r="A246" s="154"/>
      <c r="B246" s="473"/>
      <c r="C246" s="156"/>
      <c r="D246" s="156"/>
      <c r="E246" s="156"/>
      <c r="F246" s="154"/>
      <c r="G246" s="473"/>
      <c r="H246" s="156"/>
      <c r="I246" s="156"/>
      <c r="J246" s="156"/>
      <c r="K246" s="132"/>
      <c r="L246" s="473"/>
      <c r="M246" s="156"/>
      <c r="N246" s="156"/>
      <c r="O246" s="156"/>
      <c r="P246" s="132"/>
      <c r="Q246" s="487"/>
      <c r="R246" s="156"/>
      <c r="S246" s="156"/>
      <c r="T246" s="156"/>
      <c r="U246" s="154"/>
      <c r="V246" s="473"/>
      <c r="W246" s="156"/>
      <c r="X246" s="156"/>
      <c r="Y246" s="156"/>
      <c r="Z246" s="154"/>
      <c r="AA246" s="473"/>
      <c r="AB246" s="156"/>
      <c r="AC246" s="156"/>
      <c r="AD246" s="156"/>
      <c r="AE246" s="154"/>
      <c r="AF246" s="473"/>
      <c r="AG246" s="156"/>
      <c r="AH246" s="156"/>
      <c r="AI246" s="156"/>
      <c r="AJ246" s="154"/>
      <c r="AK246" s="473"/>
      <c r="AL246" s="156"/>
      <c r="AM246" s="156"/>
      <c r="AN246" s="156"/>
      <c r="AO246" s="154"/>
      <c r="AP246" s="473"/>
      <c r="AQ246" s="156"/>
      <c r="AR246" s="156"/>
      <c r="AS246" s="156"/>
      <c r="AT246" s="156"/>
      <c r="AU246" s="156"/>
      <c r="AV246" s="156"/>
      <c r="AW246" s="156"/>
      <c r="AX246" s="156"/>
      <c r="AY246" s="154"/>
      <c r="AZ246" s="473"/>
      <c r="BA246" s="156"/>
      <c r="BB246" s="156"/>
      <c r="BC246" s="156"/>
      <c r="BD246" s="156"/>
      <c r="BE246" s="156"/>
      <c r="BF246" s="156"/>
      <c r="BG246" s="156"/>
      <c r="BH246" s="156"/>
    </row>
    <row r="247">
      <c r="A247" s="154"/>
      <c r="B247" s="473"/>
      <c r="C247" s="156"/>
      <c r="D247" s="156"/>
      <c r="E247" s="156"/>
      <c r="F247" s="154"/>
      <c r="G247" s="473"/>
      <c r="H247" s="156"/>
      <c r="I247" s="156"/>
      <c r="J247" s="156"/>
      <c r="K247" s="132"/>
      <c r="L247" s="473"/>
      <c r="M247" s="156"/>
      <c r="N247" s="156"/>
      <c r="O247" s="156"/>
      <c r="P247" s="132"/>
      <c r="Q247" s="487"/>
      <c r="R247" s="156"/>
      <c r="S247" s="156"/>
      <c r="T247" s="156"/>
      <c r="U247" s="154"/>
      <c r="V247" s="473"/>
      <c r="W247" s="156"/>
      <c r="X247" s="156"/>
      <c r="Y247" s="156"/>
      <c r="Z247" s="154"/>
      <c r="AA247" s="473"/>
      <c r="AB247" s="156"/>
      <c r="AC247" s="156"/>
      <c r="AD247" s="156"/>
      <c r="AE247" s="154"/>
      <c r="AF247" s="473"/>
      <c r="AG247" s="156"/>
      <c r="AH247" s="156"/>
      <c r="AI247" s="156"/>
      <c r="AJ247" s="154"/>
      <c r="AK247" s="473"/>
      <c r="AL247" s="156"/>
      <c r="AM247" s="156"/>
      <c r="AN247" s="156"/>
      <c r="AO247" s="154"/>
      <c r="AP247" s="473"/>
      <c r="AQ247" s="156"/>
      <c r="AR247" s="156"/>
      <c r="AS247" s="156"/>
      <c r="AT247" s="156"/>
      <c r="AU247" s="156"/>
      <c r="AV247" s="156"/>
      <c r="AW247" s="156"/>
      <c r="AX247" s="156"/>
      <c r="AY247" s="154"/>
      <c r="AZ247" s="473"/>
      <c r="BA247" s="156"/>
      <c r="BB247" s="156"/>
      <c r="BC247" s="156"/>
      <c r="BD247" s="156"/>
      <c r="BE247" s="156"/>
      <c r="BF247" s="156"/>
      <c r="BG247" s="156"/>
      <c r="BH247" s="156"/>
    </row>
    <row r="248">
      <c r="A248" s="154"/>
      <c r="B248" s="473"/>
      <c r="C248" s="156"/>
      <c r="D248" s="156"/>
      <c r="E248" s="156"/>
      <c r="F248" s="154"/>
      <c r="G248" s="473"/>
      <c r="H248" s="156"/>
      <c r="I248" s="156"/>
      <c r="J248" s="156"/>
      <c r="K248" s="132"/>
      <c r="L248" s="473"/>
      <c r="M248" s="156"/>
      <c r="N248" s="156"/>
      <c r="O248" s="156"/>
      <c r="P248" s="132"/>
      <c r="Q248" s="487"/>
      <c r="R248" s="156"/>
      <c r="S248" s="156"/>
      <c r="T248" s="156"/>
      <c r="U248" s="154"/>
      <c r="V248" s="473"/>
      <c r="W248" s="156"/>
      <c r="X248" s="156"/>
      <c r="Y248" s="156"/>
      <c r="Z248" s="154"/>
      <c r="AA248" s="473"/>
      <c r="AB248" s="156"/>
      <c r="AC248" s="156"/>
      <c r="AD248" s="156"/>
      <c r="AE248" s="154"/>
      <c r="AF248" s="473"/>
      <c r="AG248" s="156"/>
      <c r="AH248" s="156"/>
      <c r="AI248" s="156"/>
      <c r="AJ248" s="154"/>
      <c r="AK248" s="473"/>
      <c r="AL248" s="156"/>
      <c r="AM248" s="156"/>
      <c r="AN248" s="156"/>
      <c r="AO248" s="154"/>
      <c r="AP248" s="473"/>
      <c r="AQ248" s="156"/>
      <c r="AR248" s="156"/>
      <c r="AS248" s="156"/>
      <c r="AT248" s="156"/>
      <c r="AU248" s="156"/>
      <c r="AV248" s="156"/>
      <c r="AW248" s="156"/>
      <c r="AX248" s="156"/>
      <c r="AY248" s="154"/>
      <c r="AZ248" s="473"/>
      <c r="BA248" s="156"/>
      <c r="BB248" s="156"/>
      <c r="BC248" s="156"/>
      <c r="BD248" s="156"/>
      <c r="BE248" s="156"/>
      <c r="BF248" s="156"/>
      <c r="BG248" s="156"/>
      <c r="BH248" s="156"/>
    </row>
    <row r="249">
      <c r="A249" s="154"/>
      <c r="B249" s="473"/>
      <c r="C249" s="156"/>
      <c r="D249" s="156"/>
      <c r="E249" s="156"/>
      <c r="F249" s="154"/>
      <c r="G249" s="473"/>
      <c r="H249" s="156"/>
      <c r="I249" s="156"/>
      <c r="J249" s="156"/>
      <c r="K249" s="132"/>
      <c r="L249" s="473"/>
      <c r="M249" s="156"/>
      <c r="N249" s="156"/>
      <c r="O249" s="156"/>
      <c r="P249" s="132"/>
      <c r="Q249" s="487"/>
      <c r="R249" s="156"/>
      <c r="S249" s="156"/>
      <c r="T249" s="156"/>
      <c r="U249" s="154"/>
      <c r="V249" s="473"/>
      <c r="W249" s="156"/>
      <c r="X249" s="156"/>
      <c r="Y249" s="156"/>
      <c r="Z249" s="154"/>
      <c r="AA249" s="473"/>
      <c r="AB249" s="156"/>
      <c r="AC249" s="156"/>
      <c r="AD249" s="156"/>
      <c r="AE249" s="154"/>
      <c r="AF249" s="473"/>
      <c r="AG249" s="156"/>
      <c r="AH249" s="156"/>
      <c r="AI249" s="156"/>
      <c r="AJ249" s="154"/>
      <c r="AK249" s="473"/>
      <c r="AL249" s="156"/>
      <c r="AM249" s="156"/>
      <c r="AN249" s="156"/>
      <c r="AO249" s="154"/>
      <c r="AP249" s="473"/>
      <c r="AQ249" s="156"/>
      <c r="AR249" s="156"/>
      <c r="AS249" s="156"/>
      <c r="AT249" s="156"/>
      <c r="AU249" s="156"/>
      <c r="AV249" s="156"/>
      <c r="AW249" s="156"/>
      <c r="AX249" s="156"/>
      <c r="AY249" s="154"/>
      <c r="AZ249" s="473"/>
      <c r="BA249" s="156"/>
      <c r="BB249" s="156"/>
      <c r="BC249" s="156"/>
      <c r="BD249" s="156"/>
      <c r="BE249" s="156"/>
      <c r="BF249" s="156"/>
      <c r="BG249" s="156"/>
      <c r="BH249" s="156"/>
    </row>
    <row r="250">
      <c r="A250" s="154"/>
      <c r="B250" s="473"/>
      <c r="C250" s="156"/>
      <c r="D250" s="156"/>
      <c r="E250" s="156"/>
      <c r="F250" s="154"/>
      <c r="G250" s="473"/>
      <c r="H250" s="156"/>
      <c r="I250" s="156"/>
      <c r="J250" s="156"/>
      <c r="K250" s="132"/>
      <c r="L250" s="473"/>
      <c r="M250" s="156"/>
      <c r="N250" s="156"/>
      <c r="O250" s="156"/>
      <c r="P250" s="132"/>
      <c r="Q250" s="487"/>
      <c r="R250" s="156"/>
      <c r="S250" s="156"/>
      <c r="T250" s="156"/>
      <c r="U250" s="154"/>
      <c r="V250" s="473"/>
      <c r="W250" s="156"/>
      <c r="X250" s="156"/>
      <c r="Y250" s="156"/>
      <c r="Z250" s="154"/>
      <c r="AA250" s="473"/>
      <c r="AB250" s="156"/>
      <c r="AC250" s="156"/>
      <c r="AD250" s="156"/>
      <c r="AE250" s="154"/>
      <c r="AF250" s="473"/>
      <c r="AG250" s="156"/>
      <c r="AH250" s="156"/>
      <c r="AI250" s="156"/>
      <c r="AJ250" s="154"/>
      <c r="AK250" s="473"/>
      <c r="AL250" s="156"/>
      <c r="AM250" s="156"/>
      <c r="AN250" s="156"/>
      <c r="AO250" s="154"/>
      <c r="AP250" s="473"/>
      <c r="AQ250" s="156"/>
      <c r="AR250" s="156"/>
      <c r="AS250" s="156"/>
      <c r="AT250" s="156"/>
      <c r="AU250" s="156"/>
      <c r="AV250" s="156"/>
      <c r="AW250" s="156"/>
      <c r="AX250" s="156"/>
      <c r="AY250" s="154"/>
      <c r="AZ250" s="473"/>
      <c r="BA250" s="156"/>
      <c r="BB250" s="156"/>
      <c r="BC250" s="156"/>
      <c r="BD250" s="156"/>
      <c r="BE250" s="156"/>
      <c r="BF250" s="156"/>
      <c r="BG250" s="156"/>
      <c r="BH250" s="156"/>
    </row>
    <row r="251">
      <c r="A251" s="154"/>
      <c r="B251" s="473"/>
      <c r="C251" s="156"/>
      <c r="D251" s="156"/>
      <c r="E251" s="156"/>
      <c r="F251" s="154"/>
      <c r="G251" s="473"/>
      <c r="H251" s="156"/>
      <c r="I251" s="156"/>
      <c r="J251" s="156"/>
      <c r="K251" s="132"/>
      <c r="L251" s="473"/>
      <c r="M251" s="156"/>
      <c r="N251" s="156"/>
      <c r="O251" s="156"/>
      <c r="P251" s="132"/>
      <c r="Q251" s="487"/>
      <c r="R251" s="156"/>
      <c r="S251" s="156"/>
      <c r="T251" s="156"/>
      <c r="U251" s="154"/>
      <c r="V251" s="473"/>
      <c r="W251" s="156"/>
      <c r="X251" s="156"/>
      <c r="Y251" s="156"/>
      <c r="Z251" s="154"/>
      <c r="AA251" s="473"/>
      <c r="AB251" s="156"/>
      <c r="AC251" s="156"/>
      <c r="AD251" s="156"/>
      <c r="AE251" s="154"/>
      <c r="AF251" s="473"/>
      <c r="AG251" s="156"/>
      <c r="AH251" s="156"/>
      <c r="AI251" s="156"/>
      <c r="AJ251" s="154"/>
      <c r="AK251" s="473"/>
      <c r="AL251" s="156"/>
      <c r="AM251" s="156"/>
      <c r="AN251" s="156"/>
      <c r="AO251" s="154"/>
      <c r="AP251" s="473"/>
      <c r="AQ251" s="156"/>
      <c r="AR251" s="156"/>
      <c r="AS251" s="156"/>
      <c r="AT251" s="156"/>
      <c r="AU251" s="156"/>
      <c r="AV251" s="156"/>
      <c r="AW251" s="156"/>
      <c r="AX251" s="156"/>
      <c r="AY251" s="154"/>
      <c r="AZ251" s="473"/>
      <c r="BA251" s="156"/>
      <c r="BB251" s="156"/>
      <c r="BC251" s="156"/>
      <c r="BD251" s="156"/>
      <c r="BE251" s="156"/>
      <c r="BF251" s="156"/>
      <c r="BG251" s="156"/>
      <c r="BH251" s="156"/>
    </row>
    <row r="252">
      <c r="A252" s="154"/>
      <c r="B252" s="473"/>
      <c r="C252" s="156"/>
      <c r="D252" s="156"/>
      <c r="E252" s="156"/>
      <c r="F252" s="154"/>
      <c r="G252" s="473"/>
      <c r="H252" s="156"/>
      <c r="I252" s="156"/>
      <c r="J252" s="156"/>
      <c r="K252" s="132"/>
      <c r="L252" s="473"/>
      <c r="M252" s="156"/>
      <c r="N252" s="156"/>
      <c r="O252" s="156"/>
      <c r="P252" s="132"/>
      <c r="Q252" s="487"/>
      <c r="R252" s="156"/>
      <c r="S252" s="156"/>
      <c r="T252" s="156"/>
      <c r="U252" s="154"/>
      <c r="V252" s="473"/>
      <c r="W252" s="156"/>
      <c r="X252" s="156"/>
      <c r="Y252" s="156"/>
      <c r="Z252" s="154"/>
      <c r="AA252" s="473"/>
      <c r="AB252" s="156"/>
      <c r="AC252" s="156"/>
      <c r="AD252" s="156"/>
      <c r="AE252" s="154"/>
      <c r="AF252" s="473"/>
      <c r="AG252" s="156"/>
      <c r="AH252" s="156"/>
      <c r="AI252" s="156"/>
      <c r="AJ252" s="154"/>
      <c r="AK252" s="473"/>
      <c r="AL252" s="156"/>
      <c r="AM252" s="156"/>
      <c r="AN252" s="156"/>
      <c r="AO252" s="154"/>
      <c r="AP252" s="473"/>
      <c r="AQ252" s="156"/>
      <c r="AR252" s="156"/>
      <c r="AS252" s="156"/>
      <c r="AT252" s="156"/>
      <c r="AU252" s="156"/>
      <c r="AV252" s="156"/>
      <c r="AW252" s="156"/>
      <c r="AX252" s="156"/>
      <c r="AY252" s="154"/>
      <c r="AZ252" s="473"/>
      <c r="BA252" s="156"/>
      <c r="BB252" s="156"/>
      <c r="BC252" s="156"/>
      <c r="BD252" s="156"/>
      <c r="BE252" s="156"/>
      <c r="BF252" s="156"/>
      <c r="BG252" s="156"/>
      <c r="BH252" s="156"/>
    </row>
    <row r="253">
      <c r="A253" s="154"/>
      <c r="B253" s="473"/>
      <c r="C253" s="156"/>
      <c r="D253" s="156"/>
      <c r="E253" s="156"/>
      <c r="F253" s="154"/>
      <c r="G253" s="473"/>
      <c r="H253" s="156"/>
      <c r="I253" s="156"/>
      <c r="J253" s="156"/>
      <c r="K253" s="132"/>
      <c r="L253" s="473"/>
      <c r="M253" s="156"/>
      <c r="N253" s="156"/>
      <c r="O253" s="156"/>
      <c r="P253" s="132"/>
      <c r="Q253" s="487"/>
      <c r="R253" s="156"/>
      <c r="S253" s="156"/>
      <c r="T253" s="156"/>
      <c r="U253" s="154"/>
      <c r="V253" s="473"/>
      <c r="W253" s="156"/>
      <c r="X253" s="156"/>
      <c r="Y253" s="156"/>
      <c r="Z253" s="154"/>
      <c r="AA253" s="473"/>
      <c r="AB253" s="156"/>
      <c r="AC253" s="156"/>
      <c r="AD253" s="156"/>
      <c r="AE253" s="154"/>
      <c r="AF253" s="473"/>
      <c r="AG253" s="156"/>
      <c r="AH253" s="156"/>
      <c r="AI253" s="156"/>
      <c r="AJ253" s="154"/>
      <c r="AK253" s="473"/>
      <c r="AL253" s="156"/>
      <c r="AM253" s="156"/>
      <c r="AN253" s="156"/>
      <c r="AO253" s="154"/>
      <c r="AP253" s="473"/>
      <c r="AQ253" s="156"/>
      <c r="AR253" s="156"/>
      <c r="AS253" s="156"/>
      <c r="AT253" s="156"/>
      <c r="AU253" s="156"/>
      <c r="AV253" s="156"/>
      <c r="AW253" s="156"/>
      <c r="AX253" s="156"/>
      <c r="AY253" s="154"/>
      <c r="AZ253" s="473"/>
      <c r="BA253" s="156"/>
      <c r="BB253" s="156"/>
      <c r="BC253" s="156"/>
      <c r="BD253" s="156"/>
      <c r="BE253" s="156"/>
      <c r="BF253" s="156"/>
      <c r="BG253" s="156"/>
      <c r="BH253" s="156"/>
    </row>
    <row r="254">
      <c r="A254" s="154"/>
      <c r="B254" s="473"/>
      <c r="C254" s="156"/>
      <c r="D254" s="156"/>
      <c r="E254" s="156"/>
      <c r="F254" s="154"/>
      <c r="G254" s="473"/>
      <c r="H254" s="156"/>
      <c r="I254" s="156"/>
      <c r="J254" s="156"/>
      <c r="K254" s="132"/>
      <c r="L254" s="473"/>
      <c r="M254" s="156"/>
      <c r="N254" s="156"/>
      <c r="O254" s="156"/>
      <c r="P254" s="132"/>
      <c r="Q254" s="487"/>
      <c r="R254" s="156"/>
      <c r="S254" s="156"/>
      <c r="T254" s="156"/>
      <c r="U254" s="154"/>
      <c r="V254" s="473"/>
      <c r="W254" s="156"/>
      <c r="X254" s="156"/>
      <c r="Y254" s="156"/>
      <c r="Z254" s="154"/>
      <c r="AA254" s="473"/>
      <c r="AB254" s="156"/>
      <c r="AC254" s="156"/>
      <c r="AD254" s="156"/>
      <c r="AE254" s="154"/>
      <c r="AF254" s="473"/>
      <c r="AG254" s="156"/>
      <c r="AH254" s="156"/>
      <c r="AI254" s="156"/>
      <c r="AJ254" s="154"/>
      <c r="AK254" s="473"/>
      <c r="AL254" s="156"/>
      <c r="AM254" s="156"/>
      <c r="AN254" s="156"/>
      <c r="AO254" s="154"/>
      <c r="AP254" s="473"/>
      <c r="AQ254" s="156"/>
      <c r="AR254" s="156"/>
      <c r="AS254" s="156"/>
      <c r="AT254" s="156"/>
      <c r="AU254" s="156"/>
      <c r="AV254" s="156"/>
      <c r="AW254" s="156"/>
      <c r="AX254" s="156"/>
      <c r="AY254" s="154"/>
      <c r="AZ254" s="473"/>
      <c r="BA254" s="156"/>
      <c r="BB254" s="156"/>
      <c r="BC254" s="156"/>
      <c r="BD254" s="156"/>
      <c r="BE254" s="156"/>
      <c r="BF254" s="156"/>
      <c r="BG254" s="156"/>
      <c r="BH254" s="156"/>
    </row>
    <row r="255">
      <c r="A255" s="154"/>
      <c r="B255" s="473"/>
      <c r="C255" s="156"/>
      <c r="D255" s="156"/>
      <c r="E255" s="156"/>
      <c r="F255" s="154"/>
      <c r="G255" s="473"/>
      <c r="H255" s="156"/>
      <c r="I255" s="156"/>
      <c r="J255" s="156"/>
      <c r="K255" s="132"/>
      <c r="L255" s="473"/>
      <c r="M255" s="156"/>
      <c r="N255" s="156"/>
      <c r="O255" s="156"/>
      <c r="P255" s="132"/>
      <c r="Q255" s="487"/>
      <c r="R255" s="156"/>
      <c r="S255" s="156"/>
      <c r="T255" s="156"/>
      <c r="U255" s="154"/>
      <c r="V255" s="473"/>
      <c r="W255" s="156"/>
      <c r="X255" s="156"/>
      <c r="Y255" s="156"/>
      <c r="Z255" s="154"/>
      <c r="AA255" s="473"/>
      <c r="AB255" s="156"/>
      <c r="AC255" s="156"/>
      <c r="AD255" s="156"/>
      <c r="AE255" s="154"/>
      <c r="AF255" s="473"/>
      <c r="AG255" s="156"/>
      <c r="AH255" s="156"/>
      <c r="AI255" s="156"/>
      <c r="AJ255" s="154"/>
      <c r="AK255" s="473"/>
      <c r="AL255" s="156"/>
      <c r="AM255" s="156"/>
      <c r="AN255" s="156"/>
      <c r="AO255" s="154"/>
      <c r="AP255" s="473"/>
      <c r="AQ255" s="156"/>
      <c r="AR255" s="156"/>
      <c r="AS255" s="156"/>
      <c r="AT255" s="156"/>
      <c r="AU255" s="156"/>
      <c r="AV255" s="156"/>
      <c r="AW255" s="156"/>
      <c r="AX255" s="156"/>
      <c r="AY255" s="154"/>
      <c r="AZ255" s="473"/>
      <c r="BA255" s="156"/>
      <c r="BB255" s="156"/>
      <c r="BC255" s="156"/>
      <c r="BD255" s="156"/>
      <c r="BE255" s="156"/>
      <c r="BF255" s="156"/>
      <c r="BG255" s="156"/>
      <c r="BH255" s="156"/>
    </row>
    <row r="256">
      <c r="A256" s="154"/>
      <c r="B256" s="473"/>
      <c r="C256" s="156"/>
      <c r="D256" s="156"/>
      <c r="E256" s="156"/>
      <c r="F256" s="154"/>
      <c r="G256" s="473"/>
      <c r="H256" s="156"/>
      <c r="I256" s="156"/>
      <c r="J256" s="156"/>
      <c r="K256" s="132"/>
      <c r="L256" s="473"/>
      <c r="M256" s="156"/>
      <c r="N256" s="156"/>
      <c r="O256" s="156"/>
      <c r="P256" s="132"/>
      <c r="Q256" s="487"/>
      <c r="R256" s="156"/>
      <c r="S256" s="156"/>
      <c r="T256" s="156"/>
      <c r="U256" s="154"/>
      <c r="V256" s="473"/>
      <c r="W256" s="156"/>
      <c r="X256" s="156"/>
      <c r="Y256" s="156"/>
      <c r="Z256" s="154"/>
      <c r="AA256" s="473"/>
      <c r="AB256" s="156"/>
      <c r="AC256" s="156"/>
      <c r="AD256" s="156"/>
      <c r="AE256" s="154"/>
      <c r="AF256" s="473"/>
      <c r="AG256" s="156"/>
      <c r="AH256" s="156"/>
      <c r="AI256" s="156"/>
      <c r="AJ256" s="154"/>
      <c r="AK256" s="473"/>
      <c r="AL256" s="156"/>
      <c r="AM256" s="156"/>
      <c r="AN256" s="156"/>
      <c r="AO256" s="154"/>
      <c r="AP256" s="473"/>
      <c r="AQ256" s="156"/>
      <c r="AR256" s="156"/>
      <c r="AS256" s="156"/>
      <c r="AT256" s="156"/>
      <c r="AU256" s="156"/>
      <c r="AV256" s="156"/>
      <c r="AW256" s="156"/>
      <c r="AX256" s="156"/>
      <c r="AY256" s="154"/>
      <c r="AZ256" s="473"/>
      <c r="BA256" s="156"/>
      <c r="BB256" s="156"/>
      <c r="BC256" s="156"/>
      <c r="BD256" s="156"/>
      <c r="BE256" s="156"/>
      <c r="BF256" s="156"/>
      <c r="BG256" s="156"/>
      <c r="BH256" s="156"/>
    </row>
    <row r="257">
      <c r="A257" s="154"/>
      <c r="B257" s="473"/>
      <c r="C257" s="156"/>
      <c r="D257" s="156"/>
      <c r="E257" s="156"/>
      <c r="F257" s="154"/>
      <c r="G257" s="473"/>
      <c r="H257" s="156"/>
      <c r="I257" s="156"/>
      <c r="J257" s="156"/>
      <c r="K257" s="132"/>
      <c r="L257" s="473"/>
      <c r="M257" s="156"/>
      <c r="N257" s="156"/>
      <c r="O257" s="156"/>
      <c r="P257" s="132"/>
      <c r="Q257" s="487"/>
      <c r="R257" s="156"/>
      <c r="S257" s="156"/>
      <c r="T257" s="156"/>
      <c r="U257" s="154"/>
      <c r="V257" s="473"/>
      <c r="W257" s="156"/>
      <c r="X257" s="156"/>
      <c r="Y257" s="156"/>
      <c r="Z257" s="154"/>
      <c r="AA257" s="473"/>
      <c r="AB257" s="156"/>
      <c r="AC257" s="156"/>
      <c r="AD257" s="156"/>
      <c r="AE257" s="154"/>
      <c r="AF257" s="473"/>
      <c r="AG257" s="156"/>
      <c r="AH257" s="156"/>
      <c r="AI257" s="156"/>
      <c r="AJ257" s="154"/>
      <c r="AK257" s="473"/>
      <c r="AL257" s="156"/>
      <c r="AM257" s="156"/>
      <c r="AN257" s="156"/>
      <c r="AO257" s="154"/>
      <c r="AP257" s="473"/>
      <c r="AQ257" s="156"/>
      <c r="AR257" s="156"/>
      <c r="AS257" s="156"/>
      <c r="AT257" s="156"/>
      <c r="AU257" s="156"/>
      <c r="AV257" s="156"/>
      <c r="AW257" s="156"/>
      <c r="AX257" s="156"/>
      <c r="AY257" s="154"/>
      <c r="AZ257" s="473"/>
      <c r="BA257" s="156"/>
      <c r="BB257" s="156"/>
      <c r="BC257" s="156"/>
      <c r="BD257" s="156"/>
      <c r="BE257" s="156"/>
      <c r="BF257" s="156"/>
      <c r="BG257" s="156"/>
      <c r="BH257" s="156"/>
    </row>
    <row r="258">
      <c r="A258" s="154"/>
      <c r="B258" s="473"/>
      <c r="C258" s="156"/>
      <c r="D258" s="156"/>
      <c r="E258" s="156"/>
      <c r="F258" s="154"/>
      <c r="G258" s="473"/>
      <c r="H258" s="156"/>
      <c r="I258" s="156"/>
      <c r="J258" s="156"/>
      <c r="K258" s="132"/>
      <c r="L258" s="473"/>
      <c r="M258" s="156"/>
      <c r="N258" s="156"/>
      <c r="O258" s="156"/>
      <c r="P258" s="132"/>
      <c r="Q258" s="487"/>
      <c r="R258" s="156"/>
      <c r="S258" s="156"/>
      <c r="T258" s="156"/>
      <c r="U258" s="154"/>
      <c r="V258" s="473"/>
      <c r="W258" s="156"/>
      <c r="X258" s="156"/>
      <c r="Y258" s="156"/>
      <c r="Z258" s="154"/>
      <c r="AA258" s="473"/>
      <c r="AB258" s="156"/>
      <c r="AC258" s="156"/>
      <c r="AD258" s="156"/>
      <c r="AE258" s="154"/>
      <c r="AF258" s="473"/>
      <c r="AG258" s="156"/>
      <c r="AH258" s="156"/>
      <c r="AI258" s="156"/>
      <c r="AJ258" s="154"/>
      <c r="AK258" s="473"/>
      <c r="AL258" s="156"/>
      <c r="AM258" s="156"/>
      <c r="AN258" s="156"/>
      <c r="AO258" s="154"/>
      <c r="AP258" s="473"/>
      <c r="AQ258" s="156"/>
      <c r="AR258" s="156"/>
      <c r="AS258" s="156"/>
      <c r="AT258" s="156"/>
      <c r="AU258" s="156"/>
      <c r="AV258" s="156"/>
      <c r="AW258" s="156"/>
      <c r="AX258" s="156"/>
      <c r="AY258" s="154"/>
      <c r="AZ258" s="473"/>
      <c r="BA258" s="156"/>
      <c r="BB258" s="156"/>
      <c r="BC258" s="156"/>
      <c r="BD258" s="156"/>
      <c r="BE258" s="156"/>
      <c r="BF258" s="156"/>
      <c r="BG258" s="156"/>
      <c r="BH258" s="156"/>
    </row>
    <row r="259">
      <c r="A259" s="154"/>
      <c r="B259" s="473"/>
      <c r="C259" s="156"/>
      <c r="D259" s="156"/>
      <c r="E259" s="156"/>
      <c r="F259" s="154"/>
      <c r="G259" s="473"/>
      <c r="H259" s="156"/>
      <c r="I259" s="156"/>
      <c r="J259" s="156"/>
      <c r="K259" s="132"/>
      <c r="L259" s="473"/>
      <c r="M259" s="156"/>
      <c r="N259" s="156"/>
      <c r="O259" s="156"/>
      <c r="P259" s="132"/>
      <c r="Q259" s="487"/>
      <c r="R259" s="156"/>
      <c r="S259" s="156"/>
      <c r="T259" s="156"/>
      <c r="U259" s="154"/>
      <c r="V259" s="473"/>
      <c r="W259" s="156"/>
      <c r="X259" s="156"/>
      <c r="Y259" s="156"/>
      <c r="Z259" s="154"/>
      <c r="AA259" s="473"/>
      <c r="AB259" s="156"/>
      <c r="AC259" s="156"/>
      <c r="AD259" s="156"/>
      <c r="AE259" s="154"/>
      <c r="AF259" s="473"/>
      <c r="AG259" s="156"/>
      <c r="AH259" s="156"/>
      <c r="AI259" s="156"/>
      <c r="AJ259" s="154"/>
      <c r="AK259" s="473"/>
      <c r="AL259" s="156"/>
      <c r="AM259" s="156"/>
      <c r="AN259" s="156"/>
      <c r="AO259" s="154"/>
      <c r="AP259" s="473"/>
      <c r="AQ259" s="156"/>
      <c r="AR259" s="156"/>
      <c r="AS259" s="156"/>
      <c r="AT259" s="156"/>
      <c r="AU259" s="156"/>
      <c r="AV259" s="156"/>
      <c r="AW259" s="156"/>
      <c r="AX259" s="156"/>
      <c r="AY259" s="154"/>
      <c r="AZ259" s="473"/>
      <c r="BA259" s="156"/>
      <c r="BB259" s="156"/>
      <c r="BC259" s="156"/>
      <c r="BD259" s="156"/>
      <c r="BE259" s="156"/>
      <c r="BF259" s="156"/>
      <c r="BG259" s="156"/>
      <c r="BH259" s="156"/>
    </row>
    <row r="260">
      <c r="A260" s="154"/>
      <c r="B260" s="473"/>
      <c r="C260" s="156"/>
      <c r="D260" s="156"/>
      <c r="E260" s="156"/>
      <c r="F260" s="154"/>
      <c r="G260" s="473"/>
      <c r="H260" s="156"/>
      <c r="I260" s="156"/>
      <c r="J260" s="156"/>
      <c r="K260" s="132"/>
      <c r="L260" s="473"/>
      <c r="M260" s="156"/>
      <c r="N260" s="156"/>
      <c r="O260" s="156"/>
      <c r="P260" s="132"/>
      <c r="Q260" s="487"/>
      <c r="R260" s="156"/>
      <c r="S260" s="156"/>
      <c r="T260" s="156"/>
      <c r="U260" s="154"/>
      <c r="V260" s="473"/>
      <c r="W260" s="156"/>
      <c r="X260" s="156"/>
      <c r="Y260" s="156"/>
      <c r="Z260" s="154"/>
      <c r="AA260" s="473"/>
      <c r="AB260" s="156"/>
      <c r="AC260" s="156"/>
      <c r="AD260" s="156"/>
      <c r="AE260" s="154"/>
      <c r="AF260" s="473"/>
      <c r="AG260" s="156"/>
      <c r="AH260" s="156"/>
      <c r="AI260" s="156"/>
      <c r="AJ260" s="154"/>
      <c r="AK260" s="473"/>
      <c r="AL260" s="156"/>
      <c r="AM260" s="156"/>
      <c r="AN260" s="156"/>
      <c r="AO260" s="154"/>
      <c r="AP260" s="473"/>
      <c r="AQ260" s="156"/>
      <c r="AR260" s="156"/>
      <c r="AS260" s="156"/>
      <c r="AT260" s="156"/>
      <c r="AU260" s="156"/>
      <c r="AV260" s="156"/>
      <c r="AW260" s="156"/>
      <c r="AX260" s="156"/>
      <c r="AY260" s="154"/>
      <c r="AZ260" s="473"/>
      <c r="BA260" s="156"/>
      <c r="BB260" s="156"/>
      <c r="BC260" s="156"/>
      <c r="BD260" s="156"/>
      <c r="BE260" s="156"/>
      <c r="BF260" s="156"/>
      <c r="BG260" s="156"/>
      <c r="BH260" s="156"/>
    </row>
    <row r="261">
      <c r="A261" s="154"/>
      <c r="B261" s="473"/>
      <c r="C261" s="156"/>
      <c r="D261" s="156"/>
      <c r="E261" s="156"/>
      <c r="F261" s="154"/>
      <c r="G261" s="473"/>
      <c r="H261" s="156"/>
      <c r="I261" s="156"/>
      <c r="J261" s="156"/>
      <c r="K261" s="132"/>
      <c r="L261" s="473"/>
      <c r="M261" s="156"/>
      <c r="N261" s="156"/>
      <c r="O261" s="156"/>
      <c r="P261" s="132"/>
      <c r="Q261" s="487"/>
      <c r="R261" s="156"/>
      <c r="S261" s="156"/>
      <c r="T261" s="156"/>
      <c r="U261" s="154"/>
      <c r="V261" s="473"/>
      <c r="W261" s="156"/>
      <c r="X261" s="156"/>
      <c r="Y261" s="156"/>
      <c r="Z261" s="154"/>
      <c r="AA261" s="473"/>
      <c r="AB261" s="156"/>
      <c r="AC261" s="156"/>
      <c r="AD261" s="156"/>
      <c r="AE261" s="154"/>
      <c r="AF261" s="473"/>
      <c r="AG261" s="156"/>
      <c r="AH261" s="156"/>
      <c r="AI261" s="156"/>
      <c r="AJ261" s="154"/>
      <c r="AK261" s="473"/>
      <c r="AL261" s="156"/>
      <c r="AM261" s="156"/>
      <c r="AN261" s="156"/>
      <c r="AO261" s="154"/>
      <c r="AP261" s="473"/>
      <c r="AQ261" s="156"/>
      <c r="AR261" s="156"/>
      <c r="AS261" s="156"/>
      <c r="AT261" s="156"/>
      <c r="AU261" s="156"/>
      <c r="AV261" s="156"/>
      <c r="AW261" s="156"/>
      <c r="AX261" s="156"/>
      <c r="AY261" s="154"/>
      <c r="AZ261" s="473"/>
      <c r="BA261" s="156"/>
      <c r="BB261" s="156"/>
      <c r="BC261" s="156"/>
      <c r="BD261" s="156"/>
      <c r="BE261" s="156"/>
      <c r="BF261" s="156"/>
      <c r="BG261" s="156"/>
      <c r="BH261" s="156"/>
    </row>
    <row r="262">
      <c r="A262" s="154"/>
      <c r="B262" s="473"/>
      <c r="C262" s="156"/>
      <c r="D262" s="156"/>
      <c r="E262" s="156"/>
      <c r="F262" s="154"/>
      <c r="G262" s="473"/>
      <c r="H262" s="156"/>
      <c r="I262" s="156"/>
      <c r="J262" s="156"/>
      <c r="K262" s="132"/>
      <c r="L262" s="473"/>
      <c r="M262" s="156"/>
      <c r="N262" s="156"/>
      <c r="O262" s="156"/>
      <c r="P262" s="132"/>
      <c r="Q262" s="487"/>
      <c r="R262" s="156"/>
      <c r="S262" s="156"/>
      <c r="T262" s="156"/>
      <c r="U262" s="154"/>
      <c r="V262" s="473"/>
      <c r="W262" s="156"/>
      <c r="X262" s="156"/>
      <c r="Y262" s="156"/>
      <c r="Z262" s="154"/>
      <c r="AA262" s="473"/>
      <c r="AB262" s="156"/>
      <c r="AC262" s="156"/>
      <c r="AD262" s="156"/>
      <c r="AE262" s="154"/>
      <c r="AF262" s="473"/>
      <c r="AG262" s="156"/>
      <c r="AH262" s="156"/>
      <c r="AI262" s="156"/>
      <c r="AJ262" s="154"/>
      <c r="AK262" s="473"/>
      <c r="AL262" s="156"/>
      <c r="AM262" s="156"/>
      <c r="AN262" s="156"/>
      <c r="AO262" s="154"/>
      <c r="AP262" s="473"/>
      <c r="AQ262" s="156"/>
      <c r="AR262" s="156"/>
      <c r="AS262" s="156"/>
      <c r="AT262" s="156"/>
      <c r="AU262" s="156"/>
      <c r="AV262" s="156"/>
      <c r="AW262" s="156"/>
      <c r="AX262" s="156"/>
      <c r="AY262" s="154"/>
      <c r="AZ262" s="473"/>
      <c r="BA262" s="156"/>
      <c r="BB262" s="156"/>
      <c r="BC262" s="156"/>
      <c r="BD262" s="156"/>
      <c r="BE262" s="156"/>
      <c r="BF262" s="156"/>
      <c r="BG262" s="156"/>
      <c r="BH262" s="156"/>
    </row>
    <row r="263">
      <c r="A263" s="154"/>
      <c r="B263" s="473"/>
      <c r="C263" s="156"/>
      <c r="D263" s="156"/>
      <c r="E263" s="156"/>
      <c r="F263" s="154"/>
      <c r="G263" s="473"/>
      <c r="H263" s="156"/>
      <c r="I263" s="156"/>
      <c r="J263" s="156"/>
      <c r="K263" s="132"/>
      <c r="L263" s="473"/>
      <c r="M263" s="156"/>
      <c r="N263" s="156"/>
      <c r="O263" s="156"/>
      <c r="P263" s="132"/>
      <c r="Q263" s="487"/>
      <c r="R263" s="156"/>
      <c r="S263" s="156"/>
      <c r="T263" s="156"/>
      <c r="U263" s="154"/>
      <c r="V263" s="473"/>
      <c r="W263" s="156"/>
      <c r="X263" s="156"/>
      <c r="Y263" s="156"/>
      <c r="Z263" s="154"/>
      <c r="AA263" s="473"/>
      <c r="AB263" s="156"/>
      <c r="AC263" s="156"/>
      <c r="AD263" s="156"/>
      <c r="AE263" s="154"/>
      <c r="AF263" s="473"/>
      <c r="AG263" s="156"/>
      <c r="AH263" s="156"/>
      <c r="AI263" s="156"/>
      <c r="AJ263" s="154"/>
      <c r="AK263" s="473"/>
      <c r="AL263" s="156"/>
      <c r="AM263" s="156"/>
      <c r="AN263" s="156"/>
      <c r="AO263" s="154"/>
      <c r="AP263" s="473"/>
      <c r="AQ263" s="156"/>
      <c r="AR263" s="156"/>
      <c r="AS263" s="156"/>
      <c r="AT263" s="156"/>
      <c r="AU263" s="156"/>
      <c r="AV263" s="156"/>
      <c r="AW263" s="156"/>
      <c r="AX263" s="156"/>
      <c r="AY263" s="154"/>
      <c r="AZ263" s="473"/>
      <c r="BA263" s="156"/>
      <c r="BB263" s="156"/>
      <c r="BC263" s="156"/>
      <c r="BD263" s="156"/>
      <c r="BE263" s="156"/>
      <c r="BF263" s="156"/>
      <c r="BG263" s="156"/>
      <c r="BH263" s="156"/>
    </row>
    <row r="264">
      <c r="A264" s="154"/>
      <c r="B264" s="473"/>
      <c r="C264" s="156"/>
      <c r="D264" s="156"/>
      <c r="E264" s="156"/>
      <c r="F264" s="154"/>
      <c r="G264" s="473"/>
      <c r="H264" s="156"/>
      <c r="I264" s="156"/>
      <c r="J264" s="156"/>
      <c r="K264" s="132"/>
      <c r="L264" s="473"/>
      <c r="M264" s="156"/>
      <c r="N264" s="156"/>
      <c r="O264" s="156"/>
      <c r="P264" s="132"/>
      <c r="Q264" s="487"/>
      <c r="R264" s="156"/>
      <c r="S264" s="156"/>
      <c r="T264" s="156"/>
      <c r="U264" s="154"/>
      <c r="V264" s="473"/>
      <c r="W264" s="156"/>
      <c r="X264" s="156"/>
      <c r="Y264" s="156"/>
      <c r="Z264" s="154"/>
      <c r="AA264" s="473"/>
      <c r="AB264" s="156"/>
      <c r="AC264" s="156"/>
      <c r="AD264" s="156"/>
      <c r="AE264" s="154"/>
      <c r="AF264" s="473"/>
      <c r="AG264" s="156"/>
      <c r="AH264" s="156"/>
      <c r="AI264" s="156"/>
      <c r="AJ264" s="154"/>
      <c r="AK264" s="473"/>
      <c r="AL264" s="156"/>
      <c r="AM264" s="156"/>
      <c r="AN264" s="156"/>
      <c r="AO264" s="154"/>
      <c r="AP264" s="473"/>
      <c r="AQ264" s="156"/>
      <c r="AR264" s="156"/>
      <c r="AS264" s="156"/>
      <c r="AT264" s="156"/>
      <c r="AU264" s="156"/>
      <c r="AV264" s="156"/>
      <c r="AW264" s="156"/>
      <c r="AX264" s="156"/>
      <c r="AY264" s="154"/>
      <c r="AZ264" s="473"/>
      <c r="BA264" s="156"/>
      <c r="BB264" s="156"/>
      <c r="BC264" s="156"/>
      <c r="BD264" s="156"/>
      <c r="BE264" s="156"/>
      <c r="BF264" s="156"/>
      <c r="BG264" s="156"/>
      <c r="BH264" s="156"/>
    </row>
    <row r="265">
      <c r="A265" s="154"/>
      <c r="B265" s="473"/>
      <c r="C265" s="156"/>
      <c r="D265" s="156"/>
      <c r="E265" s="156"/>
      <c r="F265" s="154"/>
      <c r="G265" s="473"/>
      <c r="H265" s="156"/>
      <c r="I265" s="156"/>
      <c r="J265" s="156"/>
      <c r="K265" s="132"/>
      <c r="L265" s="473"/>
      <c r="M265" s="156"/>
      <c r="N265" s="156"/>
      <c r="O265" s="156"/>
      <c r="P265" s="132"/>
      <c r="Q265" s="487"/>
      <c r="R265" s="156"/>
      <c r="S265" s="156"/>
      <c r="T265" s="156"/>
      <c r="U265" s="154"/>
      <c r="V265" s="473"/>
      <c r="W265" s="156"/>
      <c r="X265" s="156"/>
      <c r="Y265" s="156"/>
      <c r="Z265" s="154"/>
      <c r="AA265" s="473"/>
      <c r="AB265" s="156"/>
      <c r="AC265" s="156"/>
      <c r="AD265" s="156"/>
      <c r="AE265" s="154"/>
      <c r="AF265" s="473"/>
      <c r="AG265" s="156"/>
      <c r="AH265" s="156"/>
      <c r="AI265" s="156"/>
      <c r="AJ265" s="154"/>
      <c r="AK265" s="473"/>
      <c r="AL265" s="156"/>
      <c r="AM265" s="156"/>
      <c r="AN265" s="156"/>
      <c r="AO265" s="154"/>
      <c r="AP265" s="473"/>
      <c r="AQ265" s="156"/>
      <c r="AR265" s="156"/>
      <c r="AS265" s="156"/>
      <c r="AT265" s="156"/>
      <c r="AU265" s="156"/>
      <c r="AV265" s="156"/>
      <c r="AW265" s="156"/>
      <c r="AX265" s="156"/>
      <c r="AY265" s="154"/>
      <c r="AZ265" s="473"/>
      <c r="BA265" s="156"/>
      <c r="BB265" s="156"/>
      <c r="BC265" s="156"/>
      <c r="BD265" s="156"/>
      <c r="BE265" s="156"/>
      <c r="BF265" s="156"/>
      <c r="BG265" s="156"/>
      <c r="BH265" s="156"/>
    </row>
    <row r="266">
      <c r="A266" s="154"/>
      <c r="B266" s="473"/>
      <c r="C266" s="156"/>
      <c r="D266" s="156"/>
      <c r="E266" s="156"/>
      <c r="F266" s="154"/>
      <c r="G266" s="473"/>
      <c r="H266" s="156"/>
      <c r="I266" s="156"/>
      <c r="J266" s="156"/>
      <c r="K266" s="132"/>
      <c r="L266" s="473"/>
      <c r="M266" s="156"/>
      <c r="N266" s="156"/>
      <c r="O266" s="156"/>
      <c r="P266" s="132"/>
      <c r="Q266" s="487"/>
      <c r="R266" s="156"/>
      <c r="S266" s="156"/>
      <c r="T266" s="156"/>
      <c r="U266" s="154"/>
      <c r="V266" s="473"/>
      <c r="W266" s="156"/>
      <c r="X266" s="156"/>
      <c r="Y266" s="156"/>
      <c r="Z266" s="154"/>
      <c r="AA266" s="473"/>
      <c r="AB266" s="156"/>
      <c r="AC266" s="156"/>
      <c r="AD266" s="156"/>
      <c r="AE266" s="154"/>
      <c r="AF266" s="473"/>
      <c r="AG266" s="156"/>
      <c r="AH266" s="156"/>
      <c r="AI266" s="156"/>
      <c r="AJ266" s="154"/>
      <c r="AK266" s="473"/>
      <c r="AL266" s="156"/>
      <c r="AM266" s="156"/>
      <c r="AN266" s="156"/>
      <c r="AO266" s="452"/>
      <c r="AP266" s="452"/>
      <c r="AQ266" s="452"/>
      <c r="AR266" s="452"/>
      <c r="AS266" s="452"/>
      <c r="AT266" s="452"/>
      <c r="AU266" s="452"/>
      <c r="AV266" s="452"/>
      <c r="AW266" s="452"/>
      <c r="AX266" s="452"/>
      <c r="AY266" s="154"/>
      <c r="AZ266" s="473"/>
      <c r="BA266" s="156"/>
      <c r="BB266" s="156"/>
      <c r="BC266" s="156"/>
      <c r="BD266" s="452"/>
      <c r="BE266" s="452"/>
      <c r="BF266" s="452"/>
      <c r="BG266" s="452"/>
      <c r="BH266" s="452"/>
    </row>
    <row r="267">
      <c r="A267" s="154"/>
      <c r="B267" s="473"/>
      <c r="C267" s="156"/>
      <c r="D267" s="156"/>
      <c r="E267" s="156"/>
      <c r="F267" s="154"/>
      <c r="G267" s="473"/>
      <c r="H267" s="156"/>
      <c r="I267" s="156"/>
      <c r="J267" s="156"/>
      <c r="K267" s="132"/>
      <c r="L267" s="473"/>
      <c r="M267" s="156"/>
      <c r="N267" s="156"/>
      <c r="O267" s="156"/>
      <c r="P267" s="132"/>
      <c r="Q267" s="487"/>
      <c r="R267" s="156"/>
      <c r="S267" s="156"/>
      <c r="T267" s="156"/>
      <c r="U267" s="154"/>
      <c r="V267" s="473"/>
      <c r="W267" s="156"/>
      <c r="X267" s="156"/>
      <c r="Y267" s="156"/>
      <c r="Z267" s="154"/>
      <c r="AA267" s="473"/>
      <c r="AB267" s="156"/>
      <c r="AC267" s="156"/>
      <c r="AD267" s="156"/>
      <c r="AE267" s="154"/>
      <c r="AF267" s="473"/>
      <c r="AG267" s="156"/>
      <c r="AH267" s="156"/>
      <c r="AI267" s="156"/>
      <c r="AJ267" s="154"/>
      <c r="AK267" s="473"/>
      <c r="AL267" s="156"/>
      <c r="AM267" s="156"/>
      <c r="AN267" s="156"/>
      <c r="AO267" s="452"/>
      <c r="AP267" s="452"/>
      <c r="AQ267" s="452"/>
      <c r="AR267" s="452"/>
      <c r="AS267" s="452"/>
      <c r="AT267" s="452"/>
      <c r="AU267" s="452"/>
      <c r="AV267" s="452"/>
      <c r="AW267" s="452"/>
      <c r="AX267" s="452"/>
      <c r="AY267" s="154"/>
      <c r="AZ267" s="473"/>
      <c r="BA267" s="156"/>
      <c r="BB267" s="156"/>
      <c r="BC267" s="156"/>
      <c r="BD267" s="452"/>
      <c r="BE267" s="452"/>
      <c r="BF267" s="452"/>
      <c r="BG267" s="452"/>
      <c r="BH267" s="452"/>
    </row>
    <row r="268">
      <c r="A268" s="154"/>
      <c r="B268" s="473"/>
      <c r="C268" s="156"/>
      <c r="D268" s="156"/>
      <c r="E268" s="156"/>
      <c r="F268" s="154"/>
      <c r="G268" s="473"/>
      <c r="H268" s="156"/>
      <c r="I268" s="156"/>
      <c r="J268" s="156"/>
      <c r="K268" s="132"/>
      <c r="L268" s="473"/>
      <c r="M268" s="156"/>
      <c r="N268" s="156"/>
      <c r="O268" s="156"/>
      <c r="P268" s="132"/>
      <c r="Q268" s="487"/>
      <c r="R268" s="156"/>
      <c r="S268" s="156"/>
      <c r="T268" s="156"/>
      <c r="U268" s="154"/>
      <c r="V268" s="473"/>
      <c r="W268" s="156"/>
      <c r="X268" s="156"/>
      <c r="Y268" s="156"/>
      <c r="Z268" s="154"/>
      <c r="AA268" s="473"/>
      <c r="AB268" s="156"/>
      <c r="AC268" s="156"/>
      <c r="AD268" s="156"/>
      <c r="AE268" s="154"/>
      <c r="AF268" s="473"/>
      <c r="AG268" s="156"/>
      <c r="AH268" s="156"/>
      <c r="AI268" s="156"/>
      <c r="AJ268" s="154"/>
      <c r="AK268" s="473"/>
      <c r="AL268" s="156"/>
      <c r="AM268" s="156"/>
      <c r="AN268" s="156"/>
      <c r="AO268" s="452"/>
      <c r="AP268" s="452"/>
      <c r="AQ268" s="452"/>
      <c r="AR268" s="452"/>
      <c r="AS268" s="452"/>
      <c r="AT268" s="452"/>
      <c r="AU268" s="452"/>
      <c r="AV268" s="452"/>
      <c r="AW268" s="452"/>
      <c r="AX268" s="452"/>
      <c r="AY268" s="154"/>
      <c r="AZ268" s="473"/>
      <c r="BA268" s="156"/>
      <c r="BB268" s="156"/>
      <c r="BC268" s="156"/>
      <c r="BD268" s="452"/>
      <c r="BE268" s="452"/>
      <c r="BF268" s="452"/>
      <c r="BG268" s="452"/>
      <c r="BH268" s="452"/>
    </row>
    <row r="269">
      <c r="A269" s="154"/>
      <c r="B269" s="473"/>
      <c r="C269" s="156"/>
      <c r="D269" s="156"/>
      <c r="E269" s="156"/>
      <c r="F269" s="154"/>
      <c r="G269" s="473"/>
      <c r="H269" s="156"/>
      <c r="I269" s="156"/>
      <c r="J269" s="156"/>
      <c r="K269" s="132"/>
      <c r="L269" s="473"/>
      <c r="M269" s="156"/>
      <c r="N269" s="156"/>
      <c r="O269" s="156"/>
      <c r="P269" s="132"/>
      <c r="Q269" s="487"/>
      <c r="R269" s="156"/>
      <c r="S269" s="156"/>
      <c r="T269" s="156"/>
      <c r="U269" s="154"/>
      <c r="V269" s="473"/>
      <c r="W269" s="156"/>
      <c r="X269" s="156"/>
      <c r="Y269" s="156"/>
      <c r="Z269" s="154"/>
      <c r="AA269" s="473"/>
      <c r="AB269" s="156"/>
      <c r="AC269" s="156"/>
      <c r="AD269" s="156"/>
      <c r="AE269" s="154"/>
      <c r="AF269" s="473"/>
      <c r="AG269" s="156"/>
      <c r="AH269" s="156"/>
      <c r="AI269" s="156"/>
      <c r="AJ269" s="154"/>
      <c r="AK269" s="473"/>
      <c r="AL269" s="156"/>
      <c r="AM269" s="156"/>
      <c r="AN269" s="156"/>
      <c r="AO269" s="452"/>
      <c r="AP269" s="452"/>
      <c r="AQ269" s="452"/>
      <c r="AR269" s="452"/>
      <c r="AS269" s="452"/>
      <c r="AT269" s="452"/>
      <c r="AU269" s="452"/>
      <c r="AV269" s="452"/>
      <c r="AW269" s="452"/>
      <c r="AX269" s="452"/>
      <c r="AY269" s="154"/>
      <c r="AZ269" s="473"/>
      <c r="BA269" s="156"/>
      <c r="BB269" s="156"/>
      <c r="BC269" s="156"/>
      <c r="BD269" s="452"/>
      <c r="BE269" s="452"/>
      <c r="BF269" s="452"/>
      <c r="BG269" s="452"/>
      <c r="BH269" s="452"/>
    </row>
    <row r="270">
      <c r="A270" s="154"/>
      <c r="B270" s="473"/>
      <c r="C270" s="156"/>
      <c r="D270" s="156"/>
      <c r="E270" s="156"/>
      <c r="F270" s="154"/>
      <c r="G270" s="473"/>
      <c r="H270" s="156"/>
      <c r="I270" s="156"/>
      <c r="J270" s="156"/>
      <c r="K270" s="132"/>
      <c r="L270" s="473"/>
      <c r="M270" s="156"/>
      <c r="N270" s="156"/>
      <c r="O270" s="156"/>
      <c r="P270" s="132"/>
      <c r="Q270" s="487"/>
      <c r="R270" s="156"/>
      <c r="S270" s="156"/>
      <c r="T270" s="156"/>
      <c r="U270" s="154"/>
      <c r="V270" s="473"/>
      <c r="W270" s="156"/>
      <c r="X270" s="156"/>
      <c r="Y270" s="156"/>
      <c r="Z270" s="154"/>
      <c r="AA270" s="473"/>
      <c r="AB270" s="156"/>
      <c r="AC270" s="156"/>
      <c r="AD270" s="156"/>
      <c r="AE270" s="154"/>
      <c r="AF270" s="473"/>
      <c r="AG270" s="156"/>
      <c r="AH270" s="156"/>
      <c r="AI270" s="156"/>
      <c r="AJ270" s="154"/>
      <c r="AK270" s="473"/>
      <c r="AL270" s="156"/>
      <c r="AM270" s="156"/>
      <c r="AN270" s="156"/>
      <c r="AO270" s="452"/>
      <c r="AP270" s="452"/>
      <c r="AQ270" s="452"/>
      <c r="AR270" s="452"/>
      <c r="AS270" s="452"/>
      <c r="AT270" s="452"/>
      <c r="AU270" s="452"/>
      <c r="AV270" s="452"/>
      <c r="AW270" s="452"/>
      <c r="AX270" s="452"/>
      <c r="AY270" s="154"/>
      <c r="AZ270" s="473"/>
      <c r="BA270" s="156"/>
      <c r="BB270" s="156"/>
      <c r="BC270" s="156"/>
      <c r="BD270" s="452"/>
      <c r="BE270" s="452"/>
      <c r="BF270" s="452"/>
      <c r="BG270" s="452"/>
      <c r="BH270" s="452"/>
    </row>
    <row r="271">
      <c r="A271" s="154"/>
      <c r="B271" s="473"/>
      <c r="C271" s="156"/>
      <c r="D271" s="156"/>
      <c r="E271" s="156"/>
      <c r="F271" s="154"/>
      <c r="G271" s="473"/>
      <c r="H271" s="156"/>
      <c r="I271" s="156"/>
      <c r="J271" s="156"/>
      <c r="K271" s="132"/>
      <c r="L271" s="473"/>
      <c r="M271" s="156"/>
      <c r="N271" s="156"/>
      <c r="O271" s="156"/>
      <c r="P271" s="132"/>
      <c r="Q271" s="487"/>
      <c r="R271" s="156"/>
      <c r="S271" s="156"/>
      <c r="T271" s="156"/>
      <c r="U271" s="154"/>
      <c r="V271" s="473"/>
      <c r="W271" s="156"/>
      <c r="X271" s="156"/>
      <c r="Y271" s="156"/>
      <c r="Z271" s="154"/>
      <c r="AA271" s="473"/>
      <c r="AB271" s="156"/>
      <c r="AC271" s="156"/>
      <c r="AD271" s="156"/>
      <c r="AE271" s="154"/>
      <c r="AF271" s="473"/>
      <c r="AG271" s="156"/>
      <c r="AH271" s="156"/>
      <c r="AI271" s="156"/>
      <c r="AJ271" s="154"/>
      <c r="AK271" s="473"/>
      <c r="AL271" s="156"/>
      <c r="AM271" s="156"/>
      <c r="AN271" s="156"/>
      <c r="AO271" s="452"/>
      <c r="AP271" s="452"/>
      <c r="AQ271" s="452"/>
      <c r="AR271" s="452"/>
      <c r="AS271" s="452"/>
      <c r="AT271" s="452"/>
      <c r="AU271" s="452"/>
      <c r="AV271" s="452"/>
      <c r="AW271" s="452"/>
      <c r="AX271" s="452"/>
      <c r="AY271" s="154"/>
      <c r="AZ271" s="473"/>
      <c r="BA271" s="156"/>
      <c r="BB271" s="156"/>
      <c r="BC271" s="156"/>
      <c r="BD271" s="452"/>
      <c r="BE271" s="452"/>
      <c r="BF271" s="452"/>
      <c r="BG271" s="452"/>
      <c r="BH271" s="452"/>
    </row>
    <row r="272">
      <c r="A272" s="154"/>
      <c r="B272" s="473"/>
      <c r="C272" s="156"/>
      <c r="D272" s="156"/>
      <c r="E272" s="156"/>
      <c r="F272" s="154"/>
      <c r="G272" s="473"/>
      <c r="H272" s="156"/>
      <c r="I272" s="156"/>
      <c r="J272" s="156"/>
      <c r="K272" s="132"/>
      <c r="L272" s="473"/>
      <c r="M272" s="156"/>
      <c r="N272" s="156"/>
      <c r="O272" s="156"/>
      <c r="P272" s="132"/>
      <c r="Q272" s="487"/>
      <c r="R272" s="156"/>
      <c r="S272" s="156"/>
      <c r="T272" s="156"/>
      <c r="U272" s="154"/>
      <c r="V272" s="473"/>
      <c r="W272" s="156"/>
      <c r="X272" s="156"/>
      <c r="Y272" s="156"/>
      <c r="Z272" s="154"/>
      <c r="AA272" s="473"/>
      <c r="AB272" s="156"/>
      <c r="AC272" s="156"/>
      <c r="AD272" s="156"/>
      <c r="AE272" s="154"/>
      <c r="AF272" s="473"/>
      <c r="AG272" s="156"/>
      <c r="AH272" s="156"/>
      <c r="AI272" s="156"/>
      <c r="AJ272" s="154"/>
      <c r="AK272" s="473"/>
      <c r="AL272" s="156"/>
      <c r="AM272" s="156"/>
      <c r="AN272" s="156"/>
      <c r="AO272" s="452"/>
      <c r="AP272" s="452"/>
      <c r="AQ272" s="452"/>
      <c r="AR272" s="452"/>
      <c r="AS272" s="452"/>
      <c r="AT272" s="452"/>
      <c r="AU272" s="452"/>
      <c r="AV272" s="452"/>
      <c r="AW272" s="452"/>
      <c r="AX272" s="452"/>
      <c r="AY272" s="154"/>
      <c r="AZ272" s="473"/>
      <c r="BA272" s="156"/>
      <c r="BB272" s="156"/>
      <c r="BC272" s="156"/>
      <c r="BD272" s="452"/>
      <c r="BE272" s="452"/>
      <c r="BF272" s="452"/>
      <c r="BG272" s="452"/>
      <c r="BH272" s="452"/>
    </row>
    <row r="273">
      <c r="A273" s="154"/>
      <c r="B273" s="473"/>
      <c r="C273" s="156"/>
      <c r="D273" s="156"/>
      <c r="E273" s="156"/>
      <c r="F273" s="154"/>
      <c r="G273" s="473"/>
      <c r="H273" s="156"/>
      <c r="I273" s="156"/>
      <c r="J273" s="156"/>
      <c r="K273" s="132"/>
      <c r="L273" s="473"/>
      <c r="M273" s="156"/>
      <c r="N273" s="156"/>
      <c r="O273" s="156"/>
      <c r="P273" s="132"/>
      <c r="Q273" s="487"/>
      <c r="R273" s="156"/>
      <c r="S273" s="156"/>
      <c r="T273" s="156"/>
      <c r="U273" s="154"/>
      <c r="V273" s="473"/>
      <c r="W273" s="156"/>
      <c r="X273" s="156"/>
      <c r="Y273" s="156"/>
      <c r="Z273" s="154"/>
      <c r="AA273" s="473"/>
      <c r="AB273" s="156"/>
      <c r="AC273" s="156"/>
      <c r="AD273" s="156"/>
      <c r="AE273" s="154"/>
      <c r="AF273" s="473"/>
      <c r="AG273" s="156"/>
      <c r="AH273" s="156"/>
      <c r="AI273" s="156"/>
      <c r="AJ273" s="154"/>
      <c r="AK273" s="473"/>
      <c r="AL273" s="156"/>
      <c r="AM273" s="156"/>
      <c r="AN273" s="156"/>
      <c r="AO273" s="452"/>
      <c r="AP273" s="452"/>
      <c r="AQ273" s="452"/>
      <c r="AR273" s="452"/>
      <c r="AS273" s="452"/>
      <c r="AT273" s="452"/>
      <c r="AU273" s="452"/>
      <c r="AV273" s="452"/>
      <c r="AW273" s="452"/>
      <c r="AX273" s="452"/>
      <c r="AY273" s="154"/>
      <c r="AZ273" s="473"/>
      <c r="BA273" s="156"/>
      <c r="BB273" s="156"/>
      <c r="BC273" s="156"/>
      <c r="BD273" s="452"/>
      <c r="BE273" s="452"/>
      <c r="BF273" s="452"/>
      <c r="BG273" s="452"/>
      <c r="BH273" s="452"/>
    </row>
    <row r="274">
      <c r="A274" s="154"/>
      <c r="B274" s="473"/>
      <c r="C274" s="156"/>
      <c r="D274" s="156"/>
      <c r="E274" s="156"/>
      <c r="F274" s="154"/>
      <c r="G274" s="473"/>
      <c r="H274" s="156"/>
      <c r="I274" s="156"/>
      <c r="J274" s="156"/>
      <c r="K274" s="132"/>
      <c r="L274" s="473"/>
      <c r="M274" s="156"/>
      <c r="N274" s="156"/>
      <c r="O274" s="156"/>
      <c r="P274" s="132"/>
      <c r="Q274" s="487"/>
      <c r="R274" s="156"/>
      <c r="S274" s="156"/>
      <c r="T274" s="156"/>
      <c r="U274" s="154"/>
      <c r="V274" s="473"/>
      <c r="W274" s="156"/>
      <c r="X274" s="156"/>
      <c r="Y274" s="156"/>
      <c r="Z274" s="154"/>
      <c r="AA274" s="473"/>
      <c r="AB274" s="156"/>
      <c r="AC274" s="156"/>
      <c r="AD274" s="156"/>
      <c r="AE274" s="154"/>
      <c r="AF274" s="473"/>
      <c r="AG274" s="156"/>
      <c r="AH274" s="156"/>
      <c r="AI274" s="156"/>
      <c r="AJ274" s="154"/>
      <c r="AK274" s="473"/>
      <c r="AL274" s="156"/>
      <c r="AM274" s="156"/>
      <c r="AN274" s="156"/>
      <c r="AO274" s="452"/>
      <c r="AP274" s="452"/>
      <c r="AQ274" s="452"/>
      <c r="AR274" s="452"/>
      <c r="AS274" s="452"/>
      <c r="AT274" s="452"/>
      <c r="AU274" s="452"/>
      <c r="AV274" s="452"/>
      <c r="AW274" s="452"/>
      <c r="AX274" s="452"/>
      <c r="AY274" s="154"/>
      <c r="AZ274" s="473"/>
      <c r="BA274" s="156"/>
      <c r="BB274" s="156"/>
      <c r="BC274" s="156"/>
      <c r="BD274" s="452"/>
      <c r="BE274" s="452"/>
      <c r="BF274" s="452"/>
      <c r="BG274" s="452"/>
      <c r="BH274" s="452"/>
    </row>
    <row r="275">
      <c r="A275" s="154"/>
      <c r="B275" s="473"/>
      <c r="C275" s="156"/>
      <c r="D275" s="156"/>
      <c r="E275" s="156"/>
      <c r="F275" s="154"/>
      <c r="G275" s="473"/>
      <c r="H275" s="156"/>
      <c r="I275" s="156"/>
      <c r="J275" s="156"/>
      <c r="K275" s="132"/>
      <c r="L275" s="473"/>
      <c r="M275" s="156"/>
      <c r="N275" s="156"/>
      <c r="O275" s="156"/>
      <c r="P275" s="132"/>
      <c r="Q275" s="487"/>
      <c r="R275" s="156"/>
      <c r="S275" s="156"/>
      <c r="T275" s="156"/>
      <c r="U275" s="154"/>
      <c r="V275" s="473"/>
      <c r="W275" s="156"/>
      <c r="X275" s="156"/>
      <c r="Y275" s="156"/>
      <c r="Z275" s="154"/>
      <c r="AA275" s="473"/>
      <c r="AB275" s="156"/>
      <c r="AC275" s="156"/>
      <c r="AD275" s="156"/>
      <c r="AE275" s="154"/>
      <c r="AF275" s="473"/>
      <c r="AG275" s="156"/>
      <c r="AH275" s="156"/>
      <c r="AI275" s="156"/>
      <c r="AJ275" s="154"/>
      <c r="AK275" s="473"/>
      <c r="AL275" s="156"/>
      <c r="AM275" s="156"/>
      <c r="AN275" s="156"/>
      <c r="AO275" s="452"/>
      <c r="AP275" s="452"/>
      <c r="AQ275" s="452"/>
      <c r="AR275" s="452"/>
      <c r="AS275" s="452"/>
      <c r="AT275" s="452"/>
      <c r="AU275" s="452"/>
      <c r="AV275" s="452"/>
      <c r="AW275" s="452"/>
      <c r="AX275" s="452"/>
      <c r="AY275" s="154"/>
      <c r="AZ275" s="473"/>
      <c r="BA275" s="156"/>
      <c r="BB275" s="156"/>
      <c r="BC275" s="156"/>
      <c r="BD275" s="452"/>
      <c r="BE275" s="452"/>
      <c r="BF275" s="452"/>
      <c r="BG275" s="452"/>
      <c r="BH275" s="452"/>
    </row>
    <row r="276">
      <c r="A276" s="154"/>
      <c r="B276" s="473"/>
      <c r="C276" s="156"/>
      <c r="D276" s="156"/>
      <c r="E276" s="156"/>
      <c r="F276" s="154"/>
      <c r="G276" s="473"/>
      <c r="H276" s="156"/>
      <c r="I276" s="156"/>
      <c r="J276" s="156"/>
      <c r="K276" s="132"/>
      <c r="L276" s="473"/>
      <c r="M276" s="156"/>
      <c r="N276" s="156"/>
      <c r="O276" s="156"/>
      <c r="P276" s="132"/>
      <c r="Q276" s="487"/>
      <c r="R276" s="156"/>
      <c r="S276" s="156"/>
      <c r="T276" s="156"/>
      <c r="U276" s="154"/>
      <c r="V276" s="473"/>
      <c r="W276" s="156"/>
      <c r="X276" s="156"/>
      <c r="Y276" s="156"/>
      <c r="Z276" s="154"/>
      <c r="AA276" s="473"/>
      <c r="AB276" s="156"/>
      <c r="AC276" s="156"/>
      <c r="AD276" s="156"/>
      <c r="AE276" s="154"/>
      <c r="AF276" s="473"/>
      <c r="AG276" s="156"/>
      <c r="AH276" s="156"/>
      <c r="AI276" s="156"/>
      <c r="AJ276" s="154"/>
      <c r="AK276" s="473"/>
      <c r="AL276" s="156"/>
      <c r="AM276" s="156"/>
      <c r="AN276" s="156"/>
      <c r="AO276" s="452"/>
      <c r="AP276" s="452"/>
      <c r="AQ276" s="452"/>
      <c r="AR276" s="452"/>
      <c r="AS276" s="452"/>
      <c r="AT276" s="452"/>
      <c r="AU276" s="452"/>
      <c r="AV276" s="452"/>
      <c r="AW276" s="452"/>
      <c r="AX276" s="452"/>
      <c r="AY276" s="154"/>
      <c r="AZ276" s="473"/>
      <c r="BA276" s="156"/>
      <c r="BB276" s="156"/>
      <c r="BC276" s="156"/>
      <c r="BD276" s="452"/>
      <c r="BE276" s="452"/>
      <c r="BF276" s="452"/>
      <c r="BG276" s="452"/>
      <c r="BH276" s="452"/>
    </row>
    <row r="277">
      <c r="A277" s="154"/>
      <c r="B277" s="473"/>
      <c r="C277" s="156"/>
      <c r="D277" s="156"/>
      <c r="E277" s="156"/>
      <c r="F277" s="154"/>
      <c r="G277" s="473"/>
      <c r="H277" s="156"/>
      <c r="I277" s="156"/>
      <c r="J277" s="156"/>
      <c r="K277" s="132"/>
      <c r="L277" s="473"/>
      <c r="M277" s="156"/>
      <c r="N277" s="156"/>
      <c r="O277" s="156"/>
      <c r="P277" s="132"/>
      <c r="Q277" s="487"/>
      <c r="R277" s="156"/>
      <c r="S277" s="156"/>
      <c r="T277" s="156"/>
      <c r="U277" s="154"/>
      <c r="V277" s="473"/>
      <c r="W277" s="156"/>
      <c r="X277" s="156"/>
      <c r="Y277" s="156"/>
      <c r="Z277" s="154"/>
      <c r="AA277" s="473"/>
      <c r="AB277" s="156"/>
      <c r="AC277" s="156"/>
      <c r="AD277" s="156"/>
      <c r="AE277" s="154"/>
      <c r="AF277" s="473"/>
      <c r="AG277" s="156"/>
      <c r="AH277" s="156"/>
      <c r="AI277" s="156"/>
      <c r="AJ277" s="154"/>
      <c r="AK277" s="473"/>
      <c r="AL277" s="156"/>
      <c r="AM277" s="156"/>
      <c r="AN277" s="156"/>
      <c r="AO277" s="452"/>
      <c r="AP277" s="452"/>
      <c r="AQ277" s="452"/>
      <c r="AR277" s="452"/>
      <c r="AS277" s="452"/>
      <c r="AT277" s="452"/>
      <c r="AU277" s="452"/>
      <c r="AV277" s="452"/>
      <c r="AW277" s="452"/>
      <c r="AX277" s="452"/>
      <c r="AY277" s="154"/>
      <c r="AZ277" s="473"/>
      <c r="BA277" s="156"/>
      <c r="BB277" s="156"/>
      <c r="BC277" s="156"/>
      <c r="BD277" s="452"/>
      <c r="BE277" s="452"/>
      <c r="BF277" s="452"/>
      <c r="BG277" s="452"/>
      <c r="BH277" s="452"/>
    </row>
    <row r="278">
      <c r="A278" s="154"/>
      <c r="B278" s="473"/>
      <c r="C278" s="156"/>
      <c r="D278" s="156"/>
      <c r="E278" s="156"/>
      <c r="F278" s="154"/>
      <c r="G278" s="473"/>
      <c r="H278" s="156"/>
      <c r="I278" s="156"/>
      <c r="J278" s="156"/>
      <c r="K278" s="132"/>
      <c r="L278" s="473"/>
      <c r="M278" s="156"/>
      <c r="N278" s="156"/>
      <c r="O278" s="156"/>
      <c r="P278" s="132"/>
      <c r="Q278" s="487"/>
      <c r="R278" s="156"/>
      <c r="S278" s="156"/>
      <c r="T278" s="156"/>
      <c r="U278" s="154"/>
      <c r="V278" s="473"/>
      <c r="W278" s="156"/>
      <c r="X278" s="156"/>
      <c r="Y278" s="156"/>
      <c r="Z278" s="154"/>
      <c r="AA278" s="473"/>
      <c r="AB278" s="156"/>
      <c r="AC278" s="156"/>
      <c r="AD278" s="156"/>
      <c r="AE278" s="154"/>
      <c r="AF278" s="473"/>
      <c r="AG278" s="156"/>
      <c r="AH278" s="156"/>
      <c r="AI278" s="156"/>
      <c r="AJ278" s="154"/>
      <c r="AK278" s="473"/>
      <c r="AL278" s="156"/>
      <c r="AM278" s="156"/>
      <c r="AN278" s="156"/>
      <c r="AO278" s="452"/>
      <c r="AP278" s="452"/>
      <c r="AQ278" s="452"/>
      <c r="AR278" s="452"/>
      <c r="AS278" s="452"/>
      <c r="AT278" s="452"/>
      <c r="AU278" s="452"/>
      <c r="AV278" s="452"/>
      <c r="AW278" s="452"/>
      <c r="AX278" s="452"/>
      <c r="AY278" s="154"/>
      <c r="AZ278" s="473"/>
      <c r="BA278" s="156"/>
      <c r="BB278" s="156"/>
      <c r="BC278" s="156"/>
      <c r="BD278" s="452"/>
      <c r="BE278" s="452"/>
      <c r="BF278" s="452"/>
      <c r="BG278" s="452"/>
      <c r="BH278" s="452"/>
    </row>
    <row r="279">
      <c r="A279" s="154"/>
      <c r="B279" s="473"/>
      <c r="C279" s="156"/>
      <c r="D279" s="156"/>
      <c r="E279" s="156"/>
      <c r="F279" s="154"/>
      <c r="G279" s="473"/>
      <c r="H279" s="156"/>
      <c r="I279" s="156"/>
      <c r="J279" s="156"/>
      <c r="K279" s="132"/>
      <c r="L279" s="473"/>
      <c r="M279" s="156"/>
      <c r="N279" s="156"/>
      <c r="O279" s="156"/>
      <c r="P279" s="132"/>
      <c r="Q279" s="487"/>
      <c r="R279" s="156"/>
      <c r="S279" s="156"/>
      <c r="T279" s="156"/>
      <c r="U279" s="154"/>
      <c r="V279" s="473"/>
      <c r="W279" s="156"/>
      <c r="X279" s="156"/>
      <c r="Y279" s="156"/>
      <c r="Z279" s="154"/>
      <c r="AA279" s="473"/>
      <c r="AB279" s="156"/>
      <c r="AC279" s="156"/>
      <c r="AD279" s="156"/>
      <c r="AE279" s="154"/>
      <c r="AF279" s="473"/>
      <c r="AG279" s="156"/>
      <c r="AH279" s="156"/>
      <c r="AI279" s="156"/>
      <c r="AJ279" s="154"/>
      <c r="AK279" s="473"/>
      <c r="AL279" s="156"/>
      <c r="AM279" s="156"/>
      <c r="AN279" s="156"/>
      <c r="AO279" s="452"/>
      <c r="AP279" s="452"/>
      <c r="AQ279" s="452"/>
      <c r="AR279" s="452"/>
      <c r="AS279" s="452"/>
      <c r="AT279" s="452"/>
      <c r="AU279" s="452"/>
      <c r="AV279" s="452"/>
      <c r="AW279" s="452"/>
      <c r="AX279" s="452"/>
      <c r="AY279" s="154"/>
      <c r="AZ279" s="473"/>
      <c r="BA279" s="156"/>
      <c r="BB279" s="156"/>
      <c r="BC279" s="156"/>
      <c r="BD279" s="452"/>
      <c r="BE279" s="452"/>
      <c r="BF279" s="452"/>
      <c r="BG279" s="452"/>
      <c r="BH279" s="452"/>
    </row>
    <row r="280">
      <c r="A280" s="154"/>
      <c r="B280" s="473"/>
      <c r="C280" s="156"/>
      <c r="D280" s="156"/>
      <c r="E280" s="156"/>
      <c r="F280" s="154"/>
      <c r="G280" s="473"/>
      <c r="H280" s="156"/>
      <c r="I280" s="156"/>
      <c r="J280" s="156"/>
      <c r="K280" s="132"/>
      <c r="L280" s="473"/>
      <c r="M280" s="156"/>
      <c r="N280" s="156"/>
      <c r="O280" s="156"/>
      <c r="P280" s="132"/>
      <c r="Q280" s="487"/>
      <c r="R280" s="156"/>
      <c r="S280" s="156"/>
      <c r="T280" s="156"/>
      <c r="U280" s="154"/>
      <c r="V280" s="473"/>
      <c r="W280" s="156"/>
      <c r="X280" s="156"/>
      <c r="Y280" s="156"/>
      <c r="Z280" s="154"/>
      <c r="AA280" s="473"/>
      <c r="AB280" s="156"/>
      <c r="AC280" s="156"/>
      <c r="AD280" s="156"/>
      <c r="AE280" s="154"/>
      <c r="AF280" s="473"/>
      <c r="AG280" s="156"/>
      <c r="AH280" s="156"/>
      <c r="AI280" s="156"/>
      <c r="AJ280" s="154"/>
      <c r="AK280" s="473"/>
      <c r="AL280" s="156"/>
      <c r="AM280" s="156"/>
      <c r="AN280" s="156"/>
      <c r="AO280" s="452"/>
      <c r="AP280" s="452"/>
      <c r="AQ280" s="452"/>
      <c r="AR280" s="452"/>
      <c r="AS280" s="452"/>
      <c r="AT280" s="452"/>
      <c r="AU280" s="452"/>
      <c r="AV280" s="452"/>
      <c r="AW280" s="452"/>
      <c r="AX280" s="452"/>
      <c r="AY280" s="154"/>
      <c r="AZ280" s="473"/>
      <c r="BA280" s="156"/>
      <c r="BB280" s="156"/>
      <c r="BC280" s="156"/>
      <c r="BD280" s="452"/>
      <c r="BE280" s="452"/>
      <c r="BF280" s="452"/>
      <c r="BG280" s="452"/>
      <c r="BH280" s="452"/>
    </row>
    <row r="281">
      <c r="A281" s="154"/>
      <c r="B281" s="473"/>
      <c r="C281" s="156"/>
      <c r="D281" s="156"/>
      <c r="E281" s="156"/>
      <c r="F281" s="154"/>
      <c r="G281" s="473"/>
      <c r="H281" s="156"/>
      <c r="I281" s="156"/>
      <c r="J281" s="156"/>
      <c r="K281" s="132"/>
      <c r="L281" s="473"/>
      <c r="M281" s="156"/>
      <c r="N281" s="156"/>
      <c r="O281" s="156"/>
      <c r="P281" s="132"/>
      <c r="Q281" s="487"/>
      <c r="R281" s="156"/>
      <c r="S281" s="156"/>
      <c r="T281" s="156"/>
      <c r="U281" s="154"/>
      <c r="V281" s="473"/>
      <c r="W281" s="156"/>
      <c r="X281" s="156"/>
      <c r="Y281" s="156"/>
      <c r="Z281" s="154"/>
      <c r="AA281" s="473"/>
      <c r="AB281" s="156"/>
      <c r="AC281" s="156"/>
      <c r="AD281" s="156"/>
      <c r="AE281" s="154"/>
      <c r="AF281" s="473"/>
      <c r="AG281" s="156"/>
      <c r="AH281" s="156"/>
      <c r="AI281" s="156"/>
      <c r="AJ281" s="154"/>
      <c r="AK281" s="473"/>
      <c r="AL281" s="156"/>
      <c r="AM281" s="156"/>
      <c r="AN281" s="156"/>
      <c r="AO281" s="452"/>
      <c r="AP281" s="452"/>
      <c r="AQ281" s="452"/>
      <c r="AR281" s="452"/>
      <c r="AS281" s="452"/>
      <c r="AT281" s="452"/>
      <c r="AU281" s="452"/>
      <c r="AV281" s="452"/>
      <c r="AW281" s="452"/>
      <c r="AX281" s="452"/>
      <c r="AY281" s="154"/>
      <c r="AZ281" s="473"/>
      <c r="BA281" s="156"/>
      <c r="BB281" s="156"/>
      <c r="BC281" s="156"/>
      <c r="BD281" s="452"/>
      <c r="BE281" s="452"/>
      <c r="BF281" s="452"/>
      <c r="BG281" s="452"/>
      <c r="BH281" s="452"/>
    </row>
    <row r="282">
      <c r="A282" s="154"/>
      <c r="B282" s="473"/>
      <c r="C282" s="156"/>
      <c r="D282" s="156"/>
      <c r="E282" s="156"/>
      <c r="F282" s="154"/>
      <c r="G282" s="473"/>
      <c r="H282" s="156"/>
      <c r="I282" s="156"/>
      <c r="J282" s="156"/>
      <c r="K282" s="132"/>
      <c r="L282" s="473"/>
      <c r="M282" s="156"/>
      <c r="N282" s="156"/>
      <c r="O282" s="156"/>
      <c r="P282" s="132"/>
      <c r="Q282" s="487"/>
      <c r="R282" s="156"/>
      <c r="S282" s="156"/>
      <c r="T282" s="156"/>
      <c r="U282" s="154"/>
      <c r="V282" s="473"/>
      <c r="W282" s="156"/>
      <c r="X282" s="156"/>
      <c r="Y282" s="156"/>
      <c r="Z282" s="154"/>
      <c r="AA282" s="473"/>
      <c r="AB282" s="156"/>
      <c r="AC282" s="156"/>
      <c r="AD282" s="156"/>
      <c r="AE282" s="154"/>
      <c r="AF282" s="473"/>
      <c r="AG282" s="156"/>
      <c r="AH282" s="156"/>
      <c r="AI282" s="156"/>
      <c r="AJ282" s="154"/>
      <c r="AK282" s="473"/>
      <c r="AL282" s="156"/>
      <c r="AM282" s="156"/>
      <c r="AN282" s="156"/>
      <c r="AO282" s="452"/>
      <c r="AP282" s="452"/>
      <c r="AQ282" s="452"/>
      <c r="AR282" s="452"/>
      <c r="AS282" s="452"/>
      <c r="AT282" s="452"/>
      <c r="AU282" s="452"/>
      <c r="AV282" s="452"/>
      <c r="AW282" s="452"/>
      <c r="AX282" s="452"/>
      <c r="AY282" s="154"/>
      <c r="AZ282" s="473"/>
      <c r="BA282" s="156"/>
      <c r="BB282" s="156"/>
      <c r="BC282" s="156"/>
      <c r="BD282" s="452"/>
      <c r="BE282" s="452"/>
      <c r="BF282" s="452"/>
      <c r="BG282" s="452"/>
      <c r="BH282" s="452"/>
    </row>
    <row r="283">
      <c r="A283" s="154"/>
      <c r="B283" s="473"/>
      <c r="C283" s="156"/>
      <c r="D283" s="156"/>
      <c r="E283" s="156"/>
      <c r="F283" s="154"/>
      <c r="G283" s="473"/>
      <c r="H283" s="156"/>
      <c r="I283" s="156"/>
      <c r="J283" s="156"/>
      <c r="K283" s="132"/>
      <c r="L283" s="473"/>
      <c r="M283" s="156"/>
      <c r="N283" s="156"/>
      <c r="O283" s="156"/>
      <c r="P283" s="132"/>
      <c r="Q283" s="487"/>
      <c r="R283" s="156"/>
      <c r="S283" s="156"/>
      <c r="T283" s="156"/>
      <c r="U283" s="154"/>
      <c r="V283" s="473"/>
      <c r="W283" s="156"/>
      <c r="X283" s="156"/>
      <c r="Y283" s="156"/>
      <c r="Z283" s="154"/>
      <c r="AA283" s="473"/>
      <c r="AB283" s="156"/>
      <c r="AC283" s="156"/>
      <c r="AD283" s="156"/>
      <c r="AE283" s="154"/>
      <c r="AF283" s="473"/>
      <c r="AG283" s="156"/>
      <c r="AH283" s="156"/>
      <c r="AI283" s="156"/>
      <c r="AJ283" s="154"/>
      <c r="AK283" s="473"/>
      <c r="AL283" s="156"/>
      <c r="AM283" s="156"/>
      <c r="AN283" s="156"/>
      <c r="AO283" s="452"/>
      <c r="AP283" s="452"/>
      <c r="AQ283" s="452"/>
      <c r="AR283" s="452"/>
      <c r="AS283" s="452"/>
      <c r="AT283" s="452"/>
      <c r="AU283" s="452"/>
      <c r="AV283" s="452"/>
      <c r="AW283" s="452"/>
      <c r="AX283" s="452"/>
      <c r="AY283" s="154"/>
      <c r="AZ283" s="473"/>
      <c r="BA283" s="156"/>
      <c r="BB283" s="156"/>
      <c r="BC283" s="156"/>
      <c r="BD283" s="452"/>
      <c r="BE283" s="452"/>
      <c r="BF283" s="452"/>
      <c r="BG283" s="452"/>
      <c r="BH283" s="452"/>
    </row>
    <row r="284">
      <c r="A284" s="154"/>
      <c r="B284" s="473"/>
      <c r="C284" s="156"/>
      <c r="D284" s="156"/>
      <c r="E284" s="156"/>
      <c r="F284" s="154"/>
      <c r="G284" s="473"/>
      <c r="H284" s="156"/>
      <c r="I284" s="156"/>
      <c r="J284" s="156"/>
      <c r="K284" s="132"/>
      <c r="L284" s="473"/>
      <c r="M284" s="156"/>
      <c r="N284" s="156"/>
      <c r="O284" s="156"/>
      <c r="P284" s="132"/>
      <c r="Q284" s="487"/>
      <c r="R284" s="156"/>
      <c r="S284" s="156"/>
      <c r="T284" s="156"/>
      <c r="U284" s="154"/>
      <c r="V284" s="473"/>
      <c r="W284" s="156"/>
      <c r="X284" s="156"/>
      <c r="Y284" s="156"/>
      <c r="Z284" s="154"/>
      <c r="AA284" s="473"/>
      <c r="AB284" s="156"/>
      <c r="AC284" s="156"/>
      <c r="AD284" s="156"/>
      <c r="AE284" s="154"/>
      <c r="AF284" s="473"/>
      <c r="AG284" s="156"/>
      <c r="AH284" s="156"/>
      <c r="AI284" s="156"/>
      <c r="AJ284" s="154"/>
      <c r="AK284" s="473"/>
      <c r="AL284" s="156"/>
      <c r="AM284" s="156"/>
      <c r="AN284" s="156"/>
      <c r="AO284" s="452"/>
      <c r="AP284" s="452"/>
      <c r="AQ284" s="452"/>
      <c r="AR284" s="452"/>
      <c r="AS284" s="452"/>
      <c r="AT284" s="452"/>
      <c r="AU284" s="452"/>
      <c r="AV284" s="452"/>
      <c r="AW284" s="452"/>
      <c r="AX284" s="452"/>
      <c r="AY284" s="154"/>
      <c r="AZ284" s="473"/>
      <c r="BA284" s="156"/>
      <c r="BB284" s="156"/>
      <c r="BC284" s="156"/>
      <c r="BD284" s="452"/>
      <c r="BE284" s="452"/>
      <c r="BF284" s="452"/>
      <c r="BG284" s="452"/>
      <c r="BH284" s="452"/>
    </row>
    <row r="285">
      <c r="A285" s="154"/>
      <c r="B285" s="473"/>
      <c r="C285" s="156"/>
      <c r="D285" s="156"/>
      <c r="E285" s="156"/>
      <c r="F285" s="154"/>
      <c r="G285" s="473"/>
      <c r="H285" s="156"/>
      <c r="I285" s="156"/>
      <c r="J285" s="156"/>
      <c r="K285" s="132"/>
      <c r="L285" s="473"/>
      <c r="M285" s="156"/>
      <c r="N285" s="156"/>
      <c r="O285" s="156"/>
      <c r="P285" s="132"/>
      <c r="Q285" s="487"/>
      <c r="R285" s="156"/>
      <c r="S285" s="156"/>
      <c r="T285" s="156"/>
      <c r="U285" s="154"/>
      <c r="V285" s="473"/>
      <c r="W285" s="156"/>
      <c r="X285" s="156"/>
      <c r="Y285" s="156"/>
      <c r="Z285" s="154"/>
      <c r="AA285" s="473"/>
      <c r="AB285" s="156"/>
      <c r="AC285" s="156"/>
      <c r="AD285" s="156"/>
      <c r="AE285" s="154"/>
      <c r="AF285" s="473"/>
      <c r="AG285" s="156"/>
      <c r="AH285" s="156"/>
      <c r="AI285" s="156"/>
      <c r="AJ285" s="154"/>
      <c r="AK285" s="473"/>
      <c r="AL285" s="156"/>
      <c r="AM285" s="156"/>
      <c r="AN285" s="156"/>
      <c r="AO285" s="452"/>
      <c r="AP285" s="452"/>
      <c r="AQ285" s="452"/>
      <c r="AR285" s="452"/>
      <c r="AS285" s="452"/>
      <c r="AT285" s="452"/>
      <c r="AU285" s="452"/>
      <c r="AV285" s="452"/>
      <c r="AW285" s="452"/>
      <c r="AX285" s="452"/>
      <c r="AY285" s="154"/>
      <c r="AZ285" s="473"/>
      <c r="BA285" s="156"/>
      <c r="BB285" s="156"/>
      <c r="BC285" s="156"/>
      <c r="BD285" s="452"/>
      <c r="BE285" s="452"/>
      <c r="BF285" s="452"/>
      <c r="BG285" s="452"/>
      <c r="BH285" s="452"/>
    </row>
    <row r="286">
      <c r="A286" s="154"/>
      <c r="B286" s="473"/>
      <c r="C286" s="156"/>
      <c r="D286" s="156"/>
      <c r="E286" s="156"/>
      <c r="F286" s="154"/>
      <c r="G286" s="473"/>
      <c r="H286" s="156"/>
      <c r="I286" s="156"/>
      <c r="J286" s="156"/>
      <c r="K286" s="132"/>
      <c r="L286" s="473"/>
      <c r="M286" s="156"/>
      <c r="N286" s="156"/>
      <c r="O286" s="156"/>
      <c r="P286" s="132"/>
      <c r="Q286" s="487"/>
      <c r="R286" s="156"/>
      <c r="S286" s="156"/>
      <c r="T286" s="156"/>
      <c r="U286" s="154"/>
      <c r="V286" s="473"/>
      <c r="W286" s="156"/>
      <c r="X286" s="156"/>
      <c r="Y286" s="156"/>
      <c r="Z286" s="154"/>
      <c r="AA286" s="473"/>
      <c r="AB286" s="156"/>
      <c r="AC286" s="156"/>
      <c r="AD286" s="156"/>
      <c r="AE286" s="154"/>
      <c r="AF286" s="473"/>
      <c r="AG286" s="156"/>
      <c r="AH286" s="156"/>
      <c r="AI286" s="156"/>
      <c r="AJ286" s="154"/>
      <c r="AK286" s="473"/>
      <c r="AL286" s="156"/>
      <c r="AM286" s="156"/>
      <c r="AN286" s="156"/>
      <c r="AO286" s="452"/>
      <c r="AP286" s="452"/>
      <c r="AQ286" s="452"/>
      <c r="AR286" s="452"/>
      <c r="AS286" s="452"/>
      <c r="AT286" s="452"/>
      <c r="AU286" s="452"/>
      <c r="AV286" s="452"/>
      <c r="AW286" s="452"/>
      <c r="AX286" s="452"/>
      <c r="AY286" s="154"/>
      <c r="AZ286" s="473"/>
      <c r="BA286" s="156"/>
      <c r="BB286" s="156"/>
      <c r="BC286" s="156"/>
      <c r="BD286" s="452"/>
      <c r="BE286" s="452"/>
      <c r="BF286" s="452"/>
      <c r="BG286" s="452"/>
      <c r="BH286" s="452"/>
    </row>
    <row r="287">
      <c r="A287" s="154"/>
      <c r="B287" s="473"/>
      <c r="C287" s="156"/>
      <c r="D287" s="156"/>
      <c r="E287" s="156"/>
      <c r="F287" s="154"/>
      <c r="G287" s="473"/>
      <c r="H287" s="156"/>
      <c r="I287" s="156"/>
      <c r="J287" s="156"/>
      <c r="K287" s="132"/>
      <c r="L287" s="473"/>
      <c r="M287" s="156"/>
      <c r="N287" s="156"/>
      <c r="O287" s="156"/>
      <c r="P287" s="132"/>
      <c r="Q287" s="487"/>
      <c r="R287" s="156"/>
      <c r="S287" s="156"/>
      <c r="T287" s="156"/>
      <c r="U287" s="154"/>
      <c r="V287" s="473"/>
      <c r="W287" s="156"/>
      <c r="X287" s="156"/>
      <c r="Y287" s="156"/>
      <c r="Z287" s="154"/>
      <c r="AA287" s="473"/>
      <c r="AB287" s="156"/>
      <c r="AC287" s="156"/>
      <c r="AD287" s="156"/>
      <c r="AE287" s="154"/>
      <c r="AF287" s="473"/>
      <c r="AG287" s="156"/>
      <c r="AH287" s="156"/>
      <c r="AI287" s="156"/>
      <c r="AJ287" s="154"/>
      <c r="AK287" s="473"/>
      <c r="AL287" s="156"/>
      <c r="AM287" s="156"/>
      <c r="AN287" s="156"/>
      <c r="AO287" s="452"/>
      <c r="AP287" s="452"/>
      <c r="AQ287" s="452"/>
      <c r="AR287" s="452"/>
      <c r="AS287" s="452"/>
      <c r="AT287" s="452"/>
      <c r="AU287" s="452"/>
      <c r="AV287" s="452"/>
      <c r="AW287" s="452"/>
      <c r="AX287" s="452"/>
      <c r="AY287" s="154"/>
      <c r="AZ287" s="473"/>
      <c r="BA287" s="156"/>
      <c r="BB287" s="156"/>
      <c r="BC287" s="156"/>
      <c r="BD287" s="452"/>
      <c r="BE287" s="452"/>
      <c r="BF287" s="452"/>
      <c r="BG287" s="452"/>
      <c r="BH287" s="452"/>
    </row>
    <row r="288">
      <c r="A288" s="154"/>
      <c r="B288" s="473"/>
      <c r="C288" s="156"/>
      <c r="D288" s="156"/>
      <c r="E288" s="156"/>
      <c r="F288" s="154"/>
      <c r="G288" s="473"/>
      <c r="H288" s="156"/>
      <c r="I288" s="156"/>
      <c r="J288" s="156"/>
      <c r="K288" s="132"/>
      <c r="L288" s="473"/>
      <c r="M288" s="156"/>
      <c r="N288" s="156"/>
      <c r="O288" s="156"/>
      <c r="P288" s="132"/>
      <c r="Q288" s="487"/>
      <c r="R288" s="156"/>
      <c r="S288" s="156"/>
      <c r="T288" s="156"/>
      <c r="U288" s="154"/>
      <c r="V288" s="473"/>
      <c r="W288" s="156"/>
      <c r="X288" s="156"/>
      <c r="Y288" s="156"/>
      <c r="Z288" s="154"/>
      <c r="AA288" s="473"/>
      <c r="AB288" s="156"/>
      <c r="AC288" s="156"/>
      <c r="AD288" s="156"/>
      <c r="AE288" s="154"/>
      <c r="AF288" s="473"/>
      <c r="AG288" s="156"/>
      <c r="AH288" s="156"/>
      <c r="AI288" s="156"/>
      <c r="AJ288" s="154"/>
      <c r="AK288" s="473"/>
      <c r="AL288" s="156"/>
      <c r="AM288" s="156"/>
      <c r="AN288" s="156"/>
      <c r="AO288" s="452"/>
      <c r="AP288" s="452"/>
      <c r="AQ288" s="452"/>
      <c r="AR288" s="452"/>
      <c r="AS288" s="452"/>
      <c r="AT288" s="452"/>
      <c r="AU288" s="452"/>
      <c r="AV288" s="452"/>
      <c r="AW288" s="452"/>
      <c r="AX288" s="452"/>
      <c r="AY288" s="154"/>
      <c r="AZ288" s="473"/>
      <c r="BA288" s="156"/>
      <c r="BB288" s="156"/>
      <c r="BC288" s="156"/>
      <c r="BD288" s="452"/>
      <c r="BE288" s="452"/>
      <c r="BF288" s="452"/>
      <c r="BG288" s="452"/>
      <c r="BH288" s="452"/>
    </row>
    <row r="289">
      <c r="A289" s="154"/>
      <c r="B289" s="473"/>
      <c r="C289" s="156"/>
      <c r="D289" s="156"/>
      <c r="E289" s="156"/>
      <c r="F289" s="154"/>
      <c r="G289" s="473"/>
      <c r="H289" s="156"/>
      <c r="I289" s="156"/>
      <c r="J289" s="156"/>
      <c r="K289" s="132"/>
      <c r="L289" s="473"/>
      <c r="M289" s="156"/>
      <c r="N289" s="156"/>
      <c r="O289" s="156"/>
      <c r="P289" s="132"/>
      <c r="Q289" s="487"/>
      <c r="R289" s="156"/>
      <c r="S289" s="156"/>
      <c r="T289" s="156"/>
      <c r="U289" s="154"/>
      <c r="V289" s="473"/>
      <c r="W289" s="156"/>
      <c r="X289" s="156"/>
      <c r="Y289" s="156"/>
      <c r="Z289" s="154"/>
      <c r="AA289" s="473"/>
      <c r="AB289" s="156"/>
      <c r="AC289" s="156"/>
      <c r="AD289" s="156"/>
      <c r="AE289" s="154"/>
      <c r="AF289" s="473"/>
      <c r="AG289" s="156"/>
      <c r="AH289" s="156"/>
      <c r="AI289" s="156"/>
      <c r="AJ289" s="154"/>
      <c r="AK289" s="473"/>
      <c r="AL289" s="156"/>
      <c r="AM289" s="156"/>
      <c r="AN289" s="156"/>
      <c r="AO289" s="452"/>
      <c r="AP289" s="452"/>
      <c r="AQ289" s="452"/>
      <c r="AR289" s="452"/>
      <c r="AS289" s="452"/>
      <c r="AT289" s="452"/>
      <c r="AU289" s="452"/>
      <c r="AV289" s="452"/>
      <c r="AW289" s="452"/>
      <c r="AX289" s="452"/>
      <c r="AY289" s="154"/>
      <c r="AZ289" s="473"/>
      <c r="BA289" s="156"/>
      <c r="BB289" s="156"/>
      <c r="BC289" s="156"/>
      <c r="BD289" s="452"/>
      <c r="BE289" s="452"/>
      <c r="BF289" s="452"/>
      <c r="BG289" s="452"/>
      <c r="BH289" s="452"/>
    </row>
    <row r="290">
      <c r="A290" s="154"/>
      <c r="B290" s="473"/>
      <c r="C290" s="156"/>
      <c r="D290" s="156"/>
      <c r="E290" s="156"/>
      <c r="F290" s="154"/>
      <c r="G290" s="473"/>
      <c r="H290" s="156"/>
      <c r="I290" s="156"/>
      <c r="J290" s="156"/>
      <c r="K290" s="132"/>
      <c r="L290" s="473"/>
      <c r="M290" s="156"/>
      <c r="N290" s="156"/>
      <c r="O290" s="156"/>
      <c r="P290" s="132"/>
      <c r="Q290" s="487"/>
      <c r="R290" s="156"/>
      <c r="S290" s="156"/>
      <c r="T290" s="156"/>
      <c r="U290" s="154"/>
      <c r="V290" s="473"/>
      <c r="W290" s="156"/>
      <c r="X290" s="156"/>
      <c r="Y290" s="156"/>
      <c r="Z290" s="154"/>
      <c r="AA290" s="473"/>
      <c r="AB290" s="156"/>
      <c r="AC290" s="156"/>
      <c r="AD290" s="156"/>
      <c r="AE290" s="154"/>
      <c r="AF290" s="473"/>
      <c r="AG290" s="156"/>
      <c r="AH290" s="156"/>
      <c r="AI290" s="156"/>
      <c r="AJ290" s="154"/>
      <c r="AK290" s="473"/>
      <c r="AL290" s="156"/>
      <c r="AM290" s="156"/>
      <c r="AN290" s="156"/>
      <c r="AO290" s="452"/>
      <c r="AP290" s="452"/>
      <c r="AQ290" s="452"/>
      <c r="AR290" s="452"/>
      <c r="AS290" s="452"/>
      <c r="AT290" s="452"/>
      <c r="AU290" s="452"/>
      <c r="AV290" s="452"/>
      <c r="AW290" s="452"/>
      <c r="AX290" s="452"/>
      <c r="AY290" s="154"/>
      <c r="AZ290" s="473"/>
      <c r="BA290" s="156"/>
      <c r="BB290" s="156"/>
      <c r="BC290" s="156"/>
      <c r="BD290" s="452"/>
      <c r="BE290" s="452"/>
      <c r="BF290" s="452"/>
      <c r="BG290" s="452"/>
      <c r="BH290" s="452"/>
    </row>
    <row r="291">
      <c r="A291" s="154"/>
      <c r="B291" s="473"/>
      <c r="C291" s="156"/>
      <c r="D291" s="156"/>
      <c r="E291" s="156"/>
      <c r="F291" s="154"/>
      <c r="G291" s="473"/>
      <c r="H291" s="156"/>
      <c r="I291" s="156"/>
      <c r="J291" s="156"/>
      <c r="K291" s="132"/>
      <c r="L291" s="473"/>
      <c r="M291" s="156"/>
      <c r="N291" s="156"/>
      <c r="O291" s="156"/>
      <c r="P291" s="132"/>
      <c r="Q291" s="487"/>
      <c r="R291" s="156"/>
      <c r="S291" s="156"/>
      <c r="T291" s="156"/>
      <c r="U291" s="154"/>
      <c r="V291" s="473"/>
      <c r="W291" s="156"/>
      <c r="X291" s="156"/>
      <c r="Y291" s="156"/>
      <c r="Z291" s="154"/>
      <c r="AA291" s="473"/>
      <c r="AB291" s="156"/>
      <c r="AC291" s="156"/>
      <c r="AD291" s="156"/>
      <c r="AE291" s="154"/>
      <c r="AF291" s="473"/>
      <c r="AG291" s="156"/>
      <c r="AH291" s="156"/>
      <c r="AI291" s="156"/>
      <c r="AJ291" s="154"/>
      <c r="AK291" s="473"/>
      <c r="AL291" s="156"/>
      <c r="AM291" s="156"/>
      <c r="AN291" s="156"/>
      <c r="AO291" s="452"/>
      <c r="AP291" s="452"/>
      <c r="AQ291" s="452"/>
      <c r="AR291" s="452"/>
      <c r="AS291" s="452"/>
      <c r="AT291" s="452"/>
      <c r="AU291" s="452"/>
      <c r="AV291" s="452"/>
      <c r="AW291" s="452"/>
      <c r="AX291" s="452"/>
      <c r="AY291" s="154"/>
      <c r="AZ291" s="473"/>
      <c r="BA291" s="156"/>
      <c r="BB291" s="156"/>
      <c r="BC291" s="156"/>
      <c r="BD291" s="452"/>
      <c r="BE291" s="452"/>
      <c r="BF291" s="452"/>
      <c r="BG291" s="452"/>
      <c r="BH291" s="452"/>
    </row>
    <row r="292">
      <c r="A292" s="154"/>
      <c r="B292" s="473"/>
      <c r="C292" s="156"/>
      <c r="D292" s="156"/>
      <c r="E292" s="156"/>
      <c r="F292" s="154"/>
      <c r="G292" s="473"/>
      <c r="H292" s="156"/>
      <c r="I292" s="156"/>
      <c r="J292" s="156"/>
      <c r="K292" s="132"/>
      <c r="L292" s="473"/>
      <c r="M292" s="156"/>
      <c r="N292" s="156"/>
      <c r="O292" s="156"/>
      <c r="P292" s="132"/>
      <c r="Q292" s="487"/>
      <c r="R292" s="156"/>
      <c r="S292" s="156"/>
      <c r="T292" s="156"/>
      <c r="U292" s="154"/>
      <c r="V292" s="473"/>
      <c r="W292" s="156"/>
      <c r="X292" s="156"/>
      <c r="Y292" s="156"/>
      <c r="Z292" s="154"/>
      <c r="AA292" s="473"/>
      <c r="AB292" s="156"/>
      <c r="AC292" s="156"/>
      <c r="AD292" s="156"/>
      <c r="AE292" s="154"/>
      <c r="AF292" s="473"/>
      <c r="AG292" s="156"/>
      <c r="AH292" s="156"/>
      <c r="AI292" s="156"/>
      <c r="AJ292" s="154"/>
      <c r="AK292" s="473"/>
      <c r="AL292" s="156"/>
      <c r="AM292" s="156"/>
      <c r="AN292" s="156"/>
      <c r="AO292" s="452"/>
      <c r="AP292" s="452"/>
      <c r="AQ292" s="452"/>
      <c r="AR292" s="452"/>
      <c r="AS292" s="452"/>
      <c r="AT292" s="452"/>
      <c r="AU292" s="452"/>
      <c r="AV292" s="452"/>
      <c r="AW292" s="452"/>
      <c r="AX292" s="452"/>
      <c r="AY292" s="154"/>
      <c r="AZ292" s="473"/>
      <c r="BA292" s="156"/>
      <c r="BB292" s="156"/>
      <c r="BC292" s="156"/>
      <c r="BD292" s="452"/>
      <c r="BE292" s="452"/>
      <c r="BF292" s="452"/>
      <c r="BG292" s="452"/>
      <c r="BH292" s="452"/>
    </row>
    <row r="293">
      <c r="A293" s="154"/>
      <c r="B293" s="473"/>
      <c r="C293" s="156"/>
      <c r="D293" s="156"/>
      <c r="E293" s="156"/>
      <c r="F293" s="154"/>
      <c r="G293" s="473"/>
      <c r="H293" s="156"/>
      <c r="I293" s="156"/>
      <c r="J293" s="156"/>
      <c r="K293" s="132"/>
      <c r="L293" s="473"/>
      <c r="M293" s="156"/>
      <c r="N293" s="156"/>
      <c r="O293" s="156"/>
      <c r="P293" s="132"/>
      <c r="Q293" s="487"/>
      <c r="R293" s="156"/>
      <c r="S293" s="156"/>
      <c r="T293" s="156"/>
      <c r="U293" s="154"/>
      <c r="V293" s="473"/>
      <c r="W293" s="156"/>
      <c r="X293" s="156"/>
      <c r="Y293" s="156"/>
      <c r="Z293" s="154"/>
      <c r="AA293" s="473"/>
      <c r="AB293" s="156"/>
      <c r="AC293" s="156"/>
      <c r="AD293" s="156"/>
      <c r="AE293" s="154"/>
      <c r="AF293" s="473"/>
      <c r="AG293" s="156"/>
      <c r="AH293" s="156"/>
      <c r="AI293" s="156"/>
      <c r="AJ293" s="154"/>
      <c r="AK293" s="473"/>
      <c r="AL293" s="156"/>
      <c r="AM293" s="156"/>
      <c r="AN293" s="156"/>
      <c r="AO293" s="452"/>
      <c r="AP293" s="452"/>
      <c r="AQ293" s="452"/>
      <c r="AR293" s="452"/>
      <c r="AS293" s="452"/>
      <c r="AT293" s="452"/>
      <c r="AU293" s="452"/>
      <c r="AV293" s="452"/>
      <c r="AW293" s="452"/>
      <c r="AX293" s="452"/>
      <c r="AY293" s="154"/>
      <c r="AZ293" s="473"/>
      <c r="BA293" s="156"/>
      <c r="BB293" s="156"/>
      <c r="BC293" s="156"/>
      <c r="BD293" s="452"/>
      <c r="BE293" s="452"/>
      <c r="BF293" s="452"/>
      <c r="BG293" s="452"/>
      <c r="BH293" s="452"/>
    </row>
    <row r="294">
      <c r="A294" s="154"/>
      <c r="B294" s="473"/>
      <c r="C294" s="156"/>
      <c r="D294" s="156"/>
      <c r="E294" s="156"/>
      <c r="F294" s="154"/>
      <c r="G294" s="473"/>
      <c r="H294" s="156"/>
      <c r="I294" s="156"/>
      <c r="J294" s="156"/>
      <c r="K294" s="132"/>
      <c r="L294" s="473"/>
      <c r="M294" s="156"/>
      <c r="N294" s="156"/>
      <c r="O294" s="156"/>
      <c r="P294" s="132"/>
      <c r="Q294" s="487"/>
      <c r="R294" s="156"/>
      <c r="S294" s="156"/>
      <c r="T294" s="156"/>
      <c r="U294" s="154"/>
      <c r="V294" s="473"/>
      <c r="W294" s="156"/>
      <c r="X294" s="156"/>
      <c r="Y294" s="156"/>
      <c r="Z294" s="154"/>
      <c r="AA294" s="473"/>
      <c r="AB294" s="156"/>
      <c r="AC294" s="156"/>
      <c r="AD294" s="156"/>
      <c r="AE294" s="154"/>
      <c r="AF294" s="473"/>
      <c r="AG294" s="156"/>
      <c r="AH294" s="156"/>
      <c r="AI294" s="156"/>
      <c r="AJ294" s="154"/>
      <c r="AK294" s="473"/>
      <c r="AL294" s="156"/>
      <c r="AM294" s="156"/>
      <c r="AN294" s="156"/>
      <c r="AO294" s="452"/>
      <c r="AP294" s="452"/>
      <c r="AQ294" s="452"/>
      <c r="AR294" s="452"/>
      <c r="AS294" s="452"/>
      <c r="AT294" s="452"/>
      <c r="AU294" s="452"/>
      <c r="AV294" s="452"/>
      <c r="AW294" s="452"/>
      <c r="AX294" s="452"/>
      <c r="AY294" s="154"/>
      <c r="AZ294" s="473"/>
      <c r="BA294" s="156"/>
      <c r="BB294" s="156"/>
      <c r="BC294" s="156"/>
      <c r="BD294" s="452"/>
      <c r="BE294" s="452"/>
      <c r="BF294" s="452"/>
      <c r="BG294" s="452"/>
      <c r="BH294" s="452"/>
    </row>
    <row r="295">
      <c r="A295" s="154"/>
      <c r="B295" s="473"/>
      <c r="C295" s="156"/>
      <c r="D295" s="156"/>
      <c r="E295" s="156"/>
      <c r="F295" s="154"/>
      <c r="G295" s="473"/>
      <c r="H295" s="156"/>
      <c r="I295" s="156"/>
      <c r="J295" s="156"/>
      <c r="K295" s="132"/>
      <c r="L295" s="473"/>
      <c r="M295" s="156"/>
      <c r="N295" s="156"/>
      <c r="O295" s="156"/>
      <c r="P295" s="132"/>
      <c r="Q295" s="487"/>
      <c r="R295" s="156"/>
      <c r="S295" s="156"/>
      <c r="T295" s="156"/>
      <c r="U295" s="154"/>
      <c r="V295" s="473"/>
      <c r="W295" s="156"/>
      <c r="X295" s="156"/>
      <c r="Y295" s="156"/>
      <c r="Z295" s="154"/>
      <c r="AA295" s="473"/>
      <c r="AB295" s="156"/>
      <c r="AC295" s="156"/>
      <c r="AD295" s="156"/>
      <c r="AE295" s="154"/>
      <c r="AF295" s="473"/>
      <c r="AG295" s="156"/>
      <c r="AH295" s="156"/>
      <c r="AI295" s="156"/>
      <c r="AJ295" s="154"/>
      <c r="AK295" s="473"/>
      <c r="AL295" s="156"/>
      <c r="AM295" s="156"/>
      <c r="AN295" s="156"/>
      <c r="AO295" s="452"/>
      <c r="AP295" s="452"/>
      <c r="AQ295" s="452"/>
      <c r="AR295" s="452"/>
      <c r="AS295" s="452"/>
      <c r="AT295" s="452"/>
      <c r="AU295" s="452"/>
      <c r="AV295" s="452"/>
      <c r="AW295" s="452"/>
      <c r="AX295" s="452"/>
      <c r="AY295" s="154"/>
      <c r="AZ295" s="473"/>
      <c r="BA295" s="156"/>
      <c r="BB295" s="156"/>
      <c r="BC295" s="156"/>
      <c r="BD295" s="452"/>
      <c r="BE295" s="452"/>
      <c r="BF295" s="452"/>
      <c r="BG295" s="452"/>
      <c r="BH295" s="452"/>
    </row>
    <row r="296">
      <c r="A296" s="154"/>
      <c r="B296" s="473"/>
      <c r="C296" s="156"/>
      <c r="D296" s="156"/>
      <c r="E296" s="156"/>
      <c r="F296" s="154"/>
      <c r="G296" s="473"/>
      <c r="H296" s="156"/>
      <c r="I296" s="156"/>
      <c r="J296" s="156"/>
      <c r="K296" s="132"/>
      <c r="L296" s="473"/>
      <c r="M296" s="156"/>
      <c r="N296" s="156"/>
      <c r="O296" s="156"/>
      <c r="P296" s="132"/>
      <c r="Q296" s="487"/>
      <c r="R296" s="156"/>
      <c r="S296" s="156"/>
      <c r="T296" s="156"/>
      <c r="U296" s="154"/>
      <c r="V296" s="473"/>
      <c r="W296" s="156"/>
      <c r="X296" s="156"/>
      <c r="Y296" s="156"/>
      <c r="Z296" s="154"/>
      <c r="AA296" s="473"/>
      <c r="AB296" s="156"/>
      <c r="AC296" s="156"/>
      <c r="AD296" s="156"/>
      <c r="AE296" s="154"/>
      <c r="AF296" s="473"/>
      <c r="AG296" s="156"/>
      <c r="AH296" s="156"/>
      <c r="AI296" s="156"/>
      <c r="AJ296" s="154"/>
      <c r="AK296" s="473"/>
      <c r="AL296" s="156"/>
      <c r="AM296" s="156"/>
      <c r="AN296" s="156"/>
      <c r="AO296" s="452"/>
      <c r="AP296" s="452"/>
      <c r="AQ296" s="452"/>
      <c r="AR296" s="452"/>
      <c r="AS296" s="452"/>
      <c r="AT296" s="452"/>
      <c r="AU296" s="452"/>
      <c r="AV296" s="452"/>
      <c r="AW296" s="452"/>
      <c r="AX296" s="452"/>
      <c r="AY296" s="154"/>
      <c r="AZ296" s="473"/>
      <c r="BA296" s="156"/>
      <c r="BB296" s="156"/>
      <c r="BC296" s="156"/>
      <c r="BD296" s="452"/>
      <c r="BE296" s="452"/>
      <c r="BF296" s="452"/>
      <c r="BG296" s="452"/>
      <c r="BH296" s="452"/>
    </row>
    <row r="297">
      <c r="A297" s="154"/>
      <c r="B297" s="473"/>
      <c r="C297" s="156"/>
      <c r="D297" s="156"/>
      <c r="E297" s="156"/>
      <c r="F297" s="154"/>
      <c r="G297" s="473"/>
      <c r="H297" s="156"/>
      <c r="I297" s="156"/>
      <c r="J297" s="156"/>
      <c r="K297" s="132"/>
      <c r="L297" s="473"/>
      <c r="M297" s="156"/>
      <c r="N297" s="156"/>
      <c r="O297" s="156"/>
      <c r="P297" s="132"/>
      <c r="Q297" s="487"/>
      <c r="R297" s="156"/>
      <c r="S297" s="156"/>
      <c r="T297" s="156"/>
      <c r="U297" s="154"/>
      <c r="V297" s="473"/>
      <c r="W297" s="156"/>
      <c r="X297" s="156"/>
      <c r="Y297" s="156"/>
      <c r="Z297" s="154"/>
      <c r="AA297" s="473"/>
      <c r="AB297" s="156"/>
      <c r="AC297" s="156"/>
      <c r="AD297" s="156"/>
      <c r="AE297" s="154"/>
      <c r="AF297" s="473"/>
      <c r="AG297" s="156"/>
      <c r="AH297" s="156"/>
      <c r="AI297" s="156"/>
      <c r="AJ297" s="154"/>
      <c r="AK297" s="473"/>
      <c r="AL297" s="156"/>
      <c r="AM297" s="156"/>
      <c r="AN297" s="156"/>
      <c r="AO297" s="452"/>
      <c r="AP297" s="452"/>
      <c r="AQ297" s="452"/>
      <c r="AR297" s="452"/>
      <c r="AS297" s="452"/>
      <c r="AT297" s="452"/>
      <c r="AU297" s="452"/>
      <c r="AV297" s="452"/>
      <c r="AW297" s="452"/>
      <c r="AX297" s="452"/>
      <c r="AY297" s="154"/>
      <c r="AZ297" s="473"/>
      <c r="BA297" s="156"/>
      <c r="BB297" s="156"/>
      <c r="BC297" s="156"/>
      <c r="BD297" s="452"/>
      <c r="BE297" s="452"/>
      <c r="BF297" s="452"/>
      <c r="BG297" s="452"/>
      <c r="BH297" s="452"/>
    </row>
    <row r="298">
      <c r="A298" s="154"/>
      <c r="B298" s="473"/>
      <c r="C298" s="156"/>
      <c r="D298" s="156"/>
      <c r="E298" s="156"/>
      <c r="F298" s="154"/>
      <c r="G298" s="473"/>
      <c r="H298" s="156"/>
      <c r="I298" s="156"/>
      <c r="J298" s="156"/>
      <c r="K298" s="132"/>
      <c r="L298" s="473"/>
      <c r="M298" s="156"/>
      <c r="N298" s="156"/>
      <c r="O298" s="156"/>
      <c r="P298" s="132"/>
      <c r="Q298" s="487"/>
      <c r="R298" s="156"/>
      <c r="S298" s="156"/>
      <c r="T298" s="156"/>
      <c r="U298" s="154"/>
      <c r="V298" s="473"/>
      <c r="W298" s="156"/>
      <c r="X298" s="156"/>
      <c r="Y298" s="156"/>
      <c r="Z298" s="154"/>
      <c r="AA298" s="473"/>
      <c r="AB298" s="156"/>
      <c r="AC298" s="156"/>
      <c r="AD298" s="156"/>
      <c r="AE298" s="154"/>
      <c r="AF298" s="473"/>
      <c r="AG298" s="156"/>
      <c r="AH298" s="156"/>
      <c r="AI298" s="156"/>
      <c r="AJ298" s="154"/>
      <c r="AK298" s="473"/>
      <c r="AL298" s="156"/>
      <c r="AM298" s="156"/>
      <c r="AN298" s="156"/>
      <c r="AO298" s="452"/>
      <c r="AP298" s="452"/>
      <c r="AQ298" s="452"/>
      <c r="AR298" s="452"/>
      <c r="AS298" s="452"/>
      <c r="AT298" s="452"/>
      <c r="AU298" s="452"/>
      <c r="AV298" s="452"/>
      <c r="AW298" s="452"/>
      <c r="AX298" s="452"/>
      <c r="AY298" s="154"/>
      <c r="AZ298" s="473"/>
      <c r="BA298" s="156"/>
      <c r="BB298" s="156"/>
      <c r="BC298" s="156"/>
      <c r="BD298" s="452"/>
      <c r="BE298" s="452"/>
      <c r="BF298" s="452"/>
      <c r="BG298" s="452"/>
      <c r="BH298" s="452"/>
    </row>
    <row r="299">
      <c r="A299" s="154"/>
      <c r="B299" s="473"/>
      <c r="C299" s="156"/>
      <c r="D299" s="156"/>
      <c r="E299" s="156"/>
      <c r="F299" s="154"/>
      <c r="G299" s="473"/>
      <c r="H299" s="156"/>
      <c r="I299" s="156"/>
      <c r="J299" s="156"/>
      <c r="K299" s="132"/>
      <c r="L299" s="473"/>
      <c r="M299" s="156"/>
      <c r="N299" s="156"/>
      <c r="O299" s="156"/>
      <c r="P299" s="132"/>
      <c r="Q299" s="487"/>
      <c r="R299" s="156"/>
      <c r="S299" s="156"/>
      <c r="T299" s="156"/>
      <c r="U299" s="154"/>
      <c r="V299" s="473"/>
      <c r="W299" s="156"/>
      <c r="X299" s="156"/>
      <c r="Y299" s="156"/>
      <c r="Z299" s="154"/>
      <c r="AA299" s="473"/>
      <c r="AB299" s="156"/>
      <c r="AC299" s="156"/>
      <c r="AD299" s="156"/>
      <c r="AE299" s="154"/>
      <c r="AF299" s="473"/>
      <c r="AG299" s="156"/>
      <c r="AH299" s="156"/>
      <c r="AI299" s="156"/>
      <c r="AJ299" s="154"/>
      <c r="AK299" s="473"/>
      <c r="AL299" s="156"/>
      <c r="AM299" s="156"/>
      <c r="AN299" s="156"/>
      <c r="AO299" s="452"/>
      <c r="AP299" s="452"/>
      <c r="AQ299" s="452"/>
      <c r="AR299" s="452"/>
      <c r="AS299" s="452"/>
      <c r="AT299" s="452"/>
      <c r="AU299" s="452"/>
      <c r="AV299" s="452"/>
      <c r="AW299" s="452"/>
      <c r="AX299" s="452"/>
      <c r="AY299" s="154"/>
      <c r="AZ299" s="473"/>
      <c r="BA299" s="156"/>
      <c r="BB299" s="156"/>
      <c r="BC299" s="156"/>
      <c r="BD299" s="452"/>
      <c r="BE299" s="452"/>
      <c r="BF299" s="452"/>
      <c r="BG299" s="452"/>
      <c r="BH299" s="452"/>
    </row>
    <row r="300">
      <c r="A300" s="154"/>
      <c r="B300" s="473"/>
      <c r="C300" s="156"/>
      <c r="D300" s="156"/>
      <c r="E300" s="156"/>
      <c r="F300" s="154"/>
      <c r="G300" s="473"/>
      <c r="H300" s="156"/>
      <c r="I300" s="156"/>
      <c r="J300" s="156"/>
      <c r="K300" s="132"/>
      <c r="L300" s="473"/>
      <c r="M300" s="156"/>
      <c r="N300" s="156"/>
      <c r="O300" s="156"/>
      <c r="P300" s="132"/>
      <c r="Q300" s="487"/>
      <c r="R300" s="156"/>
      <c r="S300" s="156"/>
      <c r="T300" s="156"/>
      <c r="U300" s="154"/>
      <c r="V300" s="473"/>
      <c r="W300" s="156"/>
      <c r="X300" s="156"/>
      <c r="Y300" s="156"/>
      <c r="Z300" s="154"/>
      <c r="AA300" s="473"/>
      <c r="AB300" s="156"/>
      <c r="AC300" s="156"/>
      <c r="AD300" s="156"/>
      <c r="AE300" s="154"/>
      <c r="AF300" s="473"/>
      <c r="AG300" s="156"/>
      <c r="AH300" s="156"/>
      <c r="AI300" s="156"/>
      <c r="AJ300" s="154"/>
      <c r="AK300" s="473"/>
      <c r="AL300" s="156"/>
      <c r="AM300" s="156"/>
      <c r="AN300" s="156"/>
      <c r="AO300" s="452"/>
      <c r="AP300" s="452"/>
      <c r="AQ300" s="452"/>
      <c r="AR300" s="452"/>
      <c r="AS300" s="452"/>
      <c r="AT300" s="452"/>
      <c r="AU300" s="452"/>
      <c r="AV300" s="452"/>
      <c r="AW300" s="452"/>
      <c r="AX300" s="452"/>
      <c r="AY300" s="154"/>
      <c r="AZ300" s="473"/>
      <c r="BA300" s="156"/>
      <c r="BB300" s="156"/>
      <c r="BC300" s="156"/>
      <c r="BD300" s="452"/>
      <c r="BE300" s="452"/>
      <c r="BF300" s="452"/>
      <c r="BG300" s="452"/>
      <c r="BH300" s="452"/>
    </row>
    <row r="301">
      <c r="A301" s="154"/>
      <c r="B301" s="473"/>
      <c r="C301" s="156"/>
      <c r="D301" s="156"/>
      <c r="E301" s="156"/>
      <c r="F301" s="154"/>
      <c r="G301" s="473"/>
      <c r="H301" s="156"/>
      <c r="I301" s="156"/>
      <c r="J301" s="156"/>
      <c r="K301" s="132"/>
      <c r="L301" s="473"/>
      <c r="M301" s="156"/>
      <c r="N301" s="156"/>
      <c r="O301" s="156"/>
      <c r="P301" s="132"/>
      <c r="Q301" s="487"/>
      <c r="R301" s="156"/>
      <c r="S301" s="156"/>
      <c r="T301" s="156"/>
      <c r="U301" s="154"/>
      <c r="V301" s="473"/>
      <c r="W301" s="156"/>
      <c r="X301" s="156"/>
      <c r="Y301" s="156"/>
      <c r="Z301" s="154"/>
      <c r="AA301" s="473"/>
      <c r="AB301" s="156"/>
      <c r="AC301" s="156"/>
      <c r="AD301" s="156"/>
      <c r="AE301" s="154"/>
      <c r="AF301" s="473"/>
      <c r="AG301" s="156"/>
      <c r="AH301" s="156"/>
      <c r="AI301" s="156"/>
      <c r="AJ301" s="154"/>
      <c r="AK301" s="473"/>
      <c r="AL301" s="156"/>
      <c r="AM301" s="156"/>
      <c r="AN301" s="156"/>
      <c r="AO301" s="452"/>
      <c r="AP301" s="452"/>
      <c r="AQ301" s="452"/>
      <c r="AR301" s="452"/>
      <c r="AS301" s="452"/>
      <c r="AT301" s="452"/>
      <c r="AU301" s="452"/>
      <c r="AV301" s="452"/>
      <c r="AW301" s="452"/>
      <c r="AX301" s="452"/>
      <c r="AY301" s="154"/>
      <c r="AZ301" s="473"/>
      <c r="BA301" s="156"/>
      <c r="BB301" s="156"/>
      <c r="BC301" s="156"/>
      <c r="BD301" s="452"/>
      <c r="BE301" s="452"/>
      <c r="BF301" s="452"/>
      <c r="BG301" s="452"/>
      <c r="BH301" s="452"/>
    </row>
    <row r="302">
      <c r="A302" s="154"/>
      <c r="B302" s="473"/>
      <c r="C302" s="156"/>
      <c r="D302" s="156"/>
      <c r="E302" s="156"/>
      <c r="F302" s="154"/>
      <c r="G302" s="473"/>
      <c r="H302" s="156"/>
      <c r="I302" s="156"/>
      <c r="J302" s="156"/>
      <c r="K302" s="132"/>
      <c r="L302" s="473"/>
      <c r="M302" s="156"/>
      <c r="N302" s="156"/>
      <c r="O302" s="156"/>
      <c r="P302" s="132"/>
      <c r="Q302" s="487"/>
      <c r="R302" s="156"/>
      <c r="S302" s="156"/>
      <c r="T302" s="156"/>
      <c r="U302" s="154"/>
      <c r="V302" s="473"/>
      <c r="W302" s="156"/>
      <c r="X302" s="156"/>
      <c r="Y302" s="156"/>
      <c r="Z302" s="154"/>
      <c r="AA302" s="473"/>
      <c r="AB302" s="156"/>
      <c r="AC302" s="156"/>
      <c r="AD302" s="156"/>
      <c r="AE302" s="154"/>
      <c r="AF302" s="473"/>
      <c r="AG302" s="156"/>
      <c r="AH302" s="156"/>
      <c r="AI302" s="156"/>
      <c r="AJ302" s="154"/>
      <c r="AK302" s="473"/>
      <c r="AL302" s="156"/>
      <c r="AM302" s="156"/>
      <c r="AN302" s="156"/>
      <c r="AO302" s="452"/>
      <c r="AP302" s="452"/>
      <c r="AQ302" s="452"/>
      <c r="AR302" s="452"/>
      <c r="AS302" s="452"/>
      <c r="AT302" s="452"/>
      <c r="AU302" s="452"/>
      <c r="AV302" s="452"/>
      <c r="AW302" s="452"/>
      <c r="AX302" s="452"/>
      <c r="AY302" s="154"/>
      <c r="AZ302" s="473"/>
      <c r="BA302" s="156"/>
      <c r="BB302" s="156"/>
      <c r="BC302" s="156"/>
      <c r="BD302" s="452"/>
      <c r="BE302" s="452"/>
      <c r="BF302" s="452"/>
      <c r="BG302" s="452"/>
      <c r="BH302" s="452"/>
    </row>
    <row r="303">
      <c r="A303" s="154"/>
      <c r="B303" s="473"/>
      <c r="C303" s="156"/>
      <c r="D303" s="156"/>
      <c r="E303" s="156"/>
      <c r="F303" s="154"/>
      <c r="G303" s="473"/>
      <c r="H303" s="156"/>
      <c r="I303" s="156"/>
      <c r="J303" s="156"/>
      <c r="K303" s="132"/>
      <c r="L303" s="473"/>
      <c r="M303" s="156"/>
      <c r="N303" s="156"/>
      <c r="O303" s="156"/>
      <c r="P303" s="132"/>
      <c r="Q303" s="487"/>
      <c r="R303" s="156"/>
      <c r="S303" s="156"/>
      <c r="T303" s="156"/>
      <c r="U303" s="154"/>
      <c r="V303" s="473"/>
      <c r="W303" s="156"/>
      <c r="X303" s="156"/>
      <c r="Y303" s="156"/>
      <c r="Z303" s="154"/>
      <c r="AA303" s="473"/>
      <c r="AB303" s="156"/>
      <c r="AC303" s="156"/>
      <c r="AD303" s="156"/>
      <c r="AE303" s="154"/>
      <c r="AF303" s="473"/>
      <c r="AG303" s="156"/>
      <c r="AH303" s="156"/>
      <c r="AI303" s="156"/>
      <c r="AJ303" s="154"/>
      <c r="AK303" s="473"/>
      <c r="AL303" s="156"/>
      <c r="AM303" s="156"/>
      <c r="AN303" s="156"/>
      <c r="AO303" s="452"/>
      <c r="AP303" s="452"/>
      <c r="AQ303" s="452"/>
      <c r="AR303" s="452"/>
      <c r="AS303" s="452"/>
      <c r="AT303" s="452"/>
      <c r="AU303" s="452"/>
      <c r="AV303" s="452"/>
      <c r="AW303" s="452"/>
      <c r="AX303" s="452"/>
      <c r="AY303" s="154"/>
      <c r="AZ303" s="473"/>
      <c r="BA303" s="156"/>
      <c r="BB303" s="156"/>
      <c r="BC303" s="156"/>
      <c r="BD303" s="452"/>
      <c r="BE303" s="452"/>
      <c r="BF303" s="452"/>
      <c r="BG303" s="452"/>
      <c r="BH303" s="452"/>
    </row>
    <row r="304">
      <c r="A304" s="154"/>
      <c r="B304" s="473"/>
      <c r="C304" s="156"/>
      <c r="D304" s="156"/>
      <c r="E304" s="156"/>
      <c r="F304" s="154"/>
      <c r="G304" s="473"/>
      <c r="H304" s="156"/>
      <c r="I304" s="156"/>
      <c r="J304" s="156"/>
      <c r="K304" s="132"/>
      <c r="L304" s="473"/>
      <c r="M304" s="156"/>
      <c r="N304" s="156"/>
      <c r="O304" s="156"/>
      <c r="P304" s="132"/>
      <c r="Q304" s="487"/>
      <c r="R304" s="156"/>
      <c r="S304" s="156"/>
      <c r="T304" s="156"/>
      <c r="U304" s="154"/>
      <c r="V304" s="473"/>
      <c r="W304" s="156"/>
      <c r="X304" s="156"/>
      <c r="Y304" s="156"/>
      <c r="Z304" s="154"/>
      <c r="AA304" s="473"/>
      <c r="AB304" s="156"/>
      <c r="AC304" s="156"/>
      <c r="AD304" s="156"/>
      <c r="AE304" s="154"/>
      <c r="AF304" s="473"/>
      <c r="AG304" s="156"/>
      <c r="AH304" s="156"/>
      <c r="AI304" s="156"/>
      <c r="AJ304" s="154"/>
      <c r="AK304" s="473"/>
      <c r="AL304" s="156"/>
      <c r="AM304" s="156"/>
      <c r="AN304" s="156"/>
      <c r="AO304" s="452"/>
      <c r="AP304" s="452"/>
      <c r="AQ304" s="452"/>
      <c r="AR304" s="452"/>
      <c r="AS304" s="452"/>
      <c r="AT304" s="452"/>
      <c r="AU304" s="452"/>
      <c r="AV304" s="452"/>
      <c r="AW304" s="452"/>
      <c r="AX304" s="452"/>
      <c r="AY304" s="154"/>
      <c r="AZ304" s="473"/>
      <c r="BA304" s="156"/>
      <c r="BB304" s="156"/>
      <c r="BC304" s="156"/>
      <c r="BD304" s="452"/>
      <c r="BE304" s="452"/>
      <c r="BF304" s="452"/>
      <c r="BG304" s="452"/>
      <c r="BH304" s="452"/>
    </row>
    <row r="305">
      <c r="A305" s="154"/>
      <c r="B305" s="473"/>
      <c r="C305" s="156"/>
      <c r="D305" s="156"/>
      <c r="E305" s="156"/>
      <c r="F305" s="154"/>
      <c r="G305" s="473"/>
      <c r="H305" s="156"/>
      <c r="I305" s="156"/>
      <c r="J305" s="156"/>
      <c r="K305" s="132"/>
      <c r="L305" s="473"/>
      <c r="M305" s="156"/>
      <c r="N305" s="156"/>
      <c r="O305" s="156"/>
      <c r="P305" s="132"/>
      <c r="Q305" s="487"/>
      <c r="R305" s="156"/>
      <c r="S305" s="156"/>
      <c r="T305" s="156"/>
      <c r="U305" s="154"/>
      <c r="V305" s="473"/>
      <c r="W305" s="156"/>
      <c r="X305" s="156"/>
      <c r="Y305" s="156"/>
      <c r="Z305" s="154"/>
      <c r="AA305" s="473"/>
      <c r="AB305" s="156"/>
      <c r="AC305" s="156"/>
      <c r="AD305" s="156"/>
      <c r="AE305" s="154"/>
      <c r="AF305" s="473"/>
      <c r="AG305" s="156"/>
      <c r="AH305" s="156"/>
      <c r="AI305" s="156"/>
      <c r="AJ305" s="154"/>
      <c r="AK305" s="473"/>
      <c r="AL305" s="156"/>
      <c r="AM305" s="156"/>
      <c r="AN305" s="156"/>
      <c r="AO305" s="452"/>
      <c r="AP305" s="452"/>
      <c r="AQ305" s="452"/>
      <c r="AR305" s="452"/>
      <c r="AS305" s="452"/>
      <c r="AT305" s="452"/>
      <c r="AU305" s="452"/>
      <c r="AV305" s="452"/>
      <c r="AW305" s="452"/>
      <c r="AX305" s="452"/>
      <c r="AY305" s="154"/>
      <c r="AZ305" s="473"/>
      <c r="BA305" s="156"/>
      <c r="BB305" s="156"/>
      <c r="BC305" s="156"/>
      <c r="BD305" s="452"/>
      <c r="BE305" s="452"/>
      <c r="BF305" s="452"/>
      <c r="BG305" s="452"/>
      <c r="BH305" s="452"/>
    </row>
    <row r="306">
      <c r="A306" s="154"/>
      <c r="B306" s="473"/>
      <c r="C306" s="156"/>
      <c r="D306" s="156"/>
      <c r="E306" s="156"/>
      <c r="F306" s="154"/>
      <c r="G306" s="473"/>
      <c r="H306" s="156"/>
      <c r="I306" s="156"/>
      <c r="J306" s="156"/>
      <c r="K306" s="132"/>
      <c r="L306" s="473"/>
      <c r="M306" s="156"/>
      <c r="N306" s="156"/>
      <c r="O306" s="156"/>
      <c r="P306" s="132"/>
      <c r="Q306" s="487"/>
      <c r="R306" s="156"/>
      <c r="S306" s="156"/>
      <c r="T306" s="156"/>
      <c r="U306" s="154"/>
      <c r="V306" s="473"/>
      <c r="W306" s="156"/>
      <c r="X306" s="156"/>
      <c r="Y306" s="156"/>
      <c r="Z306" s="154"/>
      <c r="AA306" s="473"/>
      <c r="AB306" s="156"/>
      <c r="AC306" s="156"/>
      <c r="AD306" s="156"/>
      <c r="AE306" s="154"/>
      <c r="AF306" s="473"/>
      <c r="AG306" s="156"/>
      <c r="AH306" s="156"/>
      <c r="AI306" s="156"/>
      <c r="AJ306" s="154"/>
      <c r="AK306" s="473"/>
      <c r="AL306" s="156"/>
      <c r="AM306" s="156"/>
      <c r="AN306" s="156"/>
      <c r="AO306" s="452"/>
      <c r="AP306" s="452"/>
      <c r="AQ306" s="452"/>
      <c r="AR306" s="452"/>
      <c r="AS306" s="452"/>
      <c r="AT306" s="452"/>
      <c r="AU306" s="452"/>
      <c r="AV306" s="452"/>
      <c r="AW306" s="452"/>
      <c r="AX306" s="452"/>
      <c r="AY306" s="154"/>
      <c r="AZ306" s="473"/>
      <c r="BA306" s="156"/>
      <c r="BB306" s="156"/>
      <c r="BC306" s="156"/>
      <c r="BD306" s="452"/>
      <c r="BE306" s="452"/>
      <c r="BF306" s="452"/>
      <c r="BG306" s="452"/>
      <c r="BH306" s="452"/>
    </row>
    <row r="307">
      <c r="A307" s="154"/>
      <c r="B307" s="473"/>
      <c r="C307" s="156"/>
      <c r="D307" s="156"/>
      <c r="E307" s="156"/>
      <c r="F307" s="154"/>
      <c r="G307" s="473"/>
      <c r="H307" s="156"/>
      <c r="I307" s="156"/>
      <c r="J307" s="156"/>
      <c r="K307" s="132"/>
      <c r="L307" s="473"/>
      <c r="M307" s="156"/>
      <c r="N307" s="156"/>
      <c r="O307" s="156"/>
      <c r="P307" s="132"/>
      <c r="Q307" s="487"/>
      <c r="R307" s="156"/>
      <c r="S307" s="156"/>
      <c r="T307" s="156"/>
      <c r="U307" s="154"/>
      <c r="V307" s="473"/>
      <c r="W307" s="156"/>
      <c r="X307" s="156"/>
      <c r="Y307" s="156"/>
      <c r="Z307" s="154"/>
      <c r="AA307" s="473"/>
      <c r="AB307" s="156"/>
      <c r="AC307" s="156"/>
      <c r="AD307" s="156"/>
      <c r="AE307" s="154"/>
      <c r="AF307" s="473"/>
      <c r="AG307" s="156"/>
      <c r="AH307" s="156"/>
      <c r="AI307" s="156"/>
      <c r="AJ307" s="154"/>
      <c r="AK307" s="473"/>
      <c r="AL307" s="156"/>
      <c r="AM307" s="156"/>
      <c r="AN307" s="156"/>
      <c r="AO307" s="452"/>
      <c r="AP307" s="452"/>
      <c r="AQ307" s="452"/>
      <c r="AR307" s="452"/>
      <c r="AS307" s="452"/>
      <c r="AT307" s="452"/>
      <c r="AU307" s="452"/>
      <c r="AV307" s="452"/>
      <c r="AW307" s="452"/>
      <c r="AX307" s="452"/>
      <c r="AY307" s="154"/>
      <c r="AZ307" s="473"/>
      <c r="BA307" s="156"/>
      <c r="BB307" s="156"/>
      <c r="BC307" s="156"/>
      <c r="BD307" s="452"/>
      <c r="BE307" s="452"/>
      <c r="BF307" s="452"/>
      <c r="BG307" s="452"/>
      <c r="BH307" s="452"/>
    </row>
    <row r="308">
      <c r="A308" s="154"/>
      <c r="B308" s="473"/>
      <c r="C308" s="156"/>
      <c r="D308" s="156"/>
      <c r="E308" s="156"/>
      <c r="F308" s="154"/>
      <c r="G308" s="473"/>
      <c r="H308" s="156"/>
      <c r="I308" s="156"/>
      <c r="J308" s="156"/>
      <c r="K308" s="132"/>
      <c r="L308" s="473"/>
      <c r="M308" s="156"/>
      <c r="N308" s="156"/>
      <c r="O308" s="156"/>
      <c r="P308" s="132"/>
      <c r="Q308" s="487"/>
      <c r="R308" s="156"/>
      <c r="S308" s="156"/>
      <c r="T308" s="156"/>
      <c r="U308" s="154"/>
      <c r="V308" s="473"/>
      <c r="W308" s="156"/>
      <c r="X308" s="156"/>
      <c r="Y308" s="156"/>
      <c r="Z308" s="154"/>
      <c r="AA308" s="473"/>
      <c r="AB308" s="156"/>
      <c r="AC308" s="156"/>
      <c r="AD308" s="156"/>
      <c r="AE308" s="154"/>
      <c r="AF308" s="473"/>
      <c r="AG308" s="156"/>
      <c r="AH308" s="156"/>
      <c r="AI308" s="156"/>
      <c r="AJ308" s="154"/>
      <c r="AK308" s="473"/>
      <c r="AL308" s="156"/>
      <c r="AM308" s="156"/>
      <c r="AN308" s="156"/>
      <c r="AO308" s="452"/>
      <c r="AP308" s="452"/>
      <c r="AQ308" s="452"/>
      <c r="AR308" s="452"/>
      <c r="AS308" s="452"/>
      <c r="AT308" s="452"/>
      <c r="AU308" s="452"/>
      <c r="AV308" s="452"/>
      <c r="AW308" s="452"/>
      <c r="AX308" s="452"/>
      <c r="AY308" s="154"/>
      <c r="AZ308" s="473"/>
      <c r="BA308" s="156"/>
      <c r="BB308" s="156"/>
      <c r="BC308" s="156"/>
      <c r="BD308" s="452"/>
      <c r="BE308" s="452"/>
      <c r="BF308" s="452"/>
      <c r="BG308" s="452"/>
      <c r="BH308" s="452"/>
    </row>
    <row r="309">
      <c r="A309" s="154"/>
      <c r="B309" s="473"/>
      <c r="C309" s="156"/>
      <c r="D309" s="156"/>
      <c r="E309" s="156"/>
      <c r="F309" s="154"/>
      <c r="G309" s="473"/>
      <c r="H309" s="156"/>
      <c r="I309" s="156"/>
      <c r="J309" s="156"/>
      <c r="K309" s="132"/>
      <c r="L309" s="473"/>
      <c r="M309" s="156"/>
      <c r="N309" s="156"/>
      <c r="O309" s="156"/>
      <c r="P309" s="132"/>
      <c r="Q309" s="487"/>
      <c r="R309" s="156"/>
      <c r="S309" s="156"/>
      <c r="T309" s="156"/>
      <c r="U309" s="154"/>
      <c r="V309" s="473"/>
      <c r="W309" s="156"/>
      <c r="X309" s="156"/>
      <c r="Y309" s="156"/>
      <c r="Z309" s="154"/>
      <c r="AA309" s="473"/>
      <c r="AB309" s="156"/>
      <c r="AC309" s="156"/>
      <c r="AD309" s="156"/>
      <c r="AE309" s="154"/>
      <c r="AF309" s="473"/>
      <c r="AG309" s="156"/>
      <c r="AH309" s="156"/>
      <c r="AI309" s="156"/>
      <c r="AJ309" s="154"/>
      <c r="AK309" s="473"/>
      <c r="AL309" s="156"/>
      <c r="AM309" s="156"/>
      <c r="AN309" s="156"/>
      <c r="AO309" s="452"/>
      <c r="AP309" s="452"/>
      <c r="AQ309" s="452"/>
      <c r="AR309" s="452"/>
      <c r="AS309" s="452"/>
      <c r="AT309" s="452"/>
      <c r="AU309" s="452"/>
      <c r="AV309" s="452"/>
      <c r="AW309" s="452"/>
      <c r="AX309" s="452"/>
      <c r="AY309" s="154"/>
      <c r="AZ309" s="473"/>
      <c r="BA309" s="156"/>
      <c r="BB309" s="156"/>
      <c r="BC309" s="156"/>
      <c r="BD309" s="452"/>
      <c r="BE309" s="452"/>
      <c r="BF309" s="452"/>
      <c r="BG309" s="452"/>
      <c r="BH309" s="452"/>
    </row>
    <row r="310">
      <c r="A310" s="154"/>
      <c r="B310" s="473"/>
      <c r="C310" s="156"/>
      <c r="D310" s="156"/>
      <c r="E310" s="156"/>
      <c r="F310" s="154"/>
      <c r="G310" s="473"/>
      <c r="H310" s="156"/>
      <c r="I310" s="156"/>
      <c r="J310" s="156"/>
      <c r="K310" s="132"/>
      <c r="L310" s="473"/>
      <c r="M310" s="156"/>
      <c r="N310" s="156"/>
      <c r="O310" s="156"/>
      <c r="P310" s="132"/>
      <c r="Q310" s="487"/>
      <c r="R310" s="156"/>
      <c r="S310" s="156"/>
      <c r="T310" s="156"/>
      <c r="U310" s="154"/>
      <c r="V310" s="473"/>
      <c r="W310" s="156"/>
      <c r="X310" s="156"/>
      <c r="Y310" s="156"/>
      <c r="Z310" s="154"/>
      <c r="AA310" s="473"/>
      <c r="AB310" s="156"/>
      <c r="AC310" s="156"/>
      <c r="AD310" s="156"/>
      <c r="AE310" s="154"/>
      <c r="AF310" s="473"/>
      <c r="AG310" s="156"/>
      <c r="AH310" s="156"/>
      <c r="AI310" s="156"/>
      <c r="AJ310" s="154"/>
      <c r="AK310" s="473"/>
      <c r="AL310" s="156"/>
      <c r="AM310" s="156"/>
      <c r="AN310" s="156"/>
      <c r="AO310" s="452"/>
      <c r="AP310" s="452"/>
      <c r="AQ310" s="452"/>
      <c r="AR310" s="452"/>
      <c r="AS310" s="452"/>
      <c r="AT310" s="452"/>
      <c r="AU310" s="452"/>
      <c r="AV310" s="452"/>
      <c r="AW310" s="452"/>
      <c r="AX310" s="452"/>
      <c r="AY310" s="154"/>
      <c r="AZ310" s="473"/>
      <c r="BA310" s="156"/>
      <c r="BB310" s="156"/>
      <c r="BC310" s="156"/>
      <c r="BD310" s="452"/>
      <c r="BE310" s="452"/>
      <c r="BF310" s="452"/>
      <c r="BG310" s="452"/>
      <c r="BH310" s="452"/>
    </row>
    <row r="311">
      <c r="A311" s="154"/>
      <c r="B311" s="473"/>
      <c r="C311" s="156"/>
      <c r="D311" s="156"/>
      <c r="E311" s="156"/>
      <c r="F311" s="154"/>
      <c r="G311" s="473"/>
      <c r="H311" s="156"/>
      <c r="I311" s="156"/>
      <c r="J311" s="156"/>
      <c r="K311" s="132"/>
      <c r="L311" s="473"/>
      <c r="M311" s="156"/>
      <c r="N311" s="156"/>
      <c r="O311" s="156"/>
      <c r="P311" s="132"/>
      <c r="Q311" s="487"/>
      <c r="R311" s="156"/>
      <c r="S311" s="156"/>
      <c r="T311" s="156"/>
      <c r="U311" s="154"/>
      <c r="V311" s="473"/>
      <c r="W311" s="156"/>
      <c r="X311" s="156"/>
      <c r="Y311" s="156"/>
      <c r="Z311" s="154"/>
      <c r="AA311" s="473"/>
      <c r="AB311" s="156"/>
      <c r="AC311" s="156"/>
      <c r="AD311" s="156"/>
      <c r="AE311" s="154"/>
      <c r="AF311" s="473"/>
      <c r="AG311" s="156"/>
      <c r="AH311" s="156"/>
      <c r="AI311" s="156"/>
      <c r="AJ311" s="154"/>
      <c r="AK311" s="473"/>
      <c r="AL311" s="156"/>
      <c r="AM311" s="156"/>
      <c r="AN311" s="156"/>
      <c r="AO311" s="452"/>
      <c r="AP311" s="452"/>
      <c r="AQ311" s="452"/>
      <c r="AR311" s="452"/>
      <c r="AS311" s="452"/>
      <c r="AT311" s="452"/>
      <c r="AU311" s="452"/>
      <c r="AV311" s="452"/>
      <c r="AW311" s="452"/>
      <c r="AX311" s="452"/>
      <c r="AY311" s="154"/>
      <c r="AZ311" s="473"/>
      <c r="BA311" s="156"/>
      <c r="BB311" s="156"/>
      <c r="BC311" s="156"/>
      <c r="BD311" s="452"/>
      <c r="BE311" s="452"/>
      <c r="BF311" s="452"/>
      <c r="BG311" s="452"/>
      <c r="BH311" s="452"/>
    </row>
    <row r="312">
      <c r="A312" s="154"/>
      <c r="B312" s="473"/>
      <c r="C312" s="156"/>
      <c r="D312" s="156"/>
      <c r="E312" s="156"/>
      <c r="F312" s="154"/>
      <c r="G312" s="473"/>
      <c r="H312" s="156"/>
      <c r="I312" s="156"/>
      <c r="J312" s="156"/>
      <c r="K312" s="132"/>
      <c r="L312" s="473"/>
      <c r="M312" s="156"/>
      <c r="N312" s="156"/>
      <c r="O312" s="156"/>
      <c r="P312" s="132"/>
      <c r="Q312" s="487"/>
      <c r="R312" s="156"/>
      <c r="S312" s="156"/>
      <c r="T312" s="156"/>
      <c r="U312" s="154"/>
      <c r="V312" s="473"/>
      <c r="W312" s="156"/>
      <c r="X312" s="156"/>
      <c r="Y312" s="156"/>
      <c r="Z312" s="154"/>
      <c r="AA312" s="473"/>
      <c r="AB312" s="156"/>
      <c r="AC312" s="156"/>
      <c r="AD312" s="156"/>
      <c r="AE312" s="154"/>
      <c r="AF312" s="473"/>
      <c r="AG312" s="156"/>
      <c r="AH312" s="156"/>
      <c r="AI312" s="156"/>
      <c r="AJ312" s="154"/>
      <c r="AK312" s="473"/>
      <c r="AL312" s="156"/>
      <c r="AM312" s="156"/>
      <c r="AN312" s="156"/>
      <c r="AO312" s="452"/>
      <c r="AP312" s="452"/>
      <c r="AQ312" s="452"/>
      <c r="AR312" s="452"/>
      <c r="AS312" s="452"/>
      <c r="AT312" s="452"/>
      <c r="AU312" s="452"/>
      <c r="AV312" s="452"/>
      <c r="AW312" s="452"/>
      <c r="AX312" s="452"/>
      <c r="AY312" s="154"/>
      <c r="AZ312" s="473"/>
      <c r="BA312" s="156"/>
      <c r="BB312" s="156"/>
      <c r="BC312" s="156"/>
      <c r="BD312" s="452"/>
      <c r="BE312" s="452"/>
      <c r="BF312" s="452"/>
      <c r="BG312" s="452"/>
      <c r="BH312" s="452"/>
    </row>
    <row r="313">
      <c r="A313" s="154"/>
      <c r="B313" s="473"/>
      <c r="C313" s="156"/>
      <c r="D313" s="156"/>
      <c r="E313" s="156"/>
      <c r="F313" s="154"/>
      <c r="G313" s="473"/>
      <c r="H313" s="156"/>
      <c r="I313" s="156"/>
      <c r="J313" s="156"/>
      <c r="K313" s="132"/>
      <c r="L313" s="473"/>
      <c r="M313" s="156"/>
      <c r="N313" s="156"/>
      <c r="O313" s="156"/>
      <c r="P313" s="132"/>
      <c r="Q313" s="487"/>
      <c r="R313" s="156"/>
      <c r="S313" s="156"/>
      <c r="T313" s="156"/>
      <c r="U313" s="154"/>
      <c r="V313" s="473"/>
      <c r="W313" s="156"/>
      <c r="X313" s="156"/>
      <c r="Y313" s="156"/>
      <c r="Z313" s="154"/>
      <c r="AA313" s="473"/>
      <c r="AB313" s="156"/>
      <c r="AC313" s="156"/>
      <c r="AD313" s="156"/>
      <c r="AE313" s="154"/>
      <c r="AF313" s="473"/>
      <c r="AG313" s="156"/>
      <c r="AH313" s="156"/>
      <c r="AI313" s="156"/>
      <c r="AJ313" s="154"/>
      <c r="AK313" s="473"/>
      <c r="AL313" s="156"/>
      <c r="AM313" s="156"/>
      <c r="AN313" s="156"/>
      <c r="AO313" s="452"/>
      <c r="AP313" s="452"/>
      <c r="AQ313" s="452"/>
      <c r="AR313" s="452"/>
      <c r="AS313" s="452"/>
      <c r="AT313" s="452"/>
      <c r="AU313" s="452"/>
      <c r="AV313" s="452"/>
      <c r="AW313" s="452"/>
      <c r="AX313" s="452"/>
      <c r="AY313" s="154"/>
      <c r="AZ313" s="473"/>
      <c r="BA313" s="156"/>
      <c r="BB313" s="156"/>
      <c r="BC313" s="156"/>
      <c r="BD313" s="452"/>
      <c r="BE313" s="452"/>
      <c r="BF313" s="452"/>
      <c r="BG313" s="452"/>
      <c r="BH313" s="452"/>
    </row>
    <row r="314">
      <c r="A314" s="154"/>
      <c r="B314" s="473"/>
      <c r="C314" s="156"/>
      <c r="D314" s="156"/>
      <c r="E314" s="156"/>
      <c r="F314" s="154"/>
      <c r="G314" s="473"/>
      <c r="H314" s="156"/>
      <c r="I314" s="156"/>
      <c r="J314" s="156"/>
      <c r="K314" s="132"/>
      <c r="L314" s="473"/>
      <c r="M314" s="156"/>
      <c r="N314" s="156"/>
      <c r="O314" s="156"/>
      <c r="P314" s="132"/>
      <c r="Q314" s="487"/>
      <c r="R314" s="156"/>
      <c r="S314" s="156"/>
      <c r="T314" s="156"/>
      <c r="U314" s="154"/>
      <c r="V314" s="473"/>
      <c r="W314" s="156"/>
      <c r="X314" s="156"/>
      <c r="Y314" s="156"/>
      <c r="Z314" s="154"/>
      <c r="AA314" s="473"/>
      <c r="AB314" s="156"/>
      <c r="AC314" s="156"/>
      <c r="AD314" s="156"/>
      <c r="AE314" s="154"/>
      <c r="AF314" s="473"/>
      <c r="AG314" s="156"/>
      <c r="AH314" s="156"/>
      <c r="AI314" s="156"/>
      <c r="AJ314" s="154"/>
      <c r="AK314" s="473"/>
      <c r="AL314" s="156"/>
      <c r="AM314" s="156"/>
      <c r="AN314" s="156"/>
      <c r="AO314" s="452"/>
      <c r="AP314" s="452"/>
      <c r="AQ314" s="452"/>
      <c r="AR314" s="452"/>
      <c r="AS314" s="452"/>
      <c r="AT314" s="452"/>
      <c r="AU314" s="452"/>
      <c r="AV314" s="452"/>
      <c r="AW314" s="452"/>
      <c r="AX314" s="452"/>
      <c r="AY314" s="154"/>
      <c r="AZ314" s="473"/>
      <c r="BA314" s="156"/>
      <c r="BB314" s="156"/>
      <c r="BC314" s="156"/>
      <c r="BD314" s="452"/>
      <c r="BE314" s="452"/>
      <c r="BF314" s="452"/>
      <c r="BG314" s="452"/>
      <c r="BH314" s="452"/>
    </row>
    <row r="315">
      <c r="A315" s="154"/>
      <c r="B315" s="473"/>
      <c r="C315" s="156"/>
      <c r="D315" s="156"/>
      <c r="E315" s="156"/>
      <c r="F315" s="154"/>
      <c r="G315" s="473"/>
      <c r="H315" s="156"/>
      <c r="I315" s="156"/>
      <c r="J315" s="156"/>
      <c r="K315" s="132"/>
      <c r="L315" s="473"/>
      <c r="M315" s="156"/>
      <c r="N315" s="156"/>
      <c r="O315" s="156"/>
      <c r="P315" s="132"/>
      <c r="Q315" s="487"/>
      <c r="R315" s="156"/>
      <c r="S315" s="156"/>
      <c r="T315" s="156"/>
      <c r="U315" s="154"/>
      <c r="V315" s="473"/>
      <c r="W315" s="156"/>
      <c r="X315" s="156"/>
      <c r="Y315" s="156"/>
      <c r="Z315" s="154"/>
      <c r="AA315" s="473"/>
      <c r="AB315" s="156"/>
      <c r="AC315" s="156"/>
      <c r="AD315" s="156"/>
      <c r="AE315" s="154"/>
      <c r="AF315" s="473"/>
      <c r="AG315" s="156"/>
      <c r="AH315" s="156"/>
      <c r="AI315" s="156"/>
      <c r="AJ315" s="154"/>
      <c r="AK315" s="473"/>
      <c r="AL315" s="156"/>
      <c r="AM315" s="156"/>
      <c r="AN315" s="156"/>
      <c r="AO315" s="452"/>
      <c r="AP315" s="452"/>
      <c r="AQ315" s="452"/>
      <c r="AR315" s="452"/>
      <c r="AS315" s="452"/>
      <c r="AT315" s="452"/>
      <c r="AU315" s="452"/>
      <c r="AV315" s="452"/>
      <c r="AW315" s="452"/>
      <c r="AX315" s="452"/>
      <c r="AY315" s="154"/>
      <c r="AZ315" s="473"/>
      <c r="BA315" s="156"/>
      <c r="BB315" s="156"/>
      <c r="BC315" s="156"/>
      <c r="BD315" s="452"/>
      <c r="BE315" s="452"/>
      <c r="BF315" s="452"/>
      <c r="BG315" s="452"/>
      <c r="BH315" s="452"/>
    </row>
    <row r="316">
      <c r="A316" s="154"/>
      <c r="B316" s="473"/>
      <c r="C316" s="156"/>
      <c r="D316" s="156"/>
      <c r="E316" s="156"/>
      <c r="F316" s="154"/>
      <c r="G316" s="473"/>
      <c r="H316" s="156"/>
      <c r="I316" s="156"/>
      <c r="J316" s="156"/>
      <c r="K316" s="132"/>
      <c r="L316" s="473"/>
      <c r="M316" s="156"/>
      <c r="N316" s="156"/>
      <c r="O316" s="156"/>
      <c r="P316" s="132"/>
      <c r="Q316" s="487"/>
      <c r="R316" s="156"/>
      <c r="S316" s="156"/>
      <c r="T316" s="156"/>
      <c r="U316" s="154"/>
      <c r="V316" s="473"/>
      <c r="W316" s="156"/>
      <c r="X316" s="156"/>
      <c r="Y316" s="156"/>
      <c r="Z316" s="154"/>
      <c r="AA316" s="473"/>
      <c r="AB316" s="156"/>
      <c r="AC316" s="156"/>
      <c r="AD316" s="156"/>
      <c r="AE316" s="154"/>
      <c r="AF316" s="473"/>
      <c r="AG316" s="156"/>
      <c r="AH316" s="156"/>
      <c r="AI316" s="156"/>
      <c r="AJ316" s="154"/>
      <c r="AK316" s="473"/>
      <c r="AL316" s="156"/>
      <c r="AM316" s="156"/>
      <c r="AN316" s="156"/>
      <c r="AO316" s="452"/>
      <c r="AP316" s="452"/>
      <c r="AQ316" s="452"/>
      <c r="AR316" s="452"/>
      <c r="AS316" s="452"/>
      <c r="AT316" s="452"/>
      <c r="AU316" s="452"/>
      <c r="AV316" s="452"/>
      <c r="AW316" s="452"/>
      <c r="AX316" s="452"/>
      <c r="AY316" s="154"/>
      <c r="AZ316" s="473"/>
      <c r="BA316" s="156"/>
      <c r="BB316" s="156"/>
      <c r="BC316" s="156"/>
      <c r="BD316" s="452"/>
      <c r="BE316" s="452"/>
      <c r="BF316" s="452"/>
      <c r="BG316" s="452"/>
      <c r="BH316" s="452"/>
    </row>
    <row r="317">
      <c r="A317" s="154"/>
      <c r="B317" s="473"/>
      <c r="C317" s="156"/>
      <c r="D317" s="156"/>
      <c r="E317" s="156"/>
      <c r="F317" s="154"/>
      <c r="G317" s="473"/>
      <c r="H317" s="156"/>
      <c r="I317" s="156"/>
      <c r="J317" s="156"/>
      <c r="K317" s="132"/>
      <c r="L317" s="473"/>
      <c r="M317" s="156"/>
      <c r="N317" s="156"/>
      <c r="O317" s="156"/>
      <c r="P317" s="132"/>
      <c r="Q317" s="487"/>
      <c r="R317" s="156"/>
      <c r="S317" s="156"/>
      <c r="T317" s="156"/>
      <c r="U317" s="154"/>
      <c r="V317" s="473"/>
      <c r="W317" s="156"/>
      <c r="X317" s="156"/>
      <c r="Y317" s="156"/>
      <c r="Z317" s="154"/>
      <c r="AA317" s="473"/>
      <c r="AB317" s="156"/>
      <c r="AC317" s="156"/>
      <c r="AD317" s="156"/>
      <c r="AE317" s="154"/>
      <c r="AF317" s="473"/>
      <c r="AG317" s="156"/>
      <c r="AH317" s="156"/>
      <c r="AI317" s="156"/>
      <c r="AJ317" s="154"/>
      <c r="AK317" s="473"/>
      <c r="AL317" s="156"/>
      <c r="AM317" s="156"/>
      <c r="AN317" s="156"/>
      <c r="AO317" s="452"/>
      <c r="AP317" s="452"/>
      <c r="AQ317" s="452"/>
      <c r="AR317" s="452"/>
      <c r="AS317" s="452"/>
      <c r="AT317" s="452"/>
      <c r="AU317" s="452"/>
      <c r="AV317" s="452"/>
      <c r="AW317" s="452"/>
      <c r="AX317" s="452"/>
      <c r="AY317" s="154"/>
      <c r="AZ317" s="473"/>
      <c r="BA317" s="156"/>
      <c r="BB317" s="156"/>
      <c r="BC317" s="156"/>
      <c r="BD317" s="452"/>
      <c r="BE317" s="452"/>
      <c r="BF317" s="452"/>
      <c r="BG317" s="452"/>
      <c r="BH317" s="452"/>
    </row>
    <row r="318">
      <c r="A318" s="154"/>
      <c r="B318" s="473"/>
      <c r="C318" s="156"/>
      <c r="D318" s="156"/>
      <c r="E318" s="156"/>
      <c r="F318" s="154"/>
      <c r="G318" s="473"/>
      <c r="H318" s="156"/>
      <c r="I318" s="156"/>
      <c r="J318" s="156"/>
      <c r="K318" s="132"/>
      <c r="L318" s="473"/>
      <c r="M318" s="156"/>
      <c r="N318" s="156"/>
      <c r="O318" s="156"/>
      <c r="P318" s="132"/>
      <c r="Q318" s="487"/>
      <c r="R318" s="156"/>
      <c r="S318" s="156"/>
      <c r="T318" s="156"/>
      <c r="U318" s="154"/>
      <c r="V318" s="473"/>
      <c r="W318" s="156"/>
      <c r="X318" s="156"/>
      <c r="Y318" s="156"/>
      <c r="Z318" s="154"/>
      <c r="AA318" s="473"/>
      <c r="AB318" s="156"/>
      <c r="AC318" s="156"/>
      <c r="AD318" s="156"/>
      <c r="AE318" s="154"/>
      <c r="AF318" s="473"/>
      <c r="AG318" s="156"/>
      <c r="AH318" s="156"/>
      <c r="AI318" s="156"/>
      <c r="AJ318" s="154"/>
      <c r="AK318" s="473"/>
      <c r="AL318" s="156"/>
      <c r="AM318" s="156"/>
      <c r="AN318" s="156"/>
      <c r="AO318" s="452"/>
      <c r="AP318" s="452"/>
      <c r="AQ318" s="452"/>
      <c r="AR318" s="452"/>
      <c r="AS318" s="452"/>
      <c r="AT318" s="452"/>
      <c r="AU318" s="452"/>
      <c r="AV318" s="452"/>
      <c r="AW318" s="452"/>
      <c r="AX318" s="452"/>
      <c r="AY318" s="154"/>
      <c r="AZ318" s="473"/>
      <c r="BA318" s="156"/>
      <c r="BB318" s="156"/>
      <c r="BC318" s="156"/>
      <c r="BD318" s="452"/>
      <c r="BE318" s="452"/>
      <c r="BF318" s="452"/>
      <c r="BG318" s="452"/>
      <c r="BH318" s="452"/>
    </row>
    <row r="319">
      <c r="A319" s="154"/>
      <c r="B319" s="473"/>
      <c r="C319" s="156"/>
      <c r="D319" s="156"/>
      <c r="E319" s="156"/>
      <c r="F319" s="154"/>
      <c r="G319" s="473"/>
      <c r="H319" s="156"/>
      <c r="I319" s="156"/>
      <c r="J319" s="156"/>
      <c r="K319" s="132"/>
      <c r="L319" s="473"/>
      <c r="M319" s="156"/>
      <c r="N319" s="156"/>
      <c r="O319" s="156"/>
      <c r="P319" s="132"/>
      <c r="Q319" s="487"/>
      <c r="R319" s="156"/>
      <c r="S319" s="156"/>
      <c r="T319" s="156"/>
      <c r="U319" s="154"/>
      <c r="V319" s="473"/>
      <c r="W319" s="156"/>
      <c r="X319" s="156"/>
      <c r="Y319" s="156"/>
      <c r="Z319" s="154"/>
      <c r="AA319" s="473"/>
      <c r="AB319" s="156"/>
      <c r="AC319" s="156"/>
      <c r="AD319" s="156"/>
      <c r="AE319" s="154"/>
      <c r="AF319" s="473"/>
      <c r="AG319" s="156"/>
      <c r="AH319" s="156"/>
      <c r="AI319" s="156"/>
      <c r="AJ319" s="154"/>
      <c r="AK319" s="473"/>
      <c r="AL319" s="156"/>
      <c r="AM319" s="156"/>
      <c r="AN319" s="156"/>
      <c r="AO319" s="452"/>
      <c r="AP319" s="452"/>
      <c r="AQ319" s="452"/>
      <c r="AR319" s="452"/>
      <c r="AS319" s="452"/>
      <c r="AT319" s="452"/>
      <c r="AU319" s="452"/>
      <c r="AV319" s="452"/>
      <c r="AW319" s="452"/>
      <c r="AX319" s="452"/>
      <c r="AY319" s="154"/>
      <c r="AZ319" s="473"/>
      <c r="BA319" s="156"/>
      <c r="BB319" s="156"/>
      <c r="BC319" s="156"/>
      <c r="BD319" s="452"/>
      <c r="BE319" s="452"/>
      <c r="BF319" s="452"/>
      <c r="BG319" s="452"/>
      <c r="BH319" s="452"/>
    </row>
    <row r="320">
      <c r="A320" s="154"/>
      <c r="B320" s="473"/>
      <c r="C320" s="156"/>
      <c r="D320" s="156"/>
      <c r="E320" s="156"/>
      <c r="F320" s="154"/>
      <c r="G320" s="473"/>
      <c r="H320" s="156"/>
      <c r="I320" s="156"/>
      <c r="J320" s="156"/>
      <c r="K320" s="132"/>
      <c r="L320" s="473"/>
      <c r="M320" s="156"/>
      <c r="N320" s="156"/>
      <c r="O320" s="156"/>
      <c r="P320" s="132"/>
      <c r="Q320" s="487"/>
      <c r="R320" s="156"/>
      <c r="S320" s="156"/>
      <c r="T320" s="156"/>
      <c r="U320" s="154"/>
      <c r="V320" s="473"/>
      <c r="W320" s="156"/>
      <c r="X320" s="156"/>
      <c r="Y320" s="156"/>
      <c r="Z320" s="154"/>
      <c r="AA320" s="473"/>
      <c r="AB320" s="156"/>
      <c r="AC320" s="156"/>
      <c r="AD320" s="156"/>
      <c r="AE320" s="154"/>
      <c r="AF320" s="473"/>
      <c r="AG320" s="156"/>
      <c r="AH320" s="156"/>
      <c r="AI320" s="156"/>
      <c r="AJ320" s="154"/>
      <c r="AK320" s="473"/>
      <c r="AL320" s="156"/>
      <c r="AM320" s="156"/>
      <c r="AN320" s="156"/>
      <c r="AO320" s="452"/>
      <c r="AP320" s="452"/>
      <c r="AQ320" s="452"/>
      <c r="AR320" s="452"/>
      <c r="AS320" s="452"/>
      <c r="AT320" s="452"/>
      <c r="AU320" s="452"/>
      <c r="AV320" s="452"/>
      <c r="AW320" s="452"/>
      <c r="AX320" s="452"/>
      <c r="AY320" s="154"/>
      <c r="AZ320" s="473"/>
      <c r="BA320" s="156"/>
      <c r="BB320" s="156"/>
      <c r="BC320" s="156"/>
      <c r="BD320" s="452"/>
      <c r="BE320" s="452"/>
      <c r="BF320" s="452"/>
      <c r="BG320" s="452"/>
      <c r="BH320" s="452"/>
    </row>
    <row r="321">
      <c r="A321" s="154"/>
      <c r="B321" s="473"/>
      <c r="C321" s="156"/>
      <c r="D321" s="156"/>
      <c r="E321" s="156"/>
      <c r="F321" s="154"/>
      <c r="G321" s="473"/>
      <c r="H321" s="156"/>
      <c r="I321" s="156"/>
      <c r="J321" s="156"/>
      <c r="K321" s="132"/>
      <c r="L321" s="473"/>
      <c r="M321" s="156"/>
      <c r="N321" s="156"/>
      <c r="O321" s="156"/>
      <c r="P321" s="132"/>
      <c r="Q321" s="487"/>
      <c r="R321" s="156"/>
      <c r="S321" s="156"/>
      <c r="T321" s="156"/>
      <c r="U321" s="154"/>
      <c r="V321" s="473"/>
      <c r="W321" s="156"/>
      <c r="X321" s="156"/>
      <c r="Y321" s="156"/>
      <c r="Z321" s="154"/>
      <c r="AA321" s="473"/>
      <c r="AB321" s="156"/>
      <c r="AC321" s="156"/>
      <c r="AD321" s="156"/>
      <c r="AE321" s="154"/>
      <c r="AF321" s="473"/>
      <c r="AG321" s="156"/>
      <c r="AH321" s="156"/>
      <c r="AI321" s="156"/>
      <c r="AJ321" s="154"/>
      <c r="AK321" s="473"/>
      <c r="AL321" s="156"/>
      <c r="AM321" s="156"/>
      <c r="AN321" s="156"/>
      <c r="AO321" s="452"/>
      <c r="AP321" s="452"/>
      <c r="AQ321" s="452"/>
      <c r="AR321" s="452"/>
      <c r="AS321" s="452"/>
      <c r="AT321" s="452"/>
      <c r="AU321" s="452"/>
      <c r="AV321" s="452"/>
      <c r="AW321" s="452"/>
      <c r="AX321" s="452"/>
      <c r="AY321" s="154"/>
      <c r="AZ321" s="473"/>
      <c r="BA321" s="156"/>
      <c r="BB321" s="156"/>
      <c r="BC321" s="156"/>
      <c r="BD321" s="452"/>
      <c r="BE321" s="452"/>
      <c r="BF321" s="452"/>
      <c r="BG321" s="452"/>
      <c r="BH321" s="452"/>
    </row>
    <row r="322">
      <c r="A322" s="154"/>
      <c r="B322" s="473"/>
      <c r="C322" s="156"/>
      <c r="D322" s="156"/>
      <c r="E322" s="156"/>
      <c r="F322" s="154"/>
      <c r="G322" s="473"/>
      <c r="H322" s="156"/>
      <c r="I322" s="156"/>
      <c r="J322" s="156"/>
      <c r="K322" s="132"/>
      <c r="L322" s="473"/>
      <c r="M322" s="156"/>
      <c r="N322" s="156"/>
      <c r="O322" s="156"/>
      <c r="P322" s="132"/>
      <c r="Q322" s="487"/>
      <c r="R322" s="156"/>
      <c r="S322" s="156"/>
      <c r="T322" s="156"/>
      <c r="U322" s="154"/>
      <c r="V322" s="473"/>
      <c r="W322" s="156"/>
      <c r="X322" s="156"/>
      <c r="Y322" s="156"/>
      <c r="Z322" s="154"/>
      <c r="AA322" s="473"/>
      <c r="AB322" s="156"/>
      <c r="AC322" s="156"/>
      <c r="AD322" s="156"/>
      <c r="AE322" s="154"/>
      <c r="AF322" s="473"/>
      <c r="AG322" s="156"/>
      <c r="AH322" s="156"/>
      <c r="AI322" s="156"/>
      <c r="AJ322" s="154"/>
      <c r="AK322" s="473"/>
      <c r="AL322" s="156"/>
      <c r="AM322" s="156"/>
      <c r="AN322" s="156"/>
      <c r="AO322" s="452"/>
      <c r="AP322" s="452"/>
      <c r="AQ322" s="452"/>
      <c r="AR322" s="452"/>
      <c r="AS322" s="452"/>
      <c r="AT322" s="452"/>
      <c r="AU322" s="452"/>
      <c r="AV322" s="452"/>
      <c r="AW322" s="452"/>
      <c r="AX322" s="452"/>
      <c r="AY322" s="154"/>
      <c r="AZ322" s="473"/>
      <c r="BA322" s="156"/>
      <c r="BB322" s="156"/>
      <c r="BC322" s="156"/>
      <c r="BD322" s="452"/>
      <c r="BE322" s="452"/>
      <c r="BF322" s="452"/>
      <c r="BG322" s="452"/>
      <c r="BH322" s="452"/>
    </row>
    <row r="323">
      <c r="A323" s="154"/>
      <c r="B323" s="473"/>
      <c r="C323" s="156"/>
      <c r="D323" s="156"/>
      <c r="E323" s="156"/>
      <c r="F323" s="154"/>
      <c r="G323" s="473"/>
      <c r="H323" s="156"/>
      <c r="I323" s="156"/>
      <c r="J323" s="156"/>
      <c r="K323" s="132"/>
      <c r="L323" s="473"/>
      <c r="M323" s="156"/>
      <c r="N323" s="156"/>
      <c r="O323" s="156"/>
      <c r="P323" s="132"/>
      <c r="Q323" s="487"/>
      <c r="R323" s="156"/>
      <c r="S323" s="156"/>
      <c r="T323" s="156"/>
      <c r="U323" s="154"/>
      <c r="V323" s="473"/>
      <c r="W323" s="156"/>
      <c r="X323" s="156"/>
      <c r="Y323" s="156"/>
      <c r="Z323" s="154"/>
      <c r="AA323" s="473"/>
      <c r="AB323" s="156"/>
      <c r="AC323" s="156"/>
      <c r="AD323" s="156"/>
      <c r="AE323" s="154"/>
      <c r="AF323" s="473"/>
      <c r="AG323" s="156"/>
      <c r="AH323" s="156"/>
      <c r="AI323" s="156"/>
      <c r="AJ323" s="154"/>
      <c r="AK323" s="473"/>
      <c r="AL323" s="156"/>
      <c r="AM323" s="156"/>
      <c r="AN323" s="156"/>
      <c r="AO323" s="452"/>
      <c r="AP323" s="452"/>
      <c r="AQ323" s="452"/>
      <c r="AR323" s="452"/>
      <c r="AS323" s="452"/>
      <c r="AT323" s="452"/>
      <c r="AU323" s="452"/>
      <c r="AV323" s="452"/>
      <c r="AW323" s="452"/>
      <c r="AX323" s="452"/>
      <c r="AY323" s="154"/>
      <c r="AZ323" s="473"/>
      <c r="BA323" s="156"/>
      <c r="BB323" s="156"/>
      <c r="BC323" s="156"/>
      <c r="BD323" s="452"/>
      <c r="BE323" s="452"/>
      <c r="BF323" s="452"/>
      <c r="BG323" s="452"/>
      <c r="BH323" s="452"/>
    </row>
    <row r="324">
      <c r="A324" s="154"/>
      <c r="B324" s="473"/>
      <c r="C324" s="156"/>
      <c r="D324" s="156"/>
      <c r="E324" s="156"/>
      <c r="F324" s="154"/>
      <c r="G324" s="473"/>
      <c r="H324" s="156"/>
      <c r="I324" s="156"/>
      <c r="J324" s="156"/>
      <c r="K324" s="132"/>
      <c r="L324" s="473"/>
      <c r="M324" s="156"/>
      <c r="N324" s="156"/>
      <c r="O324" s="156"/>
      <c r="P324" s="132"/>
      <c r="Q324" s="487"/>
      <c r="R324" s="156"/>
      <c r="S324" s="156"/>
      <c r="T324" s="156"/>
      <c r="U324" s="154"/>
      <c r="V324" s="473"/>
      <c r="W324" s="156"/>
      <c r="X324" s="156"/>
      <c r="Y324" s="156"/>
      <c r="Z324" s="154"/>
      <c r="AA324" s="473"/>
      <c r="AB324" s="156"/>
      <c r="AC324" s="156"/>
      <c r="AD324" s="156"/>
      <c r="AE324" s="154"/>
      <c r="AF324" s="473"/>
      <c r="AG324" s="156"/>
      <c r="AH324" s="156"/>
      <c r="AI324" s="156"/>
      <c r="AJ324" s="154"/>
      <c r="AK324" s="473"/>
      <c r="AL324" s="156"/>
      <c r="AM324" s="156"/>
      <c r="AN324" s="156"/>
      <c r="AO324" s="452"/>
      <c r="AP324" s="452"/>
      <c r="AQ324" s="452"/>
      <c r="AR324" s="452"/>
      <c r="AS324" s="452"/>
      <c r="AT324" s="452"/>
      <c r="AU324" s="452"/>
      <c r="AV324" s="452"/>
      <c r="AW324" s="452"/>
      <c r="AX324" s="452"/>
      <c r="AY324" s="154"/>
      <c r="AZ324" s="473"/>
      <c r="BA324" s="156"/>
      <c r="BB324" s="156"/>
      <c r="BC324" s="156"/>
      <c r="BD324" s="452"/>
      <c r="BE324" s="452"/>
      <c r="BF324" s="452"/>
      <c r="BG324" s="452"/>
      <c r="BH324" s="452"/>
    </row>
    <row r="325">
      <c r="A325" s="154"/>
      <c r="B325" s="473"/>
      <c r="C325" s="156"/>
      <c r="D325" s="156"/>
      <c r="E325" s="156"/>
      <c r="F325" s="154"/>
      <c r="G325" s="473"/>
      <c r="H325" s="156"/>
      <c r="I325" s="156"/>
      <c r="J325" s="156"/>
      <c r="K325" s="132"/>
      <c r="L325" s="473"/>
      <c r="M325" s="156"/>
      <c r="N325" s="156"/>
      <c r="O325" s="156"/>
      <c r="P325" s="132"/>
      <c r="Q325" s="487"/>
      <c r="R325" s="156"/>
      <c r="S325" s="156"/>
      <c r="T325" s="156"/>
      <c r="U325" s="154"/>
      <c r="V325" s="473"/>
      <c r="W325" s="156"/>
      <c r="X325" s="156"/>
      <c r="Y325" s="156"/>
      <c r="Z325" s="154"/>
      <c r="AA325" s="473"/>
      <c r="AB325" s="156"/>
      <c r="AC325" s="156"/>
      <c r="AD325" s="156"/>
      <c r="AE325" s="154"/>
      <c r="AF325" s="473"/>
      <c r="AG325" s="156"/>
      <c r="AH325" s="156"/>
      <c r="AI325" s="156"/>
      <c r="AJ325" s="154"/>
      <c r="AK325" s="473"/>
      <c r="AL325" s="156"/>
      <c r="AM325" s="156"/>
      <c r="AN325" s="156"/>
      <c r="AO325" s="452"/>
      <c r="AP325" s="452"/>
      <c r="AQ325" s="452"/>
      <c r="AR325" s="452"/>
      <c r="AS325" s="452"/>
      <c r="AT325" s="452"/>
      <c r="AU325" s="452"/>
      <c r="AV325" s="452"/>
      <c r="AW325" s="452"/>
      <c r="AX325" s="452"/>
      <c r="AY325" s="154"/>
      <c r="AZ325" s="473"/>
      <c r="BA325" s="156"/>
      <c r="BB325" s="156"/>
      <c r="BC325" s="156"/>
      <c r="BD325" s="452"/>
      <c r="BE325" s="452"/>
      <c r="BF325" s="452"/>
      <c r="BG325" s="452"/>
      <c r="BH325" s="452"/>
    </row>
    <row r="326">
      <c r="A326" s="154"/>
      <c r="B326" s="473"/>
      <c r="C326" s="156"/>
      <c r="D326" s="156"/>
      <c r="E326" s="156"/>
      <c r="F326" s="154"/>
      <c r="G326" s="473"/>
      <c r="H326" s="156"/>
      <c r="I326" s="156"/>
      <c r="J326" s="156"/>
      <c r="K326" s="132"/>
      <c r="L326" s="473"/>
      <c r="M326" s="156"/>
      <c r="N326" s="156"/>
      <c r="O326" s="156"/>
      <c r="P326" s="132"/>
      <c r="Q326" s="487"/>
      <c r="R326" s="156"/>
      <c r="S326" s="156"/>
      <c r="T326" s="156"/>
      <c r="U326" s="154"/>
      <c r="V326" s="473"/>
      <c r="W326" s="156"/>
      <c r="X326" s="156"/>
      <c r="Y326" s="156"/>
      <c r="Z326" s="154"/>
      <c r="AA326" s="473"/>
      <c r="AB326" s="156"/>
      <c r="AC326" s="156"/>
      <c r="AD326" s="156"/>
      <c r="AE326" s="154"/>
      <c r="AF326" s="473"/>
      <c r="AG326" s="156"/>
      <c r="AH326" s="156"/>
      <c r="AI326" s="156"/>
      <c r="AJ326" s="154"/>
      <c r="AK326" s="473"/>
      <c r="AL326" s="156"/>
      <c r="AM326" s="156"/>
      <c r="AN326" s="156"/>
      <c r="AO326" s="452"/>
      <c r="AP326" s="452"/>
      <c r="AQ326" s="452"/>
      <c r="AR326" s="452"/>
      <c r="AS326" s="452"/>
      <c r="AT326" s="452"/>
      <c r="AU326" s="452"/>
      <c r="AV326" s="452"/>
      <c r="AW326" s="452"/>
      <c r="AX326" s="452"/>
      <c r="AY326" s="154"/>
      <c r="AZ326" s="473"/>
      <c r="BA326" s="156"/>
      <c r="BB326" s="156"/>
      <c r="BC326" s="156"/>
      <c r="BD326" s="452"/>
      <c r="BE326" s="452"/>
      <c r="BF326" s="452"/>
      <c r="BG326" s="452"/>
      <c r="BH326" s="452"/>
    </row>
    <row r="327">
      <c r="A327" s="154"/>
      <c r="B327" s="473"/>
      <c r="C327" s="156"/>
      <c r="D327" s="156"/>
      <c r="E327" s="156"/>
      <c r="F327" s="154"/>
      <c r="G327" s="473"/>
      <c r="H327" s="156"/>
      <c r="I327" s="156"/>
      <c r="J327" s="156"/>
      <c r="K327" s="132"/>
      <c r="L327" s="473"/>
      <c r="M327" s="156"/>
      <c r="N327" s="156"/>
      <c r="O327" s="156"/>
      <c r="P327" s="132"/>
      <c r="Q327" s="487"/>
      <c r="R327" s="156"/>
      <c r="S327" s="156"/>
      <c r="T327" s="156"/>
      <c r="U327" s="154"/>
      <c r="V327" s="473"/>
      <c r="W327" s="156"/>
      <c r="X327" s="156"/>
      <c r="Y327" s="156"/>
      <c r="Z327" s="154"/>
      <c r="AA327" s="473"/>
      <c r="AB327" s="156"/>
      <c r="AC327" s="156"/>
      <c r="AD327" s="156"/>
      <c r="AE327" s="154"/>
      <c r="AF327" s="473"/>
      <c r="AG327" s="156"/>
      <c r="AH327" s="156"/>
      <c r="AI327" s="156"/>
      <c r="AJ327" s="154"/>
      <c r="AK327" s="473"/>
      <c r="AL327" s="156"/>
      <c r="AM327" s="156"/>
      <c r="AN327" s="156"/>
      <c r="AO327" s="452"/>
      <c r="AP327" s="452"/>
      <c r="AQ327" s="452"/>
      <c r="AR327" s="452"/>
      <c r="AS327" s="452"/>
      <c r="AT327" s="452"/>
      <c r="AU327" s="452"/>
      <c r="AV327" s="452"/>
      <c r="AW327" s="452"/>
      <c r="AX327" s="452"/>
      <c r="AY327" s="154"/>
      <c r="AZ327" s="473"/>
      <c r="BA327" s="156"/>
      <c r="BB327" s="156"/>
      <c r="BC327" s="156"/>
      <c r="BD327" s="452"/>
      <c r="BE327" s="452"/>
      <c r="BF327" s="452"/>
      <c r="BG327" s="452"/>
      <c r="BH327" s="452"/>
    </row>
    <row r="328">
      <c r="A328" s="154"/>
      <c r="B328" s="473"/>
      <c r="C328" s="156"/>
      <c r="D328" s="156"/>
      <c r="E328" s="156"/>
      <c r="F328" s="154"/>
      <c r="G328" s="473"/>
      <c r="H328" s="156"/>
      <c r="I328" s="156"/>
      <c r="J328" s="156"/>
      <c r="K328" s="132"/>
      <c r="L328" s="473"/>
      <c r="M328" s="156"/>
      <c r="N328" s="156"/>
      <c r="O328" s="156"/>
      <c r="P328" s="132"/>
      <c r="Q328" s="487"/>
      <c r="R328" s="156"/>
      <c r="S328" s="156"/>
      <c r="T328" s="156"/>
      <c r="U328" s="154"/>
      <c r="V328" s="473"/>
      <c r="W328" s="156"/>
      <c r="X328" s="156"/>
      <c r="Y328" s="156"/>
      <c r="Z328" s="154"/>
      <c r="AA328" s="473"/>
      <c r="AB328" s="156"/>
      <c r="AC328" s="156"/>
      <c r="AD328" s="156"/>
      <c r="AE328" s="154"/>
      <c r="AF328" s="473"/>
      <c r="AG328" s="156"/>
      <c r="AH328" s="156"/>
      <c r="AI328" s="156"/>
      <c r="AJ328" s="154"/>
      <c r="AK328" s="473"/>
      <c r="AL328" s="156"/>
      <c r="AM328" s="156"/>
      <c r="AN328" s="156"/>
      <c r="AO328" s="452"/>
      <c r="AP328" s="452"/>
      <c r="AQ328" s="452"/>
      <c r="AR328" s="452"/>
      <c r="AS328" s="452"/>
      <c r="AT328" s="452"/>
      <c r="AU328" s="452"/>
      <c r="AV328" s="452"/>
      <c r="AW328" s="452"/>
      <c r="AX328" s="452"/>
      <c r="AY328" s="154"/>
      <c r="AZ328" s="473"/>
      <c r="BA328" s="156"/>
      <c r="BB328" s="156"/>
      <c r="BC328" s="156"/>
      <c r="BD328" s="452"/>
      <c r="BE328" s="452"/>
      <c r="BF328" s="452"/>
      <c r="BG328" s="452"/>
      <c r="BH328" s="452"/>
    </row>
    <row r="329">
      <c r="A329" s="154"/>
      <c r="B329" s="473"/>
      <c r="C329" s="156"/>
      <c r="D329" s="156"/>
      <c r="E329" s="156"/>
      <c r="F329" s="154"/>
      <c r="G329" s="473"/>
      <c r="H329" s="156"/>
      <c r="I329" s="156"/>
      <c r="J329" s="156"/>
      <c r="K329" s="132"/>
      <c r="L329" s="473"/>
      <c r="M329" s="156"/>
      <c r="N329" s="156"/>
      <c r="O329" s="156"/>
      <c r="P329" s="132"/>
      <c r="Q329" s="487"/>
      <c r="R329" s="156"/>
      <c r="S329" s="156"/>
      <c r="T329" s="156"/>
      <c r="U329" s="154"/>
      <c r="V329" s="473"/>
      <c r="W329" s="156"/>
      <c r="X329" s="156"/>
      <c r="Y329" s="156"/>
      <c r="Z329" s="154"/>
      <c r="AA329" s="473"/>
      <c r="AB329" s="156"/>
      <c r="AC329" s="156"/>
      <c r="AD329" s="156"/>
      <c r="AE329" s="154"/>
      <c r="AF329" s="473"/>
      <c r="AG329" s="156"/>
      <c r="AH329" s="156"/>
      <c r="AI329" s="156"/>
      <c r="AJ329" s="154"/>
      <c r="AK329" s="473"/>
      <c r="AL329" s="156"/>
      <c r="AM329" s="156"/>
      <c r="AN329" s="156"/>
      <c r="AO329" s="452"/>
      <c r="AP329" s="452"/>
      <c r="AQ329" s="452"/>
      <c r="AR329" s="452"/>
      <c r="AS329" s="452"/>
      <c r="AT329" s="452"/>
      <c r="AU329" s="452"/>
      <c r="AV329" s="452"/>
      <c r="AW329" s="452"/>
      <c r="AX329" s="452"/>
      <c r="AY329" s="154"/>
      <c r="AZ329" s="473"/>
      <c r="BA329" s="156"/>
      <c r="BB329" s="156"/>
      <c r="BC329" s="156"/>
      <c r="BD329" s="452"/>
      <c r="BE329" s="452"/>
      <c r="BF329" s="452"/>
      <c r="BG329" s="452"/>
      <c r="BH329" s="452"/>
    </row>
    <row r="330">
      <c r="A330" s="154"/>
      <c r="B330" s="473"/>
      <c r="C330" s="156"/>
      <c r="D330" s="156"/>
      <c r="E330" s="156"/>
      <c r="F330" s="154"/>
      <c r="G330" s="473"/>
      <c r="H330" s="156"/>
      <c r="I330" s="156"/>
      <c r="J330" s="156"/>
      <c r="K330" s="132"/>
      <c r="L330" s="473"/>
      <c r="M330" s="156"/>
      <c r="N330" s="156"/>
      <c r="O330" s="156"/>
      <c r="P330" s="132"/>
      <c r="Q330" s="487"/>
      <c r="R330" s="156"/>
      <c r="S330" s="156"/>
      <c r="T330" s="156"/>
      <c r="U330" s="154"/>
      <c r="V330" s="473"/>
      <c r="W330" s="156"/>
      <c r="X330" s="156"/>
      <c r="Y330" s="156"/>
      <c r="Z330" s="154"/>
      <c r="AA330" s="473"/>
      <c r="AB330" s="156"/>
      <c r="AC330" s="156"/>
      <c r="AD330" s="156"/>
      <c r="AE330" s="154"/>
      <c r="AF330" s="473"/>
      <c r="AG330" s="156"/>
      <c r="AH330" s="156"/>
      <c r="AI330" s="156"/>
      <c r="AJ330" s="154"/>
      <c r="AK330" s="473"/>
      <c r="AL330" s="156"/>
      <c r="AM330" s="156"/>
      <c r="AN330" s="156"/>
      <c r="AO330" s="452"/>
      <c r="AP330" s="452"/>
      <c r="AQ330" s="452"/>
      <c r="AR330" s="452"/>
      <c r="AS330" s="452"/>
      <c r="AT330" s="452"/>
      <c r="AU330" s="452"/>
      <c r="AV330" s="452"/>
      <c r="AW330" s="452"/>
      <c r="AX330" s="452"/>
      <c r="AY330" s="154"/>
      <c r="AZ330" s="473"/>
      <c r="BA330" s="156"/>
      <c r="BB330" s="156"/>
      <c r="BC330" s="156"/>
      <c r="BD330" s="452"/>
      <c r="BE330" s="452"/>
      <c r="BF330" s="452"/>
      <c r="BG330" s="452"/>
      <c r="BH330" s="452"/>
    </row>
    <row r="331">
      <c r="A331" s="154"/>
      <c r="B331" s="473"/>
      <c r="C331" s="156"/>
      <c r="D331" s="156"/>
      <c r="E331" s="156"/>
      <c r="F331" s="154"/>
      <c r="G331" s="473"/>
      <c r="H331" s="156"/>
      <c r="I331" s="156"/>
      <c r="J331" s="156"/>
      <c r="K331" s="132"/>
      <c r="L331" s="473"/>
      <c r="M331" s="156"/>
      <c r="N331" s="156"/>
      <c r="O331" s="156"/>
      <c r="P331" s="132"/>
      <c r="Q331" s="487"/>
      <c r="R331" s="156"/>
      <c r="S331" s="156"/>
      <c r="T331" s="156"/>
      <c r="U331" s="154"/>
      <c r="V331" s="473"/>
      <c r="W331" s="156"/>
      <c r="X331" s="156"/>
      <c r="Y331" s="156"/>
      <c r="Z331" s="154"/>
      <c r="AA331" s="473"/>
      <c r="AB331" s="156"/>
      <c r="AC331" s="156"/>
      <c r="AD331" s="156"/>
      <c r="AE331" s="154"/>
      <c r="AF331" s="473"/>
      <c r="AG331" s="156"/>
      <c r="AH331" s="156"/>
      <c r="AI331" s="156"/>
      <c r="AJ331" s="154"/>
      <c r="AK331" s="473"/>
      <c r="AL331" s="156"/>
      <c r="AM331" s="156"/>
      <c r="AN331" s="156"/>
      <c r="AO331" s="452"/>
      <c r="AP331" s="452"/>
      <c r="AQ331" s="452"/>
      <c r="AR331" s="452"/>
      <c r="AS331" s="452"/>
      <c r="AT331" s="452"/>
      <c r="AU331" s="452"/>
      <c r="AV331" s="452"/>
      <c r="AW331" s="452"/>
      <c r="AX331" s="452"/>
      <c r="AY331" s="154"/>
      <c r="AZ331" s="473"/>
      <c r="BA331" s="156"/>
      <c r="BB331" s="156"/>
      <c r="BC331" s="156"/>
      <c r="BD331" s="452"/>
      <c r="BE331" s="452"/>
      <c r="BF331" s="452"/>
      <c r="BG331" s="452"/>
      <c r="BH331" s="452"/>
    </row>
    <row r="332">
      <c r="A332" s="154"/>
      <c r="B332" s="473"/>
      <c r="C332" s="156"/>
      <c r="D332" s="156"/>
      <c r="E332" s="156"/>
      <c r="F332" s="154"/>
      <c r="G332" s="473"/>
      <c r="H332" s="156"/>
      <c r="I332" s="156"/>
      <c r="J332" s="156"/>
      <c r="K332" s="132"/>
      <c r="L332" s="473"/>
      <c r="M332" s="156"/>
      <c r="N332" s="156"/>
      <c r="O332" s="156"/>
      <c r="P332" s="132"/>
      <c r="Q332" s="487"/>
      <c r="R332" s="156"/>
      <c r="S332" s="156"/>
      <c r="T332" s="156"/>
      <c r="U332" s="154"/>
      <c r="V332" s="473"/>
      <c r="W332" s="156"/>
      <c r="X332" s="156"/>
      <c r="Y332" s="156"/>
      <c r="Z332" s="154"/>
      <c r="AA332" s="473"/>
      <c r="AB332" s="156"/>
      <c r="AC332" s="156"/>
      <c r="AD332" s="156"/>
      <c r="AE332" s="154"/>
      <c r="AF332" s="473"/>
      <c r="AG332" s="156"/>
      <c r="AH332" s="156"/>
      <c r="AI332" s="156"/>
      <c r="AJ332" s="154"/>
      <c r="AK332" s="473"/>
      <c r="AL332" s="156"/>
      <c r="AM332" s="156"/>
      <c r="AN332" s="156"/>
      <c r="AO332" s="452"/>
      <c r="AP332" s="452"/>
      <c r="AQ332" s="452"/>
      <c r="AR332" s="452"/>
      <c r="AS332" s="452"/>
      <c r="AT332" s="452"/>
      <c r="AU332" s="452"/>
      <c r="AV332" s="452"/>
      <c r="AW332" s="452"/>
      <c r="AX332" s="452"/>
      <c r="AY332" s="154"/>
      <c r="AZ332" s="473"/>
      <c r="BA332" s="156"/>
      <c r="BB332" s="156"/>
      <c r="BC332" s="156"/>
      <c r="BD332" s="452"/>
      <c r="BE332" s="452"/>
      <c r="BF332" s="452"/>
      <c r="BG332" s="452"/>
      <c r="BH332" s="452"/>
    </row>
    <row r="333">
      <c r="A333" s="154"/>
      <c r="B333" s="473"/>
      <c r="C333" s="156"/>
      <c r="D333" s="156"/>
      <c r="E333" s="156"/>
      <c r="F333" s="154"/>
      <c r="G333" s="473"/>
      <c r="H333" s="156"/>
      <c r="I333" s="156"/>
      <c r="J333" s="156"/>
      <c r="K333" s="132"/>
      <c r="L333" s="473"/>
      <c r="M333" s="156"/>
      <c r="N333" s="156"/>
      <c r="O333" s="156"/>
      <c r="P333" s="132"/>
      <c r="Q333" s="487"/>
      <c r="R333" s="156"/>
      <c r="S333" s="156"/>
      <c r="T333" s="156"/>
      <c r="U333" s="154"/>
      <c r="V333" s="473"/>
      <c r="W333" s="156"/>
      <c r="X333" s="156"/>
      <c r="Y333" s="156"/>
      <c r="Z333" s="154"/>
      <c r="AA333" s="473"/>
      <c r="AB333" s="156"/>
      <c r="AC333" s="156"/>
      <c r="AD333" s="156"/>
      <c r="AE333" s="154"/>
      <c r="AF333" s="473"/>
      <c r="AG333" s="156"/>
      <c r="AH333" s="156"/>
      <c r="AI333" s="156"/>
      <c r="AJ333" s="154"/>
      <c r="AK333" s="473"/>
      <c r="AL333" s="156"/>
      <c r="AM333" s="156"/>
      <c r="AN333" s="156"/>
      <c r="AO333" s="452"/>
      <c r="AP333" s="452"/>
      <c r="AQ333" s="452"/>
      <c r="AR333" s="452"/>
      <c r="AS333" s="452"/>
      <c r="AT333" s="452"/>
      <c r="AU333" s="452"/>
      <c r="AV333" s="452"/>
      <c r="AW333" s="452"/>
      <c r="AX333" s="452"/>
      <c r="AY333" s="154"/>
      <c r="AZ333" s="473"/>
      <c r="BA333" s="156"/>
      <c r="BB333" s="156"/>
      <c r="BC333" s="156"/>
      <c r="BD333" s="452"/>
      <c r="BE333" s="452"/>
      <c r="BF333" s="452"/>
      <c r="BG333" s="452"/>
      <c r="BH333" s="452"/>
    </row>
    <row r="334">
      <c r="A334" s="154"/>
      <c r="B334" s="473"/>
      <c r="C334" s="156"/>
      <c r="D334" s="156"/>
      <c r="E334" s="156"/>
      <c r="F334" s="154"/>
      <c r="G334" s="473"/>
      <c r="H334" s="156"/>
      <c r="I334" s="156"/>
      <c r="J334" s="156"/>
      <c r="K334" s="132"/>
      <c r="L334" s="473"/>
      <c r="M334" s="156"/>
      <c r="N334" s="156"/>
      <c r="O334" s="156"/>
      <c r="P334" s="132"/>
      <c r="Q334" s="487"/>
      <c r="R334" s="156"/>
      <c r="S334" s="156"/>
      <c r="T334" s="156"/>
      <c r="U334" s="154"/>
      <c r="V334" s="473"/>
      <c r="W334" s="156"/>
      <c r="X334" s="156"/>
      <c r="Y334" s="156"/>
      <c r="Z334" s="154"/>
      <c r="AA334" s="473"/>
      <c r="AB334" s="156"/>
      <c r="AC334" s="156"/>
      <c r="AD334" s="156"/>
      <c r="AE334" s="154"/>
      <c r="AF334" s="473"/>
      <c r="AG334" s="156"/>
      <c r="AH334" s="156"/>
      <c r="AI334" s="156"/>
      <c r="AJ334" s="154"/>
      <c r="AK334" s="473"/>
      <c r="AL334" s="156"/>
      <c r="AM334" s="156"/>
      <c r="AN334" s="156"/>
      <c r="AO334" s="452"/>
      <c r="AP334" s="452"/>
      <c r="AQ334" s="452"/>
      <c r="AR334" s="452"/>
      <c r="AS334" s="452"/>
      <c r="AT334" s="452"/>
      <c r="AU334" s="452"/>
      <c r="AV334" s="452"/>
      <c r="AW334" s="452"/>
      <c r="AX334" s="452"/>
      <c r="AY334" s="154"/>
      <c r="AZ334" s="473"/>
      <c r="BA334" s="156"/>
      <c r="BB334" s="156"/>
      <c r="BC334" s="156"/>
      <c r="BD334" s="452"/>
      <c r="BE334" s="452"/>
      <c r="BF334" s="452"/>
      <c r="BG334" s="452"/>
      <c r="BH334" s="452"/>
    </row>
    <row r="335">
      <c r="A335" s="154"/>
      <c r="B335" s="473"/>
      <c r="C335" s="156"/>
      <c r="D335" s="156"/>
      <c r="E335" s="156"/>
      <c r="F335" s="154"/>
      <c r="G335" s="473"/>
      <c r="H335" s="156"/>
      <c r="I335" s="156"/>
      <c r="J335" s="156"/>
      <c r="K335" s="132"/>
      <c r="L335" s="473"/>
      <c r="M335" s="156"/>
      <c r="N335" s="156"/>
      <c r="O335" s="156"/>
      <c r="P335" s="132"/>
      <c r="Q335" s="487"/>
      <c r="R335" s="156"/>
      <c r="S335" s="156"/>
      <c r="T335" s="156"/>
      <c r="U335" s="154"/>
      <c r="V335" s="473"/>
      <c r="W335" s="156"/>
      <c r="X335" s="156"/>
      <c r="Y335" s="156"/>
      <c r="Z335" s="154"/>
      <c r="AA335" s="473"/>
      <c r="AB335" s="156"/>
      <c r="AC335" s="156"/>
      <c r="AD335" s="156"/>
      <c r="AE335" s="154"/>
      <c r="AF335" s="473"/>
      <c r="AG335" s="156"/>
      <c r="AH335" s="156"/>
      <c r="AI335" s="156"/>
      <c r="AJ335" s="154"/>
      <c r="AK335" s="473"/>
      <c r="AL335" s="156"/>
      <c r="AM335" s="156"/>
      <c r="AN335" s="156"/>
      <c r="AO335" s="452"/>
      <c r="AP335" s="452"/>
      <c r="AQ335" s="452"/>
      <c r="AR335" s="452"/>
      <c r="AS335" s="452"/>
      <c r="AT335" s="452"/>
      <c r="AU335" s="452"/>
      <c r="AV335" s="452"/>
      <c r="AW335" s="452"/>
      <c r="AX335" s="452"/>
      <c r="AY335" s="154"/>
      <c r="AZ335" s="473"/>
      <c r="BA335" s="156"/>
      <c r="BB335" s="156"/>
      <c r="BC335" s="156"/>
      <c r="BD335" s="452"/>
      <c r="BE335" s="452"/>
      <c r="BF335" s="452"/>
      <c r="BG335" s="452"/>
      <c r="BH335" s="452"/>
    </row>
    <row r="336">
      <c r="A336" s="154"/>
      <c r="B336" s="473"/>
      <c r="C336" s="156"/>
      <c r="D336" s="156"/>
      <c r="E336" s="156"/>
      <c r="F336" s="154"/>
      <c r="G336" s="473"/>
      <c r="H336" s="156"/>
      <c r="I336" s="156"/>
      <c r="J336" s="156"/>
      <c r="K336" s="132"/>
      <c r="L336" s="473"/>
      <c r="M336" s="156"/>
      <c r="N336" s="156"/>
      <c r="O336" s="156"/>
      <c r="P336" s="132"/>
      <c r="Q336" s="487"/>
      <c r="R336" s="156"/>
      <c r="S336" s="156"/>
      <c r="T336" s="156"/>
      <c r="U336" s="154"/>
      <c r="V336" s="473"/>
      <c r="W336" s="156"/>
      <c r="X336" s="156"/>
      <c r="Y336" s="156"/>
      <c r="Z336" s="154"/>
      <c r="AA336" s="473"/>
      <c r="AB336" s="156"/>
      <c r="AC336" s="156"/>
      <c r="AD336" s="156"/>
      <c r="AE336" s="154"/>
      <c r="AF336" s="473"/>
      <c r="AG336" s="156"/>
      <c r="AH336" s="156"/>
      <c r="AI336" s="156"/>
      <c r="AJ336" s="154"/>
      <c r="AK336" s="473"/>
      <c r="AL336" s="156"/>
      <c r="AM336" s="156"/>
      <c r="AN336" s="156"/>
      <c r="AO336" s="452"/>
      <c r="AP336" s="452"/>
      <c r="AQ336" s="452"/>
      <c r="AR336" s="452"/>
      <c r="AS336" s="452"/>
      <c r="AT336" s="452"/>
      <c r="AU336" s="452"/>
      <c r="AV336" s="452"/>
      <c r="AW336" s="452"/>
      <c r="AX336" s="452"/>
      <c r="AY336" s="154"/>
      <c r="AZ336" s="473"/>
      <c r="BA336" s="156"/>
      <c r="BB336" s="156"/>
      <c r="BC336" s="156"/>
      <c r="BD336" s="452"/>
      <c r="BE336" s="452"/>
      <c r="BF336" s="452"/>
      <c r="BG336" s="452"/>
      <c r="BH336" s="452"/>
    </row>
    <row r="337">
      <c r="A337" s="154"/>
      <c r="B337" s="473"/>
      <c r="C337" s="156"/>
      <c r="D337" s="156"/>
      <c r="E337" s="156"/>
      <c r="F337" s="154"/>
      <c r="G337" s="473"/>
      <c r="H337" s="156"/>
      <c r="I337" s="156"/>
      <c r="J337" s="156"/>
      <c r="K337" s="132"/>
      <c r="L337" s="473"/>
      <c r="M337" s="156"/>
      <c r="N337" s="156"/>
      <c r="O337" s="156"/>
      <c r="P337" s="132"/>
      <c r="Q337" s="487"/>
      <c r="R337" s="156"/>
      <c r="S337" s="156"/>
      <c r="T337" s="156"/>
      <c r="U337" s="154"/>
      <c r="V337" s="473"/>
      <c r="W337" s="156"/>
      <c r="X337" s="156"/>
      <c r="Y337" s="156"/>
      <c r="Z337" s="154"/>
      <c r="AA337" s="473"/>
      <c r="AB337" s="156"/>
      <c r="AC337" s="156"/>
      <c r="AD337" s="156"/>
      <c r="AE337" s="154"/>
      <c r="AF337" s="473"/>
      <c r="AG337" s="156"/>
      <c r="AH337" s="156"/>
      <c r="AI337" s="156"/>
      <c r="AJ337" s="154"/>
      <c r="AK337" s="473"/>
      <c r="AL337" s="156"/>
      <c r="AM337" s="156"/>
      <c r="AN337" s="156"/>
      <c r="AO337" s="452"/>
      <c r="AP337" s="452"/>
      <c r="AQ337" s="452"/>
      <c r="AR337" s="452"/>
      <c r="AS337" s="452"/>
      <c r="AT337" s="452"/>
      <c r="AU337" s="452"/>
      <c r="AV337" s="452"/>
      <c r="AW337" s="452"/>
      <c r="AX337" s="452"/>
      <c r="AY337" s="154"/>
      <c r="AZ337" s="473"/>
      <c r="BA337" s="156"/>
      <c r="BB337" s="156"/>
      <c r="BC337" s="156"/>
      <c r="BD337" s="452"/>
      <c r="BE337" s="452"/>
      <c r="BF337" s="452"/>
      <c r="BG337" s="452"/>
      <c r="BH337" s="452"/>
    </row>
    <row r="338">
      <c r="A338" s="154"/>
      <c r="B338" s="473"/>
      <c r="C338" s="156"/>
      <c r="D338" s="156"/>
      <c r="E338" s="156"/>
      <c r="F338" s="154"/>
      <c r="G338" s="473"/>
      <c r="H338" s="156"/>
      <c r="I338" s="156"/>
      <c r="J338" s="156"/>
      <c r="K338" s="132"/>
      <c r="L338" s="473"/>
      <c r="M338" s="156"/>
      <c r="N338" s="156"/>
      <c r="O338" s="156"/>
      <c r="P338" s="132"/>
      <c r="Q338" s="487"/>
      <c r="R338" s="156"/>
      <c r="S338" s="156"/>
      <c r="T338" s="156"/>
      <c r="U338" s="154"/>
      <c r="V338" s="473"/>
      <c r="W338" s="156"/>
      <c r="X338" s="156"/>
      <c r="Y338" s="156"/>
      <c r="Z338" s="154"/>
      <c r="AA338" s="473"/>
      <c r="AB338" s="156"/>
      <c r="AC338" s="156"/>
      <c r="AD338" s="156"/>
      <c r="AE338" s="154"/>
      <c r="AF338" s="473"/>
      <c r="AG338" s="156"/>
      <c r="AH338" s="156"/>
      <c r="AI338" s="156"/>
      <c r="AJ338" s="154"/>
      <c r="AK338" s="473"/>
      <c r="AL338" s="156"/>
      <c r="AM338" s="156"/>
      <c r="AN338" s="156"/>
      <c r="AO338" s="452"/>
      <c r="AP338" s="452"/>
      <c r="AQ338" s="452"/>
      <c r="AR338" s="452"/>
      <c r="AS338" s="452"/>
      <c r="AT338" s="452"/>
      <c r="AU338" s="452"/>
      <c r="AV338" s="452"/>
      <c r="AW338" s="452"/>
      <c r="AX338" s="452"/>
      <c r="AY338" s="154"/>
      <c r="AZ338" s="473"/>
      <c r="BA338" s="156"/>
      <c r="BB338" s="156"/>
      <c r="BC338" s="156"/>
      <c r="BD338" s="452"/>
      <c r="BE338" s="452"/>
      <c r="BF338" s="452"/>
      <c r="BG338" s="452"/>
      <c r="BH338" s="452"/>
    </row>
    <row r="339">
      <c r="A339" s="154"/>
      <c r="B339" s="473"/>
      <c r="C339" s="156"/>
      <c r="D339" s="156"/>
      <c r="E339" s="156"/>
      <c r="F339" s="154"/>
      <c r="G339" s="473"/>
      <c r="H339" s="156"/>
      <c r="I339" s="156"/>
      <c r="J339" s="156"/>
      <c r="K339" s="132"/>
      <c r="L339" s="473"/>
      <c r="M339" s="156"/>
      <c r="N339" s="156"/>
      <c r="O339" s="156"/>
      <c r="P339" s="132"/>
      <c r="Q339" s="487"/>
      <c r="R339" s="156"/>
      <c r="S339" s="156"/>
      <c r="T339" s="156"/>
      <c r="U339" s="154"/>
      <c r="V339" s="473"/>
      <c r="W339" s="156"/>
      <c r="X339" s="156"/>
      <c r="Y339" s="156"/>
      <c r="Z339" s="154"/>
      <c r="AA339" s="473"/>
      <c r="AB339" s="156"/>
      <c r="AC339" s="156"/>
      <c r="AD339" s="156"/>
      <c r="AE339" s="154"/>
      <c r="AF339" s="473"/>
      <c r="AG339" s="156"/>
      <c r="AH339" s="156"/>
      <c r="AI339" s="156"/>
      <c r="AJ339" s="154"/>
      <c r="AK339" s="473"/>
      <c r="AL339" s="156"/>
      <c r="AM339" s="156"/>
      <c r="AN339" s="156"/>
      <c r="AO339" s="452"/>
      <c r="AP339" s="452"/>
      <c r="AQ339" s="452"/>
      <c r="AR339" s="452"/>
      <c r="AS339" s="452"/>
      <c r="AT339" s="452"/>
      <c r="AU339" s="452"/>
      <c r="AV339" s="452"/>
      <c r="AW339" s="452"/>
      <c r="AX339" s="452"/>
      <c r="AY339" s="154"/>
      <c r="AZ339" s="473"/>
      <c r="BA339" s="156"/>
      <c r="BB339" s="156"/>
      <c r="BC339" s="156"/>
      <c r="BD339" s="452"/>
      <c r="BE339" s="452"/>
      <c r="BF339" s="452"/>
      <c r="BG339" s="452"/>
      <c r="BH339" s="452"/>
    </row>
    <row r="340">
      <c r="A340" s="154"/>
      <c r="B340" s="473"/>
      <c r="C340" s="156"/>
      <c r="D340" s="156"/>
      <c r="E340" s="156"/>
      <c r="F340" s="154"/>
      <c r="G340" s="473"/>
      <c r="H340" s="156"/>
      <c r="I340" s="156"/>
      <c r="J340" s="156"/>
      <c r="K340" s="132"/>
      <c r="L340" s="473"/>
      <c r="M340" s="156"/>
      <c r="N340" s="156"/>
      <c r="O340" s="156"/>
      <c r="P340" s="132"/>
      <c r="Q340" s="487"/>
      <c r="R340" s="156"/>
      <c r="S340" s="156"/>
      <c r="T340" s="156"/>
      <c r="U340" s="154"/>
      <c r="V340" s="473"/>
      <c r="W340" s="156"/>
      <c r="X340" s="156"/>
      <c r="Y340" s="156"/>
      <c r="Z340" s="154"/>
      <c r="AA340" s="473"/>
      <c r="AB340" s="156"/>
      <c r="AC340" s="156"/>
      <c r="AD340" s="156"/>
      <c r="AE340" s="154"/>
      <c r="AF340" s="473"/>
      <c r="AG340" s="156"/>
      <c r="AH340" s="156"/>
      <c r="AI340" s="156"/>
      <c r="AJ340" s="154"/>
      <c r="AK340" s="473"/>
      <c r="AL340" s="156"/>
      <c r="AM340" s="156"/>
      <c r="AN340" s="156"/>
      <c r="AO340" s="452"/>
      <c r="AP340" s="452"/>
      <c r="AQ340" s="452"/>
      <c r="AR340" s="452"/>
      <c r="AS340" s="452"/>
      <c r="AT340" s="452"/>
      <c r="AU340" s="452"/>
      <c r="AV340" s="452"/>
      <c r="AW340" s="452"/>
      <c r="AX340" s="452"/>
      <c r="AY340" s="154"/>
      <c r="AZ340" s="473"/>
      <c r="BA340" s="156"/>
      <c r="BB340" s="156"/>
      <c r="BC340" s="156"/>
      <c r="BD340" s="452"/>
      <c r="BE340" s="452"/>
      <c r="BF340" s="452"/>
      <c r="BG340" s="452"/>
      <c r="BH340" s="452"/>
    </row>
    <row r="341">
      <c r="A341" s="154"/>
      <c r="B341" s="473"/>
      <c r="C341" s="156"/>
      <c r="D341" s="156"/>
      <c r="E341" s="156"/>
      <c r="F341" s="154"/>
      <c r="G341" s="473"/>
      <c r="H341" s="156"/>
      <c r="I341" s="156"/>
      <c r="J341" s="156"/>
      <c r="K341" s="132"/>
      <c r="L341" s="473"/>
      <c r="M341" s="156"/>
      <c r="N341" s="156"/>
      <c r="O341" s="156"/>
      <c r="P341" s="132"/>
      <c r="Q341" s="487"/>
      <c r="R341" s="156"/>
      <c r="S341" s="156"/>
      <c r="T341" s="156"/>
      <c r="U341" s="154"/>
      <c r="V341" s="473"/>
      <c r="W341" s="156"/>
      <c r="X341" s="156"/>
      <c r="Y341" s="156"/>
      <c r="Z341" s="154"/>
      <c r="AA341" s="473"/>
      <c r="AB341" s="156"/>
      <c r="AC341" s="156"/>
      <c r="AD341" s="156"/>
      <c r="AE341" s="154"/>
      <c r="AF341" s="473"/>
      <c r="AG341" s="156"/>
      <c r="AH341" s="156"/>
      <c r="AI341" s="156"/>
      <c r="AJ341" s="154"/>
      <c r="AK341" s="473"/>
      <c r="AL341" s="156"/>
      <c r="AM341" s="156"/>
      <c r="AN341" s="156"/>
      <c r="AO341" s="452"/>
      <c r="AP341" s="452"/>
      <c r="AQ341" s="452"/>
      <c r="AR341" s="452"/>
      <c r="AS341" s="452"/>
      <c r="AT341" s="452"/>
      <c r="AU341" s="452"/>
      <c r="AV341" s="452"/>
      <c r="AW341" s="452"/>
      <c r="AX341" s="452"/>
      <c r="AY341" s="154"/>
      <c r="AZ341" s="473"/>
      <c r="BA341" s="156"/>
      <c r="BB341" s="156"/>
      <c r="BC341" s="156"/>
      <c r="BD341" s="452"/>
      <c r="BE341" s="452"/>
      <c r="BF341" s="452"/>
      <c r="BG341" s="452"/>
      <c r="BH341" s="452"/>
    </row>
    <row r="342">
      <c r="A342" s="154"/>
      <c r="B342" s="473"/>
      <c r="C342" s="156"/>
      <c r="D342" s="156"/>
      <c r="E342" s="156"/>
      <c r="F342" s="154"/>
      <c r="G342" s="473"/>
      <c r="H342" s="156"/>
      <c r="I342" s="156"/>
      <c r="J342" s="156"/>
      <c r="K342" s="132"/>
      <c r="L342" s="473"/>
      <c r="M342" s="156"/>
      <c r="N342" s="156"/>
      <c r="O342" s="156"/>
      <c r="P342" s="132"/>
      <c r="Q342" s="487"/>
      <c r="R342" s="156"/>
      <c r="S342" s="156"/>
      <c r="T342" s="156"/>
      <c r="U342" s="154"/>
      <c r="V342" s="473"/>
      <c r="W342" s="156"/>
      <c r="X342" s="156"/>
      <c r="Y342" s="156"/>
      <c r="Z342" s="154"/>
      <c r="AA342" s="473"/>
      <c r="AB342" s="156"/>
      <c r="AC342" s="156"/>
      <c r="AD342" s="156"/>
      <c r="AE342" s="154"/>
      <c r="AF342" s="473"/>
      <c r="AG342" s="156"/>
      <c r="AH342" s="156"/>
      <c r="AI342" s="156"/>
      <c r="AJ342" s="154"/>
      <c r="AK342" s="473"/>
      <c r="AL342" s="156"/>
      <c r="AM342" s="156"/>
      <c r="AN342" s="156"/>
      <c r="AO342" s="452"/>
      <c r="AP342" s="452"/>
      <c r="AQ342" s="452"/>
      <c r="AR342" s="452"/>
      <c r="AS342" s="452"/>
      <c r="AT342" s="452"/>
      <c r="AU342" s="452"/>
      <c r="AV342" s="452"/>
      <c r="AW342" s="452"/>
      <c r="AX342" s="452"/>
      <c r="AY342" s="154"/>
      <c r="AZ342" s="473"/>
      <c r="BA342" s="156"/>
      <c r="BB342" s="156"/>
      <c r="BC342" s="156"/>
      <c r="BD342" s="452"/>
      <c r="BE342" s="452"/>
      <c r="BF342" s="452"/>
      <c r="BG342" s="452"/>
      <c r="BH342" s="452"/>
    </row>
    <row r="343">
      <c r="A343" s="154"/>
      <c r="B343" s="473"/>
      <c r="C343" s="156"/>
      <c r="D343" s="156"/>
      <c r="E343" s="156"/>
      <c r="F343" s="154"/>
      <c r="G343" s="473"/>
      <c r="H343" s="156"/>
      <c r="I343" s="156"/>
      <c r="J343" s="156"/>
      <c r="K343" s="132"/>
      <c r="L343" s="473"/>
      <c r="M343" s="156"/>
      <c r="N343" s="156"/>
      <c r="O343" s="156"/>
      <c r="P343" s="132"/>
      <c r="Q343" s="487"/>
      <c r="R343" s="156"/>
      <c r="S343" s="156"/>
      <c r="T343" s="156"/>
      <c r="U343" s="154"/>
      <c r="V343" s="473"/>
      <c r="W343" s="156"/>
      <c r="X343" s="156"/>
      <c r="Y343" s="156"/>
      <c r="Z343" s="154"/>
      <c r="AA343" s="473"/>
      <c r="AB343" s="156"/>
      <c r="AC343" s="156"/>
      <c r="AD343" s="156"/>
      <c r="AE343" s="154"/>
      <c r="AF343" s="473"/>
      <c r="AG343" s="156"/>
      <c r="AH343" s="156"/>
      <c r="AI343" s="156"/>
      <c r="AJ343" s="154"/>
      <c r="AK343" s="473"/>
      <c r="AL343" s="156"/>
      <c r="AM343" s="156"/>
      <c r="AN343" s="156"/>
      <c r="AO343" s="452"/>
      <c r="AP343" s="452"/>
      <c r="AQ343" s="452"/>
      <c r="AR343" s="452"/>
      <c r="AS343" s="452"/>
      <c r="AT343" s="452"/>
      <c r="AU343" s="452"/>
      <c r="AV343" s="452"/>
      <c r="AW343" s="452"/>
      <c r="AX343" s="452"/>
      <c r="AY343" s="154"/>
      <c r="AZ343" s="473"/>
      <c r="BA343" s="156"/>
      <c r="BB343" s="156"/>
      <c r="BC343" s="156"/>
      <c r="BD343" s="452"/>
      <c r="BE343" s="452"/>
      <c r="BF343" s="452"/>
      <c r="BG343" s="452"/>
      <c r="BH343" s="452"/>
    </row>
    <row r="344">
      <c r="A344" s="154"/>
      <c r="B344" s="473"/>
      <c r="C344" s="156"/>
      <c r="D344" s="156"/>
      <c r="E344" s="156"/>
      <c r="F344" s="154"/>
      <c r="G344" s="473"/>
      <c r="H344" s="156"/>
      <c r="I344" s="156"/>
      <c r="J344" s="156"/>
      <c r="K344" s="132"/>
      <c r="L344" s="473"/>
      <c r="M344" s="156"/>
      <c r="N344" s="156"/>
      <c r="O344" s="156"/>
      <c r="P344" s="132"/>
      <c r="Q344" s="487"/>
      <c r="R344" s="156"/>
      <c r="S344" s="156"/>
      <c r="T344" s="156"/>
      <c r="U344" s="154"/>
      <c r="V344" s="473"/>
      <c r="W344" s="156"/>
      <c r="X344" s="156"/>
      <c r="Y344" s="156"/>
      <c r="Z344" s="154"/>
      <c r="AA344" s="473"/>
      <c r="AB344" s="156"/>
      <c r="AC344" s="156"/>
      <c r="AD344" s="156"/>
      <c r="AE344" s="154"/>
      <c r="AF344" s="473"/>
      <c r="AG344" s="156"/>
      <c r="AH344" s="156"/>
      <c r="AI344" s="156"/>
      <c r="AJ344" s="154"/>
      <c r="AK344" s="473"/>
      <c r="AL344" s="156"/>
      <c r="AM344" s="156"/>
      <c r="AN344" s="156"/>
      <c r="AO344" s="452"/>
      <c r="AP344" s="452"/>
      <c r="AQ344" s="452"/>
      <c r="AR344" s="452"/>
      <c r="AS344" s="452"/>
      <c r="AT344" s="452"/>
      <c r="AU344" s="452"/>
      <c r="AV344" s="452"/>
      <c r="AW344" s="452"/>
      <c r="AX344" s="452"/>
      <c r="AY344" s="154"/>
      <c r="AZ344" s="473"/>
      <c r="BA344" s="156"/>
      <c r="BB344" s="156"/>
      <c r="BC344" s="156"/>
      <c r="BD344" s="452"/>
      <c r="BE344" s="452"/>
      <c r="BF344" s="452"/>
      <c r="BG344" s="452"/>
      <c r="BH344" s="452"/>
    </row>
    <row r="345">
      <c r="A345" s="154"/>
      <c r="B345" s="473"/>
      <c r="C345" s="156"/>
      <c r="D345" s="156"/>
      <c r="E345" s="156"/>
      <c r="F345" s="154"/>
      <c r="G345" s="473"/>
      <c r="H345" s="156"/>
      <c r="I345" s="156"/>
      <c r="J345" s="156"/>
      <c r="K345" s="132"/>
      <c r="L345" s="473"/>
      <c r="M345" s="156"/>
      <c r="N345" s="156"/>
      <c r="O345" s="156"/>
      <c r="P345" s="132"/>
      <c r="Q345" s="487"/>
      <c r="R345" s="156"/>
      <c r="S345" s="156"/>
      <c r="T345" s="156"/>
      <c r="U345" s="154"/>
      <c r="V345" s="473"/>
      <c r="W345" s="156"/>
      <c r="X345" s="156"/>
      <c r="Y345" s="156"/>
      <c r="Z345" s="154"/>
      <c r="AA345" s="473"/>
      <c r="AB345" s="156"/>
      <c r="AC345" s="156"/>
      <c r="AD345" s="156"/>
      <c r="AE345" s="154"/>
      <c r="AF345" s="473"/>
      <c r="AG345" s="156"/>
      <c r="AH345" s="156"/>
      <c r="AI345" s="156"/>
      <c r="AJ345" s="154"/>
      <c r="AK345" s="473"/>
      <c r="AL345" s="156"/>
      <c r="AM345" s="156"/>
      <c r="AN345" s="156"/>
      <c r="AO345" s="452"/>
      <c r="AP345" s="452"/>
      <c r="AQ345" s="452"/>
      <c r="AR345" s="452"/>
      <c r="AS345" s="452"/>
      <c r="AT345" s="452"/>
      <c r="AU345" s="452"/>
      <c r="AV345" s="452"/>
      <c r="AW345" s="452"/>
      <c r="AX345" s="452"/>
      <c r="AY345" s="154"/>
      <c r="AZ345" s="473"/>
      <c r="BA345" s="156"/>
      <c r="BB345" s="156"/>
      <c r="BC345" s="156"/>
      <c r="BD345" s="452"/>
      <c r="BE345" s="452"/>
      <c r="BF345" s="452"/>
      <c r="BG345" s="452"/>
      <c r="BH345" s="452"/>
    </row>
    <row r="346">
      <c r="A346" s="154"/>
      <c r="B346" s="473"/>
      <c r="C346" s="156"/>
      <c r="D346" s="156"/>
      <c r="E346" s="156"/>
      <c r="F346" s="154"/>
      <c r="G346" s="473"/>
      <c r="H346" s="156"/>
      <c r="I346" s="156"/>
      <c r="J346" s="156"/>
      <c r="K346" s="132"/>
      <c r="L346" s="473"/>
      <c r="M346" s="156"/>
      <c r="N346" s="156"/>
      <c r="O346" s="156"/>
      <c r="P346" s="132"/>
      <c r="Q346" s="487"/>
      <c r="R346" s="156"/>
      <c r="S346" s="156"/>
      <c r="T346" s="156"/>
      <c r="U346" s="154"/>
      <c r="V346" s="473"/>
      <c r="W346" s="156"/>
      <c r="X346" s="156"/>
      <c r="Y346" s="156"/>
      <c r="Z346" s="154"/>
      <c r="AA346" s="473"/>
      <c r="AB346" s="156"/>
      <c r="AC346" s="156"/>
      <c r="AD346" s="156"/>
      <c r="AE346" s="154"/>
      <c r="AF346" s="473"/>
      <c r="AG346" s="156"/>
      <c r="AH346" s="156"/>
      <c r="AI346" s="156"/>
      <c r="AJ346" s="154"/>
      <c r="AK346" s="473"/>
      <c r="AL346" s="156"/>
      <c r="AM346" s="156"/>
      <c r="AN346" s="156"/>
      <c r="AO346" s="452"/>
      <c r="AP346" s="452"/>
      <c r="AQ346" s="452"/>
      <c r="AR346" s="452"/>
      <c r="AS346" s="452"/>
      <c r="AT346" s="452"/>
      <c r="AU346" s="452"/>
      <c r="AV346" s="452"/>
      <c r="AW346" s="452"/>
      <c r="AX346" s="452"/>
      <c r="AY346" s="154"/>
      <c r="AZ346" s="473"/>
      <c r="BA346" s="156"/>
      <c r="BB346" s="156"/>
      <c r="BC346" s="156"/>
      <c r="BD346" s="452"/>
      <c r="BE346" s="452"/>
      <c r="BF346" s="452"/>
      <c r="BG346" s="452"/>
      <c r="BH346" s="452"/>
    </row>
    <row r="347">
      <c r="A347" s="154"/>
      <c r="B347" s="473"/>
      <c r="C347" s="156"/>
      <c r="D347" s="156"/>
      <c r="E347" s="156"/>
      <c r="F347" s="154"/>
      <c r="G347" s="473"/>
      <c r="H347" s="156"/>
      <c r="I347" s="156"/>
      <c r="J347" s="156"/>
      <c r="K347" s="132"/>
      <c r="L347" s="473"/>
      <c r="M347" s="156"/>
      <c r="N347" s="156"/>
      <c r="O347" s="156"/>
      <c r="P347" s="132"/>
      <c r="Q347" s="487"/>
      <c r="R347" s="156"/>
      <c r="S347" s="156"/>
      <c r="T347" s="156"/>
      <c r="U347" s="154"/>
      <c r="V347" s="473"/>
      <c r="W347" s="156"/>
      <c r="X347" s="156"/>
      <c r="Y347" s="156"/>
      <c r="Z347" s="154"/>
      <c r="AA347" s="473"/>
      <c r="AB347" s="156"/>
      <c r="AC347" s="156"/>
      <c r="AD347" s="156"/>
      <c r="AE347" s="154"/>
      <c r="AF347" s="473"/>
      <c r="AG347" s="156"/>
      <c r="AH347" s="156"/>
      <c r="AI347" s="156"/>
      <c r="AJ347" s="154"/>
      <c r="AK347" s="473"/>
      <c r="AL347" s="156"/>
      <c r="AM347" s="156"/>
      <c r="AN347" s="156"/>
      <c r="AO347" s="452"/>
      <c r="AP347" s="452"/>
      <c r="AQ347" s="452"/>
      <c r="AR347" s="452"/>
      <c r="AS347" s="452"/>
      <c r="AT347" s="452"/>
      <c r="AU347" s="452"/>
      <c r="AV347" s="452"/>
      <c r="AW347" s="452"/>
      <c r="AX347" s="452"/>
      <c r="AY347" s="154"/>
      <c r="AZ347" s="473"/>
      <c r="BA347" s="156"/>
      <c r="BB347" s="156"/>
      <c r="BC347" s="156"/>
      <c r="BD347" s="452"/>
      <c r="BE347" s="452"/>
      <c r="BF347" s="452"/>
      <c r="BG347" s="452"/>
      <c r="BH347" s="452"/>
    </row>
    <row r="348">
      <c r="A348" s="154"/>
      <c r="B348" s="473"/>
      <c r="C348" s="156"/>
      <c r="D348" s="156"/>
      <c r="E348" s="156"/>
      <c r="F348" s="154"/>
      <c r="G348" s="473"/>
      <c r="H348" s="156"/>
      <c r="I348" s="156"/>
      <c r="J348" s="156"/>
      <c r="K348" s="132"/>
      <c r="L348" s="473"/>
      <c r="M348" s="156"/>
      <c r="N348" s="156"/>
      <c r="O348" s="156"/>
      <c r="P348" s="132"/>
      <c r="Q348" s="487"/>
      <c r="R348" s="156"/>
      <c r="S348" s="156"/>
      <c r="T348" s="156"/>
      <c r="U348" s="154"/>
      <c r="V348" s="473"/>
      <c r="W348" s="156"/>
      <c r="X348" s="156"/>
      <c r="Y348" s="156"/>
      <c r="Z348" s="154"/>
      <c r="AA348" s="473"/>
      <c r="AB348" s="156"/>
      <c r="AC348" s="156"/>
      <c r="AD348" s="156"/>
      <c r="AE348" s="154"/>
      <c r="AF348" s="473"/>
      <c r="AG348" s="156"/>
      <c r="AH348" s="156"/>
      <c r="AI348" s="156"/>
      <c r="AJ348" s="154"/>
      <c r="AK348" s="473"/>
      <c r="AL348" s="156"/>
      <c r="AM348" s="156"/>
      <c r="AN348" s="156"/>
      <c r="AO348" s="452"/>
      <c r="AP348" s="452"/>
      <c r="AQ348" s="452"/>
      <c r="AR348" s="452"/>
      <c r="AS348" s="452"/>
      <c r="AT348" s="452"/>
      <c r="AU348" s="452"/>
      <c r="AV348" s="452"/>
      <c r="AW348" s="452"/>
      <c r="AX348" s="452"/>
      <c r="AY348" s="154"/>
      <c r="AZ348" s="473"/>
      <c r="BA348" s="156"/>
      <c r="BB348" s="156"/>
      <c r="BC348" s="156"/>
      <c r="BD348" s="452"/>
      <c r="BE348" s="452"/>
      <c r="BF348" s="452"/>
      <c r="BG348" s="452"/>
      <c r="BH348" s="452"/>
    </row>
    <row r="349">
      <c r="A349" s="154"/>
      <c r="B349" s="473"/>
      <c r="C349" s="156"/>
      <c r="D349" s="156"/>
      <c r="E349" s="156"/>
      <c r="F349" s="154"/>
      <c r="G349" s="473"/>
      <c r="H349" s="156"/>
      <c r="I349" s="156"/>
      <c r="J349" s="156"/>
      <c r="K349" s="132"/>
      <c r="L349" s="473"/>
      <c r="M349" s="156"/>
      <c r="N349" s="156"/>
      <c r="O349" s="156"/>
      <c r="P349" s="132"/>
      <c r="Q349" s="487"/>
      <c r="R349" s="156"/>
      <c r="S349" s="156"/>
      <c r="T349" s="156"/>
      <c r="U349" s="154"/>
      <c r="V349" s="473"/>
      <c r="W349" s="156"/>
      <c r="X349" s="156"/>
      <c r="Y349" s="156"/>
      <c r="Z349" s="154"/>
      <c r="AA349" s="473"/>
      <c r="AB349" s="156"/>
      <c r="AC349" s="156"/>
      <c r="AD349" s="156"/>
      <c r="AE349" s="154"/>
      <c r="AF349" s="473"/>
      <c r="AG349" s="156"/>
      <c r="AH349" s="156"/>
      <c r="AI349" s="156"/>
      <c r="AJ349" s="154"/>
      <c r="AK349" s="473"/>
      <c r="AL349" s="156"/>
      <c r="AM349" s="156"/>
      <c r="AN349" s="156"/>
      <c r="AO349" s="452"/>
      <c r="AP349" s="452"/>
      <c r="AQ349" s="452"/>
      <c r="AR349" s="452"/>
      <c r="AS349" s="452"/>
      <c r="AT349" s="452"/>
      <c r="AU349" s="452"/>
      <c r="AV349" s="452"/>
      <c r="AW349" s="452"/>
      <c r="AX349" s="452"/>
      <c r="AY349" s="154"/>
      <c r="AZ349" s="473"/>
      <c r="BA349" s="156"/>
      <c r="BB349" s="156"/>
      <c r="BC349" s="156"/>
      <c r="BD349" s="452"/>
      <c r="BE349" s="452"/>
      <c r="BF349" s="452"/>
      <c r="BG349" s="452"/>
      <c r="BH349" s="452"/>
    </row>
    <row r="350">
      <c r="A350" s="154"/>
      <c r="B350" s="473"/>
      <c r="C350" s="156"/>
      <c r="D350" s="156"/>
      <c r="E350" s="156"/>
      <c r="F350" s="154"/>
      <c r="G350" s="473"/>
      <c r="H350" s="156"/>
      <c r="I350" s="156"/>
      <c r="J350" s="156"/>
      <c r="K350" s="132"/>
      <c r="L350" s="473"/>
      <c r="M350" s="156"/>
      <c r="N350" s="156"/>
      <c r="O350" s="156"/>
      <c r="P350" s="132"/>
      <c r="Q350" s="487"/>
      <c r="R350" s="156"/>
      <c r="S350" s="156"/>
      <c r="T350" s="156"/>
      <c r="U350" s="154"/>
      <c r="V350" s="473"/>
      <c r="W350" s="156"/>
      <c r="X350" s="156"/>
      <c r="Y350" s="156"/>
      <c r="Z350" s="154"/>
      <c r="AA350" s="473"/>
      <c r="AB350" s="156"/>
      <c r="AC350" s="156"/>
      <c r="AD350" s="156"/>
      <c r="AE350" s="154"/>
      <c r="AF350" s="473"/>
      <c r="AG350" s="156"/>
      <c r="AH350" s="156"/>
      <c r="AI350" s="156"/>
      <c r="AJ350" s="154"/>
      <c r="AK350" s="473"/>
      <c r="AL350" s="156"/>
      <c r="AM350" s="156"/>
      <c r="AN350" s="156"/>
      <c r="AO350" s="452"/>
      <c r="AP350" s="452"/>
      <c r="AQ350" s="452"/>
      <c r="AR350" s="452"/>
      <c r="AS350" s="452"/>
      <c r="AT350" s="452"/>
      <c r="AU350" s="452"/>
      <c r="AV350" s="452"/>
      <c r="AW350" s="452"/>
      <c r="AX350" s="452"/>
      <c r="AY350" s="154"/>
      <c r="AZ350" s="473"/>
      <c r="BA350" s="156"/>
      <c r="BB350" s="156"/>
      <c r="BC350" s="156"/>
      <c r="BD350" s="452"/>
      <c r="BE350" s="452"/>
      <c r="BF350" s="452"/>
      <c r="BG350" s="452"/>
      <c r="BH350" s="452"/>
    </row>
    <row r="351">
      <c r="A351" s="154"/>
      <c r="B351" s="473"/>
      <c r="C351" s="156"/>
      <c r="D351" s="156"/>
      <c r="E351" s="156"/>
      <c r="F351" s="154"/>
      <c r="G351" s="473"/>
      <c r="H351" s="156"/>
      <c r="I351" s="156"/>
      <c r="J351" s="156"/>
      <c r="K351" s="132"/>
      <c r="L351" s="473"/>
      <c r="M351" s="156"/>
      <c r="N351" s="156"/>
      <c r="O351" s="156"/>
      <c r="P351" s="132"/>
      <c r="Q351" s="487"/>
      <c r="R351" s="156"/>
      <c r="S351" s="156"/>
      <c r="T351" s="156"/>
      <c r="U351" s="154"/>
      <c r="V351" s="473"/>
      <c r="W351" s="156"/>
      <c r="X351" s="156"/>
      <c r="Y351" s="156"/>
      <c r="Z351" s="154"/>
      <c r="AA351" s="473"/>
      <c r="AB351" s="156"/>
      <c r="AC351" s="156"/>
      <c r="AD351" s="156"/>
      <c r="AE351" s="154"/>
      <c r="AF351" s="473"/>
      <c r="AG351" s="156"/>
      <c r="AH351" s="156"/>
      <c r="AI351" s="156"/>
      <c r="AJ351" s="154"/>
      <c r="AK351" s="473"/>
      <c r="AL351" s="156"/>
      <c r="AM351" s="156"/>
      <c r="AN351" s="156"/>
      <c r="AO351" s="452"/>
      <c r="AP351" s="452"/>
      <c r="AQ351" s="452"/>
      <c r="AR351" s="452"/>
      <c r="AS351" s="452"/>
      <c r="AT351" s="452"/>
      <c r="AU351" s="452"/>
      <c r="AV351" s="452"/>
      <c r="AW351" s="452"/>
      <c r="AX351" s="452"/>
      <c r="AY351" s="154"/>
      <c r="AZ351" s="473"/>
      <c r="BA351" s="156"/>
      <c r="BB351" s="156"/>
      <c r="BC351" s="156"/>
      <c r="BD351" s="452"/>
      <c r="BE351" s="452"/>
      <c r="BF351" s="452"/>
      <c r="BG351" s="452"/>
      <c r="BH351" s="452"/>
    </row>
    <row r="352">
      <c r="A352" s="154"/>
      <c r="B352" s="473"/>
      <c r="C352" s="156"/>
      <c r="D352" s="156"/>
      <c r="E352" s="156"/>
      <c r="F352" s="154"/>
      <c r="G352" s="473"/>
      <c r="H352" s="156"/>
      <c r="I352" s="156"/>
      <c r="J352" s="156"/>
      <c r="K352" s="132"/>
      <c r="L352" s="473"/>
      <c r="M352" s="156"/>
      <c r="N352" s="156"/>
      <c r="O352" s="156"/>
      <c r="P352" s="132"/>
      <c r="Q352" s="487"/>
      <c r="R352" s="156"/>
      <c r="S352" s="156"/>
      <c r="T352" s="156"/>
      <c r="U352" s="154"/>
      <c r="V352" s="473"/>
      <c r="W352" s="156"/>
      <c r="X352" s="156"/>
      <c r="Y352" s="156"/>
      <c r="Z352" s="154"/>
      <c r="AA352" s="473"/>
      <c r="AB352" s="156"/>
      <c r="AC352" s="156"/>
      <c r="AD352" s="156"/>
      <c r="AE352" s="154"/>
      <c r="AF352" s="473"/>
      <c r="AG352" s="156"/>
      <c r="AH352" s="156"/>
      <c r="AI352" s="156"/>
      <c r="AJ352" s="154"/>
      <c r="AK352" s="473"/>
      <c r="AL352" s="156"/>
      <c r="AM352" s="156"/>
      <c r="AN352" s="156"/>
      <c r="AO352" s="452"/>
      <c r="AP352" s="452"/>
      <c r="AQ352" s="452"/>
      <c r="AR352" s="452"/>
      <c r="AS352" s="452"/>
      <c r="AT352" s="452"/>
      <c r="AU352" s="452"/>
      <c r="AV352" s="452"/>
      <c r="AW352" s="452"/>
      <c r="AX352" s="452"/>
      <c r="AY352" s="154"/>
      <c r="AZ352" s="473"/>
      <c r="BA352" s="156"/>
      <c r="BB352" s="156"/>
      <c r="BC352" s="156"/>
      <c r="BD352" s="452"/>
      <c r="BE352" s="452"/>
      <c r="BF352" s="452"/>
      <c r="BG352" s="452"/>
      <c r="BH352" s="452"/>
    </row>
    <row r="353">
      <c r="A353" s="154"/>
      <c r="B353" s="473"/>
      <c r="C353" s="156"/>
      <c r="D353" s="156"/>
      <c r="E353" s="156"/>
      <c r="F353" s="154"/>
      <c r="G353" s="473"/>
      <c r="H353" s="156"/>
      <c r="I353" s="156"/>
      <c r="J353" s="156"/>
      <c r="K353" s="132"/>
      <c r="L353" s="473"/>
      <c r="M353" s="156"/>
      <c r="N353" s="156"/>
      <c r="O353" s="156"/>
      <c r="P353" s="132"/>
      <c r="Q353" s="487"/>
      <c r="R353" s="156"/>
      <c r="S353" s="156"/>
      <c r="T353" s="156"/>
      <c r="U353" s="154"/>
      <c r="V353" s="473"/>
      <c r="W353" s="156"/>
      <c r="X353" s="156"/>
      <c r="Y353" s="156"/>
      <c r="Z353" s="154"/>
      <c r="AA353" s="473"/>
      <c r="AB353" s="156"/>
      <c r="AC353" s="156"/>
      <c r="AD353" s="156"/>
      <c r="AE353" s="154"/>
      <c r="AF353" s="473"/>
      <c r="AG353" s="156"/>
      <c r="AH353" s="156"/>
      <c r="AI353" s="156"/>
      <c r="AJ353" s="154"/>
      <c r="AK353" s="473"/>
      <c r="AL353" s="156"/>
      <c r="AM353" s="156"/>
      <c r="AN353" s="156"/>
      <c r="AO353" s="452"/>
      <c r="AP353" s="452"/>
      <c r="AQ353" s="452"/>
      <c r="AR353" s="452"/>
      <c r="AS353" s="452"/>
      <c r="AT353" s="452"/>
      <c r="AU353" s="452"/>
      <c r="AV353" s="452"/>
      <c r="AW353" s="452"/>
      <c r="AX353" s="452"/>
      <c r="AY353" s="154"/>
      <c r="AZ353" s="473"/>
      <c r="BA353" s="156"/>
      <c r="BB353" s="156"/>
      <c r="BC353" s="156"/>
      <c r="BD353" s="452"/>
      <c r="BE353" s="452"/>
      <c r="BF353" s="452"/>
      <c r="BG353" s="452"/>
      <c r="BH353" s="452"/>
    </row>
    <row r="354">
      <c r="A354" s="154"/>
      <c r="B354" s="473"/>
      <c r="C354" s="156"/>
      <c r="D354" s="156"/>
      <c r="E354" s="156"/>
      <c r="F354" s="154"/>
      <c r="G354" s="473"/>
      <c r="H354" s="156"/>
      <c r="I354" s="156"/>
      <c r="J354" s="156"/>
      <c r="K354" s="132"/>
      <c r="L354" s="473"/>
      <c r="M354" s="156"/>
      <c r="N354" s="156"/>
      <c r="O354" s="156"/>
      <c r="P354" s="132"/>
      <c r="Q354" s="487"/>
      <c r="R354" s="156"/>
      <c r="S354" s="156"/>
      <c r="T354" s="156"/>
      <c r="U354" s="154"/>
      <c r="V354" s="473"/>
      <c r="W354" s="156"/>
      <c r="X354" s="156"/>
      <c r="Y354" s="156"/>
      <c r="Z354" s="154"/>
      <c r="AA354" s="473"/>
      <c r="AB354" s="156"/>
      <c r="AC354" s="156"/>
      <c r="AD354" s="156"/>
      <c r="AE354" s="154"/>
      <c r="AF354" s="473"/>
      <c r="AG354" s="156"/>
      <c r="AH354" s="156"/>
      <c r="AI354" s="156"/>
      <c r="AJ354" s="154"/>
      <c r="AK354" s="473"/>
      <c r="AL354" s="156"/>
      <c r="AM354" s="156"/>
      <c r="AN354" s="156"/>
      <c r="AO354" s="452"/>
      <c r="AP354" s="452"/>
      <c r="AQ354" s="452"/>
      <c r="AR354" s="452"/>
      <c r="AS354" s="452"/>
      <c r="AT354" s="452"/>
      <c r="AU354" s="452"/>
      <c r="AV354" s="452"/>
      <c r="AW354" s="452"/>
      <c r="AX354" s="452"/>
      <c r="AY354" s="154"/>
      <c r="AZ354" s="473"/>
      <c r="BA354" s="156"/>
      <c r="BB354" s="156"/>
      <c r="BC354" s="156"/>
      <c r="BD354" s="452"/>
      <c r="BE354" s="452"/>
      <c r="BF354" s="452"/>
      <c r="BG354" s="452"/>
      <c r="BH354" s="452"/>
    </row>
    <row r="355">
      <c r="A355" s="154"/>
      <c r="B355" s="473"/>
      <c r="C355" s="156"/>
      <c r="D355" s="156"/>
      <c r="E355" s="156"/>
      <c r="F355" s="154"/>
      <c r="G355" s="473"/>
      <c r="H355" s="156"/>
      <c r="I355" s="156"/>
      <c r="J355" s="156"/>
      <c r="K355" s="132"/>
      <c r="L355" s="473"/>
      <c r="M355" s="156"/>
      <c r="N355" s="156"/>
      <c r="O355" s="156"/>
      <c r="P355" s="132"/>
      <c r="Q355" s="487"/>
      <c r="R355" s="156"/>
      <c r="S355" s="156"/>
      <c r="T355" s="156"/>
      <c r="U355" s="154"/>
      <c r="V355" s="473"/>
      <c r="W355" s="156"/>
      <c r="X355" s="156"/>
      <c r="Y355" s="156"/>
      <c r="Z355" s="154"/>
      <c r="AA355" s="473"/>
      <c r="AB355" s="156"/>
      <c r="AC355" s="156"/>
      <c r="AD355" s="156"/>
      <c r="AE355" s="154"/>
      <c r="AF355" s="473"/>
      <c r="AG355" s="156"/>
      <c r="AH355" s="156"/>
      <c r="AI355" s="156"/>
      <c r="AJ355" s="154"/>
      <c r="AK355" s="473"/>
      <c r="AL355" s="156"/>
      <c r="AM355" s="156"/>
      <c r="AN355" s="156"/>
      <c r="AO355" s="452"/>
      <c r="AP355" s="452"/>
      <c r="AQ355" s="452"/>
      <c r="AR355" s="452"/>
      <c r="AS355" s="452"/>
      <c r="AT355" s="452"/>
      <c r="AU355" s="452"/>
      <c r="AV355" s="452"/>
      <c r="AW355" s="452"/>
      <c r="AX355" s="452"/>
      <c r="AY355" s="154"/>
      <c r="AZ355" s="473"/>
      <c r="BA355" s="156"/>
      <c r="BB355" s="156"/>
      <c r="BC355" s="156"/>
      <c r="BD355" s="452"/>
      <c r="BE355" s="452"/>
      <c r="BF355" s="452"/>
      <c r="BG355" s="452"/>
      <c r="BH355" s="452"/>
    </row>
    <row r="356">
      <c r="A356" s="154"/>
      <c r="B356" s="473"/>
      <c r="C356" s="156"/>
      <c r="D356" s="156"/>
      <c r="E356" s="156"/>
      <c r="F356" s="154"/>
      <c r="G356" s="473"/>
      <c r="H356" s="156"/>
      <c r="I356" s="156"/>
      <c r="J356" s="156"/>
      <c r="K356" s="132"/>
      <c r="L356" s="473"/>
      <c r="M356" s="156"/>
      <c r="N356" s="156"/>
      <c r="O356" s="156"/>
      <c r="P356" s="132"/>
      <c r="Q356" s="487"/>
      <c r="R356" s="156"/>
      <c r="S356" s="156"/>
      <c r="T356" s="156"/>
      <c r="U356" s="154"/>
      <c r="V356" s="473"/>
      <c r="W356" s="156"/>
      <c r="X356" s="156"/>
      <c r="Y356" s="156"/>
      <c r="Z356" s="154"/>
      <c r="AA356" s="473"/>
      <c r="AB356" s="156"/>
      <c r="AC356" s="156"/>
      <c r="AD356" s="156"/>
      <c r="AE356" s="154"/>
      <c r="AF356" s="473"/>
      <c r="AG356" s="156"/>
      <c r="AH356" s="156"/>
      <c r="AI356" s="156"/>
      <c r="AJ356" s="154"/>
      <c r="AK356" s="473"/>
      <c r="AL356" s="156"/>
      <c r="AM356" s="156"/>
      <c r="AN356" s="156"/>
      <c r="AO356" s="452"/>
      <c r="AP356" s="452"/>
      <c r="AQ356" s="452"/>
      <c r="AR356" s="452"/>
      <c r="AS356" s="452"/>
      <c r="AT356" s="452"/>
      <c r="AU356" s="452"/>
      <c r="AV356" s="452"/>
      <c r="AW356" s="452"/>
      <c r="AX356" s="452"/>
      <c r="AY356" s="154"/>
      <c r="AZ356" s="473"/>
      <c r="BA356" s="156"/>
      <c r="BB356" s="156"/>
      <c r="BC356" s="156"/>
      <c r="BD356" s="452"/>
      <c r="BE356" s="452"/>
      <c r="BF356" s="452"/>
      <c r="BG356" s="452"/>
      <c r="BH356" s="452"/>
    </row>
    <row r="357">
      <c r="A357" s="154"/>
      <c r="B357" s="473"/>
      <c r="C357" s="156"/>
      <c r="D357" s="156"/>
      <c r="E357" s="156"/>
      <c r="F357" s="154"/>
      <c r="G357" s="473"/>
      <c r="H357" s="156"/>
      <c r="I357" s="156"/>
      <c r="J357" s="156"/>
      <c r="K357" s="132"/>
      <c r="L357" s="473"/>
      <c r="M357" s="156"/>
      <c r="N357" s="156"/>
      <c r="O357" s="156"/>
      <c r="P357" s="132"/>
      <c r="Q357" s="487"/>
      <c r="R357" s="156"/>
      <c r="S357" s="156"/>
      <c r="T357" s="156"/>
      <c r="U357" s="154"/>
      <c r="V357" s="473"/>
      <c r="W357" s="156"/>
      <c r="X357" s="156"/>
      <c r="Y357" s="156"/>
      <c r="Z357" s="154"/>
      <c r="AA357" s="473"/>
      <c r="AB357" s="156"/>
      <c r="AC357" s="156"/>
      <c r="AD357" s="156"/>
      <c r="AE357" s="154"/>
      <c r="AF357" s="473"/>
      <c r="AG357" s="156"/>
      <c r="AH357" s="156"/>
      <c r="AI357" s="156"/>
      <c r="AJ357" s="154"/>
      <c r="AK357" s="473"/>
      <c r="AL357" s="156"/>
      <c r="AM357" s="156"/>
      <c r="AN357" s="156"/>
      <c r="AO357" s="452"/>
      <c r="AP357" s="452"/>
      <c r="AQ357" s="452"/>
      <c r="AR357" s="452"/>
      <c r="AS357" s="452"/>
      <c r="AT357" s="452"/>
      <c r="AU357" s="452"/>
      <c r="AV357" s="452"/>
      <c r="AW357" s="452"/>
      <c r="AX357" s="452"/>
      <c r="AY357" s="154"/>
      <c r="AZ357" s="473"/>
      <c r="BA357" s="156"/>
      <c r="BB357" s="156"/>
      <c r="BC357" s="156"/>
      <c r="BD357" s="452"/>
      <c r="BE357" s="452"/>
      <c r="BF357" s="452"/>
      <c r="BG357" s="452"/>
      <c r="BH357" s="452"/>
    </row>
    <row r="358">
      <c r="A358" s="154"/>
      <c r="B358" s="473"/>
      <c r="C358" s="156"/>
      <c r="D358" s="156"/>
      <c r="E358" s="156"/>
      <c r="F358" s="154"/>
      <c r="G358" s="473"/>
      <c r="H358" s="156"/>
      <c r="I358" s="156"/>
      <c r="J358" s="156"/>
      <c r="K358" s="132"/>
      <c r="L358" s="473"/>
      <c r="M358" s="156"/>
      <c r="N358" s="156"/>
      <c r="O358" s="156"/>
      <c r="P358" s="132"/>
      <c r="Q358" s="487"/>
      <c r="R358" s="156"/>
      <c r="S358" s="156"/>
      <c r="T358" s="156"/>
      <c r="U358" s="154"/>
      <c r="V358" s="473"/>
      <c r="W358" s="156"/>
      <c r="X358" s="156"/>
      <c r="Y358" s="156"/>
      <c r="Z358" s="154"/>
      <c r="AA358" s="473"/>
      <c r="AB358" s="156"/>
      <c r="AC358" s="156"/>
      <c r="AD358" s="156"/>
      <c r="AE358" s="154"/>
      <c r="AF358" s="473"/>
      <c r="AG358" s="156"/>
      <c r="AH358" s="156"/>
      <c r="AI358" s="156"/>
      <c r="AJ358" s="154"/>
      <c r="AK358" s="473"/>
      <c r="AL358" s="156"/>
      <c r="AM358" s="156"/>
      <c r="AN358" s="156"/>
      <c r="AO358" s="452"/>
      <c r="AP358" s="452"/>
      <c r="AQ358" s="452"/>
      <c r="AR358" s="452"/>
      <c r="AS358" s="452"/>
      <c r="AT358" s="452"/>
      <c r="AU358" s="452"/>
      <c r="AV358" s="452"/>
      <c r="AW358" s="452"/>
      <c r="AX358" s="452"/>
      <c r="AY358" s="154"/>
      <c r="AZ358" s="473"/>
      <c r="BA358" s="156"/>
      <c r="BB358" s="156"/>
      <c r="BC358" s="156"/>
      <c r="BD358" s="452"/>
      <c r="BE358" s="452"/>
      <c r="BF358" s="452"/>
      <c r="BG358" s="452"/>
      <c r="BH358" s="452"/>
    </row>
    <row r="359">
      <c r="A359" s="154"/>
      <c r="B359" s="473"/>
      <c r="C359" s="156"/>
      <c r="D359" s="156"/>
      <c r="E359" s="156"/>
      <c r="F359" s="154"/>
      <c r="G359" s="473"/>
      <c r="H359" s="156"/>
      <c r="I359" s="156"/>
      <c r="J359" s="156"/>
      <c r="K359" s="132"/>
      <c r="L359" s="473"/>
      <c r="M359" s="156"/>
      <c r="N359" s="156"/>
      <c r="O359" s="156"/>
      <c r="P359" s="132"/>
      <c r="Q359" s="487"/>
      <c r="R359" s="156"/>
      <c r="S359" s="156"/>
      <c r="T359" s="156"/>
      <c r="U359" s="154"/>
      <c r="V359" s="473"/>
      <c r="W359" s="156"/>
      <c r="X359" s="156"/>
      <c r="Y359" s="156"/>
      <c r="Z359" s="154"/>
      <c r="AA359" s="473"/>
      <c r="AB359" s="156"/>
      <c r="AC359" s="156"/>
      <c r="AD359" s="156"/>
      <c r="AE359" s="154"/>
      <c r="AF359" s="473"/>
      <c r="AG359" s="156"/>
      <c r="AH359" s="156"/>
      <c r="AI359" s="156"/>
      <c r="AJ359" s="154"/>
      <c r="AK359" s="473"/>
      <c r="AL359" s="156"/>
      <c r="AM359" s="156"/>
      <c r="AN359" s="156"/>
      <c r="AO359" s="452"/>
      <c r="AP359" s="452"/>
      <c r="AQ359" s="452"/>
      <c r="AR359" s="452"/>
      <c r="AS359" s="452"/>
      <c r="AT359" s="452"/>
      <c r="AU359" s="452"/>
      <c r="AV359" s="452"/>
      <c r="AW359" s="452"/>
      <c r="AX359" s="452"/>
      <c r="AY359" s="154"/>
      <c r="AZ359" s="473"/>
      <c r="BA359" s="156"/>
      <c r="BB359" s="156"/>
      <c r="BC359" s="156"/>
      <c r="BD359" s="452"/>
      <c r="BE359" s="452"/>
      <c r="BF359" s="452"/>
      <c r="BG359" s="452"/>
      <c r="BH359" s="452"/>
    </row>
    <row r="360">
      <c r="A360" s="154"/>
      <c r="B360" s="473"/>
      <c r="C360" s="156"/>
      <c r="D360" s="156"/>
      <c r="E360" s="156"/>
      <c r="F360" s="154"/>
      <c r="G360" s="473"/>
      <c r="H360" s="156"/>
      <c r="I360" s="156"/>
      <c r="J360" s="156"/>
      <c r="K360" s="132"/>
      <c r="L360" s="473"/>
      <c r="M360" s="156"/>
      <c r="N360" s="156"/>
      <c r="O360" s="156"/>
      <c r="P360" s="132"/>
      <c r="Q360" s="487"/>
      <c r="R360" s="156"/>
      <c r="S360" s="156"/>
      <c r="T360" s="156"/>
      <c r="U360" s="154"/>
      <c r="V360" s="473"/>
      <c r="W360" s="156"/>
      <c r="X360" s="156"/>
      <c r="Y360" s="156"/>
      <c r="Z360" s="154"/>
      <c r="AA360" s="473"/>
      <c r="AB360" s="156"/>
      <c r="AC360" s="156"/>
      <c r="AD360" s="156"/>
      <c r="AE360" s="154"/>
      <c r="AF360" s="473"/>
      <c r="AG360" s="156"/>
      <c r="AH360" s="156"/>
      <c r="AI360" s="156"/>
      <c r="AJ360" s="154"/>
      <c r="AK360" s="473"/>
      <c r="AL360" s="156"/>
      <c r="AM360" s="156"/>
      <c r="AN360" s="156"/>
      <c r="AO360" s="452"/>
      <c r="AP360" s="452"/>
      <c r="AQ360" s="452"/>
      <c r="AR360" s="452"/>
      <c r="AS360" s="452"/>
      <c r="AT360" s="452"/>
      <c r="AU360" s="452"/>
      <c r="AV360" s="452"/>
      <c r="AW360" s="452"/>
      <c r="AX360" s="452"/>
      <c r="AY360" s="154"/>
      <c r="AZ360" s="473"/>
      <c r="BA360" s="156"/>
      <c r="BB360" s="156"/>
      <c r="BC360" s="156"/>
      <c r="BD360" s="452"/>
      <c r="BE360" s="452"/>
      <c r="BF360" s="452"/>
      <c r="BG360" s="452"/>
      <c r="BH360" s="452"/>
    </row>
    <row r="361">
      <c r="A361" s="154"/>
      <c r="B361" s="473"/>
      <c r="C361" s="156"/>
      <c r="D361" s="156"/>
      <c r="E361" s="156"/>
      <c r="F361" s="154"/>
      <c r="G361" s="473"/>
      <c r="H361" s="156"/>
      <c r="I361" s="156"/>
      <c r="J361" s="156"/>
      <c r="K361" s="132"/>
      <c r="L361" s="473"/>
      <c r="M361" s="156"/>
      <c r="N361" s="156"/>
      <c r="O361" s="156"/>
      <c r="P361" s="132"/>
      <c r="Q361" s="487"/>
      <c r="R361" s="156"/>
      <c r="S361" s="156"/>
      <c r="T361" s="156"/>
      <c r="U361" s="154"/>
      <c r="V361" s="473"/>
      <c r="W361" s="156"/>
      <c r="X361" s="156"/>
      <c r="Y361" s="156"/>
      <c r="Z361" s="154"/>
      <c r="AA361" s="473"/>
      <c r="AB361" s="156"/>
      <c r="AC361" s="156"/>
      <c r="AD361" s="156"/>
      <c r="AE361" s="154"/>
      <c r="AF361" s="473"/>
      <c r="AG361" s="156"/>
      <c r="AH361" s="156"/>
      <c r="AI361" s="156"/>
      <c r="AJ361" s="154"/>
      <c r="AK361" s="473"/>
      <c r="AL361" s="156"/>
      <c r="AM361" s="156"/>
      <c r="AN361" s="156"/>
      <c r="AO361" s="452"/>
      <c r="AP361" s="452"/>
      <c r="AQ361" s="452"/>
      <c r="AR361" s="452"/>
      <c r="AS361" s="452"/>
      <c r="AT361" s="452"/>
      <c r="AU361" s="452"/>
      <c r="AV361" s="452"/>
      <c r="AW361" s="452"/>
      <c r="AX361" s="452"/>
      <c r="AY361" s="154"/>
      <c r="AZ361" s="473"/>
      <c r="BA361" s="156"/>
      <c r="BB361" s="156"/>
      <c r="BC361" s="156"/>
      <c r="BD361" s="452"/>
      <c r="BE361" s="452"/>
      <c r="BF361" s="452"/>
      <c r="BG361" s="452"/>
      <c r="BH361" s="452"/>
    </row>
    <row r="362">
      <c r="A362" s="154"/>
      <c r="B362" s="473"/>
      <c r="C362" s="156"/>
      <c r="D362" s="156"/>
      <c r="E362" s="156"/>
      <c r="F362" s="154"/>
      <c r="G362" s="473"/>
      <c r="H362" s="156"/>
      <c r="I362" s="156"/>
      <c r="J362" s="156"/>
      <c r="K362" s="132"/>
      <c r="L362" s="473"/>
      <c r="M362" s="156"/>
      <c r="N362" s="156"/>
      <c r="O362" s="156"/>
      <c r="P362" s="132"/>
      <c r="Q362" s="487"/>
      <c r="R362" s="156"/>
      <c r="S362" s="156"/>
      <c r="T362" s="156"/>
      <c r="U362" s="154"/>
      <c r="V362" s="473"/>
      <c r="W362" s="156"/>
      <c r="X362" s="156"/>
      <c r="Y362" s="156"/>
      <c r="Z362" s="154"/>
      <c r="AA362" s="473"/>
      <c r="AB362" s="156"/>
      <c r="AC362" s="156"/>
      <c r="AD362" s="156"/>
      <c r="AE362" s="154"/>
      <c r="AF362" s="473"/>
      <c r="AG362" s="156"/>
      <c r="AH362" s="156"/>
      <c r="AI362" s="156"/>
      <c r="AJ362" s="154"/>
      <c r="AK362" s="473"/>
      <c r="AL362" s="156"/>
      <c r="AM362" s="156"/>
      <c r="AN362" s="156"/>
      <c r="AO362" s="452"/>
      <c r="AP362" s="452"/>
      <c r="AQ362" s="452"/>
      <c r="AR362" s="452"/>
      <c r="AS362" s="452"/>
      <c r="AT362" s="452"/>
      <c r="AU362" s="452"/>
      <c r="AV362" s="452"/>
      <c r="AW362" s="452"/>
      <c r="AX362" s="452"/>
      <c r="AY362" s="154"/>
      <c r="AZ362" s="473"/>
      <c r="BA362" s="156"/>
      <c r="BB362" s="156"/>
      <c r="BC362" s="156"/>
      <c r="BD362" s="452"/>
      <c r="BE362" s="452"/>
      <c r="BF362" s="452"/>
      <c r="BG362" s="452"/>
      <c r="BH362" s="452"/>
    </row>
    <row r="363">
      <c r="A363" s="154"/>
      <c r="B363" s="473"/>
      <c r="C363" s="156"/>
      <c r="D363" s="156"/>
      <c r="E363" s="156"/>
      <c r="F363" s="154"/>
      <c r="G363" s="473"/>
      <c r="H363" s="156"/>
      <c r="I363" s="156"/>
      <c r="J363" s="156"/>
      <c r="K363" s="132"/>
      <c r="L363" s="473"/>
      <c r="M363" s="156"/>
      <c r="N363" s="156"/>
      <c r="O363" s="156"/>
      <c r="P363" s="132"/>
      <c r="Q363" s="487"/>
      <c r="R363" s="156"/>
      <c r="S363" s="156"/>
      <c r="T363" s="156"/>
      <c r="U363" s="154"/>
      <c r="V363" s="473"/>
      <c r="W363" s="156"/>
      <c r="X363" s="156"/>
      <c r="Y363" s="156"/>
      <c r="Z363" s="154"/>
      <c r="AA363" s="473"/>
      <c r="AB363" s="156"/>
      <c r="AC363" s="156"/>
      <c r="AD363" s="156"/>
      <c r="AE363" s="154"/>
      <c r="AF363" s="473"/>
      <c r="AG363" s="156"/>
      <c r="AH363" s="156"/>
      <c r="AI363" s="156"/>
      <c r="AJ363" s="154"/>
      <c r="AK363" s="473"/>
      <c r="AL363" s="156"/>
      <c r="AM363" s="156"/>
      <c r="AN363" s="156"/>
      <c r="AO363" s="452"/>
      <c r="AP363" s="452"/>
      <c r="AQ363" s="452"/>
      <c r="AR363" s="452"/>
      <c r="AS363" s="452"/>
      <c r="AT363" s="452"/>
      <c r="AU363" s="452"/>
      <c r="AV363" s="452"/>
      <c r="AW363" s="452"/>
      <c r="AX363" s="452"/>
      <c r="AY363" s="154"/>
      <c r="AZ363" s="473"/>
      <c r="BA363" s="156"/>
      <c r="BB363" s="156"/>
      <c r="BC363" s="156"/>
      <c r="BD363" s="452"/>
      <c r="BE363" s="452"/>
      <c r="BF363" s="452"/>
      <c r="BG363" s="452"/>
      <c r="BH363" s="452"/>
    </row>
    <row r="364">
      <c r="A364" s="154"/>
      <c r="B364" s="473"/>
      <c r="C364" s="156"/>
      <c r="D364" s="156"/>
      <c r="E364" s="156"/>
      <c r="F364" s="154"/>
      <c r="G364" s="473"/>
      <c r="H364" s="156"/>
      <c r="I364" s="156"/>
      <c r="J364" s="156"/>
      <c r="K364" s="132"/>
      <c r="L364" s="473"/>
      <c r="M364" s="156"/>
      <c r="N364" s="156"/>
      <c r="O364" s="156"/>
      <c r="P364" s="132"/>
      <c r="Q364" s="487"/>
      <c r="R364" s="156"/>
      <c r="S364" s="156"/>
      <c r="T364" s="156"/>
      <c r="U364" s="154"/>
      <c r="V364" s="473"/>
      <c r="W364" s="156"/>
      <c r="X364" s="156"/>
      <c r="Y364" s="156"/>
      <c r="Z364" s="154"/>
      <c r="AA364" s="473"/>
      <c r="AB364" s="156"/>
      <c r="AC364" s="156"/>
      <c r="AD364" s="156"/>
      <c r="AE364" s="154"/>
      <c r="AF364" s="473"/>
      <c r="AG364" s="156"/>
      <c r="AH364" s="156"/>
      <c r="AI364" s="156"/>
      <c r="AJ364" s="154"/>
      <c r="AK364" s="473"/>
      <c r="AL364" s="156"/>
      <c r="AM364" s="156"/>
      <c r="AN364" s="156"/>
      <c r="AO364" s="452"/>
      <c r="AP364" s="452"/>
      <c r="AQ364" s="452"/>
      <c r="AR364" s="452"/>
      <c r="AS364" s="452"/>
      <c r="AT364" s="452"/>
      <c r="AU364" s="452"/>
      <c r="AV364" s="452"/>
      <c r="AW364" s="452"/>
      <c r="AX364" s="452"/>
      <c r="AY364" s="154"/>
      <c r="AZ364" s="473"/>
      <c r="BA364" s="156"/>
      <c r="BB364" s="156"/>
      <c r="BC364" s="156"/>
      <c r="BD364" s="452"/>
      <c r="BE364" s="452"/>
      <c r="BF364" s="452"/>
      <c r="BG364" s="452"/>
      <c r="BH364" s="452"/>
    </row>
    <row r="365">
      <c r="A365" s="154"/>
      <c r="B365" s="473"/>
      <c r="C365" s="156"/>
      <c r="D365" s="156"/>
      <c r="E365" s="156"/>
      <c r="F365" s="154"/>
      <c r="G365" s="473"/>
      <c r="H365" s="156"/>
      <c r="I365" s="156"/>
      <c r="J365" s="156"/>
      <c r="K365" s="132"/>
      <c r="L365" s="473"/>
      <c r="M365" s="156"/>
      <c r="N365" s="156"/>
      <c r="O365" s="156"/>
      <c r="P365" s="132"/>
      <c r="Q365" s="487"/>
      <c r="R365" s="156"/>
      <c r="S365" s="156"/>
      <c r="T365" s="156"/>
      <c r="U365" s="154"/>
      <c r="V365" s="473"/>
      <c r="W365" s="156"/>
      <c r="X365" s="156"/>
      <c r="Y365" s="156"/>
      <c r="Z365" s="154"/>
      <c r="AA365" s="473"/>
      <c r="AB365" s="156"/>
      <c r="AC365" s="156"/>
      <c r="AD365" s="156"/>
      <c r="AE365" s="154"/>
      <c r="AF365" s="473"/>
      <c r="AG365" s="156"/>
      <c r="AH365" s="156"/>
      <c r="AI365" s="156"/>
      <c r="AJ365" s="154"/>
      <c r="AK365" s="473"/>
      <c r="AL365" s="156"/>
      <c r="AM365" s="156"/>
      <c r="AN365" s="156"/>
      <c r="AO365" s="452"/>
      <c r="AP365" s="452"/>
      <c r="AQ365" s="452"/>
      <c r="AR365" s="452"/>
      <c r="AS365" s="452"/>
      <c r="AT365" s="452"/>
      <c r="AU365" s="452"/>
      <c r="AV365" s="452"/>
      <c r="AW365" s="452"/>
      <c r="AX365" s="452"/>
      <c r="AY365" s="154"/>
      <c r="AZ365" s="473"/>
      <c r="BA365" s="156"/>
      <c r="BB365" s="156"/>
      <c r="BC365" s="156"/>
      <c r="BD365" s="452"/>
      <c r="BE365" s="452"/>
      <c r="BF365" s="452"/>
      <c r="BG365" s="452"/>
      <c r="BH365" s="452"/>
    </row>
    <row r="366">
      <c r="A366" s="154"/>
      <c r="B366" s="473"/>
      <c r="C366" s="156"/>
      <c r="D366" s="156"/>
      <c r="E366" s="156"/>
      <c r="F366" s="154"/>
      <c r="G366" s="473"/>
      <c r="H366" s="156"/>
      <c r="I366" s="156"/>
      <c r="J366" s="156"/>
      <c r="K366" s="132"/>
      <c r="L366" s="473"/>
      <c r="M366" s="156"/>
      <c r="N366" s="156"/>
      <c r="O366" s="156"/>
      <c r="P366" s="132"/>
      <c r="Q366" s="487"/>
      <c r="R366" s="156"/>
      <c r="S366" s="156"/>
      <c r="T366" s="156"/>
      <c r="U366" s="154"/>
      <c r="V366" s="473"/>
      <c r="W366" s="156"/>
      <c r="X366" s="156"/>
      <c r="Y366" s="156"/>
      <c r="Z366" s="154"/>
      <c r="AA366" s="473"/>
      <c r="AB366" s="156"/>
      <c r="AC366" s="156"/>
      <c r="AD366" s="156"/>
      <c r="AE366" s="154"/>
      <c r="AF366" s="473"/>
      <c r="AG366" s="156"/>
      <c r="AH366" s="156"/>
      <c r="AI366" s="156"/>
      <c r="AJ366" s="154"/>
      <c r="AK366" s="473"/>
      <c r="AL366" s="156"/>
      <c r="AM366" s="156"/>
      <c r="AN366" s="156"/>
      <c r="AO366" s="452"/>
      <c r="AP366" s="452"/>
      <c r="AQ366" s="452"/>
      <c r="AR366" s="452"/>
      <c r="AS366" s="452"/>
      <c r="AT366" s="452"/>
      <c r="AU366" s="452"/>
      <c r="AV366" s="452"/>
      <c r="AW366" s="452"/>
      <c r="AX366" s="452"/>
      <c r="AY366" s="154"/>
      <c r="AZ366" s="473"/>
      <c r="BA366" s="156"/>
      <c r="BB366" s="156"/>
      <c r="BC366" s="156"/>
      <c r="BD366" s="452"/>
      <c r="BE366" s="452"/>
      <c r="BF366" s="452"/>
      <c r="BG366" s="452"/>
      <c r="BH366" s="452"/>
    </row>
    <row r="367">
      <c r="A367" s="154"/>
      <c r="B367" s="473"/>
      <c r="C367" s="156"/>
      <c r="D367" s="156"/>
      <c r="E367" s="156"/>
      <c r="F367" s="154"/>
      <c r="G367" s="473"/>
      <c r="H367" s="156"/>
      <c r="I367" s="156"/>
      <c r="J367" s="156"/>
      <c r="K367" s="132"/>
      <c r="L367" s="473"/>
      <c r="M367" s="156"/>
      <c r="N367" s="156"/>
      <c r="O367" s="156"/>
      <c r="P367" s="132"/>
      <c r="Q367" s="487"/>
      <c r="R367" s="156"/>
      <c r="S367" s="156"/>
      <c r="T367" s="156"/>
      <c r="U367" s="154"/>
      <c r="V367" s="473"/>
      <c r="W367" s="156"/>
      <c r="X367" s="156"/>
      <c r="Y367" s="156"/>
      <c r="Z367" s="154"/>
      <c r="AA367" s="473"/>
      <c r="AB367" s="156"/>
      <c r="AC367" s="156"/>
      <c r="AD367" s="156"/>
      <c r="AE367" s="154"/>
      <c r="AF367" s="473"/>
      <c r="AG367" s="156"/>
      <c r="AH367" s="156"/>
      <c r="AI367" s="156"/>
      <c r="AJ367" s="154"/>
      <c r="AK367" s="473"/>
      <c r="AL367" s="156"/>
      <c r="AM367" s="156"/>
      <c r="AN367" s="156"/>
      <c r="AO367" s="452"/>
      <c r="AP367" s="452"/>
      <c r="AQ367" s="452"/>
      <c r="AR367" s="452"/>
      <c r="AS367" s="452"/>
      <c r="AT367" s="452"/>
      <c r="AU367" s="452"/>
      <c r="AV367" s="452"/>
      <c r="AW367" s="452"/>
      <c r="AX367" s="452"/>
      <c r="AY367" s="154"/>
      <c r="AZ367" s="473"/>
      <c r="BA367" s="156"/>
      <c r="BB367" s="156"/>
      <c r="BC367" s="156"/>
      <c r="BD367" s="452"/>
      <c r="BE367" s="452"/>
      <c r="BF367" s="452"/>
      <c r="BG367" s="452"/>
      <c r="BH367" s="452"/>
    </row>
    <row r="368">
      <c r="A368" s="154"/>
      <c r="B368" s="473"/>
      <c r="C368" s="156"/>
      <c r="D368" s="156"/>
      <c r="E368" s="156"/>
      <c r="F368" s="154"/>
      <c r="G368" s="473"/>
      <c r="H368" s="156"/>
      <c r="I368" s="156"/>
      <c r="J368" s="156"/>
      <c r="K368" s="132"/>
      <c r="L368" s="473"/>
      <c r="M368" s="156"/>
      <c r="N368" s="156"/>
      <c r="O368" s="156"/>
      <c r="P368" s="132"/>
      <c r="Q368" s="487"/>
      <c r="R368" s="156"/>
      <c r="S368" s="156"/>
      <c r="T368" s="156"/>
      <c r="U368" s="154"/>
      <c r="V368" s="473"/>
      <c r="W368" s="156"/>
      <c r="X368" s="156"/>
      <c r="Y368" s="156"/>
      <c r="Z368" s="154"/>
      <c r="AA368" s="473"/>
      <c r="AB368" s="156"/>
      <c r="AC368" s="156"/>
      <c r="AD368" s="156"/>
      <c r="AE368" s="154"/>
      <c r="AF368" s="473"/>
      <c r="AG368" s="156"/>
      <c r="AH368" s="156"/>
      <c r="AI368" s="156"/>
      <c r="AJ368" s="154"/>
      <c r="AK368" s="473"/>
      <c r="AL368" s="156"/>
      <c r="AM368" s="156"/>
      <c r="AN368" s="156"/>
      <c r="AO368" s="452"/>
      <c r="AP368" s="452"/>
      <c r="AQ368" s="452"/>
      <c r="AR368" s="452"/>
      <c r="AS368" s="452"/>
      <c r="AT368" s="452"/>
      <c r="AU368" s="452"/>
      <c r="AV368" s="452"/>
      <c r="AW368" s="452"/>
      <c r="AX368" s="452"/>
      <c r="AY368" s="154"/>
      <c r="AZ368" s="473"/>
      <c r="BA368" s="156"/>
      <c r="BB368" s="156"/>
      <c r="BC368" s="156"/>
      <c r="BD368" s="452"/>
      <c r="BE368" s="452"/>
      <c r="BF368" s="452"/>
      <c r="BG368" s="452"/>
      <c r="BH368" s="452"/>
    </row>
    <row r="369">
      <c r="A369" s="154"/>
      <c r="B369" s="473"/>
      <c r="C369" s="156"/>
      <c r="D369" s="156"/>
      <c r="E369" s="156"/>
      <c r="F369" s="154"/>
      <c r="G369" s="473"/>
      <c r="H369" s="156"/>
      <c r="I369" s="156"/>
      <c r="J369" s="156"/>
      <c r="K369" s="132"/>
      <c r="L369" s="473"/>
      <c r="M369" s="156"/>
      <c r="N369" s="156"/>
      <c r="O369" s="156"/>
      <c r="P369" s="132"/>
      <c r="Q369" s="487"/>
      <c r="R369" s="156"/>
      <c r="S369" s="156"/>
      <c r="T369" s="156"/>
      <c r="U369" s="154"/>
      <c r="V369" s="473"/>
      <c r="W369" s="156"/>
      <c r="X369" s="156"/>
      <c r="Y369" s="156"/>
      <c r="Z369" s="154"/>
      <c r="AA369" s="473"/>
      <c r="AB369" s="156"/>
      <c r="AC369" s="156"/>
      <c r="AD369" s="156"/>
      <c r="AE369" s="154"/>
      <c r="AF369" s="473"/>
      <c r="AG369" s="156"/>
      <c r="AH369" s="156"/>
      <c r="AI369" s="156"/>
      <c r="AJ369" s="154"/>
      <c r="AK369" s="473"/>
      <c r="AL369" s="156"/>
      <c r="AM369" s="156"/>
      <c r="AN369" s="156"/>
      <c r="AO369" s="452"/>
      <c r="AP369" s="452"/>
      <c r="AQ369" s="452"/>
      <c r="AR369" s="452"/>
      <c r="AS369" s="452"/>
      <c r="AT369" s="452"/>
      <c r="AU369" s="452"/>
      <c r="AV369" s="452"/>
      <c r="AW369" s="452"/>
      <c r="AX369" s="452"/>
      <c r="AY369" s="154"/>
      <c r="AZ369" s="473"/>
      <c r="BA369" s="156"/>
      <c r="BB369" s="156"/>
      <c r="BC369" s="156"/>
      <c r="BD369" s="452"/>
      <c r="BE369" s="452"/>
      <c r="BF369" s="452"/>
      <c r="BG369" s="452"/>
      <c r="BH369" s="452"/>
    </row>
    <row r="370">
      <c r="A370" s="154"/>
      <c r="B370" s="473"/>
      <c r="C370" s="156"/>
      <c r="D370" s="156"/>
      <c r="E370" s="156"/>
      <c r="F370" s="154"/>
      <c r="G370" s="473"/>
      <c r="H370" s="156"/>
      <c r="I370" s="156"/>
      <c r="J370" s="156"/>
      <c r="K370" s="132"/>
      <c r="L370" s="473"/>
      <c r="M370" s="156"/>
      <c r="N370" s="156"/>
      <c r="O370" s="156"/>
      <c r="P370" s="132"/>
      <c r="Q370" s="487"/>
      <c r="R370" s="156"/>
      <c r="S370" s="156"/>
      <c r="T370" s="156"/>
      <c r="U370" s="154"/>
      <c r="V370" s="473"/>
      <c r="W370" s="156"/>
      <c r="X370" s="156"/>
      <c r="Y370" s="156"/>
      <c r="Z370" s="154"/>
      <c r="AA370" s="473"/>
      <c r="AB370" s="156"/>
      <c r="AC370" s="156"/>
      <c r="AD370" s="156"/>
      <c r="AE370" s="154"/>
      <c r="AF370" s="473"/>
      <c r="AG370" s="156"/>
      <c r="AH370" s="156"/>
      <c r="AI370" s="156"/>
      <c r="AJ370" s="154"/>
      <c r="AK370" s="473"/>
      <c r="AL370" s="156"/>
      <c r="AM370" s="156"/>
      <c r="AN370" s="156"/>
      <c r="AO370" s="452"/>
      <c r="AP370" s="452"/>
      <c r="AQ370" s="452"/>
      <c r="AR370" s="452"/>
      <c r="AS370" s="452"/>
      <c r="AT370" s="452"/>
      <c r="AU370" s="452"/>
      <c r="AV370" s="452"/>
      <c r="AW370" s="452"/>
      <c r="AX370" s="452"/>
      <c r="AY370" s="154"/>
      <c r="AZ370" s="473"/>
      <c r="BA370" s="156"/>
      <c r="BB370" s="156"/>
      <c r="BC370" s="156"/>
      <c r="BD370" s="452"/>
      <c r="BE370" s="452"/>
      <c r="BF370" s="452"/>
      <c r="BG370" s="452"/>
      <c r="BH370" s="452"/>
    </row>
    <row r="371">
      <c r="A371" s="154"/>
      <c r="B371" s="473"/>
      <c r="C371" s="156"/>
      <c r="D371" s="156"/>
      <c r="E371" s="156"/>
      <c r="F371" s="154"/>
      <c r="G371" s="473"/>
      <c r="H371" s="156"/>
      <c r="I371" s="156"/>
      <c r="J371" s="156"/>
      <c r="K371" s="132"/>
      <c r="L371" s="473"/>
      <c r="M371" s="156"/>
      <c r="N371" s="156"/>
      <c r="O371" s="156"/>
      <c r="P371" s="132"/>
      <c r="Q371" s="487"/>
      <c r="R371" s="156"/>
      <c r="S371" s="156"/>
      <c r="T371" s="156"/>
      <c r="U371" s="154"/>
      <c r="V371" s="473"/>
      <c r="W371" s="156"/>
      <c r="X371" s="156"/>
      <c r="Y371" s="156"/>
      <c r="Z371" s="154"/>
      <c r="AA371" s="473"/>
      <c r="AB371" s="156"/>
      <c r="AC371" s="156"/>
      <c r="AD371" s="156"/>
      <c r="AE371" s="154"/>
      <c r="AF371" s="473"/>
      <c r="AG371" s="156"/>
      <c r="AH371" s="156"/>
      <c r="AI371" s="156"/>
      <c r="AJ371" s="154"/>
      <c r="AK371" s="473"/>
      <c r="AL371" s="156"/>
      <c r="AM371" s="156"/>
      <c r="AN371" s="156"/>
      <c r="AO371" s="452"/>
      <c r="AP371" s="452"/>
      <c r="AQ371" s="452"/>
      <c r="AR371" s="452"/>
      <c r="AS371" s="452"/>
      <c r="AT371" s="452"/>
      <c r="AU371" s="452"/>
      <c r="AV371" s="452"/>
      <c r="AW371" s="452"/>
      <c r="AX371" s="452"/>
      <c r="AY371" s="154"/>
      <c r="AZ371" s="473"/>
      <c r="BA371" s="156"/>
      <c r="BB371" s="156"/>
      <c r="BC371" s="156"/>
      <c r="BD371" s="452"/>
      <c r="BE371" s="452"/>
      <c r="BF371" s="452"/>
      <c r="BG371" s="452"/>
      <c r="BH371" s="452"/>
    </row>
    <row r="372">
      <c r="A372" s="154"/>
      <c r="B372" s="473"/>
      <c r="C372" s="156"/>
      <c r="D372" s="156"/>
      <c r="E372" s="156"/>
      <c r="F372" s="154"/>
      <c r="G372" s="473"/>
      <c r="H372" s="156"/>
      <c r="I372" s="156"/>
      <c r="J372" s="156"/>
      <c r="K372" s="132"/>
      <c r="L372" s="473"/>
      <c r="M372" s="156"/>
      <c r="N372" s="156"/>
      <c r="O372" s="156"/>
      <c r="P372" s="132"/>
      <c r="Q372" s="487"/>
      <c r="R372" s="156"/>
      <c r="S372" s="156"/>
      <c r="T372" s="156"/>
      <c r="U372" s="154"/>
      <c r="V372" s="473"/>
      <c r="W372" s="156"/>
      <c r="X372" s="156"/>
      <c r="Y372" s="156"/>
      <c r="Z372" s="154"/>
      <c r="AA372" s="473"/>
      <c r="AB372" s="156"/>
      <c r="AC372" s="156"/>
      <c r="AD372" s="156"/>
      <c r="AE372" s="154"/>
      <c r="AF372" s="473"/>
      <c r="AG372" s="156"/>
      <c r="AH372" s="156"/>
      <c r="AI372" s="156"/>
      <c r="AJ372" s="154"/>
      <c r="AK372" s="473"/>
      <c r="AL372" s="156"/>
      <c r="AM372" s="156"/>
      <c r="AN372" s="156"/>
      <c r="AO372" s="452"/>
      <c r="AP372" s="452"/>
      <c r="AQ372" s="452"/>
      <c r="AR372" s="452"/>
      <c r="AS372" s="452"/>
      <c r="AT372" s="452"/>
      <c r="AU372" s="452"/>
      <c r="AV372" s="452"/>
      <c r="AW372" s="452"/>
      <c r="AX372" s="452"/>
      <c r="AY372" s="154"/>
      <c r="AZ372" s="473"/>
      <c r="BA372" s="156"/>
      <c r="BB372" s="156"/>
      <c r="BC372" s="156"/>
      <c r="BD372" s="452"/>
      <c r="BE372" s="452"/>
      <c r="BF372" s="452"/>
      <c r="BG372" s="452"/>
      <c r="BH372" s="452"/>
    </row>
    <row r="373">
      <c r="A373" s="154"/>
      <c r="B373" s="473"/>
      <c r="C373" s="156"/>
      <c r="D373" s="156"/>
      <c r="E373" s="156"/>
      <c r="F373" s="154"/>
      <c r="G373" s="473"/>
      <c r="H373" s="156"/>
      <c r="I373" s="156"/>
      <c r="J373" s="156"/>
      <c r="K373" s="132"/>
      <c r="L373" s="473"/>
      <c r="M373" s="156"/>
      <c r="N373" s="156"/>
      <c r="O373" s="156"/>
      <c r="P373" s="132"/>
      <c r="Q373" s="487"/>
      <c r="R373" s="156"/>
      <c r="S373" s="156"/>
      <c r="T373" s="156"/>
      <c r="U373" s="154"/>
      <c r="V373" s="473"/>
      <c r="W373" s="156"/>
      <c r="X373" s="156"/>
      <c r="Y373" s="156"/>
      <c r="Z373" s="154"/>
      <c r="AA373" s="473"/>
      <c r="AB373" s="156"/>
      <c r="AC373" s="156"/>
      <c r="AD373" s="156"/>
      <c r="AE373" s="154"/>
      <c r="AF373" s="473"/>
      <c r="AG373" s="156"/>
      <c r="AH373" s="156"/>
      <c r="AI373" s="156"/>
      <c r="AJ373" s="154"/>
      <c r="AK373" s="473"/>
      <c r="AL373" s="156"/>
      <c r="AM373" s="156"/>
      <c r="AN373" s="156"/>
      <c r="AO373" s="452"/>
      <c r="AP373" s="452"/>
      <c r="AQ373" s="452"/>
      <c r="AR373" s="452"/>
      <c r="AS373" s="452"/>
      <c r="AT373" s="452"/>
      <c r="AU373" s="452"/>
      <c r="AV373" s="452"/>
      <c r="AW373" s="452"/>
      <c r="AX373" s="452"/>
      <c r="AY373" s="154"/>
      <c r="AZ373" s="473"/>
      <c r="BA373" s="156"/>
      <c r="BB373" s="156"/>
      <c r="BC373" s="156"/>
      <c r="BD373" s="452"/>
      <c r="BE373" s="452"/>
      <c r="BF373" s="452"/>
      <c r="BG373" s="452"/>
      <c r="BH373" s="452"/>
    </row>
    <row r="374">
      <c r="A374" s="154"/>
      <c r="B374" s="473"/>
      <c r="C374" s="156"/>
      <c r="D374" s="156"/>
      <c r="E374" s="156"/>
      <c r="F374" s="154"/>
      <c r="G374" s="473"/>
      <c r="H374" s="156"/>
      <c r="I374" s="156"/>
      <c r="J374" s="156"/>
      <c r="K374" s="132"/>
      <c r="L374" s="473"/>
      <c r="M374" s="156"/>
      <c r="N374" s="156"/>
      <c r="O374" s="156"/>
      <c r="P374" s="132"/>
      <c r="Q374" s="487"/>
      <c r="R374" s="156"/>
      <c r="S374" s="156"/>
      <c r="T374" s="156"/>
      <c r="U374" s="154"/>
      <c r="V374" s="473"/>
      <c r="W374" s="156"/>
      <c r="X374" s="156"/>
      <c r="Y374" s="156"/>
      <c r="Z374" s="154"/>
      <c r="AA374" s="473"/>
      <c r="AB374" s="156"/>
      <c r="AC374" s="156"/>
      <c r="AD374" s="156"/>
      <c r="AE374" s="154"/>
      <c r="AF374" s="473"/>
      <c r="AG374" s="156"/>
      <c r="AH374" s="156"/>
      <c r="AI374" s="156"/>
      <c r="AJ374" s="154"/>
      <c r="AK374" s="473"/>
      <c r="AL374" s="156"/>
      <c r="AM374" s="156"/>
      <c r="AN374" s="156"/>
      <c r="AO374" s="452"/>
      <c r="AP374" s="452"/>
      <c r="AQ374" s="452"/>
      <c r="AR374" s="452"/>
      <c r="AS374" s="452"/>
      <c r="AT374" s="452"/>
      <c r="AU374" s="452"/>
      <c r="AV374" s="452"/>
      <c r="AW374" s="452"/>
      <c r="AX374" s="452"/>
      <c r="AY374" s="154"/>
      <c r="AZ374" s="473"/>
      <c r="BA374" s="156"/>
      <c r="BB374" s="156"/>
      <c r="BC374" s="156"/>
      <c r="BD374" s="452"/>
      <c r="BE374" s="452"/>
      <c r="BF374" s="452"/>
      <c r="BG374" s="452"/>
      <c r="BH374" s="452"/>
    </row>
    <row r="375">
      <c r="A375" s="154"/>
      <c r="B375" s="473"/>
      <c r="C375" s="156"/>
      <c r="D375" s="156"/>
      <c r="E375" s="156"/>
      <c r="F375" s="154"/>
      <c r="G375" s="473"/>
      <c r="H375" s="156"/>
      <c r="I375" s="156"/>
      <c r="J375" s="156"/>
      <c r="K375" s="132"/>
      <c r="L375" s="473"/>
      <c r="M375" s="156"/>
      <c r="N375" s="156"/>
      <c r="O375" s="156"/>
      <c r="P375" s="132"/>
      <c r="Q375" s="487"/>
      <c r="R375" s="156"/>
      <c r="S375" s="156"/>
      <c r="T375" s="156"/>
      <c r="U375" s="154"/>
      <c r="V375" s="473"/>
      <c r="W375" s="156"/>
      <c r="X375" s="156"/>
      <c r="Y375" s="156"/>
      <c r="Z375" s="154"/>
      <c r="AA375" s="473"/>
      <c r="AB375" s="156"/>
      <c r="AC375" s="156"/>
      <c r="AD375" s="156"/>
      <c r="AE375" s="154"/>
      <c r="AF375" s="473"/>
      <c r="AG375" s="156"/>
      <c r="AH375" s="156"/>
      <c r="AI375" s="156"/>
      <c r="AJ375" s="154"/>
      <c r="AK375" s="473"/>
      <c r="AL375" s="156"/>
      <c r="AM375" s="156"/>
      <c r="AN375" s="156"/>
      <c r="AO375" s="452"/>
      <c r="AP375" s="452"/>
      <c r="AQ375" s="452"/>
      <c r="AR375" s="452"/>
      <c r="AS375" s="452"/>
      <c r="AT375" s="452"/>
      <c r="AU375" s="452"/>
      <c r="AV375" s="452"/>
      <c r="AW375" s="452"/>
      <c r="AX375" s="452"/>
      <c r="AY375" s="154"/>
      <c r="AZ375" s="473"/>
      <c r="BA375" s="156"/>
      <c r="BB375" s="156"/>
      <c r="BC375" s="156"/>
      <c r="BD375" s="452"/>
      <c r="BE375" s="452"/>
      <c r="BF375" s="452"/>
      <c r="BG375" s="452"/>
      <c r="BH375" s="452"/>
    </row>
    <row r="376">
      <c r="A376" s="154"/>
      <c r="B376" s="473"/>
      <c r="C376" s="156"/>
      <c r="D376" s="156"/>
      <c r="E376" s="156"/>
      <c r="F376" s="154"/>
      <c r="G376" s="473"/>
      <c r="H376" s="156"/>
      <c r="I376" s="156"/>
      <c r="J376" s="156"/>
      <c r="K376" s="132"/>
      <c r="L376" s="473"/>
      <c r="M376" s="156"/>
      <c r="N376" s="156"/>
      <c r="O376" s="156"/>
      <c r="P376" s="132"/>
      <c r="Q376" s="487"/>
      <c r="R376" s="156"/>
      <c r="S376" s="156"/>
      <c r="T376" s="156"/>
      <c r="U376" s="154"/>
      <c r="V376" s="473"/>
      <c r="W376" s="156"/>
      <c r="X376" s="156"/>
      <c r="Y376" s="156"/>
      <c r="Z376" s="154"/>
      <c r="AA376" s="473"/>
      <c r="AB376" s="156"/>
      <c r="AC376" s="156"/>
      <c r="AD376" s="156"/>
      <c r="AE376" s="154"/>
      <c r="AF376" s="473"/>
      <c r="AG376" s="156"/>
      <c r="AH376" s="156"/>
      <c r="AI376" s="156"/>
      <c r="AJ376" s="154"/>
      <c r="AK376" s="473"/>
      <c r="AL376" s="156"/>
      <c r="AM376" s="156"/>
      <c r="AN376" s="156"/>
      <c r="AO376" s="452"/>
      <c r="AP376" s="452"/>
      <c r="AQ376" s="452"/>
      <c r="AR376" s="452"/>
      <c r="AS376" s="452"/>
      <c r="AT376" s="452"/>
      <c r="AU376" s="452"/>
      <c r="AV376" s="452"/>
      <c r="AW376" s="452"/>
      <c r="AX376" s="452"/>
      <c r="AY376" s="154"/>
      <c r="AZ376" s="473"/>
      <c r="BA376" s="156"/>
      <c r="BB376" s="156"/>
      <c r="BC376" s="156"/>
      <c r="BD376" s="452"/>
      <c r="BE376" s="452"/>
      <c r="BF376" s="452"/>
      <c r="BG376" s="452"/>
      <c r="BH376" s="452"/>
    </row>
    <row r="377">
      <c r="A377" s="154"/>
      <c r="B377" s="473"/>
      <c r="C377" s="156"/>
      <c r="D377" s="156"/>
      <c r="E377" s="156"/>
      <c r="F377" s="154"/>
      <c r="G377" s="473"/>
      <c r="H377" s="156"/>
      <c r="I377" s="156"/>
      <c r="J377" s="156"/>
      <c r="K377" s="132"/>
      <c r="L377" s="473"/>
      <c r="M377" s="156"/>
      <c r="N377" s="156"/>
      <c r="O377" s="156"/>
      <c r="P377" s="132"/>
      <c r="Q377" s="487"/>
      <c r="R377" s="156"/>
      <c r="S377" s="156"/>
      <c r="T377" s="156"/>
      <c r="U377" s="154"/>
      <c r="V377" s="473"/>
      <c r="W377" s="156"/>
      <c r="X377" s="156"/>
      <c r="Y377" s="156"/>
      <c r="Z377" s="154"/>
      <c r="AA377" s="473"/>
      <c r="AB377" s="156"/>
      <c r="AC377" s="156"/>
      <c r="AD377" s="156"/>
      <c r="AE377" s="154"/>
      <c r="AF377" s="473"/>
      <c r="AG377" s="156"/>
      <c r="AH377" s="156"/>
      <c r="AI377" s="156"/>
      <c r="AJ377" s="154"/>
      <c r="AK377" s="473"/>
      <c r="AL377" s="156"/>
      <c r="AM377" s="156"/>
      <c r="AN377" s="156"/>
      <c r="AO377" s="452"/>
      <c r="AP377" s="452"/>
      <c r="AQ377" s="452"/>
      <c r="AR377" s="452"/>
      <c r="AS377" s="452"/>
      <c r="AT377" s="452"/>
      <c r="AU377" s="452"/>
      <c r="AV377" s="452"/>
      <c r="AW377" s="452"/>
      <c r="AX377" s="452"/>
      <c r="AY377" s="154"/>
      <c r="AZ377" s="473"/>
      <c r="BA377" s="156"/>
      <c r="BB377" s="156"/>
      <c r="BC377" s="156"/>
      <c r="BD377" s="452"/>
      <c r="BE377" s="452"/>
      <c r="BF377" s="452"/>
      <c r="BG377" s="452"/>
      <c r="BH377" s="452"/>
    </row>
    <row r="378">
      <c r="A378" s="154"/>
      <c r="B378" s="473"/>
      <c r="C378" s="156"/>
      <c r="D378" s="156"/>
      <c r="E378" s="156"/>
      <c r="F378" s="154"/>
      <c r="G378" s="473"/>
      <c r="H378" s="156"/>
      <c r="I378" s="156"/>
      <c r="J378" s="156"/>
      <c r="K378" s="132"/>
      <c r="L378" s="473"/>
      <c r="M378" s="156"/>
      <c r="N378" s="156"/>
      <c r="O378" s="156"/>
      <c r="P378" s="132"/>
      <c r="Q378" s="487"/>
      <c r="R378" s="156"/>
      <c r="S378" s="156"/>
      <c r="T378" s="156"/>
      <c r="U378" s="154"/>
      <c r="V378" s="473"/>
      <c r="W378" s="156"/>
      <c r="X378" s="156"/>
      <c r="Y378" s="156"/>
      <c r="Z378" s="154"/>
      <c r="AA378" s="473"/>
      <c r="AB378" s="156"/>
      <c r="AC378" s="156"/>
      <c r="AD378" s="156"/>
      <c r="AE378" s="154"/>
      <c r="AF378" s="473"/>
      <c r="AG378" s="156"/>
      <c r="AH378" s="156"/>
      <c r="AI378" s="156"/>
      <c r="AJ378" s="154"/>
      <c r="AK378" s="473"/>
      <c r="AL378" s="156"/>
      <c r="AM378" s="156"/>
      <c r="AN378" s="156"/>
      <c r="AO378" s="452"/>
      <c r="AP378" s="452"/>
      <c r="AQ378" s="452"/>
      <c r="AR378" s="452"/>
      <c r="AS378" s="452"/>
      <c r="AT378" s="452"/>
      <c r="AU378" s="452"/>
      <c r="AV378" s="452"/>
      <c r="AW378" s="452"/>
      <c r="AX378" s="452"/>
      <c r="AY378" s="154"/>
      <c r="AZ378" s="473"/>
      <c r="BA378" s="156"/>
      <c r="BB378" s="156"/>
      <c r="BC378" s="156"/>
      <c r="BD378" s="452"/>
      <c r="BE378" s="452"/>
      <c r="BF378" s="452"/>
      <c r="BG378" s="452"/>
      <c r="BH378" s="452"/>
    </row>
    <row r="379">
      <c r="A379" s="154"/>
      <c r="B379" s="473"/>
      <c r="C379" s="156"/>
      <c r="D379" s="156"/>
      <c r="E379" s="156"/>
      <c r="F379" s="154"/>
      <c r="G379" s="473"/>
      <c r="H379" s="156"/>
      <c r="I379" s="156"/>
      <c r="J379" s="156"/>
      <c r="K379" s="132"/>
      <c r="L379" s="473"/>
      <c r="M379" s="156"/>
      <c r="N379" s="156"/>
      <c r="O379" s="156"/>
      <c r="P379" s="132"/>
      <c r="Q379" s="487"/>
      <c r="R379" s="156"/>
      <c r="S379" s="156"/>
      <c r="T379" s="156"/>
      <c r="U379" s="154"/>
      <c r="V379" s="473"/>
      <c r="W379" s="156"/>
      <c r="X379" s="156"/>
      <c r="Y379" s="156"/>
      <c r="Z379" s="154"/>
      <c r="AA379" s="473"/>
      <c r="AB379" s="156"/>
      <c r="AC379" s="156"/>
      <c r="AD379" s="156"/>
      <c r="AE379" s="154"/>
      <c r="AF379" s="473"/>
      <c r="AG379" s="156"/>
      <c r="AH379" s="156"/>
      <c r="AI379" s="156"/>
      <c r="AJ379" s="154"/>
      <c r="AK379" s="473"/>
      <c r="AL379" s="156"/>
      <c r="AM379" s="156"/>
      <c r="AN379" s="156"/>
      <c r="AO379" s="452"/>
      <c r="AP379" s="452"/>
      <c r="AQ379" s="452"/>
      <c r="AR379" s="452"/>
      <c r="AS379" s="452"/>
      <c r="AT379" s="452"/>
      <c r="AU379" s="452"/>
      <c r="AV379" s="452"/>
      <c r="AW379" s="452"/>
      <c r="AX379" s="452"/>
      <c r="AY379" s="154"/>
      <c r="AZ379" s="473"/>
      <c r="BA379" s="156"/>
      <c r="BB379" s="156"/>
      <c r="BC379" s="156"/>
      <c r="BD379" s="452"/>
      <c r="BE379" s="452"/>
      <c r="BF379" s="452"/>
      <c r="BG379" s="452"/>
      <c r="BH379" s="452"/>
    </row>
    <row r="380">
      <c r="A380" s="154"/>
      <c r="B380" s="473"/>
      <c r="C380" s="156"/>
      <c r="D380" s="156"/>
      <c r="E380" s="156"/>
      <c r="F380" s="154"/>
      <c r="G380" s="473"/>
      <c r="H380" s="156"/>
      <c r="I380" s="156"/>
      <c r="J380" s="156"/>
      <c r="K380" s="132"/>
      <c r="L380" s="473"/>
      <c r="M380" s="156"/>
      <c r="N380" s="156"/>
      <c r="O380" s="156"/>
      <c r="P380" s="132"/>
      <c r="Q380" s="487"/>
      <c r="R380" s="156"/>
      <c r="S380" s="156"/>
      <c r="T380" s="156"/>
      <c r="U380" s="154"/>
      <c r="V380" s="473"/>
      <c r="W380" s="156"/>
      <c r="X380" s="156"/>
      <c r="Y380" s="156"/>
      <c r="Z380" s="154"/>
      <c r="AA380" s="473"/>
      <c r="AB380" s="156"/>
      <c r="AC380" s="156"/>
      <c r="AD380" s="156"/>
      <c r="AE380" s="154"/>
      <c r="AF380" s="473"/>
      <c r="AG380" s="156"/>
      <c r="AH380" s="156"/>
      <c r="AI380" s="156"/>
      <c r="AJ380" s="154"/>
      <c r="AK380" s="473"/>
      <c r="AL380" s="156"/>
      <c r="AM380" s="156"/>
      <c r="AN380" s="156"/>
      <c r="AO380" s="452"/>
      <c r="AP380" s="452"/>
      <c r="AQ380" s="452"/>
      <c r="AR380" s="452"/>
      <c r="AS380" s="452"/>
      <c r="AT380" s="452"/>
      <c r="AU380" s="452"/>
      <c r="AV380" s="452"/>
      <c r="AW380" s="452"/>
      <c r="AX380" s="452"/>
      <c r="AY380" s="154"/>
      <c r="AZ380" s="473"/>
      <c r="BA380" s="156"/>
      <c r="BB380" s="156"/>
      <c r="BC380" s="156"/>
      <c r="BD380" s="452"/>
      <c r="BE380" s="452"/>
      <c r="BF380" s="452"/>
      <c r="BG380" s="452"/>
      <c r="BH380" s="452"/>
    </row>
    <row r="381">
      <c r="A381" s="154"/>
      <c r="B381" s="473"/>
      <c r="C381" s="156"/>
      <c r="D381" s="156"/>
      <c r="E381" s="156"/>
      <c r="F381" s="154"/>
      <c r="G381" s="473"/>
      <c r="H381" s="156"/>
      <c r="I381" s="156"/>
      <c r="J381" s="156"/>
      <c r="K381" s="132"/>
      <c r="L381" s="473"/>
      <c r="M381" s="156"/>
      <c r="N381" s="156"/>
      <c r="O381" s="156"/>
      <c r="P381" s="132"/>
      <c r="Q381" s="487"/>
      <c r="R381" s="156"/>
      <c r="S381" s="156"/>
      <c r="T381" s="156"/>
      <c r="U381" s="154"/>
      <c r="V381" s="473"/>
      <c r="W381" s="156"/>
      <c r="X381" s="156"/>
      <c r="Y381" s="156"/>
      <c r="Z381" s="154"/>
      <c r="AA381" s="473"/>
      <c r="AB381" s="156"/>
      <c r="AC381" s="156"/>
      <c r="AD381" s="156"/>
      <c r="AE381" s="154"/>
      <c r="AF381" s="473"/>
      <c r="AG381" s="156"/>
      <c r="AH381" s="156"/>
      <c r="AI381" s="156"/>
      <c r="AJ381" s="154"/>
      <c r="AK381" s="473"/>
      <c r="AL381" s="156"/>
      <c r="AM381" s="156"/>
      <c r="AN381" s="156"/>
      <c r="AO381" s="452"/>
      <c r="AP381" s="452"/>
      <c r="AQ381" s="452"/>
      <c r="AR381" s="452"/>
      <c r="AS381" s="452"/>
      <c r="AT381" s="452"/>
      <c r="AU381" s="452"/>
      <c r="AV381" s="452"/>
      <c r="AW381" s="452"/>
      <c r="AX381" s="452"/>
      <c r="AY381" s="154"/>
      <c r="AZ381" s="473"/>
      <c r="BA381" s="156"/>
      <c r="BB381" s="156"/>
      <c r="BC381" s="156"/>
      <c r="BD381" s="452"/>
      <c r="BE381" s="452"/>
      <c r="BF381" s="452"/>
      <c r="BG381" s="452"/>
      <c r="BH381" s="452"/>
    </row>
    <row r="382">
      <c r="A382" s="154"/>
      <c r="B382" s="473"/>
      <c r="C382" s="156"/>
      <c r="D382" s="156"/>
      <c r="E382" s="156"/>
      <c r="F382" s="154"/>
      <c r="G382" s="473"/>
      <c r="H382" s="156"/>
      <c r="I382" s="156"/>
      <c r="J382" s="156"/>
      <c r="K382" s="132"/>
      <c r="L382" s="473"/>
      <c r="M382" s="156"/>
      <c r="N382" s="156"/>
      <c r="O382" s="156"/>
      <c r="P382" s="132"/>
      <c r="Q382" s="487"/>
      <c r="R382" s="156"/>
      <c r="S382" s="156"/>
      <c r="T382" s="156"/>
      <c r="U382" s="154"/>
      <c r="V382" s="473"/>
      <c r="W382" s="156"/>
      <c r="X382" s="156"/>
      <c r="Y382" s="156"/>
      <c r="Z382" s="154"/>
      <c r="AA382" s="473"/>
      <c r="AB382" s="156"/>
      <c r="AC382" s="156"/>
      <c r="AD382" s="156"/>
      <c r="AE382" s="154"/>
      <c r="AF382" s="473"/>
      <c r="AG382" s="156"/>
      <c r="AH382" s="156"/>
      <c r="AI382" s="156"/>
      <c r="AJ382" s="154"/>
      <c r="AK382" s="473"/>
      <c r="AL382" s="156"/>
      <c r="AM382" s="156"/>
      <c r="AN382" s="156"/>
      <c r="AO382" s="452"/>
      <c r="AP382" s="452"/>
      <c r="AQ382" s="452"/>
      <c r="AR382" s="452"/>
      <c r="AS382" s="452"/>
      <c r="AT382" s="452"/>
      <c r="AU382" s="452"/>
      <c r="AV382" s="452"/>
      <c r="AW382" s="452"/>
      <c r="AX382" s="452"/>
      <c r="AY382" s="154"/>
      <c r="AZ382" s="473"/>
      <c r="BA382" s="156"/>
      <c r="BB382" s="156"/>
      <c r="BC382" s="156"/>
      <c r="BD382" s="452"/>
      <c r="BE382" s="452"/>
      <c r="BF382" s="452"/>
      <c r="BG382" s="452"/>
      <c r="BH382" s="452"/>
    </row>
    <row r="383">
      <c r="A383" s="154"/>
      <c r="B383" s="473"/>
      <c r="C383" s="156"/>
      <c r="D383" s="156"/>
      <c r="E383" s="156"/>
      <c r="F383" s="154"/>
      <c r="G383" s="473"/>
      <c r="H383" s="156"/>
      <c r="I383" s="156"/>
      <c r="J383" s="156"/>
      <c r="K383" s="132"/>
      <c r="L383" s="473"/>
      <c r="M383" s="156"/>
      <c r="N383" s="156"/>
      <c r="O383" s="156"/>
      <c r="P383" s="132"/>
      <c r="Q383" s="487"/>
      <c r="R383" s="156"/>
      <c r="S383" s="156"/>
      <c r="T383" s="156"/>
      <c r="U383" s="154"/>
      <c r="V383" s="473"/>
      <c r="W383" s="156"/>
      <c r="X383" s="156"/>
      <c r="Y383" s="156"/>
      <c r="Z383" s="154"/>
      <c r="AA383" s="473"/>
      <c r="AB383" s="156"/>
      <c r="AC383" s="156"/>
      <c r="AD383" s="156"/>
      <c r="AE383" s="154"/>
      <c r="AF383" s="473"/>
      <c r="AG383" s="156"/>
      <c r="AH383" s="156"/>
      <c r="AI383" s="156"/>
      <c r="AJ383" s="154"/>
      <c r="AK383" s="473"/>
      <c r="AL383" s="156"/>
      <c r="AM383" s="156"/>
      <c r="AN383" s="156"/>
      <c r="AO383" s="452"/>
      <c r="AP383" s="452"/>
      <c r="AQ383" s="452"/>
      <c r="AR383" s="452"/>
      <c r="AS383" s="452"/>
      <c r="AT383" s="452"/>
      <c r="AU383" s="452"/>
      <c r="AV383" s="452"/>
      <c r="AW383" s="452"/>
      <c r="AX383" s="452"/>
      <c r="AY383" s="154"/>
      <c r="AZ383" s="473"/>
      <c r="BA383" s="156"/>
      <c r="BB383" s="156"/>
      <c r="BC383" s="156"/>
      <c r="BD383" s="452"/>
      <c r="BE383" s="452"/>
      <c r="BF383" s="452"/>
      <c r="BG383" s="452"/>
      <c r="BH383" s="452"/>
    </row>
    <row r="384">
      <c r="A384" s="154"/>
      <c r="B384" s="473"/>
      <c r="C384" s="156"/>
      <c r="D384" s="156"/>
      <c r="E384" s="156"/>
      <c r="F384" s="154"/>
      <c r="G384" s="473"/>
      <c r="H384" s="156"/>
      <c r="I384" s="156"/>
      <c r="J384" s="156"/>
      <c r="K384" s="132"/>
      <c r="L384" s="473"/>
      <c r="M384" s="156"/>
      <c r="N384" s="156"/>
      <c r="O384" s="156"/>
      <c r="P384" s="132"/>
      <c r="Q384" s="487"/>
      <c r="R384" s="156"/>
      <c r="S384" s="156"/>
      <c r="T384" s="156"/>
      <c r="U384" s="154"/>
      <c r="V384" s="473"/>
      <c r="W384" s="156"/>
      <c r="X384" s="156"/>
      <c r="Y384" s="156"/>
      <c r="Z384" s="154"/>
      <c r="AA384" s="473"/>
      <c r="AB384" s="156"/>
      <c r="AC384" s="156"/>
      <c r="AD384" s="156"/>
      <c r="AE384" s="154"/>
      <c r="AF384" s="473"/>
      <c r="AG384" s="156"/>
      <c r="AH384" s="156"/>
      <c r="AI384" s="156"/>
      <c r="AJ384" s="154"/>
      <c r="AK384" s="473"/>
      <c r="AL384" s="156"/>
      <c r="AM384" s="156"/>
      <c r="AN384" s="156"/>
      <c r="AO384" s="452"/>
      <c r="AP384" s="452"/>
      <c r="AQ384" s="452"/>
      <c r="AR384" s="452"/>
      <c r="AS384" s="452"/>
      <c r="AT384" s="452"/>
      <c r="AU384" s="452"/>
      <c r="AV384" s="452"/>
      <c r="AW384" s="452"/>
      <c r="AX384" s="452"/>
      <c r="AY384" s="154"/>
      <c r="AZ384" s="473"/>
      <c r="BA384" s="156"/>
      <c r="BB384" s="156"/>
      <c r="BC384" s="156"/>
      <c r="BD384" s="452"/>
      <c r="BE384" s="452"/>
      <c r="BF384" s="452"/>
      <c r="BG384" s="452"/>
      <c r="BH384" s="452"/>
    </row>
    <row r="385">
      <c r="A385" s="154"/>
      <c r="B385" s="473"/>
      <c r="C385" s="156"/>
      <c r="D385" s="156"/>
      <c r="E385" s="156"/>
      <c r="F385" s="154"/>
      <c r="G385" s="473"/>
      <c r="H385" s="156"/>
      <c r="I385" s="156"/>
      <c r="J385" s="156"/>
      <c r="K385" s="132"/>
      <c r="L385" s="473"/>
      <c r="M385" s="156"/>
      <c r="N385" s="156"/>
      <c r="O385" s="156"/>
      <c r="P385" s="132"/>
      <c r="Q385" s="487"/>
      <c r="R385" s="156"/>
      <c r="S385" s="156"/>
      <c r="T385" s="156"/>
      <c r="U385" s="154"/>
      <c r="V385" s="473"/>
      <c r="W385" s="156"/>
      <c r="X385" s="156"/>
      <c r="Y385" s="156"/>
      <c r="Z385" s="154"/>
      <c r="AA385" s="473"/>
      <c r="AB385" s="156"/>
      <c r="AC385" s="156"/>
      <c r="AD385" s="156"/>
      <c r="AE385" s="154"/>
      <c r="AF385" s="473"/>
      <c r="AG385" s="156"/>
      <c r="AH385" s="156"/>
      <c r="AI385" s="156"/>
      <c r="AJ385" s="154"/>
      <c r="AK385" s="473"/>
      <c r="AL385" s="156"/>
      <c r="AM385" s="156"/>
      <c r="AN385" s="156"/>
      <c r="AO385" s="452"/>
      <c r="AP385" s="452"/>
      <c r="AQ385" s="452"/>
      <c r="AR385" s="452"/>
      <c r="AS385" s="452"/>
      <c r="AT385" s="452"/>
      <c r="AU385" s="452"/>
      <c r="AV385" s="452"/>
      <c r="AW385" s="452"/>
      <c r="AX385" s="452"/>
      <c r="AY385" s="154"/>
      <c r="AZ385" s="473"/>
      <c r="BA385" s="156"/>
      <c r="BB385" s="156"/>
      <c r="BC385" s="156"/>
      <c r="BD385" s="452"/>
      <c r="BE385" s="452"/>
      <c r="BF385" s="452"/>
      <c r="BG385" s="452"/>
      <c r="BH385" s="452"/>
    </row>
    <row r="386">
      <c r="A386" s="154"/>
      <c r="B386" s="473"/>
      <c r="C386" s="156"/>
      <c r="D386" s="156"/>
      <c r="E386" s="156"/>
      <c r="F386" s="154"/>
      <c r="G386" s="473"/>
      <c r="H386" s="156"/>
      <c r="I386" s="156"/>
      <c r="J386" s="156"/>
      <c r="K386" s="132"/>
      <c r="L386" s="473"/>
      <c r="M386" s="156"/>
      <c r="N386" s="156"/>
      <c r="O386" s="156"/>
      <c r="P386" s="132"/>
      <c r="Q386" s="487"/>
      <c r="R386" s="156"/>
      <c r="S386" s="156"/>
      <c r="T386" s="156"/>
      <c r="U386" s="154"/>
      <c r="V386" s="473"/>
      <c r="W386" s="156"/>
      <c r="X386" s="156"/>
      <c r="Y386" s="156"/>
      <c r="Z386" s="154"/>
      <c r="AA386" s="473"/>
      <c r="AB386" s="156"/>
      <c r="AC386" s="156"/>
      <c r="AD386" s="156"/>
      <c r="AE386" s="154"/>
      <c r="AF386" s="473"/>
      <c r="AG386" s="156"/>
      <c r="AH386" s="156"/>
      <c r="AI386" s="156"/>
      <c r="AJ386" s="154"/>
      <c r="AK386" s="473"/>
      <c r="AL386" s="156"/>
      <c r="AM386" s="156"/>
      <c r="AN386" s="156"/>
      <c r="AO386" s="452"/>
      <c r="AP386" s="452"/>
      <c r="AQ386" s="452"/>
      <c r="AR386" s="452"/>
      <c r="AS386" s="452"/>
      <c r="AT386" s="452"/>
      <c r="AU386" s="452"/>
      <c r="AV386" s="452"/>
      <c r="AW386" s="452"/>
      <c r="AX386" s="452"/>
      <c r="AY386" s="154"/>
      <c r="AZ386" s="473"/>
      <c r="BA386" s="156"/>
      <c r="BB386" s="156"/>
      <c r="BC386" s="156"/>
      <c r="BD386" s="452"/>
      <c r="BE386" s="452"/>
      <c r="BF386" s="452"/>
      <c r="BG386" s="452"/>
      <c r="BH386" s="452"/>
    </row>
    <row r="387">
      <c r="A387" s="154"/>
      <c r="B387" s="473"/>
      <c r="C387" s="156"/>
      <c r="D387" s="156"/>
      <c r="E387" s="156"/>
      <c r="F387" s="154"/>
      <c r="G387" s="473"/>
      <c r="H387" s="156"/>
      <c r="I387" s="156"/>
      <c r="J387" s="156"/>
      <c r="K387" s="132"/>
      <c r="L387" s="473"/>
      <c r="M387" s="156"/>
      <c r="N387" s="156"/>
      <c r="O387" s="156"/>
      <c r="P387" s="132"/>
      <c r="Q387" s="487"/>
      <c r="R387" s="156"/>
      <c r="S387" s="156"/>
      <c r="T387" s="156"/>
      <c r="U387" s="154"/>
      <c r="V387" s="473"/>
      <c r="W387" s="156"/>
      <c r="X387" s="156"/>
      <c r="Y387" s="156"/>
      <c r="Z387" s="154"/>
      <c r="AA387" s="473"/>
      <c r="AB387" s="156"/>
      <c r="AC387" s="156"/>
      <c r="AD387" s="156"/>
      <c r="AE387" s="154"/>
      <c r="AF387" s="473"/>
      <c r="AG387" s="156"/>
      <c r="AH387" s="156"/>
      <c r="AI387" s="156"/>
      <c r="AJ387" s="154"/>
      <c r="AK387" s="473"/>
      <c r="AL387" s="156"/>
      <c r="AM387" s="156"/>
      <c r="AN387" s="156"/>
      <c r="AO387" s="452"/>
      <c r="AP387" s="452"/>
      <c r="AQ387" s="452"/>
      <c r="AR387" s="452"/>
      <c r="AS387" s="452"/>
      <c r="AT387" s="452"/>
      <c r="AU387" s="452"/>
      <c r="AV387" s="452"/>
      <c r="AW387" s="452"/>
      <c r="AX387" s="452"/>
      <c r="AY387" s="154"/>
      <c r="AZ387" s="473"/>
      <c r="BA387" s="156"/>
      <c r="BB387" s="156"/>
      <c r="BC387" s="156"/>
      <c r="BD387" s="452"/>
      <c r="BE387" s="452"/>
      <c r="BF387" s="452"/>
      <c r="BG387" s="452"/>
      <c r="BH387" s="452"/>
    </row>
    <row r="388">
      <c r="A388" s="154"/>
      <c r="B388" s="473"/>
      <c r="C388" s="156"/>
      <c r="D388" s="156"/>
      <c r="E388" s="156"/>
      <c r="F388" s="154"/>
      <c r="G388" s="473"/>
      <c r="H388" s="156"/>
      <c r="I388" s="156"/>
      <c r="J388" s="156"/>
      <c r="K388" s="132"/>
      <c r="L388" s="473"/>
      <c r="M388" s="156"/>
      <c r="N388" s="156"/>
      <c r="O388" s="156"/>
      <c r="P388" s="132"/>
      <c r="Q388" s="487"/>
      <c r="R388" s="156"/>
      <c r="S388" s="156"/>
      <c r="T388" s="156"/>
      <c r="U388" s="154"/>
      <c r="V388" s="473"/>
      <c r="W388" s="156"/>
      <c r="X388" s="156"/>
      <c r="Y388" s="156"/>
      <c r="Z388" s="154"/>
      <c r="AA388" s="473"/>
      <c r="AB388" s="156"/>
      <c r="AC388" s="156"/>
      <c r="AD388" s="156"/>
      <c r="AE388" s="154"/>
      <c r="AF388" s="473"/>
      <c r="AG388" s="156"/>
      <c r="AH388" s="156"/>
      <c r="AI388" s="156"/>
      <c r="AJ388" s="154"/>
      <c r="AK388" s="473"/>
      <c r="AL388" s="156"/>
      <c r="AM388" s="156"/>
      <c r="AN388" s="156"/>
      <c r="AO388" s="452"/>
      <c r="AP388" s="452"/>
      <c r="AQ388" s="452"/>
      <c r="AR388" s="452"/>
      <c r="AS388" s="452"/>
      <c r="AT388" s="452"/>
      <c r="AU388" s="452"/>
      <c r="AV388" s="452"/>
      <c r="AW388" s="452"/>
      <c r="AX388" s="452"/>
      <c r="AY388" s="154"/>
      <c r="AZ388" s="473"/>
      <c r="BA388" s="156"/>
      <c r="BB388" s="156"/>
      <c r="BC388" s="156"/>
      <c r="BD388" s="452"/>
      <c r="BE388" s="452"/>
      <c r="BF388" s="452"/>
      <c r="BG388" s="452"/>
      <c r="BH388" s="452"/>
    </row>
    <row r="389">
      <c r="A389" s="154"/>
      <c r="B389" s="473"/>
      <c r="C389" s="156"/>
      <c r="D389" s="156"/>
      <c r="E389" s="156"/>
      <c r="F389" s="154"/>
      <c r="G389" s="473"/>
      <c r="H389" s="156"/>
      <c r="I389" s="156"/>
      <c r="J389" s="156"/>
      <c r="K389" s="132"/>
      <c r="L389" s="473"/>
      <c r="M389" s="156"/>
      <c r="N389" s="156"/>
      <c r="O389" s="156"/>
      <c r="P389" s="132"/>
      <c r="Q389" s="487"/>
      <c r="R389" s="156"/>
      <c r="S389" s="156"/>
      <c r="T389" s="156"/>
      <c r="U389" s="154"/>
      <c r="V389" s="473"/>
      <c r="W389" s="156"/>
      <c r="X389" s="156"/>
      <c r="Y389" s="156"/>
      <c r="Z389" s="154"/>
      <c r="AA389" s="473"/>
      <c r="AB389" s="156"/>
      <c r="AC389" s="156"/>
      <c r="AD389" s="156"/>
      <c r="AE389" s="154"/>
      <c r="AF389" s="473"/>
      <c r="AG389" s="156"/>
      <c r="AH389" s="156"/>
      <c r="AI389" s="156"/>
      <c r="AJ389" s="154"/>
      <c r="AK389" s="473"/>
      <c r="AL389" s="156"/>
      <c r="AM389" s="156"/>
      <c r="AN389" s="156"/>
      <c r="AO389" s="452"/>
      <c r="AP389" s="452"/>
      <c r="AQ389" s="452"/>
      <c r="AR389" s="452"/>
      <c r="AS389" s="452"/>
      <c r="AT389" s="452"/>
      <c r="AU389" s="452"/>
      <c r="AV389" s="452"/>
      <c r="AW389" s="452"/>
      <c r="AX389" s="452"/>
      <c r="AY389" s="154"/>
      <c r="AZ389" s="473"/>
      <c r="BA389" s="156"/>
      <c r="BB389" s="156"/>
      <c r="BC389" s="156"/>
      <c r="BD389" s="452"/>
      <c r="BE389" s="452"/>
      <c r="BF389" s="452"/>
      <c r="BG389" s="452"/>
      <c r="BH389" s="452"/>
    </row>
    <row r="390">
      <c r="A390" s="154"/>
      <c r="B390" s="473"/>
      <c r="C390" s="156"/>
      <c r="D390" s="156"/>
      <c r="E390" s="156"/>
      <c r="F390" s="154"/>
      <c r="G390" s="473"/>
      <c r="H390" s="156"/>
      <c r="I390" s="156"/>
      <c r="J390" s="156"/>
      <c r="K390" s="132"/>
      <c r="L390" s="473"/>
      <c r="M390" s="156"/>
      <c r="N390" s="156"/>
      <c r="O390" s="156"/>
      <c r="P390" s="132"/>
      <c r="Q390" s="487"/>
      <c r="R390" s="156"/>
      <c r="S390" s="156"/>
      <c r="T390" s="156"/>
      <c r="U390" s="154"/>
      <c r="V390" s="473"/>
      <c r="W390" s="156"/>
      <c r="X390" s="156"/>
      <c r="Y390" s="156"/>
      <c r="Z390" s="154"/>
      <c r="AA390" s="473"/>
      <c r="AB390" s="156"/>
      <c r="AC390" s="156"/>
      <c r="AD390" s="156"/>
      <c r="AE390" s="154"/>
      <c r="AF390" s="473"/>
      <c r="AG390" s="156"/>
      <c r="AH390" s="156"/>
      <c r="AI390" s="156"/>
      <c r="AJ390" s="154"/>
      <c r="AK390" s="473"/>
      <c r="AL390" s="156"/>
      <c r="AM390" s="156"/>
      <c r="AN390" s="156"/>
      <c r="AO390" s="452"/>
      <c r="AP390" s="452"/>
      <c r="AQ390" s="452"/>
      <c r="AR390" s="452"/>
      <c r="AS390" s="452"/>
      <c r="AT390" s="452"/>
      <c r="AU390" s="452"/>
      <c r="AV390" s="452"/>
      <c r="AW390" s="452"/>
      <c r="AX390" s="452"/>
      <c r="AY390" s="154"/>
      <c r="AZ390" s="473"/>
      <c r="BA390" s="156"/>
      <c r="BB390" s="156"/>
      <c r="BC390" s="156"/>
      <c r="BD390" s="452"/>
      <c r="BE390" s="452"/>
      <c r="BF390" s="452"/>
      <c r="BG390" s="452"/>
      <c r="BH390" s="452"/>
    </row>
    <row r="391">
      <c r="A391" s="154"/>
      <c r="B391" s="473"/>
      <c r="C391" s="156"/>
      <c r="D391" s="156"/>
      <c r="E391" s="156"/>
      <c r="F391" s="154"/>
      <c r="G391" s="473"/>
      <c r="H391" s="156"/>
      <c r="I391" s="156"/>
      <c r="J391" s="156"/>
      <c r="K391" s="132"/>
      <c r="L391" s="473"/>
      <c r="M391" s="156"/>
      <c r="N391" s="156"/>
      <c r="O391" s="156"/>
      <c r="P391" s="132"/>
      <c r="Q391" s="487"/>
      <c r="R391" s="156"/>
      <c r="S391" s="156"/>
      <c r="T391" s="156"/>
      <c r="U391" s="154"/>
      <c r="V391" s="473"/>
      <c r="W391" s="156"/>
      <c r="X391" s="156"/>
      <c r="Y391" s="156"/>
      <c r="Z391" s="154"/>
      <c r="AA391" s="473"/>
      <c r="AB391" s="156"/>
      <c r="AC391" s="156"/>
      <c r="AD391" s="156"/>
      <c r="AE391" s="154"/>
      <c r="AF391" s="473"/>
      <c r="AG391" s="156"/>
      <c r="AH391" s="156"/>
      <c r="AI391" s="156"/>
      <c r="AJ391" s="154"/>
      <c r="AK391" s="473"/>
      <c r="AL391" s="156"/>
      <c r="AM391" s="156"/>
      <c r="AN391" s="156"/>
      <c r="AO391" s="452"/>
      <c r="AP391" s="452"/>
      <c r="AQ391" s="452"/>
      <c r="AR391" s="452"/>
      <c r="AS391" s="452"/>
      <c r="AT391" s="452"/>
      <c r="AU391" s="452"/>
      <c r="AV391" s="452"/>
      <c r="AW391" s="452"/>
      <c r="AX391" s="452"/>
      <c r="AY391" s="154"/>
      <c r="AZ391" s="473"/>
      <c r="BA391" s="156"/>
      <c r="BB391" s="156"/>
      <c r="BC391" s="156"/>
      <c r="BD391" s="452"/>
      <c r="BE391" s="452"/>
      <c r="BF391" s="452"/>
      <c r="BG391" s="452"/>
      <c r="BH391" s="452"/>
    </row>
    <row r="392">
      <c r="A392" s="154"/>
      <c r="B392" s="473"/>
      <c r="C392" s="156"/>
      <c r="D392" s="156"/>
      <c r="E392" s="156"/>
      <c r="F392" s="154"/>
      <c r="G392" s="473"/>
      <c r="H392" s="156"/>
      <c r="I392" s="156"/>
      <c r="J392" s="156"/>
      <c r="K392" s="132"/>
      <c r="L392" s="473"/>
      <c r="M392" s="156"/>
      <c r="N392" s="156"/>
      <c r="O392" s="156"/>
      <c r="P392" s="132"/>
      <c r="Q392" s="487"/>
      <c r="R392" s="156"/>
      <c r="S392" s="156"/>
      <c r="T392" s="156"/>
      <c r="U392" s="154"/>
      <c r="V392" s="473"/>
      <c r="W392" s="156"/>
      <c r="X392" s="156"/>
      <c r="Y392" s="156"/>
      <c r="Z392" s="154"/>
      <c r="AA392" s="473"/>
      <c r="AB392" s="156"/>
      <c r="AC392" s="156"/>
      <c r="AD392" s="156"/>
      <c r="AE392" s="154"/>
      <c r="AF392" s="473"/>
      <c r="AG392" s="156"/>
      <c r="AH392" s="156"/>
      <c r="AI392" s="156"/>
      <c r="AJ392" s="154"/>
      <c r="AK392" s="473"/>
      <c r="AL392" s="156"/>
      <c r="AM392" s="156"/>
      <c r="AN392" s="156"/>
      <c r="AO392" s="452"/>
      <c r="AP392" s="452"/>
      <c r="AQ392" s="452"/>
      <c r="AR392" s="452"/>
      <c r="AS392" s="452"/>
      <c r="AT392" s="452"/>
      <c r="AU392" s="452"/>
      <c r="AV392" s="452"/>
      <c r="AW392" s="452"/>
      <c r="AX392" s="452"/>
      <c r="AY392" s="154"/>
      <c r="AZ392" s="473"/>
      <c r="BA392" s="156"/>
      <c r="BB392" s="156"/>
      <c r="BC392" s="156"/>
      <c r="BD392" s="452"/>
      <c r="BE392" s="452"/>
      <c r="BF392" s="452"/>
      <c r="BG392" s="452"/>
      <c r="BH392" s="452"/>
    </row>
    <row r="393">
      <c r="A393" s="154"/>
      <c r="B393" s="473"/>
      <c r="C393" s="156"/>
      <c r="D393" s="156"/>
      <c r="E393" s="156"/>
      <c r="F393" s="154"/>
      <c r="G393" s="473"/>
      <c r="H393" s="156"/>
      <c r="I393" s="156"/>
      <c r="J393" s="156"/>
      <c r="K393" s="132"/>
      <c r="L393" s="473"/>
      <c r="M393" s="156"/>
      <c r="N393" s="156"/>
      <c r="O393" s="156"/>
      <c r="P393" s="132"/>
      <c r="Q393" s="487"/>
      <c r="R393" s="156"/>
      <c r="S393" s="156"/>
      <c r="T393" s="156"/>
      <c r="U393" s="154"/>
      <c r="V393" s="473"/>
      <c r="W393" s="156"/>
      <c r="X393" s="156"/>
      <c r="Y393" s="156"/>
      <c r="Z393" s="154"/>
      <c r="AA393" s="473"/>
      <c r="AB393" s="156"/>
      <c r="AC393" s="156"/>
      <c r="AD393" s="156"/>
      <c r="AE393" s="154"/>
      <c r="AF393" s="473"/>
      <c r="AG393" s="156"/>
      <c r="AH393" s="156"/>
      <c r="AI393" s="156"/>
      <c r="AJ393" s="154"/>
      <c r="AK393" s="473"/>
      <c r="AL393" s="156"/>
      <c r="AM393" s="156"/>
      <c r="AN393" s="156"/>
      <c r="AO393" s="452"/>
      <c r="AP393" s="452"/>
      <c r="AQ393" s="452"/>
      <c r="AR393" s="452"/>
      <c r="AS393" s="452"/>
      <c r="AT393" s="452"/>
      <c r="AU393" s="452"/>
      <c r="AV393" s="452"/>
      <c r="AW393" s="452"/>
      <c r="AX393" s="452"/>
      <c r="AY393" s="154"/>
      <c r="AZ393" s="473"/>
      <c r="BA393" s="156"/>
      <c r="BB393" s="156"/>
      <c r="BC393" s="156"/>
      <c r="BD393" s="452"/>
      <c r="BE393" s="452"/>
      <c r="BF393" s="452"/>
      <c r="BG393" s="452"/>
      <c r="BH393" s="452"/>
    </row>
    <row r="394">
      <c r="A394" s="154"/>
      <c r="B394" s="473"/>
      <c r="C394" s="156"/>
      <c r="D394" s="156"/>
      <c r="E394" s="156"/>
      <c r="F394" s="154"/>
      <c r="G394" s="473"/>
      <c r="H394" s="156"/>
      <c r="I394" s="156"/>
      <c r="J394" s="156"/>
      <c r="K394" s="132"/>
      <c r="L394" s="473"/>
      <c r="M394" s="156"/>
      <c r="N394" s="156"/>
      <c r="O394" s="156"/>
      <c r="P394" s="132"/>
      <c r="Q394" s="487"/>
      <c r="R394" s="156"/>
      <c r="S394" s="156"/>
      <c r="T394" s="156"/>
      <c r="U394" s="154"/>
      <c r="V394" s="473"/>
      <c r="W394" s="156"/>
      <c r="X394" s="156"/>
      <c r="Y394" s="156"/>
      <c r="Z394" s="154"/>
      <c r="AA394" s="473"/>
      <c r="AB394" s="156"/>
      <c r="AC394" s="156"/>
      <c r="AD394" s="156"/>
      <c r="AE394" s="154"/>
      <c r="AF394" s="473"/>
      <c r="AG394" s="156"/>
      <c r="AH394" s="156"/>
      <c r="AI394" s="156"/>
      <c r="AJ394" s="154"/>
      <c r="AK394" s="473"/>
      <c r="AL394" s="156"/>
      <c r="AM394" s="156"/>
      <c r="AN394" s="156"/>
      <c r="AO394" s="452"/>
      <c r="AP394" s="452"/>
      <c r="AQ394" s="452"/>
      <c r="AR394" s="452"/>
      <c r="AS394" s="452"/>
      <c r="AT394" s="452"/>
      <c r="AU394" s="452"/>
      <c r="AV394" s="452"/>
      <c r="AW394" s="452"/>
      <c r="AX394" s="452"/>
      <c r="AY394" s="154"/>
      <c r="AZ394" s="473"/>
      <c r="BA394" s="156"/>
      <c r="BB394" s="156"/>
      <c r="BC394" s="156"/>
      <c r="BD394" s="452"/>
      <c r="BE394" s="452"/>
      <c r="BF394" s="452"/>
      <c r="BG394" s="452"/>
      <c r="BH394" s="452"/>
    </row>
    <row r="395">
      <c r="A395" s="154"/>
      <c r="B395" s="473"/>
      <c r="C395" s="156"/>
      <c r="D395" s="156"/>
      <c r="E395" s="156"/>
      <c r="F395" s="154"/>
      <c r="G395" s="473"/>
      <c r="H395" s="156"/>
      <c r="I395" s="156"/>
      <c r="J395" s="156"/>
      <c r="K395" s="132"/>
      <c r="L395" s="473"/>
      <c r="M395" s="156"/>
      <c r="N395" s="156"/>
      <c r="O395" s="156"/>
      <c r="P395" s="132"/>
      <c r="Q395" s="487"/>
      <c r="R395" s="156"/>
      <c r="S395" s="156"/>
      <c r="T395" s="156"/>
      <c r="U395" s="154"/>
      <c r="V395" s="473"/>
      <c r="W395" s="156"/>
      <c r="X395" s="156"/>
      <c r="Y395" s="156"/>
      <c r="Z395" s="154"/>
      <c r="AA395" s="473"/>
      <c r="AB395" s="156"/>
      <c r="AC395" s="156"/>
      <c r="AD395" s="156"/>
      <c r="AE395" s="154"/>
      <c r="AF395" s="473"/>
      <c r="AG395" s="156"/>
      <c r="AH395" s="156"/>
      <c r="AI395" s="156"/>
      <c r="AJ395" s="154"/>
      <c r="AK395" s="473"/>
      <c r="AL395" s="156"/>
      <c r="AM395" s="156"/>
      <c r="AN395" s="156"/>
      <c r="AO395" s="452"/>
      <c r="AP395" s="452"/>
      <c r="AQ395" s="452"/>
      <c r="AR395" s="452"/>
      <c r="AS395" s="452"/>
      <c r="AT395" s="452"/>
      <c r="AU395" s="452"/>
      <c r="AV395" s="452"/>
      <c r="AW395" s="452"/>
      <c r="AX395" s="452"/>
      <c r="AY395" s="154"/>
      <c r="AZ395" s="473"/>
      <c r="BA395" s="156"/>
      <c r="BB395" s="156"/>
      <c r="BC395" s="156"/>
      <c r="BD395" s="452"/>
      <c r="BE395" s="452"/>
      <c r="BF395" s="452"/>
      <c r="BG395" s="452"/>
      <c r="BH395" s="452"/>
    </row>
    <row r="396">
      <c r="A396" s="154"/>
      <c r="B396" s="473"/>
      <c r="C396" s="156"/>
      <c r="D396" s="156"/>
      <c r="E396" s="156"/>
      <c r="F396" s="154"/>
      <c r="G396" s="473"/>
      <c r="H396" s="156"/>
      <c r="I396" s="156"/>
      <c r="J396" s="156"/>
      <c r="K396" s="132"/>
      <c r="L396" s="473"/>
      <c r="M396" s="156"/>
      <c r="N396" s="156"/>
      <c r="O396" s="156"/>
      <c r="P396" s="132"/>
      <c r="Q396" s="487"/>
      <c r="R396" s="156"/>
      <c r="S396" s="156"/>
      <c r="T396" s="156"/>
      <c r="U396" s="154"/>
      <c r="V396" s="473"/>
      <c r="W396" s="156"/>
      <c r="X396" s="156"/>
      <c r="Y396" s="156"/>
      <c r="Z396" s="154"/>
      <c r="AA396" s="473"/>
      <c r="AB396" s="156"/>
      <c r="AC396" s="156"/>
      <c r="AD396" s="156"/>
      <c r="AE396" s="154"/>
      <c r="AF396" s="473"/>
      <c r="AG396" s="156"/>
      <c r="AH396" s="156"/>
      <c r="AI396" s="156"/>
      <c r="AJ396" s="154"/>
      <c r="AK396" s="473"/>
      <c r="AL396" s="156"/>
      <c r="AM396" s="156"/>
      <c r="AN396" s="156"/>
      <c r="AO396" s="452"/>
      <c r="AP396" s="452"/>
      <c r="AQ396" s="452"/>
      <c r="AR396" s="452"/>
      <c r="AS396" s="452"/>
      <c r="AT396" s="452"/>
      <c r="AU396" s="452"/>
      <c r="AV396" s="452"/>
      <c r="AW396" s="452"/>
      <c r="AX396" s="452"/>
      <c r="AY396" s="154"/>
      <c r="AZ396" s="473"/>
      <c r="BA396" s="156"/>
      <c r="BB396" s="156"/>
      <c r="BC396" s="156"/>
      <c r="BD396" s="452"/>
      <c r="BE396" s="452"/>
      <c r="BF396" s="452"/>
      <c r="BG396" s="452"/>
      <c r="BH396" s="452"/>
    </row>
    <row r="397">
      <c r="A397" s="154"/>
      <c r="B397" s="473"/>
      <c r="C397" s="156"/>
      <c r="D397" s="156"/>
      <c r="E397" s="156"/>
      <c r="F397" s="154"/>
      <c r="G397" s="473"/>
      <c r="H397" s="156"/>
      <c r="I397" s="156"/>
      <c r="J397" s="156"/>
      <c r="K397" s="132"/>
      <c r="L397" s="473"/>
      <c r="M397" s="156"/>
      <c r="N397" s="156"/>
      <c r="O397" s="156"/>
      <c r="P397" s="132"/>
      <c r="Q397" s="487"/>
      <c r="R397" s="156"/>
      <c r="S397" s="156"/>
      <c r="T397" s="156"/>
      <c r="U397" s="154"/>
      <c r="V397" s="473"/>
      <c r="W397" s="156"/>
      <c r="X397" s="156"/>
      <c r="Y397" s="156"/>
      <c r="Z397" s="154"/>
      <c r="AA397" s="473"/>
      <c r="AB397" s="156"/>
      <c r="AC397" s="156"/>
      <c r="AD397" s="156"/>
      <c r="AE397" s="154"/>
      <c r="AF397" s="473"/>
      <c r="AG397" s="156"/>
      <c r="AH397" s="156"/>
      <c r="AI397" s="156"/>
      <c r="AJ397" s="154"/>
      <c r="AK397" s="473"/>
      <c r="AL397" s="156"/>
      <c r="AM397" s="156"/>
      <c r="AN397" s="156"/>
      <c r="AO397" s="452"/>
      <c r="AP397" s="452"/>
      <c r="AQ397" s="452"/>
      <c r="AR397" s="452"/>
      <c r="AS397" s="452"/>
      <c r="AT397" s="452"/>
      <c r="AU397" s="452"/>
      <c r="AV397" s="452"/>
      <c r="AW397" s="452"/>
      <c r="AX397" s="452"/>
      <c r="AY397" s="154"/>
      <c r="AZ397" s="473"/>
      <c r="BA397" s="156"/>
      <c r="BB397" s="156"/>
      <c r="BC397" s="156"/>
      <c r="BD397" s="452"/>
      <c r="BE397" s="452"/>
      <c r="BF397" s="452"/>
      <c r="BG397" s="452"/>
      <c r="BH397" s="452"/>
    </row>
    <row r="398">
      <c r="A398" s="154"/>
      <c r="B398" s="473"/>
      <c r="C398" s="156"/>
      <c r="D398" s="156"/>
      <c r="E398" s="156"/>
      <c r="F398" s="154"/>
      <c r="G398" s="473"/>
      <c r="H398" s="156"/>
      <c r="I398" s="156"/>
      <c r="J398" s="156"/>
      <c r="K398" s="132"/>
      <c r="L398" s="473"/>
      <c r="M398" s="156"/>
      <c r="N398" s="156"/>
      <c r="O398" s="156"/>
      <c r="P398" s="132"/>
      <c r="Q398" s="487"/>
      <c r="R398" s="156"/>
      <c r="S398" s="156"/>
      <c r="T398" s="156"/>
      <c r="U398" s="154"/>
      <c r="V398" s="473"/>
      <c r="W398" s="156"/>
      <c r="X398" s="156"/>
      <c r="Y398" s="156"/>
      <c r="Z398" s="154"/>
      <c r="AA398" s="473"/>
      <c r="AB398" s="156"/>
      <c r="AC398" s="156"/>
      <c r="AD398" s="156"/>
      <c r="AE398" s="154"/>
      <c r="AF398" s="473"/>
      <c r="AG398" s="156"/>
      <c r="AH398" s="156"/>
      <c r="AI398" s="156"/>
      <c r="AJ398" s="154"/>
      <c r="AK398" s="473"/>
      <c r="AL398" s="156"/>
      <c r="AM398" s="156"/>
      <c r="AN398" s="156"/>
      <c r="AO398" s="452"/>
      <c r="AP398" s="452"/>
      <c r="AQ398" s="452"/>
      <c r="AR398" s="452"/>
      <c r="AS398" s="452"/>
      <c r="AT398" s="452"/>
      <c r="AU398" s="452"/>
      <c r="AV398" s="452"/>
      <c r="AW398" s="452"/>
      <c r="AX398" s="452"/>
      <c r="AY398" s="154"/>
      <c r="AZ398" s="473"/>
      <c r="BA398" s="156"/>
      <c r="BB398" s="156"/>
      <c r="BC398" s="156"/>
      <c r="BD398" s="452"/>
      <c r="BE398" s="452"/>
      <c r="BF398" s="452"/>
      <c r="BG398" s="452"/>
      <c r="BH398" s="452"/>
    </row>
    <row r="399">
      <c r="A399" s="154"/>
      <c r="B399" s="473"/>
      <c r="C399" s="156"/>
      <c r="D399" s="156"/>
      <c r="E399" s="156"/>
      <c r="F399" s="154"/>
      <c r="G399" s="473"/>
      <c r="H399" s="156"/>
      <c r="I399" s="156"/>
      <c r="J399" s="156"/>
      <c r="K399" s="132"/>
      <c r="L399" s="473"/>
      <c r="M399" s="156"/>
      <c r="N399" s="156"/>
      <c r="O399" s="156"/>
      <c r="P399" s="132"/>
      <c r="Q399" s="487"/>
      <c r="R399" s="156"/>
      <c r="S399" s="156"/>
      <c r="T399" s="156"/>
      <c r="U399" s="154"/>
      <c r="V399" s="473"/>
      <c r="W399" s="156"/>
      <c r="X399" s="156"/>
      <c r="Y399" s="156"/>
      <c r="Z399" s="154"/>
      <c r="AA399" s="473"/>
      <c r="AB399" s="156"/>
      <c r="AC399" s="156"/>
      <c r="AD399" s="156"/>
      <c r="AE399" s="154"/>
      <c r="AF399" s="473"/>
      <c r="AG399" s="156"/>
      <c r="AH399" s="156"/>
      <c r="AI399" s="156"/>
      <c r="AJ399" s="154"/>
      <c r="AK399" s="473"/>
      <c r="AL399" s="156"/>
      <c r="AM399" s="156"/>
      <c r="AN399" s="156"/>
      <c r="AO399" s="452"/>
      <c r="AP399" s="452"/>
      <c r="AQ399" s="452"/>
      <c r="AR399" s="452"/>
      <c r="AS399" s="452"/>
      <c r="AT399" s="452"/>
      <c r="AU399" s="452"/>
      <c r="AV399" s="452"/>
      <c r="AW399" s="452"/>
      <c r="AX399" s="452"/>
      <c r="AY399" s="154"/>
      <c r="AZ399" s="473"/>
      <c r="BA399" s="156"/>
      <c r="BB399" s="156"/>
      <c r="BC399" s="156"/>
      <c r="BD399" s="452"/>
      <c r="BE399" s="452"/>
      <c r="BF399" s="452"/>
      <c r="BG399" s="452"/>
      <c r="BH399" s="452"/>
    </row>
    <row r="400">
      <c r="A400" s="154"/>
      <c r="B400" s="473"/>
      <c r="C400" s="156"/>
      <c r="D400" s="156"/>
      <c r="E400" s="156"/>
      <c r="F400" s="154"/>
      <c r="G400" s="473"/>
      <c r="H400" s="156"/>
      <c r="I400" s="156"/>
      <c r="J400" s="156"/>
      <c r="K400" s="132"/>
      <c r="L400" s="473"/>
      <c r="M400" s="156"/>
      <c r="N400" s="156"/>
      <c r="O400" s="156"/>
      <c r="P400" s="132"/>
      <c r="Q400" s="487"/>
      <c r="R400" s="156"/>
      <c r="S400" s="156"/>
      <c r="T400" s="156"/>
      <c r="U400" s="154"/>
      <c r="V400" s="473"/>
      <c r="W400" s="156"/>
      <c r="X400" s="156"/>
      <c r="Y400" s="156"/>
      <c r="Z400" s="154"/>
      <c r="AA400" s="473"/>
      <c r="AB400" s="156"/>
      <c r="AC400" s="156"/>
      <c r="AD400" s="156"/>
      <c r="AE400" s="154"/>
      <c r="AF400" s="473"/>
      <c r="AG400" s="156"/>
      <c r="AH400" s="156"/>
      <c r="AI400" s="156"/>
      <c r="AJ400" s="154"/>
      <c r="AK400" s="473"/>
      <c r="AL400" s="156"/>
      <c r="AM400" s="156"/>
      <c r="AN400" s="156"/>
      <c r="AO400" s="452"/>
      <c r="AP400" s="452"/>
      <c r="AQ400" s="452"/>
      <c r="AR400" s="452"/>
      <c r="AS400" s="452"/>
      <c r="AT400" s="452"/>
      <c r="AU400" s="452"/>
      <c r="AV400" s="452"/>
      <c r="AW400" s="452"/>
      <c r="AX400" s="452"/>
      <c r="AY400" s="154"/>
      <c r="AZ400" s="473"/>
      <c r="BA400" s="156"/>
      <c r="BB400" s="156"/>
      <c r="BC400" s="156"/>
      <c r="BD400" s="452"/>
      <c r="BE400" s="452"/>
      <c r="BF400" s="452"/>
      <c r="BG400" s="452"/>
      <c r="BH400" s="452"/>
    </row>
    <row r="401">
      <c r="A401" s="154"/>
      <c r="B401" s="473"/>
      <c r="C401" s="156"/>
      <c r="D401" s="156"/>
      <c r="E401" s="156"/>
      <c r="F401" s="154"/>
      <c r="G401" s="473"/>
      <c r="H401" s="156"/>
      <c r="I401" s="156"/>
      <c r="J401" s="156"/>
      <c r="K401" s="132"/>
      <c r="L401" s="473"/>
      <c r="M401" s="156"/>
      <c r="N401" s="156"/>
      <c r="O401" s="156"/>
      <c r="P401" s="132"/>
      <c r="Q401" s="487"/>
      <c r="R401" s="156"/>
      <c r="S401" s="156"/>
      <c r="T401" s="156"/>
      <c r="U401" s="154"/>
      <c r="V401" s="473"/>
      <c r="W401" s="156"/>
      <c r="X401" s="156"/>
      <c r="Y401" s="156"/>
      <c r="Z401" s="154"/>
      <c r="AA401" s="473"/>
      <c r="AB401" s="156"/>
      <c r="AC401" s="156"/>
      <c r="AD401" s="156"/>
      <c r="AE401" s="154"/>
      <c r="AF401" s="473"/>
      <c r="AG401" s="156"/>
      <c r="AH401" s="156"/>
      <c r="AI401" s="156"/>
      <c r="AJ401" s="154"/>
      <c r="AK401" s="473"/>
      <c r="AL401" s="156"/>
      <c r="AM401" s="156"/>
      <c r="AN401" s="156"/>
      <c r="AO401" s="452"/>
      <c r="AP401" s="452"/>
      <c r="AQ401" s="452"/>
      <c r="AR401" s="452"/>
      <c r="AS401" s="452"/>
      <c r="AT401" s="452"/>
      <c r="AU401" s="452"/>
      <c r="AV401" s="452"/>
      <c r="AW401" s="452"/>
      <c r="AX401" s="452"/>
      <c r="AY401" s="154"/>
      <c r="AZ401" s="473"/>
      <c r="BA401" s="156"/>
      <c r="BB401" s="156"/>
      <c r="BC401" s="156"/>
      <c r="BD401" s="452"/>
      <c r="BE401" s="452"/>
      <c r="BF401" s="452"/>
      <c r="BG401" s="452"/>
      <c r="BH401" s="452"/>
    </row>
    <row r="402">
      <c r="A402" s="154"/>
      <c r="B402" s="473"/>
      <c r="C402" s="156"/>
      <c r="D402" s="156"/>
      <c r="E402" s="156"/>
      <c r="F402" s="154"/>
      <c r="G402" s="473"/>
      <c r="H402" s="156"/>
      <c r="I402" s="156"/>
      <c r="J402" s="156"/>
      <c r="K402" s="132"/>
      <c r="L402" s="473"/>
      <c r="M402" s="156"/>
      <c r="N402" s="156"/>
      <c r="O402" s="156"/>
      <c r="P402" s="132"/>
      <c r="Q402" s="487"/>
      <c r="R402" s="156"/>
      <c r="S402" s="156"/>
      <c r="T402" s="156"/>
      <c r="U402" s="154"/>
      <c r="V402" s="473"/>
      <c r="W402" s="156"/>
      <c r="X402" s="156"/>
      <c r="Y402" s="156"/>
      <c r="Z402" s="154"/>
      <c r="AA402" s="473"/>
      <c r="AB402" s="156"/>
      <c r="AC402" s="156"/>
      <c r="AD402" s="156"/>
      <c r="AE402" s="154"/>
      <c r="AF402" s="473"/>
      <c r="AG402" s="156"/>
      <c r="AH402" s="156"/>
      <c r="AI402" s="156"/>
      <c r="AJ402" s="154"/>
      <c r="AK402" s="473"/>
      <c r="AL402" s="156"/>
      <c r="AM402" s="156"/>
      <c r="AN402" s="156"/>
      <c r="AO402" s="452"/>
      <c r="AP402" s="452"/>
      <c r="AQ402" s="452"/>
      <c r="AR402" s="452"/>
      <c r="AS402" s="452"/>
      <c r="AT402" s="452"/>
      <c r="AU402" s="452"/>
      <c r="AV402" s="452"/>
      <c r="AW402" s="452"/>
      <c r="AX402" s="452"/>
      <c r="AY402" s="154"/>
      <c r="AZ402" s="473"/>
      <c r="BA402" s="156"/>
      <c r="BB402" s="156"/>
      <c r="BC402" s="156"/>
      <c r="BD402" s="452"/>
      <c r="BE402" s="452"/>
      <c r="BF402" s="452"/>
      <c r="BG402" s="452"/>
      <c r="BH402" s="452"/>
    </row>
    <row r="403">
      <c r="A403" s="154"/>
      <c r="B403" s="473"/>
      <c r="C403" s="156"/>
      <c r="D403" s="156"/>
      <c r="E403" s="156"/>
      <c r="F403" s="154"/>
      <c r="G403" s="473"/>
      <c r="H403" s="156"/>
      <c r="I403" s="156"/>
      <c r="J403" s="156"/>
      <c r="K403" s="132"/>
      <c r="L403" s="473"/>
      <c r="M403" s="156"/>
      <c r="N403" s="156"/>
      <c r="O403" s="156"/>
      <c r="P403" s="132"/>
      <c r="Q403" s="487"/>
      <c r="R403" s="156"/>
      <c r="S403" s="156"/>
      <c r="T403" s="156"/>
      <c r="U403" s="154"/>
      <c r="V403" s="473"/>
      <c r="W403" s="156"/>
      <c r="X403" s="156"/>
      <c r="Y403" s="156"/>
      <c r="Z403" s="154"/>
      <c r="AA403" s="473"/>
      <c r="AB403" s="156"/>
      <c r="AC403" s="156"/>
      <c r="AD403" s="156"/>
      <c r="AE403" s="154"/>
      <c r="AF403" s="473"/>
      <c r="AG403" s="156"/>
      <c r="AH403" s="156"/>
      <c r="AI403" s="156"/>
      <c r="AJ403" s="154"/>
      <c r="AK403" s="473"/>
      <c r="AL403" s="156"/>
      <c r="AM403" s="156"/>
      <c r="AN403" s="156"/>
      <c r="AO403" s="452"/>
      <c r="AP403" s="452"/>
      <c r="AQ403" s="452"/>
      <c r="AR403" s="452"/>
      <c r="AS403" s="452"/>
      <c r="AT403" s="452"/>
      <c r="AU403" s="452"/>
      <c r="AV403" s="452"/>
      <c r="AW403" s="452"/>
      <c r="AX403" s="452"/>
      <c r="AY403" s="154"/>
      <c r="AZ403" s="473"/>
      <c r="BA403" s="156"/>
      <c r="BB403" s="156"/>
      <c r="BC403" s="156"/>
      <c r="BD403" s="452"/>
      <c r="BE403" s="452"/>
      <c r="BF403" s="452"/>
      <c r="BG403" s="452"/>
      <c r="BH403" s="452"/>
    </row>
    <row r="404">
      <c r="A404" s="154"/>
      <c r="B404" s="473"/>
      <c r="C404" s="156"/>
      <c r="D404" s="156"/>
      <c r="E404" s="156"/>
      <c r="F404" s="154"/>
      <c r="G404" s="473"/>
      <c r="H404" s="156"/>
      <c r="I404" s="156"/>
      <c r="J404" s="156"/>
      <c r="K404" s="132"/>
      <c r="L404" s="473"/>
      <c r="M404" s="156"/>
      <c r="N404" s="156"/>
      <c r="O404" s="156"/>
      <c r="P404" s="132"/>
      <c r="Q404" s="487"/>
      <c r="R404" s="156"/>
      <c r="S404" s="156"/>
      <c r="T404" s="156"/>
      <c r="U404" s="154"/>
      <c r="V404" s="473"/>
      <c r="W404" s="156"/>
      <c r="X404" s="156"/>
      <c r="Y404" s="156"/>
      <c r="Z404" s="154"/>
      <c r="AA404" s="473"/>
      <c r="AB404" s="156"/>
      <c r="AC404" s="156"/>
      <c r="AD404" s="156"/>
      <c r="AE404" s="154"/>
      <c r="AF404" s="473"/>
      <c r="AG404" s="156"/>
      <c r="AH404" s="156"/>
      <c r="AI404" s="156"/>
      <c r="AJ404" s="154"/>
      <c r="AK404" s="473"/>
      <c r="AL404" s="156"/>
      <c r="AM404" s="156"/>
      <c r="AN404" s="156"/>
      <c r="AO404" s="452"/>
      <c r="AP404" s="452"/>
      <c r="AQ404" s="452"/>
      <c r="AR404" s="452"/>
      <c r="AS404" s="452"/>
      <c r="AT404" s="452"/>
      <c r="AU404" s="452"/>
      <c r="AV404" s="452"/>
      <c r="AW404" s="452"/>
      <c r="AX404" s="452"/>
      <c r="AY404" s="154"/>
      <c r="AZ404" s="473"/>
      <c r="BA404" s="156"/>
      <c r="BB404" s="156"/>
      <c r="BC404" s="156"/>
      <c r="BD404" s="452"/>
      <c r="BE404" s="452"/>
      <c r="BF404" s="452"/>
      <c r="BG404" s="452"/>
      <c r="BH404" s="452"/>
    </row>
    <row r="405">
      <c r="A405" s="154"/>
      <c r="B405" s="473"/>
      <c r="C405" s="156"/>
      <c r="D405" s="156"/>
      <c r="E405" s="156"/>
      <c r="F405" s="154"/>
      <c r="G405" s="473"/>
      <c r="H405" s="156"/>
      <c r="I405" s="156"/>
      <c r="J405" s="156"/>
      <c r="K405" s="132"/>
      <c r="L405" s="473"/>
      <c r="M405" s="156"/>
      <c r="N405" s="156"/>
      <c r="O405" s="156"/>
      <c r="P405" s="132"/>
      <c r="Q405" s="487"/>
      <c r="R405" s="156"/>
      <c r="S405" s="156"/>
      <c r="T405" s="156"/>
      <c r="U405" s="154"/>
      <c r="V405" s="473"/>
      <c r="W405" s="156"/>
      <c r="X405" s="156"/>
      <c r="Y405" s="156"/>
      <c r="Z405" s="154"/>
      <c r="AA405" s="473"/>
      <c r="AB405" s="156"/>
      <c r="AC405" s="156"/>
      <c r="AD405" s="156"/>
      <c r="AE405" s="154"/>
      <c r="AF405" s="473"/>
      <c r="AG405" s="156"/>
      <c r="AH405" s="156"/>
      <c r="AI405" s="156"/>
      <c r="AJ405" s="154"/>
      <c r="AK405" s="473"/>
      <c r="AL405" s="156"/>
      <c r="AM405" s="156"/>
      <c r="AN405" s="156"/>
      <c r="AO405" s="452"/>
      <c r="AP405" s="452"/>
      <c r="AQ405" s="452"/>
      <c r="AR405" s="452"/>
      <c r="AS405" s="452"/>
      <c r="AT405" s="452"/>
      <c r="AU405" s="452"/>
      <c r="AV405" s="452"/>
      <c r="AW405" s="452"/>
      <c r="AX405" s="452"/>
      <c r="AY405" s="154"/>
      <c r="AZ405" s="473"/>
      <c r="BA405" s="156"/>
      <c r="BB405" s="156"/>
      <c r="BC405" s="156"/>
      <c r="BD405" s="452"/>
      <c r="BE405" s="452"/>
      <c r="BF405" s="452"/>
      <c r="BG405" s="452"/>
      <c r="BH405" s="452"/>
    </row>
    <row r="406">
      <c r="A406" s="154"/>
      <c r="B406" s="473"/>
      <c r="C406" s="156"/>
      <c r="D406" s="156"/>
      <c r="E406" s="156"/>
      <c r="F406" s="154"/>
      <c r="G406" s="473"/>
      <c r="H406" s="156"/>
      <c r="I406" s="156"/>
      <c r="J406" s="156"/>
      <c r="K406" s="132"/>
      <c r="L406" s="473"/>
      <c r="M406" s="156"/>
      <c r="N406" s="156"/>
      <c r="O406" s="156"/>
      <c r="P406" s="132"/>
      <c r="Q406" s="487"/>
      <c r="R406" s="156"/>
      <c r="S406" s="156"/>
      <c r="T406" s="156"/>
      <c r="U406" s="154"/>
      <c r="V406" s="473"/>
      <c r="W406" s="156"/>
      <c r="X406" s="156"/>
      <c r="Y406" s="156"/>
      <c r="Z406" s="154"/>
      <c r="AA406" s="473"/>
      <c r="AB406" s="156"/>
      <c r="AC406" s="156"/>
      <c r="AD406" s="156"/>
      <c r="AE406" s="154"/>
      <c r="AF406" s="473"/>
      <c r="AG406" s="156"/>
      <c r="AH406" s="156"/>
      <c r="AI406" s="156"/>
      <c r="AJ406" s="154"/>
      <c r="AK406" s="473"/>
      <c r="AL406" s="156"/>
      <c r="AM406" s="156"/>
      <c r="AN406" s="156"/>
      <c r="AO406" s="452"/>
      <c r="AP406" s="452"/>
      <c r="AQ406" s="452"/>
      <c r="AR406" s="452"/>
      <c r="AS406" s="452"/>
      <c r="AT406" s="452"/>
      <c r="AU406" s="452"/>
      <c r="AV406" s="452"/>
      <c r="AW406" s="452"/>
      <c r="AX406" s="452"/>
      <c r="AY406" s="154"/>
      <c r="AZ406" s="473"/>
      <c r="BA406" s="156"/>
      <c r="BB406" s="156"/>
      <c r="BC406" s="156"/>
      <c r="BD406" s="452"/>
      <c r="BE406" s="452"/>
      <c r="BF406" s="452"/>
      <c r="BG406" s="452"/>
      <c r="BH406" s="452"/>
    </row>
    <row r="407">
      <c r="A407" s="154"/>
      <c r="B407" s="473"/>
      <c r="C407" s="156"/>
      <c r="D407" s="156"/>
      <c r="E407" s="156"/>
      <c r="F407" s="154"/>
      <c r="G407" s="473"/>
      <c r="H407" s="156"/>
      <c r="I407" s="156"/>
      <c r="J407" s="156"/>
      <c r="K407" s="132"/>
      <c r="L407" s="473"/>
      <c r="M407" s="156"/>
      <c r="N407" s="156"/>
      <c r="O407" s="156"/>
      <c r="P407" s="132"/>
      <c r="Q407" s="487"/>
      <c r="R407" s="156"/>
      <c r="S407" s="156"/>
      <c r="T407" s="156"/>
      <c r="U407" s="154"/>
      <c r="V407" s="473"/>
      <c r="W407" s="156"/>
      <c r="X407" s="156"/>
      <c r="Y407" s="156"/>
      <c r="Z407" s="154"/>
      <c r="AA407" s="473"/>
      <c r="AB407" s="156"/>
      <c r="AC407" s="156"/>
      <c r="AD407" s="156"/>
      <c r="AE407" s="154"/>
      <c r="AF407" s="473"/>
      <c r="AG407" s="156"/>
      <c r="AH407" s="156"/>
      <c r="AI407" s="156"/>
      <c r="AJ407" s="154"/>
      <c r="AK407" s="473"/>
      <c r="AL407" s="156"/>
      <c r="AM407" s="156"/>
      <c r="AN407" s="156"/>
      <c r="AO407" s="452"/>
      <c r="AP407" s="452"/>
      <c r="AQ407" s="452"/>
      <c r="AR407" s="452"/>
      <c r="AS407" s="452"/>
      <c r="AT407" s="452"/>
      <c r="AU407" s="452"/>
      <c r="AV407" s="452"/>
      <c r="AW407" s="452"/>
      <c r="AX407" s="452"/>
      <c r="AY407" s="154"/>
      <c r="AZ407" s="473"/>
      <c r="BA407" s="156"/>
      <c r="BB407" s="156"/>
      <c r="BC407" s="156"/>
      <c r="BD407" s="452"/>
      <c r="BE407" s="452"/>
      <c r="BF407" s="452"/>
      <c r="BG407" s="452"/>
      <c r="BH407" s="452"/>
    </row>
    <row r="408">
      <c r="A408" s="154"/>
      <c r="B408" s="473"/>
      <c r="C408" s="156"/>
      <c r="D408" s="156"/>
      <c r="E408" s="156"/>
      <c r="F408" s="154"/>
      <c r="G408" s="473"/>
      <c r="H408" s="156"/>
      <c r="I408" s="156"/>
      <c r="J408" s="156"/>
      <c r="K408" s="132"/>
      <c r="L408" s="473"/>
      <c r="M408" s="156"/>
      <c r="N408" s="156"/>
      <c r="O408" s="156"/>
      <c r="P408" s="132"/>
      <c r="Q408" s="487"/>
      <c r="R408" s="156"/>
      <c r="S408" s="156"/>
      <c r="T408" s="156"/>
      <c r="U408" s="154"/>
      <c r="V408" s="473"/>
      <c r="W408" s="156"/>
      <c r="X408" s="156"/>
      <c r="Y408" s="156"/>
      <c r="Z408" s="154"/>
      <c r="AA408" s="473"/>
      <c r="AB408" s="156"/>
      <c r="AC408" s="156"/>
      <c r="AD408" s="156"/>
      <c r="AE408" s="154"/>
      <c r="AF408" s="473"/>
      <c r="AG408" s="156"/>
      <c r="AH408" s="156"/>
      <c r="AI408" s="156"/>
      <c r="AJ408" s="154"/>
      <c r="AK408" s="473"/>
      <c r="AL408" s="156"/>
      <c r="AM408" s="156"/>
      <c r="AN408" s="156"/>
      <c r="AO408" s="452"/>
      <c r="AP408" s="452"/>
      <c r="AQ408" s="452"/>
      <c r="AR408" s="452"/>
      <c r="AS408" s="452"/>
      <c r="AT408" s="452"/>
      <c r="AU408" s="452"/>
      <c r="AV408" s="452"/>
      <c r="AW408" s="452"/>
      <c r="AX408" s="452"/>
      <c r="AY408" s="154"/>
      <c r="AZ408" s="473"/>
      <c r="BA408" s="156"/>
      <c r="BB408" s="156"/>
      <c r="BC408" s="156"/>
      <c r="BD408" s="452"/>
      <c r="BE408" s="452"/>
      <c r="BF408" s="452"/>
      <c r="BG408" s="452"/>
      <c r="BH408" s="452"/>
    </row>
    <row r="409">
      <c r="A409" s="154"/>
      <c r="B409" s="473"/>
      <c r="C409" s="156"/>
      <c r="D409" s="156"/>
      <c r="E409" s="156"/>
      <c r="F409" s="154"/>
      <c r="G409" s="473"/>
      <c r="H409" s="156"/>
      <c r="I409" s="156"/>
      <c r="J409" s="156"/>
      <c r="K409" s="132"/>
      <c r="L409" s="473"/>
      <c r="M409" s="156"/>
      <c r="N409" s="156"/>
      <c r="O409" s="156"/>
      <c r="P409" s="132"/>
      <c r="Q409" s="487"/>
      <c r="R409" s="156"/>
      <c r="S409" s="156"/>
      <c r="T409" s="156"/>
      <c r="U409" s="154"/>
      <c r="V409" s="473"/>
      <c r="W409" s="156"/>
      <c r="X409" s="156"/>
      <c r="Y409" s="156"/>
      <c r="Z409" s="154"/>
      <c r="AA409" s="473"/>
      <c r="AB409" s="156"/>
      <c r="AC409" s="156"/>
      <c r="AD409" s="156"/>
      <c r="AE409" s="154"/>
      <c r="AF409" s="473"/>
      <c r="AG409" s="156"/>
      <c r="AH409" s="156"/>
      <c r="AI409" s="156"/>
      <c r="AJ409" s="154"/>
      <c r="AK409" s="473"/>
      <c r="AL409" s="156"/>
      <c r="AM409" s="156"/>
      <c r="AN409" s="156"/>
      <c r="AO409" s="452"/>
      <c r="AP409" s="452"/>
      <c r="AQ409" s="452"/>
      <c r="AR409" s="452"/>
      <c r="AS409" s="452"/>
      <c r="AT409" s="452"/>
      <c r="AU409" s="452"/>
      <c r="AV409" s="452"/>
      <c r="AW409" s="452"/>
      <c r="AX409" s="452"/>
      <c r="AY409" s="154"/>
      <c r="AZ409" s="473"/>
      <c r="BA409" s="156"/>
      <c r="BB409" s="156"/>
      <c r="BC409" s="156"/>
      <c r="BD409" s="452"/>
      <c r="BE409" s="452"/>
      <c r="BF409" s="452"/>
      <c r="BG409" s="452"/>
      <c r="BH409" s="452"/>
    </row>
    <row r="410">
      <c r="A410" s="154"/>
      <c r="B410" s="473"/>
      <c r="C410" s="156"/>
      <c r="D410" s="156"/>
      <c r="E410" s="156"/>
      <c r="F410" s="154"/>
      <c r="G410" s="473"/>
      <c r="H410" s="156"/>
      <c r="I410" s="156"/>
      <c r="J410" s="156"/>
      <c r="K410" s="132"/>
      <c r="L410" s="473"/>
      <c r="M410" s="156"/>
      <c r="N410" s="156"/>
      <c r="O410" s="156"/>
      <c r="P410" s="132"/>
      <c r="Q410" s="487"/>
      <c r="R410" s="156"/>
      <c r="S410" s="156"/>
      <c r="T410" s="156"/>
      <c r="U410" s="154"/>
      <c r="V410" s="473"/>
      <c r="W410" s="156"/>
      <c r="X410" s="156"/>
      <c r="Y410" s="156"/>
      <c r="Z410" s="154"/>
      <c r="AA410" s="473"/>
      <c r="AB410" s="156"/>
      <c r="AC410" s="156"/>
      <c r="AD410" s="156"/>
      <c r="AE410" s="154"/>
      <c r="AF410" s="473"/>
      <c r="AG410" s="156"/>
      <c r="AH410" s="156"/>
      <c r="AI410" s="156"/>
      <c r="AJ410" s="154"/>
      <c r="AK410" s="473"/>
      <c r="AL410" s="156"/>
      <c r="AM410" s="156"/>
      <c r="AN410" s="156"/>
      <c r="AO410" s="452"/>
      <c r="AP410" s="452"/>
      <c r="AQ410" s="452"/>
      <c r="AR410" s="452"/>
      <c r="AS410" s="452"/>
      <c r="AT410" s="452"/>
      <c r="AU410" s="452"/>
      <c r="AV410" s="452"/>
      <c r="AW410" s="452"/>
      <c r="AX410" s="452"/>
      <c r="AY410" s="154"/>
      <c r="AZ410" s="473"/>
      <c r="BA410" s="156"/>
      <c r="BB410" s="156"/>
      <c r="BC410" s="156"/>
      <c r="BD410" s="452"/>
      <c r="BE410" s="452"/>
      <c r="BF410" s="452"/>
      <c r="BG410" s="452"/>
      <c r="BH410" s="452"/>
    </row>
    <row r="411">
      <c r="A411" s="154"/>
      <c r="B411" s="473"/>
      <c r="C411" s="156"/>
      <c r="D411" s="156"/>
      <c r="E411" s="156"/>
      <c r="F411" s="154"/>
      <c r="G411" s="473"/>
      <c r="H411" s="156"/>
      <c r="I411" s="156"/>
      <c r="J411" s="156"/>
      <c r="K411" s="132"/>
      <c r="L411" s="473"/>
      <c r="M411" s="156"/>
      <c r="N411" s="156"/>
      <c r="O411" s="156"/>
      <c r="P411" s="132"/>
      <c r="Q411" s="487"/>
      <c r="R411" s="156"/>
      <c r="S411" s="156"/>
      <c r="T411" s="156"/>
      <c r="U411" s="154"/>
      <c r="V411" s="473"/>
      <c r="W411" s="156"/>
      <c r="X411" s="156"/>
      <c r="Y411" s="156"/>
      <c r="Z411" s="154"/>
      <c r="AA411" s="473"/>
      <c r="AB411" s="156"/>
      <c r="AC411" s="156"/>
      <c r="AD411" s="156"/>
      <c r="AE411" s="154"/>
      <c r="AF411" s="473"/>
      <c r="AG411" s="156"/>
      <c r="AH411" s="156"/>
      <c r="AI411" s="156"/>
      <c r="AJ411" s="154"/>
      <c r="AK411" s="473"/>
      <c r="AL411" s="156"/>
      <c r="AM411" s="156"/>
      <c r="AN411" s="156"/>
      <c r="AO411" s="452"/>
      <c r="AP411" s="452"/>
      <c r="AQ411" s="452"/>
      <c r="AR411" s="452"/>
      <c r="AS411" s="452"/>
      <c r="AT411" s="452"/>
      <c r="AU411" s="452"/>
      <c r="AV411" s="452"/>
      <c r="AW411" s="452"/>
      <c r="AX411" s="452"/>
      <c r="AY411" s="154"/>
      <c r="AZ411" s="473"/>
      <c r="BA411" s="156"/>
      <c r="BB411" s="156"/>
      <c r="BC411" s="156"/>
      <c r="BD411" s="452"/>
      <c r="BE411" s="452"/>
      <c r="BF411" s="452"/>
      <c r="BG411" s="452"/>
      <c r="BH411" s="452"/>
    </row>
    <row r="412">
      <c r="A412" s="154"/>
      <c r="B412" s="473"/>
      <c r="C412" s="156"/>
      <c r="D412" s="156"/>
      <c r="E412" s="156"/>
      <c r="F412" s="154"/>
      <c r="G412" s="473"/>
      <c r="H412" s="156"/>
      <c r="I412" s="156"/>
      <c r="J412" s="156"/>
      <c r="K412" s="132"/>
      <c r="L412" s="473"/>
      <c r="M412" s="156"/>
      <c r="N412" s="156"/>
      <c r="O412" s="156"/>
      <c r="P412" s="132"/>
      <c r="Q412" s="487"/>
      <c r="R412" s="156"/>
      <c r="S412" s="156"/>
      <c r="T412" s="156"/>
      <c r="U412" s="154"/>
      <c r="V412" s="473"/>
      <c r="W412" s="156"/>
      <c r="X412" s="156"/>
      <c r="Y412" s="156"/>
      <c r="Z412" s="154"/>
      <c r="AA412" s="473"/>
      <c r="AB412" s="156"/>
      <c r="AC412" s="156"/>
      <c r="AD412" s="156"/>
      <c r="AE412" s="154"/>
      <c r="AF412" s="473"/>
      <c r="AG412" s="156"/>
      <c r="AH412" s="156"/>
      <c r="AI412" s="156"/>
      <c r="AJ412" s="154"/>
      <c r="AK412" s="473"/>
      <c r="AL412" s="156"/>
      <c r="AM412" s="156"/>
      <c r="AN412" s="156"/>
      <c r="AO412" s="452"/>
      <c r="AP412" s="452"/>
      <c r="AQ412" s="452"/>
      <c r="AR412" s="452"/>
      <c r="AS412" s="452"/>
      <c r="AT412" s="452"/>
      <c r="AU412" s="452"/>
      <c r="AV412" s="452"/>
      <c r="AW412" s="452"/>
      <c r="AX412" s="452"/>
      <c r="AY412" s="154"/>
      <c r="AZ412" s="473"/>
      <c r="BA412" s="156"/>
      <c r="BB412" s="156"/>
      <c r="BC412" s="156"/>
      <c r="BD412" s="452"/>
      <c r="BE412" s="452"/>
      <c r="BF412" s="452"/>
      <c r="BG412" s="452"/>
      <c r="BH412" s="452"/>
    </row>
    <row r="413">
      <c r="A413" s="154"/>
      <c r="B413" s="473"/>
      <c r="C413" s="156"/>
      <c r="D413" s="156"/>
      <c r="E413" s="156"/>
      <c r="F413" s="154"/>
      <c r="G413" s="473"/>
      <c r="H413" s="156"/>
      <c r="I413" s="156"/>
      <c r="J413" s="156"/>
      <c r="K413" s="132"/>
      <c r="L413" s="473"/>
      <c r="M413" s="156"/>
      <c r="N413" s="156"/>
      <c r="O413" s="156"/>
      <c r="P413" s="132"/>
      <c r="Q413" s="487"/>
      <c r="R413" s="156"/>
      <c r="S413" s="156"/>
      <c r="T413" s="156"/>
      <c r="U413" s="154"/>
      <c r="V413" s="473"/>
      <c r="W413" s="156"/>
      <c r="X413" s="156"/>
      <c r="Y413" s="156"/>
      <c r="Z413" s="154"/>
      <c r="AA413" s="473"/>
      <c r="AB413" s="156"/>
      <c r="AC413" s="156"/>
      <c r="AD413" s="156"/>
      <c r="AE413" s="154"/>
      <c r="AF413" s="473"/>
      <c r="AG413" s="156"/>
      <c r="AH413" s="156"/>
      <c r="AI413" s="156"/>
      <c r="AJ413" s="154"/>
      <c r="AK413" s="473"/>
      <c r="AL413" s="156"/>
      <c r="AM413" s="156"/>
      <c r="AN413" s="156"/>
      <c r="AO413" s="452"/>
      <c r="AP413" s="452"/>
      <c r="AQ413" s="452"/>
      <c r="AR413" s="452"/>
      <c r="AS413" s="452"/>
      <c r="AT413" s="452"/>
      <c r="AU413" s="452"/>
      <c r="AV413" s="452"/>
      <c r="AW413" s="452"/>
      <c r="AX413" s="452"/>
      <c r="AY413" s="154"/>
      <c r="AZ413" s="473"/>
      <c r="BA413" s="156"/>
      <c r="BB413" s="156"/>
      <c r="BC413" s="156"/>
      <c r="BD413" s="452"/>
      <c r="BE413" s="452"/>
      <c r="BF413" s="452"/>
      <c r="BG413" s="452"/>
      <c r="BH413" s="452"/>
    </row>
    <row r="414">
      <c r="A414" s="154"/>
      <c r="B414" s="473"/>
      <c r="C414" s="156"/>
      <c r="D414" s="156"/>
      <c r="E414" s="156"/>
      <c r="F414" s="154"/>
      <c r="G414" s="473"/>
      <c r="H414" s="156"/>
      <c r="I414" s="156"/>
      <c r="J414" s="156"/>
      <c r="K414" s="132"/>
      <c r="L414" s="473"/>
      <c r="M414" s="156"/>
      <c r="N414" s="156"/>
      <c r="O414" s="156"/>
      <c r="P414" s="132"/>
      <c r="Q414" s="487"/>
      <c r="R414" s="156"/>
      <c r="S414" s="156"/>
      <c r="T414" s="156"/>
      <c r="U414" s="154"/>
      <c r="V414" s="473"/>
      <c r="W414" s="156"/>
      <c r="X414" s="156"/>
      <c r="Y414" s="156"/>
      <c r="Z414" s="154"/>
      <c r="AA414" s="473"/>
      <c r="AB414" s="156"/>
      <c r="AC414" s="156"/>
      <c r="AD414" s="156"/>
      <c r="AE414" s="154"/>
      <c r="AF414" s="473"/>
      <c r="AG414" s="156"/>
      <c r="AH414" s="156"/>
      <c r="AI414" s="156"/>
      <c r="AJ414" s="154"/>
      <c r="AK414" s="473"/>
      <c r="AL414" s="156"/>
      <c r="AM414" s="156"/>
      <c r="AN414" s="156"/>
      <c r="AO414" s="452"/>
      <c r="AP414" s="452"/>
      <c r="AQ414" s="452"/>
      <c r="AR414" s="452"/>
      <c r="AS414" s="452"/>
      <c r="AT414" s="452"/>
      <c r="AU414" s="452"/>
      <c r="AV414" s="452"/>
      <c r="AW414" s="452"/>
      <c r="AX414" s="452"/>
      <c r="AY414" s="154"/>
      <c r="AZ414" s="473"/>
      <c r="BA414" s="156"/>
      <c r="BB414" s="156"/>
      <c r="BC414" s="156"/>
      <c r="BD414" s="452"/>
      <c r="BE414" s="452"/>
      <c r="BF414" s="452"/>
      <c r="BG414" s="452"/>
      <c r="BH414" s="452"/>
    </row>
    <row r="415">
      <c r="A415" s="154"/>
      <c r="B415" s="473"/>
      <c r="C415" s="156"/>
      <c r="D415" s="156"/>
      <c r="E415" s="156"/>
      <c r="F415" s="154"/>
      <c r="G415" s="473"/>
      <c r="H415" s="156"/>
      <c r="I415" s="156"/>
      <c r="J415" s="156"/>
      <c r="K415" s="132"/>
      <c r="L415" s="473"/>
      <c r="M415" s="156"/>
      <c r="N415" s="156"/>
      <c r="O415" s="156"/>
      <c r="P415" s="132"/>
      <c r="Q415" s="487"/>
      <c r="R415" s="156"/>
      <c r="S415" s="156"/>
      <c r="T415" s="156"/>
      <c r="U415" s="154"/>
      <c r="V415" s="473"/>
      <c r="W415" s="156"/>
      <c r="X415" s="156"/>
      <c r="Y415" s="156"/>
      <c r="Z415" s="154"/>
      <c r="AA415" s="473"/>
      <c r="AB415" s="156"/>
      <c r="AC415" s="156"/>
      <c r="AD415" s="156"/>
      <c r="AE415" s="154"/>
      <c r="AF415" s="473"/>
      <c r="AG415" s="156"/>
      <c r="AH415" s="156"/>
      <c r="AI415" s="156"/>
      <c r="AJ415" s="154"/>
      <c r="AK415" s="473"/>
      <c r="AL415" s="156"/>
      <c r="AM415" s="156"/>
      <c r="AN415" s="156"/>
      <c r="AO415" s="452"/>
      <c r="AP415" s="452"/>
      <c r="AQ415" s="452"/>
      <c r="AR415" s="452"/>
      <c r="AS415" s="452"/>
      <c r="AT415" s="452"/>
      <c r="AU415" s="452"/>
      <c r="AV415" s="452"/>
      <c r="AW415" s="452"/>
      <c r="AX415" s="452"/>
      <c r="AY415" s="154"/>
      <c r="AZ415" s="473"/>
      <c r="BA415" s="156"/>
      <c r="BB415" s="156"/>
      <c r="BC415" s="156"/>
      <c r="BD415" s="452"/>
      <c r="BE415" s="452"/>
      <c r="BF415" s="452"/>
      <c r="BG415" s="452"/>
      <c r="BH415" s="452"/>
    </row>
    <row r="416">
      <c r="A416" s="154"/>
      <c r="B416" s="473"/>
      <c r="C416" s="156"/>
      <c r="D416" s="156"/>
      <c r="E416" s="156"/>
      <c r="F416" s="154"/>
      <c r="G416" s="473"/>
      <c r="H416" s="156"/>
      <c r="I416" s="156"/>
      <c r="J416" s="156"/>
      <c r="K416" s="132"/>
      <c r="L416" s="473"/>
      <c r="M416" s="156"/>
      <c r="N416" s="156"/>
      <c r="O416" s="156"/>
      <c r="P416" s="132"/>
      <c r="Q416" s="487"/>
      <c r="R416" s="156"/>
      <c r="S416" s="156"/>
      <c r="T416" s="156"/>
      <c r="U416" s="154"/>
      <c r="V416" s="473"/>
      <c r="W416" s="156"/>
      <c r="X416" s="156"/>
      <c r="Y416" s="156"/>
      <c r="Z416" s="154"/>
      <c r="AA416" s="473"/>
      <c r="AB416" s="156"/>
      <c r="AC416" s="156"/>
      <c r="AD416" s="156"/>
      <c r="AE416" s="154"/>
      <c r="AF416" s="473"/>
      <c r="AG416" s="156"/>
      <c r="AH416" s="156"/>
      <c r="AI416" s="156"/>
      <c r="AJ416" s="154"/>
      <c r="AK416" s="473"/>
      <c r="AL416" s="156"/>
      <c r="AM416" s="156"/>
      <c r="AN416" s="156"/>
      <c r="AO416" s="452"/>
      <c r="AP416" s="452"/>
      <c r="AQ416" s="452"/>
      <c r="AR416" s="452"/>
      <c r="AS416" s="452"/>
      <c r="AT416" s="452"/>
      <c r="AU416" s="452"/>
      <c r="AV416" s="452"/>
      <c r="AW416" s="452"/>
      <c r="AX416" s="452"/>
      <c r="AY416" s="154"/>
      <c r="AZ416" s="473"/>
      <c r="BA416" s="156"/>
      <c r="BB416" s="156"/>
      <c r="BC416" s="156"/>
      <c r="BD416" s="452"/>
      <c r="BE416" s="452"/>
      <c r="BF416" s="452"/>
      <c r="BG416" s="452"/>
      <c r="BH416" s="452"/>
    </row>
    <row r="417">
      <c r="A417" s="154"/>
      <c r="B417" s="473"/>
      <c r="C417" s="156"/>
      <c r="D417" s="156"/>
      <c r="E417" s="156"/>
      <c r="F417" s="154"/>
      <c r="G417" s="473"/>
      <c r="H417" s="156"/>
      <c r="I417" s="156"/>
      <c r="J417" s="156"/>
      <c r="K417" s="132"/>
      <c r="L417" s="473"/>
      <c r="M417" s="156"/>
      <c r="N417" s="156"/>
      <c r="O417" s="156"/>
      <c r="P417" s="132"/>
      <c r="Q417" s="487"/>
      <c r="R417" s="156"/>
      <c r="S417" s="156"/>
      <c r="T417" s="156"/>
      <c r="U417" s="154"/>
      <c r="V417" s="473"/>
      <c r="W417" s="156"/>
      <c r="X417" s="156"/>
      <c r="Y417" s="156"/>
      <c r="Z417" s="154"/>
      <c r="AA417" s="473"/>
      <c r="AB417" s="156"/>
      <c r="AC417" s="156"/>
      <c r="AD417" s="156"/>
      <c r="AE417" s="154"/>
      <c r="AF417" s="473"/>
      <c r="AG417" s="156"/>
      <c r="AH417" s="156"/>
      <c r="AI417" s="156"/>
      <c r="AJ417" s="154"/>
      <c r="AK417" s="473"/>
      <c r="AL417" s="156"/>
      <c r="AM417" s="156"/>
      <c r="AN417" s="156"/>
      <c r="AO417" s="452"/>
      <c r="AP417" s="452"/>
      <c r="AQ417" s="452"/>
      <c r="AR417" s="452"/>
      <c r="AS417" s="452"/>
      <c r="AT417" s="452"/>
      <c r="AU417" s="452"/>
      <c r="AV417" s="452"/>
      <c r="AW417" s="452"/>
      <c r="AX417" s="452"/>
      <c r="AY417" s="154"/>
      <c r="AZ417" s="473"/>
      <c r="BA417" s="156"/>
      <c r="BB417" s="156"/>
      <c r="BC417" s="156"/>
      <c r="BD417" s="452"/>
      <c r="BE417" s="452"/>
      <c r="BF417" s="452"/>
      <c r="BG417" s="452"/>
      <c r="BH417" s="452"/>
    </row>
    <row r="418">
      <c r="A418" s="154"/>
      <c r="B418" s="473"/>
      <c r="C418" s="156"/>
      <c r="D418" s="156"/>
      <c r="E418" s="156"/>
      <c r="F418" s="154"/>
      <c r="G418" s="473"/>
      <c r="H418" s="156"/>
      <c r="I418" s="156"/>
      <c r="J418" s="156"/>
      <c r="K418" s="132"/>
      <c r="L418" s="473"/>
      <c r="M418" s="156"/>
      <c r="N418" s="156"/>
      <c r="O418" s="156"/>
      <c r="P418" s="132"/>
      <c r="Q418" s="487"/>
      <c r="R418" s="156"/>
      <c r="S418" s="156"/>
      <c r="T418" s="156"/>
      <c r="U418" s="154"/>
      <c r="V418" s="473"/>
      <c r="W418" s="156"/>
      <c r="X418" s="156"/>
      <c r="Y418" s="156"/>
      <c r="Z418" s="154"/>
      <c r="AA418" s="473"/>
      <c r="AB418" s="156"/>
      <c r="AC418" s="156"/>
      <c r="AD418" s="156"/>
      <c r="AE418" s="154"/>
      <c r="AF418" s="473"/>
      <c r="AG418" s="156"/>
      <c r="AH418" s="156"/>
      <c r="AI418" s="156"/>
      <c r="AJ418" s="154"/>
      <c r="AK418" s="473"/>
      <c r="AL418" s="156"/>
      <c r="AM418" s="156"/>
      <c r="AN418" s="156"/>
      <c r="AO418" s="452"/>
      <c r="AP418" s="452"/>
      <c r="AQ418" s="452"/>
      <c r="AR418" s="452"/>
      <c r="AS418" s="452"/>
      <c r="AT418" s="452"/>
      <c r="AU418" s="452"/>
      <c r="AV418" s="452"/>
      <c r="AW418" s="452"/>
      <c r="AX418" s="452"/>
      <c r="AY418" s="154"/>
      <c r="AZ418" s="473"/>
      <c r="BA418" s="156"/>
      <c r="BB418" s="156"/>
      <c r="BC418" s="156"/>
      <c r="BD418" s="452"/>
      <c r="BE418" s="452"/>
      <c r="BF418" s="452"/>
      <c r="BG418" s="452"/>
      <c r="BH418" s="452"/>
    </row>
    <row r="419">
      <c r="A419" s="154"/>
      <c r="B419" s="473"/>
      <c r="C419" s="156"/>
      <c r="D419" s="156"/>
      <c r="E419" s="156"/>
      <c r="F419" s="154"/>
      <c r="G419" s="473"/>
      <c r="H419" s="156"/>
      <c r="I419" s="156"/>
      <c r="J419" s="156"/>
      <c r="K419" s="132"/>
      <c r="L419" s="473"/>
      <c r="M419" s="156"/>
      <c r="N419" s="156"/>
      <c r="O419" s="156"/>
      <c r="P419" s="132"/>
      <c r="Q419" s="487"/>
      <c r="R419" s="156"/>
      <c r="S419" s="156"/>
      <c r="T419" s="156"/>
      <c r="U419" s="154"/>
      <c r="V419" s="473"/>
      <c r="W419" s="156"/>
      <c r="X419" s="156"/>
      <c r="Y419" s="156"/>
      <c r="Z419" s="154"/>
      <c r="AA419" s="473"/>
      <c r="AB419" s="156"/>
      <c r="AC419" s="156"/>
      <c r="AD419" s="156"/>
      <c r="AE419" s="154"/>
      <c r="AF419" s="473"/>
      <c r="AG419" s="156"/>
      <c r="AH419" s="156"/>
      <c r="AI419" s="156"/>
      <c r="AJ419" s="154"/>
      <c r="AK419" s="473"/>
      <c r="AL419" s="156"/>
      <c r="AM419" s="156"/>
      <c r="AN419" s="156"/>
      <c r="AO419" s="452"/>
      <c r="AP419" s="452"/>
      <c r="AQ419" s="452"/>
      <c r="AR419" s="452"/>
      <c r="AS419" s="452"/>
      <c r="AT419" s="452"/>
      <c r="AU419" s="452"/>
      <c r="AV419" s="452"/>
      <c r="AW419" s="452"/>
      <c r="AX419" s="452"/>
      <c r="AY419" s="154"/>
      <c r="AZ419" s="473"/>
      <c r="BA419" s="156"/>
      <c r="BB419" s="156"/>
      <c r="BC419" s="156"/>
      <c r="BD419" s="452"/>
      <c r="BE419" s="452"/>
      <c r="BF419" s="452"/>
      <c r="BG419" s="452"/>
      <c r="BH419" s="452"/>
    </row>
    <row r="420">
      <c r="A420" s="154"/>
      <c r="B420" s="473"/>
      <c r="C420" s="156"/>
      <c r="D420" s="156"/>
      <c r="E420" s="156"/>
      <c r="F420" s="154"/>
      <c r="G420" s="473"/>
      <c r="H420" s="156"/>
      <c r="I420" s="156"/>
      <c r="J420" s="156"/>
      <c r="K420" s="132"/>
      <c r="L420" s="473"/>
      <c r="M420" s="156"/>
      <c r="N420" s="156"/>
      <c r="O420" s="156"/>
      <c r="P420" s="132"/>
      <c r="Q420" s="487"/>
      <c r="R420" s="156"/>
      <c r="S420" s="156"/>
      <c r="T420" s="156"/>
      <c r="U420" s="154"/>
      <c r="V420" s="473"/>
      <c r="W420" s="156"/>
      <c r="X420" s="156"/>
      <c r="Y420" s="156"/>
      <c r="Z420" s="154"/>
      <c r="AA420" s="473"/>
      <c r="AB420" s="156"/>
      <c r="AC420" s="156"/>
      <c r="AD420" s="156"/>
      <c r="AE420" s="154"/>
      <c r="AF420" s="473"/>
      <c r="AG420" s="156"/>
      <c r="AH420" s="156"/>
      <c r="AI420" s="156"/>
      <c r="AJ420" s="154"/>
      <c r="AK420" s="473"/>
      <c r="AL420" s="156"/>
      <c r="AM420" s="156"/>
      <c r="AN420" s="156"/>
      <c r="AO420" s="452"/>
      <c r="AP420" s="452"/>
      <c r="AQ420" s="452"/>
      <c r="AR420" s="452"/>
      <c r="AS420" s="452"/>
      <c r="AT420" s="452"/>
      <c r="AU420" s="452"/>
      <c r="AV420" s="452"/>
      <c r="AW420" s="452"/>
      <c r="AX420" s="452"/>
      <c r="AY420" s="154"/>
      <c r="AZ420" s="473"/>
      <c r="BA420" s="156"/>
      <c r="BB420" s="156"/>
      <c r="BC420" s="156"/>
      <c r="BD420" s="452"/>
      <c r="BE420" s="452"/>
      <c r="BF420" s="452"/>
      <c r="BG420" s="452"/>
      <c r="BH420" s="452"/>
    </row>
    <row r="421">
      <c r="A421" s="154"/>
      <c r="B421" s="473"/>
      <c r="C421" s="156"/>
      <c r="D421" s="156"/>
      <c r="E421" s="156"/>
      <c r="F421" s="154"/>
      <c r="G421" s="473"/>
      <c r="H421" s="156"/>
      <c r="I421" s="156"/>
      <c r="J421" s="156"/>
      <c r="K421" s="132"/>
      <c r="L421" s="473"/>
      <c r="M421" s="156"/>
      <c r="N421" s="156"/>
      <c r="O421" s="156"/>
      <c r="P421" s="132"/>
      <c r="Q421" s="487"/>
      <c r="R421" s="156"/>
      <c r="S421" s="156"/>
      <c r="T421" s="156"/>
      <c r="U421" s="154"/>
      <c r="V421" s="473"/>
      <c r="W421" s="156"/>
      <c r="X421" s="156"/>
      <c r="Y421" s="156"/>
      <c r="Z421" s="154"/>
      <c r="AA421" s="473"/>
      <c r="AB421" s="156"/>
      <c r="AC421" s="156"/>
      <c r="AD421" s="156"/>
      <c r="AE421" s="154"/>
      <c r="AF421" s="473"/>
      <c r="AG421" s="156"/>
      <c r="AH421" s="156"/>
      <c r="AI421" s="156"/>
      <c r="AJ421" s="154"/>
      <c r="AK421" s="473"/>
      <c r="AL421" s="156"/>
      <c r="AM421" s="156"/>
      <c r="AN421" s="156"/>
      <c r="AO421" s="452"/>
      <c r="AP421" s="452"/>
      <c r="AQ421" s="452"/>
      <c r="AR421" s="452"/>
      <c r="AS421" s="452"/>
      <c r="AT421" s="452"/>
      <c r="AU421" s="452"/>
      <c r="AV421" s="452"/>
      <c r="AW421" s="452"/>
      <c r="AX421" s="452"/>
      <c r="AY421" s="154"/>
      <c r="AZ421" s="473"/>
      <c r="BA421" s="156"/>
      <c r="BB421" s="156"/>
      <c r="BC421" s="156"/>
      <c r="BD421" s="452"/>
      <c r="BE421" s="452"/>
      <c r="BF421" s="452"/>
      <c r="BG421" s="452"/>
      <c r="BH421" s="452"/>
    </row>
    <row r="422">
      <c r="A422" s="154"/>
      <c r="B422" s="473"/>
      <c r="C422" s="156"/>
      <c r="D422" s="156"/>
      <c r="E422" s="156"/>
      <c r="F422" s="154"/>
      <c r="G422" s="473"/>
      <c r="H422" s="156"/>
      <c r="I422" s="156"/>
      <c r="J422" s="156"/>
      <c r="K422" s="132"/>
      <c r="L422" s="473"/>
      <c r="M422" s="156"/>
      <c r="N422" s="156"/>
      <c r="O422" s="156"/>
      <c r="P422" s="132"/>
      <c r="Q422" s="487"/>
      <c r="R422" s="156"/>
      <c r="S422" s="156"/>
      <c r="T422" s="156"/>
      <c r="U422" s="154"/>
      <c r="V422" s="473"/>
      <c r="W422" s="156"/>
      <c r="X422" s="156"/>
      <c r="Y422" s="156"/>
      <c r="Z422" s="154"/>
      <c r="AA422" s="473"/>
      <c r="AB422" s="156"/>
      <c r="AC422" s="156"/>
      <c r="AD422" s="156"/>
      <c r="AE422" s="154"/>
      <c r="AF422" s="473"/>
      <c r="AG422" s="156"/>
      <c r="AH422" s="156"/>
      <c r="AI422" s="156"/>
      <c r="AJ422" s="154"/>
      <c r="AK422" s="473"/>
      <c r="AL422" s="156"/>
      <c r="AM422" s="156"/>
      <c r="AN422" s="156"/>
      <c r="AO422" s="452"/>
      <c r="AP422" s="452"/>
      <c r="AQ422" s="452"/>
      <c r="AR422" s="452"/>
      <c r="AS422" s="452"/>
      <c r="AT422" s="452"/>
      <c r="AU422" s="452"/>
      <c r="AV422" s="452"/>
      <c r="AW422" s="452"/>
      <c r="AX422" s="452"/>
      <c r="AY422" s="154"/>
      <c r="AZ422" s="473"/>
      <c r="BA422" s="156"/>
      <c r="BB422" s="156"/>
      <c r="BC422" s="156"/>
      <c r="BD422" s="452"/>
      <c r="BE422" s="452"/>
      <c r="BF422" s="452"/>
      <c r="BG422" s="452"/>
      <c r="BH422" s="452"/>
    </row>
    <row r="423">
      <c r="A423" s="154"/>
      <c r="B423" s="473"/>
      <c r="C423" s="156"/>
      <c r="D423" s="156"/>
      <c r="E423" s="156"/>
      <c r="F423" s="154"/>
      <c r="G423" s="473"/>
      <c r="H423" s="156"/>
      <c r="I423" s="156"/>
      <c r="J423" s="156"/>
      <c r="K423" s="132"/>
      <c r="L423" s="473"/>
      <c r="M423" s="156"/>
      <c r="N423" s="156"/>
      <c r="O423" s="156"/>
      <c r="P423" s="132"/>
      <c r="Q423" s="487"/>
      <c r="R423" s="156"/>
      <c r="S423" s="156"/>
      <c r="T423" s="156"/>
      <c r="U423" s="154"/>
      <c r="V423" s="473"/>
      <c r="W423" s="156"/>
      <c r="X423" s="156"/>
      <c r="Y423" s="156"/>
      <c r="Z423" s="154"/>
      <c r="AA423" s="473"/>
      <c r="AB423" s="156"/>
      <c r="AC423" s="156"/>
      <c r="AD423" s="156"/>
      <c r="AE423" s="154"/>
      <c r="AF423" s="473"/>
      <c r="AG423" s="156"/>
      <c r="AH423" s="156"/>
      <c r="AI423" s="156"/>
      <c r="AJ423" s="154"/>
      <c r="AK423" s="473"/>
      <c r="AL423" s="156"/>
      <c r="AM423" s="156"/>
      <c r="AN423" s="156"/>
      <c r="AO423" s="452"/>
      <c r="AP423" s="452"/>
      <c r="AQ423" s="452"/>
      <c r="AR423" s="452"/>
      <c r="AS423" s="452"/>
      <c r="AT423" s="452"/>
      <c r="AU423" s="452"/>
      <c r="AV423" s="452"/>
      <c r="AW423" s="452"/>
      <c r="AX423" s="452"/>
      <c r="AY423" s="154"/>
      <c r="AZ423" s="473"/>
      <c r="BA423" s="156"/>
      <c r="BB423" s="156"/>
      <c r="BC423" s="156"/>
      <c r="BD423" s="452"/>
      <c r="BE423" s="452"/>
      <c r="BF423" s="452"/>
      <c r="BG423" s="452"/>
      <c r="BH423" s="452"/>
    </row>
    <row r="424">
      <c r="A424" s="154"/>
      <c r="B424" s="473"/>
      <c r="C424" s="156"/>
      <c r="D424" s="156"/>
      <c r="E424" s="156"/>
      <c r="F424" s="154"/>
      <c r="G424" s="473"/>
      <c r="H424" s="156"/>
      <c r="I424" s="156"/>
      <c r="J424" s="156"/>
      <c r="K424" s="132"/>
      <c r="L424" s="473"/>
      <c r="M424" s="156"/>
      <c r="N424" s="156"/>
      <c r="O424" s="156"/>
      <c r="P424" s="132"/>
      <c r="Q424" s="487"/>
      <c r="R424" s="156"/>
      <c r="S424" s="156"/>
      <c r="T424" s="156"/>
      <c r="U424" s="154"/>
      <c r="V424" s="473"/>
      <c r="W424" s="156"/>
      <c r="X424" s="156"/>
      <c r="Y424" s="156"/>
      <c r="Z424" s="154"/>
      <c r="AA424" s="473"/>
      <c r="AB424" s="156"/>
      <c r="AC424" s="156"/>
      <c r="AD424" s="156"/>
      <c r="AE424" s="154"/>
      <c r="AF424" s="473"/>
      <c r="AG424" s="156"/>
      <c r="AH424" s="156"/>
      <c r="AI424" s="156"/>
      <c r="AJ424" s="154"/>
      <c r="AK424" s="473"/>
      <c r="AL424" s="156"/>
      <c r="AM424" s="156"/>
      <c r="AN424" s="156"/>
      <c r="AO424" s="452"/>
      <c r="AP424" s="452"/>
      <c r="AQ424" s="452"/>
      <c r="AR424" s="452"/>
      <c r="AS424" s="452"/>
      <c r="AT424" s="452"/>
      <c r="AU424" s="452"/>
      <c r="AV424" s="452"/>
      <c r="AW424" s="452"/>
      <c r="AX424" s="452"/>
      <c r="AY424" s="154"/>
      <c r="AZ424" s="473"/>
      <c r="BA424" s="156"/>
      <c r="BB424" s="156"/>
      <c r="BC424" s="156"/>
      <c r="BD424" s="452"/>
      <c r="BE424" s="452"/>
      <c r="BF424" s="452"/>
      <c r="BG424" s="452"/>
      <c r="BH424" s="452"/>
    </row>
    <row r="425">
      <c r="A425" s="154"/>
      <c r="B425" s="473"/>
      <c r="C425" s="156"/>
      <c r="D425" s="156"/>
      <c r="E425" s="156"/>
      <c r="F425" s="154"/>
      <c r="G425" s="473"/>
      <c r="H425" s="156"/>
      <c r="I425" s="156"/>
      <c r="J425" s="156"/>
      <c r="K425" s="132"/>
      <c r="L425" s="473"/>
      <c r="M425" s="156"/>
      <c r="N425" s="156"/>
      <c r="O425" s="156"/>
      <c r="P425" s="132"/>
      <c r="Q425" s="487"/>
      <c r="R425" s="156"/>
      <c r="S425" s="156"/>
      <c r="T425" s="156"/>
      <c r="U425" s="154"/>
      <c r="V425" s="473"/>
      <c r="W425" s="156"/>
      <c r="X425" s="156"/>
      <c r="Y425" s="156"/>
      <c r="Z425" s="154"/>
      <c r="AA425" s="473"/>
      <c r="AB425" s="156"/>
      <c r="AC425" s="156"/>
      <c r="AD425" s="156"/>
      <c r="AE425" s="154"/>
      <c r="AF425" s="473"/>
      <c r="AG425" s="156"/>
      <c r="AH425" s="156"/>
      <c r="AI425" s="156"/>
      <c r="AJ425" s="154"/>
      <c r="AK425" s="473"/>
      <c r="AL425" s="156"/>
      <c r="AM425" s="156"/>
      <c r="AN425" s="156"/>
      <c r="AO425" s="452"/>
      <c r="AP425" s="452"/>
      <c r="AQ425" s="452"/>
      <c r="AR425" s="452"/>
      <c r="AS425" s="452"/>
      <c r="AT425" s="452"/>
      <c r="AU425" s="452"/>
      <c r="AV425" s="452"/>
      <c r="AW425" s="452"/>
      <c r="AX425" s="452"/>
      <c r="AY425" s="154"/>
      <c r="AZ425" s="473"/>
      <c r="BA425" s="156"/>
      <c r="BB425" s="156"/>
      <c r="BC425" s="156"/>
      <c r="BD425" s="452"/>
      <c r="BE425" s="452"/>
      <c r="BF425" s="452"/>
      <c r="BG425" s="452"/>
      <c r="BH425" s="452"/>
    </row>
    <row r="426">
      <c r="A426" s="154"/>
      <c r="B426" s="473"/>
      <c r="C426" s="156"/>
      <c r="D426" s="156"/>
      <c r="E426" s="156"/>
      <c r="F426" s="154"/>
      <c r="G426" s="473"/>
      <c r="H426" s="156"/>
      <c r="I426" s="156"/>
      <c r="J426" s="156"/>
      <c r="K426" s="132"/>
      <c r="L426" s="473"/>
      <c r="M426" s="156"/>
      <c r="N426" s="156"/>
      <c r="O426" s="156"/>
      <c r="P426" s="132"/>
      <c r="Q426" s="487"/>
      <c r="R426" s="156"/>
      <c r="S426" s="156"/>
      <c r="T426" s="156"/>
      <c r="U426" s="154"/>
      <c r="V426" s="473"/>
      <c r="W426" s="156"/>
      <c r="X426" s="156"/>
      <c r="Y426" s="156"/>
      <c r="Z426" s="154"/>
      <c r="AA426" s="473"/>
      <c r="AB426" s="156"/>
      <c r="AC426" s="156"/>
      <c r="AD426" s="156"/>
      <c r="AE426" s="154"/>
      <c r="AF426" s="473"/>
      <c r="AG426" s="156"/>
      <c r="AH426" s="156"/>
      <c r="AI426" s="156"/>
      <c r="AJ426" s="154"/>
      <c r="AK426" s="473"/>
      <c r="AL426" s="156"/>
      <c r="AM426" s="156"/>
      <c r="AN426" s="156"/>
      <c r="AO426" s="452"/>
      <c r="AP426" s="452"/>
      <c r="AQ426" s="452"/>
      <c r="AR426" s="452"/>
      <c r="AS426" s="452"/>
      <c r="AT426" s="452"/>
      <c r="AU426" s="452"/>
      <c r="AV426" s="452"/>
      <c r="AW426" s="452"/>
      <c r="AX426" s="452"/>
      <c r="AY426" s="154"/>
      <c r="AZ426" s="473"/>
      <c r="BA426" s="156"/>
      <c r="BB426" s="156"/>
      <c r="BC426" s="156"/>
      <c r="BD426" s="452"/>
      <c r="BE426" s="452"/>
      <c r="BF426" s="452"/>
      <c r="BG426" s="452"/>
      <c r="BH426" s="452"/>
    </row>
    <row r="427">
      <c r="A427" s="154"/>
      <c r="B427" s="473"/>
      <c r="C427" s="156"/>
      <c r="D427" s="156"/>
      <c r="E427" s="156"/>
      <c r="F427" s="154"/>
      <c r="G427" s="473"/>
      <c r="H427" s="156"/>
      <c r="I427" s="156"/>
      <c r="J427" s="156"/>
      <c r="K427" s="132"/>
      <c r="L427" s="473"/>
      <c r="M427" s="156"/>
      <c r="N427" s="156"/>
      <c r="O427" s="156"/>
      <c r="P427" s="132"/>
      <c r="Q427" s="487"/>
      <c r="R427" s="156"/>
      <c r="S427" s="156"/>
      <c r="T427" s="156"/>
      <c r="U427" s="154"/>
      <c r="V427" s="473"/>
      <c r="W427" s="156"/>
      <c r="X427" s="156"/>
      <c r="Y427" s="156"/>
      <c r="Z427" s="154"/>
      <c r="AA427" s="473"/>
      <c r="AB427" s="156"/>
      <c r="AC427" s="156"/>
      <c r="AD427" s="156"/>
      <c r="AE427" s="154"/>
      <c r="AF427" s="473"/>
      <c r="AG427" s="156"/>
      <c r="AH427" s="156"/>
      <c r="AI427" s="156"/>
      <c r="AJ427" s="154"/>
      <c r="AK427" s="473"/>
      <c r="AL427" s="156"/>
      <c r="AM427" s="156"/>
      <c r="AN427" s="156"/>
      <c r="AO427" s="452"/>
      <c r="AP427" s="452"/>
      <c r="AQ427" s="452"/>
      <c r="AR427" s="452"/>
      <c r="AS427" s="452"/>
      <c r="AT427" s="452"/>
      <c r="AU427" s="452"/>
      <c r="AV427" s="452"/>
      <c r="AW427" s="452"/>
      <c r="AX427" s="452"/>
      <c r="AY427" s="154"/>
      <c r="AZ427" s="473"/>
      <c r="BA427" s="156"/>
      <c r="BB427" s="156"/>
      <c r="BC427" s="156"/>
      <c r="BD427" s="452"/>
      <c r="BE427" s="452"/>
      <c r="BF427" s="452"/>
      <c r="BG427" s="452"/>
      <c r="BH427" s="452"/>
    </row>
    <row r="428">
      <c r="A428" s="154"/>
      <c r="B428" s="473"/>
      <c r="C428" s="156"/>
      <c r="D428" s="156"/>
      <c r="E428" s="156"/>
      <c r="F428" s="154"/>
      <c r="G428" s="473"/>
      <c r="H428" s="156"/>
      <c r="I428" s="156"/>
      <c r="J428" s="156"/>
      <c r="K428" s="132"/>
      <c r="L428" s="473"/>
      <c r="M428" s="156"/>
      <c r="N428" s="156"/>
      <c r="O428" s="156"/>
      <c r="P428" s="132"/>
      <c r="Q428" s="487"/>
      <c r="R428" s="156"/>
      <c r="S428" s="156"/>
      <c r="T428" s="156"/>
      <c r="U428" s="154"/>
      <c r="V428" s="473"/>
      <c r="W428" s="156"/>
      <c r="X428" s="156"/>
      <c r="Y428" s="156"/>
      <c r="Z428" s="154"/>
      <c r="AA428" s="473"/>
      <c r="AB428" s="156"/>
      <c r="AC428" s="156"/>
      <c r="AD428" s="156"/>
      <c r="AE428" s="154"/>
      <c r="AF428" s="473"/>
      <c r="AG428" s="156"/>
      <c r="AH428" s="156"/>
      <c r="AI428" s="156"/>
      <c r="AJ428" s="154"/>
      <c r="AK428" s="473"/>
      <c r="AL428" s="156"/>
      <c r="AM428" s="156"/>
      <c r="AN428" s="156"/>
      <c r="AO428" s="452"/>
      <c r="AP428" s="452"/>
      <c r="AQ428" s="452"/>
      <c r="AR428" s="452"/>
      <c r="AS428" s="452"/>
      <c r="AT428" s="452"/>
      <c r="AU428" s="452"/>
      <c r="AV428" s="452"/>
      <c r="AW428" s="452"/>
      <c r="AX428" s="452"/>
      <c r="AY428" s="154"/>
      <c r="AZ428" s="473"/>
      <c r="BA428" s="156"/>
      <c r="BB428" s="156"/>
      <c r="BC428" s="156"/>
      <c r="BD428" s="452"/>
      <c r="BE428" s="452"/>
      <c r="BF428" s="452"/>
      <c r="BG428" s="452"/>
      <c r="BH428" s="452"/>
    </row>
    <row r="429">
      <c r="A429" s="154"/>
      <c r="B429" s="473"/>
      <c r="C429" s="156"/>
      <c r="D429" s="156"/>
      <c r="E429" s="156"/>
      <c r="F429" s="154"/>
      <c r="G429" s="473"/>
      <c r="H429" s="156"/>
      <c r="I429" s="156"/>
      <c r="J429" s="156"/>
      <c r="K429" s="132"/>
      <c r="L429" s="473"/>
      <c r="M429" s="156"/>
      <c r="N429" s="156"/>
      <c r="O429" s="156"/>
      <c r="P429" s="132"/>
      <c r="Q429" s="487"/>
      <c r="R429" s="156"/>
      <c r="S429" s="156"/>
      <c r="T429" s="156"/>
      <c r="U429" s="154"/>
      <c r="V429" s="473"/>
      <c r="W429" s="156"/>
      <c r="X429" s="156"/>
      <c r="Y429" s="156"/>
      <c r="Z429" s="154"/>
      <c r="AA429" s="473"/>
      <c r="AB429" s="156"/>
      <c r="AC429" s="156"/>
      <c r="AD429" s="156"/>
      <c r="AE429" s="154"/>
      <c r="AF429" s="473"/>
      <c r="AG429" s="156"/>
      <c r="AH429" s="156"/>
      <c r="AI429" s="156"/>
      <c r="AJ429" s="154"/>
      <c r="AK429" s="473"/>
      <c r="AL429" s="156"/>
      <c r="AM429" s="156"/>
      <c r="AN429" s="156"/>
      <c r="AO429" s="452"/>
      <c r="AP429" s="452"/>
      <c r="AQ429" s="452"/>
      <c r="AR429" s="452"/>
      <c r="AS429" s="452"/>
      <c r="AT429" s="452"/>
      <c r="AU429" s="452"/>
      <c r="AV429" s="452"/>
      <c r="AW429" s="452"/>
      <c r="AX429" s="452"/>
      <c r="AY429" s="154"/>
      <c r="AZ429" s="473"/>
      <c r="BA429" s="156"/>
      <c r="BB429" s="156"/>
      <c r="BC429" s="156"/>
      <c r="BD429" s="452"/>
      <c r="BE429" s="452"/>
      <c r="BF429" s="452"/>
      <c r="BG429" s="452"/>
      <c r="BH429" s="452"/>
    </row>
    <row r="430">
      <c r="A430" s="154"/>
      <c r="B430" s="473"/>
      <c r="C430" s="156"/>
      <c r="D430" s="156"/>
      <c r="E430" s="156"/>
      <c r="F430" s="154"/>
      <c r="G430" s="473"/>
      <c r="H430" s="156"/>
      <c r="I430" s="156"/>
      <c r="J430" s="156"/>
      <c r="K430" s="132"/>
      <c r="L430" s="473"/>
      <c r="M430" s="156"/>
      <c r="N430" s="156"/>
      <c r="O430" s="156"/>
      <c r="P430" s="132"/>
      <c r="Q430" s="487"/>
      <c r="R430" s="156"/>
      <c r="S430" s="156"/>
      <c r="T430" s="156"/>
      <c r="U430" s="154"/>
      <c r="V430" s="473"/>
      <c r="W430" s="156"/>
      <c r="X430" s="156"/>
      <c r="Y430" s="156"/>
      <c r="Z430" s="154"/>
      <c r="AA430" s="473"/>
      <c r="AB430" s="156"/>
      <c r="AC430" s="156"/>
      <c r="AD430" s="156"/>
      <c r="AE430" s="154"/>
      <c r="AF430" s="473"/>
      <c r="AG430" s="156"/>
      <c r="AH430" s="156"/>
      <c r="AI430" s="156"/>
      <c r="AJ430" s="154"/>
      <c r="AK430" s="473"/>
      <c r="AL430" s="156"/>
      <c r="AM430" s="156"/>
      <c r="AN430" s="156"/>
      <c r="AO430" s="452"/>
      <c r="AP430" s="452"/>
      <c r="AQ430" s="452"/>
      <c r="AR430" s="452"/>
      <c r="AS430" s="452"/>
      <c r="AT430" s="452"/>
      <c r="AU430" s="452"/>
      <c r="AV430" s="452"/>
      <c r="AW430" s="452"/>
      <c r="AX430" s="452"/>
      <c r="AY430" s="154"/>
      <c r="AZ430" s="473"/>
      <c r="BA430" s="156"/>
      <c r="BB430" s="156"/>
      <c r="BC430" s="156"/>
      <c r="BD430" s="452"/>
      <c r="BE430" s="452"/>
      <c r="BF430" s="452"/>
      <c r="BG430" s="452"/>
      <c r="BH430" s="452"/>
    </row>
    <row r="431">
      <c r="A431" s="154"/>
      <c r="B431" s="473"/>
      <c r="C431" s="156"/>
      <c r="D431" s="156"/>
      <c r="E431" s="156"/>
      <c r="F431" s="154"/>
      <c r="G431" s="473"/>
      <c r="H431" s="156"/>
      <c r="I431" s="156"/>
      <c r="J431" s="156"/>
      <c r="K431" s="132"/>
      <c r="L431" s="473"/>
      <c r="M431" s="156"/>
      <c r="N431" s="156"/>
      <c r="O431" s="156"/>
      <c r="P431" s="132"/>
      <c r="Q431" s="487"/>
      <c r="R431" s="156"/>
      <c r="S431" s="156"/>
      <c r="T431" s="156"/>
      <c r="U431" s="154"/>
      <c r="V431" s="473"/>
      <c r="W431" s="156"/>
      <c r="X431" s="156"/>
      <c r="Y431" s="156"/>
      <c r="Z431" s="154"/>
      <c r="AA431" s="473"/>
      <c r="AB431" s="156"/>
      <c r="AC431" s="156"/>
      <c r="AD431" s="156"/>
      <c r="AE431" s="154"/>
      <c r="AF431" s="473"/>
      <c r="AG431" s="156"/>
      <c r="AH431" s="156"/>
      <c r="AI431" s="156"/>
      <c r="AJ431" s="154"/>
      <c r="AK431" s="473"/>
      <c r="AL431" s="156"/>
      <c r="AM431" s="156"/>
      <c r="AN431" s="156"/>
      <c r="AO431" s="452"/>
      <c r="AP431" s="452"/>
      <c r="AQ431" s="452"/>
      <c r="AR431" s="452"/>
      <c r="AS431" s="452"/>
      <c r="AT431" s="452"/>
      <c r="AU431" s="452"/>
      <c r="AV431" s="452"/>
      <c r="AW431" s="452"/>
      <c r="AX431" s="452"/>
      <c r="AY431" s="154"/>
      <c r="AZ431" s="473"/>
      <c r="BA431" s="156"/>
      <c r="BB431" s="156"/>
      <c r="BC431" s="156"/>
      <c r="BD431" s="452"/>
      <c r="BE431" s="452"/>
      <c r="BF431" s="452"/>
      <c r="BG431" s="452"/>
      <c r="BH431" s="452"/>
    </row>
    <row r="432">
      <c r="A432" s="154"/>
      <c r="B432" s="473"/>
      <c r="C432" s="156"/>
      <c r="D432" s="156"/>
      <c r="E432" s="156"/>
      <c r="F432" s="154"/>
      <c r="G432" s="473"/>
      <c r="H432" s="156"/>
      <c r="I432" s="156"/>
      <c r="J432" s="156"/>
      <c r="K432" s="132"/>
      <c r="L432" s="473"/>
      <c r="M432" s="156"/>
      <c r="N432" s="156"/>
      <c r="O432" s="156"/>
      <c r="P432" s="132"/>
      <c r="Q432" s="487"/>
      <c r="R432" s="156"/>
      <c r="S432" s="156"/>
      <c r="T432" s="156"/>
      <c r="U432" s="154"/>
      <c r="V432" s="473"/>
      <c r="W432" s="156"/>
      <c r="X432" s="156"/>
      <c r="Y432" s="156"/>
      <c r="Z432" s="154"/>
      <c r="AA432" s="473"/>
      <c r="AB432" s="156"/>
      <c r="AC432" s="156"/>
      <c r="AD432" s="156"/>
      <c r="AE432" s="154"/>
      <c r="AF432" s="473"/>
      <c r="AG432" s="156"/>
      <c r="AH432" s="156"/>
      <c r="AI432" s="156"/>
      <c r="AJ432" s="154"/>
      <c r="AK432" s="473"/>
      <c r="AL432" s="156"/>
      <c r="AM432" s="156"/>
      <c r="AN432" s="156"/>
      <c r="AO432" s="452"/>
      <c r="AP432" s="452"/>
      <c r="AQ432" s="452"/>
      <c r="AR432" s="452"/>
      <c r="AS432" s="452"/>
      <c r="AT432" s="452"/>
      <c r="AU432" s="452"/>
      <c r="AV432" s="452"/>
      <c r="AW432" s="452"/>
      <c r="AX432" s="452"/>
      <c r="AY432" s="154"/>
      <c r="AZ432" s="473"/>
      <c r="BA432" s="156"/>
      <c r="BB432" s="156"/>
      <c r="BC432" s="156"/>
      <c r="BD432" s="452"/>
      <c r="BE432" s="452"/>
      <c r="BF432" s="452"/>
      <c r="BG432" s="452"/>
      <c r="BH432" s="452"/>
    </row>
    <row r="433">
      <c r="A433" s="154"/>
      <c r="B433" s="473"/>
      <c r="C433" s="156"/>
      <c r="D433" s="156"/>
      <c r="E433" s="156"/>
      <c r="F433" s="154"/>
      <c r="G433" s="473"/>
      <c r="H433" s="156"/>
      <c r="I433" s="156"/>
      <c r="J433" s="156"/>
      <c r="K433" s="132"/>
      <c r="L433" s="473"/>
      <c r="M433" s="156"/>
      <c r="N433" s="156"/>
      <c r="O433" s="156"/>
      <c r="P433" s="132"/>
      <c r="Q433" s="487"/>
      <c r="R433" s="156"/>
      <c r="S433" s="156"/>
      <c r="T433" s="156"/>
      <c r="U433" s="154"/>
      <c r="V433" s="473"/>
      <c r="W433" s="156"/>
      <c r="X433" s="156"/>
      <c r="Y433" s="156"/>
      <c r="Z433" s="154"/>
      <c r="AA433" s="473"/>
      <c r="AB433" s="156"/>
      <c r="AC433" s="156"/>
      <c r="AD433" s="156"/>
      <c r="AE433" s="154"/>
      <c r="AF433" s="473"/>
      <c r="AG433" s="156"/>
      <c r="AH433" s="156"/>
      <c r="AI433" s="156"/>
      <c r="AJ433" s="154"/>
      <c r="AK433" s="473"/>
      <c r="AL433" s="156"/>
      <c r="AM433" s="156"/>
      <c r="AN433" s="156"/>
      <c r="AO433" s="452"/>
      <c r="AP433" s="452"/>
      <c r="AQ433" s="452"/>
      <c r="AR433" s="452"/>
      <c r="AS433" s="452"/>
      <c r="AT433" s="452"/>
      <c r="AU433" s="452"/>
      <c r="AV433" s="452"/>
      <c r="AW433" s="452"/>
      <c r="AX433" s="452"/>
      <c r="AY433" s="154"/>
      <c r="AZ433" s="473"/>
      <c r="BA433" s="156"/>
      <c r="BB433" s="156"/>
      <c r="BC433" s="156"/>
      <c r="BD433" s="452"/>
      <c r="BE433" s="452"/>
      <c r="BF433" s="452"/>
      <c r="BG433" s="452"/>
      <c r="BH433" s="452"/>
    </row>
    <row r="434">
      <c r="A434" s="154"/>
      <c r="B434" s="473"/>
      <c r="C434" s="156"/>
      <c r="D434" s="156"/>
      <c r="E434" s="156"/>
      <c r="F434" s="154"/>
      <c r="G434" s="473"/>
      <c r="H434" s="156"/>
      <c r="I434" s="156"/>
      <c r="J434" s="156"/>
      <c r="K434" s="132"/>
      <c r="L434" s="473"/>
      <c r="M434" s="156"/>
      <c r="N434" s="156"/>
      <c r="O434" s="156"/>
      <c r="P434" s="132"/>
      <c r="Q434" s="487"/>
      <c r="R434" s="156"/>
      <c r="S434" s="156"/>
      <c r="T434" s="156"/>
      <c r="U434" s="154"/>
      <c r="V434" s="473"/>
      <c r="W434" s="156"/>
      <c r="X434" s="156"/>
      <c r="Y434" s="156"/>
      <c r="Z434" s="154"/>
      <c r="AA434" s="473"/>
      <c r="AB434" s="156"/>
      <c r="AC434" s="156"/>
      <c r="AD434" s="156"/>
      <c r="AE434" s="154"/>
      <c r="AF434" s="473"/>
      <c r="AG434" s="156"/>
      <c r="AH434" s="156"/>
      <c r="AI434" s="156"/>
      <c r="AJ434" s="154"/>
      <c r="AK434" s="473"/>
      <c r="AL434" s="156"/>
      <c r="AM434" s="156"/>
      <c r="AN434" s="156"/>
      <c r="AO434" s="452"/>
      <c r="AP434" s="452"/>
      <c r="AQ434" s="452"/>
      <c r="AR434" s="452"/>
      <c r="AS434" s="452"/>
      <c r="AT434" s="452"/>
      <c r="AU434" s="452"/>
      <c r="AV434" s="452"/>
      <c r="AW434" s="452"/>
      <c r="AX434" s="452"/>
      <c r="AY434" s="154"/>
      <c r="AZ434" s="473"/>
      <c r="BA434" s="156"/>
      <c r="BB434" s="156"/>
      <c r="BC434" s="156"/>
      <c r="BD434" s="452"/>
      <c r="BE434" s="452"/>
      <c r="BF434" s="452"/>
      <c r="BG434" s="452"/>
      <c r="BH434" s="452"/>
    </row>
    <row r="435">
      <c r="A435" s="154"/>
      <c r="B435" s="473"/>
      <c r="C435" s="156"/>
      <c r="D435" s="156"/>
      <c r="E435" s="156"/>
      <c r="F435" s="154"/>
      <c r="G435" s="473"/>
      <c r="H435" s="156"/>
      <c r="I435" s="156"/>
      <c r="J435" s="156"/>
      <c r="K435" s="132"/>
      <c r="L435" s="473"/>
      <c r="M435" s="156"/>
      <c r="N435" s="156"/>
      <c r="O435" s="156"/>
      <c r="P435" s="132"/>
      <c r="Q435" s="487"/>
      <c r="R435" s="156"/>
      <c r="S435" s="156"/>
      <c r="T435" s="156"/>
      <c r="U435" s="154"/>
      <c r="V435" s="473"/>
      <c r="W435" s="156"/>
      <c r="X435" s="156"/>
      <c r="Y435" s="156"/>
      <c r="Z435" s="154"/>
      <c r="AA435" s="473"/>
      <c r="AB435" s="156"/>
      <c r="AC435" s="156"/>
      <c r="AD435" s="156"/>
      <c r="AE435" s="154"/>
      <c r="AF435" s="473"/>
      <c r="AG435" s="156"/>
      <c r="AH435" s="156"/>
      <c r="AI435" s="156"/>
      <c r="AJ435" s="154"/>
      <c r="AK435" s="473"/>
      <c r="AL435" s="156"/>
      <c r="AM435" s="156"/>
      <c r="AN435" s="156"/>
      <c r="AO435" s="452"/>
      <c r="AP435" s="452"/>
      <c r="AQ435" s="452"/>
      <c r="AR435" s="452"/>
      <c r="AS435" s="452"/>
      <c r="AT435" s="452"/>
      <c r="AU435" s="452"/>
      <c r="AV435" s="452"/>
      <c r="AW435" s="452"/>
      <c r="AX435" s="452"/>
      <c r="AY435" s="154"/>
      <c r="AZ435" s="473"/>
      <c r="BA435" s="156"/>
      <c r="BB435" s="156"/>
      <c r="BC435" s="156"/>
      <c r="BD435" s="452"/>
      <c r="BE435" s="452"/>
      <c r="BF435" s="452"/>
      <c r="BG435" s="452"/>
      <c r="BH435" s="452"/>
    </row>
    <row r="436">
      <c r="A436" s="154"/>
      <c r="B436" s="473"/>
      <c r="C436" s="156"/>
      <c r="D436" s="156"/>
      <c r="E436" s="156"/>
      <c r="F436" s="154"/>
      <c r="G436" s="473"/>
      <c r="H436" s="156"/>
      <c r="I436" s="156"/>
      <c r="J436" s="156"/>
      <c r="K436" s="132"/>
      <c r="L436" s="473"/>
      <c r="M436" s="156"/>
      <c r="N436" s="156"/>
      <c r="O436" s="156"/>
      <c r="P436" s="132"/>
      <c r="Q436" s="487"/>
      <c r="R436" s="156"/>
      <c r="S436" s="156"/>
      <c r="T436" s="156"/>
      <c r="U436" s="154"/>
      <c r="V436" s="473"/>
      <c r="W436" s="156"/>
      <c r="X436" s="156"/>
      <c r="Y436" s="156"/>
      <c r="Z436" s="154"/>
      <c r="AA436" s="473"/>
      <c r="AB436" s="156"/>
      <c r="AC436" s="156"/>
      <c r="AD436" s="156"/>
      <c r="AE436" s="154"/>
      <c r="AF436" s="473"/>
      <c r="AG436" s="156"/>
      <c r="AH436" s="156"/>
      <c r="AI436" s="156"/>
      <c r="AJ436" s="154"/>
      <c r="AK436" s="473"/>
      <c r="AL436" s="156"/>
      <c r="AM436" s="156"/>
      <c r="AN436" s="156"/>
      <c r="AO436" s="452"/>
      <c r="AP436" s="452"/>
      <c r="AQ436" s="452"/>
      <c r="AR436" s="452"/>
      <c r="AS436" s="452"/>
      <c r="AT436" s="452"/>
      <c r="AU436" s="452"/>
      <c r="AV436" s="452"/>
      <c r="AW436" s="452"/>
      <c r="AX436" s="452"/>
      <c r="AY436" s="154"/>
      <c r="AZ436" s="473"/>
      <c r="BA436" s="156"/>
      <c r="BB436" s="156"/>
      <c r="BC436" s="156"/>
      <c r="BD436" s="452"/>
      <c r="BE436" s="452"/>
      <c r="BF436" s="452"/>
      <c r="BG436" s="452"/>
      <c r="BH436" s="452"/>
    </row>
    <row r="437">
      <c r="A437" s="154"/>
      <c r="B437" s="473"/>
      <c r="C437" s="156"/>
      <c r="D437" s="156"/>
      <c r="E437" s="156"/>
      <c r="F437" s="154"/>
      <c r="G437" s="473"/>
      <c r="H437" s="156"/>
      <c r="I437" s="156"/>
      <c r="J437" s="156"/>
      <c r="K437" s="132"/>
      <c r="L437" s="473"/>
      <c r="M437" s="156"/>
      <c r="N437" s="156"/>
      <c r="O437" s="156"/>
      <c r="P437" s="132"/>
      <c r="Q437" s="487"/>
      <c r="R437" s="156"/>
      <c r="S437" s="156"/>
      <c r="T437" s="156"/>
      <c r="U437" s="154"/>
      <c r="V437" s="473"/>
      <c r="W437" s="156"/>
      <c r="X437" s="156"/>
      <c r="Y437" s="156"/>
      <c r="Z437" s="154"/>
      <c r="AA437" s="473"/>
      <c r="AB437" s="156"/>
      <c r="AC437" s="156"/>
      <c r="AD437" s="156"/>
      <c r="AE437" s="154"/>
      <c r="AF437" s="473"/>
      <c r="AG437" s="156"/>
      <c r="AH437" s="156"/>
      <c r="AI437" s="156"/>
      <c r="AJ437" s="154"/>
      <c r="AK437" s="473"/>
      <c r="AL437" s="156"/>
      <c r="AM437" s="156"/>
      <c r="AN437" s="156"/>
      <c r="AO437" s="452"/>
      <c r="AP437" s="452"/>
      <c r="AQ437" s="452"/>
      <c r="AR437" s="452"/>
      <c r="AS437" s="452"/>
      <c r="AT437" s="452"/>
      <c r="AU437" s="452"/>
      <c r="AV437" s="452"/>
      <c r="AW437" s="452"/>
      <c r="AX437" s="452"/>
      <c r="AY437" s="154"/>
      <c r="AZ437" s="473"/>
      <c r="BA437" s="156"/>
      <c r="BB437" s="156"/>
      <c r="BC437" s="156"/>
      <c r="BD437" s="452"/>
      <c r="BE437" s="452"/>
      <c r="BF437" s="452"/>
      <c r="BG437" s="452"/>
      <c r="BH437" s="452"/>
    </row>
    <row r="438">
      <c r="A438" s="154"/>
      <c r="B438" s="473"/>
      <c r="C438" s="156"/>
      <c r="D438" s="156"/>
      <c r="E438" s="156"/>
      <c r="F438" s="154"/>
      <c r="G438" s="473"/>
      <c r="H438" s="156"/>
      <c r="I438" s="156"/>
      <c r="J438" s="156"/>
      <c r="K438" s="132"/>
      <c r="L438" s="473"/>
      <c r="M438" s="156"/>
      <c r="N438" s="156"/>
      <c r="O438" s="156"/>
      <c r="P438" s="132"/>
      <c r="Q438" s="487"/>
      <c r="R438" s="156"/>
      <c r="S438" s="156"/>
      <c r="T438" s="156"/>
      <c r="U438" s="154"/>
      <c r="V438" s="473"/>
      <c r="W438" s="156"/>
      <c r="X438" s="156"/>
      <c r="Y438" s="156"/>
      <c r="Z438" s="154"/>
      <c r="AA438" s="473"/>
      <c r="AB438" s="156"/>
      <c r="AC438" s="156"/>
      <c r="AD438" s="156"/>
      <c r="AE438" s="154"/>
      <c r="AF438" s="473"/>
      <c r="AG438" s="156"/>
      <c r="AH438" s="156"/>
      <c r="AI438" s="156"/>
      <c r="AJ438" s="154"/>
      <c r="AK438" s="473"/>
      <c r="AL438" s="156"/>
      <c r="AM438" s="156"/>
      <c r="AN438" s="156"/>
      <c r="AO438" s="452"/>
      <c r="AP438" s="452"/>
      <c r="AQ438" s="452"/>
      <c r="AR438" s="452"/>
      <c r="AS438" s="452"/>
      <c r="AT438" s="452"/>
      <c r="AU438" s="452"/>
      <c r="AV438" s="452"/>
      <c r="AW438" s="452"/>
      <c r="AX438" s="452"/>
      <c r="AY438" s="154"/>
      <c r="AZ438" s="473"/>
      <c r="BA438" s="156"/>
      <c r="BB438" s="156"/>
      <c r="BC438" s="156"/>
      <c r="BD438" s="452"/>
      <c r="BE438" s="452"/>
      <c r="BF438" s="452"/>
      <c r="BG438" s="452"/>
      <c r="BH438" s="452"/>
    </row>
    <row r="439">
      <c r="A439" s="154"/>
      <c r="B439" s="473"/>
      <c r="C439" s="156"/>
      <c r="D439" s="156"/>
      <c r="E439" s="156"/>
      <c r="F439" s="154"/>
      <c r="G439" s="473"/>
      <c r="H439" s="156"/>
      <c r="I439" s="156"/>
      <c r="J439" s="156"/>
      <c r="K439" s="132"/>
      <c r="L439" s="473"/>
      <c r="M439" s="156"/>
      <c r="N439" s="156"/>
      <c r="O439" s="156"/>
      <c r="P439" s="132"/>
      <c r="Q439" s="487"/>
      <c r="R439" s="156"/>
      <c r="S439" s="156"/>
      <c r="T439" s="156"/>
      <c r="U439" s="154"/>
      <c r="V439" s="473"/>
      <c r="W439" s="156"/>
      <c r="X439" s="156"/>
      <c r="Y439" s="156"/>
      <c r="Z439" s="154"/>
      <c r="AA439" s="473"/>
      <c r="AB439" s="156"/>
      <c r="AC439" s="156"/>
      <c r="AD439" s="156"/>
      <c r="AE439" s="154"/>
      <c r="AF439" s="473"/>
      <c r="AG439" s="156"/>
      <c r="AH439" s="156"/>
      <c r="AI439" s="156"/>
      <c r="AJ439" s="154"/>
      <c r="AK439" s="473"/>
      <c r="AL439" s="156"/>
      <c r="AM439" s="156"/>
      <c r="AN439" s="156"/>
      <c r="AO439" s="452"/>
      <c r="AP439" s="452"/>
      <c r="AQ439" s="452"/>
      <c r="AR439" s="452"/>
      <c r="AS439" s="452"/>
      <c r="AT439" s="452"/>
      <c r="AU439" s="452"/>
      <c r="AV439" s="452"/>
      <c r="AW439" s="452"/>
      <c r="AX439" s="452"/>
      <c r="AY439" s="154"/>
      <c r="AZ439" s="473"/>
      <c r="BA439" s="156"/>
      <c r="BB439" s="156"/>
      <c r="BC439" s="156"/>
      <c r="BD439" s="452"/>
      <c r="BE439" s="452"/>
      <c r="BF439" s="452"/>
      <c r="BG439" s="452"/>
      <c r="BH439" s="452"/>
    </row>
    <row r="440">
      <c r="A440" s="154"/>
      <c r="B440" s="473"/>
      <c r="C440" s="156"/>
      <c r="D440" s="156"/>
      <c r="E440" s="156"/>
      <c r="F440" s="154"/>
      <c r="G440" s="473"/>
      <c r="H440" s="156"/>
      <c r="I440" s="156"/>
      <c r="J440" s="156"/>
      <c r="K440" s="132"/>
      <c r="L440" s="473"/>
      <c r="M440" s="156"/>
      <c r="N440" s="156"/>
      <c r="O440" s="156"/>
      <c r="P440" s="132"/>
      <c r="Q440" s="487"/>
      <c r="R440" s="156"/>
      <c r="S440" s="156"/>
      <c r="T440" s="156"/>
      <c r="U440" s="154"/>
      <c r="V440" s="473"/>
      <c r="W440" s="156"/>
      <c r="X440" s="156"/>
      <c r="Y440" s="156"/>
      <c r="Z440" s="154"/>
      <c r="AA440" s="473"/>
      <c r="AB440" s="156"/>
      <c r="AC440" s="156"/>
      <c r="AD440" s="156"/>
      <c r="AE440" s="154"/>
      <c r="AF440" s="473"/>
      <c r="AG440" s="156"/>
      <c r="AH440" s="156"/>
      <c r="AI440" s="156"/>
      <c r="AJ440" s="154"/>
      <c r="AK440" s="473"/>
      <c r="AL440" s="156"/>
      <c r="AM440" s="156"/>
      <c r="AN440" s="156"/>
      <c r="AO440" s="452"/>
      <c r="AP440" s="452"/>
      <c r="AQ440" s="452"/>
      <c r="AR440" s="452"/>
      <c r="AS440" s="452"/>
      <c r="AT440" s="452"/>
      <c r="AU440" s="452"/>
      <c r="AV440" s="452"/>
      <c r="AW440" s="452"/>
      <c r="AX440" s="452"/>
      <c r="AY440" s="154"/>
      <c r="AZ440" s="473"/>
      <c r="BA440" s="156"/>
      <c r="BB440" s="156"/>
      <c r="BC440" s="156"/>
      <c r="BD440" s="452"/>
      <c r="BE440" s="452"/>
      <c r="BF440" s="452"/>
      <c r="BG440" s="452"/>
      <c r="BH440" s="452"/>
    </row>
    <row r="441">
      <c r="A441" s="154"/>
      <c r="B441" s="473"/>
      <c r="C441" s="156"/>
      <c r="D441" s="156"/>
      <c r="E441" s="156"/>
      <c r="F441" s="154"/>
      <c r="G441" s="473"/>
      <c r="H441" s="156"/>
      <c r="I441" s="156"/>
      <c r="J441" s="156"/>
      <c r="K441" s="132"/>
      <c r="L441" s="473"/>
      <c r="M441" s="156"/>
      <c r="N441" s="156"/>
      <c r="O441" s="156"/>
      <c r="P441" s="132"/>
      <c r="Q441" s="487"/>
      <c r="R441" s="156"/>
      <c r="S441" s="156"/>
      <c r="T441" s="156"/>
      <c r="U441" s="154"/>
      <c r="V441" s="473"/>
      <c r="W441" s="156"/>
      <c r="X441" s="156"/>
      <c r="Y441" s="156"/>
      <c r="Z441" s="154"/>
      <c r="AA441" s="473"/>
      <c r="AB441" s="156"/>
      <c r="AC441" s="156"/>
      <c r="AD441" s="156"/>
      <c r="AE441" s="154"/>
      <c r="AF441" s="473"/>
      <c r="AG441" s="156"/>
      <c r="AH441" s="156"/>
      <c r="AI441" s="156"/>
      <c r="AJ441" s="154"/>
      <c r="AK441" s="473"/>
      <c r="AL441" s="156"/>
      <c r="AM441" s="156"/>
      <c r="AN441" s="156"/>
      <c r="AO441" s="452"/>
      <c r="AP441" s="452"/>
      <c r="AQ441" s="452"/>
      <c r="AR441" s="452"/>
      <c r="AS441" s="452"/>
      <c r="AT441" s="452"/>
      <c r="AU441" s="452"/>
      <c r="AV441" s="452"/>
      <c r="AW441" s="452"/>
      <c r="AX441" s="452"/>
      <c r="AY441" s="154"/>
      <c r="AZ441" s="473"/>
      <c r="BA441" s="156"/>
      <c r="BB441" s="156"/>
      <c r="BC441" s="156"/>
      <c r="BD441" s="452"/>
      <c r="BE441" s="452"/>
      <c r="BF441" s="452"/>
      <c r="BG441" s="452"/>
      <c r="BH441" s="452"/>
    </row>
    <row r="442">
      <c r="A442" s="154"/>
      <c r="B442" s="473"/>
      <c r="C442" s="156"/>
      <c r="D442" s="156"/>
      <c r="E442" s="156"/>
      <c r="F442" s="154"/>
      <c r="G442" s="473"/>
      <c r="H442" s="156"/>
      <c r="I442" s="156"/>
      <c r="J442" s="156"/>
      <c r="K442" s="132"/>
      <c r="L442" s="473"/>
      <c r="M442" s="156"/>
      <c r="N442" s="156"/>
      <c r="O442" s="156"/>
      <c r="P442" s="132"/>
      <c r="Q442" s="487"/>
      <c r="R442" s="156"/>
      <c r="S442" s="156"/>
      <c r="T442" s="156"/>
      <c r="U442" s="154"/>
      <c r="V442" s="473"/>
      <c r="W442" s="156"/>
      <c r="X442" s="156"/>
      <c r="Y442" s="156"/>
      <c r="Z442" s="154"/>
      <c r="AA442" s="473"/>
      <c r="AB442" s="156"/>
      <c r="AC442" s="156"/>
      <c r="AD442" s="156"/>
      <c r="AE442" s="154"/>
      <c r="AF442" s="473"/>
      <c r="AG442" s="156"/>
      <c r="AH442" s="156"/>
      <c r="AI442" s="156"/>
      <c r="AJ442" s="154"/>
      <c r="AK442" s="473"/>
      <c r="AL442" s="156"/>
      <c r="AM442" s="156"/>
      <c r="AN442" s="156"/>
      <c r="AO442" s="452"/>
      <c r="AP442" s="452"/>
      <c r="AQ442" s="452"/>
      <c r="AR442" s="452"/>
      <c r="AS442" s="452"/>
      <c r="AT442" s="452"/>
      <c r="AU442" s="452"/>
      <c r="AV442" s="452"/>
      <c r="AW442" s="452"/>
      <c r="AX442" s="452"/>
      <c r="AY442" s="154"/>
      <c r="AZ442" s="473"/>
      <c r="BA442" s="156"/>
      <c r="BB442" s="156"/>
      <c r="BC442" s="156"/>
      <c r="BD442" s="452"/>
      <c r="BE442" s="452"/>
      <c r="BF442" s="452"/>
      <c r="BG442" s="452"/>
      <c r="BH442" s="452"/>
    </row>
    <row r="443">
      <c r="A443" s="154"/>
      <c r="B443" s="473"/>
      <c r="C443" s="156"/>
      <c r="D443" s="156"/>
      <c r="E443" s="156"/>
      <c r="F443" s="154"/>
      <c r="G443" s="473"/>
      <c r="H443" s="156"/>
      <c r="I443" s="156"/>
      <c r="J443" s="156"/>
      <c r="K443" s="132"/>
      <c r="L443" s="473"/>
      <c r="M443" s="156"/>
      <c r="N443" s="156"/>
      <c r="O443" s="156"/>
      <c r="P443" s="132"/>
      <c r="Q443" s="487"/>
      <c r="R443" s="156"/>
      <c r="S443" s="156"/>
      <c r="T443" s="156"/>
      <c r="U443" s="154"/>
      <c r="V443" s="473"/>
      <c r="W443" s="156"/>
      <c r="X443" s="156"/>
      <c r="Y443" s="156"/>
      <c r="Z443" s="154"/>
      <c r="AA443" s="473"/>
      <c r="AB443" s="156"/>
      <c r="AC443" s="156"/>
      <c r="AD443" s="156"/>
      <c r="AE443" s="154"/>
      <c r="AF443" s="473"/>
      <c r="AG443" s="156"/>
      <c r="AH443" s="156"/>
      <c r="AI443" s="156"/>
      <c r="AJ443" s="154"/>
      <c r="AK443" s="473"/>
      <c r="AL443" s="156"/>
      <c r="AM443" s="156"/>
      <c r="AN443" s="156"/>
      <c r="AO443" s="452"/>
      <c r="AP443" s="452"/>
      <c r="AQ443" s="452"/>
      <c r="AR443" s="452"/>
      <c r="AS443" s="452"/>
      <c r="AT443" s="452"/>
      <c r="AU443" s="452"/>
      <c r="AV443" s="452"/>
      <c r="AW443" s="452"/>
      <c r="AX443" s="452"/>
      <c r="AY443" s="154"/>
      <c r="AZ443" s="473"/>
      <c r="BA443" s="156"/>
      <c r="BB443" s="156"/>
      <c r="BC443" s="156"/>
      <c r="BD443" s="452"/>
      <c r="BE443" s="452"/>
      <c r="BF443" s="452"/>
      <c r="BG443" s="452"/>
      <c r="BH443" s="452"/>
    </row>
    <row r="444">
      <c r="A444" s="154"/>
      <c r="B444" s="473"/>
      <c r="C444" s="156"/>
      <c r="D444" s="156"/>
      <c r="E444" s="156"/>
      <c r="F444" s="154"/>
      <c r="G444" s="473"/>
      <c r="H444" s="156"/>
      <c r="I444" s="156"/>
      <c r="J444" s="156"/>
      <c r="K444" s="132"/>
      <c r="L444" s="473"/>
      <c r="M444" s="156"/>
      <c r="N444" s="156"/>
      <c r="O444" s="156"/>
      <c r="P444" s="132"/>
      <c r="Q444" s="487"/>
      <c r="R444" s="156"/>
      <c r="S444" s="156"/>
      <c r="T444" s="156"/>
      <c r="U444" s="154"/>
      <c r="V444" s="473"/>
      <c r="W444" s="156"/>
      <c r="X444" s="156"/>
      <c r="Y444" s="156"/>
      <c r="Z444" s="154"/>
      <c r="AA444" s="473"/>
      <c r="AB444" s="156"/>
      <c r="AC444" s="156"/>
      <c r="AD444" s="156"/>
      <c r="AE444" s="154"/>
      <c r="AF444" s="473"/>
      <c r="AG444" s="156"/>
      <c r="AH444" s="156"/>
      <c r="AI444" s="156"/>
      <c r="AJ444" s="154"/>
      <c r="AK444" s="473"/>
      <c r="AL444" s="156"/>
      <c r="AM444" s="156"/>
      <c r="AN444" s="156"/>
      <c r="AO444" s="452"/>
      <c r="AP444" s="452"/>
      <c r="AQ444" s="452"/>
      <c r="AR444" s="452"/>
      <c r="AS444" s="452"/>
      <c r="AT444" s="452"/>
      <c r="AU444" s="452"/>
      <c r="AV444" s="452"/>
      <c r="AW444" s="452"/>
      <c r="AX444" s="452"/>
      <c r="AY444" s="154"/>
      <c r="AZ444" s="473"/>
      <c r="BA444" s="156"/>
      <c r="BB444" s="156"/>
      <c r="BC444" s="156"/>
      <c r="BD444" s="452"/>
      <c r="BE444" s="452"/>
      <c r="BF444" s="452"/>
      <c r="BG444" s="452"/>
      <c r="BH444" s="452"/>
    </row>
    <row r="445">
      <c r="A445" s="154"/>
      <c r="B445" s="473"/>
      <c r="C445" s="156"/>
      <c r="D445" s="156"/>
      <c r="E445" s="156"/>
      <c r="F445" s="154"/>
      <c r="G445" s="473"/>
      <c r="H445" s="156"/>
      <c r="I445" s="156"/>
      <c r="J445" s="156"/>
      <c r="K445" s="132"/>
      <c r="L445" s="473"/>
      <c r="M445" s="156"/>
      <c r="N445" s="156"/>
      <c r="O445" s="156"/>
      <c r="P445" s="132"/>
      <c r="Q445" s="487"/>
      <c r="R445" s="156"/>
      <c r="S445" s="156"/>
      <c r="T445" s="156"/>
      <c r="U445" s="154"/>
      <c r="V445" s="473"/>
      <c r="W445" s="156"/>
      <c r="X445" s="156"/>
      <c r="Y445" s="156"/>
      <c r="Z445" s="154"/>
      <c r="AA445" s="473"/>
      <c r="AB445" s="156"/>
      <c r="AC445" s="156"/>
      <c r="AD445" s="156"/>
      <c r="AE445" s="154"/>
      <c r="AF445" s="473"/>
      <c r="AG445" s="156"/>
      <c r="AH445" s="156"/>
      <c r="AI445" s="156"/>
      <c r="AJ445" s="154"/>
      <c r="AK445" s="473"/>
      <c r="AL445" s="156"/>
      <c r="AM445" s="156"/>
      <c r="AN445" s="156"/>
      <c r="AO445" s="452"/>
      <c r="AP445" s="452"/>
      <c r="AQ445" s="452"/>
      <c r="AR445" s="452"/>
      <c r="AS445" s="452"/>
      <c r="AT445" s="452"/>
      <c r="AU445" s="452"/>
      <c r="AV445" s="452"/>
      <c r="AW445" s="452"/>
      <c r="AX445" s="452"/>
      <c r="AY445" s="154"/>
      <c r="AZ445" s="473"/>
      <c r="BA445" s="156"/>
      <c r="BB445" s="156"/>
      <c r="BC445" s="156"/>
      <c r="BD445" s="452"/>
      <c r="BE445" s="452"/>
      <c r="BF445" s="452"/>
      <c r="BG445" s="452"/>
      <c r="BH445" s="452"/>
    </row>
    <row r="446">
      <c r="A446" s="154"/>
      <c r="B446" s="473"/>
      <c r="C446" s="156"/>
      <c r="D446" s="156"/>
      <c r="E446" s="156"/>
      <c r="F446" s="154"/>
      <c r="G446" s="473"/>
      <c r="H446" s="156"/>
      <c r="I446" s="156"/>
      <c r="J446" s="156"/>
      <c r="K446" s="132"/>
      <c r="L446" s="473"/>
      <c r="M446" s="156"/>
      <c r="N446" s="156"/>
      <c r="O446" s="156"/>
      <c r="P446" s="132"/>
      <c r="Q446" s="487"/>
      <c r="R446" s="156"/>
      <c r="S446" s="156"/>
      <c r="T446" s="156"/>
      <c r="U446" s="154"/>
      <c r="V446" s="473"/>
      <c r="W446" s="156"/>
      <c r="X446" s="156"/>
      <c r="Y446" s="156"/>
      <c r="Z446" s="154"/>
      <c r="AA446" s="473"/>
      <c r="AB446" s="156"/>
      <c r="AC446" s="156"/>
      <c r="AD446" s="156"/>
      <c r="AE446" s="154"/>
      <c r="AF446" s="473"/>
      <c r="AG446" s="156"/>
      <c r="AH446" s="156"/>
      <c r="AI446" s="156"/>
      <c r="AJ446" s="154"/>
      <c r="AK446" s="473"/>
      <c r="AL446" s="156"/>
      <c r="AM446" s="156"/>
      <c r="AN446" s="156"/>
      <c r="AO446" s="452"/>
      <c r="AP446" s="452"/>
      <c r="AQ446" s="452"/>
      <c r="AR446" s="452"/>
      <c r="AS446" s="452"/>
      <c r="AT446" s="452"/>
      <c r="AU446" s="452"/>
      <c r="AV446" s="452"/>
      <c r="AW446" s="452"/>
      <c r="AX446" s="452"/>
      <c r="AY446" s="154"/>
      <c r="AZ446" s="473"/>
      <c r="BA446" s="156"/>
      <c r="BB446" s="156"/>
      <c r="BC446" s="156"/>
      <c r="BD446" s="452"/>
      <c r="BE446" s="452"/>
      <c r="BF446" s="452"/>
      <c r="BG446" s="452"/>
      <c r="BH446" s="452"/>
    </row>
    <row r="447">
      <c r="A447" s="154"/>
      <c r="B447" s="473"/>
      <c r="C447" s="156"/>
      <c r="D447" s="156"/>
      <c r="E447" s="156"/>
      <c r="F447" s="154"/>
      <c r="G447" s="473"/>
      <c r="H447" s="156"/>
      <c r="I447" s="156"/>
      <c r="J447" s="156"/>
      <c r="K447" s="132"/>
      <c r="L447" s="473"/>
      <c r="M447" s="156"/>
      <c r="N447" s="156"/>
      <c r="O447" s="156"/>
      <c r="P447" s="132"/>
      <c r="Q447" s="487"/>
      <c r="R447" s="156"/>
      <c r="S447" s="156"/>
      <c r="T447" s="156"/>
      <c r="U447" s="154"/>
      <c r="V447" s="473"/>
      <c r="W447" s="156"/>
      <c r="X447" s="156"/>
      <c r="Y447" s="156"/>
      <c r="Z447" s="154"/>
      <c r="AA447" s="473"/>
      <c r="AB447" s="156"/>
      <c r="AC447" s="156"/>
      <c r="AD447" s="156"/>
      <c r="AE447" s="154"/>
      <c r="AF447" s="473"/>
      <c r="AG447" s="156"/>
      <c r="AH447" s="156"/>
      <c r="AI447" s="156"/>
      <c r="AJ447" s="154"/>
      <c r="AK447" s="473"/>
      <c r="AL447" s="156"/>
      <c r="AM447" s="156"/>
      <c r="AN447" s="156"/>
      <c r="AO447" s="452"/>
      <c r="AP447" s="452"/>
      <c r="AQ447" s="452"/>
      <c r="AR447" s="452"/>
      <c r="AS447" s="452"/>
      <c r="AT447" s="452"/>
      <c r="AU447" s="452"/>
      <c r="AV447" s="452"/>
      <c r="AW447" s="452"/>
      <c r="AX447" s="452"/>
      <c r="AY447" s="154"/>
      <c r="AZ447" s="473"/>
      <c r="BA447" s="156"/>
      <c r="BB447" s="156"/>
      <c r="BC447" s="156"/>
      <c r="BD447" s="452"/>
      <c r="BE447" s="452"/>
      <c r="BF447" s="452"/>
      <c r="BG447" s="452"/>
      <c r="BH447" s="452"/>
    </row>
    <row r="448">
      <c r="A448" s="154"/>
      <c r="B448" s="473"/>
      <c r="C448" s="156"/>
      <c r="D448" s="156"/>
      <c r="E448" s="156"/>
      <c r="F448" s="154"/>
      <c r="G448" s="473"/>
      <c r="H448" s="156"/>
      <c r="I448" s="156"/>
      <c r="J448" s="156"/>
      <c r="K448" s="132"/>
      <c r="L448" s="473"/>
      <c r="M448" s="156"/>
      <c r="N448" s="156"/>
      <c r="O448" s="156"/>
      <c r="P448" s="132"/>
      <c r="Q448" s="487"/>
      <c r="R448" s="156"/>
      <c r="S448" s="156"/>
      <c r="T448" s="156"/>
      <c r="U448" s="154"/>
      <c r="V448" s="473"/>
      <c r="W448" s="156"/>
      <c r="X448" s="156"/>
      <c r="Y448" s="156"/>
      <c r="Z448" s="154"/>
      <c r="AA448" s="473"/>
      <c r="AB448" s="156"/>
      <c r="AC448" s="156"/>
      <c r="AD448" s="156"/>
      <c r="AE448" s="154"/>
      <c r="AF448" s="473"/>
      <c r="AG448" s="156"/>
      <c r="AH448" s="156"/>
      <c r="AI448" s="156"/>
      <c r="AJ448" s="154"/>
      <c r="AK448" s="473"/>
      <c r="AL448" s="156"/>
      <c r="AM448" s="156"/>
      <c r="AN448" s="156"/>
      <c r="AO448" s="452"/>
      <c r="AP448" s="452"/>
      <c r="AQ448" s="452"/>
      <c r="AR448" s="452"/>
      <c r="AS448" s="452"/>
      <c r="AT448" s="452"/>
      <c r="AU448" s="452"/>
      <c r="AV448" s="452"/>
      <c r="AW448" s="452"/>
      <c r="AX448" s="452"/>
      <c r="AY448" s="154"/>
      <c r="AZ448" s="473"/>
      <c r="BA448" s="156"/>
      <c r="BB448" s="156"/>
      <c r="BC448" s="156"/>
      <c r="BD448" s="452"/>
      <c r="BE448" s="452"/>
      <c r="BF448" s="452"/>
      <c r="BG448" s="452"/>
      <c r="BH448" s="452"/>
    </row>
    <row r="449">
      <c r="A449" s="154"/>
      <c r="B449" s="473"/>
      <c r="C449" s="156"/>
      <c r="D449" s="156"/>
      <c r="E449" s="156"/>
      <c r="F449" s="154"/>
      <c r="G449" s="473"/>
      <c r="H449" s="156"/>
      <c r="I449" s="156"/>
      <c r="J449" s="156"/>
      <c r="K449" s="132"/>
      <c r="L449" s="473"/>
      <c r="M449" s="156"/>
      <c r="N449" s="156"/>
      <c r="O449" s="156"/>
      <c r="P449" s="132"/>
      <c r="Q449" s="487"/>
      <c r="R449" s="156"/>
      <c r="S449" s="156"/>
      <c r="T449" s="156"/>
      <c r="U449" s="154"/>
      <c r="V449" s="473"/>
      <c r="W449" s="156"/>
      <c r="X449" s="156"/>
      <c r="Y449" s="156"/>
      <c r="Z449" s="154"/>
      <c r="AA449" s="473"/>
      <c r="AB449" s="156"/>
      <c r="AC449" s="156"/>
      <c r="AD449" s="156"/>
      <c r="AE449" s="154"/>
      <c r="AF449" s="473"/>
      <c r="AG449" s="156"/>
      <c r="AH449" s="156"/>
      <c r="AI449" s="156"/>
      <c r="AJ449" s="154"/>
      <c r="AK449" s="473"/>
      <c r="AL449" s="156"/>
      <c r="AM449" s="156"/>
      <c r="AN449" s="156"/>
      <c r="AO449" s="452"/>
      <c r="AP449" s="452"/>
      <c r="AQ449" s="452"/>
      <c r="AR449" s="452"/>
      <c r="AS449" s="452"/>
      <c r="AT449" s="452"/>
      <c r="AU449" s="452"/>
      <c r="AV449" s="452"/>
      <c r="AW449" s="452"/>
      <c r="AX449" s="452"/>
      <c r="AY449" s="154"/>
      <c r="AZ449" s="473"/>
      <c r="BA449" s="156"/>
      <c r="BB449" s="156"/>
      <c r="BC449" s="156"/>
      <c r="BD449" s="452"/>
      <c r="BE449" s="452"/>
      <c r="BF449" s="452"/>
      <c r="BG449" s="452"/>
      <c r="BH449" s="452"/>
    </row>
    <row r="450">
      <c r="A450" s="154"/>
      <c r="B450" s="473"/>
      <c r="C450" s="156"/>
      <c r="D450" s="156"/>
      <c r="E450" s="156"/>
      <c r="F450" s="154"/>
      <c r="G450" s="473"/>
      <c r="H450" s="156"/>
      <c r="I450" s="156"/>
      <c r="J450" s="156"/>
      <c r="K450" s="132"/>
      <c r="L450" s="473"/>
      <c r="M450" s="156"/>
      <c r="N450" s="156"/>
      <c r="O450" s="156"/>
      <c r="P450" s="132"/>
      <c r="Q450" s="487"/>
      <c r="R450" s="156"/>
      <c r="S450" s="156"/>
      <c r="T450" s="156"/>
      <c r="U450" s="154"/>
      <c r="V450" s="473"/>
      <c r="W450" s="156"/>
      <c r="X450" s="156"/>
      <c r="Y450" s="156"/>
      <c r="Z450" s="154"/>
      <c r="AA450" s="473"/>
      <c r="AB450" s="156"/>
      <c r="AC450" s="156"/>
      <c r="AD450" s="156"/>
      <c r="AE450" s="154"/>
      <c r="AF450" s="473"/>
      <c r="AG450" s="156"/>
      <c r="AH450" s="156"/>
      <c r="AI450" s="156"/>
      <c r="AJ450" s="154"/>
      <c r="AK450" s="473"/>
      <c r="AL450" s="156"/>
      <c r="AM450" s="156"/>
      <c r="AN450" s="156"/>
      <c r="AO450" s="452"/>
      <c r="AP450" s="452"/>
      <c r="AQ450" s="452"/>
      <c r="AR450" s="452"/>
      <c r="AS450" s="452"/>
      <c r="AT450" s="452"/>
      <c r="AU450" s="452"/>
      <c r="AV450" s="452"/>
      <c r="AW450" s="452"/>
      <c r="AX450" s="452"/>
      <c r="AY450" s="154"/>
      <c r="AZ450" s="473"/>
      <c r="BA450" s="156"/>
      <c r="BB450" s="156"/>
      <c r="BC450" s="156"/>
      <c r="BD450" s="452"/>
      <c r="BE450" s="452"/>
      <c r="BF450" s="452"/>
      <c r="BG450" s="452"/>
      <c r="BH450" s="452"/>
    </row>
    <row r="451">
      <c r="A451" s="154"/>
      <c r="B451" s="473"/>
      <c r="C451" s="156"/>
      <c r="D451" s="156"/>
      <c r="E451" s="156"/>
      <c r="F451" s="154"/>
      <c r="G451" s="473"/>
      <c r="H451" s="156"/>
      <c r="I451" s="156"/>
      <c r="J451" s="156"/>
      <c r="K451" s="132"/>
      <c r="L451" s="473"/>
      <c r="M451" s="156"/>
      <c r="N451" s="156"/>
      <c r="O451" s="156"/>
      <c r="P451" s="132"/>
      <c r="Q451" s="487"/>
      <c r="R451" s="156"/>
      <c r="S451" s="156"/>
      <c r="T451" s="156"/>
      <c r="U451" s="154"/>
      <c r="V451" s="473"/>
      <c r="W451" s="156"/>
      <c r="X451" s="156"/>
      <c r="Y451" s="156"/>
      <c r="Z451" s="154"/>
      <c r="AA451" s="473"/>
      <c r="AB451" s="156"/>
      <c r="AC451" s="156"/>
      <c r="AD451" s="156"/>
      <c r="AE451" s="154"/>
      <c r="AF451" s="473"/>
      <c r="AG451" s="156"/>
      <c r="AH451" s="156"/>
      <c r="AI451" s="156"/>
      <c r="AJ451" s="154"/>
      <c r="AK451" s="473"/>
      <c r="AL451" s="156"/>
      <c r="AM451" s="156"/>
      <c r="AN451" s="156"/>
      <c r="AO451" s="452"/>
      <c r="AP451" s="452"/>
      <c r="AQ451" s="452"/>
      <c r="AR451" s="452"/>
      <c r="AS451" s="452"/>
      <c r="AT451" s="452"/>
      <c r="AU451" s="452"/>
      <c r="AV451" s="452"/>
      <c r="AW451" s="452"/>
      <c r="AX451" s="452"/>
      <c r="AY451" s="154"/>
      <c r="AZ451" s="473"/>
      <c r="BA451" s="156"/>
      <c r="BB451" s="156"/>
      <c r="BC451" s="156"/>
      <c r="BD451" s="452"/>
      <c r="BE451" s="452"/>
      <c r="BF451" s="452"/>
      <c r="BG451" s="452"/>
      <c r="BH451" s="452"/>
    </row>
    <row r="452">
      <c r="A452" s="154"/>
      <c r="B452" s="473"/>
      <c r="C452" s="156"/>
      <c r="D452" s="156"/>
      <c r="E452" s="156"/>
      <c r="F452" s="154"/>
      <c r="G452" s="473"/>
      <c r="H452" s="156"/>
      <c r="I452" s="156"/>
      <c r="J452" s="156"/>
      <c r="K452" s="132"/>
      <c r="L452" s="473"/>
      <c r="M452" s="156"/>
      <c r="N452" s="156"/>
      <c r="O452" s="156"/>
      <c r="P452" s="132"/>
      <c r="Q452" s="487"/>
      <c r="R452" s="156"/>
      <c r="S452" s="156"/>
      <c r="T452" s="156"/>
      <c r="U452" s="154"/>
      <c r="V452" s="473"/>
      <c r="W452" s="156"/>
      <c r="X452" s="156"/>
      <c r="Y452" s="156"/>
      <c r="Z452" s="154"/>
      <c r="AA452" s="473"/>
      <c r="AB452" s="156"/>
      <c r="AC452" s="156"/>
      <c r="AD452" s="156"/>
      <c r="AE452" s="154"/>
      <c r="AF452" s="473"/>
      <c r="AG452" s="156"/>
      <c r="AH452" s="156"/>
      <c r="AI452" s="156"/>
      <c r="AJ452" s="154"/>
      <c r="AK452" s="473"/>
      <c r="AL452" s="156"/>
      <c r="AM452" s="156"/>
      <c r="AN452" s="156"/>
      <c r="AO452" s="452"/>
      <c r="AP452" s="452"/>
      <c r="AQ452" s="452"/>
      <c r="AR452" s="452"/>
      <c r="AS452" s="452"/>
      <c r="AT452" s="452"/>
      <c r="AU452" s="452"/>
      <c r="AV452" s="452"/>
      <c r="AW452" s="452"/>
      <c r="AX452" s="452"/>
      <c r="AY452" s="154"/>
      <c r="AZ452" s="473"/>
      <c r="BA452" s="156"/>
      <c r="BB452" s="156"/>
      <c r="BC452" s="156"/>
      <c r="BD452" s="452"/>
      <c r="BE452" s="452"/>
      <c r="BF452" s="452"/>
      <c r="BG452" s="452"/>
      <c r="BH452" s="452"/>
    </row>
    <row r="453">
      <c r="A453" s="154"/>
      <c r="B453" s="473"/>
      <c r="C453" s="156"/>
      <c r="D453" s="156"/>
      <c r="E453" s="156"/>
      <c r="F453" s="154"/>
      <c r="G453" s="473"/>
      <c r="H453" s="156"/>
      <c r="I453" s="156"/>
      <c r="J453" s="156"/>
      <c r="K453" s="132"/>
      <c r="L453" s="473"/>
      <c r="M453" s="156"/>
      <c r="N453" s="156"/>
      <c r="O453" s="156"/>
      <c r="P453" s="132"/>
      <c r="Q453" s="487"/>
      <c r="R453" s="156"/>
      <c r="S453" s="156"/>
      <c r="T453" s="156"/>
      <c r="U453" s="154"/>
      <c r="V453" s="473"/>
      <c r="W453" s="156"/>
      <c r="X453" s="156"/>
      <c r="Y453" s="156"/>
      <c r="Z453" s="154"/>
      <c r="AA453" s="473"/>
      <c r="AB453" s="156"/>
      <c r="AC453" s="156"/>
      <c r="AD453" s="156"/>
      <c r="AE453" s="154"/>
      <c r="AF453" s="473"/>
      <c r="AG453" s="156"/>
      <c r="AH453" s="156"/>
      <c r="AI453" s="156"/>
      <c r="AJ453" s="154"/>
      <c r="AK453" s="473"/>
      <c r="AL453" s="156"/>
      <c r="AM453" s="156"/>
      <c r="AN453" s="156"/>
      <c r="AO453" s="452"/>
      <c r="AP453" s="452"/>
      <c r="AQ453" s="452"/>
      <c r="AR453" s="452"/>
      <c r="AS453" s="452"/>
      <c r="AT453" s="452"/>
      <c r="AU453" s="452"/>
      <c r="AV453" s="452"/>
      <c r="AW453" s="452"/>
      <c r="AX453" s="452"/>
      <c r="AY453" s="154"/>
      <c r="AZ453" s="473"/>
      <c r="BA453" s="156"/>
      <c r="BB453" s="156"/>
      <c r="BC453" s="156"/>
      <c r="BD453" s="452"/>
      <c r="BE453" s="452"/>
      <c r="BF453" s="452"/>
      <c r="BG453" s="452"/>
      <c r="BH453" s="452"/>
    </row>
    <row r="454">
      <c r="A454" s="154"/>
      <c r="B454" s="473"/>
      <c r="C454" s="156"/>
      <c r="D454" s="156"/>
      <c r="E454" s="156"/>
      <c r="F454" s="154"/>
      <c r="G454" s="473"/>
      <c r="H454" s="156"/>
      <c r="I454" s="156"/>
      <c r="J454" s="156"/>
      <c r="K454" s="132"/>
      <c r="L454" s="473"/>
      <c r="M454" s="156"/>
      <c r="N454" s="156"/>
      <c r="O454" s="156"/>
      <c r="P454" s="132"/>
      <c r="Q454" s="487"/>
      <c r="R454" s="156"/>
      <c r="S454" s="156"/>
      <c r="T454" s="156"/>
      <c r="U454" s="154"/>
      <c r="V454" s="473"/>
      <c r="W454" s="156"/>
      <c r="X454" s="156"/>
      <c r="Y454" s="156"/>
      <c r="Z454" s="154"/>
      <c r="AA454" s="473"/>
      <c r="AB454" s="156"/>
      <c r="AC454" s="156"/>
      <c r="AD454" s="156"/>
      <c r="AE454" s="154"/>
      <c r="AF454" s="473"/>
      <c r="AG454" s="156"/>
      <c r="AH454" s="156"/>
      <c r="AI454" s="156"/>
      <c r="AJ454" s="154"/>
      <c r="AK454" s="473"/>
      <c r="AL454" s="156"/>
      <c r="AM454" s="156"/>
      <c r="AN454" s="156"/>
      <c r="AO454" s="452"/>
      <c r="AP454" s="452"/>
      <c r="AQ454" s="452"/>
      <c r="AR454" s="452"/>
      <c r="AS454" s="452"/>
      <c r="AT454" s="452"/>
      <c r="AU454" s="452"/>
      <c r="AV454" s="452"/>
      <c r="AW454" s="452"/>
      <c r="AX454" s="452"/>
      <c r="AY454" s="154"/>
      <c r="AZ454" s="473"/>
      <c r="BA454" s="156"/>
      <c r="BB454" s="156"/>
      <c r="BC454" s="156"/>
      <c r="BD454" s="452"/>
      <c r="BE454" s="452"/>
      <c r="BF454" s="452"/>
      <c r="BG454" s="452"/>
      <c r="BH454" s="452"/>
    </row>
    <row r="455">
      <c r="A455" s="154"/>
      <c r="B455" s="473"/>
      <c r="C455" s="156"/>
      <c r="D455" s="156"/>
      <c r="E455" s="156"/>
      <c r="F455" s="154"/>
      <c r="G455" s="473"/>
      <c r="H455" s="156"/>
      <c r="I455" s="156"/>
      <c r="J455" s="156"/>
      <c r="K455" s="132"/>
      <c r="L455" s="473"/>
      <c r="M455" s="156"/>
      <c r="N455" s="156"/>
      <c r="O455" s="156"/>
      <c r="P455" s="132"/>
      <c r="Q455" s="487"/>
      <c r="R455" s="156"/>
      <c r="S455" s="156"/>
      <c r="T455" s="156"/>
      <c r="U455" s="154"/>
      <c r="V455" s="473"/>
      <c r="W455" s="156"/>
      <c r="X455" s="156"/>
      <c r="Y455" s="156"/>
      <c r="Z455" s="154"/>
      <c r="AA455" s="473"/>
      <c r="AB455" s="156"/>
      <c r="AC455" s="156"/>
      <c r="AD455" s="156"/>
      <c r="AE455" s="154"/>
      <c r="AF455" s="473"/>
      <c r="AG455" s="156"/>
      <c r="AH455" s="156"/>
      <c r="AI455" s="156"/>
      <c r="AJ455" s="154"/>
      <c r="AK455" s="473"/>
      <c r="AL455" s="156"/>
      <c r="AM455" s="156"/>
      <c r="AN455" s="156"/>
      <c r="AO455" s="452"/>
      <c r="AP455" s="452"/>
      <c r="AQ455" s="452"/>
      <c r="AR455" s="452"/>
      <c r="AS455" s="452"/>
      <c r="AT455" s="452"/>
      <c r="AU455" s="452"/>
      <c r="AV455" s="452"/>
      <c r="AW455" s="452"/>
      <c r="AX455" s="452"/>
      <c r="AY455" s="154"/>
      <c r="AZ455" s="473"/>
      <c r="BA455" s="156"/>
      <c r="BB455" s="156"/>
      <c r="BC455" s="156"/>
      <c r="BD455" s="452"/>
      <c r="BE455" s="452"/>
      <c r="BF455" s="452"/>
      <c r="BG455" s="452"/>
      <c r="BH455" s="452"/>
    </row>
    <row r="456">
      <c r="A456" s="154"/>
      <c r="B456" s="473"/>
      <c r="C456" s="156"/>
      <c r="D456" s="156"/>
      <c r="E456" s="156"/>
      <c r="F456" s="154"/>
      <c r="G456" s="473"/>
      <c r="H456" s="156"/>
      <c r="I456" s="156"/>
      <c r="J456" s="156"/>
      <c r="K456" s="132"/>
      <c r="L456" s="473"/>
      <c r="M456" s="156"/>
      <c r="N456" s="156"/>
      <c r="O456" s="156"/>
      <c r="P456" s="132"/>
      <c r="Q456" s="487"/>
      <c r="R456" s="156"/>
      <c r="S456" s="156"/>
      <c r="T456" s="156"/>
      <c r="U456" s="154"/>
      <c r="V456" s="473"/>
      <c r="W456" s="156"/>
      <c r="X456" s="156"/>
      <c r="Y456" s="156"/>
      <c r="Z456" s="154"/>
      <c r="AA456" s="473"/>
      <c r="AB456" s="156"/>
      <c r="AC456" s="156"/>
      <c r="AD456" s="156"/>
      <c r="AE456" s="154"/>
      <c r="AF456" s="473"/>
      <c r="AG456" s="156"/>
      <c r="AH456" s="156"/>
      <c r="AI456" s="156"/>
      <c r="AJ456" s="154"/>
      <c r="AK456" s="473"/>
      <c r="AL456" s="156"/>
      <c r="AM456" s="156"/>
      <c r="AN456" s="156"/>
      <c r="AO456" s="452"/>
      <c r="AP456" s="452"/>
      <c r="AQ456" s="452"/>
      <c r="AR456" s="452"/>
      <c r="AS456" s="452"/>
      <c r="AT456" s="452"/>
      <c r="AU456" s="452"/>
      <c r="AV456" s="452"/>
      <c r="AW456" s="452"/>
      <c r="AX456" s="452"/>
      <c r="AY456" s="154"/>
      <c r="AZ456" s="473"/>
      <c r="BA456" s="156"/>
      <c r="BB456" s="156"/>
      <c r="BC456" s="156"/>
      <c r="BD456" s="452"/>
      <c r="BE456" s="452"/>
      <c r="BF456" s="452"/>
      <c r="BG456" s="452"/>
      <c r="BH456" s="452"/>
    </row>
    <row r="457">
      <c r="A457" s="154"/>
      <c r="B457" s="473"/>
      <c r="C457" s="156"/>
      <c r="D457" s="156"/>
      <c r="E457" s="156"/>
      <c r="F457" s="154"/>
      <c r="G457" s="473"/>
      <c r="H457" s="156"/>
      <c r="I457" s="156"/>
      <c r="J457" s="156"/>
      <c r="K457" s="132"/>
      <c r="L457" s="473"/>
      <c r="M457" s="156"/>
      <c r="N457" s="156"/>
      <c r="O457" s="156"/>
      <c r="P457" s="132"/>
      <c r="Q457" s="487"/>
      <c r="R457" s="156"/>
      <c r="S457" s="156"/>
      <c r="T457" s="156"/>
      <c r="U457" s="154"/>
      <c r="V457" s="473"/>
      <c r="W457" s="156"/>
      <c r="X457" s="156"/>
      <c r="Y457" s="156"/>
      <c r="Z457" s="154"/>
      <c r="AA457" s="473"/>
      <c r="AB457" s="156"/>
      <c r="AC457" s="156"/>
      <c r="AD457" s="156"/>
      <c r="AE457" s="154"/>
      <c r="AF457" s="473"/>
      <c r="AG457" s="156"/>
      <c r="AH457" s="156"/>
      <c r="AI457" s="156"/>
      <c r="AJ457" s="154"/>
      <c r="AK457" s="473"/>
      <c r="AL457" s="156"/>
      <c r="AM457" s="156"/>
      <c r="AN457" s="156"/>
      <c r="AO457" s="452"/>
      <c r="AP457" s="452"/>
      <c r="AQ457" s="452"/>
      <c r="AR457" s="452"/>
      <c r="AS457" s="452"/>
      <c r="AT457" s="452"/>
      <c r="AU457" s="452"/>
      <c r="AV457" s="452"/>
      <c r="AW457" s="452"/>
      <c r="AX457" s="452"/>
      <c r="AY457" s="154"/>
      <c r="AZ457" s="473"/>
      <c r="BA457" s="156"/>
      <c r="BB457" s="156"/>
      <c r="BC457" s="156"/>
      <c r="BD457" s="452"/>
      <c r="BE457" s="452"/>
      <c r="BF457" s="452"/>
      <c r="BG457" s="452"/>
      <c r="BH457" s="452"/>
    </row>
    <row r="458">
      <c r="A458" s="154"/>
      <c r="B458" s="473"/>
      <c r="C458" s="156"/>
      <c r="D458" s="156"/>
      <c r="E458" s="156"/>
      <c r="F458" s="154"/>
      <c r="G458" s="473"/>
      <c r="H458" s="156"/>
      <c r="I458" s="156"/>
      <c r="J458" s="156"/>
      <c r="K458" s="132"/>
      <c r="L458" s="473"/>
      <c r="M458" s="156"/>
      <c r="N458" s="156"/>
      <c r="O458" s="156"/>
      <c r="P458" s="132"/>
      <c r="Q458" s="487"/>
      <c r="R458" s="156"/>
      <c r="S458" s="156"/>
      <c r="T458" s="156"/>
      <c r="U458" s="154"/>
      <c r="V458" s="473"/>
      <c r="W458" s="156"/>
      <c r="X458" s="156"/>
      <c r="Y458" s="156"/>
      <c r="Z458" s="154"/>
      <c r="AA458" s="473"/>
      <c r="AB458" s="156"/>
      <c r="AC458" s="156"/>
      <c r="AD458" s="156"/>
      <c r="AE458" s="154"/>
      <c r="AF458" s="473"/>
      <c r="AG458" s="156"/>
      <c r="AH458" s="156"/>
      <c r="AI458" s="156"/>
      <c r="AJ458" s="154"/>
      <c r="AK458" s="473"/>
      <c r="AL458" s="156"/>
      <c r="AM458" s="156"/>
      <c r="AN458" s="156"/>
      <c r="AO458" s="452"/>
      <c r="AP458" s="452"/>
      <c r="AQ458" s="452"/>
      <c r="AR458" s="452"/>
      <c r="AS458" s="452"/>
      <c r="AT458" s="452"/>
      <c r="AU458" s="452"/>
      <c r="AV458" s="452"/>
      <c r="AW458" s="452"/>
      <c r="AX458" s="452"/>
      <c r="AY458" s="154"/>
      <c r="AZ458" s="473"/>
      <c r="BA458" s="156"/>
      <c r="BB458" s="156"/>
      <c r="BC458" s="156"/>
      <c r="BD458" s="452"/>
      <c r="BE458" s="452"/>
      <c r="BF458" s="452"/>
      <c r="BG458" s="452"/>
      <c r="BH458" s="452"/>
    </row>
    <row r="459">
      <c r="A459" s="154"/>
      <c r="B459" s="473"/>
      <c r="C459" s="156"/>
      <c r="D459" s="156"/>
      <c r="E459" s="156"/>
      <c r="F459" s="154"/>
      <c r="G459" s="473"/>
      <c r="H459" s="156"/>
      <c r="I459" s="156"/>
      <c r="J459" s="156"/>
      <c r="K459" s="132"/>
      <c r="L459" s="473"/>
      <c r="M459" s="156"/>
      <c r="N459" s="156"/>
      <c r="O459" s="156"/>
      <c r="P459" s="132"/>
      <c r="Q459" s="487"/>
      <c r="R459" s="156"/>
      <c r="S459" s="156"/>
      <c r="T459" s="156"/>
      <c r="U459" s="154"/>
      <c r="V459" s="473"/>
      <c r="W459" s="156"/>
      <c r="X459" s="156"/>
      <c r="Y459" s="156"/>
      <c r="Z459" s="154"/>
      <c r="AA459" s="473"/>
      <c r="AB459" s="156"/>
      <c r="AC459" s="156"/>
      <c r="AD459" s="156"/>
      <c r="AE459" s="154"/>
      <c r="AF459" s="473"/>
      <c r="AG459" s="156"/>
      <c r="AH459" s="156"/>
      <c r="AI459" s="156"/>
      <c r="AJ459" s="154"/>
      <c r="AK459" s="473"/>
      <c r="AL459" s="156"/>
      <c r="AM459" s="156"/>
      <c r="AN459" s="156"/>
      <c r="AO459" s="452"/>
      <c r="AP459" s="452"/>
      <c r="AQ459" s="452"/>
      <c r="AR459" s="452"/>
      <c r="AS459" s="452"/>
      <c r="AT459" s="452"/>
      <c r="AU459" s="452"/>
      <c r="AV459" s="452"/>
      <c r="AW459" s="452"/>
      <c r="AX459" s="452"/>
      <c r="AY459" s="154"/>
      <c r="AZ459" s="473"/>
      <c r="BA459" s="156"/>
      <c r="BB459" s="156"/>
      <c r="BC459" s="156"/>
      <c r="BD459" s="452"/>
      <c r="BE459" s="452"/>
      <c r="BF459" s="452"/>
      <c r="BG459" s="452"/>
      <c r="BH459" s="452"/>
    </row>
    <row r="460">
      <c r="A460" s="154"/>
      <c r="B460" s="473"/>
      <c r="C460" s="156"/>
      <c r="D460" s="156"/>
      <c r="E460" s="156"/>
      <c r="F460" s="154"/>
      <c r="G460" s="473"/>
      <c r="H460" s="156"/>
      <c r="I460" s="156"/>
      <c r="J460" s="156"/>
      <c r="K460" s="132"/>
      <c r="L460" s="473"/>
      <c r="M460" s="156"/>
      <c r="N460" s="156"/>
      <c r="O460" s="156"/>
      <c r="P460" s="132"/>
      <c r="Q460" s="487"/>
      <c r="R460" s="156"/>
      <c r="S460" s="156"/>
      <c r="T460" s="156"/>
      <c r="U460" s="154"/>
      <c r="V460" s="473"/>
      <c r="W460" s="156"/>
      <c r="X460" s="156"/>
      <c r="Y460" s="156"/>
      <c r="Z460" s="154"/>
      <c r="AA460" s="473"/>
      <c r="AB460" s="156"/>
      <c r="AC460" s="156"/>
      <c r="AD460" s="156"/>
      <c r="AE460" s="154"/>
      <c r="AF460" s="473"/>
      <c r="AG460" s="156"/>
      <c r="AH460" s="156"/>
      <c r="AI460" s="156"/>
      <c r="AJ460" s="154"/>
      <c r="AK460" s="473"/>
      <c r="AL460" s="156"/>
      <c r="AM460" s="156"/>
      <c r="AN460" s="156"/>
      <c r="AO460" s="452"/>
      <c r="AP460" s="452"/>
      <c r="AQ460" s="452"/>
      <c r="AR460" s="452"/>
      <c r="AS460" s="452"/>
      <c r="AT460" s="452"/>
      <c r="AU460" s="452"/>
      <c r="AV460" s="452"/>
      <c r="AW460" s="452"/>
      <c r="AX460" s="452"/>
      <c r="AY460" s="154"/>
      <c r="AZ460" s="473"/>
      <c r="BA460" s="156"/>
      <c r="BB460" s="156"/>
      <c r="BC460" s="156"/>
      <c r="BD460" s="452"/>
      <c r="BE460" s="452"/>
      <c r="BF460" s="452"/>
      <c r="BG460" s="452"/>
      <c r="BH460" s="452"/>
    </row>
    <row r="461">
      <c r="A461" s="154"/>
      <c r="B461" s="473"/>
      <c r="C461" s="156"/>
      <c r="D461" s="156"/>
      <c r="E461" s="156"/>
      <c r="F461" s="154"/>
      <c r="G461" s="473"/>
      <c r="H461" s="156"/>
      <c r="I461" s="156"/>
      <c r="J461" s="156"/>
      <c r="K461" s="132"/>
      <c r="L461" s="473"/>
      <c r="M461" s="156"/>
      <c r="N461" s="156"/>
      <c r="O461" s="156"/>
      <c r="P461" s="132"/>
      <c r="Q461" s="487"/>
      <c r="R461" s="156"/>
      <c r="S461" s="156"/>
      <c r="T461" s="156"/>
      <c r="U461" s="154"/>
      <c r="V461" s="473"/>
      <c r="W461" s="156"/>
      <c r="X461" s="156"/>
      <c r="Y461" s="156"/>
      <c r="Z461" s="154"/>
      <c r="AA461" s="473"/>
      <c r="AB461" s="156"/>
      <c r="AC461" s="156"/>
      <c r="AD461" s="156"/>
      <c r="AE461" s="154"/>
      <c r="AF461" s="473"/>
      <c r="AG461" s="156"/>
      <c r="AH461" s="156"/>
      <c r="AI461" s="156"/>
      <c r="AJ461" s="154"/>
      <c r="AK461" s="473"/>
      <c r="AL461" s="156"/>
      <c r="AM461" s="156"/>
      <c r="AN461" s="156"/>
      <c r="AO461" s="452"/>
      <c r="AP461" s="452"/>
      <c r="AQ461" s="452"/>
      <c r="AR461" s="452"/>
      <c r="AS461" s="452"/>
      <c r="AT461" s="452"/>
      <c r="AU461" s="452"/>
      <c r="AV461" s="452"/>
      <c r="AW461" s="452"/>
      <c r="AX461" s="452"/>
      <c r="AY461" s="154"/>
      <c r="AZ461" s="473"/>
      <c r="BA461" s="156"/>
      <c r="BB461" s="156"/>
      <c r="BC461" s="156"/>
      <c r="BD461" s="452"/>
      <c r="BE461" s="452"/>
      <c r="BF461" s="452"/>
      <c r="BG461" s="452"/>
      <c r="BH461" s="452"/>
    </row>
    <row r="462">
      <c r="A462" s="154"/>
      <c r="B462" s="473"/>
      <c r="C462" s="156"/>
      <c r="D462" s="156"/>
      <c r="E462" s="156"/>
      <c r="F462" s="154"/>
      <c r="G462" s="473"/>
      <c r="H462" s="156"/>
      <c r="I462" s="156"/>
      <c r="J462" s="156"/>
      <c r="K462" s="132"/>
      <c r="L462" s="473"/>
      <c r="M462" s="156"/>
      <c r="N462" s="156"/>
      <c r="O462" s="156"/>
      <c r="P462" s="132"/>
      <c r="Q462" s="487"/>
      <c r="R462" s="156"/>
      <c r="S462" s="156"/>
      <c r="T462" s="156"/>
      <c r="U462" s="154"/>
      <c r="V462" s="473"/>
      <c r="W462" s="156"/>
      <c r="X462" s="156"/>
      <c r="Y462" s="156"/>
      <c r="Z462" s="154"/>
      <c r="AA462" s="473"/>
      <c r="AB462" s="156"/>
      <c r="AC462" s="156"/>
      <c r="AD462" s="156"/>
      <c r="AE462" s="154"/>
      <c r="AF462" s="473"/>
      <c r="AG462" s="156"/>
      <c r="AH462" s="156"/>
      <c r="AI462" s="156"/>
      <c r="AJ462" s="154"/>
      <c r="AK462" s="473"/>
      <c r="AL462" s="156"/>
      <c r="AM462" s="156"/>
      <c r="AN462" s="156"/>
      <c r="AO462" s="452"/>
      <c r="AP462" s="452"/>
      <c r="AQ462" s="452"/>
      <c r="AR462" s="452"/>
      <c r="AS462" s="452"/>
      <c r="AT462" s="452"/>
      <c r="AU462" s="452"/>
      <c r="AV462" s="452"/>
      <c r="AW462" s="452"/>
      <c r="AX462" s="452"/>
      <c r="AY462" s="154"/>
      <c r="AZ462" s="473"/>
      <c r="BA462" s="156"/>
      <c r="BB462" s="156"/>
      <c r="BC462" s="156"/>
      <c r="BD462" s="452"/>
      <c r="BE462" s="452"/>
      <c r="BF462" s="452"/>
      <c r="BG462" s="452"/>
      <c r="BH462" s="452"/>
    </row>
    <row r="463">
      <c r="A463" s="154"/>
      <c r="B463" s="473"/>
      <c r="C463" s="156"/>
      <c r="D463" s="156"/>
      <c r="E463" s="156"/>
      <c r="F463" s="154"/>
      <c r="G463" s="473"/>
      <c r="H463" s="156"/>
      <c r="I463" s="156"/>
      <c r="J463" s="156"/>
      <c r="K463" s="132"/>
      <c r="L463" s="473"/>
      <c r="M463" s="156"/>
      <c r="N463" s="156"/>
      <c r="O463" s="156"/>
      <c r="P463" s="132"/>
      <c r="Q463" s="487"/>
      <c r="R463" s="156"/>
      <c r="S463" s="156"/>
      <c r="T463" s="156"/>
      <c r="U463" s="154"/>
      <c r="V463" s="473"/>
      <c r="W463" s="156"/>
      <c r="X463" s="156"/>
      <c r="Y463" s="156"/>
      <c r="Z463" s="154"/>
      <c r="AA463" s="473"/>
      <c r="AB463" s="156"/>
      <c r="AC463" s="156"/>
      <c r="AD463" s="156"/>
      <c r="AE463" s="154"/>
      <c r="AF463" s="473"/>
      <c r="AG463" s="156"/>
      <c r="AH463" s="156"/>
      <c r="AI463" s="156"/>
      <c r="AJ463" s="154"/>
      <c r="AK463" s="473"/>
      <c r="AL463" s="156"/>
      <c r="AM463" s="156"/>
      <c r="AN463" s="156"/>
      <c r="AO463" s="452"/>
      <c r="AP463" s="452"/>
      <c r="AQ463" s="452"/>
      <c r="AR463" s="452"/>
      <c r="AS463" s="452"/>
      <c r="AT463" s="452"/>
      <c r="AU463" s="452"/>
      <c r="AV463" s="452"/>
      <c r="AW463" s="452"/>
      <c r="AX463" s="452"/>
      <c r="AY463" s="154"/>
      <c r="AZ463" s="473"/>
      <c r="BA463" s="156"/>
      <c r="BB463" s="156"/>
      <c r="BC463" s="156"/>
      <c r="BD463" s="452"/>
      <c r="BE463" s="452"/>
      <c r="BF463" s="452"/>
      <c r="BG463" s="452"/>
      <c r="BH463" s="452"/>
    </row>
    <row r="464">
      <c r="A464" s="154"/>
      <c r="B464" s="473"/>
      <c r="C464" s="156"/>
      <c r="D464" s="156"/>
      <c r="E464" s="156"/>
      <c r="F464" s="154"/>
      <c r="G464" s="473"/>
      <c r="H464" s="156"/>
      <c r="I464" s="156"/>
      <c r="J464" s="156"/>
      <c r="K464" s="132"/>
      <c r="L464" s="473"/>
      <c r="M464" s="156"/>
      <c r="N464" s="156"/>
      <c r="O464" s="156"/>
      <c r="P464" s="132"/>
      <c r="Q464" s="487"/>
      <c r="R464" s="156"/>
      <c r="S464" s="156"/>
      <c r="T464" s="156"/>
      <c r="U464" s="154"/>
      <c r="V464" s="473"/>
      <c r="W464" s="156"/>
      <c r="X464" s="156"/>
      <c r="Y464" s="156"/>
      <c r="Z464" s="154"/>
      <c r="AA464" s="473"/>
      <c r="AB464" s="156"/>
      <c r="AC464" s="156"/>
      <c r="AD464" s="156"/>
      <c r="AE464" s="154"/>
      <c r="AF464" s="473"/>
      <c r="AG464" s="156"/>
      <c r="AH464" s="156"/>
      <c r="AI464" s="156"/>
      <c r="AJ464" s="154"/>
      <c r="AK464" s="473"/>
      <c r="AL464" s="156"/>
      <c r="AM464" s="156"/>
      <c r="AN464" s="156"/>
      <c r="AO464" s="452"/>
      <c r="AP464" s="452"/>
      <c r="AQ464" s="452"/>
      <c r="AR464" s="452"/>
      <c r="AS464" s="452"/>
      <c r="AT464" s="452"/>
      <c r="AU464" s="452"/>
      <c r="AV464" s="452"/>
      <c r="AW464" s="452"/>
      <c r="AX464" s="452"/>
      <c r="AY464" s="154"/>
      <c r="AZ464" s="473"/>
      <c r="BA464" s="156"/>
      <c r="BB464" s="156"/>
      <c r="BC464" s="156"/>
      <c r="BD464" s="452"/>
      <c r="BE464" s="452"/>
      <c r="BF464" s="452"/>
      <c r="BG464" s="452"/>
      <c r="BH464" s="452"/>
    </row>
    <row r="465">
      <c r="A465" s="154"/>
      <c r="B465" s="473"/>
      <c r="C465" s="156"/>
      <c r="D465" s="156"/>
      <c r="E465" s="156"/>
      <c r="F465" s="154"/>
      <c r="G465" s="473"/>
      <c r="H465" s="156"/>
      <c r="I465" s="156"/>
      <c r="J465" s="156"/>
      <c r="K465" s="132"/>
      <c r="L465" s="473"/>
      <c r="M465" s="156"/>
      <c r="N465" s="156"/>
      <c r="O465" s="156"/>
      <c r="P465" s="132"/>
      <c r="Q465" s="487"/>
      <c r="R465" s="156"/>
      <c r="S465" s="156"/>
      <c r="T465" s="156"/>
      <c r="U465" s="154"/>
      <c r="V465" s="473"/>
      <c r="W465" s="156"/>
      <c r="X465" s="156"/>
      <c r="Y465" s="156"/>
      <c r="Z465" s="154"/>
      <c r="AA465" s="473"/>
      <c r="AB465" s="156"/>
      <c r="AC465" s="156"/>
      <c r="AD465" s="156"/>
      <c r="AE465" s="154"/>
      <c r="AF465" s="473"/>
      <c r="AG465" s="156"/>
      <c r="AH465" s="156"/>
      <c r="AI465" s="156"/>
      <c r="AJ465" s="154"/>
      <c r="AK465" s="473"/>
      <c r="AL465" s="156"/>
      <c r="AM465" s="156"/>
      <c r="AN465" s="156"/>
      <c r="AO465" s="452"/>
      <c r="AP465" s="452"/>
      <c r="AQ465" s="452"/>
      <c r="AR465" s="452"/>
      <c r="AS465" s="452"/>
      <c r="AT465" s="452"/>
      <c r="AU465" s="452"/>
      <c r="AV465" s="452"/>
      <c r="AW465" s="452"/>
      <c r="AX465" s="452"/>
      <c r="AY465" s="154"/>
      <c r="AZ465" s="473"/>
      <c r="BA465" s="156"/>
      <c r="BB465" s="156"/>
      <c r="BC465" s="156"/>
      <c r="BD465" s="452"/>
      <c r="BE465" s="452"/>
      <c r="BF465" s="452"/>
      <c r="BG465" s="452"/>
      <c r="BH465" s="452"/>
    </row>
    <row r="466">
      <c r="A466" s="154"/>
      <c r="B466" s="473"/>
      <c r="C466" s="156"/>
      <c r="D466" s="156"/>
      <c r="E466" s="156"/>
      <c r="F466" s="154"/>
      <c r="G466" s="473"/>
      <c r="H466" s="156"/>
      <c r="I466" s="156"/>
      <c r="J466" s="156"/>
      <c r="K466" s="132"/>
      <c r="L466" s="473"/>
      <c r="M466" s="156"/>
      <c r="N466" s="156"/>
      <c r="O466" s="156"/>
      <c r="P466" s="132"/>
      <c r="Q466" s="487"/>
      <c r="R466" s="156"/>
      <c r="S466" s="156"/>
      <c r="T466" s="156"/>
      <c r="U466" s="154"/>
      <c r="V466" s="473"/>
      <c r="W466" s="156"/>
      <c r="X466" s="156"/>
      <c r="Y466" s="156"/>
      <c r="Z466" s="154"/>
      <c r="AA466" s="473"/>
      <c r="AB466" s="156"/>
      <c r="AC466" s="156"/>
      <c r="AD466" s="156"/>
      <c r="AE466" s="154"/>
      <c r="AF466" s="473"/>
      <c r="AG466" s="156"/>
      <c r="AH466" s="156"/>
      <c r="AI466" s="156"/>
      <c r="AJ466" s="154"/>
      <c r="AK466" s="473"/>
      <c r="AL466" s="156"/>
      <c r="AM466" s="156"/>
      <c r="AN466" s="156"/>
      <c r="AO466" s="452"/>
      <c r="AP466" s="452"/>
      <c r="AQ466" s="452"/>
      <c r="AR466" s="452"/>
      <c r="AS466" s="452"/>
      <c r="AT466" s="452"/>
      <c r="AU466" s="452"/>
      <c r="AV466" s="452"/>
      <c r="AW466" s="452"/>
      <c r="AX466" s="452"/>
      <c r="AY466" s="154"/>
      <c r="AZ466" s="473"/>
      <c r="BA466" s="156"/>
      <c r="BB466" s="156"/>
      <c r="BC466" s="156"/>
      <c r="BD466" s="452"/>
      <c r="BE466" s="452"/>
      <c r="BF466" s="452"/>
      <c r="BG466" s="452"/>
      <c r="BH466" s="452"/>
    </row>
    <row r="467">
      <c r="A467" s="154"/>
      <c r="B467" s="473"/>
      <c r="C467" s="156"/>
      <c r="D467" s="156"/>
      <c r="E467" s="156"/>
      <c r="F467" s="154"/>
      <c r="G467" s="473"/>
      <c r="H467" s="156"/>
      <c r="I467" s="156"/>
      <c r="J467" s="156"/>
      <c r="K467" s="132"/>
      <c r="L467" s="473"/>
      <c r="M467" s="156"/>
      <c r="N467" s="156"/>
      <c r="O467" s="156"/>
      <c r="P467" s="132"/>
      <c r="Q467" s="487"/>
      <c r="R467" s="156"/>
      <c r="S467" s="156"/>
      <c r="T467" s="156"/>
      <c r="U467" s="154"/>
      <c r="V467" s="473"/>
      <c r="W467" s="156"/>
      <c r="X467" s="156"/>
      <c r="Y467" s="156"/>
      <c r="Z467" s="154"/>
      <c r="AA467" s="473"/>
      <c r="AB467" s="156"/>
      <c r="AC467" s="156"/>
      <c r="AD467" s="156"/>
      <c r="AE467" s="154"/>
      <c r="AF467" s="473"/>
      <c r="AG467" s="156"/>
      <c r="AH467" s="156"/>
      <c r="AI467" s="156"/>
      <c r="AJ467" s="154"/>
      <c r="AK467" s="473"/>
      <c r="AL467" s="156"/>
      <c r="AM467" s="156"/>
      <c r="AN467" s="156"/>
      <c r="AO467" s="452"/>
      <c r="AP467" s="452"/>
      <c r="AQ467" s="452"/>
      <c r="AR467" s="452"/>
      <c r="AS467" s="452"/>
      <c r="AT467" s="452"/>
      <c r="AU467" s="452"/>
      <c r="AV467" s="452"/>
      <c r="AW467" s="452"/>
      <c r="AX467" s="452"/>
      <c r="AY467" s="154"/>
      <c r="AZ467" s="473"/>
      <c r="BA467" s="156"/>
      <c r="BB467" s="156"/>
      <c r="BC467" s="156"/>
      <c r="BD467" s="452"/>
      <c r="BE467" s="452"/>
      <c r="BF467" s="452"/>
      <c r="BG467" s="452"/>
      <c r="BH467" s="452"/>
    </row>
    <row r="468">
      <c r="A468" s="154"/>
      <c r="B468" s="473"/>
      <c r="C468" s="156"/>
      <c r="D468" s="156"/>
      <c r="E468" s="156"/>
      <c r="F468" s="154"/>
      <c r="G468" s="473"/>
      <c r="H468" s="156"/>
      <c r="I468" s="156"/>
      <c r="J468" s="156"/>
      <c r="K468" s="132"/>
      <c r="L468" s="473"/>
      <c r="M468" s="156"/>
      <c r="N468" s="156"/>
      <c r="O468" s="156"/>
      <c r="P468" s="132"/>
      <c r="Q468" s="487"/>
      <c r="R468" s="156"/>
      <c r="S468" s="156"/>
      <c r="T468" s="156"/>
      <c r="U468" s="154"/>
      <c r="V468" s="473"/>
      <c r="W468" s="156"/>
      <c r="X468" s="156"/>
      <c r="Y468" s="156"/>
      <c r="Z468" s="154"/>
      <c r="AA468" s="473"/>
      <c r="AB468" s="156"/>
      <c r="AC468" s="156"/>
      <c r="AD468" s="156"/>
      <c r="AE468" s="154"/>
      <c r="AF468" s="473"/>
      <c r="AG468" s="156"/>
      <c r="AH468" s="156"/>
      <c r="AI468" s="156"/>
      <c r="AJ468" s="154"/>
      <c r="AK468" s="473"/>
      <c r="AL468" s="156"/>
      <c r="AM468" s="156"/>
      <c r="AN468" s="156"/>
      <c r="AO468" s="452"/>
      <c r="AP468" s="452"/>
      <c r="AQ468" s="452"/>
      <c r="AR468" s="452"/>
      <c r="AS468" s="452"/>
      <c r="AT468" s="452"/>
      <c r="AU468" s="452"/>
      <c r="AV468" s="452"/>
      <c r="AW468" s="452"/>
      <c r="AX468" s="452"/>
      <c r="AY468" s="154"/>
      <c r="AZ468" s="473"/>
      <c r="BA468" s="156"/>
      <c r="BB468" s="156"/>
      <c r="BC468" s="156"/>
      <c r="BD468" s="452"/>
      <c r="BE468" s="452"/>
      <c r="BF468" s="452"/>
      <c r="BG468" s="452"/>
      <c r="BH468" s="452"/>
    </row>
    <row r="469">
      <c r="A469" s="154"/>
      <c r="B469" s="473"/>
      <c r="C469" s="156"/>
      <c r="D469" s="156"/>
      <c r="E469" s="156"/>
      <c r="F469" s="154"/>
      <c r="G469" s="473"/>
      <c r="H469" s="156"/>
      <c r="I469" s="156"/>
      <c r="J469" s="156"/>
      <c r="K469" s="132"/>
      <c r="L469" s="473"/>
      <c r="M469" s="156"/>
      <c r="N469" s="156"/>
      <c r="O469" s="156"/>
      <c r="P469" s="132"/>
      <c r="Q469" s="487"/>
      <c r="R469" s="156"/>
      <c r="S469" s="156"/>
      <c r="T469" s="156"/>
      <c r="U469" s="154"/>
      <c r="V469" s="473"/>
      <c r="W469" s="156"/>
      <c r="X469" s="156"/>
      <c r="Y469" s="156"/>
      <c r="Z469" s="154"/>
      <c r="AA469" s="473"/>
      <c r="AB469" s="156"/>
      <c r="AC469" s="156"/>
      <c r="AD469" s="156"/>
      <c r="AE469" s="154"/>
      <c r="AF469" s="473"/>
      <c r="AG469" s="156"/>
      <c r="AH469" s="156"/>
      <c r="AI469" s="156"/>
      <c r="AJ469" s="154"/>
      <c r="AK469" s="473"/>
      <c r="AL469" s="156"/>
      <c r="AM469" s="156"/>
      <c r="AN469" s="156"/>
      <c r="AO469" s="452"/>
      <c r="AP469" s="452"/>
      <c r="AQ469" s="452"/>
      <c r="AR469" s="452"/>
      <c r="AS469" s="452"/>
      <c r="AT469" s="452"/>
      <c r="AU469" s="452"/>
      <c r="AV469" s="452"/>
      <c r="AW469" s="452"/>
      <c r="AX469" s="452"/>
      <c r="AY469" s="154"/>
      <c r="AZ469" s="473"/>
      <c r="BA469" s="156"/>
      <c r="BB469" s="156"/>
      <c r="BC469" s="156"/>
      <c r="BD469" s="452"/>
      <c r="BE469" s="452"/>
      <c r="BF469" s="452"/>
      <c r="BG469" s="452"/>
      <c r="BH469" s="452"/>
    </row>
    <row r="470">
      <c r="A470" s="154"/>
      <c r="B470" s="473"/>
      <c r="C470" s="156"/>
      <c r="D470" s="156"/>
      <c r="E470" s="156"/>
      <c r="F470" s="154"/>
      <c r="G470" s="473"/>
      <c r="H470" s="156"/>
      <c r="I470" s="156"/>
      <c r="J470" s="156"/>
      <c r="K470" s="132"/>
      <c r="L470" s="473"/>
      <c r="M470" s="156"/>
      <c r="N470" s="156"/>
      <c r="O470" s="156"/>
      <c r="P470" s="132"/>
      <c r="Q470" s="487"/>
      <c r="R470" s="156"/>
      <c r="S470" s="156"/>
      <c r="T470" s="156"/>
      <c r="U470" s="154"/>
      <c r="V470" s="473"/>
      <c r="W470" s="156"/>
      <c r="X470" s="156"/>
      <c r="Y470" s="156"/>
      <c r="Z470" s="154"/>
      <c r="AA470" s="473"/>
      <c r="AB470" s="156"/>
      <c r="AC470" s="156"/>
      <c r="AD470" s="156"/>
      <c r="AE470" s="154"/>
      <c r="AF470" s="473"/>
      <c r="AG470" s="156"/>
      <c r="AH470" s="156"/>
      <c r="AI470" s="156"/>
      <c r="AJ470" s="154"/>
      <c r="AK470" s="473"/>
      <c r="AL470" s="156"/>
      <c r="AM470" s="156"/>
      <c r="AN470" s="156"/>
      <c r="AO470" s="452"/>
      <c r="AP470" s="452"/>
      <c r="AQ470" s="452"/>
      <c r="AR470" s="452"/>
      <c r="AS470" s="452"/>
      <c r="AT470" s="452"/>
      <c r="AU470" s="452"/>
      <c r="AV470" s="452"/>
      <c r="AW470" s="452"/>
      <c r="AX470" s="452"/>
      <c r="AY470" s="154"/>
      <c r="AZ470" s="473"/>
      <c r="BA470" s="156"/>
      <c r="BB470" s="156"/>
      <c r="BC470" s="156"/>
      <c r="BD470" s="452"/>
      <c r="BE470" s="452"/>
      <c r="BF470" s="452"/>
      <c r="BG470" s="452"/>
      <c r="BH470" s="452"/>
    </row>
    <row r="471">
      <c r="A471" s="154"/>
      <c r="B471" s="473"/>
      <c r="C471" s="156"/>
      <c r="D471" s="156"/>
      <c r="E471" s="156"/>
      <c r="F471" s="154"/>
      <c r="G471" s="473"/>
      <c r="H471" s="156"/>
      <c r="I471" s="156"/>
      <c r="J471" s="156"/>
      <c r="K471" s="132"/>
      <c r="L471" s="473"/>
      <c r="M471" s="156"/>
      <c r="N471" s="156"/>
      <c r="O471" s="156"/>
      <c r="P471" s="132"/>
      <c r="Q471" s="487"/>
      <c r="R471" s="156"/>
      <c r="S471" s="156"/>
      <c r="T471" s="156"/>
      <c r="U471" s="154"/>
      <c r="V471" s="473"/>
      <c r="W471" s="156"/>
      <c r="X471" s="156"/>
      <c r="Y471" s="156"/>
      <c r="Z471" s="154"/>
      <c r="AA471" s="473"/>
      <c r="AB471" s="156"/>
      <c r="AC471" s="156"/>
      <c r="AD471" s="156"/>
      <c r="AE471" s="154"/>
      <c r="AF471" s="473"/>
      <c r="AG471" s="156"/>
      <c r="AH471" s="156"/>
      <c r="AI471" s="156"/>
      <c r="AJ471" s="154"/>
      <c r="AK471" s="473"/>
      <c r="AL471" s="156"/>
      <c r="AM471" s="156"/>
      <c r="AN471" s="156"/>
      <c r="AO471" s="452"/>
      <c r="AP471" s="452"/>
      <c r="AQ471" s="452"/>
      <c r="AR471" s="452"/>
      <c r="AS471" s="452"/>
      <c r="AT471" s="452"/>
      <c r="AU471" s="452"/>
      <c r="AV471" s="452"/>
      <c r="AW471" s="452"/>
      <c r="AX471" s="452"/>
      <c r="AY471" s="154"/>
      <c r="AZ471" s="473"/>
      <c r="BA471" s="156"/>
      <c r="BB471" s="156"/>
      <c r="BC471" s="156"/>
      <c r="BD471" s="452"/>
      <c r="BE471" s="452"/>
      <c r="BF471" s="452"/>
      <c r="BG471" s="452"/>
      <c r="BH471" s="452"/>
    </row>
    <row r="472">
      <c r="A472" s="154"/>
      <c r="B472" s="473"/>
      <c r="C472" s="156"/>
      <c r="D472" s="156"/>
      <c r="E472" s="156"/>
      <c r="F472" s="154"/>
      <c r="G472" s="473"/>
      <c r="H472" s="156"/>
      <c r="I472" s="156"/>
      <c r="J472" s="156"/>
      <c r="K472" s="132"/>
      <c r="L472" s="473"/>
      <c r="M472" s="156"/>
      <c r="N472" s="156"/>
      <c r="O472" s="156"/>
      <c r="P472" s="132"/>
      <c r="Q472" s="487"/>
      <c r="R472" s="156"/>
      <c r="S472" s="156"/>
      <c r="T472" s="156"/>
      <c r="U472" s="154"/>
      <c r="V472" s="473"/>
      <c r="W472" s="156"/>
      <c r="X472" s="156"/>
      <c r="Y472" s="156"/>
      <c r="Z472" s="154"/>
      <c r="AA472" s="473"/>
      <c r="AB472" s="156"/>
      <c r="AC472" s="156"/>
      <c r="AD472" s="156"/>
      <c r="AE472" s="154"/>
      <c r="AF472" s="473"/>
      <c r="AG472" s="156"/>
      <c r="AH472" s="156"/>
      <c r="AI472" s="156"/>
      <c r="AJ472" s="154"/>
      <c r="AK472" s="473"/>
      <c r="AL472" s="156"/>
      <c r="AM472" s="156"/>
      <c r="AN472" s="156"/>
      <c r="AO472" s="452"/>
      <c r="AP472" s="452"/>
      <c r="AQ472" s="452"/>
      <c r="AR472" s="452"/>
      <c r="AS472" s="452"/>
      <c r="AT472" s="452"/>
      <c r="AU472" s="452"/>
      <c r="AV472" s="452"/>
      <c r="AW472" s="452"/>
      <c r="AX472" s="452"/>
      <c r="AY472" s="154"/>
      <c r="AZ472" s="473"/>
      <c r="BA472" s="156"/>
      <c r="BB472" s="156"/>
      <c r="BC472" s="156"/>
      <c r="BD472" s="452"/>
      <c r="BE472" s="452"/>
      <c r="BF472" s="452"/>
      <c r="BG472" s="452"/>
      <c r="BH472" s="452"/>
    </row>
    <row r="473">
      <c r="A473" s="154"/>
      <c r="B473" s="473"/>
      <c r="C473" s="156"/>
      <c r="D473" s="156"/>
      <c r="E473" s="156"/>
      <c r="F473" s="154"/>
      <c r="G473" s="473"/>
      <c r="H473" s="156"/>
      <c r="I473" s="156"/>
      <c r="J473" s="156"/>
      <c r="K473" s="132"/>
      <c r="L473" s="473"/>
      <c r="M473" s="156"/>
      <c r="N473" s="156"/>
      <c r="O473" s="156"/>
      <c r="P473" s="132"/>
      <c r="Q473" s="487"/>
      <c r="R473" s="156"/>
      <c r="S473" s="156"/>
      <c r="T473" s="156"/>
      <c r="U473" s="154"/>
      <c r="V473" s="473"/>
      <c r="W473" s="156"/>
      <c r="X473" s="156"/>
      <c r="Y473" s="156"/>
      <c r="Z473" s="154"/>
      <c r="AA473" s="473"/>
      <c r="AB473" s="156"/>
      <c r="AC473" s="156"/>
      <c r="AD473" s="156"/>
      <c r="AE473" s="154"/>
      <c r="AF473" s="473"/>
      <c r="AG473" s="156"/>
      <c r="AH473" s="156"/>
      <c r="AI473" s="156"/>
      <c r="AJ473" s="154"/>
      <c r="AK473" s="473"/>
      <c r="AL473" s="156"/>
      <c r="AM473" s="156"/>
      <c r="AN473" s="156"/>
      <c r="AO473" s="452"/>
      <c r="AP473" s="452"/>
      <c r="AQ473" s="452"/>
      <c r="AR473" s="452"/>
      <c r="AS473" s="452"/>
      <c r="AT473" s="452"/>
      <c r="AU473" s="452"/>
      <c r="AV473" s="452"/>
      <c r="AW473" s="452"/>
      <c r="AX473" s="452"/>
      <c r="AY473" s="154"/>
      <c r="AZ473" s="473"/>
      <c r="BA473" s="156"/>
      <c r="BB473" s="156"/>
      <c r="BC473" s="156"/>
      <c r="BD473" s="452"/>
      <c r="BE473" s="452"/>
      <c r="BF473" s="452"/>
      <c r="BG473" s="452"/>
      <c r="BH473" s="452"/>
    </row>
    <row r="474">
      <c r="A474" s="154"/>
      <c r="B474" s="473"/>
      <c r="C474" s="156"/>
      <c r="D474" s="156"/>
      <c r="E474" s="156"/>
      <c r="F474" s="154"/>
      <c r="G474" s="473"/>
      <c r="H474" s="156"/>
      <c r="I474" s="156"/>
      <c r="J474" s="156"/>
      <c r="K474" s="132"/>
      <c r="L474" s="473"/>
      <c r="M474" s="156"/>
      <c r="N474" s="156"/>
      <c r="O474" s="156"/>
      <c r="P474" s="132"/>
      <c r="Q474" s="487"/>
      <c r="R474" s="156"/>
      <c r="S474" s="156"/>
      <c r="T474" s="156"/>
      <c r="U474" s="154"/>
      <c r="V474" s="473"/>
      <c r="W474" s="156"/>
      <c r="X474" s="156"/>
      <c r="Y474" s="156"/>
      <c r="Z474" s="154"/>
      <c r="AA474" s="473"/>
      <c r="AB474" s="156"/>
      <c r="AC474" s="156"/>
      <c r="AD474" s="156"/>
      <c r="AE474" s="154"/>
      <c r="AF474" s="473"/>
      <c r="AG474" s="156"/>
      <c r="AH474" s="156"/>
      <c r="AI474" s="156"/>
      <c r="AJ474" s="154"/>
      <c r="AK474" s="473"/>
      <c r="AL474" s="156"/>
      <c r="AM474" s="156"/>
      <c r="AN474" s="156"/>
      <c r="AO474" s="452"/>
      <c r="AP474" s="452"/>
      <c r="AQ474" s="452"/>
      <c r="AR474" s="452"/>
      <c r="AS474" s="452"/>
      <c r="AT474" s="452"/>
      <c r="AU474" s="452"/>
      <c r="AV474" s="452"/>
      <c r="AW474" s="452"/>
      <c r="AX474" s="452"/>
      <c r="AY474" s="154"/>
      <c r="AZ474" s="473"/>
      <c r="BA474" s="156"/>
      <c r="BB474" s="156"/>
      <c r="BC474" s="156"/>
      <c r="BD474" s="452"/>
      <c r="BE474" s="452"/>
      <c r="BF474" s="452"/>
      <c r="BG474" s="452"/>
      <c r="BH474" s="452"/>
    </row>
    <row r="475">
      <c r="A475" s="154"/>
      <c r="B475" s="473"/>
      <c r="C475" s="156"/>
      <c r="D475" s="156"/>
      <c r="E475" s="156"/>
      <c r="F475" s="154"/>
      <c r="G475" s="473"/>
      <c r="H475" s="156"/>
      <c r="I475" s="156"/>
      <c r="J475" s="156"/>
      <c r="K475" s="132"/>
      <c r="L475" s="473"/>
      <c r="M475" s="156"/>
      <c r="N475" s="156"/>
      <c r="O475" s="156"/>
      <c r="P475" s="132"/>
      <c r="Q475" s="487"/>
      <c r="R475" s="156"/>
      <c r="S475" s="156"/>
      <c r="T475" s="156"/>
      <c r="U475" s="154"/>
      <c r="V475" s="473"/>
      <c r="W475" s="156"/>
      <c r="X475" s="156"/>
      <c r="Y475" s="156"/>
      <c r="Z475" s="154"/>
      <c r="AA475" s="473"/>
      <c r="AB475" s="156"/>
      <c r="AC475" s="156"/>
      <c r="AD475" s="156"/>
      <c r="AE475" s="154"/>
      <c r="AF475" s="473"/>
      <c r="AG475" s="156"/>
      <c r="AH475" s="156"/>
      <c r="AI475" s="156"/>
      <c r="AJ475" s="154"/>
      <c r="AK475" s="473"/>
      <c r="AL475" s="156"/>
      <c r="AM475" s="156"/>
      <c r="AN475" s="156"/>
      <c r="AO475" s="452"/>
      <c r="AP475" s="452"/>
      <c r="AQ475" s="452"/>
      <c r="AR475" s="452"/>
      <c r="AS475" s="452"/>
      <c r="AT475" s="452"/>
      <c r="AU475" s="452"/>
      <c r="AV475" s="452"/>
      <c r="AW475" s="452"/>
      <c r="AX475" s="452"/>
      <c r="AY475" s="154"/>
      <c r="AZ475" s="473"/>
      <c r="BA475" s="156"/>
      <c r="BB475" s="156"/>
      <c r="BC475" s="156"/>
      <c r="BD475" s="452"/>
      <c r="BE475" s="452"/>
      <c r="BF475" s="452"/>
      <c r="BG475" s="452"/>
      <c r="BH475" s="452"/>
    </row>
    <row r="476">
      <c r="A476" s="154"/>
      <c r="B476" s="473"/>
      <c r="C476" s="156"/>
      <c r="D476" s="156"/>
      <c r="E476" s="156"/>
      <c r="F476" s="154"/>
      <c r="G476" s="473"/>
      <c r="H476" s="156"/>
      <c r="I476" s="156"/>
      <c r="J476" s="156"/>
      <c r="K476" s="132"/>
      <c r="L476" s="473"/>
      <c r="M476" s="156"/>
      <c r="N476" s="156"/>
      <c r="O476" s="156"/>
      <c r="P476" s="132"/>
      <c r="Q476" s="487"/>
      <c r="R476" s="156"/>
      <c r="S476" s="156"/>
      <c r="T476" s="156"/>
      <c r="U476" s="154"/>
      <c r="V476" s="473"/>
      <c r="W476" s="156"/>
      <c r="X476" s="156"/>
      <c r="Y476" s="156"/>
      <c r="Z476" s="154"/>
      <c r="AA476" s="473"/>
      <c r="AB476" s="156"/>
      <c r="AC476" s="156"/>
      <c r="AD476" s="156"/>
      <c r="AE476" s="154"/>
      <c r="AF476" s="473"/>
      <c r="AG476" s="156"/>
      <c r="AH476" s="156"/>
      <c r="AI476" s="156"/>
      <c r="AJ476" s="154"/>
      <c r="AK476" s="473"/>
      <c r="AL476" s="156"/>
      <c r="AM476" s="156"/>
      <c r="AN476" s="156"/>
      <c r="AO476" s="452"/>
      <c r="AP476" s="452"/>
      <c r="AQ476" s="452"/>
      <c r="AR476" s="452"/>
      <c r="AS476" s="452"/>
      <c r="AT476" s="452"/>
      <c r="AU476" s="452"/>
      <c r="AV476" s="452"/>
      <c r="AW476" s="452"/>
      <c r="AX476" s="452"/>
      <c r="AY476" s="154"/>
      <c r="AZ476" s="473"/>
      <c r="BA476" s="156"/>
      <c r="BB476" s="156"/>
      <c r="BC476" s="156"/>
      <c r="BD476" s="452"/>
      <c r="BE476" s="452"/>
      <c r="BF476" s="452"/>
      <c r="BG476" s="452"/>
      <c r="BH476" s="452"/>
    </row>
    <row r="477">
      <c r="A477" s="154"/>
      <c r="B477" s="473"/>
      <c r="C477" s="156"/>
      <c r="D477" s="156"/>
      <c r="E477" s="156"/>
      <c r="F477" s="154"/>
      <c r="G477" s="473"/>
      <c r="H477" s="156"/>
      <c r="I477" s="156"/>
      <c r="J477" s="156"/>
      <c r="K477" s="132"/>
      <c r="L477" s="473"/>
      <c r="M477" s="156"/>
      <c r="N477" s="156"/>
      <c r="O477" s="156"/>
      <c r="P477" s="132"/>
      <c r="Q477" s="487"/>
      <c r="R477" s="156"/>
      <c r="S477" s="156"/>
      <c r="T477" s="156"/>
      <c r="U477" s="154"/>
      <c r="V477" s="473"/>
      <c r="W477" s="156"/>
      <c r="X477" s="156"/>
      <c r="Y477" s="156"/>
      <c r="Z477" s="154"/>
      <c r="AA477" s="473"/>
      <c r="AB477" s="156"/>
      <c r="AC477" s="156"/>
      <c r="AD477" s="156"/>
      <c r="AE477" s="154"/>
      <c r="AF477" s="473"/>
      <c r="AG477" s="156"/>
      <c r="AH477" s="156"/>
      <c r="AI477" s="156"/>
      <c r="AJ477" s="154"/>
      <c r="AK477" s="473"/>
      <c r="AL477" s="156"/>
      <c r="AM477" s="156"/>
      <c r="AN477" s="156"/>
      <c r="AO477" s="452"/>
      <c r="AP477" s="452"/>
      <c r="AQ477" s="452"/>
      <c r="AR477" s="452"/>
      <c r="AS477" s="452"/>
      <c r="AT477" s="452"/>
      <c r="AU477" s="452"/>
      <c r="AV477" s="452"/>
      <c r="AW477" s="452"/>
      <c r="AX477" s="452"/>
      <c r="AY477" s="154"/>
      <c r="AZ477" s="473"/>
      <c r="BA477" s="156"/>
      <c r="BB477" s="156"/>
      <c r="BC477" s="156"/>
      <c r="BD477" s="452"/>
      <c r="BE477" s="452"/>
      <c r="BF477" s="452"/>
      <c r="BG477" s="452"/>
      <c r="BH477" s="452"/>
    </row>
    <row r="478">
      <c r="A478" s="154"/>
      <c r="B478" s="473"/>
      <c r="C478" s="156"/>
      <c r="D478" s="156"/>
      <c r="E478" s="156"/>
      <c r="F478" s="154"/>
      <c r="G478" s="473"/>
      <c r="H478" s="156"/>
      <c r="I478" s="156"/>
      <c r="J478" s="156"/>
      <c r="K478" s="132"/>
      <c r="L478" s="473"/>
      <c r="M478" s="156"/>
      <c r="N478" s="156"/>
      <c r="O478" s="156"/>
      <c r="P478" s="132"/>
      <c r="Q478" s="487"/>
      <c r="R478" s="156"/>
      <c r="S478" s="156"/>
      <c r="T478" s="156"/>
      <c r="U478" s="154"/>
      <c r="V478" s="473"/>
      <c r="W478" s="156"/>
      <c r="X478" s="156"/>
      <c r="Y478" s="156"/>
      <c r="Z478" s="154"/>
      <c r="AA478" s="473"/>
      <c r="AB478" s="156"/>
      <c r="AC478" s="156"/>
      <c r="AD478" s="156"/>
      <c r="AE478" s="154"/>
      <c r="AF478" s="473"/>
      <c r="AG478" s="156"/>
      <c r="AH478" s="156"/>
      <c r="AI478" s="156"/>
      <c r="AJ478" s="154"/>
      <c r="AK478" s="473"/>
      <c r="AL478" s="156"/>
      <c r="AM478" s="156"/>
      <c r="AN478" s="156"/>
      <c r="AO478" s="452"/>
      <c r="AP478" s="452"/>
      <c r="AQ478" s="452"/>
      <c r="AR478" s="452"/>
      <c r="AS478" s="452"/>
      <c r="AT478" s="452"/>
      <c r="AU478" s="452"/>
      <c r="AV478" s="452"/>
      <c r="AW478" s="452"/>
      <c r="AX478" s="452"/>
      <c r="AY478" s="154"/>
      <c r="AZ478" s="473"/>
      <c r="BA478" s="156"/>
      <c r="BB478" s="156"/>
      <c r="BC478" s="156"/>
      <c r="BD478" s="452"/>
      <c r="BE478" s="452"/>
      <c r="BF478" s="452"/>
      <c r="BG478" s="452"/>
      <c r="BH478" s="452"/>
    </row>
    <row r="479">
      <c r="A479" s="154"/>
      <c r="B479" s="473"/>
      <c r="C479" s="156"/>
      <c r="D479" s="156"/>
      <c r="E479" s="156"/>
      <c r="F479" s="154"/>
      <c r="G479" s="473"/>
      <c r="H479" s="156"/>
      <c r="I479" s="156"/>
      <c r="J479" s="156"/>
      <c r="K479" s="132"/>
      <c r="L479" s="473"/>
      <c r="M479" s="156"/>
      <c r="N479" s="156"/>
      <c r="O479" s="156"/>
      <c r="P479" s="132"/>
      <c r="Q479" s="487"/>
      <c r="R479" s="156"/>
      <c r="S479" s="156"/>
      <c r="T479" s="156"/>
      <c r="U479" s="154"/>
      <c r="V479" s="473"/>
      <c r="W479" s="156"/>
      <c r="X479" s="156"/>
      <c r="Y479" s="156"/>
      <c r="Z479" s="154"/>
      <c r="AA479" s="473"/>
      <c r="AB479" s="156"/>
      <c r="AC479" s="156"/>
      <c r="AD479" s="156"/>
      <c r="AE479" s="154"/>
      <c r="AF479" s="473"/>
      <c r="AG479" s="156"/>
      <c r="AH479" s="156"/>
      <c r="AI479" s="156"/>
      <c r="AJ479" s="154"/>
      <c r="AK479" s="473"/>
      <c r="AL479" s="156"/>
      <c r="AM479" s="156"/>
      <c r="AN479" s="156"/>
      <c r="AO479" s="452"/>
      <c r="AP479" s="452"/>
      <c r="AQ479" s="452"/>
      <c r="AR479" s="452"/>
      <c r="AS479" s="452"/>
      <c r="AT479" s="452"/>
      <c r="AU479" s="452"/>
      <c r="AV479" s="452"/>
      <c r="AW479" s="452"/>
      <c r="AX479" s="452"/>
      <c r="AY479" s="154"/>
      <c r="AZ479" s="473"/>
      <c r="BA479" s="156"/>
      <c r="BB479" s="156"/>
      <c r="BC479" s="156"/>
      <c r="BD479" s="452"/>
      <c r="BE479" s="452"/>
      <c r="BF479" s="452"/>
      <c r="BG479" s="452"/>
      <c r="BH479" s="452"/>
    </row>
    <row r="480">
      <c r="A480" s="154"/>
      <c r="B480" s="473"/>
      <c r="C480" s="156"/>
      <c r="D480" s="156"/>
      <c r="E480" s="156"/>
      <c r="F480" s="154"/>
      <c r="G480" s="473"/>
      <c r="H480" s="156"/>
      <c r="I480" s="156"/>
      <c r="J480" s="156"/>
      <c r="K480" s="132"/>
      <c r="L480" s="473"/>
      <c r="M480" s="156"/>
      <c r="N480" s="156"/>
      <c r="O480" s="156"/>
      <c r="P480" s="132"/>
      <c r="Q480" s="487"/>
      <c r="R480" s="156"/>
      <c r="S480" s="156"/>
      <c r="T480" s="156"/>
      <c r="U480" s="154"/>
      <c r="V480" s="473"/>
      <c r="W480" s="156"/>
      <c r="X480" s="156"/>
      <c r="Y480" s="156"/>
      <c r="Z480" s="154"/>
      <c r="AA480" s="473"/>
      <c r="AB480" s="156"/>
      <c r="AC480" s="156"/>
      <c r="AD480" s="156"/>
      <c r="AE480" s="154"/>
      <c r="AF480" s="473"/>
      <c r="AG480" s="156"/>
      <c r="AH480" s="156"/>
      <c r="AI480" s="156"/>
      <c r="AJ480" s="154"/>
      <c r="AK480" s="473"/>
      <c r="AL480" s="156"/>
      <c r="AM480" s="156"/>
      <c r="AN480" s="156"/>
      <c r="AO480" s="452"/>
      <c r="AP480" s="452"/>
      <c r="AQ480" s="452"/>
      <c r="AR480" s="452"/>
      <c r="AS480" s="452"/>
      <c r="AT480" s="452"/>
      <c r="AU480" s="452"/>
      <c r="AV480" s="452"/>
      <c r="AW480" s="452"/>
      <c r="AX480" s="452"/>
      <c r="AY480" s="154"/>
      <c r="AZ480" s="473"/>
      <c r="BA480" s="156"/>
      <c r="BB480" s="156"/>
      <c r="BC480" s="156"/>
      <c r="BD480" s="452"/>
      <c r="BE480" s="452"/>
      <c r="BF480" s="452"/>
      <c r="BG480" s="452"/>
      <c r="BH480" s="452"/>
    </row>
    <row r="481">
      <c r="A481" s="154"/>
      <c r="B481" s="473"/>
      <c r="C481" s="156"/>
      <c r="D481" s="156"/>
      <c r="E481" s="156"/>
      <c r="F481" s="154"/>
      <c r="G481" s="473"/>
      <c r="H481" s="156"/>
      <c r="I481" s="156"/>
      <c r="J481" s="156"/>
      <c r="K481" s="132"/>
      <c r="L481" s="473"/>
      <c r="M481" s="156"/>
      <c r="N481" s="156"/>
      <c r="O481" s="156"/>
      <c r="P481" s="132"/>
      <c r="Q481" s="487"/>
      <c r="R481" s="156"/>
      <c r="S481" s="156"/>
      <c r="T481" s="156"/>
      <c r="U481" s="154"/>
      <c r="V481" s="473"/>
      <c r="W481" s="156"/>
      <c r="X481" s="156"/>
      <c r="Y481" s="156"/>
      <c r="Z481" s="154"/>
      <c r="AA481" s="473"/>
      <c r="AB481" s="156"/>
      <c r="AC481" s="156"/>
      <c r="AD481" s="156"/>
      <c r="AE481" s="154"/>
      <c r="AF481" s="473"/>
      <c r="AG481" s="156"/>
      <c r="AH481" s="156"/>
      <c r="AI481" s="156"/>
      <c r="AJ481" s="154"/>
      <c r="AK481" s="473"/>
      <c r="AL481" s="156"/>
      <c r="AM481" s="156"/>
      <c r="AN481" s="156"/>
      <c r="AO481" s="452"/>
      <c r="AP481" s="452"/>
      <c r="AQ481" s="452"/>
      <c r="AR481" s="452"/>
      <c r="AS481" s="452"/>
      <c r="AT481" s="452"/>
      <c r="AU481" s="452"/>
      <c r="AV481" s="452"/>
      <c r="AW481" s="452"/>
      <c r="AX481" s="452"/>
      <c r="AY481" s="154"/>
      <c r="AZ481" s="473"/>
      <c r="BA481" s="156"/>
      <c r="BB481" s="156"/>
      <c r="BC481" s="156"/>
      <c r="BD481" s="452"/>
      <c r="BE481" s="452"/>
      <c r="BF481" s="452"/>
      <c r="BG481" s="452"/>
      <c r="BH481" s="452"/>
    </row>
    <row r="482">
      <c r="A482" s="154"/>
      <c r="B482" s="473"/>
      <c r="C482" s="156"/>
      <c r="D482" s="156"/>
      <c r="E482" s="156"/>
      <c r="F482" s="154"/>
      <c r="G482" s="473"/>
      <c r="H482" s="156"/>
      <c r="I482" s="156"/>
      <c r="J482" s="156"/>
      <c r="K482" s="132"/>
      <c r="L482" s="473"/>
      <c r="M482" s="156"/>
      <c r="N482" s="156"/>
      <c r="O482" s="156"/>
      <c r="P482" s="132"/>
      <c r="Q482" s="487"/>
      <c r="R482" s="156"/>
      <c r="S482" s="156"/>
      <c r="T482" s="156"/>
      <c r="U482" s="154"/>
      <c r="V482" s="473"/>
      <c r="W482" s="156"/>
      <c r="X482" s="156"/>
      <c r="Y482" s="156"/>
      <c r="Z482" s="154"/>
      <c r="AA482" s="473"/>
      <c r="AB482" s="156"/>
      <c r="AC482" s="156"/>
      <c r="AD482" s="156"/>
      <c r="AE482" s="154"/>
      <c r="AF482" s="473"/>
      <c r="AG482" s="156"/>
      <c r="AH482" s="156"/>
      <c r="AI482" s="156"/>
      <c r="AJ482" s="154"/>
      <c r="AK482" s="473"/>
      <c r="AL482" s="156"/>
      <c r="AM482" s="156"/>
      <c r="AN482" s="156"/>
      <c r="AO482" s="452"/>
      <c r="AP482" s="452"/>
      <c r="AQ482" s="452"/>
      <c r="AR482" s="452"/>
      <c r="AS482" s="452"/>
      <c r="AT482" s="452"/>
      <c r="AU482" s="452"/>
      <c r="AV482" s="452"/>
      <c r="AW482" s="452"/>
      <c r="AX482" s="452"/>
      <c r="AY482" s="154"/>
      <c r="AZ482" s="473"/>
      <c r="BA482" s="156"/>
      <c r="BB482" s="156"/>
      <c r="BC482" s="156"/>
      <c r="BD482" s="452"/>
      <c r="BE482" s="452"/>
      <c r="BF482" s="452"/>
      <c r="BG482" s="452"/>
      <c r="BH482" s="452"/>
    </row>
    <row r="483">
      <c r="A483" s="154"/>
      <c r="B483" s="473"/>
      <c r="C483" s="156"/>
      <c r="D483" s="156"/>
      <c r="E483" s="156"/>
      <c r="F483" s="154"/>
      <c r="G483" s="473"/>
      <c r="H483" s="156"/>
      <c r="I483" s="156"/>
      <c r="J483" s="156"/>
      <c r="K483" s="132"/>
      <c r="L483" s="473"/>
      <c r="M483" s="156"/>
      <c r="N483" s="156"/>
      <c r="O483" s="156"/>
      <c r="P483" s="132"/>
      <c r="Q483" s="487"/>
      <c r="R483" s="156"/>
      <c r="S483" s="156"/>
      <c r="T483" s="156"/>
      <c r="U483" s="154"/>
      <c r="V483" s="473"/>
      <c r="W483" s="156"/>
      <c r="X483" s="156"/>
      <c r="Y483" s="156"/>
      <c r="Z483" s="154"/>
      <c r="AA483" s="473"/>
      <c r="AB483" s="156"/>
      <c r="AC483" s="156"/>
      <c r="AD483" s="156"/>
      <c r="AE483" s="154"/>
      <c r="AF483" s="473"/>
      <c r="AG483" s="156"/>
      <c r="AH483" s="156"/>
      <c r="AI483" s="156"/>
      <c r="AJ483" s="154"/>
      <c r="AK483" s="473"/>
      <c r="AL483" s="156"/>
      <c r="AM483" s="156"/>
      <c r="AN483" s="156"/>
      <c r="AO483" s="452"/>
      <c r="AP483" s="452"/>
      <c r="AQ483" s="452"/>
      <c r="AR483" s="452"/>
      <c r="AS483" s="452"/>
      <c r="AT483" s="452"/>
      <c r="AU483" s="452"/>
      <c r="AV483" s="452"/>
      <c r="AW483" s="452"/>
      <c r="AX483" s="452"/>
      <c r="AY483" s="154"/>
      <c r="AZ483" s="473"/>
      <c r="BA483" s="156"/>
      <c r="BB483" s="156"/>
      <c r="BC483" s="156"/>
      <c r="BD483" s="452"/>
      <c r="BE483" s="452"/>
      <c r="BF483" s="452"/>
      <c r="BG483" s="452"/>
      <c r="BH483" s="452"/>
    </row>
    <row r="484">
      <c r="A484" s="154"/>
      <c r="B484" s="473"/>
      <c r="C484" s="156"/>
      <c r="D484" s="156"/>
      <c r="E484" s="156"/>
      <c r="F484" s="154"/>
      <c r="G484" s="473"/>
      <c r="H484" s="156"/>
      <c r="I484" s="156"/>
      <c r="J484" s="156"/>
      <c r="K484" s="132"/>
      <c r="L484" s="473"/>
      <c r="M484" s="156"/>
      <c r="N484" s="156"/>
      <c r="O484" s="156"/>
      <c r="P484" s="132"/>
      <c r="Q484" s="487"/>
      <c r="R484" s="156"/>
      <c r="S484" s="156"/>
      <c r="T484" s="156"/>
      <c r="U484" s="154"/>
      <c r="V484" s="473"/>
      <c r="W484" s="156"/>
      <c r="X484" s="156"/>
      <c r="Y484" s="156"/>
      <c r="Z484" s="154"/>
      <c r="AA484" s="473"/>
      <c r="AB484" s="156"/>
      <c r="AC484" s="156"/>
      <c r="AD484" s="156"/>
      <c r="AE484" s="154"/>
      <c r="AF484" s="473"/>
      <c r="AG484" s="156"/>
      <c r="AH484" s="156"/>
      <c r="AI484" s="156"/>
      <c r="AJ484" s="154"/>
      <c r="AK484" s="473"/>
      <c r="AL484" s="156"/>
      <c r="AM484" s="156"/>
      <c r="AN484" s="156"/>
      <c r="AO484" s="452"/>
      <c r="AP484" s="452"/>
      <c r="AQ484" s="452"/>
      <c r="AR484" s="452"/>
      <c r="AS484" s="452"/>
      <c r="AT484" s="452"/>
      <c r="AU484" s="452"/>
      <c r="AV484" s="452"/>
      <c r="AW484" s="452"/>
      <c r="AX484" s="452"/>
      <c r="AY484" s="154"/>
      <c r="AZ484" s="473"/>
      <c r="BA484" s="156"/>
      <c r="BB484" s="156"/>
      <c r="BC484" s="156"/>
      <c r="BD484" s="452"/>
      <c r="BE484" s="452"/>
      <c r="BF484" s="452"/>
      <c r="BG484" s="452"/>
      <c r="BH484" s="452"/>
    </row>
    <row r="485">
      <c r="A485" s="154"/>
      <c r="B485" s="473"/>
      <c r="C485" s="156"/>
      <c r="D485" s="156"/>
      <c r="E485" s="156"/>
      <c r="F485" s="154"/>
      <c r="G485" s="473"/>
      <c r="H485" s="156"/>
      <c r="I485" s="156"/>
      <c r="J485" s="156"/>
      <c r="K485" s="132"/>
      <c r="L485" s="473"/>
      <c r="M485" s="156"/>
      <c r="N485" s="156"/>
      <c r="O485" s="156"/>
      <c r="P485" s="132"/>
      <c r="Q485" s="487"/>
      <c r="R485" s="156"/>
      <c r="S485" s="156"/>
      <c r="T485" s="156"/>
      <c r="U485" s="154"/>
      <c r="V485" s="473"/>
      <c r="W485" s="156"/>
      <c r="X485" s="156"/>
      <c r="Y485" s="156"/>
      <c r="Z485" s="154"/>
      <c r="AA485" s="473"/>
      <c r="AB485" s="156"/>
      <c r="AC485" s="156"/>
      <c r="AD485" s="156"/>
      <c r="AE485" s="154"/>
      <c r="AF485" s="473"/>
      <c r="AG485" s="156"/>
      <c r="AH485" s="156"/>
      <c r="AI485" s="156"/>
      <c r="AJ485" s="154"/>
      <c r="AK485" s="473"/>
      <c r="AL485" s="156"/>
      <c r="AM485" s="156"/>
      <c r="AN485" s="156"/>
      <c r="AO485" s="452"/>
      <c r="AP485" s="452"/>
      <c r="AQ485" s="452"/>
      <c r="AR485" s="452"/>
      <c r="AS485" s="452"/>
      <c r="AT485" s="452"/>
      <c r="AU485" s="452"/>
      <c r="AV485" s="452"/>
      <c r="AW485" s="452"/>
      <c r="AX485" s="452"/>
      <c r="AY485" s="154"/>
      <c r="AZ485" s="473"/>
      <c r="BA485" s="156"/>
      <c r="BB485" s="156"/>
      <c r="BC485" s="156"/>
      <c r="BD485" s="452"/>
      <c r="BE485" s="452"/>
      <c r="BF485" s="452"/>
      <c r="BG485" s="452"/>
      <c r="BH485" s="452"/>
    </row>
    <row r="486">
      <c r="A486" s="154"/>
      <c r="B486" s="473"/>
      <c r="C486" s="156"/>
      <c r="D486" s="156"/>
      <c r="E486" s="156"/>
      <c r="F486" s="154"/>
      <c r="G486" s="473"/>
      <c r="H486" s="156"/>
      <c r="I486" s="156"/>
      <c r="J486" s="156"/>
      <c r="K486" s="132"/>
      <c r="L486" s="473"/>
      <c r="M486" s="156"/>
      <c r="N486" s="156"/>
      <c r="O486" s="156"/>
      <c r="P486" s="132"/>
      <c r="Q486" s="487"/>
      <c r="R486" s="156"/>
      <c r="S486" s="156"/>
      <c r="T486" s="156"/>
      <c r="U486" s="154"/>
      <c r="V486" s="473"/>
      <c r="W486" s="156"/>
      <c r="X486" s="156"/>
      <c r="Y486" s="156"/>
      <c r="Z486" s="154"/>
      <c r="AA486" s="473"/>
      <c r="AB486" s="156"/>
      <c r="AC486" s="156"/>
      <c r="AD486" s="156"/>
      <c r="AE486" s="154"/>
      <c r="AF486" s="473"/>
      <c r="AG486" s="156"/>
      <c r="AH486" s="156"/>
      <c r="AI486" s="156"/>
      <c r="AJ486" s="154"/>
      <c r="AK486" s="473"/>
      <c r="AL486" s="156"/>
      <c r="AM486" s="156"/>
      <c r="AN486" s="156"/>
      <c r="AO486" s="452"/>
      <c r="AP486" s="452"/>
      <c r="AQ486" s="452"/>
      <c r="AR486" s="452"/>
      <c r="AS486" s="452"/>
      <c r="AT486" s="452"/>
      <c r="AU486" s="452"/>
      <c r="AV486" s="452"/>
      <c r="AW486" s="452"/>
      <c r="AX486" s="452"/>
      <c r="AY486" s="154"/>
      <c r="AZ486" s="473"/>
      <c r="BA486" s="156"/>
      <c r="BB486" s="156"/>
      <c r="BC486" s="156"/>
      <c r="BD486" s="452"/>
      <c r="BE486" s="452"/>
      <c r="BF486" s="452"/>
      <c r="BG486" s="452"/>
      <c r="BH486" s="452"/>
    </row>
    <row r="487">
      <c r="A487" s="154"/>
      <c r="B487" s="473"/>
      <c r="C487" s="156"/>
      <c r="D487" s="156"/>
      <c r="E487" s="156"/>
      <c r="F487" s="154"/>
      <c r="G487" s="473"/>
      <c r="H487" s="156"/>
      <c r="I487" s="156"/>
      <c r="J487" s="156"/>
      <c r="K487" s="132"/>
      <c r="L487" s="473"/>
      <c r="M487" s="156"/>
      <c r="N487" s="156"/>
      <c r="O487" s="156"/>
      <c r="P487" s="132"/>
      <c r="Q487" s="487"/>
      <c r="R487" s="156"/>
      <c r="S487" s="156"/>
      <c r="T487" s="156"/>
      <c r="U487" s="154"/>
      <c r="V487" s="473"/>
      <c r="W487" s="156"/>
      <c r="X487" s="156"/>
      <c r="Y487" s="156"/>
      <c r="Z487" s="154"/>
      <c r="AA487" s="473"/>
      <c r="AB487" s="156"/>
      <c r="AC487" s="156"/>
      <c r="AD487" s="156"/>
      <c r="AE487" s="154"/>
      <c r="AF487" s="473"/>
      <c r="AG487" s="156"/>
      <c r="AH487" s="156"/>
      <c r="AI487" s="156"/>
      <c r="AJ487" s="154"/>
      <c r="AK487" s="473"/>
      <c r="AL487" s="156"/>
      <c r="AM487" s="156"/>
      <c r="AN487" s="156"/>
      <c r="AO487" s="452"/>
      <c r="AP487" s="452"/>
      <c r="AQ487" s="452"/>
      <c r="AR487" s="452"/>
      <c r="AS487" s="452"/>
      <c r="AT487" s="452"/>
      <c r="AU487" s="452"/>
      <c r="AV487" s="452"/>
      <c r="AW487" s="452"/>
      <c r="AX487" s="452"/>
      <c r="AY487" s="154"/>
      <c r="AZ487" s="473"/>
      <c r="BA487" s="156"/>
      <c r="BB487" s="156"/>
      <c r="BC487" s="156"/>
      <c r="BD487" s="452"/>
      <c r="BE487" s="452"/>
      <c r="BF487" s="452"/>
      <c r="BG487" s="452"/>
      <c r="BH487" s="452"/>
    </row>
    <row r="488">
      <c r="A488" s="154"/>
      <c r="B488" s="473"/>
      <c r="C488" s="156"/>
      <c r="D488" s="156"/>
      <c r="E488" s="156"/>
      <c r="F488" s="154"/>
      <c r="G488" s="473"/>
      <c r="H488" s="156"/>
      <c r="I488" s="156"/>
      <c r="J488" s="156"/>
      <c r="K488" s="132"/>
      <c r="L488" s="473"/>
      <c r="M488" s="156"/>
      <c r="N488" s="156"/>
      <c r="O488" s="156"/>
      <c r="P488" s="132"/>
      <c r="Q488" s="487"/>
      <c r="R488" s="156"/>
      <c r="S488" s="156"/>
      <c r="T488" s="156"/>
      <c r="U488" s="154"/>
      <c r="V488" s="473"/>
      <c r="W488" s="156"/>
      <c r="X488" s="156"/>
      <c r="Y488" s="156"/>
      <c r="Z488" s="154"/>
      <c r="AA488" s="473"/>
      <c r="AB488" s="156"/>
      <c r="AC488" s="156"/>
      <c r="AD488" s="156"/>
      <c r="AE488" s="154"/>
      <c r="AF488" s="473"/>
      <c r="AG488" s="156"/>
      <c r="AH488" s="156"/>
      <c r="AI488" s="156"/>
      <c r="AJ488" s="154"/>
      <c r="AK488" s="473"/>
      <c r="AL488" s="156"/>
      <c r="AM488" s="156"/>
      <c r="AN488" s="156"/>
      <c r="AO488" s="452"/>
      <c r="AP488" s="452"/>
      <c r="AQ488" s="452"/>
      <c r="AR488" s="452"/>
      <c r="AS488" s="452"/>
      <c r="AT488" s="452"/>
      <c r="AU488" s="452"/>
      <c r="AV488" s="452"/>
      <c r="AW488" s="452"/>
      <c r="AX488" s="452"/>
      <c r="AY488" s="154"/>
      <c r="AZ488" s="473"/>
      <c r="BA488" s="156"/>
      <c r="BB488" s="156"/>
      <c r="BC488" s="156"/>
      <c r="BD488" s="452"/>
      <c r="BE488" s="452"/>
      <c r="BF488" s="452"/>
      <c r="BG488" s="452"/>
      <c r="BH488" s="452"/>
    </row>
    <row r="489">
      <c r="A489" s="154"/>
      <c r="B489" s="473"/>
      <c r="C489" s="156"/>
      <c r="D489" s="156"/>
      <c r="E489" s="156"/>
      <c r="F489" s="154"/>
      <c r="G489" s="473"/>
      <c r="H489" s="156"/>
      <c r="I489" s="156"/>
      <c r="J489" s="156"/>
      <c r="K489" s="132"/>
      <c r="L489" s="473"/>
      <c r="M489" s="156"/>
      <c r="N489" s="156"/>
      <c r="O489" s="156"/>
      <c r="P489" s="132"/>
      <c r="Q489" s="487"/>
      <c r="R489" s="156"/>
      <c r="S489" s="156"/>
      <c r="T489" s="156"/>
      <c r="U489" s="154"/>
      <c r="V489" s="473"/>
      <c r="W489" s="156"/>
      <c r="X489" s="156"/>
      <c r="Y489" s="156"/>
      <c r="Z489" s="154"/>
      <c r="AA489" s="473"/>
      <c r="AB489" s="156"/>
      <c r="AC489" s="156"/>
      <c r="AD489" s="156"/>
      <c r="AE489" s="154"/>
      <c r="AF489" s="473"/>
      <c r="AG489" s="156"/>
      <c r="AH489" s="156"/>
      <c r="AI489" s="156"/>
      <c r="AJ489" s="154"/>
      <c r="AK489" s="473"/>
      <c r="AL489" s="156"/>
      <c r="AM489" s="156"/>
      <c r="AN489" s="156"/>
      <c r="AO489" s="452"/>
      <c r="AP489" s="452"/>
      <c r="AQ489" s="452"/>
      <c r="AR489" s="452"/>
      <c r="AS489" s="452"/>
      <c r="AT489" s="452"/>
      <c r="AU489" s="452"/>
      <c r="AV489" s="452"/>
      <c r="AW489" s="452"/>
      <c r="AX489" s="452"/>
      <c r="AY489" s="154"/>
      <c r="AZ489" s="473"/>
      <c r="BA489" s="156"/>
      <c r="BB489" s="156"/>
      <c r="BC489" s="156"/>
      <c r="BD489" s="452"/>
      <c r="BE489" s="452"/>
      <c r="BF489" s="452"/>
      <c r="BG489" s="452"/>
      <c r="BH489" s="452"/>
    </row>
    <row r="490">
      <c r="A490" s="154"/>
      <c r="B490" s="473"/>
      <c r="C490" s="156"/>
      <c r="D490" s="156"/>
      <c r="E490" s="156"/>
      <c r="F490" s="154"/>
      <c r="G490" s="473"/>
      <c r="H490" s="156"/>
      <c r="I490" s="156"/>
      <c r="J490" s="156"/>
      <c r="K490" s="132"/>
      <c r="L490" s="473"/>
      <c r="M490" s="156"/>
      <c r="N490" s="156"/>
      <c r="O490" s="156"/>
      <c r="P490" s="132"/>
      <c r="Q490" s="487"/>
      <c r="R490" s="156"/>
      <c r="S490" s="156"/>
      <c r="T490" s="156"/>
      <c r="U490" s="154"/>
      <c r="V490" s="473"/>
      <c r="W490" s="156"/>
      <c r="X490" s="156"/>
      <c r="Y490" s="156"/>
      <c r="Z490" s="154"/>
      <c r="AA490" s="473"/>
      <c r="AB490" s="156"/>
      <c r="AC490" s="156"/>
      <c r="AD490" s="156"/>
      <c r="AE490" s="154"/>
      <c r="AF490" s="473"/>
      <c r="AG490" s="156"/>
      <c r="AH490" s="156"/>
      <c r="AI490" s="156"/>
      <c r="AJ490" s="154"/>
      <c r="AK490" s="473"/>
      <c r="AL490" s="156"/>
      <c r="AM490" s="156"/>
      <c r="AN490" s="156"/>
      <c r="AO490" s="452"/>
      <c r="AP490" s="452"/>
      <c r="AQ490" s="452"/>
      <c r="AR490" s="452"/>
      <c r="AS490" s="452"/>
      <c r="AT490" s="452"/>
      <c r="AU490" s="452"/>
      <c r="AV490" s="452"/>
      <c r="AW490" s="452"/>
      <c r="AX490" s="452"/>
      <c r="AY490" s="154"/>
      <c r="AZ490" s="473"/>
      <c r="BA490" s="156"/>
      <c r="BB490" s="156"/>
      <c r="BC490" s="156"/>
      <c r="BD490" s="452"/>
      <c r="BE490" s="452"/>
      <c r="BF490" s="452"/>
      <c r="BG490" s="452"/>
      <c r="BH490" s="452"/>
    </row>
    <row r="491">
      <c r="A491" s="154"/>
      <c r="B491" s="473"/>
      <c r="C491" s="156"/>
      <c r="D491" s="156"/>
      <c r="E491" s="156"/>
      <c r="F491" s="154"/>
      <c r="G491" s="473"/>
      <c r="H491" s="156"/>
      <c r="I491" s="156"/>
      <c r="J491" s="156"/>
      <c r="K491" s="132"/>
      <c r="L491" s="473"/>
      <c r="M491" s="156"/>
      <c r="N491" s="156"/>
      <c r="O491" s="156"/>
      <c r="P491" s="132"/>
      <c r="Q491" s="487"/>
      <c r="R491" s="156"/>
      <c r="S491" s="156"/>
      <c r="T491" s="156"/>
      <c r="U491" s="154"/>
      <c r="V491" s="473"/>
      <c r="W491" s="156"/>
      <c r="X491" s="156"/>
      <c r="Y491" s="156"/>
      <c r="Z491" s="154"/>
      <c r="AA491" s="473"/>
      <c r="AB491" s="156"/>
      <c r="AC491" s="156"/>
      <c r="AD491" s="156"/>
      <c r="AE491" s="154"/>
      <c r="AF491" s="473"/>
      <c r="AG491" s="156"/>
      <c r="AH491" s="156"/>
      <c r="AI491" s="156"/>
      <c r="AJ491" s="154"/>
      <c r="AK491" s="473"/>
      <c r="AL491" s="156"/>
      <c r="AM491" s="156"/>
      <c r="AN491" s="156"/>
      <c r="AO491" s="452"/>
      <c r="AP491" s="452"/>
      <c r="AQ491" s="452"/>
      <c r="AR491" s="452"/>
      <c r="AS491" s="452"/>
      <c r="AT491" s="452"/>
      <c r="AU491" s="452"/>
      <c r="AV491" s="452"/>
      <c r="AW491" s="452"/>
      <c r="AX491" s="452"/>
      <c r="AY491" s="154"/>
      <c r="AZ491" s="473"/>
      <c r="BA491" s="156"/>
      <c r="BB491" s="156"/>
      <c r="BC491" s="156"/>
      <c r="BD491" s="452"/>
      <c r="BE491" s="452"/>
      <c r="BF491" s="452"/>
      <c r="BG491" s="452"/>
      <c r="BH491" s="452"/>
    </row>
    <row r="492">
      <c r="A492" s="154"/>
      <c r="B492" s="473"/>
      <c r="C492" s="156"/>
      <c r="D492" s="156"/>
      <c r="E492" s="156"/>
      <c r="F492" s="154"/>
      <c r="G492" s="473"/>
      <c r="H492" s="156"/>
      <c r="I492" s="156"/>
      <c r="J492" s="156"/>
      <c r="K492" s="132"/>
      <c r="L492" s="473"/>
      <c r="M492" s="156"/>
      <c r="N492" s="156"/>
      <c r="O492" s="156"/>
      <c r="P492" s="132"/>
      <c r="Q492" s="487"/>
      <c r="R492" s="156"/>
      <c r="S492" s="156"/>
      <c r="T492" s="156"/>
      <c r="U492" s="154"/>
      <c r="V492" s="473"/>
      <c r="W492" s="156"/>
      <c r="X492" s="156"/>
      <c r="Y492" s="156"/>
      <c r="Z492" s="154"/>
      <c r="AA492" s="473"/>
      <c r="AB492" s="156"/>
      <c r="AC492" s="156"/>
      <c r="AD492" s="156"/>
      <c r="AE492" s="154"/>
      <c r="AF492" s="473"/>
      <c r="AG492" s="156"/>
      <c r="AH492" s="156"/>
      <c r="AI492" s="156"/>
      <c r="AJ492" s="154"/>
      <c r="AK492" s="473"/>
      <c r="AL492" s="156"/>
      <c r="AM492" s="156"/>
      <c r="AN492" s="156"/>
      <c r="AO492" s="452"/>
      <c r="AP492" s="452"/>
      <c r="AQ492" s="452"/>
      <c r="AR492" s="452"/>
      <c r="AS492" s="452"/>
      <c r="AT492" s="452"/>
      <c r="AU492" s="452"/>
      <c r="AV492" s="452"/>
      <c r="AW492" s="452"/>
      <c r="AX492" s="452"/>
      <c r="AY492" s="154"/>
      <c r="AZ492" s="473"/>
      <c r="BA492" s="156"/>
      <c r="BB492" s="156"/>
      <c r="BC492" s="156"/>
      <c r="BD492" s="452"/>
      <c r="BE492" s="452"/>
      <c r="BF492" s="452"/>
      <c r="BG492" s="452"/>
      <c r="BH492" s="452"/>
    </row>
    <row r="493">
      <c r="A493" s="154"/>
      <c r="B493" s="473"/>
      <c r="C493" s="156"/>
      <c r="D493" s="156"/>
      <c r="E493" s="156"/>
      <c r="F493" s="154"/>
      <c r="G493" s="473"/>
      <c r="H493" s="156"/>
      <c r="I493" s="156"/>
      <c r="J493" s="156"/>
      <c r="K493" s="132"/>
      <c r="L493" s="473"/>
      <c r="M493" s="156"/>
      <c r="N493" s="156"/>
      <c r="O493" s="156"/>
      <c r="P493" s="132"/>
      <c r="Q493" s="487"/>
      <c r="R493" s="156"/>
      <c r="S493" s="156"/>
      <c r="T493" s="156"/>
      <c r="U493" s="154"/>
      <c r="V493" s="473"/>
      <c r="W493" s="156"/>
      <c r="X493" s="156"/>
      <c r="Y493" s="156"/>
      <c r="Z493" s="154"/>
      <c r="AA493" s="473"/>
      <c r="AB493" s="156"/>
      <c r="AC493" s="156"/>
      <c r="AD493" s="156"/>
      <c r="AE493" s="154"/>
      <c r="AF493" s="473"/>
      <c r="AG493" s="156"/>
      <c r="AH493" s="156"/>
      <c r="AI493" s="156"/>
      <c r="AJ493" s="154"/>
      <c r="AK493" s="473"/>
      <c r="AL493" s="156"/>
      <c r="AM493" s="156"/>
      <c r="AN493" s="156"/>
      <c r="AO493" s="452"/>
      <c r="AP493" s="452"/>
      <c r="AQ493" s="452"/>
      <c r="AR493" s="452"/>
      <c r="AS493" s="452"/>
      <c r="AT493" s="452"/>
      <c r="AU493" s="452"/>
      <c r="AV493" s="452"/>
      <c r="AW493" s="452"/>
      <c r="AX493" s="452"/>
      <c r="AY493" s="154"/>
      <c r="AZ493" s="473"/>
      <c r="BA493" s="156"/>
      <c r="BB493" s="156"/>
      <c r="BC493" s="156"/>
      <c r="BD493" s="452"/>
      <c r="BE493" s="452"/>
      <c r="BF493" s="452"/>
      <c r="BG493" s="452"/>
      <c r="BH493" s="452"/>
    </row>
    <row r="494">
      <c r="A494" s="154"/>
      <c r="B494" s="473"/>
      <c r="C494" s="156"/>
      <c r="D494" s="156"/>
      <c r="E494" s="156"/>
      <c r="F494" s="154"/>
      <c r="G494" s="473"/>
      <c r="H494" s="156"/>
      <c r="I494" s="156"/>
      <c r="J494" s="156"/>
      <c r="K494" s="132"/>
      <c r="L494" s="473"/>
      <c r="M494" s="156"/>
      <c r="N494" s="156"/>
      <c r="O494" s="156"/>
      <c r="P494" s="132"/>
      <c r="Q494" s="487"/>
      <c r="R494" s="156"/>
      <c r="S494" s="156"/>
      <c r="T494" s="156"/>
      <c r="U494" s="154"/>
      <c r="V494" s="473"/>
      <c r="W494" s="156"/>
      <c r="X494" s="156"/>
      <c r="Y494" s="156"/>
      <c r="Z494" s="154"/>
      <c r="AA494" s="473"/>
      <c r="AB494" s="156"/>
      <c r="AC494" s="156"/>
      <c r="AD494" s="156"/>
      <c r="AE494" s="154"/>
      <c r="AF494" s="473"/>
      <c r="AG494" s="156"/>
      <c r="AH494" s="156"/>
      <c r="AI494" s="156"/>
      <c r="AJ494" s="154"/>
      <c r="AK494" s="473"/>
      <c r="AL494" s="156"/>
      <c r="AM494" s="156"/>
      <c r="AN494" s="156"/>
      <c r="AO494" s="452"/>
      <c r="AP494" s="452"/>
      <c r="AQ494" s="452"/>
      <c r="AR494" s="452"/>
      <c r="AS494" s="452"/>
      <c r="AT494" s="452"/>
      <c r="AU494" s="452"/>
      <c r="AV494" s="452"/>
      <c r="AW494" s="452"/>
      <c r="AX494" s="452"/>
      <c r="AY494" s="154"/>
      <c r="AZ494" s="473"/>
      <c r="BA494" s="156"/>
      <c r="BB494" s="156"/>
      <c r="BC494" s="156"/>
      <c r="BD494" s="452"/>
      <c r="BE494" s="452"/>
      <c r="BF494" s="452"/>
      <c r="BG494" s="452"/>
      <c r="BH494" s="452"/>
    </row>
    <row r="495">
      <c r="A495" s="154"/>
      <c r="B495" s="473"/>
      <c r="C495" s="156"/>
      <c r="D495" s="156"/>
      <c r="E495" s="156"/>
      <c r="F495" s="154"/>
      <c r="G495" s="473"/>
      <c r="H495" s="156"/>
      <c r="I495" s="156"/>
      <c r="J495" s="156"/>
      <c r="K495" s="132"/>
      <c r="L495" s="473"/>
      <c r="M495" s="156"/>
      <c r="N495" s="156"/>
      <c r="O495" s="156"/>
      <c r="P495" s="132"/>
      <c r="Q495" s="487"/>
      <c r="R495" s="156"/>
      <c r="S495" s="156"/>
      <c r="T495" s="156"/>
      <c r="U495" s="154"/>
      <c r="V495" s="473"/>
      <c r="W495" s="156"/>
      <c r="X495" s="156"/>
      <c r="Y495" s="156"/>
      <c r="Z495" s="154"/>
      <c r="AA495" s="473"/>
      <c r="AB495" s="156"/>
      <c r="AC495" s="156"/>
      <c r="AD495" s="156"/>
      <c r="AE495" s="154"/>
      <c r="AF495" s="473"/>
      <c r="AG495" s="156"/>
      <c r="AH495" s="156"/>
      <c r="AI495" s="156"/>
      <c r="AJ495" s="154"/>
      <c r="AK495" s="473"/>
      <c r="AL495" s="156"/>
      <c r="AM495" s="156"/>
      <c r="AN495" s="156"/>
      <c r="AO495" s="452"/>
      <c r="AP495" s="452"/>
      <c r="AQ495" s="452"/>
      <c r="AR495" s="452"/>
      <c r="AS495" s="452"/>
      <c r="AT495" s="452"/>
      <c r="AU495" s="452"/>
      <c r="AV495" s="452"/>
      <c r="AW495" s="452"/>
      <c r="AX495" s="452"/>
      <c r="AY495" s="154"/>
      <c r="AZ495" s="473"/>
      <c r="BA495" s="156"/>
      <c r="BB495" s="156"/>
      <c r="BC495" s="156"/>
      <c r="BD495" s="452"/>
      <c r="BE495" s="452"/>
      <c r="BF495" s="452"/>
      <c r="BG495" s="452"/>
      <c r="BH495" s="452"/>
    </row>
    <row r="496">
      <c r="A496" s="154"/>
      <c r="B496" s="473"/>
      <c r="C496" s="156"/>
      <c r="D496" s="156"/>
      <c r="E496" s="156"/>
      <c r="F496" s="154"/>
      <c r="G496" s="473"/>
      <c r="H496" s="156"/>
      <c r="I496" s="156"/>
      <c r="J496" s="156"/>
      <c r="K496" s="132"/>
      <c r="L496" s="473"/>
      <c r="M496" s="156"/>
      <c r="N496" s="156"/>
      <c r="O496" s="156"/>
      <c r="P496" s="132"/>
      <c r="Q496" s="487"/>
      <c r="R496" s="156"/>
      <c r="S496" s="156"/>
      <c r="T496" s="156"/>
      <c r="U496" s="154"/>
      <c r="V496" s="473"/>
      <c r="W496" s="156"/>
      <c r="X496" s="156"/>
      <c r="Y496" s="156"/>
      <c r="Z496" s="154"/>
      <c r="AA496" s="473"/>
      <c r="AB496" s="156"/>
      <c r="AC496" s="156"/>
      <c r="AD496" s="156"/>
      <c r="AE496" s="154"/>
      <c r="AF496" s="473"/>
      <c r="AG496" s="156"/>
      <c r="AH496" s="156"/>
      <c r="AI496" s="156"/>
      <c r="AJ496" s="154"/>
      <c r="AK496" s="473"/>
      <c r="AL496" s="156"/>
      <c r="AM496" s="156"/>
      <c r="AN496" s="156"/>
      <c r="AO496" s="452"/>
      <c r="AP496" s="452"/>
      <c r="AQ496" s="452"/>
      <c r="AR496" s="452"/>
      <c r="AS496" s="452"/>
      <c r="AT496" s="452"/>
      <c r="AU496" s="452"/>
      <c r="AV496" s="452"/>
      <c r="AW496" s="452"/>
      <c r="AX496" s="452"/>
      <c r="AY496" s="154"/>
      <c r="AZ496" s="473"/>
      <c r="BA496" s="156"/>
      <c r="BB496" s="156"/>
      <c r="BC496" s="156"/>
      <c r="BD496" s="452"/>
      <c r="BE496" s="452"/>
      <c r="BF496" s="452"/>
      <c r="BG496" s="452"/>
      <c r="BH496" s="452"/>
    </row>
    <row r="497">
      <c r="A497" s="154"/>
      <c r="B497" s="473"/>
      <c r="C497" s="156"/>
      <c r="D497" s="156"/>
      <c r="E497" s="156"/>
      <c r="F497" s="154"/>
      <c r="G497" s="473"/>
      <c r="H497" s="156"/>
      <c r="I497" s="156"/>
      <c r="J497" s="156"/>
      <c r="K497" s="132"/>
      <c r="L497" s="473"/>
      <c r="M497" s="156"/>
      <c r="N497" s="156"/>
      <c r="O497" s="156"/>
      <c r="P497" s="132"/>
      <c r="Q497" s="487"/>
      <c r="R497" s="156"/>
      <c r="S497" s="156"/>
      <c r="T497" s="156"/>
      <c r="U497" s="154"/>
      <c r="V497" s="473"/>
      <c r="W497" s="156"/>
      <c r="X497" s="156"/>
      <c r="Y497" s="156"/>
      <c r="Z497" s="154"/>
      <c r="AA497" s="473"/>
      <c r="AB497" s="156"/>
      <c r="AC497" s="156"/>
      <c r="AD497" s="156"/>
      <c r="AE497" s="154"/>
      <c r="AF497" s="473"/>
      <c r="AG497" s="156"/>
      <c r="AH497" s="156"/>
      <c r="AI497" s="156"/>
      <c r="AJ497" s="154"/>
      <c r="AK497" s="473"/>
      <c r="AL497" s="156"/>
      <c r="AM497" s="156"/>
      <c r="AN497" s="156"/>
      <c r="AO497" s="452"/>
      <c r="AP497" s="452"/>
      <c r="AQ497" s="452"/>
      <c r="AR497" s="452"/>
      <c r="AS497" s="452"/>
      <c r="AT497" s="452"/>
      <c r="AU497" s="452"/>
      <c r="AV497" s="452"/>
      <c r="AW497" s="452"/>
      <c r="AX497" s="452"/>
      <c r="AY497" s="154"/>
      <c r="AZ497" s="473"/>
      <c r="BA497" s="156"/>
      <c r="BB497" s="156"/>
      <c r="BC497" s="156"/>
      <c r="BD497" s="452"/>
      <c r="BE497" s="452"/>
      <c r="BF497" s="452"/>
      <c r="BG497" s="452"/>
      <c r="BH497" s="452"/>
    </row>
    <row r="498">
      <c r="A498" s="154"/>
      <c r="B498" s="473"/>
      <c r="C498" s="156"/>
      <c r="D498" s="156"/>
      <c r="E498" s="156"/>
      <c r="F498" s="154"/>
      <c r="G498" s="473"/>
      <c r="H498" s="156"/>
      <c r="I498" s="156"/>
      <c r="J498" s="156"/>
      <c r="K498" s="132"/>
      <c r="L498" s="473"/>
      <c r="M498" s="156"/>
      <c r="N498" s="156"/>
      <c r="O498" s="156"/>
      <c r="P498" s="132"/>
      <c r="Q498" s="487"/>
      <c r="R498" s="156"/>
      <c r="S498" s="156"/>
      <c r="T498" s="156"/>
      <c r="U498" s="154"/>
      <c r="V498" s="473"/>
      <c r="W498" s="156"/>
      <c r="X498" s="156"/>
      <c r="Y498" s="156"/>
      <c r="Z498" s="154"/>
      <c r="AA498" s="473"/>
      <c r="AB498" s="156"/>
      <c r="AC498" s="156"/>
      <c r="AD498" s="156"/>
      <c r="AE498" s="154"/>
      <c r="AF498" s="473"/>
      <c r="AG498" s="156"/>
      <c r="AH498" s="156"/>
      <c r="AI498" s="156"/>
      <c r="AJ498" s="154"/>
      <c r="AK498" s="473"/>
      <c r="AL498" s="156"/>
      <c r="AM498" s="156"/>
      <c r="AN498" s="156"/>
      <c r="AO498" s="452"/>
      <c r="AP498" s="452"/>
      <c r="AQ498" s="452"/>
      <c r="AR498" s="452"/>
      <c r="AS498" s="452"/>
      <c r="AT498" s="452"/>
      <c r="AU498" s="452"/>
      <c r="AV498" s="452"/>
      <c r="AW498" s="452"/>
      <c r="AX498" s="452"/>
      <c r="AY498" s="154"/>
      <c r="AZ498" s="473"/>
      <c r="BA498" s="156"/>
      <c r="BB498" s="156"/>
      <c r="BC498" s="156"/>
      <c r="BD498" s="452"/>
      <c r="BE498" s="452"/>
      <c r="BF498" s="452"/>
      <c r="BG498" s="452"/>
      <c r="BH498" s="452"/>
    </row>
    <row r="499">
      <c r="A499" s="154"/>
      <c r="B499" s="473"/>
      <c r="C499" s="156"/>
      <c r="D499" s="156"/>
      <c r="E499" s="156"/>
      <c r="F499" s="154"/>
      <c r="G499" s="473"/>
      <c r="H499" s="156"/>
      <c r="I499" s="156"/>
      <c r="J499" s="156"/>
      <c r="K499" s="132"/>
      <c r="L499" s="473"/>
      <c r="M499" s="156"/>
      <c r="N499" s="156"/>
      <c r="O499" s="156"/>
      <c r="P499" s="132"/>
      <c r="Q499" s="487"/>
      <c r="R499" s="156"/>
      <c r="S499" s="156"/>
      <c r="T499" s="156"/>
      <c r="U499" s="154"/>
      <c r="V499" s="473"/>
      <c r="W499" s="156"/>
      <c r="X499" s="156"/>
      <c r="Y499" s="156"/>
      <c r="Z499" s="154"/>
      <c r="AA499" s="473"/>
      <c r="AB499" s="156"/>
      <c r="AC499" s="156"/>
      <c r="AD499" s="156"/>
      <c r="AE499" s="154"/>
      <c r="AF499" s="473"/>
      <c r="AG499" s="156"/>
      <c r="AH499" s="156"/>
      <c r="AI499" s="156"/>
      <c r="AJ499" s="154"/>
      <c r="AK499" s="473"/>
      <c r="AL499" s="156"/>
      <c r="AM499" s="156"/>
      <c r="AN499" s="156"/>
      <c r="AO499" s="452"/>
      <c r="AP499" s="452"/>
      <c r="AQ499" s="452"/>
      <c r="AR499" s="452"/>
      <c r="AS499" s="452"/>
      <c r="AT499" s="452"/>
      <c r="AU499" s="452"/>
      <c r="AV499" s="452"/>
      <c r="AW499" s="452"/>
      <c r="AX499" s="452"/>
      <c r="AY499" s="154"/>
      <c r="AZ499" s="473"/>
      <c r="BA499" s="156"/>
      <c r="BB499" s="156"/>
      <c r="BC499" s="156"/>
      <c r="BD499" s="452"/>
      <c r="BE499" s="452"/>
      <c r="BF499" s="452"/>
      <c r="BG499" s="452"/>
      <c r="BH499" s="452"/>
    </row>
    <row r="500">
      <c r="A500" s="154"/>
      <c r="B500" s="473"/>
      <c r="C500" s="156"/>
      <c r="D500" s="156"/>
      <c r="E500" s="156"/>
      <c r="F500" s="154"/>
      <c r="G500" s="473"/>
      <c r="H500" s="156"/>
      <c r="I500" s="156"/>
      <c r="J500" s="156"/>
      <c r="K500" s="132"/>
      <c r="L500" s="473"/>
      <c r="M500" s="156"/>
      <c r="N500" s="156"/>
      <c r="O500" s="156"/>
      <c r="P500" s="132"/>
      <c r="Q500" s="487"/>
      <c r="R500" s="156"/>
      <c r="S500" s="156"/>
      <c r="T500" s="156"/>
      <c r="U500" s="154"/>
      <c r="V500" s="473"/>
      <c r="W500" s="156"/>
      <c r="X500" s="156"/>
      <c r="Y500" s="156"/>
      <c r="Z500" s="154"/>
      <c r="AA500" s="473"/>
      <c r="AB500" s="156"/>
      <c r="AC500" s="156"/>
      <c r="AD500" s="156"/>
      <c r="AE500" s="154"/>
      <c r="AF500" s="473"/>
      <c r="AG500" s="156"/>
      <c r="AH500" s="156"/>
      <c r="AI500" s="156"/>
      <c r="AJ500" s="154"/>
      <c r="AK500" s="473"/>
      <c r="AL500" s="156"/>
      <c r="AM500" s="156"/>
      <c r="AN500" s="156"/>
      <c r="AO500" s="452"/>
      <c r="AP500" s="452"/>
      <c r="AQ500" s="452"/>
      <c r="AR500" s="452"/>
      <c r="AS500" s="452"/>
      <c r="AT500" s="452"/>
      <c r="AU500" s="452"/>
      <c r="AV500" s="452"/>
      <c r="AW500" s="452"/>
      <c r="AX500" s="452"/>
      <c r="AY500" s="154"/>
      <c r="AZ500" s="473"/>
      <c r="BA500" s="156"/>
      <c r="BB500" s="156"/>
      <c r="BC500" s="156"/>
      <c r="BD500" s="452"/>
      <c r="BE500" s="452"/>
      <c r="BF500" s="452"/>
      <c r="BG500" s="452"/>
      <c r="BH500" s="452"/>
    </row>
    <row r="501">
      <c r="A501" s="154"/>
      <c r="B501" s="473"/>
      <c r="C501" s="156"/>
      <c r="D501" s="156"/>
      <c r="E501" s="156"/>
      <c r="F501" s="154"/>
      <c r="G501" s="473"/>
      <c r="H501" s="156"/>
      <c r="I501" s="156"/>
      <c r="J501" s="156"/>
      <c r="K501" s="132"/>
      <c r="L501" s="473"/>
      <c r="M501" s="156"/>
      <c r="N501" s="156"/>
      <c r="O501" s="156"/>
      <c r="P501" s="132"/>
      <c r="Q501" s="487"/>
      <c r="R501" s="156"/>
      <c r="S501" s="156"/>
      <c r="T501" s="156"/>
      <c r="U501" s="154"/>
      <c r="V501" s="473"/>
      <c r="W501" s="156"/>
      <c r="X501" s="156"/>
      <c r="Y501" s="156"/>
      <c r="Z501" s="154"/>
      <c r="AA501" s="473"/>
      <c r="AB501" s="156"/>
      <c r="AC501" s="156"/>
      <c r="AD501" s="156"/>
      <c r="AE501" s="154"/>
      <c r="AF501" s="473"/>
      <c r="AG501" s="156"/>
      <c r="AH501" s="156"/>
      <c r="AI501" s="156"/>
      <c r="AJ501" s="154"/>
      <c r="AK501" s="473"/>
      <c r="AL501" s="156"/>
      <c r="AM501" s="156"/>
      <c r="AN501" s="156"/>
      <c r="AO501" s="452"/>
      <c r="AP501" s="452"/>
      <c r="AQ501" s="452"/>
      <c r="AR501" s="452"/>
      <c r="AS501" s="452"/>
      <c r="AT501" s="452"/>
      <c r="AU501" s="452"/>
      <c r="AV501" s="452"/>
      <c r="AW501" s="452"/>
      <c r="AX501" s="452"/>
      <c r="AY501" s="154"/>
      <c r="AZ501" s="473"/>
      <c r="BA501" s="156"/>
      <c r="BB501" s="156"/>
      <c r="BC501" s="156"/>
      <c r="BD501" s="452"/>
      <c r="BE501" s="452"/>
      <c r="BF501" s="452"/>
      <c r="BG501" s="452"/>
      <c r="BH501" s="452"/>
    </row>
    <row r="502">
      <c r="A502" s="154"/>
      <c r="B502" s="473"/>
      <c r="C502" s="156"/>
      <c r="D502" s="156"/>
      <c r="E502" s="156"/>
      <c r="F502" s="154"/>
      <c r="G502" s="473"/>
      <c r="H502" s="156"/>
      <c r="I502" s="156"/>
      <c r="J502" s="156"/>
      <c r="K502" s="132"/>
      <c r="L502" s="473"/>
      <c r="M502" s="156"/>
      <c r="N502" s="156"/>
      <c r="O502" s="156"/>
      <c r="P502" s="132"/>
      <c r="Q502" s="487"/>
      <c r="R502" s="156"/>
      <c r="S502" s="156"/>
      <c r="T502" s="156"/>
      <c r="U502" s="154"/>
      <c r="V502" s="473"/>
      <c r="W502" s="156"/>
      <c r="X502" s="156"/>
      <c r="Y502" s="156"/>
      <c r="Z502" s="154"/>
      <c r="AA502" s="473"/>
      <c r="AB502" s="156"/>
      <c r="AC502" s="156"/>
      <c r="AD502" s="156"/>
      <c r="AE502" s="154"/>
      <c r="AF502" s="473"/>
      <c r="AG502" s="156"/>
      <c r="AH502" s="156"/>
      <c r="AI502" s="156"/>
      <c r="AJ502" s="154"/>
      <c r="AK502" s="473"/>
      <c r="AL502" s="156"/>
      <c r="AM502" s="156"/>
      <c r="AN502" s="156"/>
      <c r="AO502" s="452"/>
      <c r="AP502" s="452"/>
      <c r="AQ502" s="452"/>
      <c r="AR502" s="452"/>
      <c r="AS502" s="452"/>
      <c r="AT502" s="452"/>
      <c r="AU502" s="452"/>
      <c r="AV502" s="452"/>
      <c r="AW502" s="452"/>
      <c r="AX502" s="452"/>
      <c r="AY502" s="154"/>
      <c r="AZ502" s="473"/>
      <c r="BA502" s="156"/>
      <c r="BB502" s="156"/>
      <c r="BC502" s="156"/>
      <c r="BD502" s="452"/>
      <c r="BE502" s="452"/>
      <c r="BF502" s="452"/>
      <c r="BG502" s="452"/>
      <c r="BH502" s="452"/>
    </row>
    <row r="503">
      <c r="A503" s="154"/>
      <c r="B503" s="473"/>
      <c r="C503" s="156"/>
      <c r="D503" s="156"/>
      <c r="E503" s="156"/>
      <c r="F503" s="154"/>
      <c r="G503" s="473"/>
      <c r="H503" s="156"/>
      <c r="I503" s="156"/>
      <c r="J503" s="156"/>
      <c r="K503" s="132"/>
      <c r="L503" s="473"/>
      <c r="M503" s="156"/>
      <c r="N503" s="156"/>
      <c r="O503" s="156"/>
      <c r="P503" s="132"/>
      <c r="Q503" s="487"/>
      <c r="R503" s="156"/>
      <c r="S503" s="156"/>
      <c r="T503" s="156"/>
      <c r="U503" s="154"/>
      <c r="V503" s="473"/>
      <c r="W503" s="156"/>
      <c r="X503" s="156"/>
      <c r="Y503" s="156"/>
      <c r="Z503" s="154"/>
      <c r="AA503" s="473"/>
      <c r="AB503" s="156"/>
      <c r="AC503" s="156"/>
      <c r="AD503" s="156"/>
      <c r="AE503" s="154"/>
      <c r="AF503" s="473"/>
      <c r="AG503" s="156"/>
      <c r="AH503" s="156"/>
      <c r="AI503" s="156"/>
      <c r="AJ503" s="154"/>
      <c r="AK503" s="473"/>
      <c r="AL503" s="156"/>
      <c r="AM503" s="156"/>
      <c r="AN503" s="156"/>
      <c r="AO503" s="452"/>
      <c r="AP503" s="452"/>
      <c r="AQ503" s="452"/>
      <c r="AR503" s="452"/>
      <c r="AS503" s="452"/>
      <c r="AT503" s="452"/>
      <c r="AU503" s="452"/>
      <c r="AV503" s="452"/>
      <c r="AW503" s="452"/>
      <c r="AX503" s="452"/>
      <c r="AY503" s="154"/>
      <c r="AZ503" s="473"/>
      <c r="BA503" s="156"/>
      <c r="BB503" s="156"/>
      <c r="BC503" s="156"/>
      <c r="BD503" s="452"/>
      <c r="BE503" s="452"/>
      <c r="BF503" s="452"/>
      <c r="BG503" s="452"/>
      <c r="BH503" s="452"/>
    </row>
    <row r="504">
      <c r="A504" s="154"/>
      <c r="B504" s="473"/>
      <c r="C504" s="156"/>
      <c r="D504" s="156"/>
      <c r="E504" s="156"/>
      <c r="F504" s="154"/>
      <c r="G504" s="473"/>
      <c r="H504" s="156"/>
      <c r="I504" s="156"/>
      <c r="J504" s="156"/>
      <c r="K504" s="132"/>
      <c r="L504" s="473"/>
      <c r="M504" s="156"/>
      <c r="N504" s="156"/>
      <c r="O504" s="156"/>
      <c r="P504" s="132"/>
      <c r="Q504" s="487"/>
      <c r="R504" s="156"/>
      <c r="S504" s="156"/>
      <c r="T504" s="156"/>
      <c r="U504" s="154"/>
      <c r="V504" s="473"/>
      <c r="W504" s="156"/>
      <c r="X504" s="156"/>
      <c r="Y504" s="156"/>
      <c r="Z504" s="154"/>
      <c r="AA504" s="473"/>
      <c r="AB504" s="156"/>
      <c r="AC504" s="156"/>
      <c r="AD504" s="156"/>
      <c r="AE504" s="154"/>
      <c r="AF504" s="473"/>
      <c r="AG504" s="156"/>
      <c r="AH504" s="156"/>
      <c r="AI504" s="156"/>
      <c r="AJ504" s="154"/>
      <c r="AK504" s="473"/>
      <c r="AL504" s="156"/>
      <c r="AM504" s="156"/>
      <c r="AN504" s="156"/>
      <c r="AO504" s="452"/>
      <c r="AP504" s="452"/>
      <c r="AQ504" s="452"/>
      <c r="AR504" s="452"/>
      <c r="AS504" s="452"/>
      <c r="AT504" s="452"/>
      <c r="AU504" s="452"/>
      <c r="AV504" s="452"/>
      <c r="AW504" s="452"/>
      <c r="AX504" s="452"/>
      <c r="AY504" s="154"/>
      <c r="AZ504" s="473"/>
      <c r="BA504" s="156"/>
      <c r="BB504" s="156"/>
      <c r="BC504" s="156"/>
      <c r="BD504" s="452"/>
      <c r="BE504" s="452"/>
      <c r="BF504" s="452"/>
      <c r="BG504" s="452"/>
      <c r="BH504" s="452"/>
    </row>
    <row r="505">
      <c r="A505" s="154"/>
      <c r="B505" s="473"/>
      <c r="C505" s="156"/>
      <c r="D505" s="156"/>
      <c r="E505" s="156"/>
      <c r="F505" s="154"/>
      <c r="G505" s="473"/>
      <c r="H505" s="156"/>
      <c r="I505" s="156"/>
      <c r="J505" s="156"/>
      <c r="K505" s="132"/>
      <c r="L505" s="473"/>
      <c r="M505" s="156"/>
      <c r="N505" s="156"/>
      <c r="O505" s="156"/>
      <c r="P505" s="132"/>
      <c r="Q505" s="487"/>
      <c r="R505" s="156"/>
      <c r="S505" s="156"/>
      <c r="T505" s="156"/>
      <c r="U505" s="154"/>
      <c r="V505" s="473"/>
      <c r="W505" s="156"/>
      <c r="X505" s="156"/>
      <c r="Y505" s="156"/>
      <c r="Z505" s="154"/>
      <c r="AA505" s="473"/>
      <c r="AB505" s="156"/>
      <c r="AC505" s="156"/>
      <c r="AD505" s="156"/>
      <c r="AE505" s="154"/>
      <c r="AF505" s="473"/>
      <c r="AG505" s="156"/>
      <c r="AH505" s="156"/>
      <c r="AI505" s="156"/>
      <c r="AJ505" s="154"/>
      <c r="AK505" s="473"/>
      <c r="AL505" s="156"/>
      <c r="AM505" s="156"/>
      <c r="AN505" s="156"/>
      <c r="AO505" s="452"/>
      <c r="AP505" s="452"/>
      <c r="AQ505" s="452"/>
      <c r="AR505" s="452"/>
      <c r="AS505" s="452"/>
      <c r="AT505" s="452"/>
      <c r="AU505" s="452"/>
      <c r="AV505" s="452"/>
      <c r="AW505" s="452"/>
      <c r="AX505" s="452"/>
      <c r="AY505" s="154"/>
      <c r="AZ505" s="473"/>
      <c r="BA505" s="156"/>
      <c r="BB505" s="156"/>
      <c r="BC505" s="156"/>
      <c r="BD505" s="452"/>
      <c r="BE505" s="452"/>
      <c r="BF505" s="452"/>
      <c r="BG505" s="452"/>
      <c r="BH505" s="452"/>
    </row>
    <row r="506">
      <c r="A506" s="154"/>
      <c r="B506" s="473"/>
      <c r="C506" s="156"/>
      <c r="D506" s="156"/>
      <c r="E506" s="156"/>
      <c r="F506" s="154"/>
      <c r="G506" s="473"/>
      <c r="H506" s="156"/>
      <c r="I506" s="156"/>
      <c r="J506" s="156"/>
      <c r="K506" s="132"/>
      <c r="L506" s="473"/>
      <c r="M506" s="156"/>
      <c r="N506" s="156"/>
      <c r="O506" s="156"/>
      <c r="P506" s="132"/>
      <c r="Q506" s="487"/>
      <c r="R506" s="156"/>
      <c r="S506" s="156"/>
      <c r="T506" s="156"/>
      <c r="U506" s="154"/>
      <c r="V506" s="473"/>
      <c r="W506" s="156"/>
      <c r="X506" s="156"/>
      <c r="Y506" s="156"/>
      <c r="Z506" s="154"/>
      <c r="AA506" s="473"/>
      <c r="AB506" s="156"/>
      <c r="AC506" s="156"/>
      <c r="AD506" s="156"/>
      <c r="AE506" s="154"/>
      <c r="AF506" s="473"/>
      <c r="AG506" s="156"/>
      <c r="AH506" s="156"/>
      <c r="AI506" s="156"/>
      <c r="AJ506" s="154"/>
      <c r="AK506" s="473"/>
      <c r="AL506" s="156"/>
      <c r="AM506" s="156"/>
      <c r="AN506" s="156"/>
      <c r="AO506" s="452"/>
      <c r="AP506" s="452"/>
      <c r="AQ506" s="452"/>
      <c r="AR506" s="452"/>
      <c r="AS506" s="452"/>
      <c r="AT506" s="452"/>
      <c r="AU506" s="452"/>
      <c r="AV506" s="452"/>
      <c r="AW506" s="452"/>
      <c r="AX506" s="452"/>
      <c r="AY506" s="154"/>
      <c r="AZ506" s="473"/>
      <c r="BA506" s="156"/>
      <c r="BB506" s="156"/>
      <c r="BC506" s="156"/>
      <c r="BD506" s="452"/>
      <c r="BE506" s="452"/>
      <c r="BF506" s="452"/>
      <c r="BG506" s="452"/>
      <c r="BH506" s="452"/>
    </row>
    <row r="507">
      <c r="A507" s="154"/>
      <c r="B507" s="473"/>
      <c r="C507" s="156"/>
      <c r="D507" s="156"/>
      <c r="E507" s="156"/>
      <c r="F507" s="154"/>
      <c r="G507" s="473"/>
      <c r="H507" s="156"/>
      <c r="I507" s="156"/>
      <c r="J507" s="156"/>
      <c r="K507" s="132"/>
      <c r="L507" s="473"/>
      <c r="M507" s="156"/>
      <c r="N507" s="156"/>
      <c r="O507" s="156"/>
      <c r="P507" s="132"/>
      <c r="Q507" s="487"/>
      <c r="R507" s="156"/>
      <c r="S507" s="156"/>
      <c r="T507" s="156"/>
      <c r="U507" s="154"/>
      <c r="V507" s="473"/>
      <c r="W507" s="156"/>
      <c r="X507" s="156"/>
      <c r="Y507" s="156"/>
      <c r="Z507" s="154"/>
      <c r="AA507" s="473"/>
      <c r="AB507" s="156"/>
      <c r="AC507" s="156"/>
      <c r="AD507" s="156"/>
      <c r="AE507" s="154"/>
      <c r="AF507" s="473"/>
      <c r="AG507" s="156"/>
      <c r="AH507" s="156"/>
      <c r="AI507" s="156"/>
      <c r="AJ507" s="154"/>
      <c r="AK507" s="473"/>
      <c r="AL507" s="156"/>
      <c r="AM507" s="156"/>
      <c r="AN507" s="156"/>
      <c r="AO507" s="452"/>
      <c r="AP507" s="452"/>
      <c r="AQ507" s="452"/>
      <c r="AR507" s="452"/>
      <c r="AS507" s="452"/>
      <c r="AT507" s="452"/>
      <c r="AU507" s="452"/>
      <c r="AV507" s="452"/>
      <c r="AW507" s="452"/>
      <c r="AX507" s="452"/>
      <c r="AY507" s="154"/>
      <c r="AZ507" s="473"/>
      <c r="BA507" s="156"/>
      <c r="BB507" s="156"/>
      <c r="BC507" s="156"/>
      <c r="BD507" s="452"/>
      <c r="BE507" s="452"/>
      <c r="BF507" s="452"/>
      <c r="BG507" s="452"/>
      <c r="BH507" s="452"/>
    </row>
    <row r="508">
      <c r="A508" s="154"/>
      <c r="B508" s="473"/>
      <c r="C508" s="156"/>
      <c r="D508" s="156"/>
      <c r="E508" s="156"/>
      <c r="F508" s="154"/>
      <c r="G508" s="473"/>
      <c r="H508" s="156"/>
      <c r="I508" s="156"/>
      <c r="J508" s="156"/>
      <c r="K508" s="132"/>
      <c r="L508" s="473"/>
      <c r="M508" s="156"/>
      <c r="N508" s="156"/>
      <c r="O508" s="156"/>
      <c r="P508" s="132"/>
      <c r="Q508" s="487"/>
      <c r="R508" s="156"/>
      <c r="S508" s="156"/>
      <c r="T508" s="156"/>
      <c r="U508" s="154"/>
      <c r="V508" s="473"/>
      <c r="W508" s="156"/>
      <c r="X508" s="156"/>
      <c r="Y508" s="156"/>
      <c r="Z508" s="154"/>
      <c r="AA508" s="473"/>
      <c r="AB508" s="156"/>
      <c r="AC508" s="156"/>
      <c r="AD508" s="156"/>
      <c r="AE508" s="154"/>
      <c r="AF508" s="473"/>
      <c r="AG508" s="156"/>
      <c r="AH508" s="156"/>
      <c r="AI508" s="156"/>
      <c r="AJ508" s="154"/>
      <c r="AK508" s="473"/>
      <c r="AL508" s="156"/>
      <c r="AM508" s="156"/>
      <c r="AN508" s="156"/>
      <c r="AO508" s="452"/>
      <c r="AP508" s="452"/>
      <c r="AQ508" s="452"/>
      <c r="AR508" s="452"/>
      <c r="AS508" s="452"/>
      <c r="AT508" s="452"/>
      <c r="AU508" s="452"/>
      <c r="AV508" s="452"/>
      <c r="AW508" s="452"/>
      <c r="AX508" s="452"/>
      <c r="AY508" s="154"/>
      <c r="AZ508" s="473"/>
      <c r="BA508" s="156"/>
      <c r="BB508" s="156"/>
      <c r="BC508" s="156"/>
      <c r="BD508" s="452"/>
      <c r="BE508" s="452"/>
      <c r="BF508" s="452"/>
      <c r="BG508" s="452"/>
      <c r="BH508" s="452"/>
    </row>
    <row r="509">
      <c r="A509" s="154"/>
      <c r="B509" s="473"/>
      <c r="C509" s="156"/>
      <c r="D509" s="156"/>
      <c r="E509" s="156"/>
      <c r="F509" s="154"/>
      <c r="G509" s="473"/>
      <c r="H509" s="156"/>
      <c r="I509" s="156"/>
      <c r="J509" s="156"/>
      <c r="K509" s="132"/>
      <c r="L509" s="473"/>
      <c r="M509" s="156"/>
      <c r="N509" s="156"/>
      <c r="O509" s="156"/>
      <c r="P509" s="132"/>
      <c r="Q509" s="487"/>
      <c r="R509" s="156"/>
      <c r="S509" s="156"/>
      <c r="T509" s="156"/>
      <c r="U509" s="154"/>
      <c r="V509" s="473"/>
      <c r="W509" s="156"/>
      <c r="X509" s="156"/>
      <c r="Y509" s="156"/>
      <c r="Z509" s="154"/>
      <c r="AA509" s="473"/>
      <c r="AB509" s="156"/>
      <c r="AC509" s="156"/>
      <c r="AD509" s="156"/>
      <c r="AE509" s="154"/>
      <c r="AF509" s="473"/>
      <c r="AG509" s="156"/>
      <c r="AH509" s="156"/>
      <c r="AI509" s="156"/>
      <c r="AJ509" s="154"/>
      <c r="AK509" s="473"/>
      <c r="AL509" s="156"/>
      <c r="AM509" s="156"/>
      <c r="AN509" s="156"/>
      <c r="AO509" s="452"/>
      <c r="AP509" s="452"/>
      <c r="AQ509" s="452"/>
      <c r="AR509" s="452"/>
      <c r="AS509" s="452"/>
      <c r="AT509" s="452"/>
      <c r="AU509" s="452"/>
      <c r="AV509" s="452"/>
      <c r="AW509" s="452"/>
      <c r="AX509" s="452"/>
      <c r="AY509" s="154"/>
      <c r="AZ509" s="473"/>
      <c r="BA509" s="156"/>
      <c r="BB509" s="156"/>
      <c r="BC509" s="156"/>
      <c r="BD509" s="452"/>
      <c r="BE509" s="452"/>
      <c r="BF509" s="452"/>
      <c r="BG509" s="452"/>
      <c r="BH509" s="452"/>
    </row>
    <row r="510">
      <c r="A510" s="154"/>
      <c r="B510" s="473"/>
      <c r="C510" s="156"/>
      <c r="D510" s="156"/>
      <c r="E510" s="156"/>
      <c r="F510" s="154"/>
      <c r="G510" s="473"/>
      <c r="H510" s="156"/>
      <c r="I510" s="156"/>
      <c r="J510" s="156"/>
      <c r="K510" s="132"/>
      <c r="L510" s="473"/>
      <c r="M510" s="156"/>
      <c r="N510" s="156"/>
      <c r="O510" s="156"/>
      <c r="P510" s="132"/>
      <c r="Q510" s="487"/>
      <c r="R510" s="156"/>
      <c r="S510" s="156"/>
      <c r="T510" s="156"/>
      <c r="U510" s="154"/>
      <c r="V510" s="473"/>
      <c r="W510" s="156"/>
      <c r="X510" s="156"/>
      <c r="Y510" s="156"/>
      <c r="Z510" s="154"/>
      <c r="AA510" s="473"/>
      <c r="AB510" s="156"/>
      <c r="AC510" s="156"/>
      <c r="AD510" s="156"/>
      <c r="AE510" s="154"/>
      <c r="AF510" s="473"/>
      <c r="AG510" s="156"/>
      <c r="AH510" s="156"/>
      <c r="AI510" s="156"/>
      <c r="AJ510" s="154"/>
      <c r="AK510" s="473"/>
      <c r="AL510" s="156"/>
      <c r="AM510" s="156"/>
      <c r="AN510" s="156"/>
      <c r="AO510" s="452"/>
      <c r="AP510" s="452"/>
      <c r="AQ510" s="452"/>
      <c r="AR510" s="452"/>
      <c r="AS510" s="452"/>
      <c r="AT510" s="452"/>
      <c r="AU510" s="452"/>
      <c r="AV510" s="452"/>
      <c r="AW510" s="452"/>
      <c r="AX510" s="452"/>
      <c r="AY510" s="154"/>
      <c r="AZ510" s="473"/>
      <c r="BA510" s="156"/>
      <c r="BB510" s="156"/>
      <c r="BC510" s="156"/>
      <c r="BD510" s="452"/>
      <c r="BE510" s="452"/>
      <c r="BF510" s="452"/>
      <c r="BG510" s="452"/>
      <c r="BH510" s="452"/>
    </row>
    <row r="511">
      <c r="A511" s="154"/>
      <c r="B511" s="473"/>
      <c r="C511" s="156"/>
      <c r="D511" s="156"/>
      <c r="E511" s="156"/>
      <c r="F511" s="154"/>
      <c r="G511" s="473"/>
      <c r="H511" s="156"/>
      <c r="I511" s="156"/>
      <c r="J511" s="156"/>
      <c r="K511" s="132"/>
      <c r="L511" s="473"/>
      <c r="M511" s="156"/>
      <c r="N511" s="156"/>
      <c r="O511" s="156"/>
      <c r="P511" s="132"/>
      <c r="Q511" s="487"/>
      <c r="R511" s="156"/>
      <c r="S511" s="156"/>
      <c r="T511" s="156"/>
      <c r="U511" s="154"/>
      <c r="V511" s="473"/>
      <c r="W511" s="156"/>
      <c r="X511" s="156"/>
      <c r="Y511" s="156"/>
      <c r="Z511" s="154"/>
      <c r="AA511" s="473"/>
      <c r="AB511" s="156"/>
      <c r="AC511" s="156"/>
      <c r="AD511" s="156"/>
      <c r="AE511" s="154"/>
      <c r="AF511" s="473"/>
      <c r="AG511" s="156"/>
      <c r="AH511" s="156"/>
      <c r="AI511" s="156"/>
      <c r="AJ511" s="154"/>
      <c r="AK511" s="473"/>
      <c r="AL511" s="156"/>
      <c r="AM511" s="156"/>
      <c r="AN511" s="156"/>
      <c r="AO511" s="452"/>
      <c r="AP511" s="452"/>
      <c r="AQ511" s="452"/>
      <c r="AR511" s="452"/>
      <c r="AS511" s="452"/>
      <c r="AT511" s="452"/>
      <c r="AU511" s="452"/>
      <c r="AV511" s="452"/>
      <c r="AW511" s="452"/>
      <c r="AX511" s="452"/>
      <c r="AY511" s="154"/>
      <c r="AZ511" s="473"/>
      <c r="BA511" s="156"/>
      <c r="BB511" s="156"/>
      <c r="BC511" s="156"/>
      <c r="BD511" s="452"/>
      <c r="BE511" s="452"/>
      <c r="BF511" s="452"/>
      <c r="BG511" s="452"/>
      <c r="BH511" s="452"/>
    </row>
    <row r="512">
      <c r="A512" s="154"/>
      <c r="B512" s="473"/>
      <c r="C512" s="156"/>
      <c r="D512" s="156"/>
      <c r="E512" s="156"/>
      <c r="F512" s="154"/>
      <c r="G512" s="473"/>
      <c r="H512" s="156"/>
      <c r="I512" s="156"/>
      <c r="J512" s="156"/>
      <c r="K512" s="132"/>
      <c r="L512" s="473"/>
      <c r="M512" s="156"/>
      <c r="N512" s="156"/>
      <c r="O512" s="156"/>
      <c r="P512" s="132"/>
      <c r="Q512" s="487"/>
      <c r="R512" s="156"/>
      <c r="S512" s="156"/>
      <c r="T512" s="156"/>
      <c r="U512" s="154"/>
      <c r="V512" s="473"/>
      <c r="W512" s="156"/>
      <c r="X512" s="156"/>
      <c r="Y512" s="156"/>
      <c r="Z512" s="154"/>
      <c r="AA512" s="473"/>
      <c r="AB512" s="156"/>
      <c r="AC512" s="156"/>
      <c r="AD512" s="156"/>
      <c r="AE512" s="154"/>
      <c r="AF512" s="473"/>
      <c r="AG512" s="156"/>
      <c r="AH512" s="156"/>
      <c r="AI512" s="156"/>
      <c r="AJ512" s="154"/>
      <c r="AK512" s="473"/>
      <c r="AL512" s="156"/>
      <c r="AM512" s="156"/>
      <c r="AN512" s="156"/>
      <c r="AO512" s="452"/>
      <c r="AP512" s="452"/>
      <c r="AQ512" s="452"/>
      <c r="AR512" s="452"/>
      <c r="AS512" s="452"/>
      <c r="AT512" s="452"/>
      <c r="AU512" s="452"/>
      <c r="AV512" s="452"/>
      <c r="AW512" s="452"/>
      <c r="AX512" s="452"/>
      <c r="AY512" s="154"/>
      <c r="AZ512" s="473"/>
      <c r="BA512" s="156"/>
      <c r="BB512" s="156"/>
      <c r="BC512" s="156"/>
      <c r="BD512" s="452"/>
      <c r="BE512" s="452"/>
      <c r="BF512" s="452"/>
      <c r="BG512" s="452"/>
      <c r="BH512" s="452"/>
    </row>
    <row r="513">
      <c r="A513" s="154"/>
      <c r="B513" s="473"/>
      <c r="C513" s="156"/>
      <c r="D513" s="156"/>
      <c r="E513" s="156"/>
      <c r="F513" s="154"/>
      <c r="G513" s="473"/>
      <c r="H513" s="156"/>
      <c r="I513" s="156"/>
      <c r="J513" s="156"/>
      <c r="K513" s="132"/>
      <c r="L513" s="473"/>
      <c r="M513" s="156"/>
      <c r="N513" s="156"/>
      <c r="O513" s="156"/>
      <c r="P513" s="132"/>
      <c r="Q513" s="487"/>
      <c r="R513" s="156"/>
      <c r="S513" s="156"/>
      <c r="T513" s="156"/>
      <c r="U513" s="154"/>
      <c r="V513" s="473"/>
      <c r="W513" s="156"/>
      <c r="X513" s="156"/>
      <c r="Y513" s="156"/>
      <c r="Z513" s="154"/>
      <c r="AA513" s="473"/>
      <c r="AB513" s="156"/>
      <c r="AC513" s="156"/>
      <c r="AD513" s="156"/>
      <c r="AE513" s="154"/>
      <c r="AF513" s="473"/>
      <c r="AG513" s="156"/>
      <c r="AH513" s="156"/>
      <c r="AI513" s="156"/>
      <c r="AJ513" s="154"/>
      <c r="AK513" s="473"/>
      <c r="AL513" s="156"/>
      <c r="AM513" s="156"/>
      <c r="AN513" s="156"/>
      <c r="AO513" s="452"/>
      <c r="AP513" s="452"/>
      <c r="AQ513" s="452"/>
      <c r="AR513" s="452"/>
      <c r="AS513" s="452"/>
      <c r="AT513" s="452"/>
      <c r="AU513" s="452"/>
      <c r="AV513" s="452"/>
      <c r="AW513" s="452"/>
      <c r="AX513" s="452"/>
      <c r="AY513" s="154"/>
      <c r="AZ513" s="473"/>
      <c r="BA513" s="156"/>
      <c r="BB513" s="156"/>
      <c r="BC513" s="156"/>
      <c r="BD513" s="452"/>
      <c r="BE513" s="452"/>
      <c r="BF513" s="452"/>
      <c r="BG513" s="452"/>
      <c r="BH513" s="452"/>
    </row>
    <row r="514">
      <c r="A514" s="154"/>
      <c r="B514" s="473"/>
      <c r="C514" s="156"/>
      <c r="D514" s="156"/>
      <c r="E514" s="156"/>
      <c r="F514" s="154"/>
      <c r="G514" s="473"/>
      <c r="H514" s="156"/>
      <c r="I514" s="156"/>
      <c r="J514" s="156"/>
      <c r="K514" s="132"/>
      <c r="L514" s="473"/>
      <c r="M514" s="156"/>
      <c r="N514" s="156"/>
      <c r="O514" s="156"/>
      <c r="P514" s="132"/>
      <c r="Q514" s="487"/>
      <c r="R514" s="156"/>
      <c r="S514" s="156"/>
      <c r="T514" s="156"/>
      <c r="U514" s="154"/>
      <c r="V514" s="473"/>
      <c r="W514" s="156"/>
      <c r="X514" s="156"/>
      <c r="Y514" s="156"/>
      <c r="Z514" s="154"/>
      <c r="AA514" s="473"/>
      <c r="AB514" s="156"/>
      <c r="AC514" s="156"/>
      <c r="AD514" s="156"/>
      <c r="AE514" s="154"/>
      <c r="AF514" s="473"/>
      <c r="AG514" s="156"/>
      <c r="AH514" s="156"/>
      <c r="AI514" s="156"/>
      <c r="AJ514" s="154"/>
      <c r="AK514" s="473"/>
      <c r="AL514" s="156"/>
      <c r="AM514" s="156"/>
      <c r="AN514" s="156"/>
      <c r="AO514" s="452"/>
      <c r="AP514" s="452"/>
      <c r="AQ514" s="452"/>
      <c r="AR514" s="452"/>
      <c r="AS514" s="452"/>
      <c r="AT514" s="452"/>
      <c r="AU514" s="452"/>
      <c r="AV514" s="452"/>
      <c r="AW514" s="452"/>
      <c r="AX514" s="452"/>
      <c r="AY514" s="154"/>
      <c r="AZ514" s="473"/>
      <c r="BA514" s="156"/>
      <c r="BB514" s="156"/>
      <c r="BC514" s="156"/>
      <c r="BD514" s="452"/>
      <c r="BE514" s="452"/>
      <c r="BF514" s="452"/>
      <c r="BG514" s="452"/>
      <c r="BH514" s="452"/>
    </row>
    <row r="515">
      <c r="A515" s="154"/>
      <c r="B515" s="473"/>
      <c r="C515" s="156"/>
      <c r="D515" s="156"/>
      <c r="E515" s="156"/>
      <c r="F515" s="154"/>
      <c r="G515" s="473"/>
      <c r="H515" s="156"/>
      <c r="I515" s="156"/>
      <c r="J515" s="156"/>
      <c r="K515" s="132"/>
      <c r="L515" s="473"/>
      <c r="M515" s="156"/>
      <c r="N515" s="156"/>
      <c r="O515" s="156"/>
      <c r="P515" s="132"/>
      <c r="Q515" s="487"/>
      <c r="R515" s="156"/>
      <c r="S515" s="156"/>
      <c r="T515" s="156"/>
      <c r="U515" s="154"/>
      <c r="V515" s="473"/>
      <c r="W515" s="156"/>
      <c r="X515" s="156"/>
      <c r="Y515" s="156"/>
      <c r="Z515" s="154"/>
      <c r="AA515" s="473"/>
      <c r="AB515" s="156"/>
      <c r="AC515" s="156"/>
      <c r="AD515" s="156"/>
      <c r="AE515" s="154"/>
      <c r="AF515" s="473"/>
      <c r="AG515" s="156"/>
      <c r="AH515" s="156"/>
      <c r="AI515" s="156"/>
      <c r="AJ515" s="154"/>
      <c r="AK515" s="473"/>
      <c r="AL515" s="156"/>
      <c r="AM515" s="156"/>
      <c r="AN515" s="156"/>
      <c r="AO515" s="452"/>
      <c r="AP515" s="452"/>
      <c r="AQ515" s="452"/>
      <c r="AR515" s="452"/>
      <c r="AS515" s="452"/>
      <c r="AT515" s="452"/>
      <c r="AU515" s="452"/>
      <c r="AV515" s="452"/>
      <c r="AW515" s="452"/>
      <c r="AX515" s="452"/>
      <c r="AY515" s="154"/>
      <c r="AZ515" s="473"/>
      <c r="BA515" s="156"/>
      <c r="BB515" s="156"/>
      <c r="BC515" s="156"/>
      <c r="BD515" s="452"/>
      <c r="BE515" s="452"/>
      <c r="BF515" s="452"/>
      <c r="BG515" s="452"/>
      <c r="BH515" s="452"/>
    </row>
    <row r="516">
      <c r="A516" s="154"/>
      <c r="B516" s="473"/>
      <c r="C516" s="156"/>
      <c r="D516" s="156"/>
      <c r="E516" s="156"/>
      <c r="F516" s="154"/>
      <c r="G516" s="473"/>
      <c r="H516" s="156"/>
      <c r="I516" s="156"/>
      <c r="J516" s="156"/>
      <c r="K516" s="132"/>
      <c r="L516" s="473"/>
      <c r="M516" s="156"/>
      <c r="N516" s="156"/>
      <c r="O516" s="156"/>
      <c r="P516" s="132"/>
      <c r="Q516" s="487"/>
      <c r="R516" s="156"/>
      <c r="S516" s="156"/>
      <c r="T516" s="156"/>
      <c r="U516" s="154"/>
      <c r="V516" s="473"/>
      <c r="W516" s="156"/>
      <c r="X516" s="156"/>
      <c r="Y516" s="156"/>
      <c r="Z516" s="154"/>
      <c r="AA516" s="473"/>
      <c r="AB516" s="156"/>
      <c r="AC516" s="156"/>
      <c r="AD516" s="156"/>
      <c r="AE516" s="154"/>
      <c r="AF516" s="473"/>
      <c r="AG516" s="156"/>
      <c r="AH516" s="156"/>
      <c r="AI516" s="156"/>
      <c r="AJ516" s="154"/>
      <c r="AK516" s="473"/>
      <c r="AL516" s="156"/>
      <c r="AM516" s="156"/>
      <c r="AN516" s="156"/>
      <c r="AO516" s="452"/>
      <c r="AP516" s="452"/>
      <c r="AQ516" s="452"/>
      <c r="AR516" s="452"/>
      <c r="AS516" s="452"/>
      <c r="AT516" s="452"/>
      <c r="AU516" s="452"/>
      <c r="AV516" s="452"/>
      <c r="AW516" s="452"/>
      <c r="AX516" s="452"/>
      <c r="AY516" s="154"/>
      <c r="AZ516" s="473"/>
      <c r="BA516" s="156"/>
      <c r="BB516" s="156"/>
      <c r="BC516" s="156"/>
      <c r="BD516" s="452"/>
      <c r="BE516" s="452"/>
      <c r="BF516" s="452"/>
      <c r="BG516" s="452"/>
      <c r="BH516" s="452"/>
    </row>
    <row r="517">
      <c r="A517" s="154"/>
      <c r="B517" s="473"/>
      <c r="C517" s="156"/>
      <c r="D517" s="156"/>
      <c r="E517" s="156"/>
      <c r="F517" s="154"/>
      <c r="G517" s="473"/>
      <c r="H517" s="156"/>
      <c r="I517" s="156"/>
      <c r="J517" s="156"/>
      <c r="K517" s="132"/>
      <c r="L517" s="473"/>
      <c r="M517" s="156"/>
      <c r="N517" s="156"/>
      <c r="O517" s="156"/>
      <c r="P517" s="132"/>
      <c r="Q517" s="487"/>
      <c r="R517" s="156"/>
      <c r="S517" s="156"/>
      <c r="T517" s="156"/>
      <c r="U517" s="154"/>
      <c r="V517" s="473"/>
      <c r="W517" s="156"/>
      <c r="X517" s="156"/>
      <c r="Y517" s="156"/>
      <c r="Z517" s="154"/>
      <c r="AA517" s="473"/>
      <c r="AB517" s="156"/>
      <c r="AC517" s="156"/>
      <c r="AD517" s="156"/>
      <c r="AE517" s="154"/>
      <c r="AF517" s="473"/>
      <c r="AG517" s="156"/>
      <c r="AH517" s="156"/>
      <c r="AI517" s="156"/>
      <c r="AJ517" s="154"/>
      <c r="AK517" s="473"/>
      <c r="AL517" s="156"/>
      <c r="AM517" s="156"/>
      <c r="AN517" s="156"/>
      <c r="AO517" s="452"/>
      <c r="AP517" s="452"/>
      <c r="AQ517" s="452"/>
      <c r="AR517" s="452"/>
      <c r="AS517" s="452"/>
      <c r="AT517" s="452"/>
      <c r="AU517" s="452"/>
      <c r="AV517" s="452"/>
      <c r="AW517" s="452"/>
      <c r="AX517" s="452"/>
      <c r="AY517" s="154"/>
      <c r="AZ517" s="473"/>
      <c r="BA517" s="156"/>
      <c r="BB517" s="156"/>
      <c r="BC517" s="156"/>
      <c r="BD517" s="452"/>
      <c r="BE517" s="452"/>
      <c r="BF517" s="452"/>
      <c r="BG517" s="452"/>
      <c r="BH517" s="452"/>
    </row>
    <row r="518">
      <c r="A518" s="154"/>
      <c r="B518" s="473"/>
      <c r="C518" s="156"/>
      <c r="D518" s="156"/>
      <c r="E518" s="156"/>
      <c r="F518" s="154"/>
      <c r="G518" s="473"/>
      <c r="H518" s="156"/>
      <c r="I518" s="156"/>
      <c r="J518" s="156"/>
      <c r="K518" s="132"/>
      <c r="L518" s="473"/>
      <c r="M518" s="156"/>
      <c r="N518" s="156"/>
      <c r="O518" s="156"/>
      <c r="P518" s="132"/>
      <c r="Q518" s="487"/>
      <c r="R518" s="156"/>
      <c r="S518" s="156"/>
      <c r="T518" s="156"/>
      <c r="U518" s="154"/>
      <c r="V518" s="473"/>
      <c r="W518" s="156"/>
      <c r="X518" s="156"/>
      <c r="Y518" s="156"/>
      <c r="Z518" s="154"/>
      <c r="AA518" s="473"/>
      <c r="AB518" s="156"/>
      <c r="AC518" s="156"/>
      <c r="AD518" s="156"/>
      <c r="AE518" s="154"/>
      <c r="AF518" s="473"/>
      <c r="AG518" s="156"/>
      <c r="AH518" s="156"/>
      <c r="AI518" s="156"/>
      <c r="AJ518" s="154"/>
      <c r="AK518" s="473"/>
      <c r="AL518" s="156"/>
      <c r="AM518" s="156"/>
      <c r="AN518" s="156"/>
      <c r="AO518" s="452"/>
      <c r="AP518" s="452"/>
      <c r="AQ518" s="452"/>
      <c r="AR518" s="452"/>
      <c r="AS518" s="452"/>
      <c r="AT518" s="452"/>
      <c r="AU518" s="452"/>
      <c r="AV518" s="452"/>
      <c r="AW518" s="452"/>
      <c r="AX518" s="452"/>
      <c r="AY518" s="154"/>
      <c r="AZ518" s="473"/>
      <c r="BA518" s="156"/>
      <c r="BB518" s="156"/>
      <c r="BC518" s="156"/>
      <c r="BD518" s="452"/>
      <c r="BE518" s="452"/>
      <c r="BF518" s="452"/>
      <c r="BG518" s="452"/>
      <c r="BH518" s="452"/>
    </row>
    <row r="519">
      <c r="A519" s="154"/>
      <c r="B519" s="473"/>
      <c r="C519" s="156"/>
      <c r="D519" s="156"/>
      <c r="E519" s="156"/>
      <c r="F519" s="154"/>
      <c r="G519" s="473"/>
      <c r="H519" s="156"/>
      <c r="I519" s="156"/>
      <c r="J519" s="156"/>
      <c r="K519" s="132"/>
      <c r="L519" s="473"/>
      <c r="M519" s="156"/>
      <c r="N519" s="156"/>
      <c r="O519" s="156"/>
      <c r="P519" s="132"/>
      <c r="Q519" s="487"/>
      <c r="R519" s="156"/>
      <c r="S519" s="156"/>
      <c r="T519" s="156"/>
      <c r="U519" s="154"/>
      <c r="V519" s="473"/>
      <c r="W519" s="156"/>
      <c r="X519" s="156"/>
      <c r="Y519" s="156"/>
      <c r="Z519" s="154"/>
      <c r="AA519" s="473"/>
      <c r="AB519" s="156"/>
      <c r="AC519" s="156"/>
      <c r="AD519" s="156"/>
      <c r="AE519" s="154"/>
      <c r="AF519" s="473"/>
      <c r="AG519" s="156"/>
      <c r="AH519" s="156"/>
      <c r="AI519" s="156"/>
      <c r="AJ519" s="154"/>
      <c r="AK519" s="473"/>
      <c r="AL519" s="156"/>
      <c r="AM519" s="156"/>
      <c r="AN519" s="156"/>
      <c r="AO519" s="452"/>
      <c r="AP519" s="452"/>
      <c r="AQ519" s="452"/>
      <c r="AR519" s="452"/>
      <c r="AS519" s="452"/>
      <c r="AT519" s="452"/>
      <c r="AU519" s="452"/>
      <c r="AV519" s="452"/>
      <c r="AW519" s="452"/>
      <c r="AX519" s="452"/>
      <c r="AY519" s="154"/>
      <c r="AZ519" s="473"/>
      <c r="BA519" s="156"/>
      <c r="BB519" s="156"/>
      <c r="BC519" s="156"/>
      <c r="BD519" s="452"/>
      <c r="BE519" s="452"/>
      <c r="BF519" s="452"/>
      <c r="BG519" s="452"/>
      <c r="BH519" s="452"/>
    </row>
    <row r="520">
      <c r="A520" s="154"/>
      <c r="B520" s="473"/>
      <c r="C520" s="156"/>
      <c r="D520" s="156"/>
      <c r="E520" s="156"/>
      <c r="F520" s="154"/>
      <c r="G520" s="473"/>
      <c r="H520" s="156"/>
      <c r="I520" s="156"/>
      <c r="J520" s="156"/>
      <c r="K520" s="132"/>
      <c r="L520" s="473"/>
      <c r="M520" s="156"/>
      <c r="N520" s="156"/>
      <c r="O520" s="156"/>
      <c r="P520" s="132"/>
      <c r="Q520" s="487"/>
      <c r="R520" s="156"/>
      <c r="S520" s="156"/>
      <c r="T520" s="156"/>
      <c r="U520" s="154"/>
      <c r="V520" s="473"/>
      <c r="W520" s="156"/>
      <c r="X520" s="156"/>
      <c r="Y520" s="156"/>
      <c r="Z520" s="154"/>
      <c r="AA520" s="473"/>
      <c r="AB520" s="156"/>
      <c r="AC520" s="156"/>
      <c r="AD520" s="156"/>
      <c r="AE520" s="154"/>
      <c r="AF520" s="473"/>
      <c r="AG520" s="156"/>
      <c r="AH520" s="156"/>
      <c r="AI520" s="156"/>
      <c r="AJ520" s="154"/>
      <c r="AK520" s="473"/>
      <c r="AL520" s="156"/>
      <c r="AM520" s="156"/>
      <c r="AN520" s="156"/>
      <c r="AO520" s="452"/>
      <c r="AP520" s="452"/>
      <c r="AQ520" s="452"/>
      <c r="AR520" s="452"/>
      <c r="AS520" s="452"/>
      <c r="AT520" s="452"/>
      <c r="AU520" s="452"/>
      <c r="AV520" s="452"/>
      <c r="AW520" s="452"/>
      <c r="AX520" s="452"/>
      <c r="AY520" s="154"/>
      <c r="AZ520" s="473"/>
      <c r="BA520" s="156"/>
      <c r="BB520" s="156"/>
      <c r="BC520" s="156"/>
      <c r="BD520" s="452"/>
      <c r="BE520" s="452"/>
      <c r="BF520" s="452"/>
      <c r="BG520" s="452"/>
      <c r="BH520" s="452"/>
    </row>
    <row r="521">
      <c r="A521" s="154"/>
      <c r="B521" s="473"/>
      <c r="C521" s="156"/>
      <c r="D521" s="156"/>
      <c r="E521" s="156"/>
      <c r="F521" s="154"/>
      <c r="G521" s="473"/>
      <c r="H521" s="156"/>
      <c r="I521" s="156"/>
      <c r="J521" s="156"/>
      <c r="K521" s="132"/>
      <c r="L521" s="473"/>
      <c r="M521" s="156"/>
      <c r="N521" s="156"/>
      <c r="O521" s="156"/>
      <c r="P521" s="132"/>
      <c r="Q521" s="487"/>
      <c r="R521" s="156"/>
      <c r="S521" s="156"/>
      <c r="T521" s="156"/>
      <c r="U521" s="154"/>
      <c r="V521" s="473"/>
      <c r="W521" s="156"/>
      <c r="X521" s="156"/>
      <c r="Y521" s="156"/>
      <c r="Z521" s="154"/>
      <c r="AA521" s="473"/>
      <c r="AB521" s="156"/>
      <c r="AC521" s="156"/>
      <c r="AD521" s="156"/>
      <c r="AE521" s="154"/>
      <c r="AF521" s="473"/>
      <c r="AG521" s="156"/>
      <c r="AH521" s="156"/>
      <c r="AI521" s="156"/>
      <c r="AJ521" s="154"/>
      <c r="AK521" s="473"/>
      <c r="AL521" s="156"/>
      <c r="AM521" s="156"/>
      <c r="AN521" s="156"/>
      <c r="AO521" s="452"/>
      <c r="AP521" s="452"/>
      <c r="AQ521" s="452"/>
      <c r="AR521" s="452"/>
      <c r="AS521" s="452"/>
      <c r="AT521" s="452"/>
      <c r="AU521" s="452"/>
      <c r="AV521" s="452"/>
      <c r="AW521" s="452"/>
      <c r="AX521" s="452"/>
      <c r="AY521" s="154"/>
      <c r="AZ521" s="473"/>
      <c r="BA521" s="156"/>
      <c r="BB521" s="156"/>
      <c r="BC521" s="156"/>
      <c r="BD521" s="452"/>
      <c r="BE521" s="452"/>
      <c r="BF521" s="452"/>
      <c r="BG521" s="452"/>
      <c r="BH521" s="452"/>
    </row>
    <row r="522">
      <c r="A522" s="154"/>
      <c r="B522" s="473"/>
      <c r="C522" s="156"/>
      <c r="D522" s="156"/>
      <c r="E522" s="156"/>
      <c r="F522" s="154"/>
      <c r="G522" s="473"/>
      <c r="H522" s="156"/>
      <c r="I522" s="156"/>
      <c r="J522" s="156"/>
      <c r="K522" s="132"/>
      <c r="L522" s="473"/>
      <c r="M522" s="156"/>
      <c r="N522" s="156"/>
      <c r="O522" s="156"/>
      <c r="P522" s="132"/>
      <c r="Q522" s="487"/>
      <c r="R522" s="156"/>
      <c r="S522" s="156"/>
      <c r="T522" s="156"/>
      <c r="U522" s="154"/>
      <c r="V522" s="473"/>
      <c r="W522" s="156"/>
      <c r="X522" s="156"/>
      <c r="Y522" s="156"/>
      <c r="Z522" s="154"/>
      <c r="AA522" s="473"/>
      <c r="AB522" s="156"/>
      <c r="AC522" s="156"/>
      <c r="AD522" s="156"/>
      <c r="AE522" s="154"/>
      <c r="AF522" s="473"/>
      <c r="AG522" s="156"/>
      <c r="AH522" s="156"/>
      <c r="AI522" s="156"/>
      <c r="AJ522" s="154"/>
      <c r="AK522" s="473"/>
      <c r="AL522" s="156"/>
      <c r="AM522" s="156"/>
      <c r="AN522" s="156"/>
      <c r="AO522" s="452"/>
      <c r="AP522" s="452"/>
      <c r="AQ522" s="452"/>
      <c r="AR522" s="452"/>
      <c r="AS522" s="452"/>
      <c r="AT522" s="452"/>
      <c r="AU522" s="452"/>
      <c r="AV522" s="452"/>
      <c r="AW522" s="452"/>
      <c r="AX522" s="452"/>
      <c r="AY522" s="154"/>
      <c r="AZ522" s="473"/>
      <c r="BA522" s="156"/>
      <c r="BB522" s="156"/>
      <c r="BC522" s="156"/>
      <c r="BD522" s="452"/>
      <c r="BE522" s="452"/>
      <c r="BF522" s="452"/>
      <c r="BG522" s="452"/>
      <c r="BH522" s="452"/>
    </row>
    <row r="523">
      <c r="A523" s="154"/>
      <c r="B523" s="473"/>
      <c r="C523" s="156"/>
      <c r="D523" s="156"/>
      <c r="E523" s="156"/>
      <c r="F523" s="154"/>
      <c r="G523" s="473"/>
      <c r="H523" s="156"/>
      <c r="I523" s="156"/>
      <c r="J523" s="156"/>
      <c r="K523" s="132"/>
      <c r="L523" s="473"/>
      <c r="M523" s="156"/>
      <c r="N523" s="156"/>
      <c r="O523" s="156"/>
      <c r="P523" s="132"/>
      <c r="Q523" s="487"/>
      <c r="R523" s="156"/>
      <c r="S523" s="156"/>
      <c r="T523" s="156"/>
      <c r="U523" s="154"/>
      <c r="V523" s="473"/>
      <c r="W523" s="156"/>
      <c r="X523" s="156"/>
      <c r="Y523" s="156"/>
      <c r="Z523" s="154"/>
      <c r="AA523" s="473"/>
      <c r="AB523" s="156"/>
      <c r="AC523" s="156"/>
      <c r="AD523" s="156"/>
      <c r="AE523" s="154"/>
      <c r="AF523" s="473"/>
      <c r="AG523" s="156"/>
      <c r="AH523" s="156"/>
      <c r="AI523" s="156"/>
      <c r="AJ523" s="154"/>
      <c r="AK523" s="473"/>
      <c r="AL523" s="156"/>
      <c r="AM523" s="156"/>
      <c r="AN523" s="156"/>
      <c r="AO523" s="452"/>
      <c r="AP523" s="452"/>
      <c r="AQ523" s="452"/>
      <c r="AR523" s="452"/>
      <c r="AS523" s="452"/>
      <c r="AT523" s="452"/>
      <c r="AU523" s="452"/>
      <c r="AV523" s="452"/>
      <c r="AW523" s="452"/>
      <c r="AX523" s="452"/>
      <c r="AY523" s="154"/>
      <c r="AZ523" s="473"/>
      <c r="BA523" s="156"/>
      <c r="BB523" s="156"/>
      <c r="BC523" s="156"/>
      <c r="BD523" s="452"/>
      <c r="BE523" s="452"/>
      <c r="BF523" s="452"/>
      <c r="BG523" s="452"/>
      <c r="BH523" s="452"/>
    </row>
    <row r="524">
      <c r="A524" s="154"/>
      <c r="B524" s="473"/>
      <c r="C524" s="156"/>
      <c r="D524" s="156"/>
      <c r="E524" s="156"/>
      <c r="F524" s="154"/>
      <c r="G524" s="473"/>
      <c r="H524" s="156"/>
      <c r="I524" s="156"/>
      <c r="J524" s="156"/>
      <c r="K524" s="132"/>
      <c r="L524" s="473"/>
      <c r="M524" s="156"/>
      <c r="N524" s="156"/>
      <c r="O524" s="156"/>
      <c r="P524" s="132"/>
      <c r="Q524" s="487"/>
      <c r="R524" s="156"/>
      <c r="S524" s="156"/>
      <c r="T524" s="156"/>
      <c r="U524" s="154"/>
      <c r="V524" s="473"/>
      <c r="W524" s="156"/>
      <c r="X524" s="156"/>
      <c r="Y524" s="156"/>
      <c r="Z524" s="154"/>
      <c r="AA524" s="473"/>
      <c r="AB524" s="156"/>
      <c r="AC524" s="156"/>
      <c r="AD524" s="156"/>
      <c r="AE524" s="154"/>
      <c r="AF524" s="473"/>
      <c r="AG524" s="156"/>
      <c r="AH524" s="156"/>
      <c r="AI524" s="156"/>
      <c r="AJ524" s="154"/>
      <c r="AK524" s="473"/>
      <c r="AL524" s="156"/>
      <c r="AM524" s="156"/>
      <c r="AN524" s="156"/>
      <c r="AO524" s="452"/>
      <c r="AP524" s="452"/>
      <c r="AQ524" s="452"/>
      <c r="AR524" s="452"/>
      <c r="AS524" s="452"/>
      <c r="AT524" s="452"/>
      <c r="AU524" s="452"/>
      <c r="AV524" s="452"/>
      <c r="AW524" s="452"/>
      <c r="AX524" s="452"/>
      <c r="AY524" s="154"/>
      <c r="AZ524" s="473"/>
      <c r="BA524" s="156"/>
      <c r="BB524" s="156"/>
      <c r="BC524" s="156"/>
      <c r="BD524" s="452"/>
      <c r="BE524" s="452"/>
      <c r="BF524" s="452"/>
      <c r="BG524" s="452"/>
      <c r="BH524" s="452"/>
    </row>
    <row r="525">
      <c r="A525" s="154"/>
      <c r="B525" s="473"/>
      <c r="C525" s="156"/>
      <c r="D525" s="156"/>
      <c r="E525" s="156"/>
      <c r="F525" s="154"/>
      <c r="G525" s="473"/>
      <c r="H525" s="156"/>
      <c r="I525" s="156"/>
      <c r="J525" s="156"/>
      <c r="K525" s="132"/>
      <c r="L525" s="473"/>
      <c r="M525" s="156"/>
      <c r="N525" s="156"/>
      <c r="O525" s="156"/>
      <c r="P525" s="132"/>
      <c r="Q525" s="487"/>
      <c r="R525" s="156"/>
      <c r="S525" s="156"/>
      <c r="T525" s="156"/>
      <c r="U525" s="154"/>
      <c r="V525" s="473"/>
      <c r="W525" s="156"/>
      <c r="X525" s="156"/>
      <c r="Y525" s="156"/>
      <c r="Z525" s="154"/>
      <c r="AA525" s="473"/>
      <c r="AB525" s="156"/>
      <c r="AC525" s="156"/>
      <c r="AD525" s="156"/>
      <c r="AE525" s="154"/>
      <c r="AF525" s="473"/>
      <c r="AG525" s="156"/>
      <c r="AH525" s="156"/>
      <c r="AI525" s="156"/>
      <c r="AJ525" s="154"/>
      <c r="AK525" s="473"/>
      <c r="AL525" s="156"/>
      <c r="AM525" s="156"/>
      <c r="AN525" s="156"/>
      <c r="AO525" s="452"/>
      <c r="AP525" s="452"/>
      <c r="AQ525" s="452"/>
      <c r="AR525" s="452"/>
      <c r="AS525" s="452"/>
      <c r="AT525" s="452"/>
      <c r="AU525" s="452"/>
      <c r="AV525" s="452"/>
      <c r="AW525" s="452"/>
      <c r="AX525" s="452"/>
      <c r="AY525" s="154"/>
      <c r="AZ525" s="473"/>
      <c r="BA525" s="156"/>
      <c r="BB525" s="156"/>
      <c r="BC525" s="156"/>
      <c r="BD525" s="452"/>
      <c r="BE525" s="452"/>
      <c r="BF525" s="452"/>
      <c r="BG525" s="452"/>
      <c r="BH525" s="452"/>
    </row>
    <row r="526">
      <c r="A526" s="154"/>
      <c r="B526" s="473"/>
      <c r="C526" s="156"/>
      <c r="D526" s="156"/>
      <c r="E526" s="156"/>
      <c r="F526" s="154"/>
      <c r="G526" s="473"/>
      <c r="H526" s="156"/>
      <c r="I526" s="156"/>
      <c r="J526" s="156"/>
      <c r="K526" s="132"/>
      <c r="L526" s="473"/>
      <c r="M526" s="156"/>
      <c r="N526" s="156"/>
      <c r="O526" s="156"/>
      <c r="P526" s="132"/>
      <c r="Q526" s="487"/>
      <c r="R526" s="156"/>
      <c r="S526" s="156"/>
      <c r="T526" s="156"/>
      <c r="U526" s="154"/>
      <c r="V526" s="473"/>
      <c r="W526" s="156"/>
      <c r="X526" s="156"/>
      <c r="Y526" s="156"/>
      <c r="Z526" s="154"/>
      <c r="AA526" s="473"/>
      <c r="AB526" s="156"/>
      <c r="AC526" s="156"/>
      <c r="AD526" s="156"/>
      <c r="AE526" s="154"/>
      <c r="AF526" s="473"/>
      <c r="AG526" s="156"/>
      <c r="AH526" s="156"/>
      <c r="AI526" s="156"/>
      <c r="AJ526" s="154"/>
      <c r="AK526" s="473"/>
      <c r="AL526" s="156"/>
      <c r="AM526" s="156"/>
      <c r="AN526" s="156"/>
      <c r="AO526" s="452"/>
      <c r="AP526" s="452"/>
      <c r="AQ526" s="452"/>
      <c r="AR526" s="452"/>
      <c r="AS526" s="452"/>
      <c r="AT526" s="452"/>
      <c r="AU526" s="452"/>
      <c r="AV526" s="452"/>
      <c r="AW526" s="452"/>
      <c r="AX526" s="452"/>
      <c r="AY526" s="154"/>
      <c r="AZ526" s="473"/>
      <c r="BA526" s="156"/>
      <c r="BB526" s="156"/>
      <c r="BC526" s="156"/>
      <c r="BD526" s="452"/>
      <c r="BE526" s="452"/>
      <c r="BF526" s="452"/>
      <c r="BG526" s="452"/>
      <c r="BH526" s="452"/>
    </row>
    <row r="527">
      <c r="A527" s="154"/>
      <c r="B527" s="473"/>
      <c r="C527" s="156"/>
      <c r="D527" s="156"/>
      <c r="E527" s="156"/>
      <c r="F527" s="154"/>
      <c r="G527" s="473"/>
      <c r="H527" s="156"/>
      <c r="I527" s="156"/>
      <c r="J527" s="156"/>
      <c r="K527" s="132"/>
      <c r="L527" s="473"/>
      <c r="M527" s="156"/>
      <c r="N527" s="156"/>
      <c r="O527" s="156"/>
      <c r="P527" s="132"/>
      <c r="Q527" s="487"/>
      <c r="R527" s="156"/>
      <c r="S527" s="156"/>
      <c r="T527" s="156"/>
      <c r="U527" s="154"/>
      <c r="V527" s="473"/>
      <c r="W527" s="156"/>
      <c r="X527" s="156"/>
      <c r="Y527" s="156"/>
      <c r="Z527" s="154"/>
      <c r="AA527" s="473"/>
      <c r="AB527" s="156"/>
      <c r="AC527" s="156"/>
      <c r="AD527" s="156"/>
      <c r="AE527" s="154"/>
      <c r="AF527" s="473"/>
      <c r="AG527" s="156"/>
      <c r="AH527" s="156"/>
      <c r="AI527" s="156"/>
      <c r="AJ527" s="154"/>
      <c r="AK527" s="473"/>
      <c r="AL527" s="156"/>
      <c r="AM527" s="156"/>
      <c r="AN527" s="156"/>
      <c r="AO527" s="452"/>
      <c r="AP527" s="452"/>
      <c r="AQ527" s="452"/>
      <c r="AR527" s="452"/>
      <c r="AS527" s="452"/>
      <c r="AT527" s="452"/>
      <c r="AU527" s="452"/>
      <c r="AV527" s="452"/>
      <c r="AW527" s="452"/>
      <c r="AX527" s="452"/>
      <c r="AY527" s="154"/>
      <c r="AZ527" s="473"/>
      <c r="BA527" s="156"/>
      <c r="BB527" s="156"/>
      <c r="BC527" s="156"/>
      <c r="BD527" s="452"/>
      <c r="BE527" s="452"/>
      <c r="BF527" s="452"/>
      <c r="BG527" s="452"/>
      <c r="BH527" s="452"/>
    </row>
    <row r="528">
      <c r="A528" s="154"/>
      <c r="B528" s="473"/>
      <c r="C528" s="156"/>
      <c r="D528" s="156"/>
      <c r="E528" s="156"/>
      <c r="F528" s="154"/>
      <c r="G528" s="473"/>
      <c r="H528" s="156"/>
      <c r="I528" s="156"/>
      <c r="J528" s="156"/>
      <c r="K528" s="132"/>
      <c r="L528" s="473"/>
      <c r="M528" s="156"/>
      <c r="N528" s="156"/>
      <c r="O528" s="156"/>
      <c r="P528" s="132"/>
      <c r="Q528" s="487"/>
      <c r="R528" s="156"/>
      <c r="S528" s="156"/>
      <c r="T528" s="156"/>
      <c r="U528" s="154"/>
      <c r="V528" s="473"/>
      <c r="W528" s="156"/>
      <c r="X528" s="156"/>
      <c r="Y528" s="156"/>
      <c r="Z528" s="154"/>
      <c r="AA528" s="473"/>
      <c r="AB528" s="156"/>
      <c r="AC528" s="156"/>
      <c r="AD528" s="156"/>
      <c r="AE528" s="154"/>
      <c r="AF528" s="473"/>
      <c r="AG528" s="156"/>
      <c r="AH528" s="156"/>
      <c r="AI528" s="156"/>
      <c r="AJ528" s="154"/>
      <c r="AK528" s="473"/>
      <c r="AL528" s="156"/>
      <c r="AM528" s="156"/>
      <c r="AN528" s="156"/>
      <c r="AO528" s="452"/>
      <c r="AP528" s="452"/>
      <c r="AQ528" s="452"/>
      <c r="AR528" s="452"/>
      <c r="AS528" s="452"/>
      <c r="AT528" s="452"/>
      <c r="AU528" s="452"/>
      <c r="AV528" s="452"/>
      <c r="AW528" s="452"/>
      <c r="AX528" s="452"/>
      <c r="AY528" s="154"/>
      <c r="AZ528" s="473"/>
      <c r="BA528" s="156"/>
      <c r="BB528" s="156"/>
      <c r="BC528" s="156"/>
      <c r="BD528" s="452"/>
      <c r="BE528" s="452"/>
      <c r="BF528" s="452"/>
      <c r="BG528" s="452"/>
      <c r="BH528" s="452"/>
    </row>
    <row r="529">
      <c r="A529" s="154"/>
      <c r="B529" s="473"/>
      <c r="C529" s="156"/>
      <c r="D529" s="156"/>
      <c r="E529" s="156"/>
      <c r="F529" s="154"/>
      <c r="G529" s="473"/>
      <c r="H529" s="156"/>
      <c r="I529" s="156"/>
      <c r="J529" s="156"/>
      <c r="K529" s="132"/>
      <c r="L529" s="473"/>
      <c r="M529" s="156"/>
      <c r="N529" s="156"/>
      <c r="O529" s="156"/>
      <c r="P529" s="132"/>
      <c r="Q529" s="487"/>
      <c r="R529" s="156"/>
      <c r="S529" s="156"/>
      <c r="T529" s="156"/>
      <c r="U529" s="154"/>
      <c r="V529" s="473"/>
      <c r="W529" s="156"/>
      <c r="X529" s="156"/>
      <c r="Y529" s="156"/>
      <c r="Z529" s="154"/>
      <c r="AA529" s="473"/>
      <c r="AB529" s="156"/>
      <c r="AC529" s="156"/>
      <c r="AD529" s="156"/>
      <c r="AE529" s="154"/>
      <c r="AF529" s="473"/>
      <c r="AG529" s="156"/>
      <c r="AH529" s="156"/>
      <c r="AI529" s="156"/>
      <c r="AJ529" s="154"/>
      <c r="AK529" s="473"/>
      <c r="AL529" s="156"/>
      <c r="AM529" s="156"/>
      <c r="AN529" s="156"/>
      <c r="AO529" s="452"/>
      <c r="AP529" s="452"/>
      <c r="AQ529" s="452"/>
      <c r="AR529" s="452"/>
      <c r="AS529" s="452"/>
      <c r="AT529" s="452"/>
      <c r="AU529" s="452"/>
      <c r="AV529" s="452"/>
      <c r="AW529" s="452"/>
      <c r="AX529" s="452"/>
      <c r="AY529" s="154"/>
      <c r="AZ529" s="473"/>
      <c r="BA529" s="156"/>
      <c r="BB529" s="156"/>
      <c r="BC529" s="156"/>
      <c r="BD529" s="452"/>
      <c r="BE529" s="452"/>
      <c r="BF529" s="452"/>
      <c r="BG529" s="452"/>
      <c r="BH529" s="452"/>
    </row>
    <row r="530">
      <c r="A530" s="154"/>
      <c r="B530" s="473"/>
      <c r="C530" s="156"/>
      <c r="D530" s="156"/>
      <c r="E530" s="156"/>
      <c r="F530" s="154"/>
      <c r="G530" s="473"/>
      <c r="H530" s="156"/>
      <c r="I530" s="156"/>
      <c r="J530" s="156"/>
      <c r="K530" s="132"/>
      <c r="L530" s="473"/>
      <c r="M530" s="156"/>
      <c r="N530" s="156"/>
      <c r="O530" s="156"/>
      <c r="P530" s="132"/>
      <c r="Q530" s="487"/>
      <c r="R530" s="156"/>
      <c r="S530" s="156"/>
      <c r="T530" s="156"/>
      <c r="U530" s="154"/>
      <c r="V530" s="473"/>
      <c r="W530" s="156"/>
      <c r="X530" s="156"/>
      <c r="Y530" s="156"/>
      <c r="Z530" s="154"/>
      <c r="AA530" s="473"/>
      <c r="AB530" s="156"/>
      <c r="AC530" s="156"/>
      <c r="AD530" s="156"/>
      <c r="AE530" s="154"/>
      <c r="AF530" s="473"/>
      <c r="AG530" s="156"/>
      <c r="AH530" s="156"/>
      <c r="AI530" s="156"/>
      <c r="AJ530" s="154"/>
      <c r="AK530" s="473"/>
      <c r="AL530" s="156"/>
      <c r="AM530" s="156"/>
      <c r="AN530" s="156"/>
      <c r="AO530" s="452"/>
      <c r="AP530" s="452"/>
      <c r="AQ530" s="452"/>
      <c r="AR530" s="452"/>
      <c r="AS530" s="452"/>
      <c r="AT530" s="452"/>
      <c r="AU530" s="452"/>
      <c r="AV530" s="452"/>
      <c r="AW530" s="452"/>
      <c r="AX530" s="452"/>
      <c r="AY530" s="154"/>
      <c r="AZ530" s="473"/>
      <c r="BA530" s="156"/>
      <c r="BB530" s="156"/>
      <c r="BC530" s="156"/>
      <c r="BD530" s="452"/>
      <c r="BE530" s="452"/>
      <c r="BF530" s="452"/>
      <c r="BG530" s="452"/>
      <c r="BH530" s="452"/>
    </row>
    <row r="531">
      <c r="A531" s="154"/>
      <c r="B531" s="473"/>
      <c r="C531" s="156"/>
      <c r="D531" s="156"/>
      <c r="E531" s="156"/>
      <c r="F531" s="154"/>
      <c r="G531" s="473"/>
      <c r="H531" s="156"/>
      <c r="I531" s="156"/>
      <c r="J531" s="156"/>
      <c r="K531" s="132"/>
      <c r="L531" s="473"/>
      <c r="M531" s="156"/>
      <c r="N531" s="156"/>
      <c r="O531" s="156"/>
      <c r="P531" s="132"/>
      <c r="Q531" s="487"/>
      <c r="R531" s="156"/>
      <c r="S531" s="156"/>
      <c r="T531" s="156"/>
      <c r="U531" s="154"/>
      <c r="V531" s="473"/>
      <c r="W531" s="156"/>
      <c r="X531" s="156"/>
      <c r="Y531" s="156"/>
      <c r="Z531" s="154"/>
      <c r="AA531" s="473"/>
      <c r="AB531" s="156"/>
      <c r="AC531" s="156"/>
      <c r="AD531" s="156"/>
      <c r="AE531" s="154"/>
      <c r="AF531" s="473"/>
      <c r="AG531" s="156"/>
      <c r="AH531" s="156"/>
      <c r="AI531" s="156"/>
      <c r="AJ531" s="154"/>
      <c r="AK531" s="473"/>
      <c r="AL531" s="156"/>
      <c r="AM531" s="156"/>
      <c r="AN531" s="156"/>
      <c r="AO531" s="452"/>
      <c r="AP531" s="452"/>
      <c r="AQ531" s="452"/>
      <c r="AR531" s="452"/>
      <c r="AS531" s="452"/>
      <c r="AT531" s="452"/>
      <c r="AU531" s="452"/>
      <c r="AV531" s="452"/>
      <c r="AW531" s="452"/>
      <c r="AX531" s="452"/>
      <c r="AY531" s="154"/>
      <c r="AZ531" s="473"/>
      <c r="BA531" s="156"/>
      <c r="BB531" s="156"/>
      <c r="BC531" s="156"/>
      <c r="BD531" s="452"/>
      <c r="BE531" s="452"/>
      <c r="BF531" s="452"/>
      <c r="BG531" s="452"/>
      <c r="BH531" s="452"/>
    </row>
    <row r="532">
      <c r="A532" s="154"/>
      <c r="B532" s="473"/>
      <c r="C532" s="156"/>
      <c r="D532" s="156"/>
      <c r="E532" s="156"/>
      <c r="F532" s="154"/>
      <c r="G532" s="473"/>
      <c r="H532" s="156"/>
      <c r="I532" s="156"/>
      <c r="J532" s="156"/>
      <c r="K532" s="132"/>
      <c r="L532" s="473"/>
      <c r="M532" s="156"/>
      <c r="N532" s="156"/>
      <c r="O532" s="156"/>
      <c r="P532" s="132"/>
      <c r="Q532" s="487"/>
      <c r="R532" s="156"/>
      <c r="S532" s="156"/>
      <c r="T532" s="156"/>
      <c r="U532" s="154"/>
      <c r="V532" s="473"/>
      <c r="W532" s="156"/>
      <c r="X532" s="156"/>
      <c r="Y532" s="156"/>
      <c r="Z532" s="154"/>
      <c r="AA532" s="473"/>
      <c r="AB532" s="156"/>
      <c r="AC532" s="156"/>
      <c r="AD532" s="156"/>
      <c r="AE532" s="154"/>
      <c r="AF532" s="473"/>
      <c r="AG532" s="156"/>
      <c r="AH532" s="156"/>
      <c r="AI532" s="156"/>
      <c r="AJ532" s="154"/>
      <c r="AK532" s="473"/>
      <c r="AL532" s="156"/>
      <c r="AM532" s="156"/>
      <c r="AN532" s="156"/>
      <c r="AO532" s="452"/>
      <c r="AP532" s="452"/>
      <c r="AQ532" s="452"/>
      <c r="AR532" s="452"/>
      <c r="AS532" s="452"/>
      <c r="AT532" s="452"/>
      <c r="AU532" s="452"/>
      <c r="AV532" s="452"/>
      <c r="AW532" s="452"/>
      <c r="AX532" s="452"/>
      <c r="AY532" s="154"/>
      <c r="AZ532" s="473"/>
      <c r="BA532" s="156"/>
      <c r="BB532" s="156"/>
      <c r="BC532" s="156"/>
      <c r="BD532" s="452"/>
      <c r="BE532" s="452"/>
      <c r="BF532" s="452"/>
      <c r="BG532" s="452"/>
      <c r="BH532" s="452"/>
    </row>
    <row r="533">
      <c r="A533" s="154"/>
      <c r="B533" s="473"/>
      <c r="C533" s="156"/>
      <c r="D533" s="156"/>
      <c r="E533" s="156"/>
      <c r="F533" s="154"/>
      <c r="G533" s="473"/>
      <c r="H533" s="156"/>
      <c r="I533" s="156"/>
      <c r="J533" s="156"/>
      <c r="K533" s="132"/>
      <c r="L533" s="473"/>
      <c r="M533" s="156"/>
      <c r="N533" s="156"/>
      <c r="O533" s="156"/>
      <c r="P533" s="132"/>
      <c r="Q533" s="487"/>
      <c r="R533" s="156"/>
      <c r="S533" s="156"/>
      <c r="T533" s="156"/>
      <c r="U533" s="154"/>
      <c r="V533" s="473"/>
      <c r="W533" s="156"/>
      <c r="X533" s="156"/>
      <c r="Y533" s="156"/>
      <c r="Z533" s="154"/>
      <c r="AA533" s="473"/>
      <c r="AB533" s="156"/>
      <c r="AC533" s="156"/>
      <c r="AD533" s="156"/>
      <c r="AE533" s="154"/>
      <c r="AF533" s="473"/>
      <c r="AG533" s="156"/>
      <c r="AH533" s="156"/>
      <c r="AI533" s="156"/>
      <c r="AJ533" s="154"/>
      <c r="AK533" s="473"/>
      <c r="AL533" s="156"/>
      <c r="AM533" s="156"/>
      <c r="AN533" s="156"/>
      <c r="AO533" s="452"/>
      <c r="AP533" s="452"/>
      <c r="AQ533" s="452"/>
      <c r="AR533" s="452"/>
      <c r="AS533" s="452"/>
      <c r="AT533" s="452"/>
      <c r="AU533" s="452"/>
      <c r="AV533" s="452"/>
      <c r="AW533" s="452"/>
      <c r="AX533" s="452"/>
      <c r="AY533" s="154"/>
      <c r="AZ533" s="473"/>
      <c r="BA533" s="156"/>
      <c r="BB533" s="156"/>
      <c r="BC533" s="156"/>
      <c r="BD533" s="452"/>
      <c r="BE533" s="452"/>
      <c r="BF533" s="452"/>
      <c r="BG533" s="452"/>
      <c r="BH533" s="452"/>
    </row>
    <row r="534">
      <c r="A534" s="154"/>
      <c r="B534" s="473"/>
      <c r="C534" s="156"/>
      <c r="D534" s="156"/>
      <c r="E534" s="156"/>
      <c r="F534" s="154"/>
      <c r="G534" s="473"/>
      <c r="H534" s="156"/>
      <c r="I534" s="156"/>
      <c r="J534" s="156"/>
      <c r="K534" s="132"/>
      <c r="L534" s="473"/>
      <c r="M534" s="156"/>
      <c r="N534" s="156"/>
      <c r="O534" s="156"/>
      <c r="P534" s="132"/>
      <c r="Q534" s="487"/>
      <c r="R534" s="156"/>
      <c r="S534" s="156"/>
      <c r="T534" s="156"/>
      <c r="U534" s="154"/>
      <c r="V534" s="473"/>
      <c r="W534" s="156"/>
      <c r="X534" s="156"/>
      <c r="Y534" s="156"/>
      <c r="Z534" s="154"/>
      <c r="AA534" s="473"/>
      <c r="AB534" s="156"/>
      <c r="AC534" s="156"/>
      <c r="AD534" s="156"/>
      <c r="AE534" s="154"/>
      <c r="AF534" s="473"/>
      <c r="AG534" s="156"/>
      <c r="AH534" s="156"/>
      <c r="AI534" s="156"/>
      <c r="AJ534" s="154"/>
      <c r="AK534" s="473"/>
      <c r="AL534" s="156"/>
      <c r="AM534" s="156"/>
      <c r="AN534" s="156"/>
      <c r="AO534" s="452"/>
      <c r="AP534" s="452"/>
      <c r="AQ534" s="452"/>
      <c r="AR534" s="452"/>
      <c r="AS534" s="452"/>
      <c r="AT534" s="452"/>
      <c r="AU534" s="452"/>
      <c r="AV534" s="452"/>
      <c r="AW534" s="452"/>
      <c r="AX534" s="452"/>
      <c r="AY534" s="154"/>
      <c r="AZ534" s="473"/>
      <c r="BA534" s="156"/>
      <c r="BB534" s="156"/>
      <c r="BC534" s="156"/>
      <c r="BD534" s="452"/>
      <c r="BE534" s="452"/>
      <c r="BF534" s="452"/>
      <c r="BG534" s="452"/>
      <c r="BH534" s="452"/>
    </row>
    <row r="535">
      <c r="A535" s="154"/>
      <c r="B535" s="473"/>
      <c r="C535" s="156"/>
      <c r="D535" s="156"/>
      <c r="E535" s="156"/>
      <c r="F535" s="154"/>
      <c r="G535" s="473"/>
      <c r="H535" s="156"/>
      <c r="I535" s="156"/>
      <c r="J535" s="156"/>
      <c r="K535" s="132"/>
      <c r="L535" s="473"/>
      <c r="M535" s="156"/>
      <c r="N535" s="156"/>
      <c r="O535" s="156"/>
      <c r="P535" s="132"/>
      <c r="Q535" s="487"/>
      <c r="R535" s="156"/>
      <c r="S535" s="156"/>
      <c r="T535" s="156"/>
      <c r="U535" s="154"/>
      <c r="V535" s="473"/>
      <c r="W535" s="156"/>
      <c r="X535" s="156"/>
      <c r="Y535" s="156"/>
      <c r="Z535" s="154"/>
      <c r="AA535" s="473"/>
      <c r="AB535" s="156"/>
      <c r="AC535" s="156"/>
      <c r="AD535" s="156"/>
      <c r="AE535" s="154"/>
      <c r="AF535" s="473"/>
      <c r="AG535" s="156"/>
      <c r="AH535" s="156"/>
      <c r="AI535" s="156"/>
      <c r="AJ535" s="154"/>
      <c r="AK535" s="473"/>
      <c r="AL535" s="156"/>
      <c r="AM535" s="156"/>
      <c r="AN535" s="156"/>
      <c r="AO535" s="452"/>
      <c r="AP535" s="452"/>
      <c r="AQ535" s="452"/>
      <c r="AR535" s="452"/>
      <c r="AS535" s="452"/>
      <c r="AT535" s="452"/>
      <c r="AU535" s="452"/>
      <c r="AV535" s="452"/>
      <c r="AW535" s="452"/>
      <c r="AX535" s="452"/>
      <c r="AY535" s="154"/>
      <c r="AZ535" s="473"/>
      <c r="BA535" s="156"/>
      <c r="BB535" s="156"/>
      <c r="BC535" s="156"/>
      <c r="BD535" s="452"/>
      <c r="BE535" s="452"/>
      <c r="BF535" s="452"/>
      <c r="BG535" s="452"/>
      <c r="BH535" s="452"/>
    </row>
    <row r="536">
      <c r="A536" s="154"/>
      <c r="B536" s="473"/>
      <c r="C536" s="156"/>
      <c r="D536" s="156"/>
      <c r="E536" s="156"/>
      <c r="F536" s="154"/>
      <c r="G536" s="473"/>
      <c r="H536" s="156"/>
      <c r="I536" s="156"/>
      <c r="J536" s="156"/>
      <c r="K536" s="132"/>
      <c r="L536" s="473"/>
      <c r="M536" s="156"/>
      <c r="N536" s="156"/>
      <c r="O536" s="156"/>
      <c r="P536" s="132"/>
      <c r="Q536" s="487"/>
      <c r="R536" s="156"/>
      <c r="S536" s="156"/>
      <c r="T536" s="156"/>
      <c r="U536" s="154"/>
      <c r="V536" s="473"/>
      <c r="W536" s="156"/>
      <c r="X536" s="156"/>
      <c r="Y536" s="156"/>
      <c r="Z536" s="154"/>
      <c r="AA536" s="473"/>
      <c r="AB536" s="156"/>
      <c r="AC536" s="156"/>
      <c r="AD536" s="156"/>
      <c r="AE536" s="154"/>
      <c r="AF536" s="473"/>
      <c r="AG536" s="156"/>
      <c r="AH536" s="156"/>
      <c r="AI536" s="156"/>
      <c r="AJ536" s="154"/>
      <c r="AK536" s="473"/>
      <c r="AL536" s="156"/>
      <c r="AM536" s="156"/>
      <c r="AN536" s="156"/>
      <c r="AO536" s="452"/>
      <c r="AP536" s="452"/>
      <c r="AQ536" s="452"/>
      <c r="AR536" s="452"/>
      <c r="AS536" s="452"/>
      <c r="AT536" s="452"/>
      <c r="AU536" s="452"/>
      <c r="AV536" s="452"/>
      <c r="AW536" s="452"/>
      <c r="AX536" s="452"/>
      <c r="AY536" s="154"/>
      <c r="AZ536" s="473"/>
      <c r="BA536" s="156"/>
      <c r="BB536" s="156"/>
      <c r="BC536" s="156"/>
      <c r="BD536" s="452"/>
      <c r="BE536" s="452"/>
      <c r="BF536" s="452"/>
      <c r="BG536" s="452"/>
      <c r="BH536" s="452"/>
    </row>
    <row r="537">
      <c r="A537" s="154"/>
      <c r="B537" s="473"/>
      <c r="C537" s="156"/>
      <c r="D537" s="156"/>
      <c r="E537" s="156"/>
      <c r="F537" s="154"/>
      <c r="G537" s="473"/>
      <c r="H537" s="156"/>
      <c r="I537" s="156"/>
      <c r="J537" s="156"/>
      <c r="K537" s="132"/>
      <c r="L537" s="473"/>
      <c r="M537" s="156"/>
      <c r="N537" s="156"/>
      <c r="O537" s="156"/>
      <c r="P537" s="132"/>
      <c r="Q537" s="487"/>
      <c r="R537" s="156"/>
      <c r="S537" s="156"/>
      <c r="T537" s="156"/>
      <c r="U537" s="154"/>
      <c r="V537" s="473"/>
      <c r="W537" s="156"/>
      <c r="X537" s="156"/>
      <c r="Y537" s="156"/>
      <c r="Z537" s="154"/>
      <c r="AA537" s="473"/>
      <c r="AB537" s="156"/>
      <c r="AC537" s="156"/>
      <c r="AD537" s="156"/>
      <c r="AE537" s="154"/>
      <c r="AF537" s="473"/>
      <c r="AG537" s="156"/>
      <c r="AH537" s="156"/>
      <c r="AI537" s="156"/>
      <c r="AJ537" s="154"/>
      <c r="AK537" s="473"/>
      <c r="AL537" s="156"/>
      <c r="AM537" s="156"/>
      <c r="AN537" s="156"/>
      <c r="AO537" s="452"/>
      <c r="AP537" s="452"/>
      <c r="AQ537" s="452"/>
      <c r="AR537" s="452"/>
      <c r="AS537" s="452"/>
      <c r="AT537" s="452"/>
      <c r="AU537" s="452"/>
      <c r="AV537" s="452"/>
      <c r="AW537" s="452"/>
      <c r="AX537" s="452"/>
      <c r="AY537" s="154"/>
      <c r="AZ537" s="473"/>
      <c r="BA537" s="156"/>
      <c r="BB537" s="156"/>
      <c r="BC537" s="156"/>
      <c r="BD537" s="452"/>
      <c r="BE537" s="452"/>
      <c r="BF537" s="452"/>
      <c r="BG537" s="452"/>
      <c r="BH537" s="452"/>
    </row>
    <row r="538">
      <c r="A538" s="154"/>
      <c r="B538" s="473"/>
      <c r="C538" s="156"/>
      <c r="D538" s="156"/>
      <c r="E538" s="156"/>
      <c r="F538" s="154"/>
      <c r="G538" s="473"/>
      <c r="H538" s="156"/>
      <c r="I538" s="156"/>
      <c r="J538" s="156"/>
      <c r="K538" s="132"/>
      <c r="L538" s="473"/>
      <c r="M538" s="156"/>
      <c r="N538" s="156"/>
      <c r="O538" s="156"/>
      <c r="P538" s="132"/>
      <c r="Q538" s="487"/>
      <c r="R538" s="156"/>
      <c r="S538" s="156"/>
      <c r="T538" s="156"/>
      <c r="U538" s="154"/>
      <c r="V538" s="473"/>
      <c r="W538" s="156"/>
      <c r="X538" s="156"/>
      <c r="Y538" s="156"/>
      <c r="Z538" s="154"/>
      <c r="AA538" s="473"/>
      <c r="AB538" s="156"/>
      <c r="AC538" s="156"/>
      <c r="AD538" s="156"/>
      <c r="AE538" s="154"/>
      <c r="AF538" s="473"/>
      <c r="AG538" s="156"/>
      <c r="AH538" s="156"/>
      <c r="AI538" s="156"/>
      <c r="AJ538" s="154"/>
      <c r="AK538" s="473"/>
      <c r="AL538" s="156"/>
      <c r="AM538" s="156"/>
      <c r="AN538" s="156"/>
      <c r="AO538" s="452"/>
      <c r="AP538" s="452"/>
      <c r="AQ538" s="452"/>
      <c r="AR538" s="452"/>
      <c r="AS538" s="452"/>
      <c r="AT538" s="452"/>
      <c r="AU538" s="452"/>
      <c r="AV538" s="452"/>
      <c r="AW538" s="452"/>
      <c r="AX538" s="452"/>
      <c r="AY538" s="154"/>
      <c r="AZ538" s="473"/>
      <c r="BA538" s="156"/>
      <c r="BB538" s="156"/>
      <c r="BC538" s="156"/>
      <c r="BD538" s="452"/>
      <c r="BE538" s="452"/>
      <c r="BF538" s="452"/>
      <c r="BG538" s="452"/>
      <c r="BH538" s="452"/>
    </row>
    <row r="539">
      <c r="A539" s="154"/>
      <c r="B539" s="473"/>
      <c r="C539" s="156"/>
      <c r="D539" s="156"/>
      <c r="E539" s="156"/>
      <c r="F539" s="154"/>
      <c r="G539" s="473"/>
      <c r="H539" s="156"/>
      <c r="I539" s="156"/>
      <c r="J539" s="156"/>
      <c r="K539" s="132"/>
      <c r="L539" s="473"/>
      <c r="M539" s="156"/>
      <c r="N539" s="156"/>
      <c r="O539" s="156"/>
      <c r="P539" s="132"/>
      <c r="Q539" s="487"/>
      <c r="R539" s="156"/>
      <c r="S539" s="156"/>
      <c r="T539" s="156"/>
      <c r="U539" s="154"/>
      <c r="V539" s="473"/>
      <c r="W539" s="156"/>
      <c r="X539" s="156"/>
      <c r="Y539" s="156"/>
      <c r="Z539" s="154"/>
      <c r="AA539" s="473"/>
      <c r="AB539" s="156"/>
      <c r="AC539" s="156"/>
      <c r="AD539" s="156"/>
      <c r="AE539" s="154"/>
      <c r="AF539" s="473"/>
      <c r="AG539" s="156"/>
      <c r="AH539" s="156"/>
      <c r="AI539" s="156"/>
      <c r="AJ539" s="154"/>
      <c r="AK539" s="473"/>
      <c r="AL539" s="156"/>
      <c r="AM539" s="156"/>
      <c r="AN539" s="156"/>
      <c r="AO539" s="452"/>
      <c r="AP539" s="452"/>
      <c r="AQ539" s="452"/>
      <c r="AR539" s="452"/>
      <c r="AS539" s="452"/>
      <c r="AT539" s="452"/>
      <c r="AU539" s="452"/>
      <c r="AV539" s="452"/>
      <c r="AW539" s="452"/>
      <c r="AX539" s="452"/>
      <c r="AY539" s="154"/>
      <c r="AZ539" s="473"/>
      <c r="BA539" s="156"/>
      <c r="BB539" s="156"/>
      <c r="BC539" s="156"/>
      <c r="BD539" s="452"/>
      <c r="BE539" s="452"/>
      <c r="BF539" s="452"/>
      <c r="BG539" s="452"/>
      <c r="BH539" s="452"/>
    </row>
    <row r="540">
      <c r="A540" s="154"/>
      <c r="B540" s="473"/>
      <c r="C540" s="156"/>
      <c r="D540" s="156"/>
      <c r="E540" s="156"/>
      <c r="F540" s="154"/>
      <c r="G540" s="473"/>
      <c r="H540" s="156"/>
      <c r="I540" s="156"/>
      <c r="J540" s="156"/>
      <c r="K540" s="132"/>
      <c r="L540" s="473"/>
      <c r="M540" s="156"/>
      <c r="N540" s="156"/>
      <c r="O540" s="156"/>
      <c r="P540" s="132"/>
      <c r="Q540" s="487"/>
      <c r="R540" s="156"/>
      <c r="S540" s="156"/>
      <c r="T540" s="156"/>
      <c r="U540" s="154"/>
      <c r="V540" s="473"/>
      <c r="W540" s="156"/>
      <c r="X540" s="156"/>
      <c r="Y540" s="156"/>
      <c r="Z540" s="154"/>
      <c r="AA540" s="473"/>
      <c r="AB540" s="156"/>
      <c r="AC540" s="156"/>
      <c r="AD540" s="156"/>
      <c r="AE540" s="154"/>
      <c r="AF540" s="473"/>
      <c r="AG540" s="156"/>
      <c r="AH540" s="156"/>
      <c r="AI540" s="156"/>
      <c r="AJ540" s="154"/>
      <c r="AK540" s="473"/>
      <c r="AL540" s="156"/>
      <c r="AM540" s="156"/>
      <c r="AN540" s="156"/>
      <c r="AO540" s="452"/>
      <c r="AP540" s="452"/>
      <c r="AQ540" s="452"/>
      <c r="AR540" s="452"/>
      <c r="AS540" s="452"/>
      <c r="AT540" s="452"/>
      <c r="AU540" s="452"/>
      <c r="AV540" s="452"/>
      <c r="AW540" s="452"/>
      <c r="AX540" s="452"/>
      <c r="AY540" s="154"/>
      <c r="AZ540" s="473"/>
      <c r="BA540" s="156"/>
      <c r="BB540" s="156"/>
      <c r="BC540" s="156"/>
      <c r="BD540" s="452"/>
      <c r="BE540" s="452"/>
      <c r="BF540" s="452"/>
      <c r="BG540" s="452"/>
      <c r="BH540" s="452"/>
    </row>
    <row r="541">
      <c r="A541" s="154"/>
      <c r="B541" s="473"/>
      <c r="C541" s="156"/>
      <c r="D541" s="156"/>
      <c r="E541" s="156"/>
      <c r="F541" s="154"/>
      <c r="G541" s="473"/>
      <c r="H541" s="156"/>
      <c r="I541" s="156"/>
      <c r="J541" s="156"/>
      <c r="K541" s="132"/>
      <c r="L541" s="473"/>
      <c r="M541" s="156"/>
      <c r="N541" s="156"/>
      <c r="O541" s="156"/>
      <c r="P541" s="132"/>
      <c r="Q541" s="487"/>
      <c r="R541" s="156"/>
      <c r="S541" s="156"/>
      <c r="T541" s="156"/>
      <c r="U541" s="154"/>
      <c r="V541" s="473"/>
      <c r="W541" s="156"/>
      <c r="X541" s="156"/>
      <c r="Y541" s="156"/>
      <c r="Z541" s="154"/>
      <c r="AA541" s="473"/>
      <c r="AB541" s="156"/>
      <c r="AC541" s="156"/>
      <c r="AD541" s="156"/>
      <c r="AE541" s="154"/>
      <c r="AF541" s="473"/>
      <c r="AG541" s="156"/>
      <c r="AH541" s="156"/>
      <c r="AI541" s="156"/>
      <c r="AJ541" s="154"/>
      <c r="AK541" s="473"/>
      <c r="AL541" s="156"/>
      <c r="AM541" s="156"/>
      <c r="AN541" s="156"/>
      <c r="AO541" s="452"/>
      <c r="AP541" s="452"/>
      <c r="AQ541" s="452"/>
      <c r="AR541" s="452"/>
      <c r="AS541" s="452"/>
      <c r="AT541" s="452"/>
      <c r="AU541" s="452"/>
      <c r="AV541" s="452"/>
      <c r="AW541" s="452"/>
      <c r="AX541" s="452"/>
      <c r="AY541" s="154"/>
      <c r="AZ541" s="473"/>
      <c r="BA541" s="156"/>
      <c r="BB541" s="156"/>
      <c r="BC541" s="156"/>
      <c r="BD541" s="452"/>
      <c r="BE541" s="452"/>
      <c r="BF541" s="452"/>
      <c r="BG541" s="452"/>
      <c r="BH541" s="452"/>
    </row>
    <row r="542">
      <c r="A542" s="154"/>
      <c r="B542" s="473"/>
      <c r="C542" s="156"/>
      <c r="D542" s="156"/>
      <c r="E542" s="156"/>
      <c r="F542" s="154"/>
      <c r="G542" s="473"/>
      <c r="H542" s="156"/>
      <c r="I542" s="156"/>
      <c r="J542" s="156"/>
      <c r="K542" s="132"/>
      <c r="L542" s="473"/>
      <c r="M542" s="156"/>
      <c r="N542" s="156"/>
      <c r="O542" s="156"/>
      <c r="P542" s="132"/>
      <c r="Q542" s="487"/>
      <c r="R542" s="156"/>
      <c r="S542" s="156"/>
      <c r="T542" s="156"/>
      <c r="U542" s="154"/>
      <c r="V542" s="473"/>
      <c r="W542" s="156"/>
      <c r="X542" s="156"/>
      <c r="Y542" s="156"/>
      <c r="Z542" s="154"/>
      <c r="AA542" s="473"/>
      <c r="AB542" s="156"/>
      <c r="AC542" s="156"/>
      <c r="AD542" s="156"/>
      <c r="AE542" s="154"/>
      <c r="AF542" s="473"/>
      <c r="AG542" s="156"/>
      <c r="AH542" s="156"/>
      <c r="AI542" s="156"/>
      <c r="AJ542" s="154"/>
      <c r="AK542" s="473"/>
      <c r="AL542" s="156"/>
      <c r="AM542" s="156"/>
      <c r="AN542" s="156"/>
      <c r="AO542" s="452"/>
      <c r="AP542" s="452"/>
      <c r="AQ542" s="452"/>
      <c r="AR542" s="452"/>
      <c r="AS542" s="452"/>
      <c r="AT542" s="452"/>
      <c r="AU542" s="452"/>
      <c r="AV542" s="452"/>
      <c r="AW542" s="452"/>
      <c r="AX542" s="452"/>
      <c r="AY542" s="154"/>
      <c r="AZ542" s="473"/>
      <c r="BA542" s="156"/>
      <c r="BB542" s="156"/>
      <c r="BC542" s="156"/>
      <c r="BD542" s="452"/>
      <c r="BE542" s="452"/>
      <c r="BF542" s="452"/>
      <c r="BG542" s="452"/>
      <c r="BH542" s="452"/>
    </row>
    <row r="543">
      <c r="A543" s="154"/>
      <c r="B543" s="473"/>
      <c r="C543" s="156"/>
      <c r="D543" s="156"/>
      <c r="E543" s="156"/>
      <c r="F543" s="154"/>
      <c r="G543" s="473"/>
      <c r="H543" s="156"/>
      <c r="I543" s="156"/>
      <c r="J543" s="156"/>
      <c r="K543" s="132"/>
      <c r="L543" s="473"/>
      <c r="M543" s="156"/>
      <c r="N543" s="156"/>
      <c r="O543" s="156"/>
      <c r="P543" s="132"/>
      <c r="Q543" s="487"/>
      <c r="R543" s="156"/>
      <c r="S543" s="156"/>
      <c r="T543" s="156"/>
      <c r="U543" s="154"/>
      <c r="V543" s="473"/>
      <c r="W543" s="156"/>
      <c r="X543" s="156"/>
      <c r="Y543" s="156"/>
      <c r="Z543" s="154"/>
      <c r="AA543" s="473"/>
      <c r="AB543" s="156"/>
      <c r="AC543" s="156"/>
      <c r="AD543" s="156"/>
      <c r="AE543" s="154"/>
      <c r="AF543" s="473"/>
      <c r="AG543" s="156"/>
      <c r="AH543" s="156"/>
      <c r="AI543" s="156"/>
      <c r="AJ543" s="154"/>
      <c r="AK543" s="473"/>
      <c r="AL543" s="156"/>
      <c r="AM543" s="156"/>
      <c r="AN543" s="156"/>
      <c r="AO543" s="452"/>
      <c r="AP543" s="452"/>
      <c r="AQ543" s="452"/>
      <c r="AR543" s="452"/>
      <c r="AS543" s="452"/>
      <c r="AT543" s="452"/>
      <c r="AU543" s="452"/>
      <c r="AV543" s="452"/>
      <c r="AW543" s="452"/>
      <c r="AX543" s="452"/>
      <c r="AY543" s="154"/>
      <c r="AZ543" s="473"/>
      <c r="BA543" s="156"/>
      <c r="BB543" s="156"/>
      <c r="BC543" s="156"/>
      <c r="BD543" s="452"/>
      <c r="BE543" s="452"/>
      <c r="BF543" s="452"/>
      <c r="BG543" s="452"/>
      <c r="BH543" s="452"/>
    </row>
    <row r="544">
      <c r="A544" s="154"/>
      <c r="B544" s="473"/>
      <c r="C544" s="156"/>
      <c r="D544" s="156"/>
      <c r="E544" s="156"/>
      <c r="F544" s="154"/>
      <c r="G544" s="473"/>
      <c r="H544" s="156"/>
      <c r="I544" s="156"/>
      <c r="J544" s="156"/>
      <c r="K544" s="132"/>
      <c r="L544" s="473"/>
      <c r="M544" s="156"/>
      <c r="N544" s="156"/>
      <c r="O544" s="156"/>
      <c r="P544" s="132"/>
      <c r="Q544" s="487"/>
      <c r="R544" s="156"/>
      <c r="S544" s="156"/>
      <c r="T544" s="156"/>
      <c r="U544" s="154"/>
      <c r="V544" s="473"/>
      <c r="W544" s="156"/>
      <c r="X544" s="156"/>
      <c r="Y544" s="156"/>
      <c r="Z544" s="154"/>
      <c r="AA544" s="473"/>
      <c r="AB544" s="156"/>
      <c r="AC544" s="156"/>
      <c r="AD544" s="156"/>
      <c r="AE544" s="154"/>
      <c r="AF544" s="473"/>
      <c r="AG544" s="156"/>
      <c r="AH544" s="156"/>
      <c r="AI544" s="156"/>
      <c r="AJ544" s="154"/>
      <c r="AK544" s="473"/>
      <c r="AL544" s="156"/>
      <c r="AM544" s="156"/>
      <c r="AN544" s="156"/>
      <c r="AO544" s="452"/>
      <c r="AP544" s="452"/>
      <c r="AQ544" s="452"/>
      <c r="AR544" s="452"/>
      <c r="AS544" s="452"/>
      <c r="AT544" s="452"/>
      <c r="AU544" s="452"/>
      <c r="AV544" s="452"/>
      <c r="AW544" s="452"/>
      <c r="AX544" s="452"/>
      <c r="AY544" s="154"/>
      <c r="AZ544" s="473"/>
      <c r="BA544" s="156"/>
      <c r="BB544" s="156"/>
      <c r="BC544" s="156"/>
      <c r="BD544" s="452"/>
      <c r="BE544" s="452"/>
      <c r="BF544" s="452"/>
      <c r="BG544" s="452"/>
      <c r="BH544" s="452"/>
    </row>
    <row r="545">
      <c r="A545" s="154"/>
      <c r="B545" s="473"/>
      <c r="C545" s="156"/>
      <c r="D545" s="156"/>
      <c r="E545" s="156"/>
      <c r="F545" s="154"/>
      <c r="G545" s="473"/>
      <c r="H545" s="156"/>
      <c r="I545" s="156"/>
      <c r="J545" s="156"/>
      <c r="K545" s="132"/>
      <c r="L545" s="473"/>
      <c r="M545" s="156"/>
      <c r="N545" s="156"/>
      <c r="O545" s="156"/>
      <c r="P545" s="132"/>
      <c r="Q545" s="487"/>
      <c r="R545" s="156"/>
      <c r="S545" s="156"/>
      <c r="T545" s="156"/>
      <c r="U545" s="154"/>
      <c r="V545" s="473"/>
      <c r="W545" s="156"/>
      <c r="X545" s="156"/>
      <c r="Y545" s="156"/>
      <c r="Z545" s="154"/>
      <c r="AA545" s="473"/>
      <c r="AB545" s="156"/>
      <c r="AC545" s="156"/>
      <c r="AD545" s="156"/>
      <c r="AE545" s="154"/>
      <c r="AF545" s="473"/>
      <c r="AG545" s="156"/>
      <c r="AH545" s="156"/>
      <c r="AI545" s="156"/>
      <c r="AJ545" s="154"/>
      <c r="AK545" s="473"/>
      <c r="AL545" s="156"/>
      <c r="AM545" s="156"/>
      <c r="AN545" s="156"/>
      <c r="AO545" s="452"/>
      <c r="AP545" s="452"/>
      <c r="AQ545" s="452"/>
      <c r="AR545" s="452"/>
      <c r="AS545" s="452"/>
      <c r="AT545" s="452"/>
      <c r="AU545" s="452"/>
      <c r="AV545" s="452"/>
      <c r="AW545" s="452"/>
      <c r="AX545" s="452"/>
      <c r="AY545" s="154"/>
      <c r="AZ545" s="473"/>
      <c r="BA545" s="156"/>
      <c r="BB545" s="156"/>
      <c r="BC545" s="156"/>
      <c r="BD545" s="452"/>
      <c r="BE545" s="452"/>
      <c r="BF545" s="452"/>
      <c r="BG545" s="452"/>
      <c r="BH545" s="452"/>
    </row>
    <row r="546">
      <c r="A546" s="154"/>
      <c r="B546" s="473"/>
      <c r="C546" s="156"/>
      <c r="D546" s="156"/>
      <c r="E546" s="156"/>
      <c r="F546" s="154"/>
      <c r="G546" s="473"/>
      <c r="H546" s="156"/>
      <c r="I546" s="156"/>
      <c r="J546" s="156"/>
      <c r="K546" s="132"/>
      <c r="L546" s="473"/>
      <c r="M546" s="156"/>
      <c r="N546" s="156"/>
      <c r="O546" s="156"/>
      <c r="P546" s="132"/>
      <c r="Q546" s="487"/>
      <c r="R546" s="156"/>
      <c r="S546" s="156"/>
      <c r="T546" s="156"/>
      <c r="U546" s="154"/>
      <c r="V546" s="473"/>
      <c r="W546" s="156"/>
      <c r="X546" s="156"/>
      <c r="Y546" s="156"/>
      <c r="Z546" s="154"/>
      <c r="AA546" s="473"/>
      <c r="AB546" s="156"/>
      <c r="AC546" s="156"/>
      <c r="AD546" s="156"/>
      <c r="AE546" s="154"/>
      <c r="AF546" s="473"/>
      <c r="AG546" s="156"/>
      <c r="AH546" s="156"/>
      <c r="AI546" s="156"/>
      <c r="AJ546" s="154"/>
      <c r="AK546" s="473"/>
      <c r="AL546" s="156"/>
      <c r="AM546" s="156"/>
      <c r="AN546" s="156"/>
      <c r="AO546" s="452"/>
      <c r="AP546" s="452"/>
      <c r="AQ546" s="452"/>
      <c r="AR546" s="452"/>
      <c r="AS546" s="452"/>
      <c r="AT546" s="452"/>
      <c r="AU546" s="452"/>
      <c r="AV546" s="452"/>
      <c r="AW546" s="452"/>
      <c r="AX546" s="452"/>
      <c r="AY546" s="154"/>
      <c r="AZ546" s="473"/>
      <c r="BA546" s="156"/>
      <c r="BB546" s="156"/>
      <c r="BC546" s="156"/>
      <c r="BD546" s="452"/>
      <c r="BE546" s="452"/>
      <c r="BF546" s="452"/>
      <c r="BG546" s="452"/>
      <c r="BH546" s="452"/>
    </row>
    <row r="547">
      <c r="A547" s="154"/>
      <c r="B547" s="473"/>
      <c r="C547" s="156"/>
      <c r="D547" s="156"/>
      <c r="E547" s="156"/>
      <c r="F547" s="154"/>
      <c r="G547" s="473"/>
      <c r="H547" s="156"/>
      <c r="I547" s="156"/>
      <c r="J547" s="156"/>
      <c r="K547" s="132"/>
      <c r="L547" s="473"/>
      <c r="M547" s="156"/>
      <c r="N547" s="156"/>
      <c r="O547" s="156"/>
      <c r="P547" s="132"/>
      <c r="Q547" s="487"/>
      <c r="R547" s="156"/>
      <c r="S547" s="156"/>
      <c r="T547" s="156"/>
      <c r="U547" s="154"/>
      <c r="V547" s="473"/>
      <c r="W547" s="156"/>
      <c r="X547" s="156"/>
      <c r="Y547" s="156"/>
      <c r="Z547" s="154"/>
      <c r="AA547" s="473"/>
      <c r="AB547" s="156"/>
      <c r="AC547" s="156"/>
      <c r="AD547" s="156"/>
      <c r="AE547" s="154"/>
      <c r="AF547" s="473"/>
      <c r="AG547" s="156"/>
      <c r="AH547" s="156"/>
      <c r="AI547" s="156"/>
      <c r="AJ547" s="154"/>
      <c r="AK547" s="473"/>
      <c r="AL547" s="156"/>
      <c r="AM547" s="156"/>
      <c r="AN547" s="156"/>
      <c r="AO547" s="452"/>
      <c r="AP547" s="452"/>
      <c r="AQ547" s="452"/>
      <c r="AR547" s="452"/>
      <c r="AS547" s="452"/>
      <c r="AT547" s="452"/>
      <c r="AU547" s="452"/>
      <c r="AV547" s="452"/>
      <c r="AW547" s="452"/>
      <c r="AX547" s="452"/>
      <c r="AY547" s="154"/>
      <c r="AZ547" s="473"/>
      <c r="BA547" s="156"/>
      <c r="BB547" s="156"/>
      <c r="BC547" s="156"/>
      <c r="BD547" s="452"/>
      <c r="BE547" s="452"/>
      <c r="BF547" s="452"/>
      <c r="BG547" s="452"/>
      <c r="BH547" s="452"/>
    </row>
    <row r="548">
      <c r="A548" s="154"/>
      <c r="B548" s="473"/>
      <c r="C548" s="156"/>
      <c r="D548" s="156"/>
      <c r="E548" s="156"/>
      <c r="F548" s="154"/>
      <c r="G548" s="473"/>
      <c r="H548" s="156"/>
      <c r="I548" s="156"/>
      <c r="J548" s="156"/>
      <c r="K548" s="132"/>
      <c r="L548" s="473"/>
      <c r="M548" s="156"/>
      <c r="N548" s="156"/>
      <c r="O548" s="156"/>
      <c r="P548" s="132"/>
      <c r="Q548" s="487"/>
      <c r="R548" s="156"/>
      <c r="S548" s="156"/>
      <c r="T548" s="156"/>
      <c r="U548" s="154"/>
      <c r="V548" s="473"/>
      <c r="W548" s="156"/>
      <c r="X548" s="156"/>
      <c r="Y548" s="156"/>
      <c r="Z548" s="154"/>
      <c r="AA548" s="473"/>
      <c r="AB548" s="156"/>
      <c r="AC548" s="156"/>
      <c r="AD548" s="156"/>
      <c r="AE548" s="154"/>
      <c r="AF548" s="473"/>
      <c r="AG548" s="156"/>
      <c r="AH548" s="156"/>
      <c r="AI548" s="156"/>
      <c r="AJ548" s="154"/>
      <c r="AK548" s="473"/>
      <c r="AL548" s="156"/>
      <c r="AM548" s="156"/>
      <c r="AN548" s="156"/>
      <c r="AO548" s="452"/>
      <c r="AP548" s="452"/>
      <c r="AQ548" s="452"/>
      <c r="AR548" s="452"/>
      <c r="AS548" s="452"/>
      <c r="AT548" s="452"/>
      <c r="AU548" s="452"/>
      <c r="AV548" s="452"/>
      <c r="AW548" s="452"/>
      <c r="AX548" s="452"/>
      <c r="AY548" s="154"/>
      <c r="AZ548" s="473"/>
      <c r="BA548" s="156"/>
      <c r="BB548" s="156"/>
      <c r="BC548" s="156"/>
      <c r="BD548" s="452"/>
      <c r="BE548" s="452"/>
      <c r="BF548" s="452"/>
      <c r="BG548" s="452"/>
      <c r="BH548" s="452"/>
    </row>
    <row r="549">
      <c r="A549" s="154"/>
      <c r="B549" s="473"/>
      <c r="C549" s="156"/>
      <c r="D549" s="156"/>
      <c r="E549" s="156"/>
      <c r="F549" s="154"/>
      <c r="G549" s="473"/>
      <c r="H549" s="156"/>
      <c r="I549" s="156"/>
      <c r="J549" s="156"/>
      <c r="K549" s="132"/>
      <c r="L549" s="473"/>
      <c r="M549" s="156"/>
      <c r="N549" s="156"/>
      <c r="O549" s="156"/>
      <c r="P549" s="132"/>
      <c r="Q549" s="487"/>
      <c r="R549" s="156"/>
      <c r="S549" s="156"/>
      <c r="T549" s="156"/>
      <c r="U549" s="154"/>
      <c r="V549" s="473"/>
      <c r="W549" s="156"/>
      <c r="X549" s="156"/>
      <c r="Y549" s="156"/>
      <c r="Z549" s="154"/>
      <c r="AA549" s="473"/>
      <c r="AB549" s="156"/>
      <c r="AC549" s="156"/>
      <c r="AD549" s="156"/>
      <c r="AE549" s="154"/>
      <c r="AF549" s="473"/>
      <c r="AG549" s="156"/>
      <c r="AH549" s="156"/>
      <c r="AI549" s="156"/>
      <c r="AJ549" s="154"/>
      <c r="AK549" s="473"/>
      <c r="AL549" s="156"/>
      <c r="AM549" s="156"/>
      <c r="AN549" s="156"/>
      <c r="AO549" s="452"/>
      <c r="AP549" s="452"/>
      <c r="AQ549" s="452"/>
      <c r="AR549" s="452"/>
      <c r="AS549" s="452"/>
      <c r="AT549" s="452"/>
      <c r="AU549" s="452"/>
      <c r="AV549" s="452"/>
      <c r="AW549" s="452"/>
      <c r="AX549" s="452"/>
      <c r="AY549" s="154"/>
      <c r="AZ549" s="473"/>
      <c r="BA549" s="156"/>
      <c r="BB549" s="156"/>
      <c r="BC549" s="156"/>
      <c r="BD549" s="452"/>
      <c r="BE549" s="452"/>
      <c r="BF549" s="452"/>
      <c r="BG549" s="452"/>
      <c r="BH549" s="452"/>
    </row>
    <row r="550">
      <c r="A550" s="154"/>
      <c r="B550" s="473"/>
      <c r="C550" s="156"/>
      <c r="D550" s="156"/>
      <c r="E550" s="156"/>
      <c r="F550" s="154"/>
      <c r="G550" s="473"/>
      <c r="H550" s="156"/>
      <c r="I550" s="156"/>
      <c r="J550" s="156"/>
      <c r="K550" s="132"/>
      <c r="L550" s="473"/>
      <c r="M550" s="156"/>
      <c r="N550" s="156"/>
      <c r="O550" s="156"/>
      <c r="P550" s="132"/>
      <c r="Q550" s="487"/>
      <c r="R550" s="156"/>
      <c r="S550" s="156"/>
      <c r="T550" s="156"/>
      <c r="U550" s="154"/>
      <c r="V550" s="473"/>
      <c r="W550" s="156"/>
      <c r="X550" s="156"/>
      <c r="Y550" s="156"/>
      <c r="Z550" s="154"/>
      <c r="AA550" s="473"/>
      <c r="AB550" s="156"/>
      <c r="AC550" s="156"/>
      <c r="AD550" s="156"/>
      <c r="AE550" s="154"/>
      <c r="AF550" s="473"/>
      <c r="AG550" s="156"/>
      <c r="AH550" s="156"/>
      <c r="AI550" s="156"/>
      <c r="AJ550" s="154"/>
      <c r="AK550" s="473"/>
      <c r="AL550" s="156"/>
      <c r="AM550" s="156"/>
      <c r="AN550" s="156"/>
      <c r="AO550" s="452"/>
      <c r="AP550" s="452"/>
      <c r="AQ550" s="452"/>
      <c r="AR550" s="452"/>
      <c r="AS550" s="452"/>
      <c r="AT550" s="452"/>
      <c r="AU550" s="452"/>
      <c r="AV550" s="452"/>
      <c r="AW550" s="452"/>
      <c r="AX550" s="452"/>
      <c r="AY550" s="154"/>
      <c r="AZ550" s="473"/>
      <c r="BA550" s="156"/>
      <c r="BB550" s="156"/>
      <c r="BC550" s="156"/>
      <c r="BD550" s="452"/>
      <c r="BE550" s="452"/>
      <c r="BF550" s="452"/>
      <c r="BG550" s="452"/>
      <c r="BH550" s="452"/>
    </row>
    <row r="551">
      <c r="A551" s="154"/>
      <c r="B551" s="473"/>
      <c r="C551" s="156"/>
      <c r="D551" s="156"/>
      <c r="E551" s="156"/>
      <c r="F551" s="154"/>
      <c r="G551" s="473"/>
      <c r="H551" s="156"/>
      <c r="I551" s="156"/>
      <c r="J551" s="156"/>
      <c r="K551" s="132"/>
      <c r="L551" s="473"/>
      <c r="M551" s="156"/>
      <c r="N551" s="156"/>
      <c r="O551" s="156"/>
      <c r="P551" s="132"/>
      <c r="Q551" s="487"/>
      <c r="R551" s="156"/>
      <c r="S551" s="156"/>
      <c r="T551" s="156"/>
      <c r="U551" s="154"/>
      <c r="V551" s="473"/>
      <c r="W551" s="156"/>
      <c r="X551" s="156"/>
      <c r="Y551" s="156"/>
      <c r="Z551" s="154"/>
      <c r="AA551" s="473"/>
      <c r="AB551" s="156"/>
      <c r="AC551" s="156"/>
      <c r="AD551" s="156"/>
      <c r="AE551" s="154"/>
      <c r="AF551" s="473"/>
      <c r="AG551" s="156"/>
      <c r="AH551" s="156"/>
      <c r="AI551" s="156"/>
      <c r="AJ551" s="154"/>
      <c r="AK551" s="473"/>
      <c r="AL551" s="156"/>
      <c r="AM551" s="156"/>
      <c r="AN551" s="156"/>
      <c r="AO551" s="452"/>
      <c r="AP551" s="452"/>
      <c r="AQ551" s="452"/>
      <c r="AR551" s="452"/>
      <c r="AS551" s="452"/>
      <c r="AT551" s="452"/>
      <c r="AU551" s="452"/>
      <c r="AV551" s="452"/>
      <c r="AW551" s="452"/>
      <c r="AX551" s="452"/>
      <c r="AY551" s="154"/>
      <c r="AZ551" s="473"/>
      <c r="BA551" s="156"/>
      <c r="BB551" s="156"/>
      <c r="BC551" s="156"/>
      <c r="BD551" s="452"/>
      <c r="BE551" s="452"/>
      <c r="BF551" s="452"/>
      <c r="BG551" s="452"/>
      <c r="BH551" s="452"/>
    </row>
    <row r="552">
      <c r="A552" s="154"/>
      <c r="B552" s="473"/>
      <c r="C552" s="156"/>
      <c r="D552" s="156"/>
      <c r="E552" s="156"/>
      <c r="F552" s="154"/>
      <c r="G552" s="473"/>
      <c r="H552" s="156"/>
      <c r="I552" s="156"/>
      <c r="J552" s="156"/>
      <c r="K552" s="132"/>
      <c r="L552" s="473"/>
      <c r="M552" s="156"/>
      <c r="N552" s="156"/>
      <c r="O552" s="156"/>
      <c r="P552" s="132"/>
      <c r="Q552" s="487"/>
      <c r="R552" s="156"/>
      <c r="S552" s="156"/>
      <c r="T552" s="156"/>
      <c r="U552" s="154"/>
      <c r="V552" s="473"/>
      <c r="W552" s="156"/>
      <c r="X552" s="156"/>
      <c r="Y552" s="156"/>
      <c r="Z552" s="154"/>
      <c r="AA552" s="473"/>
      <c r="AB552" s="156"/>
      <c r="AC552" s="156"/>
      <c r="AD552" s="156"/>
      <c r="AE552" s="154"/>
      <c r="AF552" s="473"/>
      <c r="AG552" s="156"/>
      <c r="AH552" s="156"/>
      <c r="AI552" s="156"/>
      <c r="AJ552" s="154"/>
      <c r="AK552" s="473"/>
      <c r="AL552" s="156"/>
      <c r="AM552" s="156"/>
      <c r="AN552" s="156"/>
      <c r="AO552" s="452"/>
      <c r="AP552" s="452"/>
      <c r="AQ552" s="452"/>
      <c r="AR552" s="452"/>
      <c r="AS552" s="452"/>
      <c r="AT552" s="452"/>
      <c r="AU552" s="452"/>
      <c r="AV552" s="452"/>
      <c r="AW552" s="452"/>
      <c r="AX552" s="452"/>
      <c r="AY552" s="154"/>
      <c r="AZ552" s="473"/>
      <c r="BA552" s="156"/>
      <c r="BB552" s="156"/>
      <c r="BC552" s="156"/>
      <c r="BD552" s="452"/>
      <c r="BE552" s="452"/>
      <c r="BF552" s="452"/>
      <c r="BG552" s="452"/>
      <c r="BH552" s="452"/>
    </row>
    <row r="553">
      <c r="A553" s="154"/>
      <c r="B553" s="473"/>
      <c r="C553" s="156"/>
      <c r="D553" s="156"/>
      <c r="E553" s="156"/>
      <c r="F553" s="154"/>
      <c r="G553" s="473"/>
      <c r="H553" s="156"/>
      <c r="I553" s="156"/>
      <c r="J553" s="156"/>
      <c r="K553" s="132"/>
      <c r="L553" s="473"/>
      <c r="M553" s="156"/>
      <c r="N553" s="156"/>
      <c r="O553" s="156"/>
      <c r="P553" s="132"/>
      <c r="Q553" s="487"/>
      <c r="R553" s="156"/>
      <c r="S553" s="156"/>
      <c r="T553" s="156"/>
      <c r="U553" s="154"/>
      <c r="V553" s="473"/>
      <c r="W553" s="156"/>
      <c r="X553" s="156"/>
      <c r="Y553" s="156"/>
      <c r="Z553" s="154"/>
      <c r="AA553" s="473"/>
      <c r="AB553" s="156"/>
      <c r="AC553" s="156"/>
      <c r="AD553" s="156"/>
      <c r="AE553" s="154"/>
      <c r="AF553" s="473"/>
      <c r="AG553" s="156"/>
      <c r="AH553" s="156"/>
      <c r="AI553" s="156"/>
      <c r="AJ553" s="154"/>
      <c r="AK553" s="473"/>
      <c r="AL553" s="156"/>
      <c r="AM553" s="156"/>
      <c r="AN553" s="156"/>
      <c r="AO553" s="452"/>
      <c r="AP553" s="452"/>
      <c r="AQ553" s="452"/>
      <c r="AR553" s="452"/>
      <c r="AS553" s="452"/>
      <c r="AT553" s="452"/>
      <c r="AU553" s="452"/>
      <c r="AV553" s="452"/>
      <c r="AW553" s="452"/>
      <c r="AX553" s="452"/>
      <c r="AY553" s="154"/>
      <c r="AZ553" s="473"/>
      <c r="BA553" s="156"/>
      <c r="BB553" s="156"/>
      <c r="BC553" s="156"/>
      <c r="BD553" s="452"/>
      <c r="BE553" s="452"/>
      <c r="BF553" s="452"/>
      <c r="BG553" s="452"/>
      <c r="BH553" s="452"/>
    </row>
    <row r="554">
      <c r="A554" s="154"/>
      <c r="B554" s="473"/>
      <c r="C554" s="156"/>
      <c r="D554" s="156"/>
      <c r="E554" s="156"/>
      <c r="F554" s="154"/>
      <c r="G554" s="473"/>
      <c r="H554" s="156"/>
      <c r="I554" s="156"/>
      <c r="J554" s="156"/>
      <c r="K554" s="132"/>
      <c r="L554" s="473"/>
      <c r="M554" s="156"/>
      <c r="N554" s="156"/>
      <c r="O554" s="156"/>
      <c r="P554" s="132"/>
      <c r="Q554" s="487"/>
      <c r="R554" s="156"/>
      <c r="S554" s="156"/>
      <c r="T554" s="156"/>
      <c r="U554" s="154"/>
      <c r="V554" s="473"/>
      <c r="W554" s="156"/>
      <c r="X554" s="156"/>
      <c r="Y554" s="156"/>
      <c r="Z554" s="154"/>
      <c r="AA554" s="473"/>
      <c r="AB554" s="156"/>
      <c r="AC554" s="156"/>
      <c r="AD554" s="156"/>
      <c r="AE554" s="154"/>
      <c r="AF554" s="473"/>
      <c r="AG554" s="156"/>
      <c r="AH554" s="156"/>
      <c r="AI554" s="156"/>
      <c r="AJ554" s="154"/>
      <c r="AK554" s="473"/>
      <c r="AL554" s="156"/>
      <c r="AM554" s="156"/>
      <c r="AN554" s="156"/>
      <c r="AO554" s="452"/>
      <c r="AP554" s="452"/>
      <c r="AQ554" s="452"/>
      <c r="AR554" s="452"/>
      <c r="AS554" s="452"/>
      <c r="AT554" s="452"/>
      <c r="AU554" s="452"/>
      <c r="AV554" s="452"/>
      <c r="AW554" s="452"/>
      <c r="AX554" s="452"/>
      <c r="AY554" s="154"/>
      <c r="AZ554" s="473"/>
      <c r="BA554" s="156"/>
      <c r="BB554" s="156"/>
      <c r="BC554" s="156"/>
      <c r="BD554" s="452"/>
      <c r="BE554" s="452"/>
      <c r="BF554" s="452"/>
      <c r="BG554" s="452"/>
      <c r="BH554" s="452"/>
    </row>
    <row r="555">
      <c r="A555" s="154"/>
      <c r="B555" s="473"/>
      <c r="C555" s="156"/>
      <c r="D555" s="156"/>
      <c r="E555" s="156"/>
      <c r="F555" s="154"/>
      <c r="G555" s="473"/>
      <c r="H555" s="156"/>
      <c r="I555" s="156"/>
      <c r="J555" s="156"/>
      <c r="K555" s="132"/>
      <c r="L555" s="473"/>
      <c r="M555" s="156"/>
      <c r="N555" s="156"/>
      <c r="O555" s="156"/>
      <c r="P555" s="132"/>
      <c r="Q555" s="487"/>
      <c r="R555" s="156"/>
      <c r="S555" s="156"/>
      <c r="T555" s="156"/>
      <c r="U555" s="154"/>
      <c r="V555" s="473"/>
      <c r="W555" s="156"/>
      <c r="X555" s="156"/>
      <c r="Y555" s="156"/>
      <c r="Z555" s="154"/>
      <c r="AA555" s="473"/>
      <c r="AB555" s="156"/>
      <c r="AC555" s="156"/>
      <c r="AD555" s="156"/>
      <c r="AE555" s="154"/>
      <c r="AF555" s="473"/>
      <c r="AG555" s="156"/>
      <c r="AH555" s="156"/>
      <c r="AI555" s="156"/>
      <c r="AJ555" s="154"/>
      <c r="AK555" s="473"/>
      <c r="AL555" s="156"/>
      <c r="AM555" s="156"/>
      <c r="AN555" s="156"/>
      <c r="AO555" s="452"/>
      <c r="AP555" s="452"/>
      <c r="AQ555" s="452"/>
      <c r="AR555" s="452"/>
      <c r="AS555" s="452"/>
      <c r="AT555" s="452"/>
      <c r="AU555" s="452"/>
      <c r="AV555" s="452"/>
      <c r="AW555" s="452"/>
      <c r="AX555" s="452"/>
      <c r="AY555" s="154"/>
      <c r="AZ555" s="473"/>
      <c r="BA555" s="156"/>
      <c r="BB555" s="156"/>
      <c r="BC555" s="156"/>
      <c r="BD555" s="452"/>
      <c r="BE555" s="452"/>
      <c r="BF555" s="452"/>
      <c r="BG555" s="452"/>
      <c r="BH555" s="452"/>
    </row>
    <row r="556">
      <c r="A556" s="154"/>
      <c r="B556" s="473"/>
      <c r="C556" s="156"/>
      <c r="D556" s="156"/>
      <c r="E556" s="156"/>
      <c r="F556" s="154"/>
      <c r="G556" s="473"/>
      <c r="H556" s="156"/>
      <c r="I556" s="156"/>
      <c r="J556" s="156"/>
      <c r="K556" s="132"/>
      <c r="L556" s="473"/>
      <c r="M556" s="156"/>
      <c r="N556" s="156"/>
      <c r="O556" s="156"/>
      <c r="P556" s="132"/>
      <c r="Q556" s="487"/>
      <c r="R556" s="156"/>
      <c r="S556" s="156"/>
      <c r="T556" s="156"/>
      <c r="U556" s="154"/>
      <c r="V556" s="473"/>
      <c r="W556" s="156"/>
      <c r="X556" s="156"/>
      <c r="Y556" s="156"/>
      <c r="Z556" s="154"/>
      <c r="AA556" s="473"/>
      <c r="AB556" s="156"/>
      <c r="AC556" s="156"/>
      <c r="AD556" s="156"/>
      <c r="AE556" s="154"/>
      <c r="AF556" s="473"/>
      <c r="AG556" s="156"/>
      <c r="AH556" s="156"/>
      <c r="AI556" s="156"/>
      <c r="AJ556" s="154"/>
      <c r="AK556" s="473"/>
      <c r="AL556" s="156"/>
      <c r="AM556" s="156"/>
      <c r="AN556" s="156"/>
      <c r="AO556" s="452"/>
      <c r="AP556" s="452"/>
      <c r="AQ556" s="452"/>
      <c r="AR556" s="452"/>
      <c r="AS556" s="452"/>
      <c r="AT556" s="452"/>
      <c r="AU556" s="452"/>
      <c r="AV556" s="452"/>
      <c r="AW556" s="452"/>
      <c r="AX556" s="452"/>
      <c r="AY556" s="154"/>
      <c r="AZ556" s="473"/>
      <c r="BA556" s="156"/>
      <c r="BB556" s="156"/>
      <c r="BC556" s="156"/>
      <c r="BD556" s="452"/>
      <c r="BE556" s="452"/>
      <c r="BF556" s="452"/>
      <c r="BG556" s="452"/>
      <c r="BH556" s="452"/>
    </row>
    <row r="557">
      <c r="A557" s="154"/>
      <c r="B557" s="473"/>
      <c r="C557" s="156"/>
      <c r="D557" s="156"/>
      <c r="E557" s="156"/>
      <c r="F557" s="154"/>
      <c r="G557" s="473"/>
      <c r="H557" s="156"/>
      <c r="I557" s="156"/>
      <c r="J557" s="156"/>
      <c r="K557" s="132"/>
      <c r="L557" s="473"/>
      <c r="M557" s="156"/>
      <c r="N557" s="156"/>
      <c r="O557" s="156"/>
      <c r="P557" s="132"/>
      <c r="Q557" s="487"/>
      <c r="R557" s="156"/>
      <c r="S557" s="156"/>
      <c r="T557" s="156"/>
      <c r="U557" s="154"/>
      <c r="V557" s="473"/>
      <c r="W557" s="156"/>
      <c r="X557" s="156"/>
      <c r="Y557" s="156"/>
      <c r="Z557" s="154"/>
      <c r="AA557" s="473"/>
      <c r="AB557" s="156"/>
      <c r="AC557" s="156"/>
      <c r="AD557" s="156"/>
      <c r="AE557" s="154"/>
      <c r="AF557" s="473"/>
      <c r="AG557" s="156"/>
      <c r="AH557" s="156"/>
      <c r="AI557" s="156"/>
      <c r="AJ557" s="154"/>
      <c r="AK557" s="473"/>
      <c r="AL557" s="156"/>
      <c r="AM557" s="156"/>
      <c r="AN557" s="156"/>
      <c r="AO557" s="452"/>
      <c r="AP557" s="452"/>
      <c r="AQ557" s="452"/>
      <c r="AR557" s="452"/>
      <c r="AS557" s="452"/>
      <c r="AT557" s="452"/>
      <c r="AU557" s="452"/>
      <c r="AV557" s="452"/>
      <c r="AW557" s="452"/>
      <c r="AX557" s="452"/>
      <c r="AY557" s="154"/>
      <c r="AZ557" s="473"/>
      <c r="BA557" s="156"/>
      <c r="BB557" s="156"/>
      <c r="BC557" s="156"/>
      <c r="BD557" s="452"/>
      <c r="BE557" s="452"/>
      <c r="BF557" s="452"/>
      <c r="BG557" s="452"/>
      <c r="BH557" s="452"/>
    </row>
    <row r="558">
      <c r="A558" s="154"/>
      <c r="B558" s="473"/>
      <c r="C558" s="156"/>
      <c r="D558" s="156"/>
      <c r="E558" s="156"/>
      <c r="F558" s="154"/>
      <c r="G558" s="473"/>
      <c r="H558" s="156"/>
      <c r="I558" s="156"/>
      <c r="J558" s="156"/>
      <c r="K558" s="132"/>
      <c r="L558" s="473"/>
      <c r="M558" s="156"/>
      <c r="N558" s="156"/>
      <c r="O558" s="156"/>
      <c r="P558" s="132"/>
      <c r="Q558" s="487"/>
      <c r="R558" s="156"/>
      <c r="S558" s="156"/>
      <c r="T558" s="156"/>
      <c r="U558" s="154"/>
      <c r="V558" s="473"/>
      <c r="W558" s="156"/>
      <c r="X558" s="156"/>
      <c r="Y558" s="156"/>
      <c r="Z558" s="154"/>
      <c r="AA558" s="473"/>
      <c r="AB558" s="156"/>
      <c r="AC558" s="156"/>
      <c r="AD558" s="156"/>
      <c r="AE558" s="154"/>
      <c r="AF558" s="473"/>
      <c r="AG558" s="156"/>
      <c r="AH558" s="156"/>
      <c r="AI558" s="156"/>
      <c r="AJ558" s="154"/>
      <c r="AK558" s="473"/>
      <c r="AL558" s="156"/>
      <c r="AM558" s="156"/>
      <c r="AN558" s="156"/>
      <c r="AO558" s="452"/>
      <c r="AP558" s="452"/>
      <c r="AQ558" s="452"/>
      <c r="AR558" s="452"/>
      <c r="AS558" s="452"/>
      <c r="AT558" s="452"/>
      <c r="AU558" s="452"/>
      <c r="AV558" s="452"/>
      <c r="AW558" s="452"/>
      <c r="AX558" s="452"/>
      <c r="AY558" s="154"/>
      <c r="AZ558" s="473"/>
      <c r="BA558" s="156"/>
      <c r="BB558" s="156"/>
      <c r="BC558" s="156"/>
      <c r="BD558" s="452"/>
      <c r="BE558" s="452"/>
      <c r="BF558" s="452"/>
      <c r="BG558" s="452"/>
      <c r="BH558" s="452"/>
    </row>
    <row r="559">
      <c r="A559" s="154"/>
      <c r="B559" s="473"/>
      <c r="C559" s="156"/>
      <c r="D559" s="156"/>
      <c r="E559" s="156"/>
      <c r="F559" s="154"/>
      <c r="G559" s="473"/>
      <c r="H559" s="156"/>
      <c r="I559" s="156"/>
      <c r="J559" s="156"/>
      <c r="K559" s="132"/>
      <c r="L559" s="473"/>
      <c r="M559" s="156"/>
      <c r="N559" s="156"/>
      <c r="O559" s="156"/>
      <c r="P559" s="132"/>
      <c r="Q559" s="487"/>
      <c r="R559" s="156"/>
      <c r="S559" s="156"/>
      <c r="T559" s="156"/>
      <c r="U559" s="154"/>
      <c r="V559" s="473"/>
      <c r="W559" s="156"/>
      <c r="X559" s="156"/>
      <c r="Y559" s="156"/>
      <c r="Z559" s="154"/>
      <c r="AA559" s="473"/>
      <c r="AB559" s="156"/>
      <c r="AC559" s="156"/>
      <c r="AD559" s="156"/>
      <c r="AE559" s="154"/>
      <c r="AF559" s="473"/>
      <c r="AG559" s="156"/>
      <c r="AH559" s="156"/>
      <c r="AI559" s="156"/>
      <c r="AJ559" s="154"/>
      <c r="AK559" s="473"/>
      <c r="AL559" s="156"/>
      <c r="AM559" s="156"/>
      <c r="AN559" s="156"/>
      <c r="AO559" s="452"/>
      <c r="AP559" s="452"/>
      <c r="AQ559" s="452"/>
      <c r="AR559" s="452"/>
      <c r="AS559" s="452"/>
      <c r="AT559" s="452"/>
      <c r="AU559" s="452"/>
      <c r="AV559" s="452"/>
      <c r="AW559" s="452"/>
      <c r="AX559" s="452"/>
      <c r="AY559" s="154"/>
      <c r="AZ559" s="473"/>
      <c r="BA559" s="156"/>
      <c r="BB559" s="156"/>
      <c r="BC559" s="156"/>
      <c r="BD559" s="452"/>
      <c r="BE559" s="452"/>
      <c r="BF559" s="452"/>
      <c r="BG559" s="452"/>
      <c r="BH559" s="452"/>
    </row>
    <row r="560">
      <c r="A560" s="154"/>
      <c r="B560" s="473"/>
      <c r="C560" s="156"/>
      <c r="D560" s="156"/>
      <c r="E560" s="156"/>
      <c r="F560" s="154"/>
      <c r="G560" s="473"/>
      <c r="H560" s="156"/>
      <c r="I560" s="156"/>
      <c r="J560" s="156"/>
      <c r="K560" s="132"/>
      <c r="L560" s="473"/>
      <c r="M560" s="156"/>
      <c r="N560" s="156"/>
      <c r="O560" s="156"/>
      <c r="P560" s="132"/>
      <c r="Q560" s="487"/>
      <c r="R560" s="156"/>
      <c r="S560" s="156"/>
      <c r="T560" s="156"/>
      <c r="U560" s="154"/>
      <c r="V560" s="473"/>
      <c r="W560" s="156"/>
      <c r="X560" s="156"/>
      <c r="Y560" s="156"/>
      <c r="Z560" s="154"/>
      <c r="AA560" s="473"/>
      <c r="AB560" s="156"/>
      <c r="AC560" s="156"/>
      <c r="AD560" s="156"/>
      <c r="AE560" s="154"/>
      <c r="AF560" s="473"/>
      <c r="AG560" s="156"/>
      <c r="AH560" s="156"/>
      <c r="AI560" s="156"/>
      <c r="AJ560" s="154"/>
      <c r="AK560" s="473"/>
      <c r="AL560" s="156"/>
      <c r="AM560" s="156"/>
      <c r="AN560" s="156"/>
      <c r="AO560" s="452"/>
      <c r="AP560" s="452"/>
      <c r="AQ560" s="452"/>
      <c r="AR560" s="452"/>
      <c r="AS560" s="452"/>
      <c r="AT560" s="452"/>
      <c r="AU560" s="452"/>
      <c r="AV560" s="452"/>
      <c r="AW560" s="452"/>
      <c r="AX560" s="452"/>
      <c r="AY560" s="154"/>
      <c r="AZ560" s="473"/>
      <c r="BA560" s="156"/>
      <c r="BB560" s="156"/>
      <c r="BC560" s="156"/>
      <c r="BD560" s="452"/>
      <c r="BE560" s="452"/>
      <c r="BF560" s="452"/>
      <c r="BG560" s="452"/>
      <c r="BH560" s="452"/>
    </row>
    <row r="561">
      <c r="A561" s="154"/>
      <c r="B561" s="473"/>
      <c r="C561" s="156"/>
      <c r="D561" s="156"/>
      <c r="E561" s="156"/>
      <c r="F561" s="154"/>
      <c r="G561" s="473"/>
      <c r="H561" s="156"/>
      <c r="I561" s="156"/>
      <c r="J561" s="156"/>
      <c r="K561" s="132"/>
      <c r="L561" s="473"/>
      <c r="M561" s="156"/>
      <c r="N561" s="156"/>
      <c r="O561" s="156"/>
      <c r="P561" s="132"/>
      <c r="Q561" s="487"/>
      <c r="R561" s="156"/>
      <c r="S561" s="156"/>
      <c r="T561" s="156"/>
      <c r="U561" s="154"/>
      <c r="V561" s="473"/>
      <c r="W561" s="156"/>
      <c r="X561" s="156"/>
      <c r="Y561" s="156"/>
      <c r="Z561" s="154"/>
      <c r="AA561" s="473"/>
      <c r="AB561" s="156"/>
      <c r="AC561" s="156"/>
      <c r="AD561" s="156"/>
      <c r="AE561" s="154"/>
      <c r="AF561" s="473"/>
      <c r="AG561" s="156"/>
      <c r="AH561" s="156"/>
      <c r="AI561" s="156"/>
      <c r="AJ561" s="154"/>
      <c r="AK561" s="473"/>
      <c r="AL561" s="156"/>
      <c r="AM561" s="156"/>
      <c r="AN561" s="156"/>
      <c r="AO561" s="452"/>
      <c r="AP561" s="452"/>
      <c r="AQ561" s="452"/>
      <c r="AR561" s="452"/>
      <c r="AS561" s="452"/>
      <c r="AT561" s="452"/>
      <c r="AU561" s="452"/>
      <c r="AV561" s="452"/>
      <c r="AW561" s="452"/>
      <c r="AX561" s="452"/>
      <c r="AY561" s="154"/>
      <c r="AZ561" s="473"/>
      <c r="BA561" s="156"/>
      <c r="BB561" s="156"/>
      <c r="BC561" s="156"/>
      <c r="BD561" s="452"/>
      <c r="BE561" s="452"/>
      <c r="BF561" s="452"/>
      <c r="BG561" s="452"/>
      <c r="BH561" s="452"/>
    </row>
    <row r="562">
      <c r="A562" s="154"/>
      <c r="B562" s="473"/>
      <c r="C562" s="156"/>
      <c r="D562" s="156"/>
      <c r="E562" s="156"/>
      <c r="F562" s="154"/>
      <c r="G562" s="473"/>
      <c r="H562" s="156"/>
      <c r="I562" s="156"/>
      <c r="J562" s="156"/>
      <c r="K562" s="132"/>
      <c r="L562" s="473"/>
      <c r="M562" s="156"/>
      <c r="N562" s="156"/>
      <c r="O562" s="156"/>
      <c r="P562" s="132"/>
      <c r="Q562" s="487"/>
      <c r="R562" s="156"/>
      <c r="S562" s="156"/>
      <c r="T562" s="156"/>
      <c r="U562" s="154"/>
      <c r="V562" s="473"/>
      <c r="W562" s="156"/>
      <c r="X562" s="156"/>
      <c r="Y562" s="156"/>
      <c r="Z562" s="154"/>
      <c r="AA562" s="473"/>
      <c r="AB562" s="156"/>
      <c r="AC562" s="156"/>
      <c r="AD562" s="156"/>
      <c r="AE562" s="154"/>
      <c r="AF562" s="473"/>
      <c r="AG562" s="156"/>
      <c r="AH562" s="156"/>
      <c r="AI562" s="156"/>
      <c r="AJ562" s="154"/>
      <c r="AK562" s="473"/>
      <c r="AL562" s="156"/>
      <c r="AM562" s="156"/>
      <c r="AN562" s="156"/>
      <c r="AO562" s="452"/>
      <c r="AP562" s="452"/>
      <c r="AQ562" s="452"/>
      <c r="AR562" s="452"/>
      <c r="AS562" s="452"/>
      <c r="AT562" s="452"/>
      <c r="AU562" s="452"/>
      <c r="AV562" s="452"/>
      <c r="AW562" s="452"/>
      <c r="AX562" s="452"/>
      <c r="AY562" s="154"/>
      <c r="AZ562" s="473"/>
      <c r="BA562" s="156"/>
      <c r="BB562" s="156"/>
      <c r="BC562" s="156"/>
      <c r="BD562" s="452"/>
      <c r="BE562" s="452"/>
      <c r="BF562" s="452"/>
      <c r="BG562" s="452"/>
      <c r="BH562" s="452"/>
    </row>
    <row r="563">
      <c r="A563" s="154"/>
      <c r="B563" s="473"/>
      <c r="C563" s="156"/>
      <c r="D563" s="156"/>
      <c r="E563" s="156"/>
      <c r="F563" s="154"/>
      <c r="G563" s="473"/>
      <c r="H563" s="156"/>
      <c r="I563" s="156"/>
      <c r="J563" s="156"/>
      <c r="K563" s="132"/>
      <c r="L563" s="473"/>
      <c r="M563" s="156"/>
      <c r="N563" s="156"/>
      <c r="O563" s="156"/>
      <c r="P563" s="132"/>
      <c r="Q563" s="487"/>
      <c r="R563" s="156"/>
      <c r="S563" s="156"/>
      <c r="T563" s="156"/>
      <c r="U563" s="154"/>
      <c r="V563" s="473"/>
      <c r="W563" s="156"/>
      <c r="X563" s="156"/>
      <c r="Y563" s="156"/>
      <c r="Z563" s="154"/>
      <c r="AA563" s="473"/>
      <c r="AB563" s="156"/>
      <c r="AC563" s="156"/>
      <c r="AD563" s="156"/>
      <c r="AE563" s="154"/>
      <c r="AF563" s="473"/>
      <c r="AG563" s="156"/>
      <c r="AH563" s="156"/>
      <c r="AI563" s="156"/>
      <c r="AJ563" s="154"/>
      <c r="AK563" s="473"/>
      <c r="AL563" s="156"/>
      <c r="AM563" s="156"/>
      <c r="AN563" s="156"/>
      <c r="AO563" s="452"/>
      <c r="AP563" s="452"/>
      <c r="AQ563" s="452"/>
      <c r="AR563" s="452"/>
      <c r="AS563" s="452"/>
      <c r="AT563" s="452"/>
      <c r="AU563" s="452"/>
      <c r="AV563" s="452"/>
      <c r="AW563" s="452"/>
      <c r="AX563" s="452"/>
      <c r="AY563" s="154"/>
      <c r="AZ563" s="473"/>
      <c r="BA563" s="156"/>
      <c r="BB563" s="156"/>
      <c r="BC563" s="156"/>
      <c r="BD563" s="452"/>
      <c r="BE563" s="452"/>
      <c r="BF563" s="452"/>
      <c r="BG563" s="452"/>
      <c r="BH563" s="452"/>
    </row>
    <row r="564">
      <c r="A564" s="154"/>
      <c r="B564" s="473"/>
      <c r="C564" s="156"/>
      <c r="D564" s="156"/>
      <c r="E564" s="156"/>
      <c r="F564" s="154"/>
      <c r="G564" s="473"/>
      <c r="H564" s="156"/>
      <c r="I564" s="156"/>
      <c r="J564" s="156"/>
      <c r="K564" s="132"/>
      <c r="L564" s="473"/>
      <c r="M564" s="156"/>
      <c r="N564" s="156"/>
      <c r="O564" s="156"/>
      <c r="P564" s="132"/>
      <c r="Q564" s="487"/>
      <c r="R564" s="156"/>
      <c r="S564" s="156"/>
      <c r="T564" s="156"/>
      <c r="U564" s="154"/>
      <c r="V564" s="473"/>
      <c r="W564" s="156"/>
      <c r="X564" s="156"/>
      <c r="Y564" s="156"/>
      <c r="Z564" s="154"/>
      <c r="AA564" s="473"/>
      <c r="AB564" s="156"/>
      <c r="AC564" s="156"/>
      <c r="AD564" s="156"/>
      <c r="AE564" s="154"/>
      <c r="AF564" s="473"/>
      <c r="AG564" s="156"/>
      <c r="AH564" s="156"/>
      <c r="AI564" s="156"/>
      <c r="AJ564" s="154"/>
      <c r="AK564" s="473"/>
      <c r="AL564" s="156"/>
      <c r="AM564" s="156"/>
      <c r="AN564" s="156"/>
      <c r="AO564" s="452"/>
      <c r="AP564" s="452"/>
      <c r="AQ564" s="452"/>
      <c r="AR564" s="452"/>
      <c r="AS564" s="452"/>
      <c r="AT564" s="452"/>
      <c r="AU564" s="452"/>
      <c r="AV564" s="452"/>
      <c r="AW564" s="452"/>
      <c r="AX564" s="452"/>
      <c r="AY564" s="154"/>
      <c r="AZ564" s="473"/>
      <c r="BA564" s="156"/>
      <c r="BB564" s="156"/>
      <c r="BC564" s="156"/>
      <c r="BD564" s="452"/>
      <c r="BE564" s="452"/>
      <c r="BF564" s="452"/>
      <c r="BG564" s="452"/>
      <c r="BH564" s="452"/>
    </row>
    <row r="565">
      <c r="A565" s="154"/>
      <c r="B565" s="473"/>
      <c r="C565" s="156"/>
      <c r="D565" s="156"/>
      <c r="E565" s="156"/>
      <c r="F565" s="154"/>
      <c r="G565" s="473"/>
      <c r="H565" s="156"/>
      <c r="I565" s="156"/>
      <c r="J565" s="156"/>
      <c r="K565" s="132"/>
      <c r="L565" s="473"/>
      <c r="M565" s="156"/>
      <c r="N565" s="156"/>
      <c r="O565" s="156"/>
      <c r="P565" s="132"/>
      <c r="Q565" s="487"/>
      <c r="R565" s="156"/>
      <c r="S565" s="156"/>
      <c r="T565" s="156"/>
      <c r="U565" s="154"/>
      <c r="V565" s="473"/>
      <c r="W565" s="156"/>
      <c r="X565" s="156"/>
      <c r="Y565" s="156"/>
      <c r="Z565" s="154"/>
      <c r="AA565" s="473"/>
      <c r="AB565" s="156"/>
      <c r="AC565" s="156"/>
      <c r="AD565" s="156"/>
      <c r="AE565" s="154"/>
      <c r="AF565" s="473"/>
      <c r="AG565" s="156"/>
      <c r="AH565" s="156"/>
      <c r="AI565" s="156"/>
      <c r="AJ565" s="154"/>
      <c r="AK565" s="473"/>
      <c r="AL565" s="156"/>
      <c r="AM565" s="156"/>
      <c r="AN565" s="156"/>
      <c r="AO565" s="452"/>
      <c r="AP565" s="452"/>
      <c r="AQ565" s="452"/>
      <c r="AR565" s="452"/>
      <c r="AS565" s="452"/>
      <c r="AT565" s="452"/>
      <c r="AU565" s="452"/>
      <c r="AV565" s="452"/>
      <c r="AW565" s="452"/>
      <c r="AX565" s="452"/>
      <c r="AY565" s="154"/>
      <c r="AZ565" s="473"/>
      <c r="BA565" s="156"/>
      <c r="BB565" s="156"/>
      <c r="BC565" s="156"/>
      <c r="BD565" s="452"/>
      <c r="BE565" s="452"/>
      <c r="BF565" s="452"/>
      <c r="BG565" s="452"/>
      <c r="BH565" s="452"/>
    </row>
    <row r="566">
      <c r="A566" s="154"/>
      <c r="B566" s="473"/>
      <c r="C566" s="156"/>
      <c r="D566" s="156"/>
      <c r="E566" s="156"/>
      <c r="F566" s="154"/>
      <c r="G566" s="473"/>
      <c r="H566" s="156"/>
      <c r="I566" s="156"/>
      <c r="J566" s="156"/>
      <c r="K566" s="132"/>
      <c r="L566" s="473"/>
      <c r="M566" s="156"/>
      <c r="N566" s="156"/>
      <c r="O566" s="156"/>
      <c r="P566" s="132"/>
      <c r="Q566" s="487"/>
      <c r="R566" s="156"/>
      <c r="S566" s="156"/>
      <c r="T566" s="156"/>
      <c r="U566" s="154"/>
      <c r="V566" s="473"/>
      <c r="W566" s="156"/>
      <c r="X566" s="156"/>
      <c r="Y566" s="156"/>
      <c r="Z566" s="154"/>
      <c r="AA566" s="473"/>
      <c r="AB566" s="156"/>
      <c r="AC566" s="156"/>
      <c r="AD566" s="156"/>
      <c r="AE566" s="154"/>
      <c r="AF566" s="473"/>
      <c r="AG566" s="156"/>
      <c r="AH566" s="156"/>
      <c r="AI566" s="156"/>
      <c r="AJ566" s="154"/>
      <c r="AK566" s="473"/>
      <c r="AL566" s="156"/>
      <c r="AM566" s="156"/>
      <c r="AN566" s="156"/>
      <c r="AO566" s="452"/>
      <c r="AP566" s="452"/>
      <c r="AQ566" s="452"/>
      <c r="AR566" s="452"/>
      <c r="AS566" s="452"/>
      <c r="AT566" s="452"/>
      <c r="AU566" s="452"/>
      <c r="AV566" s="452"/>
      <c r="AW566" s="452"/>
      <c r="AX566" s="452"/>
      <c r="AY566" s="154"/>
      <c r="AZ566" s="473"/>
      <c r="BA566" s="156"/>
      <c r="BB566" s="156"/>
      <c r="BC566" s="156"/>
      <c r="BD566" s="452"/>
      <c r="BE566" s="452"/>
      <c r="BF566" s="452"/>
      <c r="BG566" s="452"/>
      <c r="BH566" s="452"/>
    </row>
    <row r="567">
      <c r="A567" s="154"/>
      <c r="B567" s="473"/>
      <c r="C567" s="156"/>
      <c r="D567" s="156"/>
      <c r="E567" s="156"/>
      <c r="F567" s="154"/>
      <c r="G567" s="473"/>
      <c r="H567" s="156"/>
      <c r="I567" s="156"/>
      <c r="J567" s="156"/>
      <c r="K567" s="132"/>
      <c r="L567" s="473"/>
      <c r="M567" s="156"/>
      <c r="N567" s="156"/>
      <c r="O567" s="156"/>
      <c r="P567" s="132"/>
      <c r="Q567" s="487"/>
      <c r="R567" s="156"/>
      <c r="S567" s="156"/>
      <c r="T567" s="156"/>
      <c r="U567" s="154"/>
      <c r="V567" s="473"/>
      <c r="W567" s="156"/>
      <c r="X567" s="156"/>
      <c r="Y567" s="156"/>
      <c r="Z567" s="154"/>
      <c r="AA567" s="473"/>
      <c r="AB567" s="156"/>
      <c r="AC567" s="156"/>
      <c r="AD567" s="156"/>
      <c r="AE567" s="154"/>
      <c r="AF567" s="473"/>
      <c r="AG567" s="156"/>
      <c r="AH567" s="156"/>
      <c r="AI567" s="156"/>
      <c r="AJ567" s="154"/>
      <c r="AK567" s="473"/>
      <c r="AL567" s="156"/>
      <c r="AM567" s="156"/>
      <c r="AN567" s="156"/>
      <c r="AO567" s="452"/>
      <c r="AP567" s="452"/>
      <c r="AQ567" s="452"/>
      <c r="AR567" s="452"/>
      <c r="AS567" s="452"/>
      <c r="AT567" s="452"/>
      <c r="AU567" s="452"/>
      <c r="AV567" s="452"/>
      <c r="AW567" s="452"/>
      <c r="AX567" s="452"/>
      <c r="AY567" s="154"/>
      <c r="AZ567" s="473"/>
      <c r="BA567" s="156"/>
      <c r="BB567" s="156"/>
      <c r="BC567" s="156"/>
      <c r="BD567" s="452"/>
      <c r="BE567" s="452"/>
      <c r="BF567" s="452"/>
      <c r="BG567" s="452"/>
      <c r="BH567" s="452"/>
    </row>
    <row r="568">
      <c r="A568" s="154"/>
      <c r="B568" s="473"/>
      <c r="C568" s="156"/>
      <c r="D568" s="156"/>
      <c r="E568" s="156"/>
      <c r="F568" s="154"/>
      <c r="G568" s="473"/>
      <c r="H568" s="156"/>
      <c r="I568" s="156"/>
      <c r="J568" s="156"/>
      <c r="K568" s="132"/>
      <c r="L568" s="473"/>
      <c r="M568" s="156"/>
      <c r="N568" s="156"/>
      <c r="O568" s="156"/>
      <c r="P568" s="132"/>
      <c r="Q568" s="487"/>
      <c r="R568" s="156"/>
      <c r="S568" s="156"/>
      <c r="T568" s="156"/>
      <c r="U568" s="154"/>
      <c r="V568" s="473"/>
      <c r="W568" s="156"/>
      <c r="X568" s="156"/>
      <c r="Y568" s="156"/>
      <c r="Z568" s="154"/>
      <c r="AA568" s="473"/>
      <c r="AB568" s="156"/>
      <c r="AC568" s="156"/>
      <c r="AD568" s="156"/>
      <c r="AE568" s="154"/>
      <c r="AF568" s="473"/>
      <c r="AG568" s="156"/>
      <c r="AH568" s="156"/>
      <c r="AI568" s="156"/>
      <c r="AJ568" s="154"/>
      <c r="AK568" s="473"/>
      <c r="AL568" s="156"/>
      <c r="AM568" s="156"/>
      <c r="AN568" s="156"/>
      <c r="AO568" s="452"/>
      <c r="AP568" s="452"/>
      <c r="AQ568" s="452"/>
      <c r="AR568" s="452"/>
      <c r="AS568" s="452"/>
      <c r="AT568" s="452"/>
      <c r="AU568" s="452"/>
      <c r="AV568" s="452"/>
      <c r="AW568" s="452"/>
      <c r="AX568" s="452"/>
      <c r="AY568" s="154"/>
      <c r="AZ568" s="473"/>
      <c r="BA568" s="156"/>
      <c r="BB568" s="156"/>
      <c r="BC568" s="156"/>
      <c r="BD568" s="452"/>
      <c r="BE568" s="452"/>
      <c r="BF568" s="452"/>
      <c r="BG568" s="452"/>
      <c r="BH568" s="452"/>
    </row>
    <row r="569">
      <c r="A569" s="154"/>
      <c r="B569" s="473"/>
      <c r="C569" s="156"/>
      <c r="D569" s="156"/>
      <c r="E569" s="156"/>
      <c r="F569" s="154"/>
      <c r="G569" s="473"/>
      <c r="H569" s="156"/>
      <c r="I569" s="156"/>
      <c r="J569" s="156"/>
      <c r="K569" s="132"/>
      <c r="L569" s="473"/>
      <c r="M569" s="156"/>
      <c r="N569" s="156"/>
      <c r="O569" s="156"/>
      <c r="P569" s="132"/>
      <c r="Q569" s="487"/>
      <c r="R569" s="156"/>
      <c r="S569" s="156"/>
      <c r="T569" s="156"/>
      <c r="U569" s="154"/>
      <c r="V569" s="473"/>
      <c r="W569" s="156"/>
      <c r="X569" s="156"/>
      <c r="Y569" s="156"/>
      <c r="Z569" s="154"/>
      <c r="AA569" s="473"/>
      <c r="AB569" s="156"/>
      <c r="AC569" s="156"/>
      <c r="AD569" s="156"/>
      <c r="AE569" s="154"/>
      <c r="AF569" s="473"/>
      <c r="AG569" s="156"/>
      <c r="AH569" s="156"/>
      <c r="AI569" s="156"/>
      <c r="AJ569" s="154"/>
      <c r="AK569" s="473"/>
      <c r="AL569" s="156"/>
      <c r="AM569" s="156"/>
      <c r="AN569" s="156"/>
      <c r="AO569" s="452"/>
      <c r="AP569" s="452"/>
      <c r="AQ569" s="452"/>
      <c r="AR569" s="452"/>
      <c r="AS569" s="452"/>
      <c r="AT569" s="452"/>
      <c r="AU569" s="452"/>
      <c r="AV569" s="452"/>
      <c r="AW569" s="452"/>
      <c r="AX569" s="452"/>
      <c r="AY569" s="154"/>
      <c r="AZ569" s="473"/>
      <c r="BA569" s="156"/>
      <c r="BB569" s="156"/>
      <c r="BC569" s="156"/>
      <c r="BD569" s="452"/>
      <c r="BE569" s="452"/>
      <c r="BF569" s="452"/>
      <c r="BG569" s="452"/>
      <c r="BH569" s="452"/>
    </row>
    <row r="570">
      <c r="A570" s="154"/>
      <c r="B570" s="473"/>
      <c r="C570" s="156"/>
      <c r="D570" s="156"/>
      <c r="E570" s="156"/>
      <c r="F570" s="154"/>
      <c r="G570" s="473"/>
      <c r="H570" s="156"/>
      <c r="I570" s="156"/>
      <c r="J570" s="156"/>
      <c r="K570" s="132"/>
      <c r="L570" s="473"/>
      <c r="M570" s="156"/>
      <c r="N570" s="156"/>
      <c r="O570" s="156"/>
      <c r="P570" s="132"/>
      <c r="Q570" s="487"/>
      <c r="R570" s="156"/>
      <c r="S570" s="156"/>
      <c r="T570" s="156"/>
      <c r="U570" s="154"/>
      <c r="V570" s="473"/>
      <c r="W570" s="156"/>
      <c r="X570" s="156"/>
      <c r="Y570" s="156"/>
      <c r="Z570" s="154"/>
      <c r="AA570" s="473"/>
      <c r="AB570" s="156"/>
      <c r="AC570" s="156"/>
      <c r="AD570" s="156"/>
      <c r="AE570" s="154"/>
      <c r="AF570" s="473"/>
      <c r="AG570" s="156"/>
      <c r="AH570" s="156"/>
      <c r="AI570" s="156"/>
      <c r="AJ570" s="154"/>
      <c r="AK570" s="473"/>
      <c r="AL570" s="156"/>
      <c r="AM570" s="156"/>
      <c r="AN570" s="156"/>
      <c r="AO570" s="452"/>
      <c r="AP570" s="452"/>
      <c r="AQ570" s="452"/>
      <c r="AR570" s="452"/>
      <c r="AS570" s="452"/>
      <c r="AT570" s="452"/>
      <c r="AU570" s="452"/>
      <c r="AV570" s="452"/>
      <c r="AW570" s="452"/>
      <c r="AX570" s="452"/>
      <c r="AY570" s="154"/>
      <c r="AZ570" s="473"/>
      <c r="BA570" s="156"/>
      <c r="BB570" s="156"/>
      <c r="BC570" s="156"/>
      <c r="BD570" s="452"/>
      <c r="BE570" s="452"/>
      <c r="BF570" s="452"/>
      <c r="BG570" s="452"/>
      <c r="BH570" s="452"/>
    </row>
    <row r="571">
      <c r="A571" s="154"/>
      <c r="B571" s="473"/>
      <c r="C571" s="156"/>
      <c r="D571" s="156"/>
      <c r="E571" s="156"/>
      <c r="F571" s="154"/>
      <c r="G571" s="473"/>
      <c r="H571" s="156"/>
      <c r="I571" s="156"/>
      <c r="J571" s="156"/>
      <c r="K571" s="132"/>
      <c r="L571" s="473"/>
      <c r="M571" s="156"/>
      <c r="N571" s="156"/>
      <c r="O571" s="156"/>
      <c r="P571" s="132"/>
      <c r="Q571" s="487"/>
      <c r="R571" s="156"/>
      <c r="S571" s="156"/>
      <c r="T571" s="156"/>
      <c r="U571" s="154"/>
      <c r="V571" s="473"/>
      <c r="W571" s="156"/>
      <c r="X571" s="156"/>
      <c r="Y571" s="156"/>
      <c r="Z571" s="154"/>
      <c r="AA571" s="473"/>
      <c r="AB571" s="156"/>
      <c r="AC571" s="156"/>
      <c r="AD571" s="156"/>
      <c r="AE571" s="154"/>
      <c r="AF571" s="473"/>
      <c r="AG571" s="156"/>
      <c r="AH571" s="156"/>
      <c r="AI571" s="156"/>
      <c r="AJ571" s="154"/>
      <c r="AK571" s="473"/>
      <c r="AL571" s="156"/>
      <c r="AM571" s="156"/>
      <c r="AN571" s="156"/>
      <c r="AO571" s="452"/>
      <c r="AP571" s="452"/>
      <c r="AQ571" s="452"/>
      <c r="AR571" s="452"/>
      <c r="AS571" s="452"/>
      <c r="AT571" s="452"/>
      <c r="AU571" s="452"/>
      <c r="AV571" s="452"/>
      <c r="AW571" s="452"/>
      <c r="AX571" s="452"/>
      <c r="AY571" s="154"/>
      <c r="AZ571" s="473"/>
      <c r="BA571" s="156"/>
      <c r="BB571" s="156"/>
      <c r="BC571" s="156"/>
      <c r="BD571" s="452"/>
      <c r="BE571" s="452"/>
      <c r="BF571" s="452"/>
      <c r="BG571" s="452"/>
      <c r="BH571" s="452"/>
    </row>
    <row r="572">
      <c r="A572" s="154"/>
      <c r="B572" s="473"/>
      <c r="C572" s="156"/>
      <c r="D572" s="156"/>
      <c r="E572" s="156"/>
      <c r="F572" s="154"/>
      <c r="G572" s="473"/>
      <c r="H572" s="156"/>
      <c r="I572" s="156"/>
      <c r="J572" s="156"/>
      <c r="K572" s="132"/>
      <c r="L572" s="473"/>
      <c r="M572" s="156"/>
      <c r="N572" s="156"/>
      <c r="O572" s="156"/>
      <c r="P572" s="132"/>
      <c r="Q572" s="487"/>
      <c r="R572" s="156"/>
      <c r="S572" s="156"/>
      <c r="T572" s="156"/>
      <c r="U572" s="154"/>
      <c r="V572" s="473"/>
      <c r="W572" s="156"/>
      <c r="X572" s="156"/>
      <c r="Y572" s="156"/>
      <c r="Z572" s="154"/>
      <c r="AA572" s="473"/>
      <c r="AB572" s="156"/>
      <c r="AC572" s="156"/>
      <c r="AD572" s="156"/>
      <c r="AE572" s="154"/>
      <c r="AF572" s="473"/>
      <c r="AG572" s="156"/>
      <c r="AH572" s="156"/>
      <c r="AI572" s="156"/>
      <c r="AJ572" s="154"/>
      <c r="AK572" s="473"/>
      <c r="AL572" s="156"/>
      <c r="AM572" s="156"/>
      <c r="AN572" s="156"/>
      <c r="AO572" s="452"/>
      <c r="AP572" s="452"/>
      <c r="AQ572" s="452"/>
      <c r="AR572" s="452"/>
      <c r="AS572" s="452"/>
      <c r="AT572" s="452"/>
      <c r="AU572" s="452"/>
      <c r="AV572" s="452"/>
      <c r="AW572" s="452"/>
      <c r="AX572" s="452"/>
      <c r="AY572" s="154"/>
      <c r="AZ572" s="473"/>
      <c r="BA572" s="156"/>
      <c r="BB572" s="156"/>
      <c r="BC572" s="156"/>
      <c r="BD572" s="452"/>
      <c r="BE572" s="452"/>
      <c r="BF572" s="452"/>
      <c r="BG572" s="452"/>
      <c r="BH572" s="452"/>
    </row>
    <row r="573">
      <c r="A573" s="154"/>
      <c r="B573" s="473"/>
      <c r="C573" s="156"/>
      <c r="D573" s="156"/>
      <c r="E573" s="156"/>
      <c r="F573" s="154"/>
      <c r="G573" s="473"/>
      <c r="H573" s="156"/>
      <c r="I573" s="156"/>
      <c r="J573" s="156"/>
      <c r="K573" s="132"/>
      <c r="L573" s="473"/>
      <c r="M573" s="156"/>
      <c r="N573" s="156"/>
      <c r="O573" s="156"/>
      <c r="P573" s="132"/>
      <c r="Q573" s="487"/>
      <c r="R573" s="156"/>
      <c r="S573" s="156"/>
      <c r="T573" s="156"/>
      <c r="U573" s="154"/>
      <c r="V573" s="473"/>
      <c r="W573" s="156"/>
      <c r="X573" s="156"/>
      <c r="Y573" s="156"/>
      <c r="Z573" s="154"/>
      <c r="AA573" s="473"/>
      <c r="AB573" s="156"/>
      <c r="AC573" s="156"/>
      <c r="AD573" s="156"/>
      <c r="AE573" s="154"/>
      <c r="AF573" s="473"/>
      <c r="AG573" s="156"/>
      <c r="AH573" s="156"/>
      <c r="AI573" s="156"/>
      <c r="AJ573" s="154"/>
      <c r="AK573" s="473"/>
      <c r="AL573" s="156"/>
      <c r="AM573" s="156"/>
      <c r="AN573" s="156"/>
      <c r="AO573" s="452"/>
      <c r="AP573" s="452"/>
      <c r="AQ573" s="452"/>
      <c r="AR573" s="452"/>
      <c r="AS573" s="452"/>
      <c r="AT573" s="452"/>
      <c r="AU573" s="452"/>
      <c r="AV573" s="452"/>
      <c r="AW573" s="452"/>
      <c r="AX573" s="452"/>
      <c r="AY573" s="154"/>
      <c r="AZ573" s="473"/>
      <c r="BA573" s="156"/>
      <c r="BB573" s="156"/>
      <c r="BC573" s="156"/>
      <c r="BD573" s="452"/>
      <c r="BE573" s="452"/>
      <c r="BF573" s="452"/>
      <c r="BG573" s="452"/>
      <c r="BH573" s="452"/>
    </row>
    <row r="574">
      <c r="A574" s="154"/>
      <c r="B574" s="473"/>
      <c r="C574" s="156"/>
      <c r="D574" s="156"/>
      <c r="E574" s="156"/>
      <c r="F574" s="154"/>
      <c r="G574" s="473"/>
      <c r="H574" s="156"/>
      <c r="I574" s="156"/>
      <c r="J574" s="156"/>
      <c r="K574" s="132"/>
      <c r="L574" s="473"/>
      <c r="M574" s="156"/>
      <c r="N574" s="156"/>
      <c r="O574" s="156"/>
      <c r="P574" s="132"/>
      <c r="Q574" s="487"/>
      <c r="R574" s="156"/>
      <c r="S574" s="156"/>
      <c r="T574" s="156"/>
      <c r="U574" s="154"/>
      <c r="V574" s="473"/>
      <c r="W574" s="156"/>
      <c r="X574" s="156"/>
      <c r="Y574" s="156"/>
      <c r="Z574" s="154"/>
      <c r="AA574" s="473"/>
      <c r="AB574" s="156"/>
      <c r="AC574" s="156"/>
      <c r="AD574" s="156"/>
      <c r="AE574" s="154"/>
      <c r="AF574" s="473"/>
      <c r="AG574" s="156"/>
      <c r="AH574" s="156"/>
      <c r="AI574" s="156"/>
      <c r="AJ574" s="154"/>
      <c r="AK574" s="473"/>
      <c r="AL574" s="156"/>
      <c r="AM574" s="156"/>
      <c r="AN574" s="156"/>
      <c r="AO574" s="452"/>
      <c r="AP574" s="452"/>
      <c r="AQ574" s="452"/>
      <c r="AR574" s="452"/>
      <c r="AS574" s="452"/>
      <c r="AT574" s="452"/>
      <c r="AU574" s="452"/>
      <c r="AV574" s="452"/>
      <c r="AW574" s="452"/>
      <c r="AX574" s="452"/>
      <c r="AY574" s="154"/>
      <c r="AZ574" s="473"/>
      <c r="BA574" s="156"/>
      <c r="BB574" s="156"/>
      <c r="BC574" s="156"/>
      <c r="BD574" s="452"/>
      <c r="BE574" s="452"/>
      <c r="BF574" s="452"/>
      <c r="BG574" s="452"/>
      <c r="BH574" s="452"/>
    </row>
    <row r="575">
      <c r="A575" s="154"/>
      <c r="B575" s="473"/>
      <c r="C575" s="156"/>
      <c r="D575" s="156"/>
      <c r="E575" s="156"/>
      <c r="F575" s="154"/>
      <c r="G575" s="473"/>
      <c r="H575" s="156"/>
      <c r="I575" s="156"/>
      <c r="J575" s="156"/>
      <c r="K575" s="132"/>
      <c r="L575" s="473"/>
      <c r="M575" s="156"/>
      <c r="N575" s="156"/>
      <c r="O575" s="156"/>
      <c r="P575" s="132"/>
      <c r="Q575" s="487"/>
      <c r="R575" s="156"/>
      <c r="S575" s="156"/>
      <c r="T575" s="156"/>
      <c r="U575" s="154"/>
      <c r="V575" s="473"/>
      <c r="W575" s="156"/>
      <c r="X575" s="156"/>
      <c r="Y575" s="156"/>
      <c r="Z575" s="154"/>
      <c r="AA575" s="473"/>
      <c r="AB575" s="156"/>
      <c r="AC575" s="156"/>
      <c r="AD575" s="156"/>
      <c r="AE575" s="154"/>
      <c r="AF575" s="473"/>
      <c r="AG575" s="156"/>
      <c r="AH575" s="156"/>
      <c r="AI575" s="156"/>
      <c r="AJ575" s="154"/>
      <c r="AK575" s="473"/>
      <c r="AL575" s="156"/>
      <c r="AM575" s="156"/>
      <c r="AN575" s="156"/>
      <c r="AO575" s="452"/>
      <c r="AP575" s="452"/>
      <c r="AQ575" s="452"/>
      <c r="AR575" s="452"/>
      <c r="AS575" s="452"/>
      <c r="AT575" s="452"/>
      <c r="AU575" s="452"/>
      <c r="AV575" s="452"/>
      <c r="AW575" s="452"/>
      <c r="AX575" s="452"/>
      <c r="AY575" s="154"/>
      <c r="AZ575" s="473"/>
      <c r="BA575" s="156"/>
      <c r="BB575" s="156"/>
      <c r="BC575" s="156"/>
      <c r="BD575" s="452"/>
      <c r="BE575" s="452"/>
      <c r="BF575" s="452"/>
      <c r="BG575" s="452"/>
      <c r="BH575" s="452"/>
    </row>
    <row r="576">
      <c r="A576" s="154"/>
      <c r="B576" s="473"/>
      <c r="C576" s="156"/>
      <c r="D576" s="156"/>
      <c r="E576" s="156"/>
      <c r="F576" s="154"/>
      <c r="G576" s="473"/>
      <c r="H576" s="156"/>
      <c r="I576" s="156"/>
      <c r="J576" s="156"/>
      <c r="K576" s="132"/>
      <c r="L576" s="473"/>
      <c r="M576" s="156"/>
      <c r="N576" s="156"/>
      <c r="O576" s="156"/>
      <c r="P576" s="132"/>
      <c r="Q576" s="487"/>
      <c r="R576" s="156"/>
      <c r="S576" s="156"/>
      <c r="T576" s="156"/>
      <c r="U576" s="154"/>
      <c r="V576" s="473"/>
      <c r="W576" s="156"/>
      <c r="X576" s="156"/>
      <c r="Y576" s="156"/>
      <c r="Z576" s="154"/>
      <c r="AA576" s="473"/>
      <c r="AB576" s="156"/>
      <c r="AC576" s="156"/>
      <c r="AD576" s="156"/>
      <c r="AE576" s="154"/>
      <c r="AF576" s="473"/>
      <c r="AG576" s="156"/>
      <c r="AH576" s="156"/>
      <c r="AI576" s="156"/>
      <c r="AJ576" s="154"/>
      <c r="AK576" s="473"/>
      <c r="AL576" s="156"/>
      <c r="AM576" s="156"/>
      <c r="AN576" s="156"/>
      <c r="AO576" s="452"/>
      <c r="AP576" s="452"/>
      <c r="AQ576" s="452"/>
      <c r="AR576" s="452"/>
      <c r="AS576" s="452"/>
      <c r="AT576" s="452"/>
      <c r="AU576" s="452"/>
      <c r="AV576" s="452"/>
      <c r="AW576" s="452"/>
      <c r="AX576" s="452"/>
      <c r="AY576" s="154"/>
      <c r="AZ576" s="473"/>
      <c r="BA576" s="156"/>
      <c r="BB576" s="156"/>
      <c r="BC576" s="156"/>
      <c r="BD576" s="452"/>
      <c r="BE576" s="452"/>
      <c r="BF576" s="452"/>
      <c r="BG576" s="452"/>
      <c r="BH576" s="452"/>
    </row>
    <row r="577">
      <c r="A577" s="154"/>
      <c r="B577" s="473"/>
      <c r="C577" s="156"/>
      <c r="D577" s="156"/>
      <c r="E577" s="156"/>
      <c r="F577" s="154"/>
      <c r="G577" s="473"/>
      <c r="H577" s="156"/>
      <c r="I577" s="156"/>
      <c r="J577" s="156"/>
      <c r="K577" s="132"/>
      <c r="L577" s="473"/>
      <c r="M577" s="156"/>
      <c r="N577" s="156"/>
      <c r="O577" s="156"/>
      <c r="P577" s="132"/>
      <c r="Q577" s="487"/>
      <c r="R577" s="156"/>
      <c r="S577" s="156"/>
      <c r="T577" s="156"/>
      <c r="U577" s="154"/>
      <c r="V577" s="473"/>
      <c r="W577" s="156"/>
      <c r="X577" s="156"/>
      <c r="Y577" s="156"/>
      <c r="Z577" s="154"/>
      <c r="AA577" s="473"/>
      <c r="AB577" s="156"/>
      <c r="AC577" s="156"/>
      <c r="AD577" s="156"/>
      <c r="AE577" s="154"/>
      <c r="AF577" s="473"/>
      <c r="AG577" s="156"/>
      <c r="AH577" s="156"/>
      <c r="AI577" s="156"/>
      <c r="AJ577" s="154"/>
      <c r="AK577" s="473"/>
      <c r="AL577" s="156"/>
      <c r="AM577" s="156"/>
      <c r="AN577" s="156"/>
      <c r="AO577" s="452"/>
      <c r="AP577" s="452"/>
      <c r="AQ577" s="452"/>
      <c r="AR577" s="452"/>
      <c r="AS577" s="452"/>
      <c r="AT577" s="452"/>
      <c r="AU577" s="452"/>
      <c r="AV577" s="452"/>
      <c r="AW577" s="452"/>
      <c r="AX577" s="452"/>
      <c r="AY577" s="154"/>
      <c r="AZ577" s="473"/>
      <c r="BA577" s="156"/>
      <c r="BB577" s="156"/>
      <c r="BC577" s="156"/>
      <c r="BD577" s="452"/>
      <c r="BE577" s="452"/>
      <c r="BF577" s="452"/>
      <c r="BG577" s="452"/>
      <c r="BH577" s="452"/>
    </row>
    <row r="578">
      <c r="A578" s="154"/>
      <c r="B578" s="473"/>
      <c r="C578" s="156"/>
      <c r="D578" s="156"/>
      <c r="E578" s="156"/>
      <c r="F578" s="154"/>
      <c r="G578" s="473"/>
      <c r="H578" s="156"/>
      <c r="I578" s="156"/>
      <c r="J578" s="156"/>
      <c r="K578" s="132"/>
      <c r="L578" s="473"/>
      <c r="M578" s="156"/>
      <c r="N578" s="156"/>
      <c r="O578" s="156"/>
      <c r="P578" s="132"/>
      <c r="Q578" s="487"/>
      <c r="R578" s="156"/>
      <c r="S578" s="156"/>
      <c r="T578" s="156"/>
      <c r="U578" s="154"/>
      <c r="V578" s="473"/>
      <c r="W578" s="156"/>
      <c r="X578" s="156"/>
      <c r="Y578" s="156"/>
      <c r="Z578" s="154"/>
      <c r="AA578" s="473"/>
      <c r="AB578" s="156"/>
      <c r="AC578" s="156"/>
      <c r="AD578" s="156"/>
      <c r="AE578" s="154"/>
      <c r="AF578" s="473"/>
      <c r="AG578" s="156"/>
      <c r="AH578" s="156"/>
      <c r="AI578" s="156"/>
      <c r="AJ578" s="154"/>
      <c r="AK578" s="473"/>
      <c r="AL578" s="156"/>
      <c r="AM578" s="156"/>
      <c r="AN578" s="156"/>
      <c r="AO578" s="452"/>
      <c r="AP578" s="452"/>
      <c r="AQ578" s="452"/>
      <c r="AR578" s="452"/>
      <c r="AS578" s="452"/>
      <c r="AT578" s="452"/>
      <c r="AU578" s="452"/>
      <c r="AV578" s="452"/>
      <c r="AW578" s="452"/>
      <c r="AX578" s="452"/>
      <c r="AY578" s="154"/>
      <c r="AZ578" s="473"/>
      <c r="BA578" s="156"/>
      <c r="BB578" s="156"/>
      <c r="BC578" s="156"/>
      <c r="BD578" s="452"/>
      <c r="BE578" s="452"/>
      <c r="BF578" s="452"/>
      <c r="BG578" s="452"/>
      <c r="BH578" s="452"/>
    </row>
    <row r="579">
      <c r="A579" s="154"/>
      <c r="B579" s="473"/>
      <c r="C579" s="156"/>
      <c r="D579" s="156"/>
      <c r="E579" s="156"/>
      <c r="F579" s="154"/>
      <c r="G579" s="473"/>
      <c r="H579" s="156"/>
      <c r="I579" s="156"/>
      <c r="J579" s="156"/>
      <c r="K579" s="132"/>
      <c r="L579" s="473"/>
      <c r="M579" s="156"/>
      <c r="N579" s="156"/>
      <c r="O579" s="156"/>
      <c r="P579" s="132"/>
      <c r="Q579" s="487"/>
      <c r="R579" s="156"/>
      <c r="S579" s="156"/>
      <c r="T579" s="156"/>
      <c r="U579" s="154"/>
      <c r="V579" s="473"/>
      <c r="W579" s="156"/>
      <c r="X579" s="156"/>
      <c r="Y579" s="156"/>
      <c r="Z579" s="154"/>
      <c r="AA579" s="473"/>
      <c r="AB579" s="156"/>
      <c r="AC579" s="156"/>
      <c r="AD579" s="156"/>
      <c r="AE579" s="154"/>
      <c r="AF579" s="473"/>
      <c r="AG579" s="156"/>
      <c r="AH579" s="156"/>
      <c r="AI579" s="156"/>
      <c r="AJ579" s="154"/>
      <c r="AK579" s="473"/>
      <c r="AL579" s="156"/>
      <c r="AM579" s="156"/>
      <c r="AN579" s="156"/>
      <c r="AO579" s="452"/>
      <c r="AP579" s="452"/>
      <c r="AQ579" s="452"/>
      <c r="AR579" s="452"/>
      <c r="AS579" s="452"/>
      <c r="AT579" s="452"/>
      <c r="AU579" s="452"/>
      <c r="AV579" s="452"/>
      <c r="AW579" s="452"/>
      <c r="AX579" s="452"/>
      <c r="AY579" s="154"/>
      <c r="AZ579" s="473"/>
      <c r="BA579" s="156"/>
      <c r="BB579" s="156"/>
      <c r="BC579" s="156"/>
      <c r="BD579" s="452"/>
      <c r="BE579" s="452"/>
      <c r="BF579" s="452"/>
      <c r="BG579" s="452"/>
      <c r="BH579" s="452"/>
    </row>
    <row r="580">
      <c r="A580" s="154"/>
      <c r="B580" s="473"/>
      <c r="C580" s="156"/>
      <c r="D580" s="156"/>
      <c r="E580" s="156"/>
      <c r="F580" s="154"/>
      <c r="G580" s="473"/>
      <c r="H580" s="156"/>
      <c r="I580" s="156"/>
      <c r="J580" s="156"/>
      <c r="K580" s="132"/>
      <c r="L580" s="473"/>
      <c r="M580" s="156"/>
      <c r="N580" s="156"/>
      <c r="O580" s="156"/>
      <c r="P580" s="132"/>
      <c r="Q580" s="487"/>
      <c r="R580" s="156"/>
      <c r="S580" s="156"/>
      <c r="T580" s="156"/>
      <c r="U580" s="154"/>
      <c r="V580" s="473"/>
      <c r="W580" s="156"/>
      <c r="X580" s="156"/>
      <c r="Y580" s="156"/>
      <c r="Z580" s="154"/>
      <c r="AA580" s="473"/>
      <c r="AB580" s="156"/>
      <c r="AC580" s="156"/>
      <c r="AD580" s="156"/>
      <c r="AE580" s="154"/>
      <c r="AF580" s="473"/>
      <c r="AG580" s="156"/>
      <c r="AH580" s="156"/>
      <c r="AI580" s="156"/>
      <c r="AJ580" s="154"/>
      <c r="AK580" s="473"/>
      <c r="AL580" s="156"/>
      <c r="AM580" s="156"/>
      <c r="AN580" s="156"/>
      <c r="AO580" s="452"/>
      <c r="AP580" s="452"/>
      <c r="AQ580" s="452"/>
      <c r="AR580" s="452"/>
      <c r="AS580" s="452"/>
      <c r="AT580" s="452"/>
      <c r="AU580" s="452"/>
      <c r="AV580" s="452"/>
      <c r="AW580" s="452"/>
      <c r="AX580" s="452"/>
      <c r="AY580" s="154"/>
      <c r="AZ580" s="473"/>
      <c r="BA580" s="156"/>
      <c r="BB580" s="156"/>
      <c r="BC580" s="156"/>
      <c r="BD580" s="452"/>
      <c r="BE580" s="452"/>
      <c r="BF580" s="452"/>
      <c r="BG580" s="452"/>
      <c r="BH580" s="452"/>
    </row>
    <row r="581">
      <c r="A581" s="154"/>
      <c r="B581" s="473"/>
      <c r="C581" s="156"/>
      <c r="D581" s="156"/>
      <c r="E581" s="156"/>
      <c r="F581" s="154"/>
      <c r="G581" s="473"/>
      <c r="H581" s="156"/>
      <c r="I581" s="156"/>
      <c r="J581" s="156"/>
      <c r="K581" s="132"/>
      <c r="L581" s="473"/>
      <c r="M581" s="156"/>
      <c r="N581" s="156"/>
      <c r="O581" s="156"/>
      <c r="P581" s="132"/>
      <c r="Q581" s="487"/>
      <c r="R581" s="156"/>
      <c r="S581" s="156"/>
      <c r="T581" s="156"/>
      <c r="U581" s="154"/>
      <c r="V581" s="473"/>
      <c r="W581" s="156"/>
      <c r="X581" s="156"/>
      <c r="Y581" s="156"/>
      <c r="Z581" s="154"/>
      <c r="AA581" s="473"/>
      <c r="AB581" s="156"/>
      <c r="AC581" s="156"/>
      <c r="AD581" s="156"/>
      <c r="AE581" s="154"/>
      <c r="AF581" s="473"/>
      <c r="AG581" s="156"/>
      <c r="AH581" s="156"/>
      <c r="AI581" s="156"/>
      <c r="AJ581" s="154"/>
      <c r="AK581" s="473"/>
      <c r="AL581" s="156"/>
      <c r="AM581" s="156"/>
      <c r="AN581" s="156"/>
      <c r="AO581" s="452"/>
      <c r="AP581" s="452"/>
      <c r="AQ581" s="452"/>
      <c r="AR581" s="452"/>
      <c r="AS581" s="452"/>
      <c r="AT581" s="452"/>
      <c r="AU581" s="452"/>
      <c r="AV581" s="452"/>
      <c r="AW581" s="452"/>
      <c r="AX581" s="452"/>
      <c r="AY581" s="154"/>
      <c r="AZ581" s="473"/>
      <c r="BA581" s="156"/>
      <c r="BB581" s="156"/>
      <c r="BC581" s="156"/>
      <c r="BD581" s="452"/>
      <c r="BE581" s="452"/>
      <c r="BF581" s="452"/>
      <c r="BG581" s="452"/>
      <c r="BH581" s="452"/>
    </row>
    <row r="582">
      <c r="A582" s="154"/>
      <c r="B582" s="473"/>
      <c r="C582" s="156"/>
      <c r="D582" s="156"/>
      <c r="E582" s="156"/>
      <c r="F582" s="154"/>
      <c r="G582" s="473"/>
      <c r="H582" s="156"/>
      <c r="I582" s="156"/>
      <c r="J582" s="156"/>
      <c r="K582" s="132"/>
      <c r="L582" s="473"/>
      <c r="M582" s="156"/>
      <c r="N582" s="156"/>
      <c r="O582" s="156"/>
      <c r="P582" s="132"/>
      <c r="Q582" s="487"/>
      <c r="R582" s="156"/>
      <c r="S582" s="156"/>
      <c r="T582" s="156"/>
      <c r="U582" s="154"/>
      <c r="V582" s="473"/>
      <c r="W582" s="156"/>
      <c r="X582" s="156"/>
      <c r="Y582" s="156"/>
      <c r="Z582" s="154"/>
      <c r="AA582" s="473"/>
      <c r="AB582" s="156"/>
      <c r="AC582" s="156"/>
      <c r="AD582" s="156"/>
      <c r="AE582" s="154"/>
      <c r="AF582" s="473"/>
      <c r="AG582" s="156"/>
      <c r="AH582" s="156"/>
      <c r="AI582" s="156"/>
      <c r="AJ582" s="154"/>
      <c r="AK582" s="473"/>
      <c r="AL582" s="156"/>
      <c r="AM582" s="156"/>
      <c r="AN582" s="156"/>
      <c r="AO582" s="452"/>
      <c r="AP582" s="452"/>
      <c r="AQ582" s="452"/>
      <c r="AR582" s="452"/>
      <c r="AS582" s="452"/>
      <c r="AT582" s="452"/>
      <c r="AU582" s="452"/>
      <c r="AV582" s="452"/>
      <c r="AW582" s="452"/>
      <c r="AX582" s="452"/>
      <c r="AY582" s="154"/>
      <c r="AZ582" s="473"/>
      <c r="BA582" s="156"/>
      <c r="BB582" s="156"/>
      <c r="BC582" s="156"/>
      <c r="BD582" s="452"/>
      <c r="BE582" s="452"/>
      <c r="BF582" s="452"/>
      <c r="BG582" s="452"/>
      <c r="BH582" s="452"/>
    </row>
    <row r="583">
      <c r="A583" s="154"/>
      <c r="B583" s="473"/>
      <c r="C583" s="156"/>
      <c r="D583" s="156"/>
      <c r="E583" s="156"/>
      <c r="F583" s="154"/>
      <c r="G583" s="473"/>
      <c r="H583" s="156"/>
      <c r="I583" s="156"/>
      <c r="J583" s="156"/>
      <c r="K583" s="132"/>
      <c r="L583" s="473"/>
      <c r="M583" s="156"/>
      <c r="N583" s="156"/>
      <c r="O583" s="156"/>
      <c r="P583" s="132"/>
      <c r="Q583" s="487"/>
      <c r="R583" s="156"/>
      <c r="S583" s="156"/>
      <c r="T583" s="156"/>
      <c r="U583" s="154"/>
      <c r="V583" s="473"/>
      <c r="W583" s="156"/>
      <c r="X583" s="156"/>
      <c r="Y583" s="156"/>
      <c r="Z583" s="154"/>
      <c r="AA583" s="473"/>
      <c r="AB583" s="156"/>
      <c r="AC583" s="156"/>
      <c r="AD583" s="156"/>
      <c r="AE583" s="154"/>
      <c r="AF583" s="473"/>
      <c r="AG583" s="156"/>
      <c r="AH583" s="156"/>
      <c r="AI583" s="156"/>
      <c r="AJ583" s="154"/>
      <c r="AK583" s="473"/>
      <c r="AL583" s="156"/>
      <c r="AM583" s="156"/>
      <c r="AN583" s="156"/>
      <c r="AO583" s="452"/>
      <c r="AP583" s="452"/>
      <c r="AQ583" s="452"/>
      <c r="AR583" s="452"/>
      <c r="AS583" s="452"/>
      <c r="AT583" s="452"/>
      <c r="AU583" s="452"/>
      <c r="AV583" s="452"/>
      <c r="AW583" s="452"/>
      <c r="AX583" s="452"/>
      <c r="AY583" s="154"/>
      <c r="AZ583" s="473"/>
      <c r="BA583" s="156"/>
      <c r="BB583" s="156"/>
      <c r="BC583" s="156"/>
      <c r="BD583" s="452"/>
      <c r="BE583" s="452"/>
      <c r="BF583" s="452"/>
      <c r="BG583" s="452"/>
      <c r="BH583" s="452"/>
    </row>
    <row r="584">
      <c r="A584" s="154"/>
      <c r="B584" s="473"/>
      <c r="C584" s="156"/>
      <c r="D584" s="156"/>
      <c r="E584" s="156"/>
      <c r="F584" s="154"/>
      <c r="G584" s="473"/>
      <c r="H584" s="156"/>
      <c r="I584" s="156"/>
      <c r="J584" s="156"/>
      <c r="K584" s="132"/>
      <c r="L584" s="473"/>
      <c r="M584" s="156"/>
      <c r="N584" s="156"/>
      <c r="O584" s="156"/>
      <c r="P584" s="132"/>
      <c r="Q584" s="487"/>
      <c r="R584" s="156"/>
      <c r="S584" s="156"/>
      <c r="T584" s="156"/>
      <c r="U584" s="154"/>
      <c r="V584" s="473"/>
      <c r="W584" s="156"/>
      <c r="X584" s="156"/>
      <c r="Y584" s="156"/>
      <c r="Z584" s="154"/>
      <c r="AA584" s="473"/>
      <c r="AB584" s="156"/>
      <c r="AC584" s="156"/>
      <c r="AD584" s="156"/>
      <c r="AE584" s="154"/>
      <c r="AF584" s="473"/>
      <c r="AG584" s="156"/>
      <c r="AH584" s="156"/>
      <c r="AI584" s="156"/>
      <c r="AJ584" s="154"/>
      <c r="AK584" s="473"/>
      <c r="AL584" s="156"/>
      <c r="AM584" s="156"/>
      <c r="AN584" s="156"/>
      <c r="AO584" s="452"/>
      <c r="AP584" s="452"/>
      <c r="AQ584" s="452"/>
      <c r="AR584" s="452"/>
      <c r="AS584" s="452"/>
      <c r="AT584" s="452"/>
      <c r="AU584" s="452"/>
      <c r="AV584" s="452"/>
      <c r="AW584" s="452"/>
      <c r="AX584" s="452"/>
      <c r="AY584" s="154"/>
      <c r="AZ584" s="473"/>
      <c r="BA584" s="156"/>
      <c r="BB584" s="156"/>
      <c r="BC584" s="156"/>
      <c r="BD584" s="452"/>
      <c r="BE584" s="452"/>
      <c r="BF584" s="452"/>
      <c r="BG584" s="452"/>
      <c r="BH584" s="452"/>
    </row>
    <row r="585">
      <c r="A585" s="154"/>
      <c r="B585" s="473"/>
      <c r="C585" s="156"/>
      <c r="D585" s="156"/>
      <c r="E585" s="156"/>
      <c r="F585" s="154"/>
      <c r="G585" s="473"/>
      <c r="H585" s="156"/>
      <c r="I585" s="156"/>
      <c r="J585" s="156"/>
      <c r="K585" s="132"/>
      <c r="L585" s="473"/>
      <c r="M585" s="156"/>
      <c r="N585" s="156"/>
      <c r="O585" s="156"/>
      <c r="P585" s="132"/>
      <c r="Q585" s="487"/>
      <c r="R585" s="156"/>
      <c r="S585" s="156"/>
      <c r="T585" s="156"/>
      <c r="U585" s="154"/>
      <c r="V585" s="473"/>
      <c r="W585" s="156"/>
      <c r="X585" s="156"/>
      <c r="Y585" s="156"/>
      <c r="Z585" s="154"/>
      <c r="AA585" s="473"/>
      <c r="AB585" s="156"/>
      <c r="AC585" s="156"/>
      <c r="AD585" s="156"/>
      <c r="AE585" s="154"/>
      <c r="AF585" s="473"/>
      <c r="AG585" s="156"/>
      <c r="AH585" s="156"/>
      <c r="AI585" s="156"/>
      <c r="AJ585" s="154"/>
      <c r="AK585" s="473"/>
      <c r="AL585" s="156"/>
      <c r="AM585" s="156"/>
      <c r="AN585" s="156"/>
      <c r="AO585" s="452"/>
      <c r="AP585" s="452"/>
      <c r="AQ585" s="452"/>
      <c r="AR585" s="452"/>
      <c r="AS585" s="452"/>
      <c r="AT585" s="452"/>
      <c r="AU585" s="452"/>
      <c r="AV585" s="452"/>
      <c r="AW585" s="452"/>
      <c r="AX585" s="452"/>
      <c r="AY585" s="154"/>
      <c r="AZ585" s="473"/>
      <c r="BA585" s="156"/>
      <c r="BB585" s="156"/>
      <c r="BC585" s="156"/>
      <c r="BD585" s="452"/>
      <c r="BE585" s="452"/>
      <c r="BF585" s="452"/>
      <c r="BG585" s="452"/>
      <c r="BH585" s="452"/>
    </row>
    <row r="586">
      <c r="A586" s="154"/>
      <c r="B586" s="473"/>
      <c r="C586" s="156"/>
      <c r="D586" s="156"/>
      <c r="E586" s="156"/>
      <c r="F586" s="154"/>
      <c r="G586" s="473"/>
      <c r="H586" s="156"/>
      <c r="I586" s="156"/>
      <c r="J586" s="156"/>
      <c r="K586" s="132"/>
      <c r="L586" s="473"/>
      <c r="M586" s="156"/>
      <c r="N586" s="156"/>
      <c r="O586" s="156"/>
      <c r="P586" s="132"/>
      <c r="Q586" s="487"/>
      <c r="R586" s="156"/>
      <c r="S586" s="156"/>
      <c r="T586" s="156"/>
      <c r="U586" s="154"/>
      <c r="V586" s="473"/>
      <c r="W586" s="156"/>
      <c r="X586" s="156"/>
      <c r="Y586" s="156"/>
      <c r="Z586" s="154"/>
      <c r="AA586" s="473"/>
      <c r="AB586" s="156"/>
      <c r="AC586" s="156"/>
      <c r="AD586" s="156"/>
      <c r="AE586" s="154"/>
      <c r="AF586" s="473"/>
      <c r="AG586" s="156"/>
      <c r="AH586" s="156"/>
      <c r="AI586" s="156"/>
      <c r="AJ586" s="154"/>
      <c r="AK586" s="473"/>
      <c r="AL586" s="156"/>
      <c r="AM586" s="156"/>
      <c r="AN586" s="156"/>
      <c r="AO586" s="452"/>
      <c r="AP586" s="452"/>
      <c r="AQ586" s="452"/>
      <c r="AR586" s="452"/>
      <c r="AS586" s="452"/>
      <c r="AT586" s="452"/>
      <c r="AU586" s="452"/>
      <c r="AV586" s="452"/>
      <c r="AW586" s="452"/>
      <c r="AX586" s="452"/>
      <c r="AY586" s="154"/>
      <c r="AZ586" s="473"/>
      <c r="BA586" s="156"/>
      <c r="BB586" s="156"/>
      <c r="BC586" s="156"/>
      <c r="BD586" s="452"/>
      <c r="BE586" s="452"/>
      <c r="BF586" s="452"/>
      <c r="BG586" s="452"/>
      <c r="BH586" s="452"/>
    </row>
    <row r="587">
      <c r="A587" s="154"/>
      <c r="B587" s="473"/>
      <c r="C587" s="156"/>
      <c r="D587" s="156"/>
      <c r="E587" s="156"/>
      <c r="F587" s="154"/>
      <c r="G587" s="473"/>
      <c r="H587" s="156"/>
      <c r="I587" s="156"/>
      <c r="J587" s="156"/>
      <c r="K587" s="132"/>
      <c r="L587" s="473"/>
      <c r="M587" s="156"/>
      <c r="N587" s="156"/>
      <c r="O587" s="156"/>
      <c r="P587" s="132"/>
      <c r="Q587" s="487"/>
      <c r="R587" s="156"/>
      <c r="S587" s="156"/>
      <c r="T587" s="156"/>
      <c r="U587" s="154"/>
      <c r="V587" s="473"/>
      <c r="W587" s="156"/>
      <c r="X587" s="156"/>
      <c r="Y587" s="156"/>
      <c r="Z587" s="154"/>
      <c r="AA587" s="473"/>
      <c r="AB587" s="156"/>
      <c r="AC587" s="156"/>
      <c r="AD587" s="156"/>
      <c r="AE587" s="154"/>
      <c r="AF587" s="473"/>
      <c r="AG587" s="156"/>
      <c r="AH587" s="156"/>
      <c r="AI587" s="156"/>
      <c r="AJ587" s="154"/>
      <c r="AK587" s="473"/>
      <c r="AL587" s="156"/>
      <c r="AM587" s="156"/>
      <c r="AN587" s="156"/>
      <c r="AO587" s="452"/>
      <c r="AP587" s="452"/>
      <c r="AQ587" s="452"/>
      <c r="AR587" s="452"/>
      <c r="AS587" s="452"/>
      <c r="AT587" s="452"/>
      <c r="AU587" s="452"/>
      <c r="AV587" s="452"/>
      <c r="AW587" s="452"/>
      <c r="AX587" s="452"/>
      <c r="AY587" s="154"/>
      <c r="AZ587" s="473"/>
      <c r="BA587" s="156"/>
      <c r="BB587" s="156"/>
      <c r="BC587" s="156"/>
      <c r="BD587" s="452"/>
      <c r="BE587" s="452"/>
      <c r="BF587" s="452"/>
      <c r="BG587" s="452"/>
      <c r="BH587" s="452"/>
    </row>
    <row r="588">
      <c r="A588" s="154"/>
      <c r="B588" s="473"/>
      <c r="C588" s="156"/>
      <c r="D588" s="156"/>
      <c r="E588" s="156"/>
      <c r="F588" s="154"/>
      <c r="G588" s="473"/>
      <c r="H588" s="156"/>
      <c r="I588" s="156"/>
      <c r="J588" s="156"/>
      <c r="K588" s="132"/>
      <c r="L588" s="473"/>
      <c r="M588" s="156"/>
      <c r="N588" s="156"/>
      <c r="O588" s="156"/>
      <c r="P588" s="132"/>
      <c r="Q588" s="487"/>
      <c r="R588" s="156"/>
      <c r="S588" s="156"/>
      <c r="T588" s="156"/>
      <c r="U588" s="154"/>
      <c r="V588" s="473"/>
      <c r="W588" s="156"/>
      <c r="X588" s="156"/>
      <c r="Y588" s="156"/>
      <c r="Z588" s="154"/>
      <c r="AA588" s="473"/>
      <c r="AB588" s="156"/>
      <c r="AC588" s="156"/>
      <c r="AD588" s="156"/>
      <c r="AE588" s="154"/>
      <c r="AF588" s="473"/>
      <c r="AG588" s="156"/>
      <c r="AH588" s="156"/>
      <c r="AI588" s="156"/>
      <c r="AJ588" s="154"/>
      <c r="AK588" s="473"/>
      <c r="AL588" s="156"/>
      <c r="AM588" s="156"/>
      <c r="AN588" s="156"/>
      <c r="AO588" s="452"/>
      <c r="AP588" s="452"/>
      <c r="AQ588" s="452"/>
      <c r="AR588" s="452"/>
      <c r="AS588" s="452"/>
      <c r="AT588" s="452"/>
      <c r="AU588" s="452"/>
      <c r="AV588" s="452"/>
      <c r="AW588" s="452"/>
      <c r="AX588" s="452"/>
      <c r="AY588" s="154"/>
      <c r="AZ588" s="473"/>
      <c r="BA588" s="156"/>
      <c r="BB588" s="156"/>
      <c r="BC588" s="156"/>
      <c r="BD588" s="452"/>
      <c r="BE588" s="452"/>
      <c r="BF588" s="452"/>
      <c r="BG588" s="452"/>
      <c r="BH588" s="452"/>
    </row>
    <row r="589">
      <c r="A589" s="154"/>
      <c r="B589" s="473"/>
      <c r="C589" s="156"/>
      <c r="D589" s="156"/>
      <c r="E589" s="156"/>
      <c r="F589" s="154"/>
      <c r="G589" s="473"/>
      <c r="H589" s="156"/>
      <c r="I589" s="156"/>
      <c r="J589" s="156"/>
      <c r="K589" s="132"/>
      <c r="L589" s="473"/>
      <c r="M589" s="156"/>
      <c r="N589" s="156"/>
      <c r="O589" s="156"/>
      <c r="P589" s="132"/>
      <c r="Q589" s="487"/>
      <c r="R589" s="156"/>
      <c r="S589" s="156"/>
      <c r="T589" s="156"/>
      <c r="U589" s="154"/>
      <c r="V589" s="473"/>
      <c r="W589" s="156"/>
      <c r="X589" s="156"/>
      <c r="Y589" s="156"/>
      <c r="Z589" s="154"/>
      <c r="AA589" s="473"/>
      <c r="AB589" s="156"/>
      <c r="AC589" s="156"/>
      <c r="AD589" s="156"/>
      <c r="AE589" s="154"/>
      <c r="AF589" s="473"/>
      <c r="AG589" s="156"/>
      <c r="AH589" s="156"/>
      <c r="AI589" s="156"/>
      <c r="AJ589" s="154"/>
      <c r="AK589" s="473"/>
      <c r="AL589" s="156"/>
      <c r="AM589" s="156"/>
      <c r="AN589" s="156"/>
      <c r="AO589" s="452"/>
      <c r="AP589" s="452"/>
      <c r="AQ589" s="452"/>
      <c r="AR589" s="452"/>
      <c r="AS589" s="452"/>
      <c r="AT589" s="452"/>
      <c r="AU589" s="452"/>
      <c r="AV589" s="452"/>
      <c r="AW589" s="452"/>
      <c r="AX589" s="452"/>
      <c r="AY589" s="154"/>
      <c r="AZ589" s="473"/>
      <c r="BA589" s="156"/>
      <c r="BB589" s="156"/>
      <c r="BC589" s="156"/>
      <c r="BD589" s="452"/>
      <c r="BE589" s="452"/>
      <c r="BF589" s="452"/>
      <c r="BG589" s="452"/>
      <c r="BH589" s="452"/>
    </row>
    <row r="590">
      <c r="A590" s="154"/>
      <c r="B590" s="473"/>
      <c r="C590" s="156"/>
      <c r="D590" s="156"/>
      <c r="E590" s="156"/>
      <c r="F590" s="154"/>
      <c r="G590" s="473"/>
      <c r="H590" s="156"/>
      <c r="I590" s="156"/>
      <c r="J590" s="156"/>
      <c r="K590" s="132"/>
      <c r="L590" s="473"/>
      <c r="M590" s="156"/>
      <c r="N590" s="156"/>
      <c r="O590" s="156"/>
      <c r="P590" s="132"/>
      <c r="Q590" s="487"/>
      <c r="R590" s="156"/>
      <c r="S590" s="156"/>
      <c r="T590" s="156"/>
      <c r="U590" s="154"/>
      <c r="V590" s="473"/>
      <c r="W590" s="156"/>
      <c r="X590" s="156"/>
      <c r="Y590" s="156"/>
      <c r="Z590" s="154"/>
      <c r="AA590" s="473"/>
      <c r="AB590" s="156"/>
      <c r="AC590" s="156"/>
      <c r="AD590" s="156"/>
      <c r="AE590" s="154"/>
      <c r="AF590" s="473"/>
      <c r="AG590" s="156"/>
      <c r="AH590" s="156"/>
      <c r="AI590" s="156"/>
      <c r="AJ590" s="154"/>
      <c r="AK590" s="473"/>
      <c r="AL590" s="156"/>
      <c r="AM590" s="156"/>
      <c r="AN590" s="156"/>
      <c r="AO590" s="452"/>
      <c r="AP590" s="452"/>
      <c r="AQ590" s="452"/>
      <c r="AR590" s="452"/>
      <c r="AS590" s="452"/>
      <c r="AT590" s="452"/>
      <c r="AU590" s="452"/>
      <c r="AV590" s="452"/>
      <c r="AW590" s="452"/>
      <c r="AX590" s="452"/>
      <c r="AY590" s="154"/>
      <c r="AZ590" s="473"/>
      <c r="BA590" s="156"/>
      <c r="BB590" s="156"/>
      <c r="BC590" s="156"/>
      <c r="BD590" s="452"/>
      <c r="BE590" s="452"/>
      <c r="BF590" s="452"/>
      <c r="BG590" s="452"/>
      <c r="BH590" s="452"/>
    </row>
    <row r="591">
      <c r="A591" s="154"/>
      <c r="B591" s="473"/>
      <c r="C591" s="156"/>
      <c r="D591" s="156"/>
      <c r="E591" s="156"/>
      <c r="F591" s="154"/>
      <c r="G591" s="473"/>
      <c r="H591" s="156"/>
      <c r="I591" s="156"/>
      <c r="J591" s="156"/>
      <c r="K591" s="132"/>
      <c r="L591" s="473"/>
      <c r="M591" s="156"/>
      <c r="N591" s="156"/>
      <c r="O591" s="156"/>
      <c r="P591" s="132"/>
      <c r="Q591" s="487"/>
      <c r="R591" s="156"/>
      <c r="S591" s="156"/>
      <c r="T591" s="156"/>
      <c r="U591" s="154"/>
      <c r="V591" s="473"/>
      <c r="W591" s="156"/>
      <c r="X591" s="156"/>
      <c r="Y591" s="156"/>
      <c r="Z591" s="154"/>
      <c r="AA591" s="473"/>
      <c r="AB591" s="156"/>
      <c r="AC591" s="156"/>
      <c r="AD591" s="156"/>
      <c r="AE591" s="154"/>
      <c r="AF591" s="473"/>
      <c r="AG591" s="156"/>
      <c r="AH591" s="156"/>
      <c r="AI591" s="156"/>
      <c r="AJ591" s="154"/>
      <c r="AK591" s="473"/>
      <c r="AL591" s="156"/>
      <c r="AM591" s="156"/>
      <c r="AN591" s="156"/>
      <c r="AO591" s="452"/>
      <c r="AP591" s="452"/>
      <c r="AQ591" s="452"/>
      <c r="AR591" s="452"/>
      <c r="AS591" s="452"/>
      <c r="AT591" s="452"/>
      <c r="AU591" s="452"/>
      <c r="AV591" s="452"/>
      <c r="AW591" s="452"/>
      <c r="AX591" s="452"/>
      <c r="AY591" s="154"/>
      <c r="AZ591" s="473"/>
      <c r="BA591" s="156"/>
      <c r="BB591" s="156"/>
      <c r="BC591" s="156"/>
      <c r="BD591" s="452"/>
      <c r="BE591" s="452"/>
      <c r="BF591" s="452"/>
      <c r="BG591" s="452"/>
      <c r="BH591" s="452"/>
    </row>
    <row r="592">
      <c r="A592" s="154"/>
      <c r="B592" s="473"/>
      <c r="C592" s="156"/>
      <c r="D592" s="156"/>
      <c r="E592" s="156"/>
      <c r="F592" s="154"/>
      <c r="G592" s="473"/>
      <c r="H592" s="156"/>
      <c r="I592" s="156"/>
      <c r="J592" s="156"/>
      <c r="K592" s="132"/>
      <c r="L592" s="473"/>
      <c r="M592" s="156"/>
      <c r="N592" s="156"/>
      <c r="O592" s="156"/>
      <c r="P592" s="132"/>
      <c r="Q592" s="487"/>
      <c r="R592" s="156"/>
      <c r="S592" s="156"/>
      <c r="T592" s="156"/>
      <c r="U592" s="154"/>
      <c r="V592" s="473"/>
      <c r="W592" s="156"/>
      <c r="X592" s="156"/>
      <c r="Y592" s="156"/>
      <c r="Z592" s="154"/>
      <c r="AA592" s="473"/>
      <c r="AB592" s="156"/>
      <c r="AC592" s="156"/>
      <c r="AD592" s="156"/>
      <c r="AE592" s="154"/>
      <c r="AF592" s="473"/>
      <c r="AG592" s="156"/>
      <c r="AH592" s="156"/>
      <c r="AI592" s="156"/>
      <c r="AJ592" s="154"/>
      <c r="AK592" s="473"/>
      <c r="AL592" s="156"/>
      <c r="AM592" s="156"/>
      <c r="AN592" s="156"/>
      <c r="AO592" s="452"/>
      <c r="AP592" s="452"/>
      <c r="AQ592" s="452"/>
      <c r="AR592" s="452"/>
      <c r="AS592" s="452"/>
      <c r="AT592" s="452"/>
      <c r="AU592" s="452"/>
      <c r="AV592" s="452"/>
      <c r="AW592" s="452"/>
      <c r="AX592" s="452"/>
      <c r="AY592" s="154"/>
      <c r="AZ592" s="473"/>
      <c r="BA592" s="156"/>
      <c r="BB592" s="156"/>
      <c r="BC592" s="156"/>
      <c r="BD592" s="452"/>
      <c r="BE592" s="452"/>
      <c r="BF592" s="452"/>
      <c r="BG592" s="452"/>
      <c r="BH592" s="452"/>
    </row>
    <row r="593">
      <c r="A593" s="154"/>
      <c r="B593" s="473"/>
      <c r="C593" s="156"/>
      <c r="D593" s="156"/>
      <c r="E593" s="156"/>
      <c r="F593" s="154"/>
      <c r="G593" s="473"/>
      <c r="H593" s="156"/>
      <c r="I593" s="156"/>
      <c r="J593" s="156"/>
      <c r="K593" s="132"/>
      <c r="L593" s="473"/>
      <c r="M593" s="156"/>
      <c r="N593" s="156"/>
      <c r="O593" s="156"/>
      <c r="P593" s="132"/>
      <c r="Q593" s="487"/>
      <c r="R593" s="156"/>
      <c r="S593" s="156"/>
      <c r="T593" s="156"/>
      <c r="U593" s="154"/>
      <c r="V593" s="473"/>
      <c r="W593" s="156"/>
      <c r="X593" s="156"/>
      <c r="Y593" s="156"/>
      <c r="Z593" s="154"/>
      <c r="AA593" s="473"/>
      <c r="AB593" s="156"/>
      <c r="AC593" s="156"/>
      <c r="AD593" s="156"/>
      <c r="AE593" s="154"/>
      <c r="AF593" s="473"/>
      <c r="AG593" s="156"/>
      <c r="AH593" s="156"/>
      <c r="AI593" s="156"/>
      <c r="AJ593" s="154"/>
      <c r="AK593" s="473"/>
      <c r="AL593" s="156"/>
      <c r="AM593" s="156"/>
      <c r="AN593" s="156"/>
      <c r="AO593" s="452"/>
      <c r="AP593" s="452"/>
      <c r="AQ593" s="452"/>
      <c r="AR593" s="452"/>
      <c r="AS593" s="452"/>
      <c r="AT593" s="452"/>
      <c r="AU593" s="452"/>
      <c r="AV593" s="452"/>
      <c r="AW593" s="452"/>
      <c r="AX593" s="452"/>
      <c r="AY593" s="154"/>
      <c r="AZ593" s="473"/>
      <c r="BA593" s="156"/>
      <c r="BB593" s="156"/>
      <c r="BC593" s="156"/>
      <c r="BD593" s="452"/>
      <c r="BE593" s="452"/>
      <c r="BF593" s="452"/>
      <c r="BG593" s="452"/>
      <c r="BH593" s="452"/>
    </row>
    <row r="594">
      <c r="A594" s="154"/>
      <c r="B594" s="473"/>
      <c r="C594" s="156"/>
      <c r="D594" s="156"/>
      <c r="E594" s="156"/>
      <c r="F594" s="154"/>
      <c r="G594" s="473"/>
      <c r="H594" s="156"/>
      <c r="I594" s="156"/>
      <c r="J594" s="156"/>
      <c r="K594" s="132"/>
      <c r="L594" s="473"/>
      <c r="M594" s="156"/>
      <c r="N594" s="156"/>
      <c r="O594" s="156"/>
      <c r="P594" s="132"/>
      <c r="Q594" s="487"/>
      <c r="R594" s="156"/>
      <c r="S594" s="156"/>
      <c r="T594" s="156"/>
      <c r="U594" s="154"/>
      <c r="V594" s="473"/>
      <c r="W594" s="156"/>
      <c r="X594" s="156"/>
      <c r="Y594" s="156"/>
      <c r="Z594" s="154"/>
      <c r="AA594" s="473"/>
      <c r="AB594" s="156"/>
      <c r="AC594" s="156"/>
      <c r="AD594" s="156"/>
      <c r="AE594" s="154"/>
      <c r="AF594" s="473"/>
      <c r="AG594" s="156"/>
      <c r="AH594" s="156"/>
      <c r="AI594" s="156"/>
      <c r="AJ594" s="154"/>
      <c r="AK594" s="473"/>
      <c r="AL594" s="156"/>
      <c r="AM594" s="156"/>
      <c r="AN594" s="156"/>
      <c r="AO594" s="452"/>
      <c r="AP594" s="452"/>
      <c r="AQ594" s="452"/>
      <c r="AR594" s="452"/>
      <c r="AS594" s="452"/>
      <c r="AT594" s="452"/>
      <c r="AU594" s="452"/>
      <c r="AV594" s="452"/>
      <c r="AW594" s="452"/>
      <c r="AX594" s="452"/>
      <c r="AY594" s="154"/>
      <c r="AZ594" s="473"/>
      <c r="BA594" s="156"/>
      <c r="BB594" s="156"/>
      <c r="BC594" s="156"/>
      <c r="BD594" s="452"/>
      <c r="BE594" s="452"/>
      <c r="BF594" s="452"/>
      <c r="BG594" s="452"/>
      <c r="BH594" s="452"/>
    </row>
    <row r="595">
      <c r="A595" s="154"/>
      <c r="B595" s="473"/>
      <c r="C595" s="156"/>
      <c r="D595" s="156"/>
      <c r="E595" s="156"/>
      <c r="F595" s="154"/>
      <c r="G595" s="473"/>
      <c r="H595" s="156"/>
      <c r="I595" s="156"/>
      <c r="J595" s="156"/>
      <c r="K595" s="132"/>
      <c r="L595" s="473"/>
      <c r="M595" s="156"/>
      <c r="N595" s="156"/>
      <c r="O595" s="156"/>
      <c r="P595" s="132"/>
      <c r="Q595" s="487"/>
      <c r="R595" s="156"/>
      <c r="S595" s="156"/>
      <c r="T595" s="156"/>
      <c r="U595" s="154"/>
      <c r="V595" s="473"/>
      <c r="W595" s="156"/>
      <c r="X595" s="156"/>
      <c r="Y595" s="156"/>
      <c r="Z595" s="154"/>
      <c r="AA595" s="473"/>
      <c r="AB595" s="156"/>
      <c r="AC595" s="156"/>
      <c r="AD595" s="156"/>
      <c r="AE595" s="154"/>
      <c r="AF595" s="473"/>
      <c r="AG595" s="156"/>
      <c r="AH595" s="156"/>
      <c r="AI595" s="156"/>
      <c r="AJ595" s="154"/>
      <c r="AK595" s="473"/>
      <c r="AL595" s="156"/>
      <c r="AM595" s="156"/>
      <c r="AN595" s="156"/>
      <c r="AO595" s="452"/>
      <c r="AP595" s="452"/>
      <c r="AQ595" s="452"/>
      <c r="AR595" s="452"/>
      <c r="AS595" s="452"/>
      <c r="AT595" s="452"/>
      <c r="AU595" s="452"/>
      <c r="AV595" s="452"/>
      <c r="AW595" s="452"/>
      <c r="AX595" s="452"/>
      <c r="AY595" s="154"/>
      <c r="AZ595" s="473"/>
      <c r="BA595" s="156"/>
      <c r="BB595" s="156"/>
      <c r="BC595" s="156"/>
      <c r="BD595" s="452"/>
      <c r="BE595" s="452"/>
      <c r="BF595" s="452"/>
      <c r="BG595" s="452"/>
      <c r="BH595" s="452"/>
    </row>
    <row r="596">
      <c r="A596" s="154"/>
      <c r="B596" s="473"/>
      <c r="C596" s="156"/>
      <c r="D596" s="156"/>
      <c r="E596" s="156"/>
      <c r="F596" s="154"/>
      <c r="G596" s="473"/>
      <c r="H596" s="156"/>
      <c r="I596" s="156"/>
      <c r="J596" s="156"/>
      <c r="K596" s="132"/>
      <c r="L596" s="473"/>
      <c r="M596" s="156"/>
      <c r="N596" s="156"/>
      <c r="O596" s="156"/>
      <c r="P596" s="132"/>
      <c r="Q596" s="487"/>
      <c r="R596" s="156"/>
      <c r="S596" s="156"/>
      <c r="T596" s="156"/>
      <c r="U596" s="154"/>
      <c r="V596" s="473"/>
      <c r="W596" s="156"/>
      <c r="X596" s="156"/>
      <c r="Y596" s="156"/>
      <c r="Z596" s="154"/>
      <c r="AA596" s="473"/>
      <c r="AB596" s="156"/>
      <c r="AC596" s="156"/>
      <c r="AD596" s="156"/>
      <c r="AE596" s="154"/>
      <c r="AF596" s="473"/>
      <c r="AG596" s="156"/>
      <c r="AH596" s="156"/>
      <c r="AI596" s="156"/>
      <c r="AJ596" s="154"/>
      <c r="AK596" s="473"/>
      <c r="AL596" s="156"/>
      <c r="AM596" s="156"/>
      <c r="AN596" s="156"/>
      <c r="AO596" s="452"/>
      <c r="AP596" s="452"/>
      <c r="AQ596" s="452"/>
      <c r="AR596" s="452"/>
      <c r="AS596" s="452"/>
      <c r="AT596" s="452"/>
      <c r="AU596" s="452"/>
      <c r="AV596" s="452"/>
      <c r="AW596" s="452"/>
      <c r="AX596" s="452"/>
      <c r="AY596" s="154"/>
      <c r="AZ596" s="473"/>
      <c r="BA596" s="156"/>
      <c r="BB596" s="156"/>
      <c r="BC596" s="156"/>
      <c r="BD596" s="452"/>
      <c r="BE596" s="452"/>
      <c r="BF596" s="452"/>
      <c r="BG596" s="452"/>
      <c r="BH596" s="452"/>
    </row>
    <row r="597">
      <c r="A597" s="154"/>
      <c r="B597" s="473"/>
      <c r="C597" s="156"/>
      <c r="D597" s="156"/>
      <c r="E597" s="156"/>
      <c r="F597" s="154"/>
      <c r="G597" s="473"/>
      <c r="H597" s="156"/>
      <c r="I597" s="156"/>
      <c r="J597" s="156"/>
      <c r="K597" s="132"/>
      <c r="L597" s="473"/>
      <c r="M597" s="156"/>
      <c r="N597" s="156"/>
      <c r="O597" s="156"/>
      <c r="P597" s="132"/>
      <c r="Q597" s="487"/>
      <c r="R597" s="156"/>
      <c r="S597" s="156"/>
      <c r="T597" s="156"/>
      <c r="U597" s="154"/>
      <c r="V597" s="473"/>
      <c r="W597" s="156"/>
      <c r="X597" s="156"/>
      <c r="Y597" s="156"/>
      <c r="Z597" s="154"/>
      <c r="AA597" s="473"/>
      <c r="AB597" s="156"/>
      <c r="AC597" s="156"/>
      <c r="AD597" s="156"/>
      <c r="AE597" s="154"/>
      <c r="AF597" s="473"/>
      <c r="AG597" s="156"/>
      <c r="AH597" s="156"/>
      <c r="AI597" s="156"/>
      <c r="AJ597" s="154"/>
      <c r="AK597" s="473"/>
      <c r="AL597" s="156"/>
      <c r="AM597" s="156"/>
      <c r="AN597" s="156"/>
      <c r="AO597" s="452"/>
      <c r="AP597" s="452"/>
      <c r="AQ597" s="452"/>
      <c r="AR597" s="452"/>
      <c r="AS597" s="452"/>
      <c r="AT597" s="452"/>
      <c r="AU597" s="452"/>
      <c r="AV597" s="452"/>
      <c r="AW597" s="452"/>
      <c r="AX597" s="452"/>
      <c r="AY597" s="154"/>
      <c r="AZ597" s="473"/>
      <c r="BA597" s="156"/>
      <c r="BB597" s="156"/>
      <c r="BC597" s="156"/>
      <c r="BD597" s="452"/>
      <c r="BE597" s="452"/>
      <c r="BF597" s="452"/>
      <c r="BG597" s="452"/>
      <c r="BH597" s="452"/>
    </row>
    <row r="598">
      <c r="A598" s="154"/>
      <c r="B598" s="473"/>
      <c r="C598" s="156"/>
      <c r="D598" s="156"/>
      <c r="E598" s="156"/>
      <c r="F598" s="154"/>
      <c r="G598" s="473"/>
      <c r="H598" s="156"/>
      <c r="I598" s="156"/>
      <c r="J598" s="156"/>
      <c r="K598" s="132"/>
      <c r="L598" s="473"/>
      <c r="M598" s="156"/>
      <c r="N598" s="156"/>
      <c r="O598" s="156"/>
      <c r="P598" s="132"/>
      <c r="Q598" s="487"/>
      <c r="R598" s="156"/>
      <c r="S598" s="156"/>
      <c r="T598" s="156"/>
      <c r="U598" s="154"/>
      <c r="V598" s="473"/>
      <c r="W598" s="156"/>
      <c r="X598" s="156"/>
      <c r="Y598" s="156"/>
      <c r="Z598" s="154"/>
      <c r="AA598" s="473"/>
      <c r="AB598" s="156"/>
      <c r="AC598" s="156"/>
      <c r="AD598" s="156"/>
      <c r="AE598" s="154"/>
      <c r="AF598" s="473"/>
      <c r="AG598" s="156"/>
      <c r="AH598" s="156"/>
      <c r="AI598" s="156"/>
      <c r="AJ598" s="154"/>
      <c r="AK598" s="473"/>
      <c r="AL598" s="156"/>
      <c r="AM598" s="156"/>
      <c r="AN598" s="156"/>
      <c r="AO598" s="452"/>
      <c r="AP598" s="452"/>
      <c r="AQ598" s="452"/>
      <c r="AR598" s="452"/>
      <c r="AS598" s="452"/>
      <c r="AT598" s="452"/>
      <c r="AU598" s="452"/>
      <c r="AV598" s="452"/>
      <c r="AW598" s="452"/>
      <c r="AX598" s="452"/>
      <c r="AY598" s="154"/>
      <c r="AZ598" s="473"/>
      <c r="BA598" s="156"/>
      <c r="BB598" s="156"/>
      <c r="BC598" s="156"/>
      <c r="BD598" s="452"/>
      <c r="BE598" s="452"/>
      <c r="BF598" s="452"/>
      <c r="BG598" s="452"/>
      <c r="BH598" s="452"/>
    </row>
    <row r="599">
      <c r="A599" s="154"/>
      <c r="B599" s="473"/>
      <c r="C599" s="156"/>
      <c r="D599" s="156"/>
      <c r="E599" s="156"/>
      <c r="F599" s="154"/>
      <c r="G599" s="473"/>
      <c r="H599" s="156"/>
      <c r="I599" s="156"/>
      <c r="J599" s="156"/>
      <c r="K599" s="132"/>
      <c r="L599" s="473"/>
      <c r="M599" s="156"/>
      <c r="N599" s="156"/>
      <c r="O599" s="156"/>
      <c r="P599" s="132"/>
      <c r="Q599" s="487"/>
      <c r="R599" s="156"/>
      <c r="S599" s="156"/>
      <c r="T599" s="156"/>
      <c r="U599" s="154"/>
      <c r="V599" s="473"/>
      <c r="W599" s="156"/>
      <c r="X599" s="156"/>
      <c r="Y599" s="156"/>
      <c r="Z599" s="154"/>
      <c r="AA599" s="473"/>
      <c r="AB599" s="156"/>
      <c r="AC599" s="156"/>
      <c r="AD599" s="156"/>
      <c r="AE599" s="154"/>
      <c r="AF599" s="473"/>
      <c r="AG599" s="156"/>
      <c r="AH599" s="156"/>
      <c r="AI599" s="156"/>
      <c r="AJ599" s="154"/>
      <c r="AK599" s="473"/>
      <c r="AL599" s="156"/>
      <c r="AM599" s="156"/>
      <c r="AN599" s="156"/>
      <c r="AO599" s="452"/>
      <c r="AP599" s="452"/>
      <c r="AQ599" s="452"/>
      <c r="AR599" s="452"/>
      <c r="AS599" s="452"/>
      <c r="AT599" s="452"/>
      <c r="AU599" s="452"/>
      <c r="AV599" s="452"/>
      <c r="AW599" s="452"/>
      <c r="AX599" s="452"/>
      <c r="AY599" s="154"/>
      <c r="AZ599" s="473"/>
      <c r="BA599" s="156"/>
      <c r="BB599" s="156"/>
      <c r="BC599" s="156"/>
      <c r="BD599" s="452"/>
      <c r="BE599" s="452"/>
      <c r="BF599" s="452"/>
      <c r="BG599" s="452"/>
      <c r="BH599" s="452"/>
    </row>
    <row r="600">
      <c r="A600" s="154"/>
      <c r="B600" s="473"/>
      <c r="C600" s="156"/>
      <c r="D600" s="156"/>
      <c r="E600" s="156"/>
      <c r="F600" s="154"/>
      <c r="G600" s="473"/>
      <c r="H600" s="156"/>
      <c r="I600" s="156"/>
      <c r="J600" s="156"/>
      <c r="K600" s="132"/>
      <c r="L600" s="473"/>
      <c r="M600" s="156"/>
      <c r="N600" s="156"/>
      <c r="O600" s="156"/>
      <c r="P600" s="132"/>
      <c r="Q600" s="487"/>
      <c r="R600" s="156"/>
      <c r="S600" s="156"/>
      <c r="T600" s="156"/>
      <c r="U600" s="154"/>
      <c r="V600" s="473"/>
      <c r="W600" s="156"/>
      <c r="X600" s="156"/>
      <c r="Y600" s="156"/>
      <c r="Z600" s="154"/>
      <c r="AA600" s="473"/>
      <c r="AB600" s="156"/>
      <c r="AC600" s="156"/>
      <c r="AD600" s="156"/>
      <c r="AE600" s="154"/>
      <c r="AF600" s="473"/>
      <c r="AG600" s="156"/>
      <c r="AH600" s="156"/>
      <c r="AI600" s="156"/>
      <c r="AJ600" s="154"/>
      <c r="AK600" s="473"/>
      <c r="AL600" s="156"/>
      <c r="AM600" s="156"/>
      <c r="AN600" s="156"/>
      <c r="AO600" s="452"/>
      <c r="AP600" s="452"/>
      <c r="AQ600" s="452"/>
      <c r="AR600" s="452"/>
      <c r="AS600" s="452"/>
      <c r="AT600" s="452"/>
      <c r="AU600" s="452"/>
      <c r="AV600" s="452"/>
      <c r="AW600" s="452"/>
      <c r="AX600" s="452"/>
      <c r="AY600" s="154"/>
      <c r="AZ600" s="473"/>
      <c r="BA600" s="156"/>
      <c r="BB600" s="156"/>
      <c r="BC600" s="156"/>
      <c r="BD600" s="452"/>
      <c r="BE600" s="452"/>
      <c r="BF600" s="452"/>
      <c r="BG600" s="452"/>
      <c r="BH600" s="452"/>
    </row>
    <row r="601">
      <c r="A601" s="154"/>
      <c r="B601" s="473"/>
      <c r="C601" s="156"/>
      <c r="D601" s="156"/>
      <c r="E601" s="156"/>
      <c r="F601" s="154"/>
      <c r="G601" s="473"/>
      <c r="H601" s="156"/>
      <c r="I601" s="156"/>
      <c r="J601" s="156"/>
      <c r="K601" s="132"/>
      <c r="L601" s="473"/>
      <c r="M601" s="156"/>
      <c r="N601" s="156"/>
      <c r="O601" s="156"/>
      <c r="P601" s="132"/>
      <c r="Q601" s="487"/>
      <c r="R601" s="156"/>
      <c r="S601" s="156"/>
      <c r="T601" s="156"/>
      <c r="U601" s="154"/>
      <c r="V601" s="473"/>
      <c r="W601" s="156"/>
      <c r="X601" s="156"/>
      <c r="Y601" s="156"/>
      <c r="Z601" s="154"/>
      <c r="AA601" s="473"/>
      <c r="AB601" s="156"/>
      <c r="AC601" s="156"/>
      <c r="AD601" s="156"/>
      <c r="AE601" s="154"/>
      <c r="AF601" s="473"/>
      <c r="AG601" s="156"/>
      <c r="AH601" s="156"/>
      <c r="AI601" s="156"/>
      <c r="AJ601" s="154"/>
      <c r="AK601" s="473"/>
      <c r="AL601" s="156"/>
      <c r="AM601" s="156"/>
      <c r="AN601" s="156"/>
      <c r="AO601" s="452"/>
      <c r="AP601" s="452"/>
      <c r="AQ601" s="452"/>
      <c r="AR601" s="452"/>
      <c r="AS601" s="452"/>
      <c r="AT601" s="452"/>
      <c r="AU601" s="452"/>
      <c r="AV601" s="452"/>
      <c r="AW601" s="452"/>
      <c r="AX601" s="452"/>
      <c r="AY601" s="154"/>
      <c r="AZ601" s="473"/>
      <c r="BA601" s="156"/>
      <c r="BB601" s="156"/>
      <c r="BC601" s="156"/>
      <c r="BD601" s="452"/>
      <c r="BE601" s="452"/>
      <c r="BF601" s="452"/>
      <c r="BG601" s="452"/>
      <c r="BH601" s="452"/>
    </row>
    <row r="602">
      <c r="A602" s="154"/>
      <c r="B602" s="473"/>
      <c r="C602" s="156"/>
      <c r="D602" s="156"/>
      <c r="E602" s="156"/>
      <c r="F602" s="154"/>
      <c r="G602" s="473"/>
      <c r="H602" s="156"/>
      <c r="I602" s="156"/>
      <c r="J602" s="156"/>
      <c r="K602" s="132"/>
      <c r="L602" s="473"/>
      <c r="M602" s="156"/>
      <c r="N602" s="156"/>
      <c r="O602" s="156"/>
      <c r="P602" s="132"/>
      <c r="Q602" s="487"/>
      <c r="R602" s="156"/>
      <c r="S602" s="156"/>
      <c r="T602" s="156"/>
      <c r="U602" s="154"/>
      <c r="V602" s="473"/>
      <c r="W602" s="156"/>
      <c r="X602" s="156"/>
      <c r="Y602" s="156"/>
      <c r="Z602" s="154"/>
      <c r="AA602" s="473"/>
      <c r="AB602" s="156"/>
      <c r="AC602" s="156"/>
      <c r="AD602" s="156"/>
      <c r="AE602" s="154"/>
      <c r="AF602" s="473"/>
      <c r="AG602" s="156"/>
      <c r="AH602" s="156"/>
      <c r="AI602" s="156"/>
      <c r="AJ602" s="154"/>
      <c r="AK602" s="473"/>
      <c r="AL602" s="156"/>
      <c r="AM602" s="156"/>
      <c r="AN602" s="156"/>
      <c r="AO602" s="452"/>
      <c r="AP602" s="452"/>
      <c r="AQ602" s="452"/>
      <c r="AR602" s="452"/>
      <c r="AS602" s="452"/>
      <c r="AT602" s="452"/>
      <c r="AU602" s="452"/>
      <c r="AV602" s="452"/>
      <c r="AW602" s="452"/>
      <c r="AX602" s="452"/>
      <c r="AY602" s="154"/>
      <c r="AZ602" s="473"/>
      <c r="BA602" s="156"/>
      <c r="BB602" s="156"/>
      <c r="BC602" s="156"/>
      <c r="BD602" s="452"/>
      <c r="BE602" s="452"/>
      <c r="BF602" s="452"/>
      <c r="BG602" s="452"/>
      <c r="BH602" s="452"/>
    </row>
    <row r="603">
      <c r="A603" s="154"/>
      <c r="B603" s="473"/>
      <c r="C603" s="156"/>
      <c r="D603" s="156"/>
      <c r="E603" s="156"/>
      <c r="F603" s="154"/>
      <c r="G603" s="473"/>
      <c r="H603" s="156"/>
      <c r="I603" s="156"/>
      <c r="J603" s="156"/>
      <c r="K603" s="132"/>
      <c r="L603" s="473"/>
      <c r="M603" s="156"/>
      <c r="N603" s="156"/>
      <c r="O603" s="156"/>
      <c r="P603" s="132"/>
      <c r="Q603" s="487"/>
      <c r="R603" s="156"/>
      <c r="S603" s="156"/>
      <c r="T603" s="156"/>
      <c r="U603" s="154"/>
      <c r="V603" s="473"/>
      <c r="W603" s="156"/>
      <c r="X603" s="156"/>
      <c r="Y603" s="156"/>
      <c r="Z603" s="154"/>
      <c r="AA603" s="473"/>
      <c r="AB603" s="156"/>
      <c r="AC603" s="156"/>
      <c r="AD603" s="156"/>
      <c r="AE603" s="154"/>
      <c r="AF603" s="473"/>
      <c r="AG603" s="156"/>
      <c r="AH603" s="156"/>
      <c r="AI603" s="156"/>
      <c r="AJ603" s="154"/>
      <c r="AK603" s="473"/>
      <c r="AL603" s="156"/>
      <c r="AM603" s="156"/>
      <c r="AN603" s="156"/>
      <c r="AO603" s="452"/>
      <c r="AP603" s="452"/>
      <c r="AQ603" s="452"/>
      <c r="AR603" s="452"/>
      <c r="AS603" s="452"/>
      <c r="AT603" s="452"/>
      <c r="AU603" s="452"/>
      <c r="AV603" s="452"/>
      <c r="AW603" s="452"/>
      <c r="AX603" s="452"/>
      <c r="AY603" s="154"/>
      <c r="AZ603" s="473"/>
      <c r="BA603" s="156"/>
      <c r="BB603" s="156"/>
      <c r="BC603" s="156"/>
      <c r="BD603" s="452"/>
      <c r="BE603" s="452"/>
      <c r="BF603" s="452"/>
      <c r="BG603" s="452"/>
      <c r="BH603" s="452"/>
    </row>
    <row r="604">
      <c r="A604" s="154"/>
      <c r="B604" s="473"/>
      <c r="C604" s="156"/>
      <c r="D604" s="156"/>
      <c r="E604" s="156"/>
      <c r="F604" s="154"/>
      <c r="G604" s="473"/>
      <c r="H604" s="156"/>
      <c r="I604" s="156"/>
      <c r="J604" s="156"/>
      <c r="K604" s="132"/>
      <c r="L604" s="473"/>
      <c r="M604" s="156"/>
      <c r="N604" s="156"/>
      <c r="O604" s="156"/>
      <c r="P604" s="132"/>
      <c r="Q604" s="487"/>
      <c r="R604" s="156"/>
      <c r="S604" s="156"/>
      <c r="T604" s="156"/>
      <c r="U604" s="154"/>
      <c r="V604" s="473"/>
      <c r="W604" s="156"/>
      <c r="X604" s="156"/>
      <c r="Y604" s="156"/>
      <c r="Z604" s="154"/>
      <c r="AA604" s="473"/>
      <c r="AB604" s="156"/>
      <c r="AC604" s="156"/>
      <c r="AD604" s="156"/>
      <c r="AE604" s="154"/>
      <c r="AF604" s="473"/>
      <c r="AG604" s="156"/>
      <c r="AH604" s="156"/>
      <c r="AI604" s="156"/>
      <c r="AJ604" s="154"/>
      <c r="AK604" s="473"/>
      <c r="AL604" s="156"/>
      <c r="AM604" s="156"/>
      <c r="AN604" s="156"/>
      <c r="AO604" s="452"/>
      <c r="AP604" s="452"/>
      <c r="AQ604" s="452"/>
      <c r="AR604" s="452"/>
      <c r="AS604" s="452"/>
      <c r="AT604" s="452"/>
      <c r="AU604" s="452"/>
      <c r="AV604" s="452"/>
      <c r="AW604" s="452"/>
      <c r="AX604" s="452"/>
      <c r="AY604" s="154"/>
      <c r="AZ604" s="473"/>
      <c r="BA604" s="156"/>
      <c r="BB604" s="156"/>
      <c r="BC604" s="156"/>
      <c r="BD604" s="452"/>
      <c r="BE604" s="452"/>
      <c r="BF604" s="452"/>
      <c r="BG604" s="452"/>
      <c r="BH604" s="452"/>
    </row>
    <row r="605">
      <c r="A605" s="154"/>
      <c r="B605" s="473"/>
      <c r="C605" s="156"/>
      <c r="D605" s="156"/>
      <c r="E605" s="156"/>
      <c r="F605" s="154"/>
      <c r="G605" s="473"/>
      <c r="H605" s="156"/>
      <c r="I605" s="156"/>
      <c r="J605" s="156"/>
      <c r="K605" s="132"/>
      <c r="L605" s="473"/>
      <c r="M605" s="156"/>
      <c r="N605" s="156"/>
      <c r="O605" s="156"/>
      <c r="P605" s="132"/>
      <c r="Q605" s="487"/>
      <c r="R605" s="156"/>
      <c r="S605" s="156"/>
      <c r="T605" s="156"/>
      <c r="U605" s="154"/>
      <c r="V605" s="473"/>
      <c r="W605" s="156"/>
      <c r="X605" s="156"/>
      <c r="Y605" s="156"/>
      <c r="Z605" s="154"/>
      <c r="AA605" s="473"/>
      <c r="AB605" s="156"/>
      <c r="AC605" s="156"/>
      <c r="AD605" s="156"/>
      <c r="AE605" s="154"/>
      <c r="AF605" s="473"/>
      <c r="AG605" s="156"/>
      <c r="AH605" s="156"/>
      <c r="AI605" s="156"/>
      <c r="AJ605" s="154"/>
      <c r="AK605" s="473"/>
      <c r="AL605" s="156"/>
      <c r="AM605" s="156"/>
      <c r="AN605" s="156"/>
      <c r="AO605" s="452"/>
      <c r="AP605" s="452"/>
      <c r="AQ605" s="452"/>
      <c r="AR605" s="452"/>
      <c r="AS605" s="452"/>
      <c r="AT605" s="452"/>
      <c r="AU605" s="452"/>
      <c r="AV605" s="452"/>
      <c r="AW605" s="452"/>
      <c r="AX605" s="452"/>
      <c r="AY605" s="154"/>
      <c r="AZ605" s="473"/>
      <c r="BA605" s="156"/>
      <c r="BB605" s="156"/>
      <c r="BC605" s="156"/>
      <c r="BD605" s="452"/>
      <c r="BE605" s="452"/>
      <c r="BF605" s="452"/>
      <c r="BG605" s="452"/>
      <c r="BH605" s="452"/>
    </row>
    <row r="606">
      <c r="A606" s="154"/>
      <c r="B606" s="473"/>
      <c r="C606" s="156"/>
      <c r="D606" s="156"/>
      <c r="E606" s="156"/>
      <c r="F606" s="154"/>
      <c r="G606" s="473"/>
      <c r="H606" s="156"/>
      <c r="I606" s="156"/>
      <c r="J606" s="156"/>
      <c r="K606" s="132"/>
      <c r="L606" s="473"/>
      <c r="M606" s="156"/>
      <c r="N606" s="156"/>
      <c r="O606" s="156"/>
      <c r="P606" s="132"/>
      <c r="Q606" s="487"/>
      <c r="R606" s="156"/>
      <c r="S606" s="156"/>
      <c r="T606" s="156"/>
      <c r="U606" s="154"/>
      <c r="V606" s="473"/>
      <c r="W606" s="156"/>
      <c r="X606" s="156"/>
      <c r="Y606" s="156"/>
      <c r="Z606" s="154"/>
      <c r="AA606" s="473"/>
      <c r="AB606" s="156"/>
      <c r="AC606" s="156"/>
      <c r="AD606" s="156"/>
      <c r="AE606" s="154"/>
      <c r="AF606" s="473"/>
      <c r="AG606" s="156"/>
      <c r="AH606" s="156"/>
      <c r="AI606" s="156"/>
      <c r="AJ606" s="154"/>
      <c r="AK606" s="473"/>
      <c r="AL606" s="156"/>
      <c r="AM606" s="156"/>
      <c r="AN606" s="156"/>
      <c r="AO606" s="452"/>
      <c r="AP606" s="452"/>
      <c r="AQ606" s="452"/>
      <c r="AR606" s="452"/>
      <c r="AS606" s="452"/>
      <c r="AT606" s="452"/>
      <c r="AU606" s="452"/>
      <c r="AV606" s="452"/>
      <c r="AW606" s="452"/>
      <c r="AX606" s="452"/>
      <c r="AY606" s="154"/>
      <c r="AZ606" s="473"/>
      <c r="BA606" s="156"/>
      <c r="BB606" s="156"/>
      <c r="BC606" s="156"/>
      <c r="BD606" s="452"/>
      <c r="BE606" s="452"/>
      <c r="BF606" s="452"/>
      <c r="BG606" s="452"/>
      <c r="BH606" s="452"/>
    </row>
    <row r="607">
      <c r="A607" s="154"/>
      <c r="B607" s="473"/>
      <c r="C607" s="156"/>
      <c r="D607" s="156"/>
      <c r="E607" s="156"/>
      <c r="F607" s="154"/>
      <c r="G607" s="473"/>
      <c r="H607" s="156"/>
      <c r="I607" s="156"/>
      <c r="J607" s="156"/>
      <c r="K607" s="132"/>
      <c r="L607" s="473"/>
      <c r="M607" s="156"/>
      <c r="N607" s="156"/>
      <c r="O607" s="156"/>
      <c r="P607" s="132"/>
      <c r="Q607" s="487"/>
      <c r="R607" s="156"/>
      <c r="S607" s="156"/>
      <c r="T607" s="156"/>
      <c r="U607" s="154"/>
      <c r="V607" s="473"/>
      <c r="W607" s="156"/>
      <c r="X607" s="156"/>
      <c r="Y607" s="156"/>
      <c r="Z607" s="154"/>
      <c r="AA607" s="473"/>
      <c r="AB607" s="156"/>
      <c r="AC607" s="156"/>
      <c r="AD607" s="156"/>
      <c r="AE607" s="154"/>
      <c r="AF607" s="473"/>
      <c r="AG607" s="156"/>
      <c r="AH607" s="156"/>
      <c r="AI607" s="156"/>
      <c r="AJ607" s="154"/>
      <c r="AK607" s="473"/>
      <c r="AL607" s="156"/>
      <c r="AM607" s="156"/>
      <c r="AN607" s="156"/>
      <c r="AO607" s="452"/>
      <c r="AP607" s="452"/>
      <c r="AQ607" s="452"/>
      <c r="AR607" s="452"/>
      <c r="AS607" s="452"/>
      <c r="AT607" s="452"/>
      <c r="AU607" s="452"/>
      <c r="AV607" s="452"/>
      <c r="AW607" s="452"/>
      <c r="AX607" s="452"/>
      <c r="AY607" s="154"/>
      <c r="AZ607" s="473"/>
      <c r="BA607" s="156"/>
      <c r="BB607" s="156"/>
      <c r="BC607" s="156"/>
      <c r="BD607" s="452"/>
      <c r="BE607" s="452"/>
      <c r="BF607" s="452"/>
      <c r="BG607" s="452"/>
      <c r="BH607" s="452"/>
    </row>
    <row r="608">
      <c r="A608" s="154"/>
      <c r="B608" s="473"/>
      <c r="C608" s="156"/>
      <c r="D608" s="156"/>
      <c r="E608" s="156"/>
      <c r="F608" s="154"/>
      <c r="G608" s="473"/>
      <c r="H608" s="156"/>
      <c r="I608" s="156"/>
      <c r="J608" s="156"/>
      <c r="K608" s="132"/>
      <c r="L608" s="473"/>
      <c r="M608" s="156"/>
      <c r="N608" s="156"/>
      <c r="O608" s="156"/>
      <c r="P608" s="132"/>
      <c r="Q608" s="487"/>
      <c r="R608" s="156"/>
      <c r="S608" s="156"/>
      <c r="T608" s="156"/>
      <c r="U608" s="154"/>
      <c r="V608" s="473"/>
      <c r="W608" s="156"/>
      <c r="X608" s="156"/>
      <c r="Y608" s="156"/>
      <c r="Z608" s="154"/>
      <c r="AA608" s="473"/>
      <c r="AB608" s="156"/>
      <c r="AC608" s="156"/>
      <c r="AD608" s="156"/>
      <c r="AE608" s="154"/>
      <c r="AF608" s="473"/>
      <c r="AG608" s="156"/>
      <c r="AH608" s="156"/>
      <c r="AI608" s="156"/>
      <c r="AJ608" s="154"/>
      <c r="AK608" s="473"/>
      <c r="AL608" s="156"/>
      <c r="AM608" s="156"/>
      <c r="AN608" s="156"/>
      <c r="AO608" s="452"/>
      <c r="AP608" s="452"/>
      <c r="AQ608" s="452"/>
      <c r="AR608" s="452"/>
      <c r="AS608" s="452"/>
      <c r="AT608" s="452"/>
      <c r="AU608" s="452"/>
      <c r="AV608" s="452"/>
      <c r="AW608" s="452"/>
      <c r="AX608" s="452"/>
      <c r="AY608" s="154"/>
      <c r="AZ608" s="473"/>
      <c r="BA608" s="156"/>
      <c r="BB608" s="156"/>
      <c r="BC608" s="156"/>
      <c r="BD608" s="452"/>
      <c r="BE608" s="452"/>
      <c r="BF608" s="452"/>
      <c r="BG608" s="452"/>
      <c r="BH608" s="452"/>
    </row>
    <row r="609">
      <c r="A609" s="154"/>
      <c r="B609" s="473"/>
      <c r="C609" s="156"/>
      <c r="D609" s="156"/>
      <c r="E609" s="156"/>
      <c r="F609" s="154"/>
      <c r="G609" s="473"/>
      <c r="H609" s="156"/>
      <c r="I609" s="156"/>
      <c r="J609" s="156"/>
      <c r="K609" s="132"/>
      <c r="L609" s="473"/>
      <c r="M609" s="156"/>
      <c r="N609" s="156"/>
      <c r="O609" s="156"/>
      <c r="P609" s="132"/>
      <c r="Q609" s="487"/>
      <c r="R609" s="156"/>
      <c r="S609" s="156"/>
      <c r="T609" s="156"/>
      <c r="U609" s="154"/>
      <c r="V609" s="473"/>
      <c r="W609" s="156"/>
      <c r="X609" s="156"/>
      <c r="Y609" s="156"/>
      <c r="Z609" s="154"/>
      <c r="AA609" s="473"/>
      <c r="AB609" s="156"/>
      <c r="AC609" s="156"/>
      <c r="AD609" s="156"/>
      <c r="AE609" s="154"/>
      <c r="AF609" s="473"/>
      <c r="AG609" s="156"/>
      <c r="AH609" s="156"/>
      <c r="AI609" s="156"/>
      <c r="AJ609" s="154"/>
      <c r="AK609" s="473"/>
      <c r="AL609" s="156"/>
      <c r="AM609" s="156"/>
      <c r="AN609" s="156"/>
      <c r="AO609" s="452"/>
      <c r="AP609" s="452"/>
      <c r="AQ609" s="452"/>
      <c r="AR609" s="452"/>
      <c r="AS609" s="452"/>
      <c r="AT609" s="452"/>
      <c r="AU609" s="452"/>
      <c r="AV609" s="452"/>
      <c r="AW609" s="452"/>
      <c r="AX609" s="452"/>
      <c r="AY609" s="154"/>
      <c r="AZ609" s="473"/>
      <c r="BA609" s="156"/>
      <c r="BB609" s="156"/>
      <c r="BC609" s="156"/>
      <c r="BD609" s="452"/>
      <c r="BE609" s="452"/>
      <c r="BF609" s="452"/>
      <c r="BG609" s="452"/>
      <c r="BH609" s="452"/>
    </row>
    <row r="610">
      <c r="A610" s="154"/>
      <c r="B610" s="473"/>
      <c r="C610" s="156"/>
      <c r="D610" s="156"/>
      <c r="E610" s="156"/>
      <c r="F610" s="154"/>
      <c r="G610" s="473"/>
      <c r="H610" s="156"/>
      <c r="I610" s="156"/>
      <c r="J610" s="156"/>
      <c r="K610" s="132"/>
      <c r="L610" s="473"/>
      <c r="M610" s="156"/>
      <c r="N610" s="156"/>
      <c r="O610" s="156"/>
      <c r="P610" s="132"/>
      <c r="Q610" s="487"/>
      <c r="R610" s="156"/>
      <c r="S610" s="156"/>
      <c r="T610" s="156"/>
      <c r="U610" s="154"/>
      <c r="V610" s="473"/>
      <c r="W610" s="156"/>
      <c r="X610" s="156"/>
      <c r="Y610" s="156"/>
      <c r="Z610" s="154"/>
      <c r="AA610" s="473"/>
      <c r="AB610" s="156"/>
      <c r="AC610" s="156"/>
      <c r="AD610" s="156"/>
      <c r="AE610" s="154"/>
      <c r="AF610" s="473"/>
      <c r="AG610" s="156"/>
      <c r="AH610" s="156"/>
      <c r="AI610" s="156"/>
      <c r="AJ610" s="154"/>
      <c r="AK610" s="473"/>
      <c r="AL610" s="156"/>
      <c r="AM610" s="156"/>
      <c r="AN610" s="156"/>
      <c r="AO610" s="452"/>
      <c r="AP610" s="452"/>
      <c r="AQ610" s="452"/>
      <c r="AR610" s="452"/>
      <c r="AS610" s="452"/>
      <c r="AT610" s="452"/>
      <c r="AU610" s="452"/>
      <c r="AV610" s="452"/>
      <c r="AW610" s="452"/>
      <c r="AX610" s="452"/>
      <c r="AY610" s="154"/>
      <c r="AZ610" s="473"/>
      <c r="BA610" s="156"/>
      <c r="BB610" s="156"/>
      <c r="BC610" s="156"/>
      <c r="BD610" s="452"/>
      <c r="BE610" s="452"/>
      <c r="BF610" s="452"/>
      <c r="BG610" s="452"/>
      <c r="BH610" s="452"/>
    </row>
    <row r="611">
      <c r="A611" s="154"/>
      <c r="B611" s="473"/>
      <c r="C611" s="156"/>
      <c r="D611" s="156"/>
      <c r="E611" s="156"/>
      <c r="F611" s="154"/>
      <c r="G611" s="473"/>
      <c r="H611" s="156"/>
      <c r="I611" s="156"/>
      <c r="J611" s="156"/>
      <c r="K611" s="132"/>
      <c r="L611" s="473"/>
      <c r="M611" s="156"/>
      <c r="N611" s="156"/>
      <c r="O611" s="156"/>
      <c r="P611" s="132"/>
      <c r="Q611" s="487"/>
      <c r="R611" s="156"/>
      <c r="S611" s="156"/>
      <c r="T611" s="156"/>
      <c r="U611" s="154"/>
      <c r="V611" s="473"/>
      <c r="W611" s="156"/>
      <c r="X611" s="156"/>
      <c r="Y611" s="156"/>
      <c r="Z611" s="154"/>
      <c r="AA611" s="473"/>
      <c r="AB611" s="156"/>
      <c r="AC611" s="156"/>
      <c r="AD611" s="156"/>
      <c r="AE611" s="154"/>
      <c r="AF611" s="473"/>
      <c r="AG611" s="156"/>
      <c r="AH611" s="156"/>
      <c r="AI611" s="156"/>
      <c r="AJ611" s="154"/>
      <c r="AK611" s="473"/>
      <c r="AL611" s="156"/>
      <c r="AM611" s="156"/>
      <c r="AN611" s="156"/>
      <c r="AO611" s="452"/>
      <c r="AP611" s="452"/>
      <c r="AQ611" s="452"/>
      <c r="AR611" s="452"/>
      <c r="AS611" s="452"/>
      <c r="AT611" s="452"/>
      <c r="AU611" s="452"/>
      <c r="AV611" s="452"/>
      <c r="AW611" s="452"/>
      <c r="AX611" s="452"/>
      <c r="AY611" s="154"/>
      <c r="AZ611" s="473"/>
      <c r="BA611" s="156"/>
      <c r="BB611" s="156"/>
      <c r="BC611" s="156"/>
      <c r="BD611" s="452"/>
      <c r="BE611" s="452"/>
      <c r="BF611" s="452"/>
      <c r="BG611" s="452"/>
      <c r="BH611" s="452"/>
    </row>
    <row r="612">
      <c r="A612" s="154"/>
      <c r="B612" s="473"/>
      <c r="C612" s="156"/>
      <c r="D612" s="156"/>
      <c r="E612" s="156"/>
      <c r="F612" s="154"/>
      <c r="G612" s="473"/>
      <c r="H612" s="156"/>
      <c r="I612" s="156"/>
      <c r="J612" s="156"/>
      <c r="K612" s="132"/>
      <c r="L612" s="473"/>
      <c r="M612" s="156"/>
      <c r="N612" s="156"/>
      <c r="O612" s="156"/>
      <c r="P612" s="132"/>
      <c r="Q612" s="487"/>
      <c r="R612" s="156"/>
      <c r="S612" s="156"/>
      <c r="T612" s="156"/>
      <c r="U612" s="154"/>
      <c r="V612" s="473"/>
      <c r="W612" s="156"/>
      <c r="X612" s="156"/>
      <c r="Y612" s="156"/>
      <c r="Z612" s="154"/>
      <c r="AA612" s="473"/>
      <c r="AB612" s="156"/>
      <c r="AC612" s="156"/>
      <c r="AD612" s="156"/>
      <c r="AE612" s="154"/>
      <c r="AF612" s="473"/>
      <c r="AG612" s="156"/>
      <c r="AH612" s="156"/>
      <c r="AI612" s="156"/>
      <c r="AJ612" s="154"/>
      <c r="AK612" s="473"/>
      <c r="AL612" s="156"/>
      <c r="AM612" s="156"/>
      <c r="AN612" s="156"/>
      <c r="AO612" s="452"/>
      <c r="AP612" s="452"/>
      <c r="AQ612" s="452"/>
      <c r="AR612" s="452"/>
      <c r="AS612" s="452"/>
      <c r="AT612" s="452"/>
      <c r="AU612" s="452"/>
      <c r="AV612" s="452"/>
      <c r="AW612" s="452"/>
      <c r="AX612" s="452"/>
      <c r="AY612" s="154"/>
      <c r="AZ612" s="473"/>
      <c r="BA612" s="156"/>
      <c r="BB612" s="156"/>
      <c r="BC612" s="156"/>
      <c r="BD612" s="452"/>
      <c r="BE612" s="452"/>
      <c r="BF612" s="452"/>
      <c r="BG612" s="452"/>
      <c r="BH612" s="452"/>
    </row>
    <row r="613">
      <c r="A613" s="154"/>
      <c r="B613" s="473"/>
      <c r="C613" s="156"/>
      <c r="D613" s="156"/>
      <c r="E613" s="156"/>
      <c r="F613" s="154"/>
      <c r="G613" s="473"/>
      <c r="H613" s="156"/>
      <c r="I613" s="156"/>
      <c r="J613" s="156"/>
      <c r="K613" s="132"/>
      <c r="L613" s="473"/>
      <c r="M613" s="156"/>
      <c r="N613" s="156"/>
      <c r="O613" s="156"/>
      <c r="P613" s="132"/>
      <c r="Q613" s="487"/>
      <c r="R613" s="156"/>
      <c r="S613" s="156"/>
      <c r="T613" s="156"/>
      <c r="U613" s="154"/>
      <c r="V613" s="473"/>
      <c r="W613" s="156"/>
      <c r="X613" s="156"/>
      <c r="Y613" s="156"/>
      <c r="Z613" s="154"/>
      <c r="AA613" s="473"/>
      <c r="AB613" s="156"/>
      <c r="AC613" s="156"/>
      <c r="AD613" s="156"/>
      <c r="AE613" s="154"/>
      <c r="AF613" s="473"/>
      <c r="AG613" s="156"/>
      <c r="AH613" s="156"/>
      <c r="AI613" s="156"/>
      <c r="AJ613" s="154"/>
      <c r="AK613" s="473"/>
      <c r="AL613" s="156"/>
      <c r="AM613" s="156"/>
      <c r="AN613" s="156"/>
      <c r="AO613" s="452"/>
      <c r="AP613" s="452"/>
      <c r="AQ613" s="452"/>
      <c r="AR613" s="452"/>
      <c r="AS613" s="452"/>
      <c r="AT613" s="452"/>
      <c r="AU613" s="452"/>
      <c r="AV613" s="452"/>
      <c r="AW613" s="452"/>
      <c r="AX613" s="452"/>
      <c r="AY613" s="154"/>
      <c r="AZ613" s="473"/>
      <c r="BA613" s="156"/>
      <c r="BB613" s="156"/>
      <c r="BC613" s="156"/>
      <c r="BD613" s="452"/>
      <c r="BE613" s="452"/>
      <c r="BF613" s="452"/>
      <c r="BG613" s="452"/>
      <c r="BH613" s="452"/>
    </row>
    <row r="614">
      <c r="A614" s="154"/>
      <c r="B614" s="473"/>
      <c r="C614" s="156"/>
      <c r="D614" s="156"/>
      <c r="E614" s="156"/>
      <c r="F614" s="154"/>
      <c r="G614" s="473"/>
      <c r="H614" s="156"/>
      <c r="I614" s="156"/>
      <c r="J614" s="156"/>
      <c r="K614" s="132"/>
      <c r="L614" s="473"/>
      <c r="M614" s="156"/>
      <c r="N614" s="156"/>
      <c r="O614" s="156"/>
      <c r="P614" s="132"/>
      <c r="Q614" s="487"/>
      <c r="R614" s="156"/>
      <c r="S614" s="156"/>
      <c r="T614" s="156"/>
      <c r="U614" s="154"/>
      <c r="V614" s="473"/>
      <c r="W614" s="156"/>
      <c r="X614" s="156"/>
      <c r="Y614" s="156"/>
      <c r="Z614" s="154"/>
      <c r="AA614" s="473"/>
      <c r="AB614" s="156"/>
      <c r="AC614" s="156"/>
      <c r="AD614" s="156"/>
      <c r="AE614" s="154"/>
      <c r="AF614" s="473"/>
      <c r="AG614" s="156"/>
      <c r="AH614" s="156"/>
      <c r="AI614" s="156"/>
      <c r="AJ614" s="154"/>
      <c r="AK614" s="473"/>
      <c r="AL614" s="156"/>
      <c r="AM614" s="156"/>
      <c r="AN614" s="156"/>
      <c r="AO614" s="452"/>
      <c r="AP614" s="452"/>
      <c r="AQ614" s="452"/>
      <c r="AR614" s="452"/>
      <c r="AS614" s="452"/>
      <c r="AT614" s="452"/>
      <c r="AU614" s="452"/>
      <c r="AV614" s="452"/>
      <c r="AW614" s="452"/>
      <c r="AX614" s="452"/>
      <c r="AY614" s="154"/>
      <c r="AZ614" s="473"/>
      <c r="BA614" s="156"/>
      <c r="BB614" s="156"/>
      <c r="BC614" s="156"/>
      <c r="BD614" s="452"/>
      <c r="BE614" s="452"/>
      <c r="BF614" s="452"/>
      <c r="BG614" s="452"/>
      <c r="BH614" s="452"/>
    </row>
    <row r="615">
      <c r="A615" s="154"/>
      <c r="B615" s="473"/>
      <c r="C615" s="156"/>
      <c r="D615" s="156"/>
      <c r="E615" s="156"/>
      <c r="F615" s="154"/>
      <c r="G615" s="473"/>
      <c r="H615" s="156"/>
      <c r="I615" s="156"/>
      <c r="J615" s="156"/>
      <c r="K615" s="132"/>
      <c r="L615" s="473"/>
      <c r="M615" s="156"/>
      <c r="N615" s="156"/>
      <c r="O615" s="156"/>
      <c r="P615" s="132"/>
      <c r="Q615" s="487"/>
      <c r="R615" s="156"/>
      <c r="S615" s="156"/>
      <c r="T615" s="156"/>
      <c r="U615" s="154"/>
      <c r="V615" s="473"/>
      <c r="W615" s="156"/>
      <c r="X615" s="156"/>
      <c r="Y615" s="156"/>
      <c r="Z615" s="154"/>
      <c r="AA615" s="473"/>
      <c r="AB615" s="156"/>
      <c r="AC615" s="156"/>
      <c r="AD615" s="156"/>
      <c r="AE615" s="154"/>
      <c r="AF615" s="473"/>
      <c r="AG615" s="156"/>
      <c r="AH615" s="156"/>
      <c r="AI615" s="156"/>
      <c r="AJ615" s="154"/>
      <c r="AK615" s="473"/>
      <c r="AL615" s="156"/>
      <c r="AM615" s="156"/>
      <c r="AN615" s="156"/>
      <c r="AO615" s="452"/>
      <c r="AP615" s="452"/>
      <c r="AQ615" s="452"/>
      <c r="AR615" s="452"/>
      <c r="AS615" s="452"/>
      <c r="AT615" s="452"/>
      <c r="AU615" s="452"/>
      <c r="AV615" s="452"/>
      <c r="AW615" s="452"/>
      <c r="AX615" s="452"/>
      <c r="AY615" s="154"/>
      <c r="AZ615" s="473"/>
      <c r="BA615" s="156"/>
      <c r="BB615" s="156"/>
      <c r="BC615" s="156"/>
      <c r="BD615" s="452"/>
      <c r="BE615" s="452"/>
      <c r="BF615" s="452"/>
      <c r="BG615" s="452"/>
      <c r="BH615" s="452"/>
    </row>
    <row r="616">
      <c r="A616" s="154"/>
      <c r="B616" s="473"/>
      <c r="C616" s="156"/>
      <c r="D616" s="156"/>
      <c r="E616" s="156"/>
      <c r="F616" s="154"/>
      <c r="G616" s="473"/>
      <c r="H616" s="156"/>
      <c r="I616" s="156"/>
      <c r="J616" s="156"/>
      <c r="K616" s="132"/>
      <c r="L616" s="473"/>
      <c r="M616" s="156"/>
      <c r="N616" s="156"/>
      <c r="O616" s="156"/>
      <c r="P616" s="132"/>
      <c r="Q616" s="487"/>
      <c r="R616" s="156"/>
      <c r="S616" s="156"/>
      <c r="T616" s="156"/>
      <c r="U616" s="154"/>
      <c r="V616" s="473"/>
      <c r="W616" s="156"/>
      <c r="X616" s="156"/>
      <c r="Y616" s="156"/>
      <c r="Z616" s="154"/>
      <c r="AA616" s="473"/>
      <c r="AB616" s="156"/>
      <c r="AC616" s="156"/>
      <c r="AD616" s="156"/>
      <c r="AE616" s="154"/>
      <c r="AF616" s="473"/>
      <c r="AG616" s="156"/>
      <c r="AH616" s="156"/>
      <c r="AI616" s="156"/>
      <c r="AJ616" s="154"/>
      <c r="AK616" s="473"/>
      <c r="AL616" s="156"/>
      <c r="AM616" s="156"/>
      <c r="AN616" s="156"/>
      <c r="AO616" s="452"/>
      <c r="AP616" s="452"/>
      <c r="AQ616" s="452"/>
      <c r="AR616" s="452"/>
      <c r="AS616" s="452"/>
      <c r="AT616" s="452"/>
      <c r="AU616" s="452"/>
      <c r="AV616" s="452"/>
      <c r="AW616" s="452"/>
      <c r="AX616" s="452"/>
      <c r="AY616" s="154"/>
      <c r="AZ616" s="473"/>
      <c r="BA616" s="156"/>
      <c r="BB616" s="156"/>
      <c r="BC616" s="156"/>
      <c r="BD616" s="452"/>
      <c r="BE616" s="452"/>
      <c r="BF616" s="452"/>
      <c r="BG616" s="452"/>
      <c r="BH616" s="452"/>
    </row>
    <row r="617">
      <c r="A617" s="154"/>
      <c r="B617" s="473"/>
      <c r="C617" s="156"/>
      <c r="D617" s="156"/>
      <c r="E617" s="156"/>
      <c r="F617" s="154"/>
      <c r="G617" s="473"/>
      <c r="H617" s="156"/>
      <c r="I617" s="156"/>
      <c r="J617" s="156"/>
      <c r="K617" s="132"/>
      <c r="L617" s="473"/>
      <c r="M617" s="156"/>
      <c r="N617" s="156"/>
      <c r="O617" s="156"/>
      <c r="P617" s="132"/>
      <c r="Q617" s="487"/>
      <c r="R617" s="156"/>
      <c r="S617" s="156"/>
      <c r="T617" s="156"/>
      <c r="U617" s="154"/>
      <c r="V617" s="473"/>
      <c r="W617" s="156"/>
      <c r="X617" s="156"/>
      <c r="Y617" s="156"/>
      <c r="Z617" s="154"/>
      <c r="AA617" s="473"/>
      <c r="AB617" s="156"/>
      <c r="AC617" s="156"/>
      <c r="AD617" s="156"/>
      <c r="AE617" s="154"/>
      <c r="AF617" s="473"/>
      <c r="AG617" s="156"/>
      <c r="AH617" s="156"/>
      <c r="AI617" s="156"/>
      <c r="AJ617" s="154"/>
      <c r="AK617" s="473"/>
      <c r="AL617" s="156"/>
      <c r="AM617" s="156"/>
      <c r="AN617" s="156"/>
      <c r="AO617" s="452"/>
      <c r="AP617" s="452"/>
      <c r="AQ617" s="452"/>
      <c r="AR617" s="452"/>
      <c r="AS617" s="452"/>
      <c r="AT617" s="452"/>
      <c r="AU617" s="452"/>
      <c r="AV617" s="452"/>
      <c r="AW617" s="452"/>
      <c r="AX617" s="452"/>
      <c r="AY617" s="154"/>
      <c r="AZ617" s="473"/>
      <c r="BA617" s="156"/>
      <c r="BB617" s="156"/>
      <c r="BC617" s="156"/>
      <c r="BD617" s="452"/>
      <c r="BE617" s="452"/>
      <c r="BF617" s="452"/>
      <c r="BG617" s="452"/>
      <c r="BH617" s="452"/>
    </row>
    <row r="618">
      <c r="A618" s="154"/>
      <c r="B618" s="473"/>
      <c r="C618" s="156"/>
      <c r="D618" s="156"/>
      <c r="E618" s="156"/>
      <c r="F618" s="154"/>
      <c r="G618" s="473"/>
      <c r="H618" s="156"/>
      <c r="I618" s="156"/>
      <c r="J618" s="156"/>
      <c r="K618" s="132"/>
      <c r="L618" s="473"/>
      <c r="M618" s="156"/>
      <c r="N618" s="156"/>
      <c r="O618" s="156"/>
      <c r="P618" s="132"/>
      <c r="Q618" s="487"/>
      <c r="R618" s="156"/>
      <c r="S618" s="156"/>
      <c r="T618" s="156"/>
      <c r="U618" s="154"/>
      <c r="V618" s="473"/>
      <c r="W618" s="156"/>
      <c r="X618" s="156"/>
      <c r="Y618" s="156"/>
      <c r="Z618" s="154"/>
      <c r="AA618" s="473"/>
      <c r="AB618" s="156"/>
      <c r="AC618" s="156"/>
      <c r="AD618" s="156"/>
      <c r="AE618" s="154"/>
      <c r="AF618" s="473"/>
      <c r="AG618" s="156"/>
      <c r="AH618" s="156"/>
      <c r="AI618" s="156"/>
      <c r="AJ618" s="154"/>
      <c r="AK618" s="473"/>
      <c r="AL618" s="156"/>
      <c r="AM618" s="156"/>
      <c r="AN618" s="156"/>
      <c r="AO618" s="452"/>
      <c r="AP618" s="452"/>
      <c r="AQ618" s="452"/>
      <c r="AR618" s="452"/>
      <c r="AS618" s="452"/>
      <c r="AT618" s="452"/>
      <c r="AU618" s="452"/>
      <c r="AV618" s="452"/>
      <c r="AW618" s="452"/>
      <c r="AX618" s="452"/>
      <c r="AY618" s="154"/>
      <c r="AZ618" s="473"/>
      <c r="BA618" s="156"/>
      <c r="BB618" s="156"/>
      <c r="BC618" s="156"/>
      <c r="BD618" s="452"/>
      <c r="BE618" s="452"/>
      <c r="BF618" s="452"/>
      <c r="BG618" s="452"/>
      <c r="BH618" s="452"/>
    </row>
    <row r="619">
      <c r="A619" s="154"/>
      <c r="B619" s="473"/>
      <c r="C619" s="156"/>
      <c r="D619" s="156"/>
      <c r="E619" s="156"/>
      <c r="F619" s="154"/>
      <c r="G619" s="473"/>
      <c r="H619" s="156"/>
      <c r="I619" s="156"/>
      <c r="J619" s="156"/>
      <c r="K619" s="132"/>
      <c r="L619" s="473"/>
      <c r="M619" s="156"/>
      <c r="N619" s="156"/>
      <c r="O619" s="156"/>
      <c r="P619" s="132"/>
      <c r="Q619" s="487"/>
      <c r="R619" s="156"/>
      <c r="S619" s="156"/>
      <c r="T619" s="156"/>
      <c r="U619" s="154"/>
      <c r="V619" s="473"/>
      <c r="W619" s="156"/>
      <c r="X619" s="156"/>
      <c r="Y619" s="156"/>
      <c r="Z619" s="154"/>
      <c r="AA619" s="473"/>
      <c r="AB619" s="156"/>
      <c r="AC619" s="156"/>
      <c r="AD619" s="156"/>
      <c r="AE619" s="154"/>
      <c r="AF619" s="473"/>
      <c r="AG619" s="156"/>
      <c r="AH619" s="156"/>
      <c r="AI619" s="156"/>
      <c r="AJ619" s="154"/>
      <c r="AK619" s="473"/>
      <c r="AL619" s="156"/>
      <c r="AM619" s="156"/>
      <c r="AN619" s="156"/>
      <c r="AO619" s="452"/>
      <c r="AP619" s="452"/>
      <c r="AQ619" s="452"/>
      <c r="AR619" s="452"/>
      <c r="AS619" s="452"/>
      <c r="AT619" s="452"/>
      <c r="AU619" s="452"/>
      <c r="AV619" s="452"/>
      <c r="AW619" s="452"/>
      <c r="AX619" s="452"/>
      <c r="AY619" s="154"/>
      <c r="AZ619" s="473"/>
      <c r="BA619" s="156"/>
      <c r="BB619" s="156"/>
      <c r="BC619" s="156"/>
      <c r="BD619" s="452"/>
      <c r="BE619" s="452"/>
      <c r="BF619" s="452"/>
      <c r="BG619" s="452"/>
      <c r="BH619" s="452"/>
    </row>
    <row r="620">
      <c r="A620" s="154"/>
      <c r="B620" s="473"/>
      <c r="C620" s="156"/>
      <c r="D620" s="156"/>
      <c r="E620" s="156"/>
      <c r="F620" s="154"/>
      <c r="G620" s="473"/>
      <c r="H620" s="156"/>
      <c r="I620" s="156"/>
      <c r="J620" s="156"/>
      <c r="K620" s="132"/>
      <c r="L620" s="473"/>
      <c r="M620" s="156"/>
      <c r="N620" s="156"/>
      <c r="O620" s="156"/>
      <c r="P620" s="132"/>
      <c r="Q620" s="487"/>
      <c r="R620" s="156"/>
      <c r="S620" s="156"/>
      <c r="T620" s="156"/>
      <c r="U620" s="154"/>
      <c r="V620" s="473"/>
      <c r="W620" s="156"/>
      <c r="X620" s="156"/>
      <c r="Y620" s="156"/>
      <c r="Z620" s="154"/>
      <c r="AA620" s="473"/>
      <c r="AB620" s="156"/>
      <c r="AC620" s="156"/>
      <c r="AD620" s="156"/>
      <c r="AE620" s="154"/>
      <c r="AF620" s="473"/>
      <c r="AG620" s="156"/>
      <c r="AH620" s="156"/>
      <c r="AI620" s="156"/>
      <c r="AJ620" s="154"/>
      <c r="AK620" s="473"/>
      <c r="AL620" s="156"/>
      <c r="AM620" s="156"/>
      <c r="AN620" s="156"/>
      <c r="AO620" s="452"/>
      <c r="AP620" s="452"/>
      <c r="AQ620" s="452"/>
      <c r="AR620" s="452"/>
      <c r="AS620" s="452"/>
      <c r="AT620" s="452"/>
      <c r="AU620" s="452"/>
      <c r="AV620" s="452"/>
      <c r="AW620" s="452"/>
      <c r="AX620" s="452"/>
      <c r="AY620" s="154"/>
      <c r="AZ620" s="473"/>
      <c r="BA620" s="156"/>
      <c r="BB620" s="156"/>
      <c r="BC620" s="156"/>
      <c r="BD620" s="452"/>
      <c r="BE620" s="452"/>
      <c r="BF620" s="452"/>
      <c r="BG620" s="452"/>
      <c r="BH620" s="452"/>
    </row>
    <row r="621">
      <c r="A621" s="154"/>
      <c r="B621" s="473"/>
      <c r="C621" s="156"/>
      <c r="D621" s="156"/>
      <c r="E621" s="156"/>
      <c r="F621" s="154"/>
      <c r="G621" s="473"/>
      <c r="H621" s="156"/>
      <c r="I621" s="156"/>
      <c r="J621" s="156"/>
      <c r="K621" s="132"/>
      <c r="L621" s="473"/>
      <c r="M621" s="156"/>
      <c r="N621" s="156"/>
      <c r="O621" s="156"/>
      <c r="P621" s="132"/>
      <c r="Q621" s="487"/>
      <c r="R621" s="156"/>
      <c r="S621" s="156"/>
      <c r="T621" s="156"/>
      <c r="U621" s="154"/>
      <c r="V621" s="473"/>
      <c r="W621" s="156"/>
      <c r="X621" s="156"/>
      <c r="Y621" s="156"/>
      <c r="Z621" s="154"/>
      <c r="AA621" s="473"/>
      <c r="AB621" s="156"/>
      <c r="AC621" s="156"/>
      <c r="AD621" s="156"/>
      <c r="AE621" s="154"/>
      <c r="AF621" s="473"/>
      <c r="AG621" s="156"/>
      <c r="AH621" s="156"/>
      <c r="AI621" s="156"/>
      <c r="AJ621" s="154"/>
      <c r="AK621" s="473"/>
      <c r="AL621" s="156"/>
      <c r="AM621" s="156"/>
      <c r="AN621" s="156"/>
      <c r="AO621" s="452"/>
      <c r="AP621" s="452"/>
      <c r="AQ621" s="452"/>
      <c r="AR621" s="452"/>
      <c r="AS621" s="452"/>
      <c r="AT621" s="452"/>
      <c r="AU621" s="452"/>
      <c r="AV621" s="452"/>
      <c r="AW621" s="452"/>
      <c r="AX621" s="452"/>
      <c r="AY621" s="154"/>
      <c r="AZ621" s="473"/>
      <c r="BA621" s="156"/>
      <c r="BB621" s="156"/>
      <c r="BC621" s="156"/>
      <c r="BD621" s="452"/>
      <c r="BE621" s="452"/>
      <c r="BF621" s="452"/>
      <c r="BG621" s="452"/>
      <c r="BH621" s="452"/>
    </row>
    <row r="622">
      <c r="A622" s="154"/>
      <c r="B622" s="473"/>
      <c r="C622" s="156"/>
      <c r="D622" s="156"/>
      <c r="E622" s="156"/>
      <c r="F622" s="154"/>
      <c r="G622" s="473"/>
      <c r="H622" s="156"/>
      <c r="I622" s="156"/>
      <c r="J622" s="156"/>
      <c r="K622" s="132"/>
      <c r="L622" s="473"/>
      <c r="M622" s="156"/>
      <c r="N622" s="156"/>
      <c r="O622" s="156"/>
      <c r="P622" s="132"/>
      <c r="Q622" s="487"/>
      <c r="R622" s="156"/>
      <c r="S622" s="156"/>
      <c r="T622" s="156"/>
      <c r="U622" s="154"/>
      <c r="V622" s="473"/>
      <c r="W622" s="156"/>
      <c r="X622" s="156"/>
      <c r="Y622" s="156"/>
      <c r="Z622" s="154"/>
      <c r="AA622" s="473"/>
      <c r="AB622" s="156"/>
      <c r="AC622" s="156"/>
      <c r="AD622" s="156"/>
      <c r="AE622" s="154"/>
      <c r="AF622" s="473"/>
      <c r="AG622" s="156"/>
      <c r="AH622" s="156"/>
      <c r="AI622" s="156"/>
      <c r="AJ622" s="154"/>
      <c r="AK622" s="473"/>
      <c r="AL622" s="156"/>
      <c r="AM622" s="156"/>
      <c r="AN622" s="156"/>
      <c r="AO622" s="452"/>
      <c r="AP622" s="452"/>
      <c r="AQ622" s="452"/>
      <c r="AR622" s="452"/>
      <c r="AS622" s="452"/>
      <c r="AT622" s="452"/>
      <c r="AU622" s="452"/>
      <c r="AV622" s="452"/>
      <c r="AW622" s="452"/>
      <c r="AX622" s="452"/>
      <c r="AY622" s="154"/>
      <c r="AZ622" s="473"/>
      <c r="BA622" s="156"/>
      <c r="BB622" s="156"/>
      <c r="BC622" s="156"/>
      <c r="BD622" s="452"/>
      <c r="BE622" s="452"/>
      <c r="BF622" s="452"/>
      <c r="BG622" s="452"/>
      <c r="BH622" s="452"/>
    </row>
    <row r="623">
      <c r="A623" s="154"/>
      <c r="B623" s="473"/>
      <c r="C623" s="156"/>
      <c r="D623" s="156"/>
      <c r="E623" s="156"/>
      <c r="F623" s="154"/>
      <c r="G623" s="473"/>
      <c r="H623" s="156"/>
      <c r="I623" s="156"/>
      <c r="J623" s="156"/>
      <c r="K623" s="132"/>
      <c r="L623" s="473"/>
      <c r="M623" s="156"/>
      <c r="N623" s="156"/>
      <c r="O623" s="156"/>
      <c r="P623" s="132"/>
      <c r="Q623" s="487"/>
      <c r="R623" s="156"/>
      <c r="S623" s="156"/>
      <c r="T623" s="156"/>
      <c r="U623" s="154"/>
      <c r="V623" s="473"/>
      <c r="W623" s="156"/>
      <c r="X623" s="156"/>
      <c r="Y623" s="156"/>
      <c r="Z623" s="154"/>
      <c r="AA623" s="473"/>
      <c r="AB623" s="156"/>
      <c r="AC623" s="156"/>
      <c r="AD623" s="156"/>
      <c r="AE623" s="154"/>
      <c r="AF623" s="473"/>
      <c r="AG623" s="156"/>
      <c r="AH623" s="156"/>
      <c r="AI623" s="156"/>
      <c r="AJ623" s="154"/>
      <c r="AK623" s="473"/>
      <c r="AL623" s="156"/>
      <c r="AM623" s="156"/>
      <c r="AN623" s="156"/>
      <c r="AO623" s="452"/>
      <c r="AP623" s="452"/>
      <c r="AQ623" s="452"/>
      <c r="AR623" s="452"/>
      <c r="AS623" s="452"/>
      <c r="AT623" s="452"/>
      <c r="AU623" s="452"/>
      <c r="AV623" s="452"/>
      <c r="AW623" s="452"/>
      <c r="AX623" s="452"/>
      <c r="AY623" s="154"/>
      <c r="AZ623" s="473"/>
      <c r="BA623" s="156"/>
      <c r="BB623" s="156"/>
      <c r="BC623" s="156"/>
      <c r="BD623" s="452"/>
      <c r="BE623" s="452"/>
      <c r="BF623" s="452"/>
      <c r="BG623" s="452"/>
      <c r="BH623" s="452"/>
    </row>
    <row r="624">
      <c r="A624" s="154"/>
      <c r="B624" s="473"/>
      <c r="C624" s="156"/>
      <c r="D624" s="156"/>
      <c r="E624" s="156"/>
      <c r="F624" s="154"/>
      <c r="G624" s="473"/>
      <c r="H624" s="156"/>
      <c r="I624" s="156"/>
      <c r="J624" s="156"/>
      <c r="K624" s="132"/>
      <c r="L624" s="473"/>
      <c r="M624" s="156"/>
      <c r="N624" s="156"/>
      <c r="O624" s="156"/>
      <c r="P624" s="132"/>
      <c r="Q624" s="487"/>
      <c r="R624" s="156"/>
      <c r="S624" s="156"/>
      <c r="T624" s="156"/>
      <c r="U624" s="154"/>
      <c r="V624" s="473"/>
      <c r="W624" s="156"/>
      <c r="X624" s="156"/>
      <c r="Y624" s="156"/>
      <c r="Z624" s="154"/>
      <c r="AA624" s="473"/>
      <c r="AB624" s="156"/>
      <c r="AC624" s="156"/>
      <c r="AD624" s="156"/>
      <c r="AE624" s="154"/>
      <c r="AF624" s="473"/>
      <c r="AG624" s="156"/>
      <c r="AH624" s="156"/>
      <c r="AI624" s="156"/>
      <c r="AJ624" s="154"/>
      <c r="AK624" s="473"/>
      <c r="AL624" s="156"/>
      <c r="AM624" s="156"/>
      <c r="AN624" s="156"/>
      <c r="AO624" s="452"/>
      <c r="AP624" s="452"/>
      <c r="AQ624" s="452"/>
      <c r="AR624" s="452"/>
      <c r="AS624" s="452"/>
      <c r="AT624" s="452"/>
      <c r="AU624" s="452"/>
      <c r="AV624" s="452"/>
      <c r="AW624" s="452"/>
      <c r="AX624" s="452"/>
      <c r="AY624" s="154"/>
      <c r="AZ624" s="473"/>
      <c r="BA624" s="156"/>
      <c r="BB624" s="156"/>
      <c r="BC624" s="156"/>
      <c r="BD624" s="452"/>
      <c r="BE624" s="452"/>
      <c r="BF624" s="452"/>
      <c r="BG624" s="452"/>
      <c r="BH624" s="452"/>
    </row>
    <row r="625">
      <c r="A625" s="154"/>
      <c r="B625" s="473"/>
      <c r="C625" s="156"/>
      <c r="D625" s="156"/>
      <c r="E625" s="156"/>
      <c r="F625" s="154"/>
      <c r="G625" s="473"/>
      <c r="H625" s="156"/>
      <c r="I625" s="156"/>
      <c r="J625" s="156"/>
      <c r="K625" s="132"/>
      <c r="L625" s="473"/>
      <c r="M625" s="156"/>
      <c r="N625" s="156"/>
      <c r="O625" s="156"/>
      <c r="P625" s="132"/>
      <c r="Q625" s="487"/>
      <c r="R625" s="156"/>
      <c r="S625" s="156"/>
      <c r="T625" s="156"/>
      <c r="U625" s="154"/>
      <c r="V625" s="473"/>
      <c r="W625" s="156"/>
      <c r="X625" s="156"/>
      <c r="Y625" s="156"/>
      <c r="Z625" s="154"/>
      <c r="AA625" s="473"/>
      <c r="AB625" s="156"/>
      <c r="AC625" s="156"/>
      <c r="AD625" s="156"/>
      <c r="AE625" s="154"/>
      <c r="AF625" s="473"/>
      <c r="AG625" s="156"/>
      <c r="AH625" s="156"/>
      <c r="AI625" s="156"/>
      <c r="AJ625" s="154"/>
      <c r="AK625" s="473"/>
      <c r="AL625" s="156"/>
      <c r="AM625" s="156"/>
      <c r="AN625" s="156"/>
      <c r="AO625" s="452"/>
      <c r="AP625" s="452"/>
      <c r="AQ625" s="452"/>
      <c r="AR625" s="452"/>
      <c r="AS625" s="452"/>
      <c r="AT625" s="452"/>
      <c r="AU625" s="452"/>
      <c r="AV625" s="452"/>
      <c r="AW625" s="452"/>
      <c r="AX625" s="452"/>
      <c r="AY625" s="154"/>
      <c r="AZ625" s="473"/>
      <c r="BA625" s="156"/>
      <c r="BB625" s="156"/>
      <c r="BC625" s="156"/>
      <c r="BD625" s="452"/>
      <c r="BE625" s="452"/>
      <c r="BF625" s="452"/>
      <c r="BG625" s="452"/>
      <c r="BH625" s="452"/>
    </row>
    <row r="626">
      <c r="A626" s="154"/>
      <c r="B626" s="473"/>
      <c r="C626" s="156"/>
      <c r="D626" s="156"/>
      <c r="E626" s="156"/>
      <c r="F626" s="154"/>
      <c r="G626" s="473"/>
      <c r="H626" s="156"/>
      <c r="I626" s="156"/>
      <c r="J626" s="156"/>
      <c r="K626" s="132"/>
      <c r="L626" s="473"/>
      <c r="M626" s="156"/>
      <c r="N626" s="156"/>
      <c r="O626" s="156"/>
      <c r="P626" s="132"/>
      <c r="Q626" s="487"/>
      <c r="R626" s="156"/>
      <c r="S626" s="156"/>
      <c r="T626" s="156"/>
      <c r="U626" s="154"/>
      <c r="V626" s="473"/>
      <c r="W626" s="156"/>
      <c r="X626" s="156"/>
      <c r="Y626" s="156"/>
      <c r="Z626" s="154"/>
      <c r="AA626" s="473"/>
      <c r="AB626" s="156"/>
      <c r="AC626" s="156"/>
      <c r="AD626" s="156"/>
      <c r="AE626" s="154"/>
      <c r="AF626" s="473"/>
      <c r="AG626" s="156"/>
      <c r="AH626" s="156"/>
      <c r="AI626" s="156"/>
      <c r="AJ626" s="154"/>
      <c r="AK626" s="473"/>
      <c r="AL626" s="156"/>
      <c r="AM626" s="156"/>
      <c r="AN626" s="156"/>
      <c r="AO626" s="452"/>
      <c r="AP626" s="452"/>
      <c r="AQ626" s="452"/>
      <c r="AR626" s="452"/>
      <c r="AS626" s="452"/>
      <c r="AT626" s="452"/>
      <c r="AU626" s="452"/>
      <c r="AV626" s="452"/>
      <c r="AW626" s="452"/>
      <c r="AX626" s="452"/>
      <c r="AY626" s="154"/>
      <c r="AZ626" s="473"/>
      <c r="BA626" s="156"/>
      <c r="BB626" s="156"/>
      <c r="BC626" s="156"/>
      <c r="BD626" s="452"/>
      <c r="BE626" s="452"/>
      <c r="BF626" s="452"/>
      <c r="BG626" s="452"/>
      <c r="BH626" s="452"/>
    </row>
    <row r="627">
      <c r="A627" s="154"/>
      <c r="B627" s="473"/>
      <c r="C627" s="156"/>
      <c r="D627" s="156"/>
      <c r="E627" s="156"/>
      <c r="F627" s="154"/>
      <c r="G627" s="473"/>
      <c r="H627" s="156"/>
      <c r="I627" s="156"/>
      <c r="J627" s="156"/>
      <c r="K627" s="132"/>
      <c r="L627" s="473"/>
      <c r="M627" s="156"/>
      <c r="N627" s="156"/>
      <c r="O627" s="156"/>
      <c r="P627" s="132"/>
      <c r="Q627" s="487"/>
      <c r="R627" s="156"/>
      <c r="S627" s="156"/>
      <c r="T627" s="156"/>
      <c r="U627" s="154"/>
      <c r="V627" s="473"/>
      <c r="W627" s="156"/>
      <c r="X627" s="156"/>
      <c r="Y627" s="156"/>
      <c r="Z627" s="154"/>
      <c r="AA627" s="473"/>
      <c r="AB627" s="156"/>
      <c r="AC627" s="156"/>
      <c r="AD627" s="156"/>
      <c r="AE627" s="154"/>
      <c r="AF627" s="473"/>
      <c r="AG627" s="156"/>
      <c r="AH627" s="156"/>
      <c r="AI627" s="156"/>
      <c r="AJ627" s="154"/>
      <c r="AK627" s="473"/>
      <c r="AL627" s="156"/>
      <c r="AM627" s="156"/>
      <c r="AN627" s="156"/>
      <c r="AO627" s="452"/>
      <c r="AP627" s="452"/>
      <c r="AQ627" s="452"/>
      <c r="AR627" s="452"/>
      <c r="AS627" s="452"/>
      <c r="AT627" s="452"/>
      <c r="AU627" s="452"/>
      <c r="AV627" s="452"/>
      <c r="AW627" s="452"/>
      <c r="AX627" s="452"/>
      <c r="AY627" s="154"/>
      <c r="AZ627" s="473"/>
      <c r="BA627" s="156"/>
      <c r="BB627" s="156"/>
      <c r="BC627" s="156"/>
      <c r="BD627" s="452"/>
      <c r="BE627" s="452"/>
      <c r="BF627" s="452"/>
      <c r="BG627" s="452"/>
      <c r="BH627" s="452"/>
    </row>
    <row r="628">
      <c r="A628" s="154"/>
      <c r="B628" s="473"/>
      <c r="C628" s="156"/>
      <c r="D628" s="156"/>
      <c r="E628" s="156"/>
      <c r="F628" s="154"/>
      <c r="G628" s="473"/>
      <c r="H628" s="156"/>
      <c r="I628" s="156"/>
      <c r="J628" s="156"/>
      <c r="K628" s="132"/>
      <c r="L628" s="473"/>
      <c r="M628" s="156"/>
      <c r="N628" s="156"/>
      <c r="O628" s="156"/>
      <c r="P628" s="132"/>
      <c r="Q628" s="487"/>
      <c r="R628" s="156"/>
      <c r="S628" s="156"/>
      <c r="T628" s="156"/>
      <c r="U628" s="154"/>
      <c r="V628" s="473"/>
      <c r="W628" s="156"/>
      <c r="X628" s="156"/>
      <c r="Y628" s="156"/>
      <c r="Z628" s="154"/>
      <c r="AA628" s="473"/>
      <c r="AB628" s="156"/>
      <c r="AC628" s="156"/>
      <c r="AD628" s="156"/>
      <c r="AE628" s="154"/>
      <c r="AF628" s="473"/>
      <c r="AG628" s="156"/>
      <c r="AH628" s="156"/>
      <c r="AI628" s="156"/>
      <c r="AJ628" s="154"/>
      <c r="AK628" s="473"/>
      <c r="AL628" s="156"/>
      <c r="AM628" s="156"/>
      <c r="AN628" s="156"/>
      <c r="AO628" s="452"/>
      <c r="AP628" s="452"/>
      <c r="AQ628" s="452"/>
      <c r="AR628" s="452"/>
      <c r="AS628" s="452"/>
      <c r="AT628" s="452"/>
      <c r="AU628" s="452"/>
      <c r="AV628" s="452"/>
      <c r="AW628" s="452"/>
      <c r="AX628" s="452"/>
      <c r="AY628" s="154"/>
      <c r="AZ628" s="473"/>
      <c r="BA628" s="156"/>
      <c r="BB628" s="156"/>
      <c r="BC628" s="156"/>
      <c r="BD628" s="452"/>
      <c r="BE628" s="452"/>
      <c r="BF628" s="452"/>
      <c r="BG628" s="452"/>
      <c r="BH628" s="452"/>
    </row>
    <row r="629">
      <c r="A629" s="154"/>
      <c r="B629" s="473"/>
      <c r="C629" s="156"/>
      <c r="D629" s="156"/>
      <c r="E629" s="156"/>
      <c r="F629" s="154"/>
      <c r="G629" s="473"/>
      <c r="H629" s="156"/>
      <c r="I629" s="156"/>
      <c r="J629" s="156"/>
      <c r="K629" s="132"/>
      <c r="L629" s="473"/>
      <c r="M629" s="156"/>
      <c r="N629" s="156"/>
      <c r="O629" s="156"/>
      <c r="P629" s="132"/>
      <c r="Q629" s="487"/>
      <c r="R629" s="156"/>
      <c r="S629" s="156"/>
      <c r="T629" s="156"/>
      <c r="U629" s="154"/>
      <c r="V629" s="473"/>
      <c r="W629" s="156"/>
      <c r="X629" s="156"/>
      <c r="Y629" s="156"/>
      <c r="Z629" s="154"/>
      <c r="AA629" s="473"/>
      <c r="AB629" s="156"/>
      <c r="AC629" s="156"/>
      <c r="AD629" s="156"/>
      <c r="AE629" s="154"/>
      <c r="AF629" s="473"/>
      <c r="AG629" s="156"/>
      <c r="AH629" s="156"/>
      <c r="AI629" s="156"/>
      <c r="AJ629" s="154"/>
      <c r="AK629" s="473"/>
      <c r="AL629" s="156"/>
      <c r="AM629" s="156"/>
      <c r="AN629" s="156"/>
      <c r="AO629" s="452"/>
      <c r="AP629" s="452"/>
      <c r="AQ629" s="452"/>
      <c r="AR629" s="452"/>
      <c r="AS629" s="452"/>
      <c r="AT629" s="452"/>
      <c r="AU629" s="452"/>
      <c r="AV629" s="452"/>
      <c r="AW629" s="452"/>
      <c r="AX629" s="452"/>
      <c r="AY629" s="154"/>
      <c r="AZ629" s="473"/>
      <c r="BA629" s="156"/>
      <c r="BB629" s="156"/>
      <c r="BC629" s="156"/>
      <c r="BD629" s="452"/>
      <c r="BE629" s="452"/>
      <c r="BF629" s="452"/>
      <c r="BG629" s="452"/>
      <c r="BH629" s="452"/>
    </row>
    <row r="630">
      <c r="A630" s="154"/>
      <c r="B630" s="473"/>
      <c r="C630" s="156"/>
      <c r="D630" s="156"/>
      <c r="E630" s="156"/>
      <c r="F630" s="154"/>
      <c r="G630" s="473"/>
      <c r="H630" s="156"/>
      <c r="I630" s="156"/>
      <c r="J630" s="156"/>
      <c r="K630" s="132"/>
      <c r="L630" s="473"/>
      <c r="M630" s="156"/>
      <c r="N630" s="156"/>
      <c r="O630" s="156"/>
      <c r="P630" s="132"/>
      <c r="Q630" s="487"/>
      <c r="R630" s="156"/>
      <c r="S630" s="156"/>
      <c r="T630" s="156"/>
      <c r="U630" s="154"/>
      <c r="V630" s="473"/>
      <c r="W630" s="156"/>
      <c r="X630" s="156"/>
      <c r="Y630" s="156"/>
      <c r="Z630" s="154"/>
      <c r="AA630" s="473"/>
      <c r="AB630" s="156"/>
      <c r="AC630" s="156"/>
      <c r="AD630" s="156"/>
      <c r="AE630" s="154"/>
      <c r="AF630" s="473"/>
      <c r="AG630" s="156"/>
      <c r="AH630" s="156"/>
      <c r="AI630" s="156"/>
      <c r="AJ630" s="154"/>
      <c r="AK630" s="473"/>
      <c r="AL630" s="156"/>
      <c r="AM630" s="156"/>
      <c r="AN630" s="156"/>
      <c r="AO630" s="452"/>
      <c r="AP630" s="452"/>
      <c r="AQ630" s="452"/>
      <c r="AR630" s="452"/>
      <c r="AS630" s="452"/>
      <c r="AT630" s="452"/>
      <c r="AU630" s="452"/>
      <c r="AV630" s="452"/>
      <c r="AW630" s="452"/>
      <c r="AX630" s="452"/>
      <c r="AY630" s="154"/>
      <c r="AZ630" s="473"/>
      <c r="BA630" s="156"/>
      <c r="BB630" s="156"/>
      <c r="BC630" s="156"/>
      <c r="BD630" s="452"/>
      <c r="BE630" s="452"/>
      <c r="BF630" s="452"/>
      <c r="BG630" s="452"/>
      <c r="BH630" s="452"/>
    </row>
    <row r="631">
      <c r="A631" s="154"/>
      <c r="B631" s="473"/>
      <c r="C631" s="156"/>
      <c r="D631" s="156"/>
      <c r="E631" s="156"/>
      <c r="F631" s="154"/>
      <c r="G631" s="473"/>
      <c r="H631" s="156"/>
      <c r="I631" s="156"/>
      <c r="J631" s="156"/>
      <c r="K631" s="132"/>
      <c r="L631" s="473"/>
      <c r="M631" s="156"/>
      <c r="N631" s="156"/>
      <c r="O631" s="156"/>
      <c r="P631" s="132"/>
      <c r="Q631" s="487"/>
      <c r="R631" s="156"/>
      <c r="S631" s="156"/>
      <c r="T631" s="156"/>
      <c r="U631" s="154"/>
      <c r="V631" s="473"/>
      <c r="W631" s="156"/>
      <c r="X631" s="156"/>
      <c r="Y631" s="156"/>
      <c r="Z631" s="154"/>
      <c r="AA631" s="473"/>
      <c r="AB631" s="156"/>
      <c r="AC631" s="156"/>
      <c r="AD631" s="156"/>
      <c r="AE631" s="154"/>
      <c r="AF631" s="473"/>
      <c r="AG631" s="156"/>
      <c r="AH631" s="156"/>
      <c r="AI631" s="156"/>
      <c r="AJ631" s="154"/>
      <c r="AK631" s="473"/>
      <c r="AL631" s="156"/>
      <c r="AM631" s="156"/>
      <c r="AN631" s="156"/>
      <c r="AO631" s="452"/>
      <c r="AP631" s="452"/>
      <c r="AQ631" s="452"/>
      <c r="AR631" s="452"/>
      <c r="AS631" s="452"/>
      <c r="AT631" s="452"/>
      <c r="AU631" s="452"/>
      <c r="AV631" s="452"/>
      <c r="AW631" s="452"/>
      <c r="AX631" s="452"/>
      <c r="AY631" s="154"/>
      <c r="AZ631" s="473"/>
      <c r="BA631" s="156"/>
      <c r="BB631" s="156"/>
      <c r="BC631" s="156"/>
      <c r="BD631" s="452"/>
      <c r="BE631" s="452"/>
      <c r="BF631" s="452"/>
      <c r="BG631" s="452"/>
      <c r="BH631" s="452"/>
    </row>
    <row r="632">
      <c r="A632" s="154"/>
      <c r="B632" s="473"/>
      <c r="C632" s="156"/>
      <c r="D632" s="156"/>
      <c r="E632" s="156"/>
      <c r="F632" s="154"/>
      <c r="G632" s="473"/>
      <c r="H632" s="156"/>
      <c r="I632" s="156"/>
      <c r="J632" s="156"/>
      <c r="K632" s="132"/>
      <c r="L632" s="473"/>
      <c r="M632" s="156"/>
      <c r="N632" s="156"/>
      <c r="O632" s="156"/>
      <c r="P632" s="132"/>
      <c r="Q632" s="487"/>
      <c r="R632" s="156"/>
      <c r="S632" s="156"/>
      <c r="T632" s="156"/>
      <c r="U632" s="154"/>
      <c r="V632" s="473"/>
      <c r="W632" s="156"/>
      <c r="X632" s="156"/>
      <c r="Y632" s="156"/>
      <c r="Z632" s="154"/>
      <c r="AA632" s="473"/>
      <c r="AB632" s="156"/>
      <c r="AC632" s="156"/>
      <c r="AD632" s="156"/>
      <c r="AE632" s="154"/>
      <c r="AF632" s="473"/>
      <c r="AG632" s="156"/>
      <c r="AH632" s="156"/>
      <c r="AI632" s="156"/>
      <c r="AJ632" s="154"/>
      <c r="AK632" s="473"/>
      <c r="AL632" s="156"/>
      <c r="AM632" s="156"/>
      <c r="AN632" s="156"/>
      <c r="AO632" s="452"/>
      <c r="AP632" s="452"/>
      <c r="AQ632" s="452"/>
      <c r="AR632" s="452"/>
      <c r="AS632" s="452"/>
      <c r="AT632" s="452"/>
      <c r="AU632" s="452"/>
      <c r="AV632" s="452"/>
      <c r="AW632" s="452"/>
      <c r="AX632" s="452"/>
      <c r="AY632" s="154"/>
      <c r="AZ632" s="473"/>
      <c r="BA632" s="156"/>
      <c r="BB632" s="156"/>
      <c r="BC632" s="156"/>
      <c r="BD632" s="452"/>
      <c r="BE632" s="452"/>
      <c r="BF632" s="452"/>
      <c r="BG632" s="452"/>
      <c r="BH632" s="452"/>
    </row>
    <row r="633">
      <c r="A633" s="154"/>
      <c r="B633" s="473"/>
      <c r="C633" s="156"/>
      <c r="D633" s="156"/>
      <c r="E633" s="156"/>
      <c r="F633" s="154"/>
      <c r="G633" s="473"/>
      <c r="H633" s="156"/>
      <c r="I633" s="156"/>
      <c r="J633" s="156"/>
      <c r="K633" s="132"/>
      <c r="L633" s="473"/>
      <c r="M633" s="156"/>
      <c r="N633" s="156"/>
      <c r="O633" s="156"/>
      <c r="P633" s="132"/>
      <c r="Q633" s="487"/>
      <c r="R633" s="156"/>
      <c r="S633" s="156"/>
      <c r="T633" s="156"/>
      <c r="U633" s="154"/>
      <c r="V633" s="473"/>
      <c r="W633" s="156"/>
      <c r="X633" s="156"/>
      <c r="Y633" s="156"/>
      <c r="Z633" s="154"/>
      <c r="AA633" s="473"/>
      <c r="AB633" s="156"/>
      <c r="AC633" s="156"/>
      <c r="AD633" s="156"/>
      <c r="AE633" s="154"/>
      <c r="AF633" s="473"/>
      <c r="AG633" s="156"/>
      <c r="AH633" s="156"/>
      <c r="AI633" s="156"/>
      <c r="AJ633" s="154"/>
      <c r="AK633" s="473"/>
      <c r="AL633" s="156"/>
      <c r="AM633" s="156"/>
      <c r="AN633" s="156"/>
      <c r="AO633" s="452"/>
      <c r="AP633" s="452"/>
      <c r="AQ633" s="452"/>
      <c r="AR633" s="452"/>
      <c r="AS633" s="452"/>
      <c r="AT633" s="452"/>
      <c r="AU633" s="452"/>
      <c r="AV633" s="452"/>
      <c r="AW633" s="452"/>
      <c r="AX633" s="452"/>
      <c r="AY633" s="154"/>
      <c r="AZ633" s="473"/>
      <c r="BA633" s="156"/>
      <c r="BB633" s="156"/>
      <c r="BC633" s="156"/>
      <c r="BD633" s="452"/>
      <c r="BE633" s="452"/>
      <c r="BF633" s="452"/>
      <c r="BG633" s="452"/>
      <c r="BH633" s="452"/>
    </row>
    <row r="634">
      <c r="A634" s="154"/>
      <c r="B634" s="473"/>
      <c r="C634" s="156"/>
      <c r="D634" s="156"/>
      <c r="E634" s="156"/>
      <c r="F634" s="154"/>
      <c r="G634" s="473"/>
      <c r="H634" s="156"/>
      <c r="I634" s="156"/>
      <c r="J634" s="156"/>
      <c r="K634" s="132"/>
      <c r="L634" s="473"/>
      <c r="M634" s="156"/>
      <c r="N634" s="156"/>
      <c r="O634" s="156"/>
      <c r="P634" s="132"/>
      <c r="Q634" s="487"/>
      <c r="R634" s="156"/>
      <c r="S634" s="156"/>
      <c r="T634" s="156"/>
      <c r="U634" s="154"/>
      <c r="V634" s="473"/>
      <c r="W634" s="156"/>
      <c r="X634" s="156"/>
      <c r="Y634" s="156"/>
      <c r="Z634" s="154"/>
      <c r="AA634" s="473"/>
      <c r="AB634" s="156"/>
      <c r="AC634" s="156"/>
      <c r="AD634" s="156"/>
      <c r="AE634" s="154"/>
      <c r="AF634" s="473"/>
      <c r="AG634" s="156"/>
      <c r="AH634" s="156"/>
      <c r="AI634" s="156"/>
      <c r="AJ634" s="154"/>
      <c r="AK634" s="473"/>
      <c r="AL634" s="156"/>
      <c r="AM634" s="156"/>
      <c r="AN634" s="156"/>
      <c r="AO634" s="452"/>
      <c r="AP634" s="452"/>
      <c r="AQ634" s="452"/>
      <c r="AR634" s="452"/>
      <c r="AS634" s="452"/>
      <c r="AT634" s="452"/>
      <c r="AU634" s="452"/>
      <c r="AV634" s="452"/>
      <c r="AW634" s="452"/>
      <c r="AX634" s="452"/>
      <c r="AY634" s="154"/>
      <c r="AZ634" s="473"/>
      <c r="BA634" s="156"/>
      <c r="BB634" s="156"/>
      <c r="BC634" s="156"/>
      <c r="BD634" s="452"/>
      <c r="BE634" s="452"/>
      <c r="BF634" s="452"/>
      <c r="BG634" s="452"/>
      <c r="BH634" s="452"/>
    </row>
    <row r="635">
      <c r="A635" s="154"/>
      <c r="B635" s="473"/>
      <c r="C635" s="156"/>
      <c r="D635" s="156"/>
      <c r="E635" s="156"/>
      <c r="F635" s="154"/>
      <c r="G635" s="473"/>
      <c r="H635" s="156"/>
      <c r="I635" s="156"/>
      <c r="J635" s="156"/>
      <c r="K635" s="132"/>
      <c r="L635" s="473"/>
      <c r="M635" s="156"/>
      <c r="N635" s="156"/>
      <c r="O635" s="156"/>
      <c r="P635" s="132"/>
      <c r="Q635" s="487"/>
      <c r="R635" s="156"/>
      <c r="S635" s="156"/>
      <c r="T635" s="156"/>
      <c r="U635" s="154"/>
      <c r="V635" s="473"/>
      <c r="W635" s="156"/>
      <c r="X635" s="156"/>
      <c r="Y635" s="156"/>
      <c r="Z635" s="154"/>
      <c r="AA635" s="473"/>
      <c r="AB635" s="156"/>
      <c r="AC635" s="156"/>
      <c r="AD635" s="156"/>
      <c r="AE635" s="154"/>
      <c r="AF635" s="473"/>
      <c r="AG635" s="156"/>
      <c r="AH635" s="156"/>
      <c r="AI635" s="156"/>
      <c r="AJ635" s="154"/>
      <c r="AK635" s="473"/>
      <c r="AL635" s="156"/>
      <c r="AM635" s="156"/>
      <c r="AN635" s="156"/>
      <c r="AO635" s="452"/>
      <c r="AP635" s="452"/>
      <c r="AQ635" s="452"/>
      <c r="AR635" s="452"/>
      <c r="AS635" s="452"/>
      <c r="AT635" s="452"/>
      <c r="AU635" s="452"/>
      <c r="AV635" s="452"/>
      <c r="AW635" s="452"/>
      <c r="AX635" s="452"/>
      <c r="AY635" s="154"/>
      <c r="AZ635" s="473"/>
      <c r="BA635" s="156"/>
      <c r="BB635" s="156"/>
      <c r="BC635" s="156"/>
      <c r="BD635" s="452"/>
      <c r="BE635" s="452"/>
      <c r="BF635" s="452"/>
      <c r="BG635" s="452"/>
      <c r="BH635" s="452"/>
    </row>
    <row r="636">
      <c r="A636" s="154"/>
      <c r="B636" s="473"/>
      <c r="C636" s="156"/>
      <c r="D636" s="156"/>
      <c r="E636" s="156"/>
      <c r="F636" s="154"/>
      <c r="G636" s="473"/>
      <c r="H636" s="156"/>
      <c r="I636" s="156"/>
      <c r="J636" s="156"/>
      <c r="K636" s="132"/>
      <c r="L636" s="473"/>
      <c r="M636" s="156"/>
      <c r="N636" s="156"/>
      <c r="O636" s="156"/>
      <c r="P636" s="132"/>
      <c r="Q636" s="487"/>
      <c r="R636" s="156"/>
      <c r="S636" s="156"/>
      <c r="T636" s="156"/>
      <c r="U636" s="154"/>
      <c r="V636" s="473"/>
      <c r="W636" s="156"/>
      <c r="X636" s="156"/>
      <c r="Y636" s="156"/>
      <c r="Z636" s="154"/>
      <c r="AA636" s="473"/>
      <c r="AB636" s="156"/>
      <c r="AC636" s="156"/>
      <c r="AD636" s="156"/>
      <c r="AE636" s="154"/>
      <c r="AF636" s="473"/>
      <c r="AG636" s="156"/>
      <c r="AH636" s="156"/>
      <c r="AI636" s="156"/>
      <c r="AJ636" s="154"/>
      <c r="AK636" s="473"/>
      <c r="AL636" s="156"/>
      <c r="AM636" s="156"/>
      <c r="AN636" s="156"/>
      <c r="AO636" s="452"/>
      <c r="AP636" s="452"/>
      <c r="AQ636" s="452"/>
      <c r="AR636" s="452"/>
      <c r="AS636" s="452"/>
      <c r="AT636" s="452"/>
      <c r="AU636" s="452"/>
      <c r="AV636" s="452"/>
      <c r="AW636" s="452"/>
      <c r="AX636" s="452"/>
      <c r="AY636" s="154"/>
      <c r="AZ636" s="473"/>
      <c r="BA636" s="156"/>
      <c r="BB636" s="156"/>
      <c r="BC636" s="156"/>
      <c r="BD636" s="452"/>
      <c r="BE636" s="452"/>
      <c r="BF636" s="452"/>
      <c r="BG636" s="452"/>
      <c r="BH636" s="452"/>
    </row>
    <row r="637">
      <c r="A637" s="154"/>
      <c r="B637" s="473"/>
      <c r="C637" s="156"/>
      <c r="D637" s="156"/>
      <c r="E637" s="156"/>
      <c r="F637" s="154"/>
      <c r="G637" s="473"/>
      <c r="H637" s="156"/>
      <c r="I637" s="156"/>
      <c r="J637" s="156"/>
      <c r="K637" s="132"/>
      <c r="L637" s="473"/>
      <c r="M637" s="156"/>
      <c r="N637" s="156"/>
      <c r="O637" s="156"/>
      <c r="P637" s="132"/>
      <c r="Q637" s="487"/>
      <c r="R637" s="156"/>
      <c r="S637" s="156"/>
      <c r="T637" s="156"/>
      <c r="U637" s="154"/>
      <c r="V637" s="473"/>
      <c r="W637" s="156"/>
      <c r="X637" s="156"/>
      <c r="Y637" s="156"/>
      <c r="Z637" s="154"/>
      <c r="AA637" s="473"/>
      <c r="AB637" s="156"/>
      <c r="AC637" s="156"/>
      <c r="AD637" s="156"/>
      <c r="AE637" s="154"/>
      <c r="AF637" s="473"/>
      <c r="AG637" s="156"/>
      <c r="AH637" s="156"/>
      <c r="AI637" s="156"/>
      <c r="AJ637" s="154"/>
      <c r="AK637" s="473"/>
      <c r="AL637" s="156"/>
      <c r="AM637" s="156"/>
      <c r="AN637" s="156"/>
      <c r="AO637" s="452"/>
      <c r="AP637" s="452"/>
      <c r="AQ637" s="452"/>
      <c r="AR637" s="452"/>
      <c r="AS637" s="452"/>
      <c r="AT637" s="452"/>
      <c r="AU637" s="452"/>
      <c r="AV637" s="452"/>
      <c r="AW637" s="452"/>
      <c r="AX637" s="452"/>
      <c r="AY637" s="154"/>
      <c r="AZ637" s="473"/>
      <c r="BA637" s="156"/>
      <c r="BB637" s="156"/>
      <c r="BC637" s="156"/>
      <c r="BD637" s="452"/>
      <c r="BE637" s="452"/>
      <c r="BF637" s="452"/>
      <c r="BG637" s="452"/>
      <c r="BH637" s="452"/>
    </row>
    <row r="638">
      <c r="A638" s="154"/>
      <c r="B638" s="473"/>
      <c r="C638" s="156"/>
      <c r="D638" s="156"/>
      <c r="E638" s="156"/>
      <c r="F638" s="154"/>
      <c r="G638" s="473"/>
      <c r="H638" s="156"/>
      <c r="I638" s="156"/>
      <c r="J638" s="156"/>
      <c r="K638" s="132"/>
      <c r="L638" s="473"/>
      <c r="M638" s="156"/>
      <c r="N638" s="156"/>
      <c r="O638" s="156"/>
      <c r="P638" s="132"/>
      <c r="Q638" s="487"/>
      <c r="R638" s="156"/>
      <c r="S638" s="156"/>
      <c r="T638" s="156"/>
      <c r="U638" s="154"/>
      <c r="V638" s="473"/>
      <c r="W638" s="156"/>
      <c r="X638" s="156"/>
      <c r="Y638" s="156"/>
      <c r="Z638" s="154"/>
      <c r="AA638" s="473"/>
      <c r="AB638" s="156"/>
      <c r="AC638" s="156"/>
      <c r="AD638" s="156"/>
      <c r="AE638" s="154"/>
      <c r="AF638" s="473"/>
      <c r="AG638" s="156"/>
      <c r="AH638" s="156"/>
      <c r="AI638" s="156"/>
      <c r="AJ638" s="154"/>
      <c r="AK638" s="473"/>
      <c r="AL638" s="156"/>
      <c r="AM638" s="156"/>
      <c r="AN638" s="156"/>
      <c r="AO638" s="452"/>
      <c r="AP638" s="452"/>
      <c r="AQ638" s="452"/>
      <c r="AR638" s="452"/>
      <c r="AS638" s="452"/>
      <c r="AT638" s="452"/>
      <c r="AU638" s="452"/>
      <c r="AV638" s="452"/>
      <c r="AW638" s="452"/>
      <c r="AX638" s="452"/>
      <c r="AY638" s="154"/>
      <c r="AZ638" s="473"/>
      <c r="BA638" s="156"/>
      <c r="BB638" s="156"/>
      <c r="BC638" s="156"/>
      <c r="BD638" s="452"/>
      <c r="BE638" s="452"/>
      <c r="BF638" s="452"/>
      <c r="BG638" s="452"/>
      <c r="BH638" s="452"/>
    </row>
    <row r="639">
      <c r="A639" s="154"/>
      <c r="B639" s="473"/>
      <c r="C639" s="156"/>
      <c r="D639" s="156"/>
      <c r="E639" s="156"/>
      <c r="F639" s="154"/>
      <c r="G639" s="473"/>
      <c r="H639" s="156"/>
      <c r="I639" s="156"/>
      <c r="J639" s="156"/>
      <c r="K639" s="132"/>
      <c r="L639" s="473"/>
      <c r="M639" s="156"/>
      <c r="N639" s="156"/>
      <c r="O639" s="156"/>
      <c r="P639" s="132"/>
      <c r="Q639" s="487"/>
      <c r="R639" s="156"/>
      <c r="S639" s="156"/>
      <c r="T639" s="156"/>
      <c r="U639" s="154"/>
      <c r="V639" s="473"/>
      <c r="W639" s="156"/>
      <c r="X639" s="156"/>
      <c r="Y639" s="156"/>
      <c r="Z639" s="154"/>
      <c r="AA639" s="473"/>
      <c r="AB639" s="156"/>
      <c r="AC639" s="156"/>
      <c r="AD639" s="156"/>
      <c r="AE639" s="154"/>
      <c r="AF639" s="473"/>
      <c r="AG639" s="156"/>
      <c r="AH639" s="156"/>
      <c r="AI639" s="156"/>
      <c r="AJ639" s="154"/>
      <c r="AK639" s="473"/>
      <c r="AL639" s="156"/>
      <c r="AM639" s="156"/>
      <c r="AN639" s="156"/>
      <c r="AO639" s="452"/>
      <c r="AP639" s="452"/>
      <c r="AQ639" s="452"/>
      <c r="AR639" s="452"/>
      <c r="AS639" s="452"/>
      <c r="AT639" s="452"/>
      <c r="AU639" s="452"/>
      <c r="AV639" s="452"/>
      <c r="AW639" s="452"/>
      <c r="AX639" s="452"/>
      <c r="AY639" s="154"/>
      <c r="AZ639" s="473"/>
      <c r="BA639" s="156"/>
      <c r="BB639" s="156"/>
      <c r="BC639" s="156"/>
      <c r="BD639" s="452"/>
      <c r="BE639" s="452"/>
      <c r="BF639" s="452"/>
      <c r="BG639" s="452"/>
      <c r="BH639" s="452"/>
    </row>
    <row r="640">
      <c r="A640" s="154"/>
      <c r="B640" s="473"/>
      <c r="C640" s="156"/>
      <c r="D640" s="156"/>
      <c r="E640" s="156"/>
      <c r="F640" s="154"/>
      <c r="G640" s="473"/>
      <c r="H640" s="156"/>
      <c r="I640" s="156"/>
      <c r="J640" s="156"/>
      <c r="K640" s="132"/>
      <c r="L640" s="473"/>
      <c r="M640" s="156"/>
      <c r="N640" s="156"/>
      <c r="O640" s="156"/>
      <c r="P640" s="132"/>
      <c r="Q640" s="487"/>
      <c r="R640" s="156"/>
      <c r="S640" s="156"/>
      <c r="T640" s="156"/>
      <c r="U640" s="154"/>
      <c r="V640" s="473"/>
      <c r="W640" s="156"/>
      <c r="X640" s="156"/>
      <c r="Y640" s="156"/>
      <c r="Z640" s="154"/>
      <c r="AA640" s="473"/>
      <c r="AB640" s="156"/>
      <c r="AC640" s="156"/>
      <c r="AD640" s="156"/>
      <c r="AE640" s="154"/>
      <c r="AF640" s="473"/>
      <c r="AG640" s="156"/>
      <c r="AH640" s="156"/>
      <c r="AI640" s="156"/>
      <c r="AJ640" s="154"/>
      <c r="AK640" s="473"/>
      <c r="AL640" s="156"/>
      <c r="AM640" s="156"/>
      <c r="AN640" s="156"/>
      <c r="AO640" s="452"/>
      <c r="AP640" s="452"/>
      <c r="AQ640" s="452"/>
      <c r="AR640" s="452"/>
      <c r="AS640" s="452"/>
      <c r="AT640" s="452"/>
      <c r="AU640" s="452"/>
      <c r="AV640" s="452"/>
      <c r="AW640" s="452"/>
      <c r="AX640" s="452"/>
      <c r="AY640" s="154"/>
      <c r="AZ640" s="473"/>
      <c r="BA640" s="156"/>
      <c r="BB640" s="156"/>
      <c r="BC640" s="156"/>
      <c r="BD640" s="452"/>
      <c r="BE640" s="452"/>
      <c r="BF640" s="452"/>
      <c r="BG640" s="452"/>
      <c r="BH640" s="452"/>
    </row>
    <row r="641">
      <c r="A641" s="154"/>
      <c r="B641" s="473"/>
      <c r="C641" s="156"/>
      <c r="D641" s="156"/>
      <c r="E641" s="156"/>
      <c r="F641" s="154"/>
      <c r="G641" s="473"/>
      <c r="H641" s="156"/>
      <c r="I641" s="156"/>
      <c r="J641" s="156"/>
      <c r="K641" s="132"/>
      <c r="L641" s="473"/>
      <c r="M641" s="156"/>
      <c r="N641" s="156"/>
      <c r="O641" s="156"/>
      <c r="P641" s="132"/>
      <c r="Q641" s="487"/>
      <c r="R641" s="156"/>
      <c r="S641" s="156"/>
      <c r="T641" s="156"/>
      <c r="U641" s="154"/>
      <c r="V641" s="473"/>
      <c r="W641" s="156"/>
      <c r="X641" s="156"/>
      <c r="Y641" s="156"/>
      <c r="Z641" s="154"/>
      <c r="AA641" s="473"/>
      <c r="AB641" s="156"/>
      <c r="AC641" s="156"/>
      <c r="AD641" s="156"/>
      <c r="AE641" s="154"/>
      <c r="AF641" s="473"/>
      <c r="AG641" s="156"/>
      <c r="AH641" s="156"/>
      <c r="AI641" s="156"/>
      <c r="AJ641" s="154"/>
      <c r="AK641" s="473"/>
      <c r="AL641" s="156"/>
      <c r="AM641" s="156"/>
      <c r="AN641" s="156"/>
      <c r="AO641" s="452"/>
      <c r="AP641" s="452"/>
      <c r="AQ641" s="452"/>
      <c r="AR641" s="452"/>
      <c r="AS641" s="452"/>
      <c r="AT641" s="452"/>
      <c r="AU641" s="452"/>
      <c r="AV641" s="452"/>
      <c r="AW641" s="452"/>
      <c r="AX641" s="452"/>
      <c r="AY641" s="154"/>
      <c r="AZ641" s="473"/>
      <c r="BA641" s="156"/>
      <c r="BB641" s="156"/>
      <c r="BC641" s="156"/>
      <c r="BD641" s="452"/>
      <c r="BE641" s="452"/>
      <c r="BF641" s="452"/>
      <c r="BG641" s="452"/>
      <c r="BH641" s="452"/>
    </row>
    <row r="642">
      <c r="A642" s="154"/>
      <c r="B642" s="473"/>
      <c r="C642" s="156"/>
      <c r="D642" s="156"/>
      <c r="E642" s="156"/>
      <c r="F642" s="154"/>
      <c r="G642" s="473"/>
      <c r="H642" s="156"/>
      <c r="I642" s="156"/>
      <c r="J642" s="156"/>
      <c r="K642" s="132"/>
      <c r="L642" s="473"/>
      <c r="M642" s="156"/>
      <c r="N642" s="156"/>
      <c r="O642" s="156"/>
      <c r="P642" s="132"/>
      <c r="Q642" s="487"/>
      <c r="R642" s="156"/>
      <c r="S642" s="156"/>
      <c r="T642" s="156"/>
      <c r="U642" s="154"/>
      <c r="V642" s="473"/>
      <c r="W642" s="156"/>
      <c r="X642" s="156"/>
      <c r="Y642" s="156"/>
      <c r="Z642" s="154"/>
      <c r="AA642" s="473"/>
      <c r="AB642" s="156"/>
      <c r="AC642" s="156"/>
      <c r="AD642" s="156"/>
      <c r="AE642" s="154"/>
      <c r="AF642" s="473"/>
      <c r="AG642" s="156"/>
      <c r="AH642" s="156"/>
      <c r="AI642" s="156"/>
      <c r="AJ642" s="154"/>
      <c r="AK642" s="473"/>
      <c r="AL642" s="156"/>
      <c r="AM642" s="156"/>
      <c r="AN642" s="156"/>
      <c r="AO642" s="452"/>
      <c r="AP642" s="452"/>
      <c r="AQ642" s="452"/>
      <c r="AR642" s="452"/>
      <c r="AS642" s="452"/>
      <c r="AT642" s="452"/>
      <c r="AU642" s="452"/>
      <c r="AV642" s="452"/>
      <c r="AW642" s="452"/>
      <c r="AX642" s="452"/>
      <c r="AY642" s="154"/>
      <c r="AZ642" s="473"/>
      <c r="BA642" s="156"/>
      <c r="BB642" s="156"/>
      <c r="BC642" s="156"/>
      <c r="BD642" s="452"/>
      <c r="BE642" s="452"/>
      <c r="BF642" s="452"/>
      <c r="BG642" s="452"/>
      <c r="BH642" s="452"/>
    </row>
    <row r="643">
      <c r="A643" s="154"/>
      <c r="B643" s="473"/>
      <c r="C643" s="156"/>
      <c r="D643" s="156"/>
      <c r="E643" s="156"/>
      <c r="F643" s="154"/>
      <c r="G643" s="473"/>
      <c r="H643" s="156"/>
      <c r="I643" s="156"/>
      <c r="J643" s="156"/>
      <c r="K643" s="132"/>
      <c r="L643" s="473"/>
      <c r="M643" s="156"/>
      <c r="N643" s="156"/>
      <c r="O643" s="156"/>
      <c r="P643" s="132"/>
      <c r="Q643" s="487"/>
      <c r="R643" s="156"/>
      <c r="S643" s="156"/>
      <c r="T643" s="156"/>
      <c r="U643" s="154"/>
      <c r="V643" s="473"/>
      <c r="W643" s="156"/>
      <c r="X643" s="156"/>
      <c r="Y643" s="156"/>
      <c r="Z643" s="154"/>
      <c r="AA643" s="473"/>
      <c r="AB643" s="156"/>
      <c r="AC643" s="156"/>
      <c r="AD643" s="156"/>
      <c r="AE643" s="154"/>
      <c r="AF643" s="473"/>
      <c r="AG643" s="156"/>
      <c r="AH643" s="156"/>
      <c r="AI643" s="156"/>
      <c r="AJ643" s="154"/>
      <c r="AK643" s="473"/>
      <c r="AL643" s="156"/>
      <c r="AM643" s="156"/>
      <c r="AN643" s="156"/>
      <c r="AO643" s="452"/>
      <c r="AP643" s="452"/>
      <c r="AQ643" s="452"/>
      <c r="AR643" s="452"/>
      <c r="AS643" s="452"/>
      <c r="AT643" s="452"/>
      <c r="AU643" s="452"/>
      <c r="AV643" s="452"/>
      <c r="AW643" s="452"/>
      <c r="AX643" s="452"/>
      <c r="AY643" s="154"/>
      <c r="AZ643" s="473"/>
      <c r="BA643" s="156"/>
      <c r="BB643" s="156"/>
      <c r="BC643" s="156"/>
      <c r="BD643" s="452"/>
      <c r="BE643" s="452"/>
      <c r="BF643" s="452"/>
      <c r="BG643" s="452"/>
      <c r="BH643" s="452"/>
    </row>
    <row r="644">
      <c r="A644" s="154"/>
      <c r="B644" s="473"/>
      <c r="C644" s="156"/>
      <c r="D644" s="156"/>
      <c r="E644" s="156"/>
      <c r="F644" s="154"/>
      <c r="G644" s="473"/>
      <c r="H644" s="156"/>
      <c r="I644" s="156"/>
      <c r="J644" s="156"/>
      <c r="K644" s="132"/>
      <c r="L644" s="473"/>
      <c r="M644" s="156"/>
      <c r="N644" s="156"/>
      <c r="O644" s="156"/>
      <c r="P644" s="132"/>
      <c r="Q644" s="487"/>
      <c r="R644" s="156"/>
      <c r="S644" s="156"/>
      <c r="T644" s="156"/>
      <c r="U644" s="154"/>
      <c r="V644" s="473"/>
      <c r="W644" s="156"/>
      <c r="X644" s="156"/>
      <c r="Y644" s="156"/>
      <c r="Z644" s="154"/>
      <c r="AA644" s="473"/>
      <c r="AB644" s="156"/>
      <c r="AC644" s="156"/>
      <c r="AD644" s="156"/>
      <c r="AE644" s="154"/>
      <c r="AF644" s="473"/>
      <c r="AG644" s="156"/>
      <c r="AH644" s="156"/>
      <c r="AI644" s="156"/>
      <c r="AJ644" s="154"/>
      <c r="AK644" s="473"/>
      <c r="AL644" s="156"/>
      <c r="AM644" s="156"/>
      <c r="AN644" s="156"/>
      <c r="AO644" s="452"/>
      <c r="AP644" s="452"/>
      <c r="AQ644" s="452"/>
      <c r="AR644" s="452"/>
      <c r="AS644" s="452"/>
      <c r="AT644" s="452"/>
      <c r="AU644" s="452"/>
      <c r="AV644" s="452"/>
      <c r="AW644" s="452"/>
      <c r="AX644" s="452"/>
      <c r="AY644" s="154"/>
      <c r="AZ644" s="473"/>
      <c r="BA644" s="156"/>
      <c r="BB644" s="156"/>
      <c r="BC644" s="156"/>
      <c r="BD644" s="452"/>
      <c r="BE644" s="452"/>
      <c r="BF644" s="452"/>
      <c r="BG644" s="452"/>
      <c r="BH644" s="452"/>
    </row>
    <row r="645">
      <c r="A645" s="154"/>
      <c r="B645" s="473"/>
      <c r="C645" s="156"/>
      <c r="D645" s="156"/>
      <c r="E645" s="156"/>
      <c r="F645" s="154"/>
      <c r="G645" s="473"/>
      <c r="H645" s="156"/>
      <c r="I645" s="156"/>
      <c r="J645" s="156"/>
      <c r="K645" s="132"/>
      <c r="L645" s="473"/>
      <c r="M645" s="156"/>
      <c r="N645" s="156"/>
      <c r="O645" s="156"/>
      <c r="P645" s="132"/>
      <c r="Q645" s="487"/>
      <c r="R645" s="156"/>
      <c r="S645" s="156"/>
      <c r="T645" s="156"/>
      <c r="U645" s="154"/>
      <c r="V645" s="473"/>
      <c r="W645" s="156"/>
      <c r="X645" s="156"/>
      <c r="Y645" s="156"/>
      <c r="Z645" s="154"/>
      <c r="AA645" s="473"/>
      <c r="AB645" s="156"/>
      <c r="AC645" s="156"/>
      <c r="AD645" s="156"/>
      <c r="AE645" s="154"/>
      <c r="AF645" s="473"/>
      <c r="AG645" s="156"/>
      <c r="AH645" s="156"/>
      <c r="AI645" s="156"/>
      <c r="AJ645" s="154"/>
      <c r="AK645" s="473"/>
      <c r="AL645" s="156"/>
      <c r="AM645" s="156"/>
      <c r="AN645" s="156"/>
      <c r="AO645" s="452"/>
      <c r="AP645" s="452"/>
      <c r="AQ645" s="452"/>
      <c r="AR645" s="452"/>
      <c r="AS645" s="452"/>
      <c r="AT645" s="452"/>
      <c r="AU645" s="452"/>
      <c r="AV645" s="452"/>
      <c r="AW645" s="452"/>
      <c r="AX645" s="452"/>
      <c r="AY645" s="154"/>
      <c r="AZ645" s="473"/>
      <c r="BA645" s="156"/>
      <c r="BB645" s="156"/>
      <c r="BC645" s="156"/>
      <c r="BD645" s="452"/>
      <c r="BE645" s="452"/>
      <c r="BF645" s="452"/>
      <c r="BG645" s="452"/>
      <c r="BH645" s="452"/>
    </row>
    <row r="646">
      <c r="A646" s="154"/>
      <c r="B646" s="473"/>
      <c r="C646" s="156"/>
      <c r="D646" s="156"/>
      <c r="E646" s="156"/>
      <c r="F646" s="154"/>
      <c r="G646" s="473"/>
      <c r="H646" s="156"/>
      <c r="I646" s="156"/>
      <c r="J646" s="156"/>
      <c r="K646" s="132"/>
      <c r="L646" s="473"/>
      <c r="M646" s="156"/>
      <c r="N646" s="156"/>
      <c r="O646" s="156"/>
      <c r="P646" s="132"/>
      <c r="Q646" s="487"/>
      <c r="R646" s="156"/>
      <c r="S646" s="156"/>
      <c r="T646" s="156"/>
      <c r="U646" s="154"/>
      <c r="V646" s="473"/>
      <c r="W646" s="156"/>
      <c r="X646" s="156"/>
      <c r="Y646" s="156"/>
      <c r="Z646" s="154"/>
      <c r="AA646" s="473"/>
      <c r="AB646" s="156"/>
      <c r="AC646" s="156"/>
      <c r="AD646" s="156"/>
      <c r="AE646" s="154"/>
      <c r="AF646" s="473"/>
      <c r="AG646" s="156"/>
      <c r="AH646" s="156"/>
      <c r="AI646" s="156"/>
      <c r="AJ646" s="154"/>
      <c r="AK646" s="473"/>
      <c r="AL646" s="156"/>
      <c r="AM646" s="156"/>
      <c r="AN646" s="156"/>
      <c r="AO646" s="452"/>
      <c r="AP646" s="452"/>
      <c r="AQ646" s="452"/>
      <c r="AR646" s="452"/>
      <c r="AS646" s="452"/>
      <c r="AT646" s="452"/>
      <c r="AU646" s="452"/>
      <c r="AV646" s="452"/>
      <c r="AW646" s="452"/>
      <c r="AX646" s="452"/>
      <c r="AY646" s="154"/>
      <c r="AZ646" s="473"/>
      <c r="BA646" s="156"/>
      <c r="BB646" s="156"/>
      <c r="BC646" s="156"/>
      <c r="BD646" s="452"/>
      <c r="BE646" s="452"/>
      <c r="BF646" s="452"/>
      <c r="BG646" s="452"/>
      <c r="BH646" s="452"/>
    </row>
    <row r="647">
      <c r="A647" s="154"/>
      <c r="B647" s="473"/>
      <c r="C647" s="156"/>
      <c r="D647" s="156"/>
      <c r="E647" s="156"/>
      <c r="F647" s="154"/>
      <c r="G647" s="473"/>
      <c r="H647" s="156"/>
      <c r="I647" s="156"/>
      <c r="J647" s="156"/>
      <c r="K647" s="132"/>
      <c r="L647" s="473"/>
      <c r="M647" s="156"/>
      <c r="N647" s="156"/>
      <c r="O647" s="156"/>
      <c r="P647" s="132"/>
      <c r="Q647" s="487"/>
      <c r="R647" s="156"/>
      <c r="S647" s="156"/>
      <c r="T647" s="156"/>
      <c r="U647" s="154"/>
      <c r="V647" s="473"/>
      <c r="W647" s="156"/>
      <c r="X647" s="156"/>
      <c r="Y647" s="156"/>
      <c r="Z647" s="154"/>
      <c r="AA647" s="473"/>
      <c r="AB647" s="156"/>
      <c r="AC647" s="156"/>
      <c r="AD647" s="156"/>
      <c r="AE647" s="154"/>
      <c r="AF647" s="473"/>
      <c r="AG647" s="156"/>
      <c r="AH647" s="156"/>
      <c r="AI647" s="156"/>
      <c r="AJ647" s="154"/>
      <c r="AK647" s="473"/>
      <c r="AL647" s="156"/>
      <c r="AM647" s="156"/>
      <c r="AN647" s="156"/>
      <c r="AO647" s="452"/>
      <c r="AP647" s="452"/>
      <c r="AQ647" s="452"/>
      <c r="AR647" s="452"/>
      <c r="AS647" s="452"/>
      <c r="AT647" s="452"/>
      <c r="AU647" s="452"/>
      <c r="AV647" s="452"/>
      <c r="AW647" s="452"/>
      <c r="AX647" s="452"/>
      <c r="AY647" s="154"/>
      <c r="AZ647" s="473"/>
      <c r="BA647" s="156"/>
      <c r="BB647" s="156"/>
      <c r="BC647" s="156"/>
      <c r="BD647" s="452"/>
      <c r="BE647" s="452"/>
      <c r="BF647" s="452"/>
      <c r="BG647" s="452"/>
      <c r="BH647" s="452"/>
    </row>
    <row r="648">
      <c r="A648" s="154"/>
      <c r="B648" s="473"/>
      <c r="C648" s="156"/>
      <c r="D648" s="156"/>
      <c r="E648" s="156"/>
      <c r="F648" s="154"/>
      <c r="G648" s="473"/>
      <c r="H648" s="156"/>
      <c r="I648" s="156"/>
      <c r="J648" s="156"/>
      <c r="K648" s="132"/>
      <c r="L648" s="473"/>
      <c r="M648" s="156"/>
      <c r="N648" s="156"/>
      <c r="O648" s="156"/>
      <c r="P648" s="132"/>
      <c r="Q648" s="487"/>
      <c r="R648" s="156"/>
      <c r="S648" s="156"/>
      <c r="T648" s="156"/>
      <c r="U648" s="154"/>
      <c r="V648" s="473"/>
      <c r="W648" s="156"/>
      <c r="X648" s="156"/>
      <c r="Y648" s="156"/>
      <c r="Z648" s="154"/>
      <c r="AA648" s="473"/>
      <c r="AB648" s="156"/>
      <c r="AC648" s="156"/>
      <c r="AD648" s="156"/>
      <c r="AE648" s="154"/>
      <c r="AF648" s="473"/>
      <c r="AG648" s="156"/>
      <c r="AH648" s="156"/>
      <c r="AI648" s="156"/>
      <c r="AJ648" s="154"/>
      <c r="AK648" s="473"/>
      <c r="AL648" s="156"/>
      <c r="AM648" s="156"/>
      <c r="AN648" s="156"/>
      <c r="AO648" s="452"/>
      <c r="AP648" s="452"/>
      <c r="AQ648" s="452"/>
      <c r="AR648" s="452"/>
      <c r="AS648" s="452"/>
      <c r="AT648" s="452"/>
      <c r="AU648" s="452"/>
      <c r="AV648" s="452"/>
      <c r="AW648" s="452"/>
      <c r="AX648" s="452"/>
      <c r="AY648" s="154"/>
      <c r="AZ648" s="473"/>
      <c r="BA648" s="156"/>
      <c r="BB648" s="156"/>
      <c r="BC648" s="156"/>
      <c r="BD648" s="452"/>
      <c r="BE648" s="452"/>
      <c r="BF648" s="452"/>
      <c r="BG648" s="452"/>
      <c r="BH648" s="452"/>
    </row>
    <row r="649">
      <c r="A649" s="154"/>
      <c r="B649" s="473"/>
      <c r="C649" s="156"/>
      <c r="D649" s="156"/>
      <c r="E649" s="156"/>
      <c r="F649" s="154"/>
      <c r="G649" s="473"/>
      <c r="H649" s="156"/>
      <c r="I649" s="156"/>
      <c r="J649" s="156"/>
      <c r="K649" s="132"/>
      <c r="L649" s="473"/>
      <c r="M649" s="156"/>
      <c r="N649" s="156"/>
      <c r="O649" s="156"/>
      <c r="P649" s="132"/>
      <c r="Q649" s="487"/>
      <c r="R649" s="156"/>
      <c r="S649" s="156"/>
      <c r="T649" s="156"/>
      <c r="U649" s="154"/>
      <c r="V649" s="473"/>
      <c r="W649" s="156"/>
      <c r="X649" s="156"/>
      <c r="Y649" s="156"/>
      <c r="Z649" s="154"/>
      <c r="AA649" s="473"/>
      <c r="AB649" s="156"/>
      <c r="AC649" s="156"/>
      <c r="AD649" s="156"/>
      <c r="AE649" s="154"/>
      <c r="AF649" s="473"/>
      <c r="AG649" s="156"/>
      <c r="AH649" s="156"/>
      <c r="AI649" s="156"/>
      <c r="AJ649" s="154"/>
      <c r="AK649" s="473"/>
      <c r="AL649" s="156"/>
      <c r="AM649" s="156"/>
      <c r="AN649" s="156"/>
      <c r="AO649" s="452"/>
      <c r="AP649" s="452"/>
      <c r="AQ649" s="452"/>
      <c r="AR649" s="452"/>
      <c r="AS649" s="452"/>
      <c r="AT649" s="452"/>
      <c r="AU649" s="452"/>
      <c r="AV649" s="452"/>
      <c r="AW649" s="452"/>
      <c r="AX649" s="452"/>
      <c r="AY649" s="154"/>
      <c r="AZ649" s="473"/>
      <c r="BA649" s="156"/>
      <c r="BB649" s="156"/>
      <c r="BC649" s="156"/>
      <c r="BD649" s="452"/>
      <c r="BE649" s="452"/>
      <c r="BF649" s="452"/>
      <c r="BG649" s="452"/>
      <c r="BH649" s="452"/>
    </row>
    <row r="650">
      <c r="A650" s="154"/>
      <c r="B650" s="473"/>
      <c r="C650" s="156"/>
      <c r="D650" s="156"/>
      <c r="E650" s="156"/>
      <c r="F650" s="154"/>
      <c r="G650" s="473"/>
      <c r="H650" s="156"/>
      <c r="I650" s="156"/>
      <c r="J650" s="156"/>
      <c r="K650" s="132"/>
      <c r="L650" s="473"/>
      <c r="M650" s="156"/>
      <c r="N650" s="156"/>
      <c r="O650" s="156"/>
      <c r="P650" s="132"/>
      <c r="Q650" s="487"/>
      <c r="R650" s="156"/>
      <c r="S650" s="156"/>
      <c r="T650" s="156"/>
      <c r="U650" s="154"/>
      <c r="V650" s="473"/>
      <c r="W650" s="156"/>
      <c r="X650" s="156"/>
      <c r="Y650" s="156"/>
      <c r="Z650" s="154"/>
      <c r="AA650" s="473"/>
      <c r="AB650" s="156"/>
      <c r="AC650" s="156"/>
      <c r="AD650" s="156"/>
      <c r="AE650" s="154"/>
      <c r="AF650" s="473"/>
      <c r="AG650" s="156"/>
      <c r="AH650" s="156"/>
      <c r="AI650" s="156"/>
      <c r="AJ650" s="154"/>
      <c r="AK650" s="473"/>
      <c r="AL650" s="156"/>
      <c r="AM650" s="156"/>
      <c r="AN650" s="156"/>
      <c r="AO650" s="452"/>
      <c r="AP650" s="452"/>
      <c r="AQ650" s="452"/>
      <c r="AR650" s="452"/>
      <c r="AS650" s="452"/>
      <c r="AT650" s="452"/>
      <c r="AU650" s="452"/>
      <c r="AV650" s="452"/>
      <c r="AW650" s="452"/>
      <c r="AX650" s="452"/>
      <c r="AY650" s="154"/>
      <c r="AZ650" s="473"/>
      <c r="BA650" s="156"/>
      <c r="BB650" s="156"/>
      <c r="BC650" s="156"/>
      <c r="BD650" s="452"/>
      <c r="BE650" s="452"/>
      <c r="BF650" s="452"/>
      <c r="BG650" s="452"/>
      <c r="BH650" s="452"/>
    </row>
    <row r="651">
      <c r="A651" s="154"/>
      <c r="B651" s="473"/>
      <c r="C651" s="156"/>
      <c r="D651" s="156"/>
      <c r="E651" s="156"/>
      <c r="F651" s="154"/>
      <c r="G651" s="473"/>
      <c r="H651" s="156"/>
      <c r="I651" s="156"/>
      <c r="J651" s="156"/>
      <c r="K651" s="132"/>
      <c r="L651" s="473"/>
      <c r="M651" s="156"/>
      <c r="N651" s="156"/>
      <c r="O651" s="156"/>
      <c r="P651" s="132"/>
      <c r="Q651" s="487"/>
      <c r="R651" s="156"/>
      <c r="S651" s="156"/>
      <c r="T651" s="156"/>
      <c r="U651" s="154"/>
      <c r="V651" s="473"/>
      <c r="W651" s="156"/>
      <c r="X651" s="156"/>
      <c r="Y651" s="156"/>
      <c r="Z651" s="154"/>
      <c r="AA651" s="473"/>
      <c r="AB651" s="156"/>
      <c r="AC651" s="156"/>
      <c r="AD651" s="156"/>
      <c r="AE651" s="154"/>
      <c r="AF651" s="473"/>
      <c r="AG651" s="156"/>
      <c r="AH651" s="156"/>
      <c r="AI651" s="156"/>
      <c r="AJ651" s="154"/>
      <c r="AK651" s="473"/>
      <c r="AL651" s="156"/>
      <c r="AM651" s="156"/>
      <c r="AN651" s="156"/>
      <c r="AO651" s="452"/>
      <c r="AP651" s="452"/>
      <c r="AQ651" s="452"/>
      <c r="AR651" s="452"/>
      <c r="AS651" s="452"/>
      <c r="AT651" s="452"/>
      <c r="AU651" s="452"/>
      <c r="AV651" s="452"/>
      <c r="AW651" s="452"/>
      <c r="AX651" s="452"/>
      <c r="AY651" s="154"/>
      <c r="AZ651" s="473"/>
      <c r="BA651" s="156"/>
      <c r="BB651" s="156"/>
      <c r="BC651" s="156"/>
      <c r="BD651" s="452"/>
      <c r="BE651" s="452"/>
      <c r="BF651" s="452"/>
      <c r="BG651" s="452"/>
      <c r="BH651" s="452"/>
    </row>
    <row r="652">
      <c r="A652" s="154"/>
      <c r="B652" s="473"/>
      <c r="C652" s="156"/>
      <c r="D652" s="156"/>
      <c r="E652" s="156"/>
      <c r="F652" s="154"/>
      <c r="G652" s="473"/>
      <c r="H652" s="156"/>
      <c r="I652" s="156"/>
      <c r="J652" s="156"/>
      <c r="K652" s="132"/>
      <c r="L652" s="473"/>
      <c r="M652" s="156"/>
      <c r="N652" s="156"/>
      <c r="O652" s="156"/>
      <c r="P652" s="132"/>
      <c r="Q652" s="487"/>
      <c r="R652" s="156"/>
      <c r="S652" s="156"/>
      <c r="T652" s="156"/>
      <c r="U652" s="154"/>
      <c r="V652" s="473"/>
      <c r="W652" s="156"/>
      <c r="X652" s="156"/>
      <c r="Y652" s="156"/>
      <c r="Z652" s="154"/>
      <c r="AA652" s="473"/>
      <c r="AB652" s="156"/>
      <c r="AC652" s="156"/>
      <c r="AD652" s="156"/>
      <c r="AE652" s="154"/>
      <c r="AF652" s="473"/>
      <c r="AG652" s="156"/>
      <c r="AH652" s="156"/>
      <c r="AI652" s="156"/>
      <c r="AJ652" s="154"/>
      <c r="AK652" s="473"/>
      <c r="AL652" s="156"/>
      <c r="AM652" s="156"/>
      <c r="AN652" s="156"/>
      <c r="AO652" s="452"/>
      <c r="AP652" s="452"/>
      <c r="AQ652" s="452"/>
      <c r="AR652" s="452"/>
      <c r="AS652" s="452"/>
      <c r="AT652" s="452"/>
      <c r="AU652" s="452"/>
      <c r="AV652" s="452"/>
      <c r="AW652" s="452"/>
      <c r="AX652" s="452"/>
      <c r="AY652" s="154"/>
      <c r="AZ652" s="473"/>
      <c r="BA652" s="156"/>
      <c r="BB652" s="156"/>
      <c r="BC652" s="156"/>
      <c r="BD652" s="452"/>
      <c r="BE652" s="452"/>
      <c r="BF652" s="452"/>
      <c r="BG652" s="452"/>
      <c r="BH652" s="452"/>
    </row>
    <row r="653">
      <c r="A653" s="154"/>
      <c r="B653" s="473"/>
      <c r="C653" s="156"/>
      <c r="D653" s="156"/>
      <c r="E653" s="156"/>
      <c r="F653" s="154"/>
      <c r="G653" s="473"/>
      <c r="H653" s="156"/>
      <c r="I653" s="156"/>
      <c r="J653" s="156"/>
      <c r="K653" s="132"/>
      <c r="L653" s="473"/>
      <c r="M653" s="156"/>
      <c r="N653" s="156"/>
      <c r="O653" s="156"/>
      <c r="P653" s="132"/>
      <c r="Q653" s="487"/>
      <c r="R653" s="156"/>
      <c r="S653" s="156"/>
      <c r="T653" s="156"/>
      <c r="U653" s="154"/>
      <c r="V653" s="473"/>
      <c r="W653" s="156"/>
      <c r="X653" s="156"/>
      <c r="Y653" s="156"/>
      <c r="Z653" s="154"/>
      <c r="AA653" s="473"/>
      <c r="AB653" s="156"/>
      <c r="AC653" s="156"/>
      <c r="AD653" s="156"/>
      <c r="AE653" s="154"/>
      <c r="AF653" s="473"/>
      <c r="AG653" s="156"/>
      <c r="AH653" s="156"/>
      <c r="AI653" s="156"/>
      <c r="AJ653" s="154"/>
      <c r="AK653" s="473"/>
      <c r="AL653" s="156"/>
      <c r="AM653" s="156"/>
      <c r="AN653" s="156"/>
      <c r="AO653" s="452"/>
      <c r="AP653" s="452"/>
      <c r="AQ653" s="452"/>
      <c r="AR653" s="452"/>
      <c r="AS653" s="452"/>
      <c r="AT653" s="452"/>
      <c r="AU653" s="452"/>
      <c r="AV653" s="452"/>
      <c r="AW653" s="452"/>
      <c r="AX653" s="452"/>
      <c r="AY653" s="154"/>
      <c r="AZ653" s="473"/>
      <c r="BA653" s="156"/>
      <c r="BB653" s="156"/>
      <c r="BC653" s="156"/>
      <c r="BD653" s="452"/>
      <c r="BE653" s="452"/>
      <c r="BF653" s="452"/>
      <c r="BG653" s="452"/>
      <c r="BH653" s="452"/>
    </row>
    <row r="654">
      <c r="A654" s="154"/>
      <c r="B654" s="473"/>
      <c r="C654" s="156"/>
      <c r="D654" s="156"/>
      <c r="E654" s="156"/>
      <c r="F654" s="154"/>
      <c r="G654" s="473"/>
      <c r="H654" s="156"/>
      <c r="I654" s="156"/>
      <c r="J654" s="156"/>
      <c r="K654" s="132"/>
      <c r="L654" s="473"/>
      <c r="M654" s="156"/>
      <c r="N654" s="156"/>
      <c r="O654" s="156"/>
      <c r="P654" s="132"/>
      <c r="Q654" s="487"/>
      <c r="R654" s="156"/>
      <c r="S654" s="156"/>
      <c r="T654" s="156"/>
      <c r="U654" s="154"/>
      <c r="V654" s="473"/>
      <c r="W654" s="156"/>
      <c r="X654" s="156"/>
      <c r="Y654" s="156"/>
      <c r="Z654" s="154"/>
      <c r="AA654" s="473"/>
      <c r="AB654" s="156"/>
      <c r="AC654" s="156"/>
      <c r="AD654" s="156"/>
      <c r="AE654" s="154"/>
      <c r="AF654" s="473"/>
      <c r="AG654" s="156"/>
      <c r="AH654" s="156"/>
      <c r="AI654" s="156"/>
      <c r="AJ654" s="154"/>
      <c r="AK654" s="473"/>
      <c r="AL654" s="156"/>
      <c r="AM654" s="156"/>
      <c r="AN654" s="156"/>
      <c r="AO654" s="452"/>
      <c r="AP654" s="452"/>
      <c r="AQ654" s="452"/>
      <c r="AR654" s="452"/>
      <c r="AS654" s="452"/>
      <c r="AT654" s="452"/>
      <c r="AU654" s="452"/>
      <c r="AV654" s="452"/>
      <c r="AW654" s="452"/>
      <c r="AX654" s="452"/>
      <c r="AY654" s="154"/>
      <c r="AZ654" s="473"/>
      <c r="BA654" s="156"/>
      <c r="BB654" s="156"/>
      <c r="BC654" s="156"/>
      <c r="BD654" s="452"/>
      <c r="BE654" s="452"/>
      <c r="BF654" s="452"/>
      <c r="BG654" s="452"/>
      <c r="BH654" s="452"/>
    </row>
    <row r="655">
      <c r="A655" s="154"/>
      <c r="B655" s="473"/>
      <c r="C655" s="156"/>
      <c r="D655" s="156"/>
      <c r="E655" s="156"/>
      <c r="F655" s="154"/>
      <c r="G655" s="473"/>
      <c r="H655" s="156"/>
      <c r="I655" s="156"/>
      <c r="J655" s="156"/>
      <c r="K655" s="132"/>
      <c r="L655" s="473"/>
      <c r="M655" s="156"/>
      <c r="N655" s="156"/>
      <c r="O655" s="156"/>
      <c r="P655" s="132"/>
      <c r="Q655" s="487"/>
      <c r="R655" s="156"/>
      <c r="S655" s="156"/>
      <c r="T655" s="156"/>
      <c r="U655" s="154"/>
      <c r="V655" s="473"/>
      <c r="W655" s="156"/>
      <c r="X655" s="156"/>
      <c r="Y655" s="156"/>
      <c r="Z655" s="154"/>
      <c r="AA655" s="473"/>
      <c r="AB655" s="156"/>
      <c r="AC655" s="156"/>
      <c r="AD655" s="156"/>
      <c r="AE655" s="154"/>
      <c r="AF655" s="473"/>
      <c r="AG655" s="156"/>
      <c r="AH655" s="156"/>
      <c r="AI655" s="156"/>
      <c r="AJ655" s="154"/>
      <c r="AK655" s="473"/>
      <c r="AL655" s="156"/>
      <c r="AM655" s="156"/>
      <c r="AN655" s="156"/>
      <c r="AO655" s="452"/>
      <c r="AP655" s="452"/>
      <c r="AQ655" s="452"/>
      <c r="AR655" s="452"/>
      <c r="AS655" s="452"/>
      <c r="AT655" s="452"/>
      <c r="AU655" s="452"/>
      <c r="AV655" s="452"/>
      <c r="AW655" s="452"/>
      <c r="AX655" s="452"/>
      <c r="AY655" s="154"/>
      <c r="AZ655" s="473"/>
      <c r="BA655" s="156"/>
      <c r="BB655" s="156"/>
      <c r="BC655" s="156"/>
      <c r="BD655" s="452"/>
      <c r="BE655" s="452"/>
      <c r="BF655" s="452"/>
      <c r="BG655" s="452"/>
      <c r="BH655" s="452"/>
    </row>
    <row r="656">
      <c r="A656" s="154"/>
      <c r="B656" s="473"/>
      <c r="C656" s="156"/>
      <c r="D656" s="156"/>
      <c r="E656" s="156"/>
      <c r="F656" s="154"/>
      <c r="G656" s="473"/>
      <c r="H656" s="156"/>
      <c r="I656" s="156"/>
      <c r="J656" s="156"/>
      <c r="K656" s="132"/>
      <c r="L656" s="473"/>
      <c r="M656" s="156"/>
      <c r="N656" s="156"/>
      <c r="O656" s="156"/>
      <c r="P656" s="132"/>
      <c r="Q656" s="487"/>
      <c r="R656" s="156"/>
      <c r="S656" s="156"/>
      <c r="T656" s="156"/>
      <c r="U656" s="154"/>
      <c r="V656" s="473"/>
      <c r="W656" s="156"/>
      <c r="X656" s="156"/>
      <c r="Y656" s="156"/>
      <c r="Z656" s="154"/>
      <c r="AA656" s="473"/>
      <c r="AB656" s="156"/>
      <c r="AC656" s="156"/>
      <c r="AD656" s="156"/>
      <c r="AE656" s="154"/>
      <c r="AF656" s="473"/>
      <c r="AG656" s="156"/>
      <c r="AH656" s="156"/>
      <c r="AI656" s="156"/>
      <c r="AJ656" s="154"/>
      <c r="AK656" s="473"/>
      <c r="AL656" s="156"/>
      <c r="AM656" s="156"/>
      <c r="AN656" s="156"/>
      <c r="AO656" s="452"/>
      <c r="AP656" s="452"/>
      <c r="AQ656" s="452"/>
      <c r="AR656" s="452"/>
      <c r="AS656" s="452"/>
      <c r="AT656" s="452"/>
      <c r="AU656" s="452"/>
      <c r="AV656" s="452"/>
      <c r="AW656" s="452"/>
      <c r="AX656" s="452"/>
      <c r="AY656" s="154"/>
      <c r="AZ656" s="473"/>
      <c r="BA656" s="156"/>
      <c r="BB656" s="156"/>
      <c r="BC656" s="156"/>
      <c r="BD656" s="452"/>
      <c r="BE656" s="452"/>
      <c r="BF656" s="452"/>
      <c r="BG656" s="452"/>
      <c r="BH656" s="452"/>
    </row>
    <row r="657">
      <c r="A657" s="154"/>
      <c r="B657" s="473"/>
      <c r="C657" s="156"/>
      <c r="D657" s="156"/>
      <c r="E657" s="156"/>
      <c r="F657" s="154"/>
      <c r="G657" s="473"/>
      <c r="H657" s="156"/>
      <c r="I657" s="156"/>
      <c r="J657" s="156"/>
      <c r="K657" s="132"/>
      <c r="L657" s="473"/>
      <c r="M657" s="156"/>
      <c r="N657" s="156"/>
      <c r="O657" s="156"/>
      <c r="P657" s="132"/>
      <c r="Q657" s="487"/>
      <c r="R657" s="156"/>
      <c r="S657" s="156"/>
      <c r="T657" s="156"/>
      <c r="U657" s="154"/>
      <c r="V657" s="473"/>
      <c r="W657" s="156"/>
      <c r="X657" s="156"/>
      <c r="Y657" s="156"/>
      <c r="Z657" s="154"/>
      <c r="AA657" s="473"/>
      <c r="AB657" s="156"/>
      <c r="AC657" s="156"/>
      <c r="AD657" s="156"/>
      <c r="AE657" s="154"/>
      <c r="AF657" s="473"/>
      <c r="AG657" s="156"/>
      <c r="AH657" s="156"/>
      <c r="AI657" s="156"/>
      <c r="AJ657" s="154"/>
      <c r="AK657" s="473"/>
      <c r="AL657" s="156"/>
      <c r="AM657" s="156"/>
      <c r="AN657" s="156"/>
      <c r="AO657" s="452"/>
      <c r="AP657" s="452"/>
      <c r="AQ657" s="452"/>
      <c r="AR657" s="452"/>
      <c r="AS657" s="452"/>
      <c r="AT657" s="452"/>
      <c r="AU657" s="452"/>
      <c r="AV657" s="452"/>
      <c r="AW657" s="452"/>
      <c r="AX657" s="452"/>
      <c r="AY657" s="154"/>
      <c r="AZ657" s="473"/>
      <c r="BA657" s="156"/>
      <c r="BB657" s="156"/>
      <c r="BC657" s="156"/>
      <c r="BD657" s="452"/>
      <c r="BE657" s="452"/>
      <c r="BF657" s="452"/>
      <c r="BG657" s="452"/>
      <c r="BH657" s="452"/>
    </row>
    <row r="658">
      <c r="A658" s="154"/>
      <c r="B658" s="473"/>
      <c r="C658" s="156"/>
      <c r="D658" s="156"/>
      <c r="E658" s="156"/>
      <c r="F658" s="154"/>
      <c r="G658" s="473"/>
      <c r="H658" s="156"/>
      <c r="I658" s="156"/>
      <c r="J658" s="156"/>
      <c r="K658" s="132"/>
      <c r="L658" s="473"/>
      <c r="M658" s="156"/>
      <c r="N658" s="156"/>
      <c r="O658" s="156"/>
      <c r="P658" s="132"/>
      <c r="Q658" s="487"/>
      <c r="R658" s="156"/>
      <c r="S658" s="156"/>
      <c r="T658" s="156"/>
      <c r="U658" s="154"/>
      <c r="V658" s="473"/>
      <c r="W658" s="156"/>
      <c r="X658" s="156"/>
      <c r="Y658" s="156"/>
      <c r="Z658" s="154"/>
      <c r="AA658" s="473"/>
      <c r="AB658" s="156"/>
      <c r="AC658" s="156"/>
      <c r="AD658" s="156"/>
      <c r="AE658" s="154"/>
      <c r="AF658" s="473"/>
      <c r="AG658" s="156"/>
      <c r="AH658" s="156"/>
      <c r="AI658" s="156"/>
      <c r="AJ658" s="154"/>
      <c r="AK658" s="473"/>
      <c r="AL658" s="156"/>
      <c r="AM658" s="156"/>
      <c r="AN658" s="156"/>
      <c r="AO658" s="452"/>
      <c r="AP658" s="452"/>
      <c r="AQ658" s="452"/>
      <c r="AR658" s="452"/>
      <c r="AS658" s="452"/>
      <c r="AT658" s="452"/>
      <c r="AU658" s="452"/>
      <c r="AV658" s="452"/>
      <c r="AW658" s="452"/>
      <c r="AX658" s="452"/>
      <c r="AY658" s="154"/>
      <c r="AZ658" s="473"/>
      <c r="BA658" s="156"/>
      <c r="BB658" s="156"/>
      <c r="BC658" s="156"/>
      <c r="BD658" s="452"/>
      <c r="BE658" s="452"/>
      <c r="BF658" s="452"/>
      <c r="BG658" s="452"/>
      <c r="BH658" s="452"/>
    </row>
    <row r="659">
      <c r="A659" s="154"/>
      <c r="B659" s="473"/>
      <c r="C659" s="156"/>
      <c r="D659" s="156"/>
      <c r="E659" s="156"/>
      <c r="F659" s="154"/>
      <c r="G659" s="473"/>
      <c r="H659" s="156"/>
      <c r="I659" s="156"/>
      <c r="J659" s="156"/>
      <c r="K659" s="132"/>
      <c r="L659" s="473"/>
      <c r="M659" s="156"/>
      <c r="N659" s="156"/>
      <c r="O659" s="156"/>
      <c r="P659" s="132"/>
      <c r="Q659" s="487"/>
      <c r="R659" s="156"/>
      <c r="S659" s="156"/>
      <c r="T659" s="156"/>
      <c r="U659" s="154"/>
      <c r="V659" s="473"/>
      <c r="W659" s="156"/>
      <c r="X659" s="156"/>
      <c r="Y659" s="156"/>
      <c r="Z659" s="154"/>
      <c r="AA659" s="473"/>
      <c r="AB659" s="156"/>
      <c r="AC659" s="156"/>
      <c r="AD659" s="156"/>
      <c r="AE659" s="154"/>
      <c r="AF659" s="473"/>
      <c r="AG659" s="156"/>
      <c r="AH659" s="156"/>
      <c r="AI659" s="156"/>
      <c r="AJ659" s="154"/>
      <c r="AK659" s="473"/>
      <c r="AL659" s="156"/>
      <c r="AM659" s="156"/>
      <c r="AN659" s="156"/>
      <c r="AO659" s="452"/>
      <c r="AP659" s="452"/>
      <c r="AQ659" s="452"/>
      <c r="AR659" s="452"/>
      <c r="AS659" s="452"/>
      <c r="AT659" s="452"/>
      <c r="AU659" s="452"/>
      <c r="AV659" s="452"/>
      <c r="AW659" s="452"/>
      <c r="AX659" s="452"/>
      <c r="AY659" s="154"/>
      <c r="AZ659" s="473"/>
      <c r="BA659" s="156"/>
      <c r="BB659" s="156"/>
      <c r="BC659" s="156"/>
      <c r="BD659" s="452"/>
      <c r="BE659" s="452"/>
      <c r="BF659" s="452"/>
      <c r="BG659" s="452"/>
      <c r="BH659" s="452"/>
    </row>
    <row r="660">
      <c r="A660" s="154"/>
      <c r="B660" s="473"/>
      <c r="C660" s="156"/>
      <c r="D660" s="156"/>
      <c r="E660" s="156"/>
      <c r="F660" s="154"/>
      <c r="G660" s="473"/>
      <c r="H660" s="156"/>
      <c r="I660" s="156"/>
      <c r="J660" s="156"/>
      <c r="K660" s="132"/>
      <c r="L660" s="473"/>
      <c r="M660" s="156"/>
      <c r="N660" s="156"/>
      <c r="O660" s="156"/>
      <c r="P660" s="132"/>
      <c r="Q660" s="487"/>
      <c r="R660" s="156"/>
      <c r="S660" s="156"/>
      <c r="T660" s="156"/>
      <c r="U660" s="154"/>
      <c r="V660" s="473"/>
      <c r="W660" s="156"/>
      <c r="X660" s="156"/>
      <c r="Y660" s="156"/>
      <c r="Z660" s="154"/>
      <c r="AA660" s="473"/>
      <c r="AB660" s="156"/>
      <c r="AC660" s="156"/>
      <c r="AD660" s="156"/>
      <c r="AE660" s="154"/>
      <c r="AF660" s="473"/>
      <c r="AG660" s="156"/>
      <c r="AH660" s="156"/>
      <c r="AI660" s="156"/>
      <c r="AJ660" s="154"/>
      <c r="AK660" s="473"/>
      <c r="AL660" s="156"/>
      <c r="AM660" s="156"/>
      <c r="AN660" s="156"/>
      <c r="AO660" s="452"/>
      <c r="AP660" s="452"/>
      <c r="AQ660" s="452"/>
      <c r="AR660" s="452"/>
      <c r="AS660" s="452"/>
      <c r="AT660" s="452"/>
      <c r="AU660" s="452"/>
      <c r="AV660" s="452"/>
      <c r="AW660" s="452"/>
      <c r="AX660" s="452"/>
      <c r="AY660" s="154"/>
      <c r="AZ660" s="473"/>
      <c r="BA660" s="156"/>
      <c r="BB660" s="156"/>
      <c r="BC660" s="156"/>
      <c r="BD660" s="452"/>
      <c r="BE660" s="452"/>
      <c r="BF660" s="452"/>
      <c r="BG660" s="452"/>
      <c r="BH660" s="452"/>
    </row>
    <row r="661">
      <c r="A661" s="154"/>
      <c r="B661" s="473"/>
      <c r="C661" s="156"/>
      <c r="D661" s="156"/>
      <c r="E661" s="156"/>
      <c r="F661" s="154"/>
      <c r="G661" s="473"/>
      <c r="H661" s="156"/>
      <c r="I661" s="156"/>
      <c r="J661" s="156"/>
      <c r="K661" s="132"/>
      <c r="L661" s="473"/>
      <c r="M661" s="156"/>
      <c r="N661" s="156"/>
      <c r="O661" s="156"/>
      <c r="P661" s="132"/>
      <c r="Q661" s="487"/>
      <c r="R661" s="156"/>
      <c r="S661" s="156"/>
      <c r="T661" s="156"/>
      <c r="U661" s="154"/>
      <c r="V661" s="473"/>
      <c r="W661" s="156"/>
      <c r="X661" s="156"/>
      <c r="Y661" s="156"/>
      <c r="Z661" s="154"/>
      <c r="AA661" s="473"/>
      <c r="AB661" s="156"/>
      <c r="AC661" s="156"/>
      <c r="AD661" s="156"/>
      <c r="AE661" s="154"/>
      <c r="AF661" s="473"/>
      <c r="AG661" s="156"/>
      <c r="AH661" s="156"/>
      <c r="AI661" s="156"/>
      <c r="AJ661" s="154"/>
      <c r="AK661" s="473"/>
      <c r="AL661" s="156"/>
      <c r="AM661" s="156"/>
      <c r="AN661" s="156"/>
      <c r="AO661" s="452"/>
      <c r="AP661" s="452"/>
      <c r="AQ661" s="452"/>
      <c r="AR661" s="452"/>
      <c r="AS661" s="452"/>
      <c r="AT661" s="452"/>
      <c r="AU661" s="452"/>
      <c r="AV661" s="452"/>
      <c r="AW661" s="452"/>
      <c r="AX661" s="452"/>
      <c r="AY661" s="154"/>
      <c r="AZ661" s="473"/>
      <c r="BA661" s="156"/>
      <c r="BB661" s="156"/>
      <c r="BC661" s="156"/>
      <c r="BD661" s="452"/>
      <c r="BE661" s="452"/>
      <c r="BF661" s="452"/>
      <c r="BG661" s="452"/>
      <c r="BH661" s="452"/>
    </row>
    <row r="662">
      <c r="A662" s="154"/>
      <c r="B662" s="473"/>
      <c r="C662" s="156"/>
      <c r="D662" s="156"/>
      <c r="E662" s="156"/>
      <c r="F662" s="154"/>
      <c r="G662" s="473"/>
      <c r="H662" s="156"/>
      <c r="I662" s="156"/>
      <c r="J662" s="156"/>
      <c r="K662" s="132"/>
      <c r="L662" s="473"/>
      <c r="M662" s="156"/>
      <c r="N662" s="156"/>
      <c r="O662" s="156"/>
      <c r="P662" s="132"/>
      <c r="Q662" s="487"/>
      <c r="R662" s="156"/>
      <c r="S662" s="156"/>
      <c r="T662" s="156"/>
      <c r="U662" s="154"/>
      <c r="V662" s="473"/>
      <c r="W662" s="156"/>
      <c r="X662" s="156"/>
      <c r="Y662" s="156"/>
      <c r="Z662" s="154"/>
      <c r="AA662" s="473"/>
      <c r="AB662" s="156"/>
      <c r="AC662" s="156"/>
      <c r="AD662" s="156"/>
      <c r="AE662" s="154"/>
      <c r="AF662" s="473"/>
      <c r="AG662" s="156"/>
      <c r="AH662" s="156"/>
      <c r="AI662" s="156"/>
      <c r="AJ662" s="154"/>
      <c r="AK662" s="473"/>
      <c r="AL662" s="156"/>
      <c r="AM662" s="156"/>
      <c r="AN662" s="156"/>
      <c r="AO662" s="452"/>
      <c r="AP662" s="452"/>
      <c r="AQ662" s="452"/>
      <c r="AR662" s="452"/>
      <c r="AS662" s="452"/>
      <c r="AT662" s="452"/>
      <c r="AU662" s="452"/>
      <c r="AV662" s="452"/>
      <c r="AW662" s="452"/>
      <c r="AX662" s="452"/>
      <c r="AY662" s="154"/>
      <c r="AZ662" s="473"/>
      <c r="BA662" s="156"/>
      <c r="BB662" s="156"/>
      <c r="BC662" s="156"/>
      <c r="BD662" s="452"/>
      <c r="BE662" s="452"/>
      <c r="BF662" s="452"/>
      <c r="BG662" s="452"/>
      <c r="BH662" s="452"/>
    </row>
    <row r="663">
      <c r="A663" s="154"/>
      <c r="B663" s="473"/>
      <c r="C663" s="156"/>
      <c r="D663" s="156"/>
      <c r="E663" s="156"/>
      <c r="F663" s="154"/>
      <c r="G663" s="473"/>
      <c r="H663" s="156"/>
      <c r="I663" s="156"/>
      <c r="J663" s="156"/>
      <c r="K663" s="132"/>
      <c r="L663" s="473"/>
      <c r="M663" s="156"/>
      <c r="N663" s="156"/>
      <c r="O663" s="156"/>
      <c r="P663" s="132"/>
      <c r="Q663" s="487"/>
      <c r="R663" s="156"/>
      <c r="S663" s="156"/>
      <c r="T663" s="156"/>
      <c r="U663" s="154"/>
      <c r="V663" s="473"/>
      <c r="W663" s="156"/>
      <c r="X663" s="156"/>
      <c r="Y663" s="156"/>
      <c r="Z663" s="154"/>
      <c r="AA663" s="473"/>
      <c r="AB663" s="156"/>
      <c r="AC663" s="156"/>
      <c r="AD663" s="156"/>
      <c r="AE663" s="154"/>
      <c r="AF663" s="473"/>
      <c r="AG663" s="156"/>
      <c r="AH663" s="156"/>
      <c r="AI663" s="156"/>
      <c r="AJ663" s="154"/>
      <c r="AK663" s="473"/>
      <c r="AL663" s="156"/>
      <c r="AM663" s="156"/>
      <c r="AN663" s="156"/>
      <c r="AO663" s="452"/>
      <c r="AP663" s="452"/>
      <c r="AQ663" s="452"/>
      <c r="AR663" s="452"/>
      <c r="AS663" s="452"/>
      <c r="AT663" s="452"/>
      <c r="AU663" s="452"/>
      <c r="AV663" s="452"/>
      <c r="AW663" s="452"/>
      <c r="AX663" s="452"/>
      <c r="AY663" s="154"/>
      <c r="AZ663" s="473"/>
      <c r="BA663" s="156"/>
      <c r="BB663" s="156"/>
      <c r="BC663" s="156"/>
      <c r="BD663" s="452"/>
      <c r="BE663" s="452"/>
      <c r="BF663" s="452"/>
      <c r="BG663" s="452"/>
      <c r="BH663" s="452"/>
    </row>
    <row r="664">
      <c r="A664" s="154"/>
      <c r="B664" s="473"/>
      <c r="C664" s="156"/>
      <c r="D664" s="156"/>
      <c r="E664" s="156"/>
      <c r="F664" s="154"/>
      <c r="G664" s="473"/>
      <c r="H664" s="156"/>
      <c r="I664" s="156"/>
      <c r="J664" s="156"/>
      <c r="K664" s="132"/>
      <c r="L664" s="473"/>
      <c r="M664" s="156"/>
      <c r="N664" s="156"/>
      <c r="O664" s="156"/>
      <c r="P664" s="132"/>
      <c r="Q664" s="487"/>
      <c r="R664" s="156"/>
      <c r="S664" s="156"/>
      <c r="T664" s="156"/>
      <c r="U664" s="154"/>
      <c r="V664" s="473"/>
      <c r="W664" s="156"/>
      <c r="X664" s="156"/>
      <c r="Y664" s="156"/>
      <c r="Z664" s="154"/>
      <c r="AA664" s="473"/>
      <c r="AB664" s="156"/>
      <c r="AC664" s="156"/>
      <c r="AD664" s="156"/>
      <c r="AE664" s="154"/>
      <c r="AF664" s="473"/>
      <c r="AG664" s="156"/>
      <c r="AH664" s="156"/>
      <c r="AI664" s="156"/>
      <c r="AJ664" s="154"/>
      <c r="AK664" s="473"/>
      <c r="AL664" s="156"/>
      <c r="AM664" s="156"/>
      <c r="AN664" s="156"/>
      <c r="AO664" s="452"/>
      <c r="AP664" s="452"/>
      <c r="AQ664" s="452"/>
      <c r="AR664" s="452"/>
      <c r="AS664" s="452"/>
      <c r="AT664" s="452"/>
      <c r="AU664" s="452"/>
      <c r="AV664" s="452"/>
      <c r="AW664" s="452"/>
      <c r="AX664" s="452"/>
      <c r="AY664" s="154"/>
      <c r="AZ664" s="473"/>
      <c r="BA664" s="156"/>
      <c r="BB664" s="156"/>
      <c r="BC664" s="156"/>
      <c r="BD664" s="452"/>
      <c r="BE664" s="452"/>
      <c r="BF664" s="452"/>
      <c r="BG664" s="452"/>
      <c r="BH664" s="452"/>
    </row>
    <row r="665">
      <c r="A665" s="154"/>
      <c r="B665" s="473"/>
      <c r="C665" s="156"/>
      <c r="D665" s="156"/>
      <c r="E665" s="156"/>
      <c r="F665" s="154"/>
      <c r="G665" s="473"/>
      <c r="H665" s="156"/>
      <c r="I665" s="156"/>
      <c r="J665" s="156"/>
      <c r="K665" s="132"/>
      <c r="L665" s="473"/>
      <c r="M665" s="156"/>
      <c r="N665" s="156"/>
      <c r="O665" s="156"/>
      <c r="P665" s="132"/>
      <c r="Q665" s="487"/>
      <c r="R665" s="156"/>
      <c r="S665" s="156"/>
      <c r="T665" s="156"/>
      <c r="U665" s="154"/>
      <c r="V665" s="473"/>
      <c r="W665" s="156"/>
      <c r="X665" s="156"/>
      <c r="Y665" s="156"/>
      <c r="Z665" s="154"/>
      <c r="AA665" s="473"/>
      <c r="AB665" s="156"/>
      <c r="AC665" s="156"/>
      <c r="AD665" s="156"/>
      <c r="AE665" s="154"/>
      <c r="AF665" s="473"/>
      <c r="AG665" s="156"/>
      <c r="AH665" s="156"/>
      <c r="AI665" s="156"/>
      <c r="AJ665" s="154"/>
      <c r="AK665" s="473"/>
      <c r="AL665" s="156"/>
      <c r="AM665" s="156"/>
      <c r="AN665" s="156"/>
      <c r="AO665" s="452"/>
      <c r="AP665" s="452"/>
      <c r="AQ665" s="452"/>
      <c r="AR665" s="452"/>
      <c r="AS665" s="452"/>
      <c r="AT665" s="452"/>
      <c r="AU665" s="452"/>
      <c r="AV665" s="452"/>
      <c r="AW665" s="452"/>
      <c r="AX665" s="452"/>
      <c r="AY665" s="154"/>
      <c r="AZ665" s="473"/>
      <c r="BA665" s="156"/>
      <c r="BB665" s="156"/>
      <c r="BC665" s="156"/>
      <c r="BD665" s="452"/>
      <c r="BE665" s="452"/>
      <c r="BF665" s="452"/>
      <c r="BG665" s="452"/>
      <c r="BH665" s="452"/>
    </row>
    <row r="666">
      <c r="A666" s="154"/>
      <c r="B666" s="473"/>
      <c r="C666" s="156"/>
      <c r="D666" s="156"/>
      <c r="E666" s="156"/>
      <c r="F666" s="154"/>
      <c r="G666" s="473"/>
      <c r="H666" s="156"/>
      <c r="I666" s="156"/>
      <c r="J666" s="156"/>
      <c r="K666" s="132"/>
      <c r="L666" s="473"/>
      <c r="M666" s="156"/>
      <c r="N666" s="156"/>
      <c r="O666" s="156"/>
      <c r="P666" s="132"/>
      <c r="Q666" s="487"/>
      <c r="R666" s="156"/>
      <c r="S666" s="156"/>
      <c r="T666" s="156"/>
      <c r="U666" s="154"/>
      <c r="V666" s="473"/>
      <c r="W666" s="156"/>
      <c r="X666" s="156"/>
      <c r="Y666" s="156"/>
      <c r="Z666" s="154"/>
      <c r="AA666" s="473"/>
      <c r="AB666" s="156"/>
      <c r="AC666" s="156"/>
      <c r="AD666" s="156"/>
      <c r="AE666" s="154"/>
      <c r="AF666" s="473"/>
      <c r="AG666" s="156"/>
      <c r="AH666" s="156"/>
      <c r="AI666" s="156"/>
      <c r="AJ666" s="154"/>
      <c r="AK666" s="473"/>
      <c r="AL666" s="156"/>
      <c r="AM666" s="156"/>
      <c r="AN666" s="156"/>
      <c r="AO666" s="452"/>
      <c r="AP666" s="452"/>
      <c r="AQ666" s="452"/>
      <c r="AR666" s="452"/>
      <c r="AS666" s="452"/>
      <c r="AT666" s="452"/>
      <c r="AU666" s="452"/>
      <c r="AV666" s="452"/>
      <c r="AW666" s="452"/>
      <c r="AX666" s="452"/>
      <c r="AY666" s="154"/>
      <c r="AZ666" s="473"/>
      <c r="BA666" s="156"/>
      <c r="BB666" s="156"/>
      <c r="BC666" s="156"/>
      <c r="BD666" s="452"/>
      <c r="BE666" s="452"/>
      <c r="BF666" s="452"/>
      <c r="BG666" s="452"/>
      <c r="BH666" s="452"/>
    </row>
    <row r="667">
      <c r="A667" s="154"/>
      <c r="B667" s="473"/>
      <c r="C667" s="156"/>
      <c r="D667" s="156"/>
      <c r="E667" s="156"/>
      <c r="F667" s="154"/>
      <c r="G667" s="473"/>
      <c r="H667" s="156"/>
      <c r="I667" s="156"/>
      <c r="J667" s="156"/>
      <c r="K667" s="132"/>
      <c r="L667" s="473"/>
      <c r="M667" s="156"/>
      <c r="N667" s="156"/>
      <c r="O667" s="156"/>
      <c r="P667" s="132"/>
      <c r="Q667" s="487"/>
      <c r="R667" s="156"/>
      <c r="S667" s="156"/>
      <c r="T667" s="156"/>
      <c r="U667" s="154"/>
      <c r="V667" s="473"/>
      <c r="W667" s="156"/>
      <c r="X667" s="156"/>
      <c r="Y667" s="156"/>
      <c r="Z667" s="154"/>
      <c r="AA667" s="473"/>
      <c r="AB667" s="156"/>
      <c r="AC667" s="156"/>
      <c r="AD667" s="156"/>
      <c r="AE667" s="154"/>
      <c r="AF667" s="473"/>
      <c r="AG667" s="156"/>
      <c r="AH667" s="156"/>
      <c r="AI667" s="156"/>
      <c r="AJ667" s="154"/>
      <c r="AK667" s="473"/>
      <c r="AL667" s="156"/>
      <c r="AM667" s="156"/>
      <c r="AN667" s="156"/>
      <c r="AO667" s="452"/>
      <c r="AP667" s="452"/>
      <c r="AQ667" s="452"/>
      <c r="AR667" s="452"/>
      <c r="AS667" s="452"/>
      <c r="AT667" s="452"/>
      <c r="AU667" s="452"/>
      <c r="AV667" s="452"/>
      <c r="AW667" s="452"/>
      <c r="AX667" s="452"/>
      <c r="AY667" s="154"/>
      <c r="AZ667" s="473"/>
      <c r="BA667" s="156"/>
      <c r="BB667" s="156"/>
      <c r="BC667" s="156"/>
      <c r="BD667" s="452"/>
      <c r="BE667" s="452"/>
      <c r="BF667" s="452"/>
      <c r="BG667" s="452"/>
      <c r="BH667" s="452"/>
    </row>
    <row r="668">
      <c r="A668" s="154"/>
      <c r="B668" s="473"/>
      <c r="C668" s="156"/>
      <c r="D668" s="156"/>
      <c r="E668" s="156"/>
      <c r="F668" s="154"/>
      <c r="G668" s="473"/>
      <c r="H668" s="156"/>
      <c r="I668" s="156"/>
      <c r="J668" s="156"/>
      <c r="K668" s="132"/>
      <c r="L668" s="473"/>
      <c r="M668" s="156"/>
      <c r="N668" s="156"/>
      <c r="O668" s="156"/>
      <c r="P668" s="132"/>
      <c r="Q668" s="487"/>
      <c r="R668" s="156"/>
      <c r="S668" s="156"/>
      <c r="T668" s="156"/>
      <c r="U668" s="154"/>
      <c r="V668" s="473"/>
      <c r="W668" s="156"/>
      <c r="X668" s="156"/>
      <c r="Y668" s="156"/>
      <c r="Z668" s="154"/>
      <c r="AA668" s="473"/>
      <c r="AB668" s="156"/>
      <c r="AC668" s="156"/>
      <c r="AD668" s="156"/>
      <c r="AE668" s="154"/>
      <c r="AF668" s="473"/>
      <c r="AG668" s="156"/>
      <c r="AH668" s="156"/>
      <c r="AI668" s="156"/>
      <c r="AJ668" s="154"/>
      <c r="AK668" s="473"/>
      <c r="AL668" s="156"/>
      <c r="AM668" s="156"/>
      <c r="AN668" s="156"/>
      <c r="AO668" s="452"/>
      <c r="AP668" s="452"/>
      <c r="AQ668" s="452"/>
      <c r="AR668" s="452"/>
      <c r="AS668" s="452"/>
      <c r="AT668" s="452"/>
      <c r="AU668" s="452"/>
      <c r="AV668" s="452"/>
      <c r="AW668" s="452"/>
      <c r="AX668" s="452"/>
      <c r="AY668" s="154"/>
      <c r="AZ668" s="473"/>
      <c r="BA668" s="156"/>
      <c r="BB668" s="156"/>
      <c r="BC668" s="156"/>
      <c r="BD668" s="452"/>
      <c r="BE668" s="452"/>
      <c r="BF668" s="452"/>
      <c r="BG668" s="452"/>
      <c r="BH668" s="452"/>
    </row>
    <row r="669">
      <c r="A669" s="154"/>
      <c r="B669" s="473"/>
      <c r="C669" s="156"/>
      <c r="D669" s="156"/>
      <c r="E669" s="156"/>
      <c r="F669" s="154"/>
      <c r="G669" s="473"/>
      <c r="H669" s="156"/>
      <c r="I669" s="156"/>
      <c r="J669" s="156"/>
      <c r="K669" s="132"/>
      <c r="L669" s="473"/>
      <c r="M669" s="156"/>
      <c r="N669" s="156"/>
      <c r="O669" s="156"/>
      <c r="P669" s="132"/>
      <c r="Q669" s="487"/>
      <c r="R669" s="156"/>
      <c r="S669" s="156"/>
      <c r="T669" s="156"/>
      <c r="U669" s="154"/>
      <c r="V669" s="473"/>
      <c r="W669" s="156"/>
      <c r="X669" s="156"/>
      <c r="Y669" s="156"/>
      <c r="Z669" s="154"/>
      <c r="AA669" s="473"/>
      <c r="AB669" s="156"/>
      <c r="AC669" s="156"/>
      <c r="AD669" s="156"/>
      <c r="AE669" s="154"/>
      <c r="AF669" s="473"/>
      <c r="AG669" s="156"/>
      <c r="AH669" s="156"/>
      <c r="AI669" s="156"/>
      <c r="AJ669" s="154"/>
      <c r="AK669" s="473"/>
      <c r="AL669" s="156"/>
      <c r="AM669" s="156"/>
      <c r="AN669" s="156"/>
      <c r="AO669" s="452"/>
      <c r="AP669" s="452"/>
      <c r="AQ669" s="452"/>
      <c r="AR669" s="452"/>
      <c r="AS669" s="452"/>
      <c r="AT669" s="452"/>
      <c r="AU669" s="452"/>
      <c r="AV669" s="452"/>
      <c r="AW669" s="452"/>
      <c r="AX669" s="452"/>
      <c r="AY669" s="154"/>
      <c r="AZ669" s="473"/>
      <c r="BA669" s="156"/>
      <c r="BB669" s="156"/>
      <c r="BC669" s="156"/>
      <c r="BD669" s="452"/>
      <c r="BE669" s="452"/>
      <c r="BF669" s="452"/>
      <c r="BG669" s="452"/>
      <c r="BH669" s="452"/>
    </row>
    <row r="670">
      <c r="A670" s="154"/>
      <c r="B670" s="473"/>
      <c r="C670" s="156"/>
      <c r="D670" s="156"/>
      <c r="E670" s="156"/>
      <c r="F670" s="154"/>
      <c r="G670" s="473"/>
      <c r="H670" s="156"/>
      <c r="I670" s="156"/>
      <c r="J670" s="156"/>
      <c r="K670" s="132"/>
      <c r="L670" s="473"/>
      <c r="M670" s="156"/>
      <c r="N670" s="156"/>
      <c r="O670" s="156"/>
      <c r="P670" s="132"/>
      <c r="Q670" s="487"/>
      <c r="R670" s="156"/>
      <c r="S670" s="156"/>
      <c r="T670" s="156"/>
      <c r="U670" s="154"/>
      <c r="V670" s="473"/>
      <c r="W670" s="156"/>
      <c r="X670" s="156"/>
      <c r="Y670" s="156"/>
      <c r="Z670" s="154"/>
      <c r="AA670" s="473"/>
      <c r="AB670" s="156"/>
      <c r="AC670" s="156"/>
      <c r="AD670" s="156"/>
      <c r="AE670" s="154"/>
      <c r="AF670" s="473"/>
      <c r="AG670" s="156"/>
      <c r="AH670" s="156"/>
      <c r="AI670" s="156"/>
      <c r="AJ670" s="154"/>
      <c r="AK670" s="473"/>
      <c r="AL670" s="156"/>
      <c r="AM670" s="156"/>
      <c r="AN670" s="156"/>
      <c r="AO670" s="452"/>
      <c r="AP670" s="452"/>
      <c r="AQ670" s="452"/>
      <c r="AR670" s="452"/>
      <c r="AS670" s="452"/>
      <c r="AT670" s="452"/>
      <c r="AU670" s="452"/>
      <c r="AV670" s="452"/>
      <c r="AW670" s="452"/>
      <c r="AX670" s="452"/>
      <c r="AY670" s="154"/>
      <c r="AZ670" s="473"/>
      <c r="BA670" s="156"/>
      <c r="BB670" s="156"/>
      <c r="BC670" s="156"/>
      <c r="BD670" s="452"/>
      <c r="BE670" s="452"/>
      <c r="BF670" s="452"/>
      <c r="BG670" s="452"/>
      <c r="BH670" s="452"/>
    </row>
    <row r="671">
      <c r="A671" s="154"/>
      <c r="B671" s="473"/>
      <c r="C671" s="156"/>
      <c r="D671" s="156"/>
      <c r="E671" s="156"/>
      <c r="F671" s="154"/>
      <c r="G671" s="473"/>
      <c r="H671" s="156"/>
      <c r="I671" s="156"/>
      <c r="J671" s="156"/>
      <c r="K671" s="132"/>
      <c r="L671" s="473"/>
      <c r="M671" s="156"/>
      <c r="N671" s="156"/>
      <c r="O671" s="156"/>
      <c r="P671" s="132"/>
      <c r="Q671" s="487"/>
      <c r="R671" s="156"/>
      <c r="S671" s="156"/>
      <c r="T671" s="156"/>
      <c r="U671" s="154"/>
      <c r="V671" s="473"/>
      <c r="W671" s="156"/>
      <c r="X671" s="156"/>
      <c r="Y671" s="156"/>
      <c r="Z671" s="154"/>
      <c r="AA671" s="473"/>
      <c r="AB671" s="156"/>
      <c r="AC671" s="156"/>
      <c r="AD671" s="156"/>
      <c r="AE671" s="154"/>
      <c r="AF671" s="473"/>
      <c r="AG671" s="156"/>
      <c r="AH671" s="156"/>
      <c r="AI671" s="156"/>
      <c r="AJ671" s="154"/>
      <c r="AK671" s="473"/>
      <c r="AL671" s="156"/>
      <c r="AM671" s="156"/>
      <c r="AN671" s="156"/>
      <c r="AO671" s="452"/>
      <c r="AP671" s="452"/>
      <c r="AQ671" s="452"/>
      <c r="AR671" s="452"/>
      <c r="AS671" s="452"/>
      <c r="AT671" s="452"/>
      <c r="AU671" s="452"/>
      <c r="AV671" s="452"/>
      <c r="AW671" s="452"/>
      <c r="AX671" s="452"/>
      <c r="AY671" s="154"/>
      <c r="AZ671" s="473"/>
      <c r="BA671" s="156"/>
      <c r="BB671" s="156"/>
      <c r="BC671" s="156"/>
      <c r="BD671" s="452"/>
      <c r="BE671" s="452"/>
      <c r="BF671" s="452"/>
      <c r="BG671" s="452"/>
      <c r="BH671" s="452"/>
    </row>
    <row r="672">
      <c r="A672" s="154"/>
      <c r="B672" s="473"/>
      <c r="C672" s="156"/>
      <c r="D672" s="156"/>
      <c r="E672" s="156"/>
      <c r="F672" s="154"/>
      <c r="G672" s="473"/>
      <c r="H672" s="156"/>
      <c r="I672" s="156"/>
      <c r="J672" s="156"/>
      <c r="K672" s="132"/>
      <c r="L672" s="473"/>
      <c r="M672" s="156"/>
      <c r="N672" s="156"/>
      <c r="O672" s="156"/>
      <c r="P672" s="132"/>
      <c r="Q672" s="487"/>
      <c r="R672" s="156"/>
      <c r="S672" s="156"/>
      <c r="T672" s="156"/>
      <c r="U672" s="154"/>
      <c r="V672" s="473"/>
      <c r="W672" s="156"/>
      <c r="X672" s="156"/>
      <c r="Y672" s="156"/>
      <c r="Z672" s="154"/>
      <c r="AA672" s="473"/>
      <c r="AB672" s="156"/>
      <c r="AC672" s="156"/>
      <c r="AD672" s="156"/>
      <c r="AE672" s="154"/>
      <c r="AF672" s="473"/>
      <c r="AG672" s="156"/>
      <c r="AH672" s="156"/>
      <c r="AI672" s="156"/>
      <c r="AJ672" s="154"/>
      <c r="AK672" s="473"/>
      <c r="AL672" s="156"/>
      <c r="AM672" s="156"/>
      <c r="AN672" s="156"/>
      <c r="AO672" s="452"/>
      <c r="AP672" s="452"/>
      <c r="AQ672" s="452"/>
      <c r="AR672" s="452"/>
      <c r="AS672" s="452"/>
      <c r="AT672" s="452"/>
      <c r="AU672" s="452"/>
      <c r="AV672" s="452"/>
      <c r="AW672" s="452"/>
      <c r="AX672" s="452"/>
      <c r="AY672" s="154"/>
      <c r="AZ672" s="473"/>
      <c r="BA672" s="156"/>
      <c r="BB672" s="156"/>
      <c r="BC672" s="156"/>
      <c r="BD672" s="452"/>
      <c r="BE672" s="452"/>
      <c r="BF672" s="452"/>
      <c r="BG672" s="452"/>
      <c r="BH672" s="452"/>
    </row>
    <row r="673">
      <c r="A673" s="154"/>
      <c r="B673" s="473"/>
      <c r="C673" s="156"/>
      <c r="D673" s="156"/>
      <c r="E673" s="156"/>
      <c r="F673" s="154"/>
      <c r="G673" s="473"/>
      <c r="H673" s="156"/>
      <c r="I673" s="156"/>
      <c r="J673" s="156"/>
      <c r="K673" s="132"/>
      <c r="L673" s="473"/>
      <c r="M673" s="156"/>
      <c r="N673" s="156"/>
      <c r="O673" s="156"/>
      <c r="P673" s="132"/>
      <c r="Q673" s="487"/>
      <c r="R673" s="156"/>
      <c r="S673" s="156"/>
      <c r="T673" s="156"/>
      <c r="U673" s="154"/>
      <c r="V673" s="473"/>
      <c r="W673" s="156"/>
      <c r="X673" s="156"/>
      <c r="Y673" s="156"/>
      <c r="Z673" s="154"/>
      <c r="AA673" s="473"/>
      <c r="AB673" s="156"/>
      <c r="AC673" s="156"/>
      <c r="AD673" s="156"/>
      <c r="AE673" s="154"/>
      <c r="AF673" s="473"/>
      <c r="AG673" s="156"/>
      <c r="AH673" s="156"/>
      <c r="AI673" s="156"/>
      <c r="AJ673" s="154"/>
      <c r="AK673" s="473"/>
      <c r="AL673" s="156"/>
      <c r="AM673" s="156"/>
      <c r="AN673" s="156"/>
      <c r="AO673" s="452"/>
      <c r="AP673" s="452"/>
      <c r="AQ673" s="452"/>
      <c r="AR673" s="452"/>
      <c r="AS673" s="452"/>
      <c r="AT673" s="452"/>
      <c r="AU673" s="452"/>
      <c r="AV673" s="452"/>
      <c r="AW673" s="452"/>
      <c r="AX673" s="452"/>
      <c r="AY673" s="154"/>
      <c r="AZ673" s="473"/>
      <c r="BA673" s="156"/>
      <c r="BB673" s="156"/>
      <c r="BC673" s="156"/>
      <c r="BD673" s="452"/>
      <c r="BE673" s="452"/>
      <c r="BF673" s="452"/>
      <c r="BG673" s="452"/>
      <c r="BH673" s="452"/>
    </row>
    <row r="674">
      <c r="A674" s="154"/>
      <c r="B674" s="473"/>
      <c r="C674" s="156"/>
      <c r="D674" s="156"/>
      <c r="E674" s="156"/>
      <c r="F674" s="154"/>
      <c r="G674" s="473"/>
      <c r="H674" s="156"/>
      <c r="I674" s="156"/>
      <c r="J674" s="156"/>
      <c r="K674" s="132"/>
      <c r="L674" s="473"/>
      <c r="M674" s="156"/>
      <c r="N674" s="156"/>
      <c r="O674" s="156"/>
      <c r="P674" s="132"/>
      <c r="Q674" s="487"/>
      <c r="R674" s="156"/>
      <c r="S674" s="156"/>
      <c r="T674" s="156"/>
      <c r="U674" s="154"/>
      <c r="V674" s="473"/>
      <c r="W674" s="156"/>
      <c r="X674" s="156"/>
      <c r="Y674" s="156"/>
      <c r="Z674" s="154"/>
      <c r="AA674" s="473"/>
      <c r="AB674" s="156"/>
      <c r="AC674" s="156"/>
      <c r="AD674" s="156"/>
      <c r="AE674" s="154"/>
      <c r="AF674" s="473"/>
      <c r="AG674" s="156"/>
      <c r="AH674" s="156"/>
      <c r="AI674" s="156"/>
      <c r="AJ674" s="154"/>
      <c r="AK674" s="473"/>
      <c r="AL674" s="156"/>
      <c r="AM674" s="156"/>
      <c r="AN674" s="156"/>
      <c r="AO674" s="452"/>
      <c r="AP674" s="452"/>
      <c r="AQ674" s="452"/>
      <c r="AR674" s="452"/>
      <c r="AS674" s="452"/>
      <c r="AT674" s="452"/>
      <c r="AU674" s="452"/>
      <c r="AV674" s="452"/>
      <c r="AW674" s="452"/>
      <c r="AX674" s="452"/>
      <c r="AY674" s="154"/>
      <c r="AZ674" s="473"/>
      <c r="BA674" s="156"/>
      <c r="BB674" s="156"/>
      <c r="BC674" s="156"/>
      <c r="BD674" s="452"/>
      <c r="BE674" s="452"/>
      <c r="BF674" s="452"/>
      <c r="BG674" s="452"/>
      <c r="BH674" s="452"/>
    </row>
    <row r="675">
      <c r="A675" s="154"/>
      <c r="B675" s="473"/>
      <c r="C675" s="156"/>
      <c r="D675" s="156"/>
      <c r="E675" s="156"/>
      <c r="F675" s="154"/>
      <c r="G675" s="473"/>
      <c r="H675" s="156"/>
      <c r="I675" s="156"/>
      <c r="J675" s="156"/>
      <c r="K675" s="132"/>
      <c r="L675" s="473"/>
      <c r="M675" s="156"/>
      <c r="N675" s="156"/>
      <c r="O675" s="156"/>
      <c r="P675" s="132"/>
      <c r="Q675" s="487"/>
      <c r="R675" s="156"/>
      <c r="S675" s="156"/>
      <c r="T675" s="156"/>
      <c r="U675" s="154"/>
      <c r="V675" s="473"/>
      <c r="W675" s="156"/>
      <c r="X675" s="156"/>
      <c r="Y675" s="156"/>
      <c r="Z675" s="154"/>
      <c r="AA675" s="473"/>
      <c r="AB675" s="156"/>
      <c r="AC675" s="156"/>
      <c r="AD675" s="156"/>
      <c r="AE675" s="154"/>
      <c r="AF675" s="473"/>
      <c r="AG675" s="156"/>
      <c r="AH675" s="156"/>
      <c r="AI675" s="156"/>
      <c r="AJ675" s="154"/>
      <c r="AK675" s="473"/>
      <c r="AL675" s="156"/>
      <c r="AM675" s="156"/>
      <c r="AN675" s="156"/>
      <c r="AO675" s="452"/>
      <c r="AP675" s="452"/>
      <c r="AQ675" s="452"/>
      <c r="AR675" s="452"/>
      <c r="AS675" s="452"/>
      <c r="AT675" s="452"/>
      <c r="AU675" s="452"/>
      <c r="AV675" s="452"/>
      <c r="AW675" s="452"/>
      <c r="AX675" s="452"/>
      <c r="AY675" s="154"/>
      <c r="AZ675" s="473"/>
      <c r="BA675" s="156"/>
      <c r="BB675" s="156"/>
      <c r="BC675" s="156"/>
      <c r="BD675" s="452"/>
      <c r="BE675" s="452"/>
      <c r="BF675" s="452"/>
      <c r="BG675" s="452"/>
      <c r="BH675" s="452"/>
    </row>
    <row r="676">
      <c r="A676" s="154"/>
      <c r="B676" s="473"/>
      <c r="C676" s="156"/>
      <c r="D676" s="156"/>
      <c r="E676" s="156"/>
      <c r="F676" s="154"/>
      <c r="G676" s="473"/>
      <c r="H676" s="156"/>
      <c r="I676" s="156"/>
      <c r="J676" s="156"/>
      <c r="K676" s="132"/>
      <c r="L676" s="473"/>
      <c r="M676" s="156"/>
      <c r="N676" s="156"/>
      <c r="O676" s="156"/>
      <c r="P676" s="132"/>
      <c r="Q676" s="487"/>
      <c r="R676" s="156"/>
      <c r="S676" s="156"/>
      <c r="T676" s="156"/>
      <c r="U676" s="154"/>
      <c r="V676" s="473"/>
      <c r="W676" s="156"/>
      <c r="X676" s="156"/>
      <c r="Y676" s="156"/>
      <c r="Z676" s="154"/>
      <c r="AA676" s="473"/>
      <c r="AB676" s="156"/>
      <c r="AC676" s="156"/>
      <c r="AD676" s="156"/>
      <c r="AE676" s="154"/>
      <c r="AF676" s="473"/>
      <c r="AG676" s="156"/>
      <c r="AH676" s="156"/>
      <c r="AI676" s="156"/>
      <c r="AJ676" s="154"/>
      <c r="AK676" s="473"/>
      <c r="AL676" s="156"/>
      <c r="AM676" s="156"/>
      <c r="AN676" s="156"/>
      <c r="AO676" s="452"/>
      <c r="AP676" s="452"/>
      <c r="AQ676" s="452"/>
      <c r="AR676" s="452"/>
      <c r="AS676" s="452"/>
      <c r="AT676" s="452"/>
      <c r="AU676" s="452"/>
      <c r="AV676" s="452"/>
      <c r="AW676" s="452"/>
      <c r="AX676" s="452"/>
      <c r="AY676" s="154"/>
      <c r="AZ676" s="473"/>
      <c r="BA676" s="156"/>
      <c r="BB676" s="156"/>
      <c r="BC676" s="156"/>
      <c r="BD676" s="452"/>
      <c r="BE676" s="452"/>
      <c r="BF676" s="452"/>
      <c r="BG676" s="452"/>
      <c r="BH676" s="452"/>
    </row>
    <row r="677">
      <c r="A677" s="154"/>
      <c r="B677" s="473"/>
      <c r="C677" s="156"/>
      <c r="D677" s="156"/>
      <c r="E677" s="156"/>
      <c r="F677" s="154"/>
      <c r="G677" s="473"/>
      <c r="H677" s="156"/>
      <c r="I677" s="156"/>
      <c r="J677" s="156"/>
      <c r="K677" s="132"/>
      <c r="L677" s="473"/>
      <c r="M677" s="156"/>
      <c r="N677" s="156"/>
      <c r="O677" s="156"/>
      <c r="P677" s="132"/>
      <c r="Q677" s="487"/>
      <c r="R677" s="156"/>
      <c r="S677" s="156"/>
      <c r="T677" s="156"/>
      <c r="U677" s="154"/>
      <c r="V677" s="473"/>
      <c r="W677" s="156"/>
      <c r="X677" s="156"/>
      <c r="Y677" s="156"/>
      <c r="Z677" s="154"/>
      <c r="AA677" s="473"/>
      <c r="AB677" s="156"/>
      <c r="AC677" s="156"/>
      <c r="AD677" s="156"/>
      <c r="AE677" s="154"/>
      <c r="AF677" s="473"/>
      <c r="AG677" s="156"/>
      <c r="AH677" s="156"/>
      <c r="AI677" s="156"/>
      <c r="AJ677" s="154"/>
      <c r="AK677" s="473"/>
      <c r="AL677" s="156"/>
      <c r="AM677" s="156"/>
      <c r="AN677" s="156"/>
      <c r="AO677" s="452"/>
      <c r="AP677" s="452"/>
      <c r="AQ677" s="452"/>
      <c r="AR677" s="452"/>
      <c r="AS677" s="452"/>
      <c r="AT677" s="452"/>
      <c r="AU677" s="452"/>
      <c r="AV677" s="452"/>
      <c r="AW677" s="452"/>
      <c r="AX677" s="452"/>
      <c r="AY677" s="154"/>
      <c r="AZ677" s="473"/>
      <c r="BA677" s="156"/>
      <c r="BB677" s="156"/>
      <c r="BC677" s="156"/>
      <c r="BD677" s="452"/>
      <c r="BE677" s="452"/>
      <c r="BF677" s="452"/>
      <c r="BG677" s="452"/>
      <c r="BH677" s="452"/>
    </row>
    <row r="678">
      <c r="A678" s="154"/>
      <c r="B678" s="473"/>
      <c r="C678" s="156"/>
      <c r="D678" s="156"/>
      <c r="E678" s="156"/>
      <c r="F678" s="154"/>
      <c r="G678" s="473"/>
      <c r="H678" s="156"/>
      <c r="I678" s="156"/>
      <c r="J678" s="156"/>
      <c r="K678" s="132"/>
      <c r="L678" s="473"/>
      <c r="M678" s="156"/>
      <c r="N678" s="156"/>
      <c r="O678" s="156"/>
      <c r="P678" s="132"/>
      <c r="Q678" s="487"/>
      <c r="R678" s="156"/>
      <c r="S678" s="156"/>
      <c r="T678" s="156"/>
      <c r="U678" s="154"/>
      <c r="V678" s="473"/>
      <c r="W678" s="156"/>
      <c r="X678" s="156"/>
      <c r="Y678" s="156"/>
      <c r="Z678" s="154"/>
      <c r="AA678" s="473"/>
      <c r="AB678" s="156"/>
      <c r="AC678" s="156"/>
      <c r="AD678" s="156"/>
      <c r="AE678" s="154"/>
      <c r="AF678" s="473"/>
      <c r="AG678" s="156"/>
      <c r="AH678" s="156"/>
      <c r="AI678" s="156"/>
      <c r="AJ678" s="154"/>
      <c r="AK678" s="473"/>
      <c r="AL678" s="156"/>
      <c r="AM678" s="156"/>
      <c r="AN678" s="156"/>
      <c r="AO678" s="452"/>
      <c r="AP678" s="452"/>
      <c r="AQ678" s="452"/>
      <c r="AR678" s="452"/>
      <c r="AS678" s="452"/>
      <c r="AT678" s="452"/>
      <c r="AU678" s="452"/>
      <c r="AV678" s="452"/>
      <c r="AW678" s="452"/>
      <c r="AX678" s="452"/>
      <c r="AY678" s="154"/>
      <c r="AZ678" s="473"/>
      <c r="BA678" s="156"/>
      <c r="BB678" s="156"/>
      <c r="BC678" s="156"/>
      <c r="BD678" s="452"/>
      <c r="BE678" s="452"/>
      <c r="BF678" s="452"/>
      <c r="BG678" s="452"/>
      <c r="BH678" s="452"/>
    </row>
    <row r="679">
      <c r="A679" s="154"/>
      <c r="B679" s="473"/>
      <c r="C679" s="156"/>
      <c r="D679" s="156"/>
      <c r="E679" s="156"/>
      <c r="F679" s="154"/>
      <c r="G679" s="473"/>
      <c r="H679" s="156"/>
      <c r="I679" s="156"/>
      <c r="J679" s="156"/>
      <c r="K679" s="132"/>
      <c r="L679" s="473"/>
      <c r="M679" s="156"/>
      <c r="N679" s="156"/>
      <c r="O679" s="156"/>
      <c r="P679" s="132"/>
      <c r="Q679" s="487"/>
      <c r="R679" s="156"/>
      <c r="S679" s="156"/>
      <c r="T679" s="156"/>
      <c r="U679" s="154"/>
      <c r="V679" s="473"/>
      <c r="W679" s="156"/>
      <c r="X679" s="156"/>
      <c r="Y679" s="156"/>
      <c r="Z679" s="154"/>
      <c r="AA679" s="473"/>
      <c r="AB679" s="156"/>
      <c r="AC679" s="156"/>
      <c r="AD679" s="156"/>
      <c r="AE679" s="154"/>
      <c r="AF679" s="473"/>
      <c r="AG679" s="156"/>
      <c r="AH679" s="156"/>
      <c r="AI679" s="156"/>
      <c r="AJ679" s="154"/>
      <c r="AK679" s="473"/>
      <c r="AL679" s="156"/>
      <c r="AM679" s="156"/>
      <c r="AN679" s="156"/>
      <c r="AO679" s="452"/>
      <c r="AP679" s="452"/>
      <c r="AQ679" s="452"/>
      <c r="AR679" s="452"/>
      <c r="AS679" s="452"/>
      <c r="AT679" s="452"/>
      <c r="AU679" s="452"/>
      <c r="AV679" s="452"/>
      <c r="AW679" s="452"/>
      <c r="AX679" s="452"/>
      <c r="AY679" s="154"/>
      <c r="AZ679" s="473"/>
      <c r="BA679" s="156"/>
      <c r="BB679" s="156"/>
      <c r="BC679" s="156"/>
      <c r="BD679" s="452"/>
      <c r="BE679" s="452"/>
      <c r="BF679" s="452"/>
      <c r="BG679" s="452"/>
      <c r="BH679" s="452"/>
    </row>
    <row r="680">
      <c r="A680" s="154"/>
      <c r="B680" s="473"/>
      <c r="C680" s="156"/>
      <c r="D680" s="156"/>
      <c r="E680" s="156"/>
      <c r="F680" s="154"/>
      <c r="G680" s="473"/>
      <c r="H680" s="156"/>
      <c r="I680" s="156"/>
      <c r="J680" s="156"/>
      <c r="K680" s="132"/>
      <c r="L680" s="473"/>
      <c r="M680" s="156"/>
      <c r="N680" s="156"/>
      <c r="O680" s="156"/>
      <c r="P680" s="132"/>
      <c r="Q680" s="487"/>
      <c r="R680" s="156"/>
      <c r="S680" s="156"/>
      <c r="T680" s="156"/>
      <c r="U680" s="154"/>
      <c r="V680" s="473"/>
      <c r="W680" s="156"/>
      <c r="X680" s="156"/>
      <c r="Y680" s="156"/>
      <c r="Z680" s="154"/>
      <c r="AA680" s="473"/>
      <c r="AB680" s="156"/>
      <c r="AC680" s="156"/>
      <c r="AD680" s="156"/>
      <c r="AE680" s="154"/>
      <c r="AF680" s="473"/>
      <c r="AG680" s="156"/>
      <c r="AH680" s="156"/>
      <c r="AI680" s="156"/>
      <c r="AJ680" s="154"/>
      <c r="AK680" s="473"/>
      <c r="AL680" s="156"/>
      <c r="AM680" s="156"/>
      <c r="AN680" s="156"/>
      <c r="AO680" s="452"/>
      <c r="AP680" s="452"/>
      <c r="AQ680" s="452"/>
      <c r="AR680" s="452"/>
      <c r="AS680" s="452"/>
      <c r="AT680" s="452"/>
      <c r="AU680" s="452"/>
      <c r="AV680" s="452"/>
      <c r="AW680" s="452"/>
      <c r="AX680" s="452"/>
      <c r="AY680" s="154"/>
      <c r="AZ680" s="473"/>
      <c r="BA680" s="156"/>
      <c r="BB680" s="156"/>
      <c r="BC680" s="156"/>
      <c r="BD680" s="452"/>
      <c r="BE680" s="452"/>
      <c r="BF680" s="452"/>
      <c r="BG680" s="452"/>
      <c r="BH680" s="452"/>
    </row>
    <row r="681">
      <c r="A681" s="154"/>
      <c r="B681" s="473"/>
      <c r="C681" s="156"/>
      <c r="D681" s="156"/>
      <c r="E681" s="156"/>
      <c r="F681" s="154"/>
      <c r="G681" s="473"/>
      <c r="H681" s="156"/>
      <c r="I681" s="156"/>
      <c r="J681" s="156"/>
      <c r="K681" s="132"/>
      <c r="L681" s="473"/>
      <c r="M681" s="156"/>
      <c r="N681" s="156"/>
      <c r="O681" s="156"/>
      <c r="P681" s="132"/>
      <c r="Q681" s="487"/>
      <c r="R681" s="156"/>
      <c r="S681" s="156"/>
      <c r="T681" s="156"/>
      <c r="U681" s="154"/>
      <c r="V681" s="473"/>
      <c r="W681" s="156"/>
      <c r="X681" s="156"/>
      <c r="Y681" s="156"/>
      <c r="Z681" s="154"/>
      <c r="AA681" s="473"/>
      <c r="AB681" s="156"/>
      <c r="AC681" s="156"/>
      <c r="AD681" s="156"/>
      <c r="AE681" s="154"/>
      <c r="AF681" s="473"/>
      <c r="AG681" s="156"/>
      <c r="AH681" s="156"/>
      <c r="AI681" s="156"/>
      <c r="AJ681" s="154"/>
      <c r="AK681" s="473"/>
      <c r="AL681" s="156"/>
      <c r="AM681" s="156"/>
      <c r="AN681" s="156"/>
      <c r="AO681" s="452"/>
      <c r="AP681" s="452"/>
      <c r="AQ681" s="452"/>
      <c r="AR681" s="452"/>
      <c r="AS681" s="452"/>
      <c r="AT681" s="452"/>
      <c r="AU681" s="452"/>
      <c r="AV681" s="452"/>
      <c r="AW681" s="452"/>
      <c r="AX681" s="452"/>
      <c r="AY681" s="154"/>
      <c r="AZ681" s="473"/>
      <c r="BA681" s="156"/>
      <c r="BB681" s="156"/>
      <c r="BC681" s="156"/>
      <c r="BD681" s="452"/>
      <c r="BE681" s="452"/>
      <c r="BF681" s="452"/>
      <c r="BG681" s="452"/>
      <c r="BH681" s="452"/>
    </row>
    <row r="682">
      <c r="A682" s="154"/>
      <c r="B682" s="473"/>
      <c r="C682" s="156"/>
      <c r="D682" s="156"/>
      <c r="E682" s="156"/>
      <c r="F682" s="154"/>
      <c r="G682" s="473"/>
      <c r="H682" s="156"/>
      <c r="I682" s="156"/>
      <c r="J682" s="156"/>
      <c r="K682" s="132"/>
      <c r="L682" s="473"/>
      <c r="M682" s="156"/>
      <c r="N682" s="156"/>
      <c r="O682" s="156"/>
      <c r="P682" s="132"/>
      <c r="Q682" s="487"/>
      <c r="R682" s="156"/>
      <c r="S682" s="156"/>
      <c r="T682" s="156"/>
      <c r="U682" s="154"/>
      <c r="V682" s="473"/>
      <c r="W682" s="156"/>
      <c r="X682" s="156"/>
      <c r="Y682" s="156"/>
      <c r="Z682" s="154"/>
      <c r="AA682" s="473"/>
      <c r="AB682" s="156"/>
      <c r="AC682" s="156"/>
      <c r="AD682" s="156"/>
      <c r="AE682" s="154"/>
      <c r="AF682" s="473"/>
      <c r="AG682" s="156"/>
      <c r="AH682" s="156"/>
      <c r="AI682" s="156"/>
      <c r="AJ682" s="154"/>
      <c r="AK682" s="473"/>
      <c r="AL682" s="156"/>
      <c r="AM682" s="156"/>
      <c r="AN682" s="156"/>
      <c r="AO682" s="452"/>
      <c r="AP682" s="452"/>
      <c r="AQ682" s="452"/>
      <c r="AR682" s="452"/>
      <c r="AS682" s="452"/>
      <c r="AT682" s="452"/>
      <c r="AU682" s="452"/>
      <c r="AV682" s="452"/>
      <c r="AW682" s="452"/>
      <c r="AX682" s="452"/>
      <c r="AY682" s="154"/>
      <c r="AZ682" s="473"/>
      <c r="BA682" s="156"/>
      <c r="BB682" s="156"/>
      <c r="BC682" s="156"/>
      <c r="BD682" s="452"/>
      <c r="BE682" s="452"/>
      <c r="BF682" s="452"/>
      <c r="BG682" s="452"/>
      <c r="BH682" s="452"/>
    </row>
    <row r="683">
      <c r="A683" s="154"/>
      <c r="B683" s="473"/>
      <c r="C683" s="156"/>
      <c r="D683" s="156"/>
      <c r="E683" s="156"/>
      <c r="F683" s="154"/>
      <c r="G683" s="473"/>
      <c r="H683" s="156"/>
      <c r="I683" s="156"/>
      <c r="J683" s="156"/>
      <c r="K683" s="132"/>
      <c r="L683" s="473"/>
      <c r="M683" s="156"/>
      <c r="N683" s="156"/>
      <c r="O683" s="156"/>
      <c r="P683" s="132"/>
      <c r="Q683" s="487"/>
      <c r="R683" s="156"/>
      <c r="S683" s="156"/>
      <c r="T683" s="156"/>
      <c r="U683" s="154"/>
      <c r="V683" s="473"/>
      <c r="W683" s="156"/>
      <c r="X683" s="156"/>
      <c r="Y683" s="156"/>
      <c r="Z683" s="154"/>
      <c r="AA683" s="473"/>
      <c r="AB683" s="156"/>
      <c r="AC683" s="156"/>
      <c r="AD683" s="156"/>
      <c r="AE683" s="154"/>
      <c r="AF683" s="473"/>
      <c r="AG683" s="156"/>
      <c r="AH683" s="156"/>
      <c r="AI683" s="156"/>
      <c r="AJ683" s="154"/>
      <c r="AK683" s="473"/>
      <c r="AL683" s="156"/>
      <c r="AM683" s="156"/>
      <c r="AN683" s="156"/>
      <c r="AO683" s="452"/>
      <c r="AP683" s="452"/>
      <c r="AQ683" s="452"/>
      <c r="AR683" s="452"/>
      <c r="AS683" s="452"/>
      <c r="AT683" s="452"/>
      <c r="AU683" s="452"/>
      <c r="AV683" s="452"/>
      <c r="AW683" s="452"/>
      <c r="AX683" s="452"/>
      <c r="AY683" s="154"/>
      <c r="AZ683" s="473"/>
      <c r="BA683" s="156"/>
      <c r="BB683" s="156"/>
      <c r="BC683" s="156"/>
      <c r="BD683" s="452"/>
      <c r="BE683" s="452"/>
      <c r="BF683" s="452"/>
      <c r="BG683" s="452"/>
      <c r="BH683" s="452"/>
    </row>
    <row r="684">
      <c r="A684" s="154"/>
      <c r="B684" s="473"/>
      <c r="C684" s="156"/>
      <c r="D684" s="156"/>
      <c r="E684" s="156"/>
      <c r="F684" s="154"/>
      <c r="G684" s="473"/>
      <c r="H684" s="156"/>
      <c r="I684" s="156"/>
      <c r="J684" s="156"/>
      <c r="K684" s="132"/>
      <c r="L684" s="473"/>
      <c r="M684" s="156"/>
      <c r="N684" s="156"/>
      <c r="O684" s="156"/>
      <c r="P684" s="132"/>
      <c r="Q684" s="487"/>
      <c r="R684" s="156"/>
      <c r="S684" s="156"/>
      <c r="T684" s="156"/>
      <c r="U684" s="154"/>
      <c r="V684" s="473"/>
      <c r="W684" s="156"/>
      <c r="X684" s="156"/>
      <c r="Y684" s="156"/>
      <c r="Z684" s="154"/>
      <c r="AA684" s="473"/>
      <c r="AB684" s="156"/>
      <c r="AC684" s="156"/>
      <c r="AD684" s="156"/>
      <c r="AE684" s="154"/>
      <c r="AF684" s="473"/>
      <c r="AG684" s="156"/>
      <c r="AH684" s="156"/>
      <c r="AI684" s="156"/>
      <c r="AJ684" s="154"/>
      <c r="AK684" s="473"/>
      <c r="AL684" s="156"/>
      <c r="AM684" s="156"/>
      <c r="AN684" s="156"/>
      <c r="AO684" s="452"/>
      <c r="AP684" s="452"/>
      <c r="AQ684" s="452"/>
      <c r="AR684" s="452"/>
      <c r="AS684" s="452"/>
      <c r="AT684" s="452"/>
      <c r="AU684" s="452"/>
      <c r="AV684" s="452"/>
      <c r="AW684" s="452"/>
      <c r="AX684" s="452"/>
      <c r="AY684" s="154"/>
      <c r="AZ684" s="473"/>
      <c r="BA684" s="156"/>
      <c r="BB684" s="156"/>
      <c r="BC684" s="156"/>
      <c r="BD684" s="452"/>
      <c r="BE684" s="452"/>
      <c r="BF684" s="452"/>
      <c r="BG684" s="452"/>
      <c r="BH684" s="452"/>
    </row>
    <row r="685">
      <c r="A685" s="154"/>
      <c r="B685" s="473"/>
      <c r="C685" s="156"/>
      <c r="D685" s="156"/>
      <c r="E685" s="156"/>
      <c r="F685" s="154"/>
      <c r="G685" s="473"/>
      <c r="H685" s="156"/>
      <c r="I685" s="156"/>
      <c r="J685" s="156"/>
      <c r="K685" s="132"/>
      <c r="L685" s="473"/>
      <c r="M685" s="156"/>
      <c r="N685" s="156"/>
      <c r="O685" s="156"/>
      <c r="P685" s="132"/>
      <c r="Q685" s="487"/>
      <c r="R685" s="156"/>
      <c r="S685" s="156"/>
      <c r="T685" s="156"/>
      <c r="U685" s="154"/>
      <c r="V685" s="473"/>
      <c r="W685" s="156"/>
      <c r="X685" s="156"/>
      <c r="Y685" s="156"/>
      <c r="Z685" s="154"/>
      <c r="AA685" s="473"/>
      <c r="AB685" s="156"/>
      <c r="AC685" s="156"/>
      <c r="AD685" s="156"/>
      <c r="AE685" s="154"/>
      <c r="AF685" s="473"/>
      <c r="AG685" s="156"/>
      <c r="AH685" s="156"/>
      <c r="AI685" s="156"/>
      <c r="AJ685" s="154"/>
      <c r="AK685" s="473"/>
      <c r="AL685" s="156"/>
      <c r="AM685" s="156"/>
      <c r="AN685" s="156"/>
      <c r="AO685" s="452"/>
      <c r="AP685" s="452"/>
      <c r="AQ685" s="452"/>
      <c r="AR685" s="452"/>
      <c r="AS685" s="452"/>
      <c r="AT685" s="452"/>
      <c r="AU685" s="452"/>
      <c r="AV685" s="452"/>
      <c r="AW685" s="452"/>
      <c r="AX685" s="452"/>
      <c r="AY685" s="154"/>
      <c r="AZ685" s="473"/>
      <c r="BA685" s="156"/>
      <c r="BB685" s="156"/>
      <c r="BC685" s="156"/>
      <c r="BD685" s="452"/>
      <c r="BE685" s="452"/>
      <c r="BF685" s="452"/>
      <c r="BG685" s="452"/>
      <c r="BH685" s="452"/>
    </row>
    <row r="686">
      <c r="A686" s="154"/>
      <c r="B686" s="473"/>
      <c r="C686" s="156"/>
      <c r="D686" s="156"/>
      <c r="E686" s="156"/>
      <c r="F686" s="154"/>
      <c r="G686" s="473"/>
      <c r="H686" s="156"/>
      <c r="I686" s="156"/>
      <c r="J686" s="156"/>
      <c r="K686" s="132"/>
      <c r="L686" s="473"/>
      <c r="M686" s="156"/>
      <c r="N686" s="156"/>
      <c r="O686" s="156"/>
      <c r="P686" s="132"/>
      <c r="Q686" s="487"/>
      <c r="R686" s="156"/>
      <c r="S686" s="156"/>
      <c r="T686" s="156"/>
      <c r="U686" s="154"/>
      <c r="V686" s="473"/>
      <c r="W686" s="156"/>
      <c r="X686" s="156"/>
      <c r="Y686" s="156"/>
      <c r="Z686" s="154"/>
      <c r="AA686" s="473"/>
      <c r="AB686" s="156"/>
      <c r="AC686" s="156"/>
      <c r="AD686" s="156"/>
      <c r="AE686" s="154"/>
      <c r="AF686" s="473"/>
      <c r="AG686" s="156"/>
      <c r="AH686" s="156"/>
      <c r="AI686" s="156"/>
      <c r="AJ686" s="154"/>
      <c r="AK686" s="473"/>
      <c r="AL686" s="156"/>
      <c r="AM686" s="156"/>
      <c r="AN686" s="156"/>
      <c r="AO686" s="452"/>
      <c r="AP686" s="452"/>
      <c r="AQ686" s="452"/>
      <c r="AR686" s="452"/>
      <c r="AS686" s="452"/>
      <c r="AT686" s="452"/>
      <c r="AU686" s="452"/>
      <c r="AV686" s="452"/>
      <c r="AW686" s="452"/>
      <c r="AX686" s="452"/>
      <c r="AY686" s="154"/>
      <c r="AZ686" s="473"/>
      <c r="BA686" s="156"/>
      <c r="BB686" s="156"/>
      <c r="BC686" s="156"/>
      <c r="BD686" s="452"/>
      <c r="BE686" s="452"/>
      <c r="BF686" s="452"/>
      <c r="BG686" s="452"/>
      <c r="BH686" s="452"/>
    </row>
    <row r="687">
      <c r="A687" s="154"/>
      <c r="B687" s="473"/>
      <c r="C687" s="156"/>
      <c r="D687" s="156"/>
      <c r="E687" s="156"/>
      <c r="F687" s="154"/>
      <c r="G687" s="473"/>
      <c r="H687" s="156"/>
      <c r="I687" s="156"/>
      <c r="J687" s="156"/>
      <c r="K687" s="132"/>
      <c r="L687" s="473"/>
      <c r="M687" s="156"/>
      <c r="N687" s="156"/>
      <c r="O687" s="156"/>
      <c r="P687" s="132"/>
      <c r="Q687" s="487"/>
      <c r="R687" s="156"/>
      <c r="S687" s="156"/>
      <c r="T687" s="156"/>
      <c r="U687" s="154"/>
      <c r="V687" s="473"/>
      <c r="W687" s="156"/>
      <c r="X687" s="156"/>
      <c r="Y687" s="156"/>
      <c r="Z687" s="154"/>
      <c r="AA687" s="473"/>
      <c r="AB687" s="156"/>
      <c r="AC687" s="156"/>
      <c r="AD687" s="156"/>
      <c r="AE687" s="154"/>
      <c r="AF687" s="473"/>
      <c r="AG687" s="156"/>
      <c r="AH687" s="156"/>
      <c r="AI687" s="156"/>
      <c r="AJ687" s="154"/>
      <c r="AK687" s="473"/>
      <c r="AL687" s="156"/>
      <c r="AM687" s="156"/>
      <c r="AN687" s="156"/>
      <c r="AO687" s="452"/>
      <c r="AP687" s="452"/>
      <c r="AQ687" s="452"/>
      <c r="AR687" s="452"/>
      <c r="AS687" s="452"/>
      <c r="AT687" s="452"/>
      <c r="AU687" s="452"/>
      <c r="AV687" s="452"/>
      <c r="AW687" s="452"/>
      <c r="AX687" s="452"/>
      <c r="AY687" s="154"/>
      <c r="AZ687" s="473"/>
      <c r="BA687" s="156"/>
      <c r="BB687" s="156"/>
      <c r="BC687" s="156"/>
      <c r="BD687" s="452"/>
      <c r="BE687" s="452"/>
      <c r="BF687" s="452"/>
      <c r="BG687" s="452"/>
      <c r="BH687" s="452"/>
    </row>
    <row r="688">
      <c r="A688" s="154"/>
      <c r="B688" s="473"/>
      <c r="C688" s="156"/>
      <c r="D688" s="156"/>
      <c r="E688" s="156"/>
      <c r="F688" s="154"/>
      <c r="G688" s="473"/>
      <c r="H688" s="156"/>
      <c r="I688" s="156"/>
      <c r="J688" s="156"/>
      <c r="K688" s="132"/>
      <c r="L688" s="473"/>
      <c r="M688" s="156"/>
      <c r="N688" s="156"/>
      <c r="O688" s="156"/>
      <c r="P688" s="132"/>
      <c r="Q688" s="487"/>
      <c r="R688" s="156"/>
      <c r="S688" s="156"/>
      <c r="T688" s="156"/>
      <c r="U688" s="154"/>
      <c r="V688" s="473"/>
      <c r="W688" s="156"/>
      <c r="X688" s="156"/>
      <c r="Y688" s="156"/>
      <c r="Z688" s="154"/>
      <c r="AA688" s="473"/>
      <c r="AB688" s="156"/>
      <c r="AC688" s="156"/>
      <c r="AD688" s="156"/>
      <c r="AE688" s="154"/>
      <c r="AF688" s="473"/>
      <c r="AG688" s="156"/>
      <c r="AH688" s="156"/>
      <c r="AI688" s="156"/>
      <c r="AJ688" s="154"/>
      <c r="AK688" s="473"/>
      <c r="AL688" s="156"/>
      <c r="AM688" s="156"/>
      <c r="AN688" s="156"/>
      <c r="AO688" s="452"/>
      <c r="AP688" s="452"/>
      <c r="AQ688" s="452"/>
      <c r="AR688" s="452"/>
      <c r="AS688" s="452"/>
      <c r="AT688" s="452"/>
      <c r="AU688" s="452"/>
      <c r="AV688" s="452"/>
      <c r="AW688" s="452"/>
      <c r="AX688" s="452"/>
      <c r="AY688" s="154"/>
      <c r="AZ688" s="473"/>
      <c r="BA688" s="156"/>
      <c r="BB688" s="156"/>
      <c r="BC688" s="156"/>
      <c r="BD688" s="452"/>
      <c r="BE688" s="452"/>
      <c r="BF688" s="452"/>
      <c r="BG688" s="452"/>
      <c r="BH688" s="452"/>
    </row>
    <row r="689">
      <c r="A689" s="154"/>
      <c r="B689" s="473"/>
      <c r="C689" s="156"/>
      <c r="D689" s="156"/>
      <c r="E689" s="156"/>
      <c r="F689" s="154"/>
      <c r="G689" s="473"/>
      <c r="H689" s="156"/>
      <c r="I689" s="156"/>
      <c r="J689" s="156"/>
      <c r="K689" s="132"/>
      <c r="L689" s="473"/>
      <c r="M689" s="156"/>
      <c r="N689" s="156"/>
      <c r="O689" s="156"/>
      <c r="P689" s="132"/>
      <c r="Q689" s="487"/>
      <c r="R689" s="156"/>
      <c r="S689" s="156"/>
      <c r="T689" s="156"/>
      <c r="U689" s="154"/>
      <c r="V689" s="473"/>
      <c r="W689" s="156"/>
      <c r="X689" s="156"/>
      <c r="Y689" s="156"/>
      <c r="Z689" s="154"/>
      <c r="AA689" s="473"/>
      <c r="AB689" s="156"/>
      <c r="AC689" s="156"/>
      <c r="AD689" s="156"/>
      <c r="AE689" s="154"/>
      <c r="AF689" s="473"/>
      <c r="AG689" s="156"/>
      <c r="AH689" s="156"/>
      <c r="AI689" s="156"/>
      <c r="AJ689" s="154"/>
      <c r="AK689" s="473"/>
      <c r="AL689" s="156"/>
      <c r="AM689" s="156"/>
      <c r="AN689" s="156"/>
      <c r="AO689" s="452"/>
      <c r="AP689" s="452"/>
      <c r="AQ689" s="452"/>
      <c r="AR689" s="452"/>
      <c r="AS689" s="452"/>
      <c r="AT689" s="452"/>
      <c r="AU689" s="452"/>
      <c r="AV689" s="452"/>
      <c r="AW689" s="452"/>
      <c r="AX689" s="452"/>
      <c r="AY689" s="154"/>
      <c r="AZ689" s="473"/>
      <c r="BA689" s="156"/>
      <c r="BB689" s="156"/>
      <c r="BC689" s="156"/>
      <c r="BD689" s="452"/>
      <c r="BE689" s="452"/>
      <c r="BF689" s="452"/>
      <c r="BG689" s="452"/>
      <c r="BH689" s="452"/>
    </row>
    <row r="690">
      <c r="A690" s="154"/>
      <c r="B690" s="473"/>
      <c r="C690" s="156"/>
      <c r="D690" s="156"/>
      <c r="E690" s="156"/>
      <c r="F690" s="154"/>
      <c r="G690" s="473"/>
      <c r="H690" s="156"/>
      <c r="I690" s="156"/>
      <c r="J690" s="156"/>
      <c r="K690" s="132"/>
      <c r="L690" s="473"/>
      <c r="M690" s="156"/>
      <c r="N690" s="156"/>
      <c r="O690" s="156"/>
      <c r="P690" s="132"/>
      <c r="Q690" s="487"/>
      <c r="R690" s="156"/>
      <c r="S690" s="156"/>
      <c r="T690" s="156"/>
      <c r="U690" s="154"/>
      <c r="V690" s="473"/>
      <c r="W690" s="156"/>
      <c r="X690" s="156"/>
      <c r="Y690" s="156"/>
      <c r="Z690" s="154"/>
      <c r="AA690" s="473"/>
      <c r="AB690" s="156"/>
      <c r="AC690" s="156"/>
      <c r="AD690" s="156"/>
      <c r="AE690" s="154"/>
      <c r="AF690" s="473"/>
      <c r="AG690" s="156"/>
      <c r="AH690" s="156"/>
      <c r="AI690" s="156"/>
      <c r="AJ690" s="154"/>
      <c r="AK690" s="473"/>
      <c r="AL690" s="156"/>
      <c r="AM690" s="156"/>
      <c r="AN690" s="156"/>
      <c r="AO690" s="452"/>
      <c r="AP690" s="452"/>
      <c r="AQ690" s="452"/>
      <c r="AR690" s="452"/>
      <c r="AS690" s="452"/>
      <c r="AT690" s="452"/>
      <c r="AU690" s="452"/>
      <c r="AV690" s="452"/>
      <c r="AW690" s="452"/>
      <c r="AX690" s="452"/>
      <c r="AY690" s="154"/>
      <c r="AZ690" s="473"/>
      <c r="BA690" s="156"/>
      <c r="BB690" s="156"/>
      <c r="BC690" s="156"/>
      <c r="BD690" s="452"/>
      <c r="BE690" s="452"/>
      <c r="BF690" s="452"/>
      <c r="BG690" s="452"/>
      <c r="BH690" s="452"/>
    </row>
    <row r="691">
      <c r="A691" s="154"/>
      <c r="B691" s="473"/>
      <c r="C691" s="156"/>
      <c r="D691" s="156"/>
      <c r="E691" s="156"/>
      <c r="F691" s="154"/>
      <c r="G691" s="473"/>
      <c r="H691" s="156"/>
      <c r="I691" s="156"/>
      <c r="J691" s="156"/>
      <c r="K691" s="132"/>
      <c r="L691" s="473"/>
      <c r="M691" s="156"/>
      <c r="N691" s="156"/>
      <c r="O691" s="156"/>
      <c r="P691" s="132"/>
      <c r="Q691" s="487"/>
      <c r="R691" s="156"/>
      <c r="S691" s="156"/>
      <c r="T691" s="156"/>
      <c r="U691" s="154"/>
      <c r="V691" s="473"/>
      <c r="W691" s="156"/>
      <c r="X691" s="156"/>
      <c r="Y691" s="156"/>
      <c r="Z691" s="154"/>
      <c r="AA691" s="473"/>
      <c r="AB691" s="156"/>
      <c r="AC691" s="156"/>
      <c r="AD691" s="156"/>
      <c r="AE691" s="154"/>
      <c r="AF691" s="473"/>
      <c r="AG691" s="156"/>
      <c r="AH691" s="156"/>
      <c r="AI691" s="156"/>
      <c r="AJ691" s="154"/>
      <c r="AK691" s="473"/>
      <c r="AL691" s="156"/>
      <c r="AM691" s="156"/>
      <c r="AN691" s="156"/>
      <c r="AO691" s="452"/>
      <c r="AP691" s="452"/>
      <c r="AQ691" s="452"/>
      <c r="AR691" s="452"/>
      <c r="AS691" s="452"/>
      <c r="AT691" s="452"/>
      <c r="AU691" s="452"/>
      <c r="AV691" s="452"/>
      <c r="AW691" s="452"/>
      <c r="AX691" s="452"/>
      <c r="AY691" s="154"/>
      <c r="AZ691" s="473"/>
      <c r="BA691" s="156"/>
      <c r="BB691" s="156"/>
      <c r="BC691" s="156"/>
      <c r="BD691" s="452"/>
      <c r="BE691" s="452"/>
      <c r="BF691" s="452"/>
      <c r="BG691" s="452"/>
      <c r="BH691" s="452"/>
    </row>
    <row r="692">
      <c r="A692" s="154"/>
      <c r="B692" s="473"/>
      <c r="C692" s="156"/>
      <c r="D692" s="156"/>
      <c r="E692" s="156"/>
      <c r="F692" s="154"/>
      <c r="G692" s="473"/>
      <c r="H692" s="156"/>
      <c r="I692" s="156"/>
      <c r="J692" s="156"/>
      <c r="K692" s="132"/>
      <c r="L692" s="473"/>
      <c r="M692" s="156"/>
      <c r="N692" s="156"/>
      <c r="O692" s="156"/>
      <c r="P692" s="132"/>
      <c r="Q692" s="487"/>
      <c r="R692" s="156"/>
      <c r="S692" s="156"/>
      <c r="T692" s="156"/>
      <c r="U692" s="154"/>
      <c r="V692" s="473"/>
      <c r="W692" s="156"/>
      <c r="X692" s="156"/>
      <c r="Y692" s="156"/>
      <c r="Z692" s="154"/>
      <c r="AA692" s="473"/>
      <c r="AB692" s="156"/>
      <c r="AC692" s="156"/>
      <c r="AD692" s="156"/>
      <c r="AE692" s="154"/>
      <c r="AF692" s="473"/>
      <c r="AG692" s="156"/>
      <c r="AH692" s="156"/>
      <c r="AI692" s="156"/>
      <c r="AJ692" s="154"/>
      <c r="AK692" s="473"/>
      <c r="AL692" s="156"/>
      <c r="AM692" s="156"/>
      <c r="AN692" s="156"/>
      <c r="AO692" s="452"/>
      <c r="AP692" s="452"/>
      <c r="AQ692" s="452"/>
      <c r="AR692" s="452"/>
      <c r="AS692" s="452"/>
      <c r="AT692" s="452"/>
      <c r="AU692" s="452"/>
      <c r="AV692" s="452"/>
      <c r="AW692" s="452"/>
      <c r="AX692" s="452"/>
      <c r="AY692" s="154"/>
      <c r="AZ692" s="473"/>
      <c r="BA692" s="156"/>
      <c r="BB692" s="156"/>
      <c r="BC692" s="156"/>
      <c r="BD692" s="452"/>
      <c r="BE692" s="452"/>
      <c r="BF692" s="452"/>
      <c r="BG692" s="452"/>
      <c r="BH692" s="452"/>
    </row>
    <row r="693">
      <c r="A693" s="154"/>
      <c r="B693" s="473"/>
      <c r="C693" s="156"/>
      <c r="D693" s="156"/>
      <c r="E693" s="156"/>
      <c r="F693" s="154"/>
      <c r="G693" s="473"/>
      <c r="H693" s="156"/>
      <c r="I693" s="156"/>
      <c r="J693" s="156"/>
      <c r="K693" s="132"/>
      <c r="L693" s="473"/>
      <c r="M693" s="156"/>
      <c r="N693" s="156"/>
      <c r="O693" s="156"/>
      <c r="P693" s="132"/>
      <c r="Q693" s="487"/>
      <c r="R693" s="156"/>
      <c r="S693" s="156"/>
      <c r="T693" s="156"/>
      <c r="U693" s="154"/>
      <c r="V693" s="473"/>
      <c r="W693" s="156"/>
      <c r="X693" s="156"/>
      <c r="Y693" s="156"/>
      <c r="Z693" s="154"/>
      <c r="AA693" s="473"/>
      <c r="AB693" s="156"/>
      <c r="AC693" s="156"/>
      <c r="AD693" s="156"/>
      <c r="AE693" s="154"/>
      <c r="AF693" s="473"/>
      <c r="AG693" s="156"/>
      <c r="AH693" s="156"/>
      <c r="AI693" s="156"/>
      <c r="AJ693" s="154"/>
      <c r="AK693" s="473"/>
      <c r="AL693" s="156"/>
      <c r="AM693" s="156"/>
      <c r="AN693" s="156"/>
      <c r="AO693" s="452"/>
      <c r="AP693" s="452"/>
      <c r="AQ693" s="452"/>
      <c r="AR693" s="452"/>
      <c r="AS693" s="452"/>
      <c r="AT693" s="452"/>
      <c r="AU693" s="452"/>
      <c r="AV693" s="452"/>
      <c r="AW693" s="452"/>
      <c r="AX693" s="452"/>
      <c r="AY693" s="154"/>
      <c r="AZ693" s="473"/>
      <c r="BA693" s="156"/>
      <c r="BB693" s="156"/>
      <c r="BC693" s="156"/>
      <c r="BD693" s="452"/>
      <c r="BE693" s="452"/>
      <c r="BF693" s="452"/>
      <c r="BG693" s="452"/>
      <c r="BH693" s="452"/>
    </row>
    <row r="694">
      <c r="A694" s="154"/>
      <c r="B694" s="473"/>
      <c r="C694" s="156"/>
      <c r="D694" s="156"/>
      <c r="E694" s="156"/>
      <c r="F694" s="154"/>
      <c r="G694" s="473"/>
      <c r="H694" s="156"/>
      <c r="I694" s="156"/>
      <c r="J694" s="156"/>
      <c r="K694" s="132"/>
      <c r="L694" s="473"/>
      <c r="M694" s="156"/>
      <c r="N694" s="156"/>
      <c r="O694" s="156"/>
      <c r="P694" s="132"/>
      <c r="Q694" s="487"/>
      <c r="R694" s="156"/>
      <c r="S694" s="156"/>
      <c r="T694" s="156"/>
      <c r="U694" s="154"/>
      <c r="V694" s="473"/>
      <c r="W694" s="156"/>
      <c r="X694" s="156"/>
      <c r="Y694" s="156"/>
      <c r="Z694" s="154"/>
      <c r="AA694" s="473"/>
      <c r="AB694" s="156"/>
      <c r="AC694" s="156"/>
      <c r="AD694" s="156"/>
      <c r="AE694" s="154"/>
      <c r="AF694" s="473"/>
      <c r="AG694" s="156"/>
      <c r="AH694" s="156"/>
      <c r="AI694" s="156"/>
      <c r="AJ694" s="154"/>
      <c r="AK694" s="473"/>
      <c r="AL694" s="156"/>
      <c r="AM694" s="156"/>
      <c r="AN694" s="156"/>
      <c r="AO694" s="452"/>
      <c r="AP694" s="452"/>
      <c r="AQ694" s="452"/>
      <c r="AR694" s="452"/>
      <c r="AS694" s="452"/>
      <c r="AT694" s="452"/>
      <c r="AU694" s="452"/>
      <c r="AV694" s="452"/>
      <c r="AW694" s="452"/>
      <c r="AX694" s="452"/>
      <c r="AY694" s="154"/>
      <c r="AZ694" s="473"/>
      <c r="BA694" s="156"/>
      <c r="BB694" s="156"/>
      <c r="BC694" s="156"/>
      <c r="BD694" s="452"/>
      <c r="BE694" s="452"/>
      <c r="BF694" s="452"/>
      <c r="BG694" s="452"/>
      <c r="BH694" s="452"/>
    </row>
    <row r="695">
      <c r="A695" s="154"/>
      <c r="B695" s="473"/>
      <c r="C695" s="156"/>
      <c r="D695" s="156"/>
      <c r="E695" s="156"/>
      <c r="F695" s="154"/>
      <c r="G695" s="473"/>
      <c r="H695" s="156"/>
      <c r="I695" s="156"/>
      <c r="J695" s="156"/>
      <c r="K695" s="132"/>
      <c r="L695" s="473"/>
      <c r="M695" s="156"/>
      <c r="N695" s="156"/>
      <c r="O695" s="156"/>
      <c r="P695" s="132"/>
      <c r="Q695" s="487"/>
      <c r="R695" s="156"/>
      <c r="S695" s="156"/>
      <c r="T695" s="156"/>
      <c r="U695" s="154"/>
      <c r="V695" s="473"/>
      <c r="W695" s="156"/>
      <c r="X695" s="156"/>
      <c r="Y695" s="156"/>
      <c r="Z695" s="154"/>
      <c r="AA695" s="473"/>
      <c r="AB695" s="156"/>
      <c r="AC695" s="156"/>
      <c r="AD695" s="156"/>
      <c r="AE695" s="154"/>
      <c r="AF695" s="473"/>
      <c r="AG695" s="156"/>
      <c r="AH695" s="156"/>
      <c r="AI695" s="156"/>
      <c r="AJ695" s="154"/>
      <c r="AK695" s="473"/>
      <c r="AL695" s="156"/>
      <c r="AM695" s="156"/>
      <c r="AN695" s="156"/>
      <c r="AO695" s="452"/>
      <c r="AP695" s="452"/>
      <c r="AQ695" s="452"/>
      <c r="AR695" s="452"/>
      <c r="AS695" s="452"/>
      <c r="AT695" s="452"/>
      <c r="AU695" s="452"/>
      <c r="AV695" s="452"/>
      <c r="AW695" s="452"/>
      <c r="AX695" s="452"/>
      <c r="AY695" s="154"/>
      <c r="AZ695" s="473"/>
      <c r="BA695" s="156"/>
      <c r="BB695" s="156"/>
      <c r="BC695" s="156"/>
      <c r="BD695" s="452"/>
      <c r="BE695" s="452"/>
      <c r="BF695" s="452"/>
      <c r="BG695" s="452"/>
      <c r="BH695" s="452"/>
    </row>
    <row r="696">
      <c r="A696" s="154"/>
      <c r="B696" s="473"/>
      <c r="C696" s="156"/>
      <c r="D696" s="156"/>
      <c r="E696" s="156"/>
      <c r="F696" s="154"/>
      <c r="G696" s="473"/>
      <c r="H696" s="156"/>
      <c r="I696" s="156"/>
      <c r="J696" s="156"/>
      <c r="K696" s="132"/>
      <c r="L696" s="473"/>
      <c r="M696" s="156"/>
      <c r="N696" s="156"/>
      <c r="O696" s="156"/>
      <c r="P696" s="132"/>
      <c r="Q696" s="487"/>
      <c r="R696" s="156"/>
      <c r="S696" s="156"/>
      <c r="T696" s="156"/>
      <c r="U696" s="154"/>
      <c r="V696" s="473"/>
      <c r="W696" s="156"/>
      <c r="X696" s="156"/>
      <c r="Y696" s="156"/>
      <c r="Z696" s="154"/>
      <c r="AA696" s="473"/>
      <c r="AB696" s="156"/>
      <c r="AC696" s="156"/>
      <c r="AD696" s="156"/>
      <c r="AE696" s="154"/>
      <c r="AF696" s="473"/>
      <c r="AG696" s="156"/>
      <c r="AH696" s="156"/>
      <c r="AI696" s="156"/>
      <c r="AJ696" s="154"/>
      <c r="AK696" s="473"/>
      <c r="AL696" s="156"/>
      <c r="AM696" s="156"/>
      <c r="AN696" s="156"/>
      <c r="AO696" s="452"/>
      <c r="AP696" s="452"/>
      <c r="AQ696" s="452"/>
      <c r="AR696" s="452"/>
      <c r="AS696" s="452"/>
      <c r="AT696" s="452"/>
      <c r="AU696" s="452"/>
      <c r="AV696" s="452"/>
      <c r="AW696" s="452"/>
      <c r="AX696" s="452"/>
      <c r="AY696" s="154"/>
      <c r="AZ696" s="473"/>
      <c r="BA696" s="156"/>
      <c r="BB696" s="156"/>
      <c r="BC696" s="156"/>
      <c r="BD696" s="452"/>
      <c r="BE696" s="452"/>
      <c r="BF696" s="452"/>
      <c r="BG696" s="452"/>
      <c r="BH696" s="452"/>
    </row>
    <row r="697">
      <c r="A697" s="154"/>
      <c r="B697" s="473"/>
      <c r="C697" s="156"/>
      <c r="D697" s="156"/>
      <c r="E697" s="156"/>
      <c r="F697" s="154"/>
      <c r="G697" s="473"/>
      <c r="H697" s="156"/>
      <c r="I697" s="156"/>
      <c r="J697" s="156"/>
      <c r="K697" s="132"/>
      <c r="L697" s="473"/>
      <c r="M697" s="156"/>
      <c r="N697" s="156"/>
      <c r="O697" s="156"/>
      <c r="P697" s="132"/>
      <c r="Q697" s="487"/>
      <c r="R697" s="156"/>
      <c r="S697" s="156"/>
      <c r="T697" s="156"/>
      <c r="U697" s="154"/>
      <c r="V697" s="473"/>
      <c r="W697" s="156"/>
      <c r="X697" s="156"/>
      <c r="Y697" s="156"/>
      <c r="Z697" s="154"/>
      <c r="AA697" s="473"/>
      <c r="AB697" s="156"/>
      <c r="AC697" s="156"/>
      <c r="AD697" s="156"/>
      <c r="AE697" s="154"/>
      <c r="AF697" s="473"/>
      <c r="AG697" s="156"/>
      <c r="AH697" s="156"/>
      <c r="AI697" s="156"/>
      <c r="AJ697" s="154"/>
      <c r="AK697" s="473"/>
      <c r="AL697" s="156"/>
      <c r="AM697" s="156"/>
      <c r="AN697" s="156"/>
      <c r="AO697" s="452"/>
      <c r="AP697" s="452"/>
      <c r="AQ697" s="452"/>
      <c r="AR697" s="452"/>
      <c r="AS697" s="452"/>
      <c r="AT697" s="452"/>
      <c r="AU697" s="452"/>
      <c r="AV697" s="452"/>
      <c r="AW697" s="452"/>
      <c r="AX697" s="452"/>
      <c r="AY697" s="154"/>
      <c r="AZ697" s="473"/>
      <c r="BA697" s="156"/>
      <c r="BB697" s="156"/>
      <c r="BC697" s="156"/>
      <c r="BD697" s="452"/>
      <c r="BE697" s="452"/>
      <c r="BF697" s="452"/>
      <c r="BG697" s="452"/>
      <c r="BH697" s="452"/>
    </row>
    <row r="698">
      <c r="A698" s="154"/>
      <c r="B698" s="473"/>
      <c r="C698" s="156"/>
      <c r="D698" s="156"/>
      <c r="E698" s="156"/>
      <c r="F698" s="154"/>
      <c r="G698" s="473"/>
      <c r="H698" s="156"/>
      <c r="I698" s="156"/>
      <c r="J698" s="156"/>
      <c r="K698" s="132"/>
      <c r="L698" s="473"/>
      <c r="M698" s="156"/>
      <c r="N698" s="156"/>
      <c r="O698" s="156"/>
      <c r="P698" s="132"/>
      <c r="Q698" s="487"/>
      <c r="R698" s="156"/>
      <c r="S698" s="156"/>
      <c r="T698" s="156"/>
      <c r="U698" s="154"/>
      <c r="V698" s="473"/>
      <c r="W698" s="156"/>
      <c r="X698" s="156"/>
      <c r="Y698" s="156"/>
      <c r="Z698" s="154"/>
      <c r="AA698" s="473"/>
      <c r="AB698" s="156"/>
      <c r="AC698" s="156"/>
      <c r="AD698" s="156"/>
      <c r="AE698" s="154"/>
      <c r="AF698" s="473"/>
      <c r="AG698" s="156"/>
      <c r="AH698" s="156"/>
      <c r="AI698" s="156"/>
      <c r="AJ698" s="154"/>
      <c r="AK698" s="473"/>
      <c r="AL698" s="156"/>
      <c r="AM698" s="156"/>
      <c r="AN698" s="156"/>
      <c r="AO698" s="452"/>
      <c r="AP698" s="452"/>
      <c r="AQ698" s="452"/>
      <c r="AR698" s="452"/>
      <c r="AS698" s="452"/>
      <c r="AT698" s="452"/>
      <c r="AU698" s="452"/>
      <c r="AV698" s="452"/>
      <c r="AW698" s="452"/>
      <c r="AX698" s="452"/>
      <c r="AY698" s="154"/>
      <c r="AZ698" s="473"/>
      <c r="BA698" s="156"/>
      <c r="BB698" s="156"/>
      <c r="BC698" s="156"/>
      <c r="BD698" s="452"/>
      <c r="BE698" s="452"/>
      <c r="BF698" s="452"/>
      <c r="BG698" s="452"/>
      <c r="BH698" s="452"/>
    </row>
    <row r="699">
      <c r="A699" s="154"/>
      <c r="B699" s="473"/>
      <c r="C699" s="156"/>
      <c r="D699" s="156"/>
      <c r="E699" s="156"/>
      <c r="F699" s="154"/>
      <c r="G699" s="473"/>
      <c r="H699" s="156"/>
      <c r="I699" s="156"/>
      <c r="J699" s="156"/>
      <c r="K699" s="132"/>
      <c r="L699" s="473"/>
      <c r="M699" s="156"/>
      <c r="N699" s="156"/>
      <c r="O699" s="156"/>
      <c r="P699" s="132"/>
      <c r="Q699" s="487"/>
      <c r="R699" s="156"/>
      <c r="S699" s="156"/>
      <c r="T699" s="156"/>
      <c r="U699" s="154"/>
      <c r="V699" s="473"/>
      <c r="W699" s="156"/>
      <c r="X699" s="156"/>
      <c r="Y699" s="156"/>
      <c r="Z699" s="154"/>
      <c r="AA699" s="473"/>
      <c r="AB699" s="156"/>
      <c r="AC699" s="156"/>
      <c r="AD699" s="156"/>
      <c r="AE699" s="154"/>
      <c r="AF699" s="473"/>
      <c r="AG699" s="156"/>
      <c r="AH699" s="156"/>
      <c r="AI699" s="156"/>
      <c r="AJ699" s="154"/>
      <c r="AK699" s="473"/>
      <c r="AL699" s="156"/>
      <c r="AM699" s="156"/>
      <c r="AN699" s="156"/>
      <c r="AO699" s="452"/>
      <c r="AP699" s="452"/>
      <c r="AQ699" s="452"/>
      <c r="AR699" s="452"/>
      <c r="AS699" s="452"/>
      <c r="AT699" s="452"/>
      <c r="AU699" s="452"/>
      <c r="AV699" s="452"/>
      <c r="AW699" s="452"/>
      <c r="AX699" s="452"/>
      <c r="AY699" s="154"/>
      <c r="AZ699" s="473"/>
      <c r="BA699" s="156"/>
      <c r="BB699" s="156"/>
      <c r="BC699" s="156"/>
      <c r="BD699" s="452"/>
      <c r="BE699" s="452"/>
      <c r="BF699" s="452"/>
      <c r="BG699" s="452"/>
      <c r="BH699" s="452"/>
    </row>
    <row r="700">
      <c r="A700" s="154"/>
      <c r="B700" s="473"/>
      <c r="C700" s="156"/>
      <c r="D700" s="156"/>
      <c r="E700" s="156"/>
      <c r="F700" s="154"/>
      <c r="G700" s="473"/>
      <c r="H700" s="156"/>
      <c r="I700" s="156"/>
      <c r="J700" s="156"/>
      <c r="K700" s="132"/>
      <c r="L700" s="473"/>
      <c r="M700" s="156"/>
      <c r="N700" s="156"/>
      <c r="O700" s="156"/>
      <c r="P700" s="132"/>
      <c r="Q700" s="487"/>
      <c r="R700" s="156"/>
      <c r="S700" s="156"/>
      <c r="T700" s="156"/>
      <c r="U700" s="154"/>
      <c r="V700" s="473"/>
      <c r="W700" s="156"/>
      <c r="X700" s="156"/>
      <c r="Y700" s="156"/>
      <c r="Z700" s="154"/>
      <c r="AA700" s="473"/>
      <c r="AB700" s="156"/>
      <c r="AC700" s="156"/>
      <c r="AD700" s="156"/>
      <c r="AE700" s="154"/>
      <c r="AF700" s="473"/>
      <c r="AG700" s="156"/>
      <c r="AH700" s="156"/>
      <c r="AI700" s="156"/>
      <c r="AJ700" s="154"/>
      <c r="AK700" s="473"/>
      <c r="AL700" s="156"/>
      <c r="AM700" s="156"/>
      <c r="AN700" s="156"/>
      <c r="AO700" s="452"/>
      <c r="AP700" s="452"/>
      <c r="AQ700" s="452"/>
      <c r="AR700" s="452"/>
      <c r="AS700" s="452"/>
      <c r="AT700" s="452"/>
      <c r="AU700" s="452"/>
      <c r="AV700" s="452"/>
      <c r="AW700" s="452"/>
      <c r="AX700" s="452"/>
      <c r="AY700" s="154"/>
      <c r="AZ700" s="473"/>
      <c r="BA700" s="156"/>
      <c r="BB700" s="156"/>
      <c r="BC700" s="156"/>
      <c r="BD700" s="452"/>
      <c r="BE700" s="452"/>
      <c r="BF700" s="452"/>
      <c r="BG700" s="452"/>
      <c r="BH700" s="452"/>
    </row>
    <row r="701">
      <c r="A701" s="154"/>
      <c r="B701" s="473"/>
      <c r="C701" s="156"/>
      <c r="D701" s="156"/>
      <c r="E701" s="156"/>
      <c r="F701" s="154"/>
      <c r="G701" s="473"/>
      <c r="H701" s="156"/>
      <c r="I701" s="156"/>
      <c r="J701" s="156"/>
      <c r="K701" s="132"/>
      <c r="L701" s="473"/>
      <c r="M701" s="156"/>
      <c r="N701" s="156"/>
      <c r="O701" s="156"/>
      <c r="P701" s="132"/>
      <c r="Q701" s="487"/>
      <c r="R701" s="156"/>
      <c r="S701" s="156"/>
      <c r="T701" s="156"/>
      <c r="U701" s="154"/>
      <c r="V701" s="473"/>
      <c r="W701" s="156"/>
      <c r="X701" s="156"/>
      <c r="Y701" s="156"/>
      <c r="Z701" s="154"/>
      <c r="AA701" s="473"/>
      <c r="AB701" s="156"/>
      <c r="AC701" s="156"/>
      <c r="AD701" s="156"/>
      <c r="AE701" s="154"/>
      <c r="AF701" s="473"/>
      <c r="AG701" s="156"/>
      <c r="AH701" s="156"/>
      <c r="AI701" s="156"/>
      <c r="AJ701" s="154"/>
      <c r="AK701" s="473"/>
      <c r="AL701" s="156"/>
      <c r="AM701" s="156"/>
      <c r="AN701" s="156"/>
      <c r="AO701" s="452"/>
      <c r="AP701" s="452"/>
      <c r="AQ701" s="452"/>
      <c r="AR701" s="452"/>
      <c r="AS701" s="452"/>
      <c r="AT701" s="452"/>
      <c r="AU701" s="452"/>
      <c r="AV701" s="452"/>
      <c r="AW701" s="452"/>
      <c r="AX701" s="452"/>
      <c r="AY701" s="154"/>
      <c r="AZ701" s="473"/>
      <c r="BA701" s="156"/>
      <c r="BB701" s="156"/>
      <c r="BC701" s="156"/>
      <c r="BD701" s="452"/>
      <c r="BE701" s="452"/>
      <c r="BF701" s="452"/>
      <c r="BG701" s="452"/>
      <c r="BH701" s="452"/>
    </row>
    <row r="702">
      <c r="A702" s="154"/>
      <c r="B702" s="473"/>
      <c r="C702" s="156"/>
      <c r="D702" s="156"/>
      <c r="E702" s="156"/>
      <c r="F702" s="154"/>
      <c r="G702" s="473"/>
      <c r="H702" s="156"/>
      <c r="I702" s="156"/>
      <c r="J702" s="156"/>
      <c r="K702" s="132"/>
      <c r="L702" s="473"/>
      <c r="M702" s="156"/>
      <c r="N702" s="156"/>
      <c r="O702" s="156"/>
      <c r="P702" s="132"/>
      <c r="Q702" s="487"/>
      <c r="R702" s="156"/>
      <c r="S702" s="156"/>
      <c r="T702" s="156"/>
      <c r="U702" s="154"/>
      <c r="V702" s="473"/>
      <c r="W702" s="156"/>
      <c r="X702" s="156"/>
      <c r="Y702" s="156"/>
      <c r="Z702" s="154"/>
      <c r="AA702" s="473"/>
      <c r="AB702" s="156"/>
      <c r="AC702" s="156"/>
      <c r="AD702" s="156"/>
      <c r="AE702" s="154"/>
      <c r="AF702" s="473"/>
      <c r="AG702" s="156"/>
      <c r="AH702" s="156"/>
      <c r="AI702" s="156"/>
      <c r="AJ702" s="154"/>
      <c r="AK702" s="473"/>
      <c r="AL702" s="156"/>
      <c r="AM702" s="156"/>
      <c r="AN702" s="156"/>
      <c r="AO702" s="452"/>
      <c r="AP702" s="452"/>
      <c r="AQ702" s="452"/>
      <c r="AR702" s="452"/>
      <c r="AS702" s="452"/>
      <c r="AT702" s="452"/>
      <c r="AU702" s="452"/>
      <c r="AV702" s="452"/>
      <c r="AW702" s="452"/>
      <c r="AX702" s="452"/>
      <c r="AY702" s="154"/>
      <c r="AZ702" s="473"/>
      <c r="BA702" s="156"/>
      <c r="BB702" s="156"/>
      <c r="BC702" s="156"/>
      <c r="BD702" s="452"/>
      <c r="BE702" s="452"/>
      <c r="BF702" s="452"/>
      <c r="BG702" s="452"/>
      <c r="BH702" s="452"/>
    </row>
    <row r="703">
      <c r="A703" s="154"/>
      <c r="B703" s="473"/>
      <c r="C703" s="156"/>
      <c r="D703" s="156"/>
      <c r="E703" s="156"/>
      <c r="F703" s="154"/>
      <c r="G703" s="473"/>
      <c r="H703" s="156"/>
      <c r="I703" s="156"/>
      <c r="J703" s="156"/>
      <c r="K703" s="132"/>
      <c r="L703" s="473"/>
      <c r="M703" s="156"/>
      <c r="N703" s="156"/>
      <c r="O703" s="156"/>
      <c r="P703" s="132"/>
      <c r="Q703" s="487"/>
      <c r="R703" s="156"/>
      <c r="S703" s="156"/>
      <c r="T703" s="156"/>
      <c r="U703" s="154"/>
      <c r="V703" s="473"/>
      <c r="W703" s="156"/>
      <c r="X703" s="156"/>
      <c r="Y703" s="156"/>
      <c r="Z703" s="154"/>
      <c r="AA703" s="473"/>
      <c r="AB703" s="156"/>
      <c r="AC703" s="156"/>
      <c r="AD703" s="156"/>
      <c r="AE703" s="154"/>
      <c r="AF703" s="473"/>
      <c r="AG703" s="156"/>
      <c r="AH703" s="156"/>
      <c r="AI703" s="156"/>
      <c r="AJ703" s="154"/>
      <c r="AK703" s="473"/>
      <c r="AL703" s="156"/>
      <c r="AM703" s="156"/>
      <c r="AN703" s="156"/>
      <c r="AO703" s="452"/>
      <c r="AP703" s="452"/>
      <c r="AQ703" s="452"/>
      <c r="AR703" s="452"/>
      <c r="AS703" s="452"/>
      <c r="AT703" s="452"/>
      <c r="AU703" s="452"/>
      <c r="AV703" s="452"/>
      <c r="AW703" s="452"/>
      <c r="AX703" s="452"/>
      <c r="AY703" s="154"/>
      <c r="AZ703" s="473"/>
      <c r="BA703" s="156"/>
      <c r="BB703" s="156"/>
      <c r="BC703" s="156"/>
      <c r="BD703" s="452"/>
      <c r="BE703" s="452"/>
      <c r="BF703" s="452"/>
      <c r="BG703" s="452"/>
      <c r="BH703" s="452"/>
    </row>
    <row r="704">
      <c r="A704" s="154"/>
      <c r="B704" s="473"/>
      <c r="C704" s="156"/>
      <c r="D704" s="156"/>
      <c r="E704" s="156"/>
      <c r="F704" s="154"/>
      <c r="G704" s="473"/>
      <c r="H704" s="156"/>
      <c r="I704" s="156"/>
      <c r="J704" s="156"/>
      <c r="K704" s="132"/>
      <c r="L704" s="473"/>
      <c r="M704" s="156"/>
      <c r="N704" s="156"/>
      <c r="O704" s="156"/>
      <c r="P704" s="132"/>
      <c r="Q704" s="487"/>
      <c r="R704" s="156"/>
      <c r="S704" s="156"/>
      <c r="T704" s="156"/>
      <c r="U704" s="154"/>
      <c r="V704" s="473"/>
      <c r="W704" s="156"/>
      <c r="X704" s="156"/>
      <c r="Y704" s="156"/>
      <c r="Z704" s="154"/>
      <c r="AA704" s="473"/>
      <c r="AB704" s="156"/>
      <c r="AC704" s="156"/>
      <c r="AD704" s="156"/>
      <c r="AE704" s="154"/>
      <c r="AF704" s="473"/>
      <c r="AG704" s="156"/>
      <c r="AH704" s="156"/>
      <c r="AI704" s="156"/>
      <c r="AJ704" s="154"/>
      <c r="AK704" s="473"/>
      <c r="AL704" s="156"/>
      <c r="AM704" s="156"/>
      <c r="AN704" s="156"/>
      <c r="AO704" s="452"/>
      <c r="AP704" s="452"/>
      <c r="AQ704" s="452"/>
      <c r="AR704" s="452"/>
      <c r="AS704" s="452"/>
      <c r="AT704" s="452"/>
      <c r="AU704" s="452"/>
      <c r="AV704" s="452"/>
      <c r="AW704" s="452"/>
      <c r="AX704" s="452"/>
      <c r="AY704" s="154"/>
      <c r="AZ704" s="473"/>
      <c r="BA704" s="156"/>
      <c r="BB704" s="156"/>
      <c r="BC704" s="156"/>
      <c r="BD704" s="452"/>
      <c r="BE704" s="452"/>
      <c r="BF704" s="452"/>
      <c r="BG704" s="452"/>
      <c r="BH704" s="452"/>
    </row>
    <row r="705">
      <c r="A705" s="154"/>
      <c r="B705" s="473"/>
      <c r="C705" s="156"/>
      <c r="D705" s="156"/>
      <c r="E705" s="156"/>
      <c r="F705" s="154"/>
      <c r="G705" s="473"/>
      <c r="H705" s="156"/>
      <c r="I705" s="156"/>
      <c r="J705" s="156"/>
      <c r="K705" s="132"/>
      <c r="L705" s="473"/>
      <c r="M705" s="156"/>
      <c r="N705" s="156"/>
      <c r="O705" s="156"/>
      <c r="P705" s="132"/>
      <c r="Q705" s="487"/>
      <c r="R705" s="156"/>
      <c r="S705" s="156"/>
      <c r="T705" s="156"/>
      <c r="U705" s="154"/>
      <c r="V705" s="473"/>
      <c r="W705" s="156"/>
      <c r="X705" s="156"/>
      <c r="Y705" s="156"/>
      <c r="Z705" s="154"/>
      <c r="AA705" s="473"/>
      <c r="AB705" s="156"/>
      <c r="AC705" s="156"/>
      <c r="AD705" s="156"/>
      <c r="AE705" s="154"/>
      <c r="AF705" s="473"/>
      <c r="AG705" s="156"/>
      <c r="AH705" s="156"/>
      <c r="AI705" s="156"/>
      <c r="AJ705" s="154"/>
      <c r="AK705" s="473"/>
      <c r="AL705" s="156"/>
      <c r="AM705" s="156"/>
      <c r="AN705" s="156"/>
      <c r="AO705" s="452"/>
      <c r="AP705" s="452"/>
      <c r="AQ705" s="452"/>
      <c r="AR705" s="452"/>
      <c r="AS705" s="452"/>
      <c r="AT705" s="452"/>
      <c r="AU705" s="452"/>
      <c r="AV705" s="452"/>
      <c r="AW705" s="452"/>
      <c r="AX705" s="452"/>
      <c r="AY705" s="154"/>
      <c r="AZ705" s="473"/>
      <c r="BA705" s="156"/>
      <c r="BB705" s="156"/>
      <c r="BC705" s="156"/>
      <c r="BD705" s="452"/>
      <c r="BE705" s="452"/>
      <c r="BF705" s="452"/>
      <c r="BG705" s="452"/>
      <c r="BH705" s="452"/>
    </row>
    <row r="706">
      <c r="A706" s="154"/>
      <c r="B706" s="473"/>
      <c r="C706" s="156"/>
      <c r="D706" s="156"/>
      <c r="E706" s="156"/>
      <c r="F706" s="154"/>
      <c r="G706" s="473"/>
      <c r="H706" s="156"/>
      <c r="I706" s="156"/>
      <c r="J706" s="156"/>
      <c r="K706" s="132"/>
      <c r="L706" s="473"/>
      <c r="M706" s="156"/>
      <c r="N706" s="156"/>
      <c r="O706" s="156"/>
      <c r="P706" s="132"/>
      <c r="Q706" s="487"/>
      <c r="R706" s="156"/>
      <c r="S706" s="156"/>
      <c r="T706" s="156"/>
      <c r="U706" s="154"/>
      <c r="V706" s="473"/>
      <c r="W706" s="156"/>
      <c r="X706" s="156"/>
      <c r="Y706" s="156"/>
      <c r="Z706" s="154"/>
      <c r="AA706" s="473"/>
      <c r="AB706" s="156"/>
      <c r="AC706" s="156"/>
      <c r="AD706" s="156"/>
      <c r="AE706" s="154"/>
      <c r="AF706" s="473"/>
      <c r="AG706" s="156"/>
      <c r="AH706" s="156"/>
      <c r="AI706" s="156"/>
      <c r="AJ706" s="154"/>
      <c r="AK706" s="473"/>
      <c r="AL706" s="156"/>
      <c r="AM706" s="156"/>
      <c r="AN706" s="156"/>
      <c r="AO706" s="452"/>
      <c r="AP706" s="452"/>
      <c r="AQ706" s="452"/>
      <c r="AR706" s="452"/>
      <c r="AS706" s="452"/>
      <c r="AT706" s="452"/>
      <c r="AU706" s="452"/>
      <c r="AV706" s="452"/>
      <c r="AW706" s="452"/>
      <c r="AX706" s="452"/>
      <c r="AY706" s="154"/>
      <c r="AZ706" s="473"/>
      <c r="BA706" s="156"/>
      <c r="BB706" s="156"/>
      <c r="BC706" s="156"/>
      <c r="BD706" s="452"/>
      <c r="BE706" s="452"/>
      <c r="BF706" s="452"/>
      <c r="BG706" s="452"/>
      <c r="BH706" s="452"/>
    </row>
    <row r="707">
      <c r="A707" s="154"/>
      <c r="B707" s="473"/>
      <c r="C707" s="156"/>
      <c r="D707" s="156"/>
      <c r="E707" s="156"/>
      <c r="F707" s="154"/>
      <c r="G707" s="473"/>
      <c r="H707" s="156"/>
      <c r="I707" s="156"/>
      <c r="J707" s="156"/>
      <c r="K707" s="132"/>
      <c r="L707" s="473"/>
      <c r="M707" s="156"/>
      <c r="N707" s="156"/>
      <c r="O707" s="156"/>
      <c r="P707" s="132"/>
      <c r="Q707" s="487"/>
      <c r="R707" s="156"/>
      <c r="S707" s="156"/>
      <c r="T707" s="156"/>
      <c r="U707" s="154"/>
      <c r="V707" s="473"/>
      <c r="W707" s="156"/>
      <c r="X707" s="156"/>
      <c r="Y707" s="156"/>
      <c r="Z707" s="154"/>
      <c r="AA707" s="473"/>
      <c r="AB707" s="156"/>
      <c r="AC707" s="156"/>
      <c r="AD707" s="156"/>
      <c r="AE707" s="154"/>
      <c r="AF707" s="473"/>
      <c r="AG707" s="156"/>
      <c r="AH707" s="156"/>
      <c r="AI707" s="156"/>
      <c r="AJ707" s="154"/>
      <c r="AK707" s="473"/>
      <c r="AL707" s="156"/>
      <c r="AM707" s="156"/>
      <c r="AN707" s="156"/>
      <c r="AO707" s="452"/>
      <c r="AP707" s="452"/>
      <c r="AQ707" s="452"/>
      <c r="AR707" s="452"/>
      <c r="AS707" s="452"/>
      <c r="AT707" s="452"/>
      <c r="AU707" s="452"/>
      <c r="AV707" s="452"/>
      <c r="AW707" s="452"/>
      <c r="AX707" s="452"/>
      <c r="AY707" s="154"/>
      <c r="AZ707" s="473"/>
      <c r="BA707" s="156"/>
      <c r="BB707" s="156"/>
      <c r="BC707" s="156"/>
      <c r="BD707" s="452"/>
      <c r="BE707" s="452"/>
      <c r="BF707" s="452"/>
      <c r="BG707" s="452"/>
      <c r="BH707" s="452"/>
    </row>
    <row r="708">
      <c r="A708" s="154"/>
      <c r="B708" s="473"/>
      <c r="C708" s="156"/>
      <c r="D708" s="156"/>
      <c r="E708" s="156"/>
      <c r="F708" s="154"/>
      <c r="G708" s="473"/>
      <c r="H708" s="156"/>
      <c r="I708" s="156"/>
      <c r="J708" s="156"/>
      <c r="K708" s="132"/>
      <c r="L708" s="473"/>
      <c r="M708" s="156"/>
      <c r="N708" s="156"/>
      <c r="O708" s="156"/>
      <c r="P708" s="132"/>
      <c r="Q708" s="487"/>
      <c r="R708" s="156"/>
      <c r="S708" s="156"/>
      <c r="T708" s="156"/>
      <c r="U708" s="154"/>
      <c r="V708" s="473"/>
      <c r="W708" s="156"/>
      <c r="X708" s="156"/>
      <c r="Y708" s="156"/>
      <c r="Z708" s="154"/>
      <c r="AA708" s="473"/>
      <c r="AB708" s="156"/>
      <c r="AC708" s="156"/>
      <c r="AD708" s="156"/>
      <c r="AE708" s="154"/>
      <c r="AF708" s="473"/>
      <c r="AG708" s="156"/>
      <c r="AH708" s="156"/>
      <c r="AI708" s="156"/>
      <c r="AJ708" s="154"/>
      <c r="AK708" s="473"/>
      <c r="AL708" s="156"/>
      <c r="AM708" s="156"/>
      <c r="AN708" s="156"/>
      <c r="AO708" s="452"/>
      <c r="AP708" s="452"/>
      <c r="AQ708" s="452"/>
      <c r="AR708" s="452"/>
      <c r="AS708" s="452"/>
      <c r="AT708" s="452"/>
      <c r="AU708" s="452"/>
      <c r="AV708" s="452"/>
      <c r="AW708" s="452"/>
      <c r="AX708" s="452"/>
      <c r="AY708" s="154"/>
      <c r="AZ708" s="473"/>
      <c r="BA708" s="156"/>
      <c r="BB708" s="156"/>
      <c r="BC708" s="156"/>
      <c r="BD708" s="452"/>
      <c r="BE708" s="452"/>
      <c r="BF708" s="452"/>
      <c r="BG708" s="452"/>
      <c r="BH708" s="452"/>
    </row>
    <row r="709">
      <c r="A709" s="154"/>
      <c r="B709" s="473"/>
      <c r="C709" s="156"/>
      <c r="D709" s="156"/>
      <c r="E709" s="156"/>
      <c r="F709" s="154"/>
      <c r="G709" s="473"/>
      <c r="H709" s="156"/>
      <c r="I709" s="156"/>
      <c r="J709" s="156"/>
      <c r="K709" s="132"/>
      <c r="L709" s="473"/>
      <c r="M709" s="156"/>
      <c r="N709" s="156"/>
      <c r="O709" s="156"/>
      <c r="P709" s="132"/>
      <c r="Q709" s="487"/>
      <c r="R709" s="156"/>
      <c r="S709" s="156"/>
      <c r="T709" s="156"/>
      <c r="U709" s="154"/>
      <c r="V709" s="473"/>
      <c r="W709" s="156"/>
      <c r="X709" s="156"/>
      <c r="Y709" s="156"/>
      <c r="Z709" s="154"/>
      <c r="AA709" s="473"/>
      <c r="AB709" s="156"/>
      <c r="AC709" s="156"/>
      <c r="AD709" s="156"/>
      <c r="AE709" s="154"/>
      <c r="AF709" s="473"/>
      <c r="AG709" s="156"/>
      <c r="AH709" s="156"/>
      <c r="AI709" s="156"/>
      <c r="AJ709" s="154"/>
      <c r="AK709" s="473"/>
      <c r="AL709" s="156"/>
      <c r="AM709" s="156"/>
      <c r="AN709" s="156"/>
      <c r="AO709" s="452"/>
      <c r="AP709" s="452"/>
      <c r="AQ709" s="452"/>
      <c r="AR709" s="452"/>
      <c r="AS709" s="452"/>
      <c r="AT709" s="452"/>
      <c r="AU709" s="452"/>
      <c r="AV709" s="452"/>
      <c r="AW709" s="452"/>
      <c r="AX709" s="452"/>
      <c r="AY709" s="154"/>
      <c r="AZ709" s="473"/>
      <c r="BA709" s="156"/>
      <c r="BB709" s="156"/>
      <c r="BC709" s="156"/>
      <c r="BD709" s="452"/>
      <c r="BE709" s="452"/>
      <c r="BF709" s="452"/>
      <c r="BG709" s="452"/>
      <c r="BH709" s="452"/>
    </row>
    <row r="710">
      <c r="A710" s="154"/>
      <c r="B710" s="473"/>
      <c r="C710" s="156"/>
      <c r="D710" s="156"/>
      <c r="E710" s="156"/>
      <c r="F710" s="154"/>
      <c r="G710" s="473"/>
      <c r="H710" s="156"/>
      <c r="I710" s="156"/>
      <c r="J710" s="156"/>
      <c r="K710" s="132"/>
      <c r="L710" s="473"/>
      <c r="M710" s="156"/>
      <c r="N710" s="156"/>
      <c r="O710" s="156"/>
      <c r="P710" s="132"/>
      <c r="Q710" s="487"/>
      <c r="R710" s="156"/>
      <c r="S710" s="156"/>
      <c r="T710" s="156"/>
      <c r="U710" s="154"/>
      <c r="V710" s="473"/>
      <c r="W710" s="156"/>
      <c r="X710" s="156"/>
      <c r="Y710" s="156"/>
      <c r="Z710" s="154"/>
      <c r="AA710" s="473"/>
      <c r="AB710" s="156"/>
      <c r="AC710" s="156"/>
      <c r="AD710" s="156"/>
      <c r="AE710" s="154"/>
      <c r="AF710" s="473"/>
      <c r="AG710" s="156"/>
      <c r="AH710" s="156"/>
      <c r="AI710" s="156"/>
      <c r="AJ710" s="154"/>
      <c r="AK710" s="473"/>
      <c r="AL710" s="156"/>
      <c r="AM710" s="156"/>
      <c r="AN710" s="156"/>
      <c r="AO710" s="452"/>
      <c r="AP710" s="452"/>
      <c r="AQ710" s="452"/>
      <c r="AR710" s="452"/>
      <c r="AS710" s="452"/>
      <c r="AT710" s="452"/>
      <c r="AU710" s="452"/>
      <c r="AV710" s="452"/>
      <c r="AW710" s="452"/>
      <c r="AX710" s="452"/>
      <c r="AY710" s="154"/>
      <c r="AZ710" s="473"/>
      <c r="BA710" s="156"/>
      <c r="BB710" s="156"/>
      <c r="BC710" s="156"/>
      <c r="BD710" s="452"/>
      <c r="BE710" s="452"/>
      <c r="BF710" s="452"/>
      <c r="BG710" s="452"/>
      <c r="BH710" s="452"/>
    </row>
    <row r="711">
      <c r="A711" s="154"/>
      <c r="B711" s="473"/>
      <c r="C711" s="156"/>
      <c r="D711" s="156"/>
      <c r="E711" s="156"/>
      <c r="F711" s="154"/>
      <c r="G711" s="473"/>
      <c r="H711" s="156"/>
      <c r="I711" s="156"/>
      <c r="J711" s="156"/>
      <c r="K711" s="132"/>
      <c r="L711" s="473"/>
      <c r="M711" s="156"/>
      <c r="N711" s="156"/>
      <c r="O711" s="156"/>
      <c r="P711" s="132"/>
      <c r="Q711" s="487"/>
      <c r="R711" s="156"/>
      <c r="S711" s="156"/>
      <c r="T711" s="156"/>
      <c r="U711" s="154"/>
      <c r="V711" s="473"/>
      <c r="W711" s="156"/>
      <c r="X711" s="156"/>
      <c r="Y711" s="156"/>
      <c r="Z711" s="154"/>
      <c r="AA711" s="473"/>
      <c r="AB711" s="156"/>
      <c r="AC711" s="156"/>
      <c r="AD711" s="156"/>
      <c r="AE711" s="154"/>
      <c r="AF711" s="473"/>
      <c r="AG711" s="156"/>
      <c r="AH711" s="156"/>
      <c r="AI711" s="156"/>
      <c r="AJ711" s="154"/>
      <c r="AK711" s="473"/>
      <c r="AL711" s="156"/>
      <c r="AM711" s="156"/>
      <c r="AN711" s="156"/>
      <c r="AO711" s="452"/>
      <c r="AP711" s="452"/>
      <c r="AQ711" s="452"/>
      <c r="AR711" s="452"/>
      <c r="AS711" s="452"/>
      <c r="AT711" s="452"/>
      <c r="AU711" s="452"/>
      <c r="AV711" s="452"/>
      <c r="AW711" s="452"/>
      <c r="AX711" s="452"/>
      <c r="AY711" s="154"/>
      <c r="AZ711" s="473"/>
      <c r="BA711" s="156"/>
      <c r="BB711" s="156"/>
      <c r="BC711" s="156"/>
      <c r="BD711" s="452"/>
      <c r="BE711" s="452"/>
      <c r="BF711" s="452"/>
      <c r="BG711" s="452"/>
      <c r="BH711" s="452"/>
    </row>
    <row r="712">
      <c r="A712" s="154"/>
      <c r="B712" s="473"/>
      <c r="C712" s="156"/>
      <c r="D712" s="156"/>
      <c r="E712" s="156"/>
      <c r="F712" s="154"/>
      <c r="G712" s="473"/>
      <c r="H712" s="156"/>
      <c r="I712" s="156"/>
      <c r="J712" s="156"/>
      <c r="K712" s="132"/>
      <c r="L712" s="473"/>
      <c r="M712" s="156"/>
      <c r="N712" s="156"/>
      <c r="O712" s="156"/>
      <c r="P712" s="132"/>
      <c r="Q712" s="487"/>
      <c r="R712" s="156"/>
      <c r="S712" s="156"/>
      <c r="T712" s="156"/>
      <c r="U712" s="154"/>
      <c r="V712" s="473"/>
      <c r="W712" s="156"/>
      <c r="X712" s="156"/>
      <c r="Y712" s="156"/>
      <c r="Z712" s="154"/>
      <c r="AA712" s="473"/>
      <c r="AB712" s="156"/>
      <c r="AC712" s="156"/>
      <c r="AD712" s="156"/>
      <c r="AE712" s="154"/>
      <c r="AF712" s="473"/>
      <c r="AG712" s="156"/>
      <c r="AH712" s="156"/>
      <c r="AI712" s="156"/>
      <c r="AJ712" s="154"/>
      <c r="AK712" s="473"/>
      <c r="AL712" s="156"/>
      <c r="AM712" s="156"/>
      <c r="AN712" s="156"/>
      <c r="AO712" s="452"/>
      <c r="AP712" s="452"/>
      <c r="AQ712" s="452"/>
      <c r="AR712" s="452"/>
      <c r="AS712" s="452"/>
      <c r="AT712" s="452"/>
      <c r="AU712" s="452"/>
      <c r="AV712" s="452"/>
      <c r="AW712" s="452"/>
      <c r="AX712" s="452"/>
      <c r="AY712" s="154"/>
      <c r="AZ712" s="473"/>
      <c r="BA712" s="156"/>
      <c r="BB712" s="156"/>
      <c r="BC712" s="156"/>
      <c r="BD712" s="452"/>
      <c r="BE712" s="452"/>
      <c r="BF712" s="452"/>
      <c r="BG712" s="452"/>
      <c r="BH712" s="452"/>
    </row>
    <row r="713">
      <c r="A713" s="154"/>
      <c r="B713" s="473"/>
      <c r="C713" s="156"/>
      <c r="D713" s="156"/>
      <c r="E713" s="156"/>
      <c r="F713" s="154"/>
      <c r="G713" s="473"/>
      <c r="H713" s="156"/>
      <c r="I713" s="156"/>
      <c r="J713" s="156"/>
      <c r="K713" s="132"/>
      <c r="L713" s="473"/>
      <c r="M713" s="156"/>
      <c r="N713" s="156"/>
      <c r="O713" s="156"/>
      <c r="P713" s="132"/>
      <c r="Q713" s="487"/>
      <c r="R713" s="156"/>
      <c r="S713" s="156"/>
      <c r="T713" s="156"/>
      <c r="U713" s="154"/>
      <c r="V713" s="473"/>
      <c r="W713" s="156"/>
      <c r="X713" s="156"/>
      <c r="Y713" s="156"/>
      <c r="Z713" s="154"/>
      <c r="AA713" s="473"/>
      <c r="AB713" s="156"/>
      <c r="AC713" s="156"/>
      <c r="AD713" s="156"/>
      <c r="AE713" s="154"/>
      <c r="AF713" s="473"/>
      <c r="AG713" s="156"/>
      <c r="AH713" s="156"/>
      <c r="AI713" s="156"/>
      <c r="AJ713" s="154"/>
      <c r="AK713" s="473"/>
      <c r="AL713" s="156"/>
      <c r="AM713" s="156"/>
      <c r="AN713" s="156"/>
      <c r="AO713" s="452"/>
      <c r="AP713" s="452"/>
      <c r="AQ713" s="452"/>
      <c r="AR713" s="452"/>
      <c r="AS713" s="452"/>
      <c r="AT713" s="452"/>
      <c r="AU713" s="452"/>
      <c r="AV713" s="452"/>
      <c r="AW713" s="452"/>
      <c r="AX713" s="452"/>
      <c r="AY713" s="154"/>
      <c r="AZ713" s="473"/>
      <c r="BA713" s="156"/>
      <c r="BB713" s="156"/>
      <c r="BC713" s="156"/>
      <c r="BD713" s="452"/>
      <c r="BE713" s="452"/>
      <c r="BF713" s="452"/>
      <c r="BG713" s="452"/>
      <c r="BH713" s="452"/>
    </row>
    <row r="714">
      <c r="A714" s="154"/>
      <c r="B714" s="473"/>
      <c r="C714" s="156"/>
      <c r="D714" s="156"/>
      <c r="E714" s="156"/>
      <c r="F714" s="154"/>
      <c r="G714" s="473"/>
      <c r="H714" s="156"/>
      <c r="I714" s="156"/>
      <c r="J714" s="156"/>
      <c r="K714" s="132"/>
      <c r="L714" s="473"/>
      <c r="M714" s="156"/>
      <c r="N714" s="156"/>
      <c r="O714" s="156"/>
      <c r="P714" s="132"/>
      <c r="Q714" s="487"/>
      <c r="R714" s="156"/>
      <c r="S714" s="156"/>
      <c r="T714" s="156"/>
      <c r="U714" s="154"/>
      <c r="V714" s="473"/>
      <c r="W714" s="156"/>
      <c r="X714" s="156"/>
      <c r="Y714" s="156"/>
      <c r="Z714" s="154"/>
      <c r="AA714" s="473"/>
      <c r="AB714" s="156"/>
      <c r="AC714" s="156"/>
      <c r="AD714" s="156"/>
      <c r="AE714" s="154"/>
      <c r="AF714" s="473"/>
      <c r="AG714" s="156"/>
      <c r="AH714" s="156"/>
      <c r="AI714" s="156"/>
      <c r="AJ714" s="154"/>
      <c r="AK714" s="473"/>
      <c r="AL714" s="156"/>
      <c r="AM714" s="156"/>
      <c r="AN714" s="156"/>
      <c r="AO714" s="452"/>
      <c r="AP714" s="452"/>
      <c r="AQ714" s="452"/>
      <c r="AR714" s="452"/>
      <c r="AS714" s="452"/>
      <c r="AT714" s="452"/>
      <c r="AU714" s="452"/>
      <c r="AV714" s="452"/>
      <c r="AW714" s="452"/>
      <c r="AX714" s="452"/>
      <c r="AY714" s="154"/>
      <c r="AZ714" s="473"/>
      <c r="BA714" s="156"/>
      <c r="BB714" s="156"/>
      <c r="BC714" s="156"/>
      <c r="BD714" s="452"/>
      <c r="BE714" s="452"/>
      <c r="BF714" s="452"/>
      <c r="BG714" s="452"/>
      <c r="BH714" s="452"/>
    </row>
    <row r="715">
      <c r="A715" s="154"/>
      <c r="B715" s="473"/>
      <c r="C715" s="156"/>
      <c r="D715" s="156"/>
      <c r="E715" s="156"/>
      <c r="F715" s="154"/>
      <c r="G715" s="473"/>
      <c r="H715" s="156"/>
      <c r="I715" s="156"/>
      <c r="J715" s="156"/>
      <c r="K715" s="132"/>
      <c r="L715" s="473"/>
      <c r="M715" s="156"/>
      <c r="N715" s="156"/>
      <c r="O715" s="156"/>
      <c r="P715" s="132"/>
      <c r="Q715" s="487"/>
      <c r="R715" s="156"/>
      <c r="S715" s="156"/>
      <c r="T715" s="156"/>
      <c r="U715" s="154"/>
      <c r="V715" s="473"/>
      <c r="W715" s="156"/>
      <c r="X715" s="156"/>
      <c r="Y715" s="156"/>
      <c r="Z715" s="154"/>
      <c r="AA715" s="473"/>
      <c r="AB715" s="156"/>
      <c r="AC715" s="156"/>
      <c r="AD715" s="156"/>
      <c r="AE715" s="154"/>
      <c r="AF715" s="473"/>
      <c r="AG715" s="156"/>
      <c r="AH715" s="156"/>
      <c r="AI715" s="156"/>
      <c r="AJ715" s="154"/>
      <c r="AK715" s="473"/>
      <c r="AL715" s="156"/>
      <c r="AM715" s="156"/>
      <c r="AN715" s="156"/>
      <c r="AO715" s="452"/>
      <c r="AP715" s="452"/>
      <c r="AQ715" s="452"/>
      <c r="AR715" s="452"/>
      <c r="AS715" s="452"/>
      <c r="AT715" s="452"/>
      <c r="AU715" s="452"/>
      <c r="AV715" s="452"/>
      <c r="AW715" s="452"/>
      <c r="AX715" s="452"/>
      <c r="AY715" s="154"/>
      <c r="AZ715" s="473"/>
      <c r="BA715" s="156"/>
      <c r="BB715" s="156"/>
      <c r="BC715" s="156"/>
      <c r="BD715" s="452"/>
      <c r="BE715" s="452"/>
      <c r="BF715" s="452"/>
      <c r="BG715" s="452"/>
      <c r="BH715" s="452"/>
    </row>
    <row r="716">
      <c r="A716" s="154"/>
      <c r="B716" s="473"/>
      <c r="C716" s="156"/>
      <c r="D716" s="156"/>
      <c r="E716" s="156"/>
      <c r="F716" s="154"/>
      <c r="G716" s="473"/>
      <c r="H716" s="156"/>
      <c r="I716" s="156"/>
      <c r="J716" s="156"/>
      <c r="K716" s="132"/>
      <c r="L716" s="473"/>
      <c r="M716" s="156"/>
      <c r="N716" s="156"/>
      <c r="O716" s="156"/>
      <c r="P716" s="132"/>
      <c r="Q716" s="487"/>
      <c r="R716" s="156"/>
      <c r="S716" s="156"/>
      <c r="T716" s="156"/>
      <c r="U716" s="154"/>
      <c r="V716" s="473"/>
      <c r="W716" s="156"/>
      <c r="X716" s="156"/>
      <c r="Y716" s="156"/>
      <c r="Z716" s="154"/>
      <c r="AA716" s="473"/>
      <c r="AB716" s="156"/>
      <c r="AC716" s="156"/>
      <c r="AD716" s="156"/>
      <c r="AE716" s="154"/>
      <c r="AF716" s="473"/>
      <c r="AG716" s="156"/>
      <c r="AH716" s="156"/>
      <c r="AI716" s="156"/>
      <c r="AJ716" s="154"/>
      <c r="AK716" s="473"/>
      <c r="AL716" s="156"/>
      <c r="AM716" s="156"/>
      <c r="AN716" s="156"/>
      <c r="AO716" s="452"/>
      <c r="AP716" s="452"/>
      <c r="AQ716" s="452"/>
      <c r="AR716" s="452"/>
      <c r="AS716" s="452"/>
      <c r="AT716" s="452"/>
      <c r="AU716" s="452"/>
      <c r="AV716" s="452"/>
      <c r="AW716" s="452"/>
      <c r="AX716" s="452"/>
      <c r="AY716" s="154"/>
      <c r="AZ716" s="473"/>
      <c r="BA716" s="156"/>
      <c r="BB716" s="156"/>
      <c r="BC716" s="156"/>
      <c r="BD716" s="452"/>
      <c r="BE716" s="452"/>
      <c r="BF716" s="452"/>
      <c r="BG716" s="452"/>
      <c r="BH716" s="452"/>
    </row>
    <row r="717">
      <c r="A717" s="154"/>
      <c r="B717" s="473"/>
      <c r="C717" s="156"/>
      <c r="D717" s="156"/>
      <c r="E717" s="156"/>
      <c r="F717" s="154"/>
      <c r="G717" s="473"/>
      <c r="H717" s="156"/>
      <c r="I717" s="156"/>
      <c r="J717" s="156"/>
      <c r="K717" s="132"/>
      <c r="L717" s="473"/>
      <c r="M717" s="156"/>
      <c r="N717" s="156"/>
      <c r="O717" s="156"/>
      <c r="P717" s="132"/>
      <c r="Q717" s="487"/>
      <c r="R717" s="156"/>
      <c r="S717" s="156"/>
      <c r="T717" s="156"/>
      <c r="U717" s="154"/>
      <c r="V717" s="473"/>
      <c r="W717" s="156"/>
      <c r="X717" s="156"/>
      <c r="Y717" s="156"/>
      <c r="Z717" s="154"/>
      <c r="AA717" s="473"/>
      <c r="AB717" s="156"/>
      <c r="AC717" s="156"/>
      <c r="AD717" s="156"/>
      <c r="AE717" s="154"/>
      <c r="AF717" s="473"/>
      <c r="AG717" s="156"/>
      <c r="AH717" s="156"/>
      <c r="AI717" s="156"/>
      <c r="AJ717" s="154"/>
      <c r="AK717" s="473"/>
      <c r="AL717" s="156"/>
      <c r="AM717" s="156"/>
      <c r="AN717" s="156"/>
      <c r="AO717" s="452"/>
      <c r="AP717" s="452"/>
      <c r="AQ717" s="452"/>
      <c r="AR717" s="452"/>
      <c r="AS717" s="452"/>
      <c r="AT717" s="452"/>
      <c r="AU717" s="452"/>
      <c r="AV717" s="452"/>
      <c r="AW717" s="452"/>
      <c r="AX717" s="452"/>
      <c r="AY717" s="154"/>
      <c r="AZ717" s="473"/>
      <c r="BA717" s="156"/>
      <c r="BB717" s="156"/>
      <c r="BC717" s="156"/>
      <c r="BD717" s="452"/>
      <c r="BE717" s="452"/>
      <c r="BF717" s="452"/>
      <c r="BG717" s="452"/>
      <c r="BH717" s="452"/>
    </row>
    <row r="718">
      <c r="A718" s="154"/>
      <c r="B718" s="473"/>
      <c r="C718" s="156"/>
      <c r="D718" s="156"/>
      <c r="E718" s="156"/>
      <c r="F718" s="154"/>
      <c r="G718" s="473"/>
      <c r="H718" s="156"/>
      <c r="I718" s="156"/>
      <c r="J718" s="156"/>
      <c r="K718" s="132"/>
      <c r="L718" s="473"/>
      <c r="M718" s="156"/>
      <c r="N718" s="156"/>
      <c r="O718" s="156"/>
      <c r="P718" s="132"/>
      <c r="Q718" s="487"/>
      <c r="R718" s="156"/>
      <c r="S718" s="156"/>
      <c r="T718" s="156"/>
      <c r="U718" s="154"/>
      <c r="V718" s="473"/>
      <c r="W718" s="156"/>
      <c r="X718" s="156"/>
      <c r="Y718" s="156"/>
      <c r="Z718" s="154"/>
      <c r="AA718" s="473"/>
      <c r="AB718" s="156"/>
      <c r="AC718" s="156"/>
      <c r="AD718" s="156"/>
      <c r="AE718" s="154"/>
      <c r="AF718" s="473"/>
      <c r="AG718" s="156"/>
      <c r="AH718" s="156"/>
      <c r="AI718" s="156"/>
      <c r="AJ718" s="154"/>
      <c r="AK718" s="473"/>
      <c r="AL718" s="156"/>
      <c r="AM718" s="156"/>
      <c r="AN718" s="156"/>
      <c r="AO718" s="452"/>
      <c r="AP718" s="452"/>
      <c r="AQ718" s="452"/>
      <c r="AR718" s="452"/>
      <c r="AS718" s="452"/>
      <c r="AT718" s="452"/>
      <c r="AU718" s="452"/>
      <c r="AV718" s="452"/>
      <c r="AW718" s="452"/>
      <c r="AX718" s="452"/>
      <c r="AY718" s="154"/>
      <c r="AZ718" s="473"/>
      <c r="BA718" s="156"/>
      <c r="BB718" s="156"/>
      <c r="BC718" s="156"/>
      <c r="BD718" s="452"/>
      <c r="BE718" s="452"/>
      <c r="BF718" s="452"/>
      <c r="BG718" s="452"/>
      <c r="BH718" s="452"/>
    </row>
    <row r="719">
      <c r="A719" s="154"/>
      <c r="B719" s="473"/>
      <c r="C719" s="156"/>
      <c r="D719" s="156"/>
      <c r="E719" s="156"/>
      <c r="F719" s="154"/>
      <c r="G719" s="473"/>
      <c r="H719" s="156"/>
      <c r="I719" s="156"/>
      <c r="J719" s="156"/>
      <c r="K719" s="132"/>
      <c r="L719" s="473"/>
      <c r="M719" s="156"/>
      <c r="N719" s="156"/>
      <c r="O719" s="156"/>
      <c r="P719" s="132"/>
      <c r="Q719" s="487"/>
      <c r="R719" s="156"/>
      <c r="S719" s="156"/>
      <c r="T719" s="156"/>
      <c r="U719" s="154"/>
      <c r="V719" s="473"/>
      <c r="W719" s="156"/>
      <c r="X719" s="156"/>
      <c r="Y719" s="156"/>
      <c r="Z719" s="154"/>
      <c r="AA719" s="473"/>
      <c r="AB719" s="156"/>
      <c r="AC719" s="156"/>
      <c r="AD719" s="156"/>
      <c r="AE719" s="154"/>
      <c r="AF719" s="473"/>
      <c r="AG719" s="156"/>
      <c r="AH719" s="156"/>
      <c r="AI719" s="156"/>
      <c r="AJ719" s="154"/>
      <c r="AK719" s="473"/>
      <c r="AL719" s="156"/>
      <c r="AM719" s="156"/>
      <c r="AN719" s="156"/>
      <c r="AO719" s="452"/>
      <c r="AP719" s="452"/>
      <c r="AQ719" s="452"/>
      <c r="AR719" s="452"/>
      <c r="AS719" s="452"/>
      <c r="AT719" s="452"/>
      <c r="AU719" s="452"/>
      <c r="AV719" s="452"/>
      <c r="AW719" s="452"/>
      <c r="AX719" s="452"/>
      <c r="AY719" s="154"/>
      <c r="AZ719" s="473"/>
      <c r="BA719" s="156"/>
      <c r="BB719" s="156"/>
      <c r="BC719" s="156"/>
      <c r="BD719" s="452"/>
      <c r="BE719" s="452"/>
      <c r="BF719" s="452"/>
      <c r="BG719" s="452"/>
      <c r="BH719" s="452"/>
    </row>
    <row r="720">
      <c r="A720" s="154"/>
      <c r="B720" s="473"/>
      <c r="C720" s="156"/>
      <c r="D720" s="156"/>
      <c r="E720" s="156"/>
      <c r="F720" s="154"/>
      <c r="G720" s="473"/>
      <c r="H720" s="156"/>
      <c r="I720" s="156"/>
      <c r="J720" s="156"/>
      <c r="K720" s="132"/>
      <c r="L720" s="473"/>
      <c r="M720" s="156"/>
      <c r="N720" s="156"/>
      <c r="O720" s="156"/>
      <c r="P720" s="132"/>
      <c r="Q720" s="487"/>
      <c r="R720" s="156"/>
      <c r="S720" s="156"/>
      <c r="T720" s="156"/>
      <c r="U720" s="154"/>
      <c r="V720" s="473"/>
      <c r="W720" s="156"/>
      <c r="X720" s="156"/>
      <c r="Y720" s="156"/>
      <c r="Z720" s="154"/>
      <c r="AA720" s="473"/>
      <c r="AB720" s="156"/>
      <c r="AC720" s="156"/>
      <c r="AD720" s="156"/>
      <c r="AE720" s="154"/>
      <c r="AF720" s="473"/>
      <c r="AG720" s="156"/>
      <c r="AH720" s="156"/>
      <c r="AI720" s="156"/>
      <c r="AJ720" s="154"/>
      <c r="AK720" s="473"/>
      <c r="AL720" s="156"/>
      <c r="AM720" s="156"/>
      <c r="AN720" s="156"/>
      <c r="AO720" s="452"/>
      <c r="AP720" s="452"/>
      <c r="AQ720" s="452"/>
      <c r="AR720" s="452"/>
      <c r="AS720" s="452"/>
      <c r="AT720" s="452"/>
      <c r="AU720" s="452"/>
      <c r="AV720" s="452"/>
      <c r="AW720" s="452"/>
      <c r="AX720" s="452"/>
      <c r="AY720" s="154"/>
      <c r="AZ720" s="473"/>
      <c r="BA720" s="156"/>
      <c r="BB720" s="156"/>
      <c r="BC720" s="156"/>
      <c r="BD720" s="452"/>
      <c r="BE720" s="452"/>
      <c r="BF720" s="452"/>
      <c r="BG720" s="452"/>
      <c r="BH720" s="452"/>
    </row>
    <row r="721">
      <c r="A721" s="154"/>
      <c r="B721" s="473"/>
      <c r="C721" s="156"/>
      <c r="D721" s="156"/>
      <c r="E721" s="156"/>
      <c r="F721" s="154"/>
      <c r="G721" s="473"/>
      <c r="H721" s="156"/>
      <c r="I721" s="156"/>
      <c r="J721" s="156"/>
      <c r="K721" s="132"/>
      <c r="L721" s="473"/>
      <c r="M721" s="156"/>
      <c r="N721" s="156"/>
      <c r="O721" s="156"/>
      <c r="P721" s="132"/>
      <c r="Q721" s="487"/>
      <c r="R721" s="156"/>
      <c r="S721" s="156"/>
      <c r="T721" s="156"/>
      <c r="U721" s="154"/>
      <c r="V721" s="473"/>
      <c r="W721" s="156"/>
      <c r="X721" s="156"/>
      <c r="Y721" s="156"/>
      <c r="Z721" s="154"/>
      <c r="AA721" s="473"/>
      <c r="AB721" s="156"/>
      <c r="AC721" s="156"/>
      <c r="AD721" s="156"/>
      <c r="AE721" s="154"/>
      <c r="AF721" s="473"/>
      <c r="AG721" s="156"/>
      <c r="AH721" s="156"/>
      <c r="AI721" s="156"/>
      <c r="AJ721" s="154"/>
      <c r="AK721" s="473"/>
      <c r="AL721" s="156"/>
      <c r="AM721" s="156"/>
      <c r="AN721" s="156"/>
      <c r="AO721" s="452"/>
      <c r="AP721" s="452"/>
      <c r="AQ721" s="452"/>
      <c r="AR721" s="452"/>
      <c r="AS721" s="452"/>
      <c r="AT721" s="452"/>
      <c r="AU721" s="452"/>
      <c r="AV721" s="452"/>
      <c r="AW721" s="452"/>
      <c r="AX721" s="452"/>
      <c r="AY721" s="154"/>
      <c r="AZ721" s="473"/>
      <c r="BA721" s="156"/>
      <c r="BB721" s="156"/>
      <c r="BC721" s="156"/>
      <c r="BD721" s="452"/>
      <c r="BE721" s="452"/>
      <c r="BF721" s="452"/>
      <c r="BG721" s="452"/>
      <c r="BH721" s="452"/>
    </row>
    <row r="722">
      <c r="A722" s="154"/>
      <c r="B722" s="473"/>
      <c r="C722" s="156"/>
      <c r="D722" s="156"/>
      <c r="E722" s="156"/>
      <c r="F722" s="154"/>
      <c r="G722" s="473"/>
      <c r="H722" s="156"/>
      <c r="I722" s="156"/>
      <c r="J722" s="156"/>
      <c r="K722" s="132"/>
      <c r="L722" s="473"/>
      <c r="M722" s="156"/>
      <c r="N722" s="156"/>
      <c r="O722" s="156"/>
      <c r="P722" s="132"/>
      <c r="Q722" s="487"/>
      <c r="R722" s="156"/>
      <c r="S722" s="156"/>
      <c r="T722" s="156"/>
      <c r="U722" s="154"/>
      <c r="V722" s="473"/>
      <c r="W722" s="156"/>
      <c r="X722" s="156"/>
      <c r="Y722" s="156"/>
      <c r="Z722" s="154"/>
      <c r="AA722" s="473"/>
      <c r="AB722" s="156"/>
      <c r="AC722" s="156"/>
      <c r="AD722" s="156"/>
      <c r="AE722" s="154"/>
      <c r="AF722" s="473"/>
      <c r="AG722" s="156"/>
      <c r="AH722" s="156"/>
      <c r="AI722" s="156"/>
      <c r="AJ722" s="154"/>
      <c r="AK722" s="473"/>
      <c r="AL722" s="156"/>
      <c r="AM722" s="156"/>
      <c r="AN722" s="156"/>
      <c r="AO722" s="452"/>
      <c r="AP722" s="452"/>
      <c r="AQ722" s="452"/>
      <c r="AR722" s="452"/>
      <c r="AS722" s="452"/>
      <c r="AT722" s="452"/>
      <c r="AU722" s="452"/>
      <c r="AV722" s="452"/>
      <c r="AW722" s="452"/>
      <c r="AX722" s="452"/>
      <c r="AY722" s="154"/>
      <c r="AZ722" s="473"/>
      <c r="BA722" s="156"/>
      <c r="BB722" s="156"/>
      <c r="BC722" s="156"/>
      <c r="BD722" s="452"/>
      <c r="BE722" s="452"/>
      <c r="BF722" s="452"/>
      <c r="BG722" s="452"/>
      <c r="BH722" s="452"/>
    </row>
    <row r="723">
      <c r="A723" s="154"/>
      <c r="B723" s="473"/>
      <c r="C723" s="156"/>
      <c r="D723" s="156"/>
      <c r="E723" s="156"/>
      <c r="F723" s="154"/>
      <c r="G723" s="473"/>
      <c r="H723" s="156"/>
      <c r="I723" s="156"/>
      <c r="J723" s="156"/>
      <c r="K723" s="132"/>
      <c r="L723" s="473"/>
      <c r="M723" s="156"/>
      <c r="N723" s="156"/>
      <c r="O723" s="156"/>
      <c r="P723" s="132"/>
      <c r="Q723" s="487"/>
      <c r="R723" s="156"/>
      <c r="S723" s="156"/>
      <c r="T723" s="156"/>
      <c r="U723" s="154"/>
      <c r="V723" s="473"/>
      <c r="W723" s="156"/>
      <c r="X723" s="156"/>
      <c r="Y723" s="156"/>
      <c r="Z723" s="154"/>
      <c r="AA723" s="473"/>
      <c r="AB723" s="156"/>
      <c r="AC723" s="156"/>
      <c r="AD723" s="156"/>
      <c r="AE723" s="154"/>
      <c r="AF723" s="473"/>
      <c r="AG723" s="156"/>
      <c r="AH723" s="156"/>
      <c r="AI723" s="156"/>
      <c r="AJ723" s="154"/>
      <c r="AK723" s="473"/>
      <c r="AL723" s="156"/>
      <c r="AM723" s="156"/>
      <c r="AN723" s="156"/>
      <c r="AO723" s="452"/>
      <c r="AP723" s="452"/>
      <c r="AQ723" s="452"/>
      <c r="AR723" s="452"/>
      <c r="AS723" s="452"/>
      <c r="AT723" s="452"/>
      <c r="AU723" s="452"/>
      <c r="AV723" s="452"/>
      <c r="AW723" s="452"/>
      <c r="AX723" s="452"/>
      <c r="AY723" s="154"/>
      <c r="AZ723" s="473"/>
      <c r="BA723" s="156"/>
      <c r="BB723" s="156"/>
      <c r="BC723" s="156"/>
      <c r="BD723" s="452"/>
      <c r="BE723" s="452"/>
      <c r="BF723" s="452"/>
      <c r="BG723" s="452"/>
      <c r="BH723" s="452"/>
    </row>
    <row r="724">
      <c r="A724" s="154"/>
      <c r="B724" s="473"/>
      <c r="C724" s="156"/>
      <c r="D724" s="156"/>
      <c r="E724" s="156"/>
      <c r="F724" s="154"/>
      <c r="G724" s="473"/>
      <c r="H724" s="156"/>
      <c r="I724" s="156"/>
      <c r="J724" s="156"/>
      <c r="K724" s="132"/>
      <c r="L724" s="473"/>
      <c r="M724" s="156"/>
      <c r="N724" s="156"/>
      <c r="O724" s="156"/>
      <c r="P724" s="132"/>
      <c r="Q724" s="487"/>
      <c r="R724" s="156"/>
      <c r="S724" s="156"/>
      <c r="T724" s="156"/>
      <c r="U724" s="154"/>
      <c r="V724" s="473"/>
      <c r="W724" s="156"/>
      <c r="X724" s="156"/>
      <c r="Y724" s="156"/>
      <c r="Z724" s="154"/>
      <c r="AA724" s="473"/>
      <c r="AB724" s="156"/>
      <c r="AC724" s="156"/>
      <c r="AD724" s="156"/>
      <c r="AE724" s="154"/>
      <c r="AF724" s="473"/>
      <c r="AG724" s="156"/>
      <c r="AH724" s="156"/>
      <c r="AI724" s="156"/>
      <c r="AJ724" s="154"/>
      <c r="AK724" s="473"/>
      <c r="AL724" s="156"/>
      <c r="AM724" s="156"/>
      <c r="AN724" s="156"/>
      <c r="AO724" s="452"/>
      <c r="AP724" s="452"/>
      <c r="AQ724" s="452"/>
      <c r="AR724" s="452"/>
      <c r="AS724" s="452"/>
      <c r="AT724" s="452"/>
      <c r="AU724" s="452"/>
      <c r="AV724" s="452"/>
      <c r="AW724" s="452"/>
      <c r="AX724" s="452"/>
      <c r="AY724" s="154"/>
      <c r="AZ724" s="473"/>
      <c r="BA724" s="156"/>
      <c r="BB724" s="156"/>
      <c r="BC724" s="156"/>
      <c r="BD724" s="452"/>
      <c r="BE724" s="452"/>
      <c r="BF724" s="452"/>
      <c r="BG724" s="452"/>
      <c r="BH724" s="452"/>
    </row>
    <row r="725">
      <c r="A725" s="154"/>
      <c r="B725" s="473"/>
      <c r="C725" s="156"/>
      <c r="D725" s="156"/>
      <c r="E725" s="156"/>
      <c r="F725" s="154"/>
      <c r="G725" s="473"/>
      <c r="H725" s="156"/>
      <c r="I725" s="156"/>
      <c r="J725" s="156"/>
      <c r="K725" s="132"/>
      <c r="L725" s="473"/>
      <c r="M725" s="156"/>
      <c r="N725" s="156"/>
      <c r="O725" s="156"/>
      <c r="P725" s="132"/>
      <c r="Q725" s="487"/>
      <c r="R725" s="156"/>
      <c r="S725" s="156"/>
      <c r="T725" s="156"/>
      <c r="U725" s="154"/>
      <c r="V725" s="473"/>
      <c r="W725" s="156"/>
      <c r="X725" s="156"/>
      <c r="Y725" s="156"/>
      <c r="Z725" s="154"/>
      <c r="AA725" s="473"/>
      <c r="AB725" s="156"/>
      <c r="AC725" s="156"/>
      <c r="AD725" s="156"/>
      <c r="AE725" s="154"/>
      <c r="AF725" s="473"/>
      <c r="AG725" s="156"/>
      <c r="AH725" s="156"/>
      <c r="AI725" s="156"/>
      <c r="AJ725" s="154"/>
      <c r="AK725" s="473"/>
      <c r="AL725" s="156"/>
      <c r="AM725" s="156"/>
      <c r="AN725" s="156"/>
      <c r="AO725" s="452"/>
      <c r="AP725" s="452"/>
      <c r="AQ725" s="452"/>
      <c r="AR725" s="452"/>
      <c r="AS725" s="452"/>
      <c r="AT725" s="452"/>
      <c r="AU725" s="452"/>
      <c r="AV725" s="452"/>
      <c r="AW725" s="452"/>
      <c r="AX725" s="452"/>
      <c r="AY725" s="154"/>
      <c r="AZ725" s="473"/>
      <c r="BA725" s="156"/>
      <c r="BB725" s="156"/>
      <c r="BC725" s="156"/>
      <c r="BD725" s="452"/>
      <c r="BE725" s="452"/>
      <c r="BF725" s="452"/>
      <c r="BG725" s="452"/>
      <c r="BH725" s="452"/>
    </row>
    <row r="726">
      <c r="A726" s="154"/>
      <c r="B726" s="473"/>
      <c r="C726" s="156"/>
      <c r="D726" s="156"/>
      <c r="E726" s="156"/>
      <c r="F726" s="154"/>
      <c r="G726" s="473"/>
      <c r="H726" s="156"/>
      <c r="I726" s="156"/>
      <c r="J726" s="156"/>
      <c r="K726" s="132"/>
      <c r="L726" s="473"/>
      <c r="M726" s="156"/>
      <c r="N726" s="156"/>
      <c r="O726" s="156"/>
      <c r="P726" s="132"/>
      <c r="Q726" s="487"/>
      <c r="R726" s="156"/>
      <c r="S726" s="156"/>
      <c r="T726" s="156"/>
      <c r="U726" s="154"/>
      <c r="V726" s="473"/>
      <c r="W726" s="156"/>
      <c r="X726" s="156"/>
      <c r="Y726" s="156"/>
      <c r="Z726" s="154"/>
      <c r="AA726" s="473"/>
      <c r="AB726" s="156"/>
      <c r="AC726" s="156"/>
      <c r="AD726" s="156"/>
      <c r="AE726" s="154"/>
      <c r="AF726" s="473"/>
      <c r="AG726" s="156"/>
      <c r="AH726" s="156"/>
      <c r="AI726" s="156"/>
      <c r="AJ726" s="154"/>
      <c r="AK726" s="473"/>
      <c r="AL726" s="156"/>
      <c r="AM726" s="156"/>
      <c r="AN726" s="156"/>
      <c r="AO726" s="452"/>
      <c r="AP726" s="452"/>
      <c r="AQ726" s="452"/>
      <c r="AR726" s="452"/>
      <c r="AS726" s="452"/>
      <c r="AT726" s="452"/>
      <c r="AU726" s="452"/>
      <c r="AV726" s="452"/>
      <c r="AW726" s="452"/>
      <c r="AX726" s="452"/>
      <c r="AY726" s="154"/>
      <c r="AZ726" s="473"/>
      <c r="BA726" s="156"/>
      <c r="BB726" s="156"/>
      <c r="BC726" s="156"/>
      <c r="BD726" s="452"/>
      <c r="BE726" s="452"/>
      <c r="BF726" s="452"/>
      <c r="BG726" s="452"/>
      <c r="BH726" s="452"/>
    </row>
    <row r="727">
      <c r="A727" s="154"/>
      <c r="B727" s="473"/>
      <c r="C727" s="156"/>
      <c r="D727" s="156"/>
      <c r="E727" s="156"/>
      <c r="F727" s="154"/>
      <c r="G727" s="473"/>
      <c r="H727" s="156"/>
      <c r="I727" s="156"/>
      <c r="J727" s="156"/>
      <c r="K727" s="132"/>
      <c r="L727" s="473"/>
      <c r="M727" s="156"/>
      <c r="N727" s="156"/>
      <c r="O727" s="156"/>
      <c r="P727" s="132"/>
      <c r="Q727" s="487"/>
      <c r="R727" s="156"/>
      <c r="S727" s="156"/>
      <c r="T727" s="156"/>
      <c r="U727" s="154"/>
      <c r="V727" s="473"/>
      <c r="W727" s="156"/>
      <c r="X727" s="156"/>
      <c r="Y727" s="156"/>
      <c r="Z727" s="154"/>
      <c r="AA727" s="473"/>
      <c r="AB727" s="156"/>
      <c r="AC727" s="156"/>
      <c r="AD727" s="156"/>
      <c r="AE727" s="154"/>
      <c r="AF727" s="473"/>
      <c r="AG727" s="156"/>
      <c r="AH727" s="156"/>
      <c r="AI727" s="156"/>
      <c r="AJ727" s="154"/>
      <c r="AK727" s="473"/>
      <c r="AL727" s="156"/>
      <c r="AM727" s="156"/>
      <c r="AN727" s="156"/>
      <c r="AO727" s="452"/>
      <c r="AP727" s="452"/>
      <c r="AQ727" s="452"/>
      <c r="AR727" s="452"/>
      <c r="AS727" s="452"/>
      <c r="AT727" s="452"/>
      <c r="AU727" s="452"/>
      <c r="AV727" s="452"/>
      <c r="AW727" s="452"/>
      <c r="AX727" s="452"/>
      <c r="AY727" s="154"/>
      <c r="AZ727" s="473"/>
      <c r="BA727" s="156"/>
      <c r="BB727" s="156"/>
      <c r="BC727" s="156"/>
      <c r="BD727" s="452"/>
      <c r="BE727" s="452"/>
      <c r="BF727" s="452"/>
      <c r="BG727" s="452"/>
      <c r="BH727" s="452"/>
    </row>
    <row r="728">
      <c r="A728" s="154"/>
      <c r="B728" s="473"/>
      <c r="C728" s="156"/>
      <c r="D728" s="156"/>
      <c r="E728" s="156"/>
      <c r="F728" s="154"/>
      <c r="G728" s="473"/>
      <c r="H728" s="156"/>
      <c r="I728" s="156"/>
      <c r="J728" s="156"/>
      <c r="K728" s="132"/>
      <c r="L728" s="473"/>
      <c r="M728" s="156"/>
      <c r="N728" s="156"/>
      <c r="O728" s="156"/>
      <c r="P728" s="132"/>
      <c r="Q728" s="487"/>
      <c r="R728" s="156"/>
      <c r="S728" s="156"/>
      <c r="T728" s="156"/>
      <c r="U728" s="154"/>
      <c r="V728" s="473"/>
      <c r="W728" s="156"/>
      <c r="X728" s="156"/>
      <c r="Y728" s="156"/>
      <c r="Z728" s="154"/>
      <c r="AA728" s="473"/>
      <c r="AB728" s="156"/>
      <c r="AC728" s="156"/>
      <c r="AD728" s="156"/>
      <c r="AE728" s="154"/>
      <c r="AF728" s="473"/>
      <c r="AG728" s="156"/>
      <c r="AH728" s="156"/>
      <c r="AI728" s="156"/>
      <c r="AJ728" s="154"/>
      <c r="AK728" s="473"/>
      <c r="AL728" s="156"/>
      <c r="AM728" s="156"/>
      <c r="AN728" s="156"/>
      <c r="AO728" s="452"/>
      <c r="AP728" s="452"/>
      <c r="AQ728" s="452"/>
      <c r="AR728" s="452"/>
      <c r="AS728" s="452"/>
      <c r="AT728" s="452"/>
      <c r="AU728" s="452"/>
      <c r="AV728" s="452"/>
      <c r="AW728" s="452"/>
      <c r="AX728" s="452"/>
      <c r="AY728" s="154"/>
      <c r="AZ728" s="473"/>
      <c r="BA728" s="156"/>
      <c r="BB728" s="156"/>
      <c r="BC728" s="156"/>
      <c r="BD728" s="452"/>
      <c r="BE728" s="452"/>
      <c r="BF728" s="452"/>
      <c r="BG728" s="452"/>
      <c r="BH728" s="452"/>
    </row>
    <row r="729">
      <c r="A729" s="154"/>
      <c r="B729" s="473"/>
      <c r="C729" s="156"/>
      <c r="D729" s="156"/>
      <c r="E729" s="156"/>
      <c r="F729" s="154"/>
      <c r="G729" s="473"/>
      <c r="H729" s="156"/>
      <c r="I729" s="156"/>
      <c r="J729" s="156"/>
      <c r="K729" s="132"/>
      <c r="L729" s="473"/>
      <c r="M729" s="156"/>
      <c r="N729" s="156"/>
      <c r="O729" s="156"/>
      <c r="P729" s="132"/>
      <c r="Q729" s="487"/>
      <c r="R729" s="156"/>
      <c r="S729" s="156"/>
      <c r="T729" s="156"/>
      <c r="U729" s="154"/>
      <c r="V729" s="473"/>
      <c r="W729" s="156"/>
      <c r="X729" s="156"/>
      <c r="Y729" s="156"/>
      <c r="Z729" s="154"/>
      <c r="AA729" s="473"/>
      <c r="AB729" s="156"/>
      <c r="AC729" s="156"/>
      <c r="AD729" s="156"/>
      <c r="AE729" s="154"/>
      <c r="AF729" s="473"/>
      <c r="AG729" s="156"/>
      <c r="AH729" s="156"/>
      <c r="AI729" s="156"/>
      <c r="AJ729" s="154"/>
      <c r="AK729" s="473"/>
      <c r="AL729" s="156"/>
      <c r="AM729" s="156"/>
      <c r="AN729" s="156"/>
      <c r="AO729" s="452"/>
      <c r="AP729" s="452"/>
      <c r="AQ729" s="452"/>
      <c r="AR729" s="452"/>
      <c r="AS729" s="452"/>
      <c r="AT729" s="452"/>
      <c r="AU729" s="452"/>
      <c r="AV729" s="452"/>
      <c r="AW729" s="452"/>
      <c r="AX729" s="452"/>
      <c r="AY729" s="154"/>
      <c r="AZ729" s="473"/>
      <c r="BA729" s="156"/>
      <c r="BB729" s="156"/>
      <c r="BC729" s="156"/>
      <c r="BD729" s="452"/>
      <c r="BE729" s="452"/>
      <c r="BF729" s="452"/>
      <c r="BG729" s="452"/>
      <c r="BH729" s="452"/>
    </row>
    <row r="730">
      <c r="A730" s="154"/>
      <c r="B730" s="473"/>
      <c r="C730" s="156"/>
      <c r="D730" s="156"/>
      <c r="E730" s="156"/>
      <c r="F730" s="154"/>
      <c r="G730" s="473"/>
      <c r="H730" s="156"/>
      <c r="I730" s="156"/>
      <c r="J730" s="156"/>
      <c r="K730" s="132"/>
      <c r="L730" s="473"/>
      <c r="M730" s="156"/>
      <c r="N730" s="156"/>
      <c r="O730" s="156"/>
      <c r="P730" s="132"/>
      <c r="Q730" s="487"/>
      <c r="R730" s="156"/>
      <c r="S730" s="156"/>
      <c r="T730" s="156"/>
      <c r="U730" s="154"/>
      <c r="V730" s="473"/>
      <c r="W730" s="156"/>
      <c r="X730" s="156"/>
      <c r="Y730" s="156"/>
      <c r="Z730" s="154"/>
      <c r="AA730" s="473"/>
      <c r="AB730" s="156"/>
      <c r="AC730" s="156"/>
      <c r="AD730" s="156"/>
      <c r="AE730" s="154"/>
      <c r="AF730" s="473"/>
      <c r="AG730" s="156"/>
      <c r="AH730" s="156"/>
      <c r="AI730" s="156"/>
      <c r="AJ730" s="154"/>
      <c r="AK730" s="473"/>
      <c r="AL730" s="156"/>
      <c r="AM730" s="156"/>
      <c r="AN730" s="156"/>
      <c r="AO730" s="452"/>
      <c r="AP730" s="452"/>
      <c r="AQ730" s="452"/>
      <c r="AR730" s="452"/>
      <c r="AS730" s="452"/>
      <c r="AT730" s="452"/>
      <c r="AU730" s="452"/>
      <c r="AV730" s="452"/>
      <c r="AW730" s="452"/>
      <c r="AX730" s="452"/>
      <c r="AY730" s="154"/>
      <c r="AZ730" s="473"/>
      <c r="BA730" s="156"/>
      <c r="BB730" s="156"/>
      <c r="BC730" s="156"/>
      <c r="BD730" s="452"/>
      <c r="BE730" s="452"/>
      <c r="BF730" s="452"/>
      <c r="BG730" s="452"/>
      <c r="BH730" s="452"/>
    </row>
    <row r="731">
      <c r="A731" s="154"/>
      <c r="B731" s="473"/>
      <c r="C731" s="156"/>
      <c r="D731" s="156"/>
      <c r="E731" s="156"/>
      <c r="F731" s="154"/>
      <c r="G731" s="473"/>
      <c r="H731" s="156"/>
      <c r="I731" s="156"/>
      <c r="J731" s="156"/>
      <c r="K731" s="132"/>
      <c r="L731" s="473"/>
      <c r="M731" s="156"/>
      <c r="N731" s="156"/>
      <c r="O731" s="156"/>
      <c r="P731" s="132"/>
      <c r="Q731" s="487"/>
      <c r="R731" s="156"/>
      <c r="S731" s="156"/>
      <c r="T731" s="156"/>
      <c r="U731" s="154"/>
      <c r="V731" s="473"/>
      <c r="W731" s="156"/>
      <c r="X731" s="156"/>
      <c r="Y731" s="156"/>
      <c r="Z731" s="154"/>
      <c r="AA731" s="473"/>
      <c r="AB731" s="156"/>
      <c r="AC731" s="156"/>
      <c r="AD731" s="156"/>
      <c r="AE731" s="154"/>
      <c r="AF731" s="473"/>
      <c r="AG731" s="156"/>
      <c r="AH731" s="156"/>
      <c r="AI731" s="156"/>
      <c r="AJ731" s="154"/>
      <c r="AK731" s="473"/>
      <c r="AL731" s="156"/>
      <c r="AM731" s="156"/>
      <c r="AN731" s="156"/>
      <c r="AO731" s="452"/>
      <c r="AP731" s="452"/>
      <c r="AQ731" s="452"/>
      <c r="AR731" s="452"/>
      <c r="AS731" s="452"/>
      <c r="AT731" s="452"/>
      <c r="AU731" s="452"/>
      <c r="AV731" s="452"/>
      <c r="AW731" s="452"/>
      <c r="AX731" s="452"/>
      <c r="AY731" s="154"/>
      <c r="AZ731" s="473"/>
      <c r="BA731" s="156"/>
      <c r="BB731" s="156"/>
      <c r="BC731" s="156"/>
      <c r="BD731" s="452"/>
      <c r="BE731" s="452"/>
      <c r="BF731" s="452"/>
      <c r="BG731" s="452"/>
      <c r="BH731" s="452"/>
    </row>
    <row r="732">
      <c r="A732" s="154"/>
      <c r="B732" s="473"/>
      <c r="C732" s="156"/>
      <c r="D732" s="156"/>
      <c r="E732" s="156"/>
      <c r="F732" s="154"/>
      <c r="G732" s="473"/>
      <c r="H732" s="156"/>
      <c r="I732" s="156"/>
      <c r="J732" s="156"/>
      <c r="K732" s="132"/>
      <c r="L732" s="473"/>
      <c r="M732" s="156"/>
      <c r="N732" s="156"/>
      <c r="O732" s="156"/>
      <c r="P732" s="132"/>
      <c r="Q732" s="487"/>
      <c r="R732" s="156"/>
      <c r="S732" s="156"/>
      <c r="T732" s="156"/>
      <c r="U732" s="154"/>
      <c r="V732" s="473"/>
      <c r="W732" s="156"/>
      <c r="X732" s="156"/>
      <c r="Y732" s="156"/>
      <c r="Z732" s="154"/>
      <c r="AA732" s="473"/>
      <c r="AB732" s="156"/>
      <c r="AC732" s="156"/>
      <c r="AD732" s="156"/>
      <c r="AE732" s="154"/>
      <c r="AF732" s="473"/>
      <c r="AG732" s="156"/>
      <c r="AH732" s="156"/>
      <c r="AI732" s="156"/>
      <c r="AJ732" s="154"/>
      <c r="AK732" s="473"/>
      <c r="AL732" s="156"/>
      <c r="AM732" s="156"/>
      <c r="AN732" s="156"/>
      <c r="AO732" s="452"/>
      <c r="AP732" s="452"/>
      <c r="AQ732" s="452"/>
      <c r="AR732" s="452"/>
      <c r="AS732" s="452"/>
      <c r="AT732" s="452"/>
      <c r="AU732" s="452"/>
      <c r="AV732" s="452"/>
      <c r="AW732" s="452"/>
      <c r="AX732" s="452"/>
      <c r="AY732" s="154"/>
      <c r="AZ732" s="473"/>
      <c r="BA732" s="156"/>
      <c r="BB732" s="156"/>
      <c r="BC732" s="156"/>
      <c r="BD732" s="452"/>
      <c r="BE732" s="452"/>
      <c r="BF732" s="452"/>
      <c r="BG732" s="452"/>
      <c r="BH732" s="452"/>
    </row>
    <row r="733">
      <c r="A733" s="154"/>
      <c r="B733" s="473"/>
      <c r="C733" s="156"/>
      <c r="D733" s="156"/>
      <c r="E733" s="156"/>
      <c r="F733" s="154"/>
      <c r="G733" s="473"/>
      <c r="H733" s="156"/>
      <c r="I733" s="156"/>
      <c r="J733" s="156"/>
      <c r="K733" s="132"/>
      <c r="L733" s="473"/>
      <c r="M733" s="156"/>
      <c r="N733" s="156"/>
      <c r="O733" s="156"/>
      <c r="P733" s="132"/>
      <c r="Q733" s="487"/>
      <c r="R733" s="156"/>
      <c r="S733" s="156"/>
      <c r="T733" s="156"/>
      <c r="U733" s="154"/>
      <c r="V733" s="473"/>
      <c r="W733" s="156"/>
      <c r="X733" s="156"/>
      <c r="Y733" s="156"/>
      <c r="Z733" s="154"/>
      <c r="AA733" s="473"/>
      <c r="AB733" s="156"/>
      <c r="AC733" s="156"/>
      <c r="AD733" s="156"/>
      <c r="AE733" s="154"/>
      <c r="AF733" s="473"/>
      <c r="AG733" s="156"/>
      <c r="AH733" s="156"/>
      <c r="AI733" s="156"/>
      <c r="AJ733" s="154"/>
      <c r="AK733" s="473"/>
      <c r="AL733" s="156"/>
      <c r="AM733" s="156"/>
      <c r="AN733" s="156"/>
      <c r="AO733" s="452"/>
      <c r="AP733" s="452"/>
      <c r="AQ733" s="452"/>
      <c r="AR733" s="452"/>
      <c r="AS733" s="452"/>
      <c r="AT733" s="452"/>
      <c r="AU733" s="452"/>
      <c r="AV733" s="452"/>
      <c r="AW733" s="452"/>
      <c r="AX733" s="452"/>
      <c r="AY733" s="154"/>
      <c r="AZ733" s="473"/>
      <c r="BA733" s="156"/>
      <c r="BB733" s="156"/>
      <c r="BC733" s="156"/>
      <c r="BD733" s="452"/>
      <c r="BE733" s="452"/>
      <c r="BF733" s="452"/>
      <c r="BG733" s="452"/>
      <c r="BH733" s="452"/>
    </row>
    <row r="734">
      <c r="A734" s="154"/>
      <c r="B734" s="473"/>
      <c r="C734" s="156"/>
      <c r="D734" s="156"/>
      <c r="E734" s="156"/>
      <c r="F734" s="154"/>
      <c r="G734" s="473"/>
      <c r="H734" s="156"/>
      <c r="I734" s="156"/>
      <c r="J734" s="156"/>
      <c r="K734" s="132"/>
      <c r="L734" s="473"/>
      <c r="M734" s="156"/>
      <c r="N734" s="156"/>
      <c r="O734" s="156"/>
      <c r="P734" s="132"/>
      <c r="Q734" s="487"/>
      <c r="R734" s="156"/>
      <c r="S734" s="156"/>
      <c r="T734" s="156"/>
      <c r="U734" s="154"/>
      <c r="V734" s="473"/>
      <c r="W734" s="156"/>
      <c r="X734" s="156"/>
      <c r="Y734" s="156"/>
      <c r="Z734" s="154"/>
      <c r="AA734" s="473"/>
      <c r="AB734" s="156"/>
      <c r="AC734" s="156"/>
      <c r="AD734" s="156"/>
      <c r="AE734" s="154"/>
      <c r="AF734" s="473"/>
      <c r="AG734" s="156"/>
      <c r="AH734" s="156"/>
      <c r="AI734" s="156"/>
      <c r="AJ734" s="154"/>
      <c r="AK734" s="473"/>
      <c r="AL734" s="156"/>
      <c r="AM734" s="156"/>
      <c r="AN734" s="156"/>
      <c r="AO734" s="452"/>
      <c r="AP734" s="452"/>
      <c r="AQ734" s="452"/>
      <c r="AR734" s="452"/>
      <c r="AS734" s="452"/>
      <c r="AT734" s="452"/>
      <c r="AU734" s="452"/>
      <c r="AV734" s="452"/>
      <c r="AW734" s="452"/>
      <c r="AX734" s="452"/>
      <c r="AY734" s="154"/>
      <c r="AZ734" s="473"/>
      <c r="BA734" s="156"/>
      <c r="BB734" s="156"/>
      <c r="BC734" s="156"/>
      <c r="BD734" s="452"/>
      <c r="BE734" s="452"/>
      <c r="BF734" s="452"/>
      <c r="BG734" s="452"/>
      <c r="BH734" s="452"/>
    </row>
    <row r="735">
      <c r="A735" s="154"/>
      <c r="B735" s="473"/>
      <c r="C735" s="156"/>
      <c r="D735" s="156"/>
      <c r="E735" s="156"/>
      <c r="F735" s="154"/>
      <c r="G735" s="473"/>
      <c r="H735" s="156"/>
      <c r="I735" s="156"/>
      <c r="J735" s="156"/>
      <c r="K735" s="132"/>
      <c r="L735" s="473"/>
      <c r="M735" s="156"/>
      <c r="N735" s="156"/>
      <c r="O735" s="156"/>
      <c r="P735" s="132"/>
      <c r="Q735" s="487"/>
      <c r="R735" s="156"/>
      <c r="S735" s="156"/>
      <c r="T735" s="156"/>
      <c r="U735" s="154"/>
      <c r="V735" s="473"/>
      <c r="W735" s="156"/>
      <c r="X735" s="156"/>
      <c r="Y735" s="156"/>
      <c r="Z735" s="154"/>
      <c r="AA735" s="473"/>
      <c r="AB735" s="156"/>
      <c r="AC735" s="156"/>
      <c r="AD735" s="156"/>
      <c r="AE735" s="154"/>
      <c r="AF735" s="473"/>
      <c r="AG735" s="156"/>
      <c r="AH735" s="156"/>
      <c r="AI735" s="156"/>
      <c r="AJ735" s="154"/>
      <c r="AK735" s="473"/>
      <c r="AL735" s="156"/>
      <c r="AM735" s="156"/>
      <c r="AN735" s="156"/>
      <c r="AO735" s="452"/>
      <c r="AP735" s="452"/>
      <c r="AQ735" s="452"/>
      <c r="AR735" s="452"/>
      <c r="AS735" s="452"/>
      <c r="AT735" s="452"/>
      <c r="AU735" s="452"/>
      <c r="AV735" s="452"/>
      <c r="AW735" s="452"/>
      <c r="AX735" s="452"/>
      <c r="AY735" s="154"/>
      <c r="AZ735" s="473"/>
      <c r="BA735" s="156"/>
      <c r="BB735" s="156"/>
      <c r="BC735" s="156"/>
      <c r="BD735" s="452"/>
      <c r="BE735" s="452"/>
      <c r="BF735" s="452"/>
      <c r="BG735" s="452"/>
      <c r="BH735" s="452"/>
    </row>
    <row r="736">
      <c r="A736" s="154"/>
      <c r="B736" s="473"/>
      <c r="C736" s="156"/>
      <c r="D736" s="156"/>
      <c r="E736" s="156"/>
      <c r="F736" s="154"/>
      <c r="G736" s="473"/>
      <c r="H736" s="156"/>
      <c r="I736" s="156"/>
      <c r="J736" s="156"/>
      <c r="K736" s="132"/>
      <c r="L736" s="473"/>
      <c r="M736" s="156"/>
      <c r="N736" s="156"/>
      <c r="O736" s="156"/>
      <c r="P736" s="132"/>
      <c r="Q736" s="487"/>
      <c r="R736" s="156"/>
      <c r="S736" s="156"/>
      <c r="T736" s="156"/>
      <c r="U736" s="154"/>
      <c r="V736" s="473"/>
      <c r="W736" s="156"/>
      <c r="X736" s="156"/>
      <c r="Y736" s="156"/>
      <c r="Z736" s="154"/>
      <c r="AA736" s="473"/>
      <c r="AB736" s="156"/>
      <c r="AC736" s="156"/>
      <c r="AD736" s="156"/>
      <c r="AE736" s="154"/>
      <c r="AF736" s="473"/>
      <c r="AG736" s="156"/>
      <c r="AH736" s="156"/>
      <c r="AI736" s="156"/>
      <c r="AJ736" s="154"/>
      <c r="AK736" s="473"/>
      <c r="AL736" s="156"/>
      <c r="AM736" s="156"/>
      <c r="AN736" s="156"/>
      <c r="AO736" s="452"/>
      <c r="AP736" s="452"/>
      <c r="AQ736" s="452"/>
      <c r="AR736" s="452"/>
      <c r="AS736" s="452"/>
      <c r="AT736" s="452"/>
      <c r="AU736" s="452"/>
      <c r="AV736" s="452"/>
      <c r="AW736" s="452"/>
      <c r="AX736" s="452"/>
      <c r="AY736" s="154"/>
      <c r="AZ736" s="473"/>
      <c r="BA736" s="156"/>
      <c r="BB736" s="156"/>
      <c r="BC736" s="156"/>
      <c r="BD736" s="452"/>
      <c r="BE736" s="452"/>
      <c r="BF736" s="452"/>
      <c r="BG736" s="452"/>
      <c r="BH736" s="452"/>
    </row>
    <row r="737">
      <c r="A737" s="154"/>
      <c r="B737" s="473"/>
      <c r="C737" s="156"/>
      <c r="D737" s="156"/>
      <c r="E737" s="156"/>
      <c r="F737" s="154"/>
      <c r="G737" s="473"/>
      <c r="H737" s="156"/>
      <c r="I737" s="156"/>
      <c r="J737" s="156"/>
      <c r="K737" s="132"/>
      <c r="L737" s="473"/>
      <c r="M737" s="156"/>
      <c r="N737" s="156"/>
      <c r="O737" s="156"/>
      <c r="P737" s="132"/>
      <c r="Q737" s="487"/>
      <c r="R737" s="156"/>
      <c r="S737" s="156"/>
      <c r="T737" s="156"/>
      <c r="U737" s="154"/>
      <c r="V737" s="473"/>
      <c r="W737" s="156"/>
      <c r="X737" s="156"/>
      <c r="Y737" s="156"/>
      <c r="Z737" s="154"/>
      <c r="AA737" s="473"/>
      <c r="AB737" s="156"/>
      <c r="AC737" s="156"/>
      <c r="AD737" s="156"/>
      <c r="AE737" s="154"/>
      <c r="AF737" s="473"/>
      <c r="AG737" s="156"/>
      <c r="AH737" s="156"/>
      <c r="AI737" s="156"/>
      <c r="AJ737" s="154"/>
      <c r="AK737" s="473"/>
      <c r="AL737" s="156"/>
      <c r="AM737" s="156"/>
      <c r="AN737" s="156"/>
      <c r="AO737" s="452"/>
      <c r="AP737" s="452"/>
      <c r="AQ737" s="452"/>
      <c r="AR737" s="452"/>
      <c r="AS737" s="452"/>
      <c r="AT737" s="452"/>
      <c r="AU737" s="452"/>
      <c r="AV737" s="452"/>
      <c r="AW737" s="452"/>
      <c r="AX737" s="452"/>
      <c r="AY737" s="154"/>
      <c r="AZ737" s="473"/>
      <c r="BA737" s="156"/>
      <c r="BB737" s="156"/>
      <c r="BC737" s="156"/>
      <c r="BD737" s="452"/>
      <c r="BE737" s="452"/>
      <c r="BF737" s="452"/>
      <c r="BG737" s="452"/>
      <c r="BH737" s="452"/>
    </row>
    <row r="738">
      <c r="A738" s="154"/>
      <c r="B738" s="473"/>
      <c r="C738" s="156"/>
      <c r="D738" s="156"/>
      <c r="E738" s="156"/>
      <c r="F738" s="154"/>
      <c r="G738" s="473"/>
      <c r="H738" s="156"/>
      <c r="I738" s="156"/>
      <c r="J738" s="156"/>
      <c r="K738" s="132"/>
      <c r="L738" s="473"/>
      <c r="M738" s="156"/>
      <c r="N738" s="156"/>
      <c r="O738" s="156"/>
      <c r="P738" s="132"/>
      <c r="Q738" s="487"/>
      <c r="R738" s="156"/>
      <c r="S738" s="156"/>
      <c r="T738" s="156"/>
      <c r="U738" s="154"/>
      <c r="V738" s="473"/>
      <c r="W738" s="156"/>
      <c r="X738" s="156"/>
      <c r="Y738" s="156"/>
      <c r="Z738" s="154"/>
      <c r="AA738" s="473"/>
      <c r="AB738" s="156"/>
      <c r="AC738" s="156"/>
      <c r="AD738" s="156"/>
      <c r="AE738" s="154"/>
      <c r="AF738" s="473"/>
      <c r="AG738" s="156"/>
      <c r="AH738" s="156"/>
      <c r="AI738" s="156"/>
      <c r="AJ738" s="154"/>
      <c r="AK738" s="473"/>
      <c r="AL738" s="156"/>
      <c r="AM738" s="156"/>
      <c r="AN738" s="156"/>
      <c r="AO738" s="452"/>
      <c r="AP738" s="452"/>
      <c r="AQ738" s="452"/>
      <c r="AR738" s="452"/>
      <c r="AS738" s="452"/>
      <c r="AT738" s="452"/>
      <c r="AU738" s="452"/>
      <c r="AV738" s="452"/>
      <c r="AW738" s="452"/>
      <c r="AX738" s="452"/>
      <c r="AY738" s="154"/>
      <c r="AZ738" s="473"/>
      <c r="BA738" s="156"/>
      <c r="BB738" s="156"/>
      <c r="BC738" s="156"/>
      <c r="BD738" s="452"/>
      <c r="BE738" s="452"/>
      <c r="BF738" s="452"/>
      <c r="BG738" s="452"/>
      <c r="BH738" s="452"/>
    </row>
    <row r="739">
      <c r="A739" s="154"/>
      <c r="B739" s="473"/>
      <c r="C739" s="156"/>
      <c r="D739" s="156"/>
      <c r="E739" s="156"/>
      <c r="F739" s="154"/>
      <c r="G739" s="473"/>
      <c r="H739" s="156"/>
      <c r="I739" s="156"/>
      <c r="J739" s="156"/>
      <c r="K739" s="132"/>
      <c r="L739" s="473"/>
      <c r="M739" s="156"/>
      <c r="N739" s="156"/>
      <c r="O739" s="156"/>
      <c r="P739" s="132"/>
      <c r="Q739" s="487"/>
      <c r="R739" s="156"/>
      <c r="S739" s="156"/>
      <c r="T739" s="156"/>
      <c r="U739" s="154"/>
      <c r="V739" s="473"/>
      <c r="W739" s="156"/>
      <c r="X739" s="156"/>
      <c r="Y739" s="156"/>
      <c r="Z739" s="154"/>
      <c r="AA739" s="473"/>
      <c r="AB739" s="156"/>
      <c r="AC739" s="156"/>
      <c r="AD739" s="156"/>
      <c r="AE739" s="154"/>
      <c r="AF739" s="473"/>
      <c r="AG739" s="156"/>
      <c r="AH739" s="156"/>
      <c r="AI739" s="156"/>
      <c r="AJ739" s="154"/>
      <c r="AK739" s="473"/>
      <c r="AL739" s="156"/>
      <c r="AM739" s="156"/>
      <c r="AN739" s="156"/>
      <c r="AO739" s="452"/>
      <c r="AP739" s="452"/>
      <c r="AQ739" s="452"/>
      <c r="AR739" s="452"/>
      <c r="AS739" s="452"/>
      <c r="AT739" s="452"/>
      <c r="AU739" s="452"/>
      <c r="AV739" s="452"/>
      <c r="AW739" s="452"/>
      <c r="AX739" s="452"/>
      <c r="AY739" s="154"/>
      <c r="AZ739" s="473"/>
      <c r="BA739" s="156"/>
      <c r="BB739" s="156"/>
      <c r="BC739" s="156"/>
      <c r="BD739" s="452"/>
      <c r="BE739" s="452"/>
      <c r="BF739" s="452"/>
      <c r="BG739" s="452"/>
      <c r="BH739" s="452"/>
    </row>
    <row r="740">
      <c r="A740" s="154"/>
      <c r="B740" s="473"/>
      <c r="C740" s="156"/>
      <c r="D740" s="156"/>
      <c r="E740" s="156"/>
      <c r="F740" s="154"/>
      <c r="G740" s="473"/>
      <c r="H740" s="156"/>
      <c r="I740" s="156"/>
      <c r="J740" s="156"/>
      <c r="K740" s="132"/>
      <c r="L740" s="473"/>
      <c r="M740" s="156"/>
      <c r="N740" s="156"/>
      <c r="O740" s="156"/>
      <c r="P740" s="132"/>
      <c r="Q740" s="487"/>
      <c r="R740" s="156"/>
      <c r="S740" s="156"/>
      <c r="T740" s="156"/>
      <c r="U740" s="154"/>
      <c r="V740" s="473"/>
      <c r="W740" s="156"/>
      <c r="X740" s="156"/>
      <c r="Y740" s="156"/>
      <c r="Z740" s="154"/>
      <c r="AA740" s="473"/>
      <c r="AB740" s="156"/>
      <c r="AC740" s="156"/>
      <c r="AD740" s="156"/>
      <c r="AE740" s="154"/>
      <c r="AF740" s="473"/>
      <c r="AG740" s="156"/>
      <c r="AH740" s="156"/>
      <c r="AI740" s="156"/>
      <c r="AJ740" s="154"/>
      <c r="AK740" s="473"/>
      <c r="AL740" s="156"/>
      <c r="AM740" s="156"/>
      <c r="AN740" s="156"/>
      <c r="AO740" s="452"/>
      <c r="AP740" s="452"/>
      <c r="AQ740" s="452"/>
      <c r="AR740" s="452"/>
      <c r="AS740" s="452"/>
      <c r="AT740" s="452"/>
      <c r="AU740" s="452"/>
      <c r="AV740" s="452"/>
      <c r="AW740" s="452"/>
      <c r="AX740" s="452"/>
      <c r="AY740" s="154"/>
      <c r="AZ740" s="473"/>
      <c r="BA740" s="156"/>
      <c r="BB740" s="156"/>
      <c r="BC740" s="156"/>
      <c r="BD740" s="452"/>
      <c r="BE740" s="452"/>
      <c r="BF740" s="452"/>
      <c r="BG740" s="452"/>
      <c r="BH740" s="452"/>
    </row>
    <row r="741">
      <c r="A741" s="154"/>
      <c r="B741" s="473"/>
      <c r="C741" s="156"/>
      <c r="D741" s="156"/>
      <c r="E741" s="156"/>
      <c r="F741" s="154"/>
      <c r="G741" s="473"/>
      <c r="H741" s="156"/>
      <c r="I741" s="156"/>
      <c r="J741" s="156"/>
      <c r="K741" s="132"/>
      <c r="L741" s="473"/>
      <c r="M741" s="156"/>
      <c r="N741" s="156"/>
      <c r="O741" s="156"/>
      <c r="P741" s="132"/>
      <c r="Q741" s="487"/>
      <c r="R741" s="156"/>
      <c r="S741" s="156"/>
      <c r="T741" s="156"/>
      <c r="U741" s="154"/>
      <c r="V741" s="473"/>
      <c r="W741" s="156"/>
      <c r="X741" s="156"/>
      <c r="Y741" s="156"/>
      <c r="Z741" s="154"/>
      <c r="AA741" s="473"/>
      <c r="AB741" s="156"/>
      <c r="AC741" s="156"/>
      <c r="AD741" s="156"/>
      <c r="AE741" s="154"/>
      <c r="AF741" s="473"/>
      <c r="AG741" s="156"/>
      <c r="AH741" s="156"/>
      <c r="AI741" s="156"/>
      <c r="AJ741" s="154"/>
      <c r="AK741" s="473"/>
      <c r="AL741" s="156"/>
      <c r="AM741" s="156"/>
      <c r="AN741" s="156"/>
      <c r="AO741" s="452"/>
      <c r="AP741" s="452"/>
      <c r="AQ741" s="452"/>
      <c r="AR741" s="452"/>
      <c r="AS741" s="452"/>
      <c r="AT741" s="452"/>
      <c r="AU741" s="452"/>
      <c r="AV741" s="452"/>
      <c r="AW741" s="452"/>
      <c r="AX741" s="452"/>
      <c r="AY741" s="154"/>
      <c r="AZ741" s="473"/>
      <c r="BA741" s="156"/>
      <c r="BB741" s="156"/>
      <c r="BC741" s="156"/>
      <c r="BD741" s="452"/>
      <c r="BE741" s="452"/>
      <c r="BF741" s="452"/>
      <c r="BG741" s="452"/>
      <c r="BH741" s="452"/>
    </row>
    <row r="742">
      <c r="A742" s="154"/>
      <c r="B742" s="473"/>
      <c r="C742" s="156"/>
      <c r="D742" s="156"/>
      <c r="E742" s="156"/>
      <c r="F742" s="154"/>
      <c r="G742" s="473"/>
      <c r="H742" s="156"/>
      <c r="I742" s="156"/>
      <c r="J742" s="156"/>
      <c r="K742" s="132"/>
      <c r="L742" s="473"/>
      <c r="M742" s="156"/>
      <c r="N742" s="156"/>
      <c r="O742" s="156"/>
      <c r="P742" s="132"/>
      <c r="Q742" s="487"/>
      <c r="R742" s="156"/>
      <c r="S742" s="156"/>
      <c r="T742" s="156"/>
      <c r="U742" s="154"/>
      <c r="V742" s="473"/>
      <c r="W742" s="156"/>
      <c r="X742" s="156"/>
      <c r="Y742" s="156"/>
      <c r="Z742" s="154"/>
      <c r="AA742" s="473"/>
      <c r="AB742" s="156"/>
      <c r="AC742" s="156"/>
      <c r="AD742" s="156"/>
      <c r="AE742" s="154"/>
      <c r="AF742" s="473"/>
      <c r="AG742" s="156"/>
      <c r="AH742" s="156"/>
      <c r="AI742" s="156"/>
      <c r="AJ742" s="154"/>
      <c r="AK742" s="473"/>
      <c r="AL742" s="156"/>
      <c r="AM742" s="156"/>
      <c r="AN742" s="156"/>
      <c r="AO742" s="452"/>
      <c r="AP742" s="452"/>
      <c r="AQ742" s="452"/>
      <c r="AR742" s="452"/>
      <c r="AS742" s="452"/>
      <c r="AT742" s="452"/>
      <c r="AU742" s="452"/>
      <c r="AV742" s="452"/>
      <c r="AW742" s="452"/>
      <c r="AX742" s="452"/>
      <c r="AY742" s="154"/>
      <c r="AZ742" s="473"/>
      <c r="BA742" s="156"/>
      <c r="BB742" s="156"/>
      <c r="BC742" s="156"/>
      <c r="BD742" s="452"/>
      <c r="BE742" s="452"/>
      <c r="BF742" s="452"/>
      <c r="BG742" s="452"/>
      <c r="BH742" s="452"/>
    </row>
    <row r="743">
      <c r="A743" s="154"/>
      <c r="B743" s="473"/>
      <c r="C743" s="156"/>
      <c r="D743" s="156"/>
      <c r="E743" s="156"/>
      <c r="F743" s="154"/>
      <c r="G743" s="473"/>
      <c r="H743" s="156"/>
      <c r="I743" s="156"/>
      <c r="J743" s="156"/>
      <c r="K743" s="132"/>
      <c r="L743" s="473"/>
      <c r="M743" s="156"/>
      <c r="N743" s="156"/>
      <c r="O743" s="156"/>
      <c r="P743" s="132"/>
      <c r="Q743" s="487"/>
      <c r="R743" s="156"/>
      <c r="S743" s="156"/>
      <c r="T743" s="156"/>
      <c r="U743" s="154"/>
      <c r="V743" s="473"/>
      <c r="W743" s="156"/>
      <c r="X743" s="156"/>
      <c r="Y743" s="156"/>
      <c r="Z743" s="154"/>
      <c r="AA743" s="473"/>
      <c r="AB743" s="156"/>
      <c r="AC743" s="156"/>
      <c r="AD743" s="156"/>
      <c r="AE743" s="154"/>
      <c r="AF743" s="473"/>
      <c r="AG743" s="156"/>
      <c r="AH743" s="156"/>
      <c r="AI743" s="156"/>
      <c r="AJ743" s="154"/>
      <c r="AK743" s="473"/>
      <c r="AL743" s="156"/>
      <c r="AM743" s="156"/>
      <c r="AN743" s="156"/>
      <c r="AO743" s="452"/>
      <c r="AP743" s="452"/>
      <c r="AQ743" s="452"/>
      <c r="AR743" s="452"/>
      <c r="AS743" s="452"/>
      <c r="AT743" s="452"/>
      <c r="AU743" s="452"/>
      <c r="AV743" s="452"/>
      <c r="AW743" s="452"/>
      <c r="AX743" s="452"/>
      <c r="AY743" s="154"/>
      <c r="AZ743" s="473"/>
      <c r="BA743" s="156"/>
      <c r="BB743" s="156"/>
      <c r="BC743" s="156"/>
      <c r="BD743" s="452"/>
      <c r="BE743" s="452"/>
      <c r="BF743" s="452"/>
      <c r="BG743" s="452"/>
      <c r="BH743" s="452"/>
    </row>
    <row r="744">
      <c r="A744" s="154"/>
      <c r="B744" s="473"/>
      <c r="C744" s="156"/>
      <c r="D744" s="156"/>
      <c r="E744" s="156"/>
      <c r="F744" s="154"/>
      <c r="G744" s="473"/>
      <c r="H744" s="156"/>
      <c r="I744" s="156"/>
      <c r="J744" s="156"/>
      <c r="K744" s="132"/>
      <c r="L744" s="473"/>
      <c r="M744" s="156"/>
      <c r="N744" s="156"/>
      <c r="O744" s="156"/>
      <c r="P744" s="132"/>
      <c r="Q744" s="487"/>
      <c r="R744" s="156"/>
      <c r="S744" s="156"/>
      <c r="T744" s="156"/>
      <c r="U744" s="154"/>
      <c r="V744" s="473"/>
      <c r="W744" s="156"/>
      <c r="X744" s="156"/>
      <c r="Y744" s="156"/>
      <c r="Z744" s="154"/>
      <c r="AA744" s="473"/>
      <c r="AB744" s="156"/>
      <c r="AC744" s="156"/>
      <c r="AD744" s="156"/>
      <c r="AE744" s="154"/>
      <c r="AF744" s="473"/>
      <c r="AG744" s="156"/>
      <c r="AH744" s="156"/>
      <c r="AI744" s="156"/>
      <c r="AJ744" s="154"/>
      <c r="AK744" s="473"/>
      <c r="AL744" s="156"/>
      <c r="AM744" s="156"/>
      <c r="AN744" s="156"/>
      <c r="AO744" s="452"/>
      <c r="AP744" s="452"/>
      <c r="AQ744" s="452"/>
      <c r="AR744" s="452"/>
      <c r="AS744" s="452"/>
      <c r="AT744" s="452"/>
      <c r="AU744" s="452"/>
      <c r="AV744" s="452"/>
      <c r="AW744" s="452"/>
      <c r="AX744" s="452"/>
      <c r="AY744" s="154"/>
      <c r="AZ744" s="473"/>
      <c r="BA744" s="156"/>
      <c r="BB744" s="156"/>
      <c r="BC744" s="156"/>
      <c r="BD744" s="452"/>
      <c r="BE744" s="452"/>
      <c r="BF744" s="452"/>
      <c r="BG744" s="452"/>
      <c r="BH744" s="452"/>
    </row>
    <row r="745">
      <c r="A745" s="154"/>
      <c r="B745" s="473"/>
      <c r="C745" s="156"/>
      <c r="D745" s="156"/>
      <c r="E745" s="156"/>
      <c r="F745" s="154"/>
      <c r="G745" s="473"/>
      <c r="H745" s="156"/>
      <c r="I745" s="156"/>
      <c r="J745" s="156"/>
      <c r="K745" s="132"/>
      <c r="L745" s="473"/>
      <c r="M745" s="156"/>
      <c r="N745" s="156"/>
      <c r="O745" s="156"/>
      <c r="P745" s="132"/>
      <c r="Q745" s="487"/>
      <c r="R745" s="156"/>
      <c r="S745" s="156"/>
      <c r="T745" s="156"/>
      <c r="U745" s="154"/>
      <c r="V745" s="473"/>
      <c r="W745" s="156"/>
      <c r="X745" s="156"/>
      <c r="Y745" s="156"/>
      <c r="Z745" s="154"/>
      <c r="AA745" s="473"/>
      <c r="AB745" s="156"/>
      <c r="AC745" s="156"/>
      <c r="AD745" s="156"/>
      <c r="AE745" s="154"/>
      <c r="AF745" s="473"/>
      <c r="AG745" s="156"/>
      <c r="AH745" s="156"/>
      <c r="AI745" s="156"/>
      <c r="AJ745" s="154"/>
      <c r="AK745" s="473"/>
      <c r="AL745" s="156"/>
      <c r="AM745" s="156"/>
      <c r="AN745" s="156"/>
      <c r="AO745" s="452"/>
      <c r="AP745" s="452"/>
      <c r="AQ745" s="452"/>
      <c r="AR745" s="452"/>
      <c r="AS745" s="452"/>
      <c r="AT745" s="452"/>
      <c r="AU745" s="452"/>
      <c r="AV745" s="452"/>
      <c r="AW745" s="452"/>
      <c r="AX745" s="452"/>
      <c r="AY745" s="154"/>
      <c r="AZ745" s="473"/>
      <c r="BA745" s="156"/>
      <c r="BB745" s="156"/>
      <c r="BC745" s="156"/>
      <c r="BD745" s="452"/>
      <c r="BE745" s="452"/>
      <c r="BF745" s="452"/>
      <c r="BG745" s="452"/>
      <c r="BH745" s="452"/>
    </row>
    <row r="746">
      <c r="A746" s="154"/>
      <c r="B746" s="473"/>
      <c r="C746" s="156"/>
      <c r="D746" s="156"/>
      <c r="E746" s="156"/>
      <c r="F746" s="154"/>
      <c r="G746" s="473"/>
      <c r="H746" s="156"/>
      <c r="I746" s="156"/>
      <c r="J746" s="156"/>
      <c r="K746" s="132"/>
      <c r="L746" s="473"/>
      <c r="M746" s="156"/>
      <c r="N746" s="156"/>
      <c r="O746" s="156"/>
      <c r="P746" s="132"/>
      <c r="Q746" s="487"/>
      <c r="R746" s="156"/>
      <c r="S746" s="156"/>
      <c r="T746" s="156"/>
      <c r="U746" s="154"/>
      <c r="V746" s="473"/>
      <c r="W746" s="156"/>
      <c r="X746" s="156"/>
      <c r="Y746" s="156"/>
      <c r="Z746" s="154"/>
      <c r="AA746" s="473"/>
      <c r="AB746" s="156"/>
      <c r="AC746" s="156"/>
      <c r="AD746" s="156"/>
      <c r="AE746" s="154"/>
      <c r="AF746" s="473"/>
      <c r="AG746" s="156"/>
      <c r="AH746" s="156"/>
      <c r="AI746" s="156"/>
      <c r="AJ746" s="154"/>
      <c r="AK746" s="473"/>
      <c r="AL746" s="156"/>
      <c r="AM746" s="156"/>
      <c r="AN746" s="156"/>
      <c r="AO746" s="452"/>
      <c r="AP746" s="452"/>
      <c r="AQ746" s="452"/>
      <c r="AR746" s="452"/>
      <c r="AS746" s="452"/>
      <c r="AT746" s="452"/>
      <c r="AU746" s="452"/>
      <c r="AV746" s="452"/>
      <c r="AW746" s="452"/>
      <c r="AX746" s="452"/>
      <c r="AY746" s="154"/>
      <c r="AZ746" s="473"/>
      <c r="BA746" s="156"/>
      <c r="BB746" s="156"/>
      <c r="BC746" s="156"/>
      <c r="BD746" s="452"/>
      <c r="BE746" s="452"/>
      <c r="BF746" s="452"/>
      <c r="BG746" s="452"/>
      <c r="BH746" s="452"/>
    </row>
    <row r="747">
      <c r="A747" s="154"/>
      <c r="B747" s="473"/>
      <c r="C747" s="156"/>
      <c r="D747" s="156"/>
      <c r="E747" s="156"/>
      <c r="F747" s="154"/>
      <c r="G747" s="473"/>
      <c r="H747" s="156"/>
      <c r="I747" s="156"/>
      <c r="J747" s="156"/>
      <c r="K747" s="132"/>
      <c r="L747" s="473"/>
      <c r="M747" s="156"/>
      <c r="N747" s="156"/>
      <c r="O747" s="156"/>
      <c r="P747" s="132"/>
      <c r="Q747" s="487"/>
      <c r="R747" s="156"/>
      <c r="S747" s="156"/>
      <c r="T747" s="156"/>
      <c r="U747" s="154"/>
      <c r="V747" s="473"/>
      <c r="W747" s="156"/>
      <c r="X747" s="156"/>
      <c r="Y747" s="156"/>
      <c r="Z747" s="154"/>
      <c r="AA747" s="473"/>
      <c r="AB747" s="156"/>
      <c r="AC747" s="156"/>
      <c r="AD747" s="156"/>
      <c r="AE747" s="154"/>
      <c r="AF747" s="473"/>
      <c r="AG747" s="156"/>
      <c r="AH747" s="156"/>
      <c r="AI747" s="156"/>
      <c r="AJ747" s="154"/>
      <c r="AK747" s="473"/>
      <c r="AL747" s="156"/>
      <c r="AM747" s="156"/>
      <c r="AN747" s="156"/>
      <c r="AO747" s="452"/>
      <c r="AP747" s="452"/>
      <c r="AQ747" s="452"/>
      <c r="AR747" s="452"/>
      <c r="AS747" s="452"/>
      <c r="AT747" s="452"/>
      <c r="AU747" s="452"/>
      <c r="AV747" s="452"/>
      <c r="AW747" s="452"/>
      <c r="AX747" s="452"/>
      <c r="AY747" s="154"/>
      <c r="AZ747" s="473"/>
      <c r="BA747" s="156"/>
      <c r="BB747" s="156"/>
      <c r="BC747" s="156"/>
      <c r="BD747" s="452"/>
      <c r="BE747" s="452"/>
      <c r="BF747" s="452"/>
      <c r="BG747" s="452"/>
      <c r="BH747" s="452"/>
    </row>
    <row r="748">
      <c r="A748" s="154"/>
      <c r="B748" s="473"/>
      <c r="C748" s="156"/>
      <c r="D748" s="156"/>
      <c r="E748" s="156"/>
      <c r="F748" s="154"/>
      <c r="G748" s="473"/>
      <c r="H748" s="156"/>
      <c r="I748" s="156"/>
      <c r="J748" s="156"/>
      <c r="K748" s="132"/>
      <c r="L748" s="473"/>
      <c r="M748" s="156"/>
      <c r="N748" s="156"/>
      <c r="O748" s="156"/>
      <c r="P748" s="132"/>
      <c r="Q748" s="487"/>
      <c r="R748" s="156"/>
      <c r="S748" s="156"/>
      <c r="T748" s="156"/>
      <c r="U748" s="154"/>
      <c r="V748" s="473"/>
      <c r="W748" s="156"/>
      <c r="X748" s="156"/>
      <c r="Y748" s="156"/>
      <c r="Z748" s="154"/>
      <c r="AA748" s="473"/>
      <c r="AB748" s="156"/>
      <c r="AC748" s="156"/>
      <c r="AD748" s="156"/>
      <c r="AE748" s="154"/>
      <c r="AF748" s="473"/>
      <c r="AG748" s="156"/>
      <c r="AH748" s="156"/>
      <c r="AI748" s="156"/>
      <c r="AJ748" s="154"/>
      <c r="AK748" s="473"/>
      <c r="AL748" s="156"/>
      <c r="AM748" s="156"/>
      <c r="AN748" s="156"/>
      <c r="AO748" s="452"/>
      <c r="AP748" s="452"/>
      <c r="AQ748" s="452"/>
      <c r="AR748" s="452"/>
      <c r="AS748" s="452"/>
      <c r="AT748" s="452"/>
      <c r="AU748" s="452"/>
      <c r="AV748" s="452"/>
      <c r="AW748" s="452"/>
      <c r="AX748" s="452"/>
      <c r="AY748" s="154"/>
      <c r="AZ748" s="473"/>
      <c r="BA748" s="156"/>
      <c r="BB748" s="156"/>
      <c r="BC748" s="156"/>
      <c r="BD748" s="452"/>
      <c r="BE748" s="452"/>
      <c r="BF748" s="452"/>
      <c r="BG748" s="452"/>
      <c r="BH748" s="452"/>
    </row>
    <row r="749">
      <c r="A749" s="154"/>
      <c r="B749" s="473"/>
      <c r="C749" s="156"/>
      <c r="D749" s="156"/>
      <c r="E749" s="156"/>
      <c r="F749" s="154"/>
      <c r="G749" s="473"/>
      <c r="H749" s="156"/>
      <c r="I749" s="156"/>
      <c r="J749" s="156"/>
      <c r="K749" s="132"/>
      <c r="L749" s="473"/>
      <c r="M749" s="156"/>
      <c r="N749" s="156"/>
      <c r="O749" s="156"/>
      <c r="P749" s="132"/>
      <c r="Q749" s="487"/>
      <c r="R749" s="156"/>
      <c r="S749" s="156"/>
      <c r="T749" s="156"/>
      <c r="U749" s="154"/>
      <c r="V749" s="473"/>
      <c r="W749" s="156"/>
      <c r="X749" s="156"/>
      <c r="Y749" s="156"/>
      <c r="Z749" s="154"/>
      <c r="AA749" s="473"/>
      <c r="AB749" s="156"/>
      <c r="AC749" s="156"/>
      <c r="AD749" s="156"/>
      <c r="AE749" s="154"/>
      <c r="AF749" s="473"/>
      <c r="AG749" s="156"/>
      <c r="AH749" s="156"/>
      <c r="AI749" s="156"/>
      <c r="AJ749" s="154"/>
      <c r="AK749" s="473"/>
      <c r="AL749" s="156"/>
      <c r="AM749" s="156"/>
      <c r="AN749" s="156"/>
      <c r="AO749" s="452"/>
      <c r="AP749" s="452"/>
      <c r="AQ749" s="452"/>
      <c r="AR749" s="452"/>
      <c r="AS749" s="452"/>
      <c r="AT749" s="452"/>
      <c r="AU749" s="452"/>
      <c r="AV749" s="452"/>
      <c r="AW749" s="452"/>
      <c r="AX749" s="452"/>
      <c r="AY749" s="154"/>
      <c r="AZ749" s="473"/>
      <c r="BA749" s="156"/>
      <c r="BB749" s="156"/>
      <c r="BC749" s="156"/>
      <c r="BD749" s="452"/>
      <c r="BE749" s="452"/>
      <c r="BF749" s="452"/>
      <c r="BG749" s="452"/>
      <c r="BH749" s="452"/>
    </row>
    <row r="750">
      <c r="A750" s="154"/>
      <c r="B750" s="473"/>
      <c r="C750" s="156"/>
      <c r="D750" s="156"/>
      <c r="E750" s="156"/>
      <c r="F750" s="154"/>
      <c r="G750" s="473"/>
      <c r="H750" s="156"/>
      <c r="I750" s="156"/>
      <c r="J750" s="156"/>
      <c r="K750" s="132"/>
      <c r="L750" s="473"/>
      <c r="M750" s="156"/>
      <c r="N750" s="156"/>
      <c r="O750" s="156"/>
      <c r="P750" s="132"/>
      <c r="Q750" s="487"/>
      <c r="R750" s="156"/>
      <c r="S750" s="156"/>
      <c r="T750" s="156"/>
      <c r="U750" s="154"/>
      <c r="V750" s="473"/>
      <c r="W750" s="156"/>
      <c r="X750" s="156"/>
      <c r="Y750" s="156"/>
      <c r="Z750" s="154"/>
      <c r="AA750" s="473"/>
      <c r="AB750" s="156"/>
      <c r="AC750" s="156"/>
      <c r="AD750" s="156"/>
      <c r="AE750" s="154"/>
      <c r="AF750" s="473"/>
      <c r="AG750" s="156"/>
      <c r="AH750" s="156"/>
      <c r="AI750" s="156"/>
      <c r="AJ750" s="154"/>
      <c r="AK750" s="473"/>
      <c r="AL750" s="156"/>
      <c r="AM750" s="156"/>
      <c r="AN750" s="156"/>
      <c r="AO750" s="452"/>
      <c r="AP750" s="452"/>
      <c r="AQ750" s="452"/>
      <c r="AR750" s="452"/>
      <c r="AS750" s="452"/>
      <c r="AT750" s="452"/>
      <c r="AU750" s="452"/>
      <c r="AV750" s="452"/>
      <c r="AW750" s="452"/>
      <c r="AX750" s="452"/>
      <c r="AY750" s="154"/>
      <c r="AZ750" s="473"/>
      <c r="BA750" s="156"/>
      <c r="BB750" s="156"/>
      <c r="BC750" s="156"/>
      <c r="BD750" s="452"/>
      <c r="BE750" s="452"/>
      <c r="BF750" s="452"/>
      <c r="BG750" s="452"/>
      <c r="BH750" s="452"/>
    </row>
    <row r="751">
      <c r="A751" s="154"/>
      <c r="B751" s="473"/>
      <c r="C751" s="156"/>
      <c r="D751" s="156"/>
      <c r="E751" s="156"/>
      <c r="F751" s="154"/>
      <c r="G751" s="473"/>
      <c r="H751" s="156"/>
      <c r="I751" s="156"/>
      <c r="J751" s="156"/>
      <c r="K751" s="132"/>
      <c r="L751" s="473"/>
      <c r="M751" s="156"/>
      <c r="N751" s="156"/>
      <c r="O751" s="156"/>
      <c r="P751" s="132"/>
      <c r="Q751" s="487"/>
      <c r="R751" s="156"/>
      <c r="S751" s="156"/>
      <c r="T751" s="156"/>
      <c r="U751" s="154"/>
      <c r="V751" s="473"/>
      <c r="W751" s="156"/>
      <c r="X751" s="156"/>
      <c r="Y751" s="156"/>
      <c r="Z751" s="154"/>
      <c r="AA751" s="473"/>
      <c r="AB751" s="156"/>
      <c r="AC751" s="156"/>
      <c r="AD751" s="156"/>
      <c r="AE751" s="154"/>
      <c r="AF751" s="473"/>
      <c r="AG751" s="156"/>
      <c r="AH751" s="156"/>
      <c r="AI751" s="156"/>
      <c r="AJ751" s="154"/>
      <c r="AK751" s="473"/>
      <c r="AL751" s="156"/>
      <c r="AM751" s="156"/>
      <c r="AN751" s="156"/>
      <c r="AO751" s="452"/>
      <c r="AP751" s="452"/>
      <c r="AQ751" s="452"/>
      <c r="AR751" s="452"/>
      <c r="AS751" s="452"/>
      <c r="AT751" s="452"/>
      <c r="AU751" s="452"/>
      <c r="AV751" s="452"/>
      <c r="AW751" s="452"/>
      <c r="AX751" s="452"/>
      <c r="AY751" s="154"/>
      <c r="AZ751" s="473"/>
      <c r="BA751" s="156"/>
      <c r="BB751" s="156"/>
      <c r="BC751" s="156"/>
      <c r="BD751" s="452"/>
      <c r="BE751" s="452"/>
      <c r="BF751" s="452"/>
      <c r="BG751" s="452"/>
      <c r="BH751" s="452"/>
    </row>
    <row r="752">
      <c r="A752" s="154"/>
      <c r="B752" s="473"/>
      <c r="C752" s="156"/>
      <c r="D752" s="156"/>
      <c r="E752" s="156"/>
      <c r="F752" s="154"/>
      <c r="G752" s="473"/>
      <c r="H752" s="156"/>
      <c r="I752" s="156"/>
      <c r="J752" s="156"/>
      <c r="K752" s="132"/>
      <c r="L752" s="473"/>
      <c r="M752" s="156"/>
      <c r="N752" s="156"/>
      <c r="O752" s="156"/>
      <c r="P752" s="132"/>
      <c r="Q752" s="487"/>
      <c r="R752" s="156"/>
      <c r="S752" s="156"/>
      <c r="T752" s="156"/>
      <c r="U752" s="154"/>
      <c r="V752" s="473"/>
      <c r="W752" s="156"/>
      <c r="X752" s="156"/>
      <c r="Y752" s="156"/>
      <c r="Z752" s="154"/>
      <c r="AA752" s="473"/>
      <c r="AB752" s="156"/>
      <c r="AC752" s="156"/>
      <c r="AD752" s="156"/>
      <c r="AE752" s="154"/>
      <c r="AF752" s="473"/>
      <c r="AG752" s="156"/>
      <c r="AH752" s="156"/>
      <c r="AI752" s="156"/>
      <c r="AJ752" s="154"/>
      <c r="AK752" s="473"/>
      <c r="AL752" s="156"/>
      <c r="AM752" s="156"/>
      <c r="AN752" s="156"/>
      <c r="AO752" s="452"/>
      <c r="AP752" s="452"/>
      <c r="AQ752" s="452"/>
      <c r="AR752" s="452"/>
      <c r="AS752" s="452"/>
      <c r="AT752" s="452"/>
      <c r="AU752" s="452"/>
      <c r="AV752" s="452"/>
      <c r="AW752" s="452"/>
      <c r="AX752" s="452"/>
      <c r="AY752" s="154"/>
      <c r="AZ752" s="473"/>
      <c r="BA752" s="156"/>
      <c r="BB752" s="156"/>
      <c r="BC752" s="156"/>
      <c r="BD752" s="452"/>
      <c r="BE752" s="452"/>
      <c r="BF752" s="452"/>
      <c r="BG752" s="452"/>
      <c r="BH752" s="452"/>
    </row>
    <row r="753">
      <c r="A753" s="154"/>
      <c r="B753" s="473"/>
      <c r="C753" s="156"/>
      <c r="D753" s="156"/>
      <c r="E753" s="156"/>
      <c r="F753" s="154"/>
      <c r="G753" s="473"/>
      <c r="H753" s="156"/>
      <c r="I753" s="156"/>
      <c r="J753" s="156"/>
      <c r="K753" s="132"/>
      <c r="L753" s="473"/>
      <c r="M753" s="156"/>
      <c r="N753" s="156"/>
      <c r="O753" s="156"/>
      <c r="P753" s="132"/>
      <c r="Q753" s="487"/>
      <c r="R753" s="156"/>
      <c r="S753" s="156"/>
      <c r="T753" s="156"/>
      <c r="U753" s="154"/>
      <c r="V753" s="473"/>
      <c r="W753" s="156"/>
      <c r="X753" s="156"/>
      <c r="Y753" s="156"/>
      <c r="Z753" s="154"/>
      <c r="AA753" s="473"/>
      <c r="AB753" s="156"/>
      <c r="AC753" s="156"/>
      <c r="AD753" s="156"/>
      <c r="AE753" s="154"/>
      <c r="AF753" s="473"/>
      <c r="AG753" s="156"/>
      <c r="AH753" s="156"/>
      <c r="AI753" s="156"/>
      <c r="AJ753" s="154"/>
      <c r="AK753" s="473"/>
      <c r="AL753" s="156"/>
      <c r="AM753" s="156"/>
      <c r="AN753" s="156"/>
      <c r="AO753" s="452"/>
      <c r="AP753" s="452"/>
      <c r="AQ753" s="452"/>
      <c r="AR753" s="452"/>
      <c r="AS753" s="452"/>
      <c r="AT753" s="452"/>
      <c r="AU753" s="452"/>
      <c r="AV753" s="452"/>
      <c r="AW753" s="452"/>
      <c r="AX753" s="452"/>
      <c r="AY753" s="154"/>
      <c r="AZ753" s="473"/>
      <c r="BA753" s="156"/>
      <c r="BB753" s="156"/>
      <c r="BC753" s="156"/>
      <c r="BD753" s="452"/>
      <c r="BE753" s="452"/>
      <c r="BF753" s="452"/>
      <c r="BG753" s="452"/>
      <c r="BH753" s="452"/>
    </row>
    <row r="754">
      <c r="A754" s="154"/>
      <c r="B754" s="473"/>
      <c r="C754" s="156"/>
      <c r="D754" s="156"/>
      <c r="E754" s="156"/>
      <c r="F754" s="154"/>
      <c r="G754" s="473"/>
      <c r="H754" s="156"/>
      <c r="I754" s="156"/>
      <c r="J754" s="156"/>
      <c r="K754" s="132"/>
      <c r="L754" s="473"/>
      <c r="M754" s="156"/>
      <c r="N754" s="156"/>
      <c r="O754" s="156"/>
      <c r="P754" s="132"/>
      <c r="Q754" s="487"/>
      <c r="R754" s="156"/>
      <c r="S754" s="156"/>
      <c r="T754" s="156"/>
      <c r="U754" s="154"/>
      <c r="V754" s="473"/>
      <c r="W754" s="156"/>
      <c r="X754" s="156"/>
      <c r="Y754" s="156"/>
      <c r="Z754" s="154"/>
      <c r="AA754" s="473"/>
      <c r="AB754" s="156"/>
      <c r="AC754" s="156"/>
      <c r="AD754" s="156"/>
      <c r="AE754" s="154"/>
      <c r="AF754" s="473"/>
      <c r="AG754" s="156"/>
      <c r="AH754" s="156"/>
      <c r="AI754" s="156"/>
      <c r="AJ754" s="154"/>
      <c r="AK754" s="473"/>
      <c r="AL754" s="156"/>
      <c r="AM754" s="156"/>
      <c r="AN754" s="156"/>
      <c r="AO754" s="452"/>
      <c r="AP754" s="452"/>
      <c r="AQ754" s="452"/>
      <c r="AR754" s="452"/>
      <c r="AS754" s="452"/>
      <c r="AT754" s="452"/>
      <c r="AU754" s="452"/>
      <c r="AV754" s="452"/>
      <c r="AW754" s="452"/>
      <c r="AX754" s="452"/>
      <c r="AY754" s="154"/>
      <c r="AZ754" s="473"/>
      <c r="BA754" s="156"/>
      <c r="BB754" s="156"/>
      <c r="BC754" s="156"/>
      <c r="BD754" s="452"/>
      <c r="BE754" s="452"/>
      <c r="BF754" s="452"/>
      <c r="BG754" s="452"/>
      <c r="BH754" s="452"/>
    </row>
    <row r="755">
      <c r="A755" s="154"/>
      <c r="B755" s="473"/>
      <c r="C755" s="156"/>
      <c r="D755" s="156"/>
      <c r="E755" s="156"/>
      <c r="F755" s="154"/>
      <c r="G755" s="473"/>
      <c r="H755" s="156"/>
      <c r="I755" s="156"/>
      <c r="J755" s="156"/>
      <c r="K755" s="132"/>
      <c r="L755" s="473"/>
      <c r="M755" s="156"/>
      <c r="N755" s="156"/>
      <c r="O755" s="156"/>
      <c r="P755" s="132"/>
      <c r="Q755" s="487"/>
      <c r="R755" s="156"/>
      <c r="S755" s="156"/>
      <c r="T755" s="156"/>
      <c r="U755" s="154"/>
      <c r="V755" s="473"/>
      <c r="W755" s="156"/>
      <c r="X755" s="156"/>
      <c r="Y755" s="156"/>
      <c r="Z755" s="154"/>
      <c r="AA755" s="473"/>
      <c r="AB755" s="156"/>
      <c r="AC755" s="156"/>
      <c r="AD755" s="156"/>
      <c r="AE755" s="154"/>
      <c r="AF755" s="473"/>
      <c r="AG755" s="156"/>
      <c r="AH755" s="156"/>
      <c r="AI755" s="156"/>
      <c r="AJ755" s="154"/>
      <c r="AK755" s="473"/>
      <c r="AL755" s="156"/>
      <c r="AM755" s="156"/>
      <c r="AN755" s="156"/>
      <c r="AO755" s="452"/>
      <c r="AP755" s="452"/>
      <c r="AQ755" s="452"/>
      <c r="AR755" s="452"/>
      <c r="AS755" s="452"/>
      <c r="AT755" s="452"/>
      <c r="AU755" s="452"/>
      <c r="AV755" s="452"/>
      <c r="AW755" s="452"/>
      <c r="AX755" s="452"/>
      <c r="AY755" s="154"/>
      <c r="AZ755" s="473"/>
      <c r="BA755" s="156"/>
      <c r="BB755" s="156"/>
      <c r="BC755" s="156"/>
      <c r="BD755" s="452"/>
      <c r="BE755" s="452"/>
      <c r="BF755" s="452"/>
      <c r="BG755" s="452"/>
      <c r="BH755" s="452"/>
    </row>
    <row r="756">
      <c r="A756" s="154"/>
      <c r="B756" s="473"/>
      <c r="C756" s="156"/>
      <c r="D756" s="156"/>
      <c r="E756" s="156"/>
      <c r="F756" s="154"/>
      <c r="G756" s="473"/>
      <c r="H756" s="156"/>
      <c r="I756" s="156"/>
      <c r="J756" s="156"/>
      <c r="K756" s="132"/>
      <c r="L756" s="473"/>
      <c r="M756" s="156"/>
      <c r="N756" s="156"/>
      <c r="O756" s="156"/>
      <c r="P756" s="132"/>
      <c r="Q756" s="487"/>
      <c r="R756" s="156"/>
      <c r="S756" s="156"/>
      <c r="T756" s="156"/>
      <c r="U756" s="154"/>
      <c r="V756" s="473"/>
      <c r="W756" s="156"/>
      <c r="X756" s="156"/>
      <c r="Y756" s="156"/>
      <c r="Z756" s="154"/>
      <c r="AA756" s="473"/>
      <c r="AB756" s="156"/>
      <c r="AC756" s="156"/>
      <c r="AD756" s="156"/>
      <c r="AE756" s="154"/>
      <c r="AF756" s="473"/>
      <c r="AG756" s="156"/>
      <c r="AH756" s="156"/>
      <c r="AI756" s="156"/>
      <c r="AJ756" s="154"/>
      <c r="AK756" s="473"/>
      <c r="AL756" s="156"/>
      <c r="AM756" s="156"/>
      <c r="AN756" s="156"/>
      <c r="AO756" s="452"/>
      <c r="AP756" s="452"/>
      <c r="AQ756" s="452"/>
      <c r="AR756" s="452"/>
      <c r="AS756" s="452"/>
      <c r="AT756" s="452"/>
      <c r="AU756" s="452"/>
      <c r="AV756" s="452"/>
      <c r="AW756" s="452"/>
      <c r="AX756" s="452"/>
      <c r="AY756" s="154"/>
      <c r="AZ756" s="473"/>
      <c r="BA756" s="156"/>
      <c r="BB756" s="156"/>
      <c r="BC756" s="156"/>
      <c r="BD756" s="452"/>
      <c r="BE756" s="452"/>
      <c r="BF756" s="452"/>
      <c r="BG756" s="452"/>
      <c r="BH756" s="452"/>
    </row>
    <row r="757">
      <c r="A757" s="154"/>
      <c r="B757" s="473"/>
      <c r="C757" s="156"/>
      <c r="D757" s="156"/>
      <c r="E757" s="156"/>
      <c r="F757" s="154"/>
      <c r="G757" s="473"/>
      <c r="H757" s="156"/>
      <c r="I757" s="156"/>
      <c r="J757" s="156"/>
      <c r="K757" s="132"/>
      <c r="L757" s="473"/>
      <c r="M757" s="156"/>
      <c r="N757" s="156"/>
      <c r="O757" s="156"/>
      <c r="P757" s="132"/>
      <c r="Q757" s="487"/>
      <c r="R757" s="156"/>
      <c r="S757" s="156"/>
      <c r="T757" s="156"/>
      <c r="U757" s="154"/>
      <c r="V757" s="473"/>
      <c r="W757" s="156"/>
      <c r="X757" s="156"/>
      <c r="Y757" s="156"/>
      <c r="Z757" s="154"/>
      <c r="AA757" s="473"/>
      <c r="AB757" s="156"/>
      <c r="AC757" s="156"/>
      <c r="AD757" s="156"/>
      <c r="AE757" s="154"/>
      <c r="AF757" s="473"/>
      <c r="AG757" s="156"/>
      <c r="AH757" s="156"/>
      <c r="AI757" s="156"/>
      <c r="AJ757" s="154"/>
      <c r="AK757" s="473"/>
      <c r="AL757" s="156"/>
      <c r="AM757" s="156"/>
      <c r="AN757" s="156"/>
      <c r="AO757" s="452"/>
      <c r="AP757" s="452"/>
      <c r="AQ757" s="452"/>
      <c r="AR757" s="452"/>
      <c r="AS757" s="452"/>
      <c r="AT757" s="452"/>
      <c r="AU757" s="452"/>
      <c r="AV757" s="452"/>
      <c r="AW757" s="452"/>
      <c r="AX757" s="452"/>
      <c r="AY757" s="154"/>
      <c r="AZ757" s="473"/>
      <c r="BA757" s="156"/>
      <c r="BB757" s="156"/>
      <c r="BC757" s="156"/>
      <c r="BD757" s="452"/>
      <c r="BE757" s="452"/>
      <c r="BF757" s="452"/>
      <c r="BG757" s="452"/>
      <c r="BH757" s="452"/>
    </row>
    <row r="758">
      <c r="A758" s="154"/>
      <c r="B758" s="473"/>
      <c r="C758" s="156"/>
      <c r="D758" s="156"/>
      <c r="E758" s="156"/>
      <c r="F758" s="154"/>
      <c r="G758" s="473"/>
      <c r="H758" s="156"/>
      <c r="I758" s="156"/>
      <c r="J758" s="156"/>
      <c r="K758" s="132"/>
      <c r="L758" s="473"/>
      <c r="M758" s="156"/>
      <c r="N758" s="156"/>
      <c r="O758" s="156"/>
      <c r="P758" s="132"/>
      <c r="Q758" s="487"/>
      <c r="R758" s="156"/>
      <c r="S758" s="156"/>
      <c r="T758" s="156"/>
      <c r="U758" s="154"/>
      <c r="V758" s="473"/>
      <c r="W758" s="156"/>
      <c r="X758" s="156"/>
      <c r="Y758" s="156"/>
      <c r="Z758" s="154"/>
      <c r="AA758" s="473"/>
      <c r="AB758" s="156"/>
      <c r="AC758" s="156"/>
      <c r="AD758" s="156"/>
      <c r="AE758" s="154"/>
      <c r="AF758" s="473"/>
      <c r="AG758" s="156"/>
      <c r="AH758" s="156"/>
      <c r="AI758" s="156"/>
      <c r="AJ758" s="154"/>
      <c r="AK758" s="473"/>
      <c r="AL758" s="156"/>
      <c r="AM758" s="156"/>
      <c r="AN758" s="156"/>
      <c r="AO758" s="452"/>
      <c r="AP758" s="452"/>
      <c r="AQ758" s="452"/>
      <c r="AR758" s="452"/>
      <c r="AS758" s="452"/>
      <c r="AT758" s="452"/>
      <c r="AU758" s="452"/>
      <c r="AV758" s="452"/>
      <c r="AW758" s="452"/>
      <c r="AX758" s="452"/>
      <c r="AY758" s="154"/>
      <c r="AZ758" s="473"/>
      <c r="BA758" s="156"/>
      <c r="BB758" s="156"/>
      <c r="BC758" s="156"/>
      <c r="BD758" s="452"/>
      <c r="BE758" s="452"/>
      <c r="BF758" s="452"/>
      <c r="BG758" s="452"/>
      <c r="BH758" s="452"/>
    </row>
    <row r="759">
      <c r="A759" s="154"/>
      <c r="B759" s="473"/>
      <c r="C759" s="156"/>
      <c r="D759" s="156"/>
      <c r="E759" s="156"/>
      <c r="F759" s="154"/>
      <c r="G759" s="473"/>
      <c r="H759" s="156"/>
      <c r="I759" s="156"/>
      <c r="J759" s="156"/>
      <c r="K759" s="132"/>
      <c r="L759" s="473"/>
      <c r="M759" s="156"/>
      <c r="N759" s="156"/>
      <c r="O759" s="156"/>
      <c r="P759" s="132"/>
      <c r="Q759" s="487"/>
      <c r="R759" s="156"/>
      <c r="S759" s="156"/>
      <c r="T759" s="156"/>
      <c r="U759" s="154"/>
      <c r="V759" s="473"/>
      <c r="W759" s="156"/>
      <c r="X759" s="156"/>
      <c r="Y759" s="156"/>
      <c r="Z759" s="154"/>
      <c r="AA759" s="473"/>
      <c r="AB759" s="156"/>
      <c r="AC759" s="156"/>
      <c r="AD759" s="156"/>
      <c r="AE759" s="154"/>
      <c r="AF759" s="473"/>
      <c r="AG759" s="156"/>
      <c r="AH759" s="156"/>
      <c r="AI759" s="156"/>
      <c r="AJ759" s="154"/>
      <c r="AK759" s="473"/>
      <c r="AL759" s="156"/>
      <c r="AM759" s="156"/>
      <c r="AN759" s="156"/>
      <c r="AO759" s="452"/>
      <c r="AP759" s="452"/>
      <c r="AQ759" s="452"/>
      <c r="AR759" s="452"/>
      <c r="AS759" s="452"/>
      <c r="AT759" s="452"/>
      <c r="AU759" s="452"/>
      <c r="AV759" s="452"/>
      <c r="AW759" s="452"/>
      <c r="AX759" s="452"/>
      <c r="AY759" s="154"/>
      <c r="AZ759" s="473"/>
      <c r="BA759" s="156"/>
      <c r="BB759" s="156"/>
      <c r="BC759" s="156"/>
      <c r="BD759" s="452"/>
      <c r="BE759" s="452"/>
      <c r="BF759" s="452"/>
      <c r="BG759" s="452"/>
      <c r="BH759" s="452"/>
    </row>
    <row r="760">
      <c r="A760" s="154"/>
      <c r="B760" s="473"/>
      <c r="C760" s="156"/>
      <c r="D760" s="156"/>
      <c r="E760" s="156"/>
      <c r="F760" s="154"/>
      <c r="G760" s="473"/>
      <c r="H760" s="156"/>
      <c r="I760" s="156"/>
      <c r="J760" s="156"/>
      <c r="K760" s="132"/>
      <c r="L760" s="473"/>
      <c r="M760" s="156"/>
      <c r="N760" s="156"/>
      <c r="O760" s="156"/>
      <c r="P760" s="132"/>
      <c r="Q760" s="487"/>
      <c r="R760" s="156"/>
      <c r="S760" s="156"/>
      <c r="T760" s="156"/>
      <c r="U760" s="154"/>
      <c r="V760" s="473"/>
      <c r="W760" s="156"/>
      <c r="X760" s="156"/>
      <c r="Y760" s="156"/>
      <c r="Z760" s="154"/>
      <c r="AA760" s="473"/>
      <c r="AB760" s="156"/>
      <c r="AC760" s="156"/>
      <c r="AD760" s="156"/>
      <c r="AE760" s="154"/>
      <c r="AF760" s="473"/>
      <c r="AG760" s="156"/>
      <c r="AH760" s="156"/>
      <c r="AI760" s="156"/>
      <c r="AJ760" s="154"/>
      <c r="AK760" s="473"/>
      <c r="AL760" s="156"/>
      <c r="AM760" s="156"/>
      <c r="AN760" s="156"/>
      <c r="AO760" s="452"/>
      <c r="AP760" s="452"/>
      <c r="AQ760" s="452"/>
      <c r="AR760" s="452"/>
      <c r="AS760" s="452"/>
      <c r="AT760" s="452"/>
      <c r="AU760" s="452"/>
      <c r="AV760" s="452"/>
      <c r="AW760" s="452"/>
      <c r="AX760" s="452"/>
      <c r="AY760" s="154"/>
      <c r="AZ760" s="473"/>
      <c r="BA760" s="156"/>
      <c r="BB760" s="156"/>
      <c r="BC760" s="156"/>
      <c r="BD760" s="452"/>
      <c r="BE760" s="452"/>
      <c r="BF760" s="452"/>
      <c r="BG760" s="452"/>
      <c r="BH760" s="452"/>
    </row>
    <row r="761">
      <c r="A761" s="154"/>
      <c r="B761" s="473"/>
      <c r="C761" s="156"/>
      <c r="D761" s="156"/>
      <c r="E761" s="156"/>
      <c r="F761" s="154"/>
      <c r="G761" s="473"/>
      <c r="H761" s="156"/>
      <c r="I761" s="156"/>
      <c r="J761" s="156"/>
      <c r="K761" s="132"/>
      <c r="L761" s="473"/>
      <c r="M761" s="156"/>
      <c r="N761" s="156"/>
      <c r="O761" s="156"/>
      <c r="P761" s="132"/>
      <c r="Q761" s="487"/>
      <c r="R761" s="156"/>
      <c r="S761" s="156"/>
      <c r="T761" s="156"/>
      <c r="U761" s="154"/>
      <c r="V761" s="473"/>
      <c r="W761" s="156"/>
      <c r="X761" s="156"/>
      <c r="Y761" s="156"/>
      <c r="Z761" s="154"/>
      <c r="AA761" s="473"/>
      <c r="AB761" s="156"/>
      <c r="AC761" s="156"/>
      <c r="AD761" s="156"/>
      <c r="AE761" s="154"/>
      <c r="AF761" s="473"/>
      <c r="AG761" s="156"/>
      <c r="AH761" s="156"/>
      <c r="AI761" s="156"/>
      <c r="AJ761" s="154"/>
      <c r="AK761" s="473"/>
      <c r="AL761" s="156"/>
      <c r="AM761" s="156"/>
      <c r="AN761" s="156"/>
      <c r="AO761" s="452"/>
      <c r="AP761" s="452"/>
      <c r="AQ761" s="452"/>
      <c r="AR761" s="452"/>
      <c r="AS761" s="452"/>
      <c r="AT761" s="452"/>
      <c r="AU761" s="452"/>
      <c r="AV761" s="452"/>
      <c r="AW761" s="452"/>
      <c r="AX761" s="452"/>
      <c r="AY761" s="154"/>
      <c r="AZ761" s="473"/>
      <c r="BA761" s="156"/>
      <c r="BB761" s="156"/>
      <c r="BC761" s="156"/>
      <c r="BD761" s="452"/>
      <c r="BE761" s="452"/>
      <c r="BF761" s="452"/>
      <c r="BG761" s="452"/>
      <c r="BH761" s="452"/>
    </row>
    <row r="762">
      <c r="A762" s="154"/>
      <c r="B762" s="473"/>
      <c r="C762" s="156"/>
      <c r="D762" s="156"/>
      <c r="E762" s="156"/>
      <c r="F762" s="154"/>
      <c r="G762" s="473"/>
      <c r="H762" s="156"/>
      <c r="I762" s="156"/>
      <c r="J762" s="156"/>
      <c r="K762" s="132"/>
      <c r="L762" s="473"/>
      <c r="M762" s="156"/>
      <c r="N762" s="156"/>
      <c r="O762" s="156"/>
      <c r="P762" s="132"/>
      <c r="Q762" s="487"/>
      <c r="R762" s="156"/>
      <c r="S762" s="156"/>
      <c r="T762" s="156"/>
      <c r="U762" s="154"/>
      <c r="V762" s="473"/>
      <c r="W762" s="156"/>
      <c r="X762" s="156"/>
      <c r="Y762" s="156"/>
      <c r="Z762" s="154"/>
      <c r="AA762" s="473"/>
      <c r="AB762" s="156"/>
      <c r="AC762" s="156"/>
      <c r="AD762" s="156"/>
      <c r="AE762" s="154"/>
      <c r="AF762" s="473"/>
      <c r="AG762" s="156"/>
      <c r="AH762" s="156"/>
      <c r="AI762" s="156"/>
      <c r="AJ762" s="154"/>
      <c r="AK762" s="473"/>
      <c r="AL762" s="156"/>
      <c r="AM762" s="156"/>
      <c r="AN762" s="156"/>
      <c r="AO762" s="452"/>
      <c r="AP762" s="452"/>
      <c r="AQ762" s="452"/>
      <c r="AR762" s="452"/>
      <c r="AS762" s="452"/>
      <c r="AT762" s="452"/>
      <c r="AU762" s="452"/>
      <c r="AV762" s="452"/>
      <c r="AW762" s="452"/>
      <c r="AX762" s="452"/>
      <c r="AY762" s="154"/>
      <c r="AZ762" s="473"/>
      <c r="BA762" s="156"/>
      <c r="BB762" s="156"/>
      <c r="BC762" s="156"/>
      <c r="BD762" s="452"/>
      <c r="BE762" s="452"/>
      <c r="BF762" s="452"/>
      <c r="BG762" s="452"/>
      <c r="BH762" s="452"/>
    </row>
    <row r="763">
      <c r="A763" s="154"/>
      <c r="B763" s="473"/>
      <c r="C763" s="156"/>
      <c r="D763" s="156"/>
      <c r="E763" s="156"/>
      <c r="F763" s="154"/>
      <c r="G763" s="473"/>
      <c r="H763" s="156"/>
      <c r="I763" s="156"/>
      <c r="J763" s="156"/>
      <c r="K763" s="132"/>
      <c r="L763" s="473"/>
      <c r="M763" s="156"/>
      <c r="N763" s="156"/>
      <c r="O763" s="156"/>
      <c r="P763" s="132"/>
      <c r="Q763" s="487"/>
      <c r="R763" s="156"/>
      <c r="S763" s="156"/>
      <c r="T763" s="156"/>
      <c r="U763" s="154"/>
      <c r="V763" s="473"/>
      <c r="W763" s="156"/>
      <c r="X763" s="156"/>
      <c r="Y763" s="156"/>
      <c r="Z763" s="154"/>
      <c r="AA763" s="473"/>
      <c r="AB763" s="156"/>
      <c r="AC763" s="156"/>
      <c r="AD763" s="156"/>
      <c r="AE763" s="154"/>
      <c r="AF763" s="473"/>
      <c r="AG763" s="156"/>
      <c r="AH763" s="156"/>
      <c r="AI763" s="156"/>
      <c r="AJ763" s="154"/>
      <c r="AK763" s="473"/>
      <c r="AL763" s="156"/>
      <c r="AM763" s="156"/>
      <c r="AN763" s="156"/>
      <c r="AO763" s="452"/>
      <c r="AP763" s="452"/>
      <c r="AQ763" s="452"/>
      <c r="AR763" s="452"/>
      <c r="AS763" s="452"/>
      <c r="AT763" s="452"/>
      <c r="AU763" s="452"/>
      <c r="AV763" s="452"/>
      <c r="AW763" s="452"/>
      <c r="AX763" s="452"/>
      <c r="AY763" s="154"/>
      <c r="AZ763" s="473"/>
      <c r="BA763" s="156"/>
      <c r="BB763" s="156"/>
      <c r="BC763" s="156"/>
      <c r="BD763" s="452"/>
      <c r="BE763" s="452"/>
      <c r="BF763" s="452"/>
      <c r="BG763" s="452"/>
      <c r="BH763" s="452"/>
    </row>
    <row r="764">
      <c r="A764" s="154"/>
      <c r="B764" s="473"/>
      <c r="C764" s="156"/>
      <c r="D764" s="156"/>
      <c r="E764" s="156"/>
      <c r="F764" s="154"/>
      <c r="G764" s="473"/>
      <c r="H764" s="156"/>
      <c r="I764" s="156"/>
      <c r="J764" s="156"/>
      <c r="K764" s="132"/>
      <c r="L764" s="473"/>
      <c r="M764" s="156"/>
      <c r="N764" s="156"/>
      <c r="O764" s="156"/>
      <c r="P764" s="132"/>
      <c r="Q764" s="487"/>
      <c r="R764" s="156"/>
      <c r="S764" s="156"/>
      <c r="T764" s="156"/>
      <c r="U764" s="154"/>
      <c r="V764" s="473"/>
      <c r="W764" s="156"/>
      <c r="X764" s="156"/>
      <c r="Y764" s="156"/>
      <c r="Z764" s="154"/>
      <c r="AA764" s="473"/>
      <c r="AB764" s="156"/>
      <c r="AC764" s="156"/>
      <c r="AD764" s="156"/>
      <c r="AE764" s="154"/>
      <c r="AF764" s="473"/>
      <c r="AG764" s="156"/>
      <c r="AH764" s="156"/>
      <c r="AI764" s="156"/>
      <c r="AJ764" s="154"/>
      <c r="AK764" s="473"/>
      <c r="AL764" s="156"/>
      <c r="AM764" s="156"/>
      <c r="AN764" s="156"/>
      <c r="AO764" s="452"/>
      <c r="AP764" s="452"/>
      <c r="AQ764" s="452"/>
      <c r="AR764" s="452"/>
      <c r="AS764" s="452"/>
      <c r="AT764" s="452"/>
      <c r="AU764" s="452"/>
      <c r="AV764" s="452"/>
      <c r="AW764" s="452"/>
      <c r="AX764" s="452"/>
      <c r="AY764" s="154"/>
      <c r="AZ764" s="473"/>
      <c r="BA764" s="156"/>
      <c r="BB764" s="156"/>
      <c r="BC764" s="156"/>
      <c r="BD764" s="452"/>
      <c r="BE764" s="452"/>
      <c r="BF764" s="452"/>
      <c r="BG764" s="452"/>
      <c r="BH764" s="452"/>
    </row>
    <row r="765">
      <c r="A765" s="154"/>
      <c r="B765" s="473"/>
      <c r="C765" s="156"/>
      <c r="D765" s="156"/>
      <c r="E765" s="156"/>
      <c r="F765" s="154"/>
      <c r="G765" s="473"/>
      <c r="H765" s="156"/>
      <c r="I765" s="156"/>
      <c r="J765" s="156"/>
      <c r="K765" s="132"/>
      <c r="L765" s="473"/>
      <c r="M765" s="156"/>
      <c r="N765" s="156"/>
      <c r="O765" s="156"/>
      <c r="P765" s="132"/>
      <c r="Q765" s="487"/>
      <c r="R765" s="156"/>
      <c r="S765" s="156"/>
      <c r="T765" s="156"/>
      <c r="U765" s="154"/>
      <c r="V765" s="473"/>
      <c r="W765" s="156"/>
      <c r="X765" s="156"/>
      <c r="Y765" s="156"/>
      <c r="Z765" s="154"/>
      <c r="AA765" s="473"/>
      <c r="AB765" s="156"/>
      <c r="AC765" s="156"/>
      <c r="AD765" s="156"/>
      <c r="AE765" s="154"/>
      <c r="AF765" s="473"/>
      <c r="AG765" s="156"/>
      <c r="AH765" s="156"/>
      <c r="AI765" s="156"/>
      <c r="AJ765" s="154"/>
      <c r="AK765" s="473"/>
      <c r="AL765" s="156"/>
      <c r="AM765" s="156"/>
      <c r="AN765" s="156"/>
      <c r="AO765" s="452"/>
      <c r="AP765" s="452"/>
      <c r="AQ765" s="452"/>
      <c r="AR765" s="452"/>
      <c r="AS765" s="452"/>
      <c r="AT765" s="452"/>
      <c r="AU765" s="452"/>
      <c r="AV765" s="452"/>
      <c r="AW765" s="452"/>
      <c r="AX765" s="452"/>
      <c r="AY765" s="154"/>
      <c r="AZ765" s="473"/>
      <c r="BA765" s="156"/>
      <c r="BB765" s="156"/>
      <c r="BC765" s="156"/>
      <c r="BD765" s="452"/>
      <c r="BE765" s="452"/>
      <c r="BF765" s="452"/>
      <c r="BG765" s="452"/>
      <c r="BH765" s="452"/>
    </row>
    <row r="766">
      <c r="A766" s="154"/>
      <c r="B766" s="473"/>
      <c r="C766" s="156"/>
      <c r="D766" s="156"/>
      <c r="E766" s="156"/>
      <c r="F766" s="154"/>
      <c r="G766" s="473"/>
      <c r="H766" s="156"/>
      <c r="I766" s="156"/>
      <c r="J766" s="156"/>
      <c r="K766" s="132"/>
      <c r="L766" s="473"/>
      <c r="M766" s="156"/>
      <c r="N766" s="156"/>
      <c r="O766" s="156"/>
      <c r="P766" s="132"/>
      <c r="Q766" s="487"/>
      <c r="R766" s="156"/>
      <c r="S766" s="156"/>
      <c r="T766" s="156"/>
      <c r="U766" s="154"/>
      <c r="V766" s="473"/>
      <c r="W766" s="156"/>
      <c r="X766" s="156"/>
      <c r="Y766" s="156"/>
      <c r="Z766" s="154"/>
      <c r="AA766" s="473"/>
      <c r="AB766" s="156"/>
      <c r="AC766" s="156"/>
      <c r="AD766" s="156"/>
      <c r="AE766" s="154"/>
      <c r="AF766" s="473"/>
      <c r="AG766" s="156"/>
      <c r="AH766" s="156"/>
      <c r="AI766" s="156"/>
      <c r="AJ766" s="154"/>
      <c r="AK766" s="473"/>
      <c r="AL766" s="156"/>
      <c r="AM766" s="156"/>
      <c r="AN766" s="156"/>
      <c r="AO766" s="452"/>
      <c r="AP766" s="452"/>
      <c r="AQ766" s="452"/>
      <c r="AR766" s="452"/>
      <c r="AS766" s="452"/>
      <c r="AT766" s="452"/>
      <c r="AU766" s="452"/>
      <c r="AV766" s="452"/>
      <c r="AW766" s="452"/>
      <c r="AX766" s="452"/>
      <c r="AY766" s="154"/>
      <c r="AZ766" s="473"/>
      <c r="BA766" s="156"/>
      <c r="BB766" s="156"/>
      <c r="BC766" s="156"/>
      <c r="BD766" s="452"/>
      <c r="BE766" s="452"/>
      <c r="BF766" s="452"/>
      <c r="BG766" s="452"/>
      <c r="BH766" s="452"/>
    </row>
    <row r="767">
      <c r="A767" s="154"/>
      <c r="B767" s="473"/>
      <c r="C767" s="156"/>
      <c r="D767" s="156"/>
      <c r="E767" s="156"/>
      <c r="F767" s="154"/>
      <c r="G767" s="473"/>
      <c r="H767" s="156"/>
      <c r="I767" s="156"/>
      <c r="J767" s="156"/>
      <c r="K767" s="132"/>
      <c r="L767" s="473"/>
      <c r="M767" s="156"/>
      <c r="N767" s="156"/>
      <c r="O767" s="156"/>
      <c r="P767" s="132"/>
      <c r="Q767" s="487"/>
      <c r="R767" s="156"/>
      <c r="S767" s="156"/>
      <c r="T767" s="156"/>
      <c r="U767" s="154"/>
      <c r="V767" s="473"/>
      <c r="W767" s="156"/>
      <c r="X767" s="156"/>
      <c r="Y767" s="156"/>
      <c r="Z767" s="154"/>
      <c r="AA767" s="473"/>
      <c r="AB767" s="156"/>
      <c r="AC767" s="156"/>
      <c r="AD767" s="156"/>
      <c r="AE767" s="154"/>
      <c r="AF767" s="473"/>
      <c r="AG767" s="156"/>
      <c r="AH767" s="156"/>
      <c r="AI767" s="156"/>
      <c r="AJ767" s="154"/>
      <c r="AK767" s="473"/>
      <c r="AL767" s="156"/>
      <c r="AM767" s="156"/>
      <c r="AN767" s="156"/>
      <c r="AO767" s="452"/>
      <c r="AP767" s="452"/>
      <c r="AQ767" s="452"/>
      <c r="AR767" s="452"/>
      <c r="AS767" s="452"/>
      <c r="AT767" s="452"/>
      <c r="AU767" s="452"/>
      <c r="AV767" s="452"/>
      <c r="AW767" s="452"/>
      <c r="AX767" s="452"/>
      <c r="AY767" s="154"/>
      <c r="AZ767" s="473"/>
      <c r="BA767" s="156"/>
      <c r="BB767" s="156"/>
      <c r="BC767" s="156"/>
      <c r="BD767" s="452"/>
      <c r="BE767" s="452"/>
      <c r="BF767" s="452"/>
      <c r="BG767" s="452"/>
      <c r="BH767" s="452"/>
    </row>
    <row r="768">
      <c r="A768" s="154"/>
      <c r="B768" s="473"/>
      <c r="C768" s="156"/>
      <c r="D768" s="156"/>
      <c r="E768" s="156"/>
      <c r="F768" s="154"/>
      <c r="G768" s="473"/>
      <c r="H768" s="156"/>
      <c r="I768" s="156"/>
      <c r="J768" s="156"/>
      <c r="K768" s="132"/>
      <c r="L768" s="473"/>
      <c r="M768" s="156"/>
      <c r="N768" s="156"/>
      <c r="O768" s="156"/>
      <c r="P768" s="132"/>
      <c r="Q768" s="487"/>
      <c r="R768" s="156"/>
      <c r="S768" s="156"/>
      <c r="T768" s="156"/>
      <c r="U768" s="154"/>
      <c r="V768" s="473"/>
      <c r="W768" s="156"/>
      <c r="X768" s="156"/>
      <c r="Y768" s="156"/>
      <c r="Z768" s="154"/>
      <c r="AA768" s="473"/>
      <c r="AB768" s="156"/>
      <c r="AC768" s="156"/>
      <c r="AD768" s="156"/>
      <c r="AE768" s="154"/>
      <c r="AF768" s="473"/>
      <c r="AG768" s="156"/>
      <c r="AH768" s="156"/>
      <c r="AI768" s="156"/>
      <c r="AJ768" s="154"/>
      <c r="AK768" s="473"/>
      <c r="AL768" s="156"/>
      <c r="AM768" s="156"/>
      <c r="AN768" s="156"/>
      <c r="AO768" s="452"/>
      <c r="AP768" s="452"/>
      <c r="AQ768" s="452"/>
      <c r="AR768" s="452"/>
      <c r="AS768" s="452"/>
      <c r="AT768" s="452"/>
      <c r="AU768" s="452"/>
      <c r="AV768" s="452"/>
      <c r="AW768" s="452"/>
      <c r="AX768" s="452"/>
      <c r="AY768" s="154"/>
      <c r="AZ768" s="473"/>
      <c r="BA768" s="156"/>
      <c r="BB768" s="156"/>
      <c r="BC768" s="156"/>
      <c r="BD768" s="452"/>
      <c r="BE768" s="452"/>
      <c r="BF768" s="452"/>
      <c r="BG768" s="452"/>
      <c r="BH768" s="452"/>
    </row>
    <row r="769">
      <c r="A769" s="154"/>
      <c r="B769" s="473"/>
      <c r="C769" s="156"/>
      <c r="D769" s="156"/>
      <c r="E769" s="156"/>
      <c r="F769" s="154"/>
      <c r="G769" s="473"/>
      <c r="H769" s="156"/>
      <c r="I769" s="156"/>
      <c r="J769" s="156"/>
      <c r="K769" s="132"/>
      <c r="L769" s="473"/>
      <c r="M769" s="156"/>
      <c r="N769" s="156"/>
      <c r="O769" s="156"/>
      <c r="P769" s="132"/>
      <c r="Q769" s="487"/>
      <c r="R769" s="156"/>
      <c r="S769" s="156"/>
      <c r="T769" s="156"/>
      <c r="U769" s="154"/>
      <c r="V769" s="473"/>
      <c r="W769" s="156"/>
      <c r="X769" s="156"/>
      <c r="Y769" s="156"/>
      <c r="Z769" s="154"/>
      <c r="AA769" s="473"/>
      <c r="AB769" s="156"/>
      <c r="AC769" s="156"/>
      <c r="AD769" s="156"/>
      <c r="AE769" s="154"/>
      <c r="AF769" s="473"/>
      <c r="AG769" s="156"/>
      <c r="AH769" s="156"/>
      <c r="AI769" s="156"/>
      <c r="AJ769" s="154"/>
      <c r="AK769" s="473"/>
      <c r="AL769" s="156"/>
      <c r="AM769" s="156"/>
      <c r="AN769" s="156"/>
      <c r="AO769" s="452"/>
      <c r="AP769" s="452"/>
      <c r="AQ769" s="452"/>
      <c r="AR769" s="452"/>
      <c r="AS769" s="452"/>
      <c r="AT769" s="452"/>
      <c r="AU769" s="452"/>
      <c r="AV769" s="452"/>
      <c r="AW769" s="452"/>
      <c r="AX769" s="452"/>
      <c r="AY769" s="154"/>
      <c r="AZ769" s="473"/>
      <c r="BA769" s="156"/>
      <c r="BB769" s="156"/>
      <c r="BC769" s="156"/>
      <c r="BD769" s="452"/>
      <c r="BE769" s="452"/>
      <c r="BF769" s="452"/>
      <c r="BG769" s="452"/>
      <c r="BH769" s="452"/>
    </row>
    <row r="770">
      <c r="A770" s="154"/>
      <c r="B770" s="473"/>
      <c r="C770" s="156"/>
      <c r="D770" s="156"/>
      <c r="E770" s="156"/>
      <c r="F770" s="154"/>
      <c r="G770" s="473"/>
      <c r="H770" s="156"/>
      <c r="I770" s="156"/>
      <c r="J770" s="156"/>
      <c r="K770" s="132"/>
      <c r="L770" s="473"/>
      <c r="M770" s="156"/>
      <c r="N770" s="156"/>
      <c r="O770" s="156"/>
      <c r="P770" s="132"/>
      <c r="Q770" s="487"/>
      <c r="R770" s="156"/>
      <c r="S770" s="156"/>
      <c r="T770" s="156"/>
      <c r="U770" s="154"/>
      <c r="V770" s="473"/>
      <c r="W770" s="156"/>
      <c r="X770" s="156"/>
      <c r="Y770" s="156"/>
      <c r="Z770" s="154"/>
      <c r="AA770" s="473"/>
      <c r="AB770" s="156"/>
      <c r="AC770" s="156"/>
      <c r="AD770" s="156"/>
      <c r="AE770" s="154"/>
      <c r="AF770" s="473"/>
      <c r="AG770" s="156"/>
      <c r="AH770" s="156"/>
      <c r="AI770" s="156"/>
      <c r="AJ770" s="154"/>
      <c r="AK770" s="473"/>
      <c r="AL770" s="156"/>
      <c r="AM770" s="156"/>
      <c r="AN770" s="156"/>
      <c r="AO770" s="452"/>
      <c r="AP770" s="452"/>
      <c r="AQ770" s="452"/>
      <c r="AR770" s="452"/>
      <c r="AS770" s="452"/>
      <c r="AT770" s="452"/>
      <c r="AU770" s="452"/>
      <c r="AV770" s="452"/>
      <c r="AW770" s="452"/>
      <c r="AX770" s="452"/>
      <c r="AY770" s="154"/>
      <c r="AZ770" s="473"/>
      <c r="BA770" s="156"/>
      <c r="BB770" s="156"/>
      <c r="BC770" s="156"/>
      <c r="BD770" s="452"/>
      <c r="BE770" s="452"/>
      <c r="BF770" s="452"/>
      <c r="BG770" s="452"/>
      <c r="BH770" s="452"/>
    </row>
    <row r="771">
      <c r="A771" s="154"/>
      <c r="B771" s="473"/>
      <c r="C771" s="156"/>
      <c r="D771" s="156"/>
      <c r="E771" s="156"/>
      <c r="F771" s="154"/>
      <c r="G771" s="473"/>
      <c r="H771" s="156"/>
      <c r="I771" s="156"/>
      <c r="J771" s="156"/>
      <c r="K771" s="132"/>
      <c r="L771" s="473"/>
      <c r="M771" s="156"/>
      <c r="N771" s="156"/>
      <c r="O771" s="156"/>
      <c r="P771" s="132"/>
      <c r="Q771" s="487"/>
      <c r="R771" s="156"/>
      <c r="S771" s="156"/>
      <c r="T771" s="156"/>
      <c r="U771" s="154"/>
      <c r="V771" s="473"/>
      <c r="W771" s="156"/>
      <c r="X771" s="156"/>
      <c r="Y771" s="156"/>
      <c r="Z771" s="154"/>
      <c r="AA771" s="473"/>
      <c r="AB771" s="156"/>
      <c r="AC771" s="156"/>
      <c r="AD771" s="156"/>
      <c r="AE771" s="154"/>
      <c r="AF771" s="473"/>
      <c r="AG771" s="156"/>
      <c r="AH771" s="156"/>
      <c r="AI771" s="156"/>
      <c r="AJ771" s="154"/>
      <c r="AK771" s="473"/>
      <c r="AL771" s="156"/>
      <c r="AM771" s="156"/>
      <c r="AN771" s="156"/>
      <c r="AO771" s="452"/>
      <c r="AP771" s="452"/>
      <c r="AQ771" s="452"/>
      <c r="AR771" s="452"/>
      <c r="AS771" s="452"/>
      <c r="AT771" s="452"/>
      <c r="AU771" s="452"/>
      <c r="AV771" s="452"/>
      <c r="AW771" s="452"/>
      <c r="AX771" s="452"/>
      <c r="AY771" s="154"/>
      <c r="AZ771" s="473"/>
      <c r="BA771" s="156"/>
      <c r="BB771" s="156"/>
      <c r="BC771" s="156"/>
      <c r="BD771" s="452"/>
      <c r="BE771" s="452"/>
      <c r="BF771" s="452"/>
      <c r="BG771" s="452"/>
      <c r="BH771" s="452"/>
    </row>
    <row r="772">
      <c r="A772" s="154"/>
      <c r="B772" s="473"/>
      <c r="C772" s="156"/>
      <c r="D772" s="156"/>
      <c r="E772" s="156"/>
      <c r="F772" s="154"/>
      <c r="G772" s="473"/>
      <c r="H772" s="156"/>
      <c r="I772" s="156"/>
      <c r="J772" s="156"/>
      <c r="K772" s="132"/>
      <c r="L772" s="473"/>
      <c r="M772" s="156"/>
      <c r="N772" s="156"/>
      <c r="O772" s="156"/>
      <c r="P772" s="132"/>
      <c r="Q772" s="487"/>
      <c r="R772" s="156"/>
      <c r="S772" s="156"/>
      <c r="T772" s="156"/>
      <c r="U772" s="154"/>
      <c r="V772" s="473"/>
      <c r="W772" s="156"/>
      <c r="X772" s="156"/>
      <c r="Y772" s="156"/>
      <c r="Z772" s="154"/>
      <c r="AA772" s="473"/>
      <c r="AB772" s="156"/>
      <c r="AC772" s="156"/>
      <c r="AD772" s="156"/>
      <c r="AE772" s="154"/>
      <c r="AF772" s="473"/>
      <c r="AG772" s="156"/>
      <c r="AH772" s="156"/>
      <c r="AI772" s="156"/>
      <c r="AJ772" s="154"/>
      <c r="AK772" s="473"/>
      <c r="AL772" s="156"/>
      <c r="AM772" s="156"/>
      <c r="AN772" s="156"/>
      <c r="AO772" s="452"/>
      <c r="AP772" s="452"/>
      <c r="AQ772" s="452"/>
      <c r="AR772" s="452"/>
      <c r="AS772" s="452"/>
      <c r="AT772" s="452"/>
      <c r="AU772" s="452"/>
      <c r="AV772" s="452"/>
      <c r="AW772" s="452"/>
      <c r="AX772" s="452"/>
      <c r="AY772" s="154"/>
      <c r="AZ772" s="473"/>
      <c r="BA772" s="156"/>
      <c r="BB772" s="156"/>
      <c r="BC772" s="156"/>
      <c r="BD772" s="452"/>
      <c r="BE772" s="452"/>
      <c r="BF772" s="452"/>
      <c r="BG772" s="452"/>
      <c r="BH772" s="452"/>
    </row>
    <row r="773">
      <c r="A773" s="154"/>
      <c r="B773" s="473"/>
      <c r="C773" s="156"/>
      <c r="D773" s="156"/>
      <c r="E773" s="156"/>
      <c r="F773" s="154"/>
      <c r="G773" s="473"/>
      <c r="H773" s="156"/>
      <c r="I773" s="156"/>
      <c r="J773" s="156"/>
      <c r="K773" s="132"/>
      <c r="L773" s="473"/>
      <c r="M773" s="156"/>
      <c r="N773" s="156"/>
      <c r="O773" s="156"/>
      <c r="P773" s="132"/>
      <c r="Q773" s="487"/>
      <c r="R773" s="156"/>
      <c r="S773" s="156"/>
      <c r="T773" s="156"/>
      <c r="U773" s="154"/>
      <c r="V773" s="473"/>
      <c r="W773" s="156"/>
      <c r="X773" s="156"/>
      <c r="Y773" s="156"/>
      <c r="Z773" s="154"/>
      <c r="AA773" s="473"/>
      <c r="AB773" s="156"/>
      <c r="AC773" s="156"/>
      <c r="AD773" s="156"/>
      <c r="AE773" s="154"/>
      <c r="AF773" s="473"/>
      <c r="AG773" s="156"/>
      <c r="AH773" s="156"/>
      <c r="AI773" s="156"/>
      <c r="AJ773" s="154"/>
      <c r="AK773" s="473"/>
      <c r="AL773" s="156"/>
      <c r="AM773" s="156"/>
      <c r="AN773" s="156"/>
      <c r="AO773" s="452"/>
      <c r="AP773" s="452"/>
      <c r="AQ773" s="452"/>
      <c r="AR773" s="452"/>
      <c r="AS773" s="452"/>
      <c r="AT773" s="452"/>
      <c r="AU773" s="452"/>
      <c r="AV773" s="452"/>
      <c r="AW773" s="452"/>
      <c r="AX773" s="452"/>
      <c r="AY773" s="154"/>
      <c r="AZ773" s="473"/>
      <c r="BA773" s="156"/>
      <c r="BB773" s="156"/>
      <c r="BC773" s="156"/>
      <c r="BD773" s="452"/>
      <c r="BE773" s="452"/>
      <c r="BF773" s="452"/>
      <c r="BG773" s="452"/>
      <c r="BH773" s="452"/>
    </row>
    <row r="774">
      <c r="A774" s="154"/>
      <c r="B774" s="473"/>
      <c r="C774" s="156"/>
      <c r="D774" s="156"/>
      <c r="E774" s="156"/>
      <c r="F774" s="154"/>
      <c r="G774" s="473"/>
      <c r="H774" s="156"/>
      <c r="I774" s="156"/>
      <c r="J774" s="156"/>
      <c r="K774" s="132"/>
      <c r="L774" s="473"/>
      <c r="M774" s="156"/>
      <c r="N774" s="156"/>
      <c r="O774" s="156"/>
      <c r="P774" s="132"/>
      <c r="Q774" s="487"/>
      <c r="R774" s="156"/>
      <c r="S774" s="156"/>
      <c r="T774" s="156"/>
      <c r="U774" s="154"/>
      <c r="V774" s="473"/>
      <c r="W774" s="156"/>
      <c r="X774" s="156"/>
      <c r="Y774" s="156"/>
      <c r="Z774" s="154"/>
      <c r="AA774" s="473"/>
      <c r="AB774" s="156"/>
      <c r="AC774" s="156"/>
      <c r="AD774" s="156"/>
      <c r="AE774" s="154"/>
      <c r="AF774" s="473"/>
      <c r="AG774" s="156"/>
      <c r="AH774" s="156"/>
      <c r="AI774" s="156"/>
      <c r="AJ774" s="154"/>
      <c r="AK774" s="473"/>
      <c r="AL774" s="156"/>
      <c r="AM774" s="156"/>
      <c r="AN774" s="156"/>
      <c r="AO774" s="452"/>
      <c r="AP774" s="452"/>
      <c r="AQ774" s="452"/>
      <c r="AR774" s="452"/>
      <c r="AS774" s="452"/>
      <c r="AT774" s="452"/>
      <c r="AU774" s="452"/>
      <c r="AV774" s="452"/>
      <c r="AW774" s="452"/>
      <c r="AX774" s="452"/>
      <c r="AY774" s="154"/>
      <c r="AZ774" s="473"/>
      <c r="BA774" s="156"/>
      <c r="BB774" s="156"/>
      <c r="BC774" s="156"/>
      <c r="BD774" s="452"/>
      <c r="BE774" s="452"/>
      <c r="BF774" s="452"/>
      <c r="BG774" s="452"/>
      <c r="BH774" s="452"/>
    </row>
    <row r="775">
      <c r="A775" s="154"/>
      <c r="B775" s="473"/>
      <c r="C775" s="156"/>
      <c r="D775" s="156"/>
      <c r="E775" s="156"/>
      <c r="F775" s="154"/>
      <c r="G775" s="473"/>
      <c r="H775" s="156"/>
      <c r="I775" s="156"/>
      <c r="J775" s="156"/>
      <c r="K775" s="132"/>
      <c r="L775" s="473"/>
      <c r="M775" s="156"/>
      <c r="N775" s="156"/>
      <c r="O775" s="156"/>
      <c r="P775" s="132"/>
      <c r="Q775" s="487"/>
      <c r="R775" s="156"/>
      <c r="S775" s="156"/>
      <c r="T775" s="156"/>
      <c r="U775" s="154"/>
      <c r="V775" s="473"/>
      <c r="W775" s="156"/>
      <c r="X775" s="156"/>
      <c r="Y775" s="156"/>
      <c r="Z775" s="154"/>
      <c r="AA775" s="473"/>
      <c r="AB775" s="156"/>
      <c r="AC775" s="156"/>
      <c r="AD775" s="156"/>
      <c r="AE775" s="154"/>
      <c r="AF775" s="473"/>
      <c r="AG775" s="156"/>
      <c r="AH775" s="156"/>
      <c r="AI775" s="156"/>
      <c r="AJ775" s="154"/>
      <c r="AK775" s="473"/>
      <c r="AL775" s="156"/>
      <c r="AM775" s="156"/>
      <c r="AN775" s="156"/>
      <c r="AO775" s="452"/>
      <c r="AP775" s="452"/>
      <c r="AQ775" s="452"/>
      <c r="AR775" s="452"/>
      <c r="AS775" s="452"/>
      <c r="AT775" s="452"/>
      <c r="AU775" s="452"/>
      <c r="AV775" s="452"/>
      <c r="AW775" s="452"/>
      <c r="AX775" s="452"/>
      <c r="AY775" s="154"/>
      <c r="AZ775" s="473"/>
      <c r="BA775" s="156"/>
      <c r="BB775" s="156"/>
      <c r="BC775" s="156"/>
      <c r="BD775" s="452"/>
      <c r="BE775" s="452"/>
      <c r="BF775" s="452"/>
      <c r="BG775" s="452"/>
      <c r="BH775" s="452"/>
    </row>
    <row r="776">
      <c r="A776" s="154"/>
      <c r="B776" s="473"/>
      <c r="C776" s="156"/>
      <c r="D776" s="156"/>
      <c r="E776" s="156"/>
      <c r="F776" s="154"/>
      <c r="G776" s="473"/>
      <c r="H776" s="156"/>
      <c r="I776" s="156"/>
      <c r="J776" s="156"/>
      <c r="K776" s="132"/>
      <c r="L776" s="473"/>
      <c r="M776" s="156"/>
      <c r="N776" s="156"/>
      <c r="O776" s="156"/>
      <c r="P776" s="132"/>
      <c r="Q776" s="487"/>
      <c r="R776" s="156"/>
      <c r="S776" s="156"/>
      <c r="T776" s="156"/>
      <c r="U776" s="154"/>
      <c r="V776" s="473"/>
      <c r="W776" s="156"/>
      <c r="X776" s="156"/>
      <c r="Y776" s="156"/>
      <c r="Z776" s="154"/>
      <c r="AA776" s="473"/>
      <c r="AB776" s="156"/>
      <c r="AC776" s="156"/>
      <c r="AD776" s="156"/>
      <c r="AE776" s="154"/>
      <c r="AF776" s="473"/>
      <c r="AG776" s="156"/>
      <c r="AH776" s="156"/>
      <c r="AI776" s="156"/>
      <c r="AJ776" s="154"/>
      <c r="AK776" s="473"/>
      <c r="AL776" s="156"/>
      <c r="AM776" s="156"/>
      <c r="AN776" s="156"/>
      <c r="AO776" s="452"/>
      <c r="AP776" s="452"/>
      <c r="AQ776" s="452"/>
      <c r="AR776" s="452"/>
      <c r="AS776" s="452"/>
      <c r="AT776" s="452"/>
      <c r="AU776" s="452"/>
      <c r="AV776" s="452"/>
      <c r="AW776" s="452"/>
      <c r="AX776" s="452"/>
      <c r="AY776" s="154"/>
      <c r="AZ776" s="473"/>
      <c r="BA776" s="156"/>
      <c r="BB776" s="156"/>
      <c r="BC776" s="156"/>
      <c r="BD776" s="452"/>
      <c r="BE776" s="452"/>
      <c r="BF776" s="452"/>
      <c r="BG776" s="452"/>
      <c r="BH776" s="452"/>
    </row>
    <row r="777">
      <c r="A777" s="154"/>
      <c r="B777" s="473"/>
      <c r="C777" s="156"/>
      <c r="D777" s="156"/>
      <c r="E777" s="156"/>
      <c r="F777" s="154"/>
      <c r="G777" s="473"/>
      <c r="H777" s="156"/>
      <c r="I777" s="156"/>
      <c r="J777" s="156"/>
      <c r="K777" s="132"/>
      <c r="L777" s="473"/>
      <c r="M777" s="156"/>
      <c r="N777" s="156"/>
      <c r="O777" s="156"/>
      <c r="P777" s="132"/>
      <c r="Q777" s="487"/>
      <c r="R777" s="156"/>
      <c r="S777" s="156"/>
      <c r="T777" s="156"/>
      <c r="U777" s="154"/>
      <c r="V777" s="473"/>
      <c r="W777" s="156"/>
      <c r="X777" s="156"/>
      <c r="Y777" s="156"/>
      <c r="Z777" s="154"/>
      <c r="AA777" s="473"/>
      <c r="AB777" s="156"/>
      <c r="AC777" s="156"/>
      <c r="AD777" s="156"/>
      <c r="AE777" s="154"/>
      <c r="AF777" s="473"/>
      <c r="AG777" s="156"/>
      <c r="AH777" s="156"/>
      <c r="AI777" s="156"/>
      <c r="AJ777" s="154"/>
      <c r="AK777" s="473"/>
      <c r="AL777" s="156"/>
      <c r="AM777" s="156"/>
      <c r="AN777" s="156"/>
      <c r="AO777" s="452"/>
      <c r="AP777" s="452"/>
      <c r="AQ777" s="452"/>
      <c r="AR777" s="452"/>
      <c r="AS777" s="452"/>
      <c r="AT777" s="452"/>
      <c r="AU777" s="452"/>
      <c r="AV777" s="452"/>
      <c r="AW777" s="452"/>
      <c r="AX777" s="452"/>
      <c r="AY777" s="154"/>
      <c r="AZ777" s="473"/>
      <c r="BA777" s="156"/>
      <c r="BB777" s="156"/>
      <c r="BC777" s="156"/>
      <c r="BD777" s="452"/>
      <c r="BE777" s="452"/>
      <c r="BF777" s="452"/>
      <c r="BG777" s="452"/>
      <c r="BH777" s="452"/>
    </row>
    <row r="778">
      <c r="A778" s="154"/>
      <c r="B778" s="473"/>
      <c r="C778" s="156"/>
      <c r="D778" s="156"/>
      <c r="E778" s="156"/>
      <c r="F778" s="154"/>
      <c r="G778" s="473"/>
      <c r="H778" s="156"/>
      <c r="I778" s="156"/>
      <c r="J778" s="156"/>
      <c r="K778" s="132"/>
      <c r="L778" s="473"/>
      <c r="M778" s="156"/>
      <c r="N778" s="156"/>
      <c r="O778" s="156"/>
      <c r="P778" s="132"/>
      <c r="Q778" s="487"/>
      <c r="R778" s="156"/>
      <c r="S778" s="156"/>
      <c r="T778" s="156"/>
      <c r="U778" s="154"/>
      <c r="V778" s="473"/>
      <c r="W778" s="156"/>
      <c r="X778" s="156"/>
      <c r="Y778" s="156"/>
      <c r="Z778" s="154"/>
      <c r="AA778" s="473"/>
      <c r="AB778" s="156"/>
      <c r="AC778" s="156"/>
      <c r="AD778" s="156"/>
      <c r="AE778" s="154"/>
      <c r="AF778" s="473"/>
      <c r="AG778" s="156"/>
      <c r="AH778" s="156"/>
      <c r="AI778" s="156"/>
      <c r="AJ778" s="154"/>
      <c r="AK778" s="473"/>
      <c r="AL778" s="156"/>
      <c r="AM778" s="156"/>
      <c r="AN778" s="156"/>
      <c r="AO778" s="452"/>
      <c r="AP778" s="452"/>
      <c r="AQ778" s="452"/>
      <c r="AR778" s="452"/>
      <c r="AS778" s="452"/>
      <c r="AT778" s="452"/>
      <c r="AU778" s="452"/>
      <c r="AV778" s="452"/>
      <c r="AW778" s="452"/>
      <c r="AX778" s="452"/>
      <c r="AY778" s="154"/>
      <c r="AZ778" s="473"/>
      <c r="BA778" s="156"/>
      <c r="BB778" s="156"/>
      <c r="BC778" s="156"/>
      <c r="BD778" s="452"/>
      <c r="BE778" s="452"/>
      <c r="BF778" s="452"/>
      <c r="BG778" s="452"/>
      <c r="BH778" s="452"/>
    </row>
    <row r="779">
      <c r="A779" s="154"/>
      <c r="B779" s="473"/>
      <c r="C779" s="156"/>
      <c r="D779" s="156"/>
      <c r="E779" s="156"/>
      <c r="F779" s="154"/>
      <c r="G779" s="473"/>
      <c r="H779" s="156"/>
      <c r="I779" s="156"/>
      <c r="J779" s="156"/>
      <c r="K779" s="132"/>
      <c r="L779" s="473"/>
      <c r="M779" s="156"/>
      <c r="N779" s="156"/>
      <c r="O779" s="156"/>
      <c r="P779" s="132"/>
      <c r="Q779" s="487"/>
      <c r="R779" s="156"/>
      <c r="S779" s="156"/>
      <c r="T779" s="156"/>
      <c r="U779" s="154"/>
      <c r="V779" s="473"/>
      <c r="W779" s="156"/>
      <c r="X779" s="156"/>
      <c r="Y779" s="156"/>
      <c r="Z779" s="154"/>
      <c r="AA779" s="473"/>
      <c r="AB779" s="156"/>
      <c r="AC779" s="156"/>
      <c r="AD779" s="156"/>
      <c r="AE779" s="154"/>
      <c r="AF779" s="473"/>
      <c r="AG779" s="156"/>
      <c r="AH779" s="156"/>
      <c r="AI779" s="156"/>
      <c r="AJ779" s="154"/>
      <c r="AK779" s="473"/>
      <c r="AL779" s="156"/>
      <c r="AM779" s="156"/>
      <c r="AN779" s="156"/>
      <c r="AO779" s="452"/>
      <c r="AP779" s="452"/>
      <c r="AQ779" s="452"/>
      <c r="AR779" s="452"/>
      <c r="AS779" s="452"/>
      <c r="AT779" s="452"/>
      <c r="AU779" s="452"/>
      <c r="AV779" s="452"/>
      <c r="AW779" s="452"/>
      <c r="AX779" s="452"/>
      <c r="AY779" s="154"/>
      <c r="AZ779" s="473"/>
      <c r="BA779" s="156"/>
      <c r="BB779" s="156"/>
      <c r="BC779" s="156"/>
      <c r="BD779" s="452"/>
      <c r="BE779" s="452"/>
      <c r="BF779" s="452"/>
      <c r="BG779" s="452"/>
      <c r="BH779" s="452"/>
    </row>
    <row r="780">
      <c r="A780" s="154"/>
      <c r="B780" s="473"/>
      <c r="C780" s="156"/>
      <c r="D780" s="156"/>
      <c r="E780" s="156"/>
      <c r="F780" s="154"/>
      <c r="G780" s="473"/>
      <c r="H780" s="156"/>
      <c r="I780" s="156"/>
      <c r="J780" s="156"/>
      <c r="K780" s="132"/>
      <c r="L780" s="473"/>
      <c r="M780" s="156"/>
      <c r="N780" s="156"/>
      <c r="O780" s="156"/>
      <c r="P780" s="132"/>
      <c r="Q780" s="487"/>
      <c r="R780" s="156"/>
      <c r="S780" s="156"/>
      <c r="T780" s="156"/>
      <c r="U780" s="154"/>
      <c r="V780" s="473"/>
      <c r="W780" s="156"/>
      <c r="X780" s="156"/>
      <c r="Y780" s="156"/>
      <c r="Z780" s="154"/>
      <c r="AA780" s="473"/>
      <c r="AB780" s="156"/>
      <c r="AC780" s="156"/>
      <c r="AD780" s="156"/>
      <c r="AE780" s="154"/>
      <c r="AF780" s="473"/>
      <c r="AG780" s="156"/>
      <c r="AH780" s="156"/>
      <c r="AI780" s="156"/>
      <c r="AJ780" s="154"/>
      <c r="AK780" s="473"/>
      <c r="AL780" s="156"/>
      <c r="AM780" s="156"/>
      <c r="AN780" s="156"/>
      <c r="AO780" s="452"/>
      <c r="AP780" s="452"/>
      <c r="AQ780" s="452"/>
      <c r="AR780" s="452"/>
      <c r="AS780" s="452"/>
      <c r="AT780" s="452"/>
      <c r="AU780" s="452"/>
      <c r="AV780" s="452"/>
      <c r="AW780" s="452"/>
      <c r="AX780" s="452"/>
      <c r="AY780" s="154"/>
      <c r="AZ780" s="473"/>
      <c r="BA780" s="156"/>
      <c r="BB780" s="156"/>
      <c r="BC780" s="156"/>
      <c r="BD780" s="452"/>
      <c r="BE780" s="452"/>
      <c r="BF780" s="452"/>
      <c r="BG780" s="452"/>
      <c r="BH780" s="452"/>
    </row>
    <row r="781">
      <c r="A781" s="154"/>
      <c r="B781" s="473"/>
      <c r="C781" s="156"/>
      <c r="D781" s="156"/>
      <c r="E781" s="156"/>
      <c r="F781" s="154"/>
      <c r="G781" s="473"/>
      <c r="H781" s="156"/>
      <c r="I781" s="156"/>
      <c r="J781" s="156"/>
      <c r="K781" s="132"/>
      <c r="L781" s="473"/>
      <c r="M781" s="156"/>
      <c r="N781" s="156"/>
      <c r="O781" s="156"/>
      <c r="P781" s="132"/>
      <c r="Q781" s="487"/>
      <c r="R781" s="156"/>
      <c r="S781" s="156"/>
      <c r="T781" s="156"/>
      <c r="U781" s="154"/>
      <c r="V781" s="473"/>
      <c r="W781" s="156"/>
      <c r="X781" s="156"/>
      <c r="Y781" s="156"/>
      <c r="Z781" s="154"/>
      <c r="AA781" s="473"/>
      <c r="AB781" s="156"/>
      <c r="AC781" s="156"/>
      <c r="AD781" s="156"/>
      <c r="AE781" s="154"/>
      <c r="AF781" s="473"/>
      <c r="AG781" s="156"/>
      <c r="AH781" s="156"/>
      <c r="AI781" s="156"/>
      <c r="AJ781" s="154"/>
      <c r="AK781" s="473"/>
      <c r="AL781" s="156"/>
      <c r="AM781" s="156"/>
      <c r="AN781" s="156"/>
      <c r="AO781" s="452"/>
      <c r="AP781" s="452"/>
      <c r="AQ781" s="452"/>
      <c r="AR781" s="452"/>
      <c r="AS781" s="452"/>
      <c r="AT781" s="452"/>
      <c r="AU781" s="452"/>
      <c r="AV781" s="452"/>
      <c r="AW781" s="452"/>
      <c r="AX781" s="452"/>
      <c r="AY781" s="154"/>
      <c r="AZ781" s="473"/>
      <c r="BA781" s="156"/>
      <c r="BB781" s="156"/>
      <c r="BC781" s="156"/>
      <c r="BD781" s="452"/>
      <c r="BE781" s="452"/>
      <c r="BF781" s="452"/>
      <c r="BG781" s="452"/>
      <c r="BH781" s="452"/>
    </row>
    <row r="782">
      <c r="A782" s="154"/>
      <c r="B782" s="473"/>
      <c r="C782" s="156"/>
      <c r="D782" s="156"/>
      <c r="E782" s="156"/>
      <c r="F782" s="154"/>
      <c r="G782" s="473"/>
      <c r="H782" s="156"/>
      <c r="I782" s="156"/>
      <c r="J782" s="156"/>
      <c r="K782" s="132"/>
      <c r="L782" s="473"/>
      <c r="M782" s="156"/>
      <c r="N782" s="156"/>
      <c r="O782" s="156"/>
      <c r="P782" s="132"/>
      <c r="Q782" s="487"/>
      <c r="R782" s="156"/>
      <c r="S782" s="156"/>
      <c r="T782" s="156"/>
      <c r="U782" s="154"/>
      <c r="V782" s="473"/>
      <c r="W782" s="156"/>
      <c r="X782" s="156"/>
      <c r="Y782" s="156"/>
      <c r="Z782" s="154"/>
      <c r="AA782" s="473"/>
      <c r="AB782" s="156"/>
      <c r="AC782" s="156"/>
      <c r="AD782" s="156"/>
      <c r="AE782" s="154"/>
      <c r="AF782" s="473"/>
      <c r="AG782" s="156"/>
      <c r="AH782" s="156"/>
      <c r="AI782" s="156"/>
      <c r="AJ782" s="154"/>
      <c r="AK782" s="473"/>
      <c r="AL782" s="156"/>
      <c r="AM782" s="156"/>
      <c r="AN782" s="156"/>
      <c r="AO782" s="452"/>
      <c r="AP782" s="452"/>
      <c r="AQ782" s="452"/>
      <c r="AR782" s="452"/>
      <c r="AS782" s="452"/>
      <c r="AT782" s="452"/>
      <c r="AU782" s="452"/>
      <c r="AV782" s="452"/>
      <c r="AW782" s="452"/>
      <c r="AX782" s="452"/>
      <c r="AY782" s="154"/>
      <c r="AZ782" s="473"/>
      <c r="BA782" s="156"/>
      <c r="BB782" s="156"/>
      <c r="BC782" s="156"/>
      <c r="BD782" s="452"/>
      <c r="BE782" s="452"/>
      <c r="BF782" s="452"/>
      <c r="BG782" s="452"/>
      <c r="BH782" s="452"/>
    </row>
    <row r="783">
      <c r="A783" s="154"/>
      <c r="B783" s="473"/>
      <c r="C783" s="156"/>
      <c r="D783" s="156"/>
      <c r="E783" s="156"/>
      <c r="F783" s="154"/>
      <c r="G783" s="473"/>
      <c r="H783" s="156"/>
      <c r="I783" s="156"/>
      <c r="J783" s="156"/>
      <c r="K783" s="132"/>
      <c r="L783" s="473"/>
      <c r="M783" s="156"/>
      <c r="N783" s="156"/>
      <c r="O783" s="156"/>
      <c r="P783" s="132"/>
      <c r="Q783" s="487"/>
      <c r="R783" s="156"/>
      <c r="S783" s="156"/>
      <c r="T783" s="156"/>
      <c r="U783" s="154"/>
      <c r="V783" s="473"/>
      <c r="W783" s="156"/>
      <c r="X783" s="156"/>
      <c r="Y783" s="156"/>
      <c r="Z783" s="154"/>
      <c r="AA783" s="473"/>
      <c r="AB783" s="156"/>
      <c r="AC783" s="156"/>
      <c r="AD783" s="156"/>
      <c r="AE783" s="154"/>
      <c r="AF783" s="473"/>
      <c r="AG783" s="156"/>
      <c r="AH783" s="156"/>
      <c r="AI783" s="156"/>
      <c r="AJ783" s="154"/>
      <c r="AK783" s="473"/>
      <c r="AL783" s="156"/>
      <c r="AM783" s="156"/>
      <c r="AN783" s="156"/>
      <c r="AO783" s="452"/>
      <c r="AP783" s="452"/>
      <c r="AQ783" s="452"/>
      <c r="AR783" s="452"/>
      <c r="AS783" s="452"/>
      <c r="AT783" s="452"/>
      <c r="AU783" s="452"/>
      <c r="AV783" s="452"/>
      <c r="AW783" s="452"/>
      <c r="AX783" s="452"/>
      <c r="AY783" s="154"/>
      <c r="AZ783" s="473"/>
      <c r="BA783" s="156"/>
      <c r="BB783" s="156"/>
      <c r="BC783" s="156"/>
      <c r="BD783" s="452"/>
      <c r="BE783" s="452"/>
      <c r="BF783" s="452"/>
      <c r="BG783" s="452"/>
      <c r="BH783" s="452"/>
    </row>
    <row r="784">
      <c r="A784" s="154"/>
      <c r="B784" s="473"/>
      <c r="C784" s="156"/>
      <c r="D784" s="156"/>
      <c r="E784" s="156"/>
      <c r="F784" s="154"/>
      <c r="G784" s="473"/>
      <c r="H784" s="156"/>
      <c r="I784" s="156"/>
      <c r="J784" s="156"/>
      <c r="K784" s="132"/>
      <c r="L784" s="473"/>
      <c r="M784" s="156"/>
      <c r="N784" s="156"/>
      <c r="O784" s="156"/>
      <c r="P784" s="132"/>
      <c r="Q784" s="487"/>
      <c r="R784" s="156"/>
      <c r="S784" s="156"/>
      <c r="T784" s="156"/>
      <c r="U784" s="154"/>
      <c r="V784" s="473"/>
      <c r="W784" s="156"/>
      <c r="X784" s="156"/>
      <c r="Y784" s="156"/>
      <c r="Z784" s="154"/>
      <c r="AA784" s="473"/>
      <c r="AB784" s="156"/>
      <c r="AC784" s="156"/>
      <c r="AD784" s="156"/>
      <c r="AE784" s="154"/>
      <c r="AF784" s="473"/>
      <c r="AG784" s="156"/>
      <c r="AH784" s="156"/>
      <c r="AI784" s="156"/>
      <c r="AJ784" s="154"/>
      <c r="AK784" s="473"/>
      <c r="AL784" s="156"/>
      <c r="AM784" s="156"/>
      <c r="AN784" s="156"/>
      <c r="AO784" s="452"/>
      <c r="AP784" s="452"/>
      <c r="AQ784" s="452"/>
      <c r="AR784" s="452"/>
      <c r="AS784" s="452"/>
      <c r="AT784" s="452"/>
      <c r="AU784" s="452"/>
      <c r="AV784" s="452"/>
      <c r="AW784" s="452"/>
      <c r="AX784" s="452"/>
      <c r="AY784" s="154"/>
      <c r="AZ784" s="473"/>
      <c r="BA784" s="156"/>
      <c r="BB784" s="156"/>
      <c r="BC784" s="156"/>
      <c r="BD784" s="452"/>
      <c r="BE784" s="452"/>
      <c r="BF784" s="452"/>
      <c r="BG784" s="452"/>
      <c r="BH784" s="452"/>
    </row>
    <row r="785">
      <c r="A785" s="154"/>
      <c r="B785" s="473"/>
      <c r="C785" s="156"/>
      <c r="D785" s="156"/>
      <c r="E785" s="156"/>
      <c r="F785" s="154"/>
      <c r="G785" s="473"/>
      <c r="H785" s="156"/>
      <c r="I785" s="156"/>
      <c r="J785" s="156"/>
      <c r="K785" s="132"/>
      <c r="L785" s="473"/>
      <c r="M785" s="156"/>
      <c r="N785" s="156"/>
      <c r="O785" s="156"/>
      <c r="P785" s="132"/>
      <c r="Q785" s="487"/>
      <c r="R785" s="156"/>
      <c r="S785" s="156"/>
      <c r="T785" s="156"/>
      <c r="U785" s="154"/>
      <c r="V785" s="473"/>
      <c r="W785" s="156"/>
      <c r="X785" s="156"/>
      <c r="Y785" s="156"/>
      <c r="Z785" s="154"/>
      <c r="AA785" s="473"/>
      <c r="AB785" s="156"/>
      <c r="AC785" s="156"/>
      <c r="AD785" s="156"/>
      <c r="AE785" s="154"/>
      <c r="AF785" s="473"/>
      <c r="AG785" s="156"/>
      <c r="AH785" s="156"/>
      <c r="AI785" s="156"/>
      <c r="AJ785" s="154"/>
      <c r="AK785" s="473"/>
      <c r="AL785" s="156"/>
      <c r="AM785" s="156"/>
      <c r="AN785" s="156"/>
      <c r="AO785" s="452"/>
      <c r="AP785" s="452"/>
      <c r="AQ785" s="452"/>
      <c r="AR785" s="452"/>
      <c r="AS785" s="452"/>
      <c r="AT785" s="452"/>
      <c r="AU785" s="452"/>
      <c r="AV785" s="452"/>
      <c r="AW785" s="452"/>
      <c r="AX785" s="452"/>
      <c r="AY785" s="154"/>
      <c r="AZ785" s="473"/>
      <c r="BA785" s="156"/>
      <c r="BB785" s="156"/>
      <c r="BC785" s="156"/>
      <c r="BD785" s="452"/>
      <c r="BE785" s="452"/>
      <c r="BF785" s="452"/>
      <c r="BG785" s="452"/>
      <c r="BH785" s="452"/>
    </row>
    <row r="786">
      <c r="A786" s="154"/>
      <c r="B786" s="473"/>
      <c r="C786" s="156"/>
      <c r="D786" s="156"/>
      <c r="E786" s="156"/>
      <c r="F786" s="154"/>
      <c r="G786" s="473"/>
      <c r="H786" s="156"/>
      <c r="I786" s="156"/>
      <c r="J786" s="156"/>
      <c r="K786" s="132"/>
      <c r="L786" s="473"/>
      <c r="M786" s="156"/>
      <c r="N786" s="156"/>
      <c r="O786" s="156"/>
      <c r="P786" s="132"/>
      <c r="Q786" s="487"/>
      <c r="R786" s="156"/>
      <c r="S786" s="156"/>
      <c r="T786" s="156"/>
      <c r="U786" s="154"/>
      <c r="V786" s="473"/>
      <c r="W786" s="156"/>
      <c r="X786" s="156"/>
      <c r="Y786" s="156"/>
      <c r="Z786" s="154"/>
      <c r="AA786" s="473"/>
      <c r="AB786" s="156"/>
      <c r="AC786" s="156"/>
      <c r="AD786" s="156"/>
      <c r="AE786" s="154"/>
      <c r="AF786" s="473"/>
      <c r="AG786" s="156"/>
      <c r="AH786" s="156"/>
      <c r="AI786" s="156"/>
      <c r="AJ786" s="154"/>
      <c r="AK786" s="473"/>
      <c r="AL786" s="156"/>
      <c r="AM786" s="156"/>
      <c r="AN786" s="156"/>
      <c r="AO786" s="452"/>
      <c r="AP786" s="452"/>
      <c r="AQ786" s="452"/>
      <c r="AR786" s="452"/>
      <c r="AS786" s="452"/>
      <c r="AT786" s="452"/>
      <c r="AU786" s="452"/>
      <c r="AV786" s="452"/>
      <c r="AW786" s="452"/>
      <c r="AX786" s="452"/>
      <c r="AY786" s="154"/>
      <c r="AZ786" s="473"/>
      <c r="BA786" s="156"/>
      <c r="BB786" s="156"/>
      <c r="BC786" s="156"/>
      <c r="BD786" s="452"/>
      <c r="BE786" s="452"/>
      <c r="BF786" s="452"/>
      <c r="BG786" s="452"/>
      <c r="BH786" s="452"/>
    </row>
    <row r="787">
      <c r="A787" s="154"/>
      <c r="B787" s="473"/>
      <c r="C787" s="156"/>
      <c r="D787" s="156"/>
      <c r="E787" s="156"/>
      <c r="F787" s="154"/>
      <c r="G787" s="473"/>
      <c r="H787" s="156"/>
      <c r="I787" s="156"/>
      <c r="J787" s="156"/>
      <c r="K787" s="132"/>
      <c r="L787" s="473"/>
      <c r="M787" s="156"/>
      <c r="N787" s="156"/>
      <c r="O787" s="156"/>
      <c r="P787" s="132"/>
      <c r="Q787" s="487"/>
      <c r="R787" s="156"/>
      <c r="S787" s="156"/>
      <c r="T787" s="156"/>
      <c r="U787" s="154"/>
      <c r="V787" s="473"/>
      <c r="W787" s="156"/>
      <c r="X787" s="156"/>
      <c r="Y787" s="156"/>
      <c r="Z787" s="154"/>
      <c r="AA787" s="473"/>
      <c r="AB787" s="156"/>
      <c r="AC787" s="156"/>
      <c r="AD787" s="156"/>
      <c r="AE787" s="154"/>
      <c r="AF787" s="473"/>
      <c r="AG787" s="156"/>
      <c r="AH787" s="156"/>
      <c r="AI787" s="156"/>
      <c r="AJ787" s="154"/>
      <c r="AK787" s="473"/>
      <c r="AL787" s="156"/>
      <c r="AM787" s="156"/>
      <c r="AN787" s="156"/>
      <c r="AO787" s="452"/>
      <c r="AP787" s="452"/>
      <c r="AQ787" s="452"/>
      <c r="AR787" s="452"/>
      <c r="AS787" s="452"/>
      <c r="AT787" s="452"/>
      <c r="AU787" s="452"/>
      <c r="AV787" s="452"/>
      <c r="AW787" s="452"/>
      <c r="AX787" s="452"/>
      <c r="AY787" s="154"/>
      <c r="AZ787" s="473"/>
      <c r="BA787" s="156"/>
      <c r="BB787" s="156"/>
      <c r="BC787" s="156"/>
      <c r="BD787" s="452"/>
      <c r="BE787" s="452"/>
      <c r="BF787" s="452"/>
      <c r="BG787" s="452"/>
      <c r="BH787" s="452"/>
    </row>
    <row r="788">
      <c r="A788" s="154"/>
      <c r="B788" s="473"/>
      <c r="C788" s="156"/>
      <c r="D788" s="156"/>
      <c r="E788" s="156"/>
      <c r="F788" s="154"/>
      <c r="G788" s="473"/>
      <c r="H788" s="156"/>
      <c r="I788" s="156"/>
      <c r="J788" s="156"/>
      <c r="K788" s="132"/>
      <c r="L788" s="473"/>
      <c r="M788" s="156"/>
      <c r="N788" s="156"/>
      <c r="O788" s="156"/>
      <c r="P788" s="132"/>
      <c r="Q788" s="487"/>
      <c r="R788" s="156"/>
      <c r="S788" s="156"/>
      <c r="T788" s="156"/>
      <c r="U788" s="154"/>
      <c r="V788" s="473"/>
      <c r="W788" s="156"/>
      <c r="X788" s="156"/>
      <c r="Y788" s="156"/>
      <c r="Z788" s="154"/>
      <c r="AA788" s="473"/>
      <c r="AB788" s="156"/>
      <c r="AC788" s="156"/>
      <c r="AD788" s="156"/>
      <c r="AE788" s="154"/>
      <c r="AF788" s="473"/>
      <c r="AG788" s="156"/>
      <c r="AH788" s="156"/>
      <c r="AI788" s="156"/>
      <c r="AJ788" s="154"/>
      <c r="AK788" s="473"/>
      <c r="AL788" s="156"/>
      <c r="AM788" s="156"/>
      <c r="AN788" s="156"/>
      <c r="AO788" s="452"/>
      <c r="AP788" s="452"/>
      <c r="AQ788" s="452"/>
      <c r="AR788" s="452"/>
      <c r="AS788" s="452"/>
      <c r="AT788" s="452"/>
      <c r="AU788" s="452"/>
      <c r="AV788" s="452"/>
      <c r="AW788" s="452"/>
      <c r="AX788" s="452"/>
      <c r="AY788" s="154"/>
      <c r="AZ788" s="473"/>
      <c r="BA788" s="156"/>
      <c r="BB788" s="156"/>
      <c r="BC788" s="156"/>
      <c r="BD788" s="452"/>
      <c r="BE788" s="452"/>
      <c r="BF788" s="452"/>
      <c r="BG788" s="452"/>
      <c r="BH788" s="452"/>
    </row>
    <row r="789">
      <c r="A789" s="154"/>
      <c r="B789" s="473"/>
      <c r="C789" s="156"/>
      <c r="D789" s="156"/>
      <c r="E789" s="156"/>
      <c r="F789" s="154"/>
      <c r="G789" s="473"/>
      <c r="H789" s="156"/>
      <c r="I789" s="156"/>
      <c r="J789" s="156"/>
      <c r="K789" s="132"/>
      <c r="L789" s="473"/>
      <c r="M789" s="156"/>
      <c r="N789" s="156"/>
      <c r="O789" s="156"/>
      <c r="P789" s="132"/>
      <c r="Q789" s="487"/>
      <c r="R789" s="156"/>
      <c r="S789" s="156"/>
      <c r="T789" s="156"/>
      <c r="U789" s="154"/>
      <c r="V789" s="473"/>
      <c r="W789" s="156"/>
      <c r="X789" s="156"/>
      <c r="Y789" s="156"/>
      <c r="Z789" s="154"/>
      <c r="AA789" s="473"/>
      <c r="AB789" s="156"/>
      <c r="AC789" s="156"/>
      <c r="AD789" s="156"/>
      <c r="AE789" s="154"/>
      <c r="AF789" s="473"/>
      <c r="AG789" s="156"/>
      <c r="AH789" s="156"/>
      <c r="AI789" s="156"/>
      <c r="AJ789" s="154"/>
      <c r="AK789" s="473"/>
      <c r="AL789" s="156"/>
      <c r="AM789" s="156"/>
      <c r="AN789" s="156"/>
      <c r="AO789" s="452"/>
      <c r="AP789" s="452"/>
      <c r="AQ789" s="452"/>
      <c r="AR789" s="452"/>
      <c r="AS789" s="452"/>
      <c r="AT789" s="452"/>
      <c r="AU789" s="452"/>
      <c r="AV789" s="452"/>
      <c r="AW789" s="452"/>
      <c r="AX789" s="452"/>
      <c r="AY789" s="154"/>
      <c r="AZ789" s="473"/>
      <c r="BA789" s="156"/>
      <c r="BB789" s="156"/>
      <c r="BC789" s="156"/>
      <c r="BD789" s="452"/>
      <c r="BE789" s="452"/>
      <c r="BF789" s="452"/>
      <c r="BG789" s="452"/>
      <c r="BH789" s="452"/>
    </row>
    <row r="790">
      <c r="A790" s="154"/>
      <c r="B790" s="473"/>
      <c r="C790" s="156"/>
      <c r="D790" s="156"/>
      <c r="E790" s="156"/>
      <c r="F790" s="154"/>
      <c r="G790" s="473"/>
      <c r="H790" s="156"/>
      <c r="I790" s="156"/>
      <c r="J790" s="156"/>
      <c r="K790" s="132"/>
      <c r="L790" s="473"/>
      <c r="M790" s="156"/>
      <c r="N790" s="156"/>
      <c r="O790" s="156"/>
      <c r="P790" s="132"/>
      <c r="Q790" s="487"/>
      <c r="R790" s="156"/>
      <c r="S790" s="156"/>
      <c r="T790" s="156"/>
      <c r="U790" s="154"/>
      <c r="V790" s="473"/>
      <c r="W790" s="156"/>
      <c r="X790" s="156"/>
      <c r="Y790" s="156"/>
      <c r="Z790" s="154"/>
      <c r="AA790" s="473"/>
      <c r="AB790" s="156"/>
      <c r="AC790" s="156"/>
      <c r="AD790" s="156"/>
      <c r="AE790" s="154"/>
      <c r="AF790" s="473"/>
      <c r="AG790" s="156"/>
      <c r="AH790" s="156"/>
      <c r="AI790" s="156"/>
      <c r="AJ790" s="154"/>
      <c r="AK790" s="473"/>
      <c r="AL790" s="156"/>
      <c r="AM790" s="156"/>
      <c r="AN790" s="156"/>
      <c r="AO790" s="452"/>
      <c r="AP790" s="452"/>
      <c r="AQ790" s="452"/>
      <c r="AR790" s="452"/>
      <c r="AS790" s="452"/>
      <c r="AT790" s="452"/>
      <c r="AU790" s="452"/>
      <c r="AV790" s="452"/>
      <c r="AW790" s="452"/>
      <c r="AX790" s="452"/>
      <c r="AY790" s="154"/>
      <c r="AZ790" s="473"/>
      <c r="BA790" s="156"/>
      <c r="BB790" s="156"/>
      <c r="BC790" s="156"/>
      <c r="BD790" s="452"/>
      <c r="BE790" s="452"/>
      <c r="BF790" s="452"/>
      <c r="BG790" s="452"/>
      <c r="BH790" s="452"/>
    </row>
    <row r="791">
      <c r="A791" s="154"/>
      <c r="B791" s="473"/>
      <c r="C791" s="156"/>
      <c r="D791" s="156"/>
      <c r="E791" s="156"/>
      <c r="F791" s="154"/>
      <c r="G791" s="473"/>
      <c r="H791" s="156"/>
      <c r="I791" s="156"/>
      <c r="J791" s="156"/>
      <c r="K791" s="132"/>
      <c r="L791" s="473"/>
      <c r="M791" s="156"/>
      <c r="N791" s="156"/>
      <c r="O791" s="156"/>
      <c r="P791" s="132"/>
      <c r="Q791" s="487"/>
      <c r="R791" s="156"/>
      <c r="S791" s="156"/>
      <c r="T791" s="156"/>
      <c r="U791" s="154"/>
      <c r="V791" s="473"/>
      <c r="W791" s="156"/>
      <c r="X791" s="156"/>
      <c r="Y791" s="156"/>
      <c r="Z791" s="154"/>
      <c r="AA791" s="473"/>
      <c r="AB791" s="156"/>
      <c r="AC791" s="156"/>
      <c r="AD791" s="156"/>
      <c r="AE791" s="154"/>
      <c r="AF791" s="473"/>
      <c r="AG791" s="156"/>
      <c r="AH791" s="156"/>
      <c r="AI791" s="156"/>
      <c r="AJ791" s="154"/>
      <c r="AK791" s="473"/>
      <c r="AL791" s="156"/>
      <c r="AM791" s="156"/>
      <c r="AN791" s="156"/>
      <c r="AO791" s="452"/>
      <c r="AP791" s="452"/>
      <c r="AQ791" s="452"/>
      <c r="AR791" s="452"/>
      <c r="AS791" s="452"/>
      <c r="AT791" s="452"/>
      <c r="AU791" s="452"/>
      <c r="AV791" s="452"/>
      <c r="AW791" s="452"/>
      <c r="AX791" s="452"/>
      <c r="AY791" s="154"/>
      <c r="AZ791" s="473"/>
      <c r="BA791" s="156"/>
      <c r="BB791" s="156"/>
      <c r="BC791" s="156"/>
      <c r="BD791" s="452"/>
      <c r="BE791" s="452"/>
      <c r="BF791" s="452"/>
      <c r="BG791" s="452"/>
      <c r="BH791" s="452"/>
    </row>
    <row r="792">
      <c r="A792" s="154"/>
      <c r="B792" s="473"/>
      <c r="C792" s="156"/>
      <c r="D792" s="156"/>
      <c r="E792" s="156"/>
      <c r="F792" s="154"/>
      <c r="G792" s="473"/>
      <c r="H792" s="156"/>
      <c r="I792" s="156"/>
      <c r="J792" s="156"/>
      <c r="K792" s="132"/>
      <c r="L792" s="473"/>
      <c r="M792" s="156"/>
      <c r="N792" s="156"/>
      <c r="O792" s="156"/>
      <c r="P792" s="132"/>
      <c r="Q792" s="487"/>
      <c r="R792" s="156"/>
      <c r="S792" s="156"/>
      <c r="T792" s="156"/>
      <c r="U792" s="154"/>
      <c r="V792" s="473"/>
      <c r="W792" s="156"/>
      <c r="X792" s="156"/>
      <c r="Y792" s="156"/>
      <c r="Z792" s="154"/>
      <c r="AA792" s="473"/>
      <c r="AB792" s="156"/>
      <c r="AC792" s="156"/>
      <c r="AD792" s="156"/>
      <c r="AE792" s="154"/>
      <c r="AF792" s="473"/>
      <c r="AG792" s="156"/>
      <c r="AH792" s="156"/>
      <c r="AI792" s="156"/>
      <c r="AJ792" s="154"/>
      <c r="AK792" s="473"/>
      <c r="AL792" s="156"/>
      <c r="AM792" s="156"/>
      <c r="AN792" s="156"/>
      <c r="AO792" s="452"/>
      <c r="AP792" s="452"/>
      <c r="AQ792" s="452"/>
      <c r="AR792" s="452"/>
      <c r="AS792" s="452"/>
      <c r="AT792" s="452"/>
      <c r="AU792" s="452"/>
      <c r="AV792" s="452"/>
      <c r="AW792" s="452"/>
      <c r="AX792" s="452"/>
      <c r="AY792" s="154"/>
      <c r="AZ792" s="473"/>
      <c r="BA792" s="156"/>
      <c r="BB792" s="156"/>
      <c r="BC792" s="156"/>
      <c r="BD792" s="452"/>
      <c r="BE792" s="452"/>
      <c r="BF792" s="452"/>
      <c r="BG792" s="452"/>
      <c r="BH792" s="452"/>
    </row>
    <row r="793">
      <c r="A793" s="154"/>
      <c r="B793" s="473"/>
      <c r="C793" s="156"/>
      <c r="D793" s="156"/>
      <c r="E793" s="156"/>
      <c r="F793" s="154"/>
      <c r="G793" s="473"/>
      <c r="H793" s="156"/>
      <c r="I793" s="156"/>
      <c r="J793" s="156"/>
      <c r="K793" s="132"/>
      <c r="L793" s="473"/>
      <c r="M793" s="156"/>
      <c r="N793" s="156"/>
      <c r="O793" s="156"/>
      <c r="P793" s="132"/>
      <c r="Q793" s="487"/>
      <c r="R793" s="156"/>
      <c r="S793" s="156"/>
      <c r="T793" s="156"/>
      <c r="U793" s="154"/>
      <c r="V793" s="473"/>
      <c r="W793" s="156"/>
      <c r="X793" s="156"/>
      <c r="Y793" s="156"/>
      <c r="Z793" s="154"/>
      <c r="AA793" s="473"/>
      <c r="AB793" s="156"/>
      <c r="AC793" s="156"/>
      <c r="AD793" s="156"/>
      <c r="AE793" s="154"/>
      <c r="AF793" s="473"/>
      <c r="AG793" s="156"/>
      <c r="AH793" s="156"/>
      <c r="AI793" s="156"/>
      <c r="AJ793" s="154"/>
      <c r="AK793" s="473"/>
      <c r="AL793" s="156"/>
      <c r="AM793" s="156"/>
      <c r="AN793" s="156"/>
      <c r="AO793" s="452"/>
      <c r="AP793" s="452"/>
      <c r="AQ793" s="452"/>
      <c r="AR793" s="452"/>
      <c r="AS793" s="452"/>
      <c r="AT793" s="452"/>
      <c r="AU793" s="452"/>
      <c r="AV793" s="452"/>
      <c r="AW793" s="452"/>
      <c r="AX793" s="452"/>
      <c r="AY793" s="154"/>
      <c r="AZ793" s="473"/>
      <c r="BA793" s="156"/>
      <c r="BB793" s="156"/>
      <c r="BC793" s="156"/>
      <c r="BD793" s="452"/>
      <c r="BE793" s="452"/>
      <c r="BF793" s="452"/>
      <c r="BG793" s="452"/>
      <c r="BH793" s="452"/>
    </row>
    <row r="794">
      <c r="A794" s="154"/>
      <c r="B794" s="473"/>
      <c r="C794" s="156"/>
      <c r="D794" s="156"/>
      <c r="E794" s="156"/>
      <c r="F794" s="154"/>
      <c r="G794" s="473"/>
      <c r="H794" s="156"/>
      <c r="I794" s="156"/>
      <c r="J794" s="156"/>
      <c r="K794" s="132"/>
      <c r="L794" s="473"/>
      <c r="M794" s="156"/>
      <c r="N794" s="156"/>
      <c r="O794" s="156"/>
      <c r="P794" s="132"/>
      <c r="Q794" s="487"/>
      <c r="R794" s="156"/>
      <c r="S794" s="156"/>
      <c r="T794" s="156"/>
      <c r="U794" s="154"/>
      <c r="V794" s="473"/>
      <c r="W794" s="156"/>
      <c r="X794" s="156"/>
      <c r="Y794" s="156"/>
      <c r="Z794" s="154"/>
      <c r="AA794" s="473"/>
      <c r="AB794" s="156"/>
      <c r="AC794" s="156"/>
      <c r="AD794" s="156"/>
      <c r="AE794" s="154"/>
      <c r="AF794" s="473"/>
      <c r="AG794" s="156"/>
      <c r="AH794" s="156"/>
      <c r="AI794" s="156"/>
      <c r="AJ794" s="154"/>
      <c r="AK794" s="473"/>
      <c r="AL794" s="156"/>
      <c r="AM794" s="156"/>
      <c r="AN794" s="156"/>
      <c r="AO794" s="452"/>
      <c r="AP794" s="452"/>
      <c r="AQ794" s="452"/>
      <c r="AR794" s="452"/>
      <c r="AS794" s="452"/>
      <c r="AT794" s="452"/>
      <c r="AU794" s="452"/>
      <c r="AV794" s="452"/>
      <c r="AW794" s="452"/>
      <c r="AX794" s="452"/>
      <c r="AY794" s="154"/>
      <c r="AZ794" s="473"/>
      <c r="BA794" s="156"/>
      <c r="BB794" s="156"/>
      <c r="BC794" s="156"/>
      <c r="BD794" s="452"/>
      <c r="BE794" s="452"/>
      <c r="BF794" s="452"/>
      <c r="BG794" s="452"/>
      <c r="BH794" s="452"/>
    </row>
    <row r="795">
      <c r="A795" s="154"/>
      <c r="B795" s="473"/>
      <c r="C795" s="156"/>
      <c r="D795" s="156"/>
      <c r="E795" s="156"/>
      <c r="F795" s="154"/>
      <c r="G795" s="473"/>
      <c r="H795" s="156"/>
      <c r="I795" s="156"/>
      <c r="J795" s="156"/>
      <c r="K795" s="132"/>
      <c r="L795" s="473"/>
      <c r="M795" s="156"/>
      <c r="N795" s="156"/>
      <c r="O795" s="156"/>
      <c r="P795" s="132"/>
      <c r="Q795" s="487"/>
      <c r="R795" s="156"/>
      <c r="S795" s="156"/>
      <c r="T795" s="156"/>
      <c r="U795" s="154"/>
      <c r="V795" s="473"/>
      <c r="W795" s="156"/>
      <c r="X795" s="156"/>
      <c r="Y795" s="156"/>
      <c r="Z795" s="154"/>
      <c r="AA795" s="473"/>
      <c r="AB795" s="156"/>
      <c r="AC795" s="156"/>
      <c r="AD795" s="156"/>
      <c r="AE795" s="154"/>
      <c r="AF795" s="473"/>
      <c r="AG795" s="156"/>
      <c r="AH795" s="156"/>
      <c r="AI795" s="156"/>
      <c r="AJ795" s="154"/>
      <c r="AK795" s="473"/>
      <c r="AL795" s="156"/>
      <c r="AM795" s="156"/>
      <c r="AN795" s="156"/>
      <c r="AO795" s="452"/>
      <c r="AP795" s="452"/>
      <c r="AQ795" s="452"/>
      <c r="AR795" s="452"/>
      <c r="AS795" s="452"/>
      <c r="AT795" s="452"/>
      <c r="AU795" s="452"/>
      <c r="AV795" s="452"/>
      <c r="AW795" s="452"/>
      <c r="AX795" s="452"/>
      <c r="AY795" s="154"/>
      <c r="AZ795" s="473"/>
      <c r="BA795" s="156"/>
      <c r="BB795" s="156"/>
      <c r="BC795" s="156"/>
      <c r="BD795" s="452"/>
      <c r="BE795" s="452"/>
      <c r="BF795" s="452"/>
      <c r="BG795" s="452"/>
      <c r="BH795" s="452"/>
    </row>
    <row r="796">
      <c r="A796" s="154"/>
      <c r="B796" s="473"/>
      <c r="C796" s="156"/>
      <c r="D796" s="156"/>
      <c r="E796" s="156"/>
      <c r="F796" s="154"/>
      <c r="G796" s="473"/>
      <c r="H796" s="156"/>
      <c r="I796" s="156"/>
      <c r="J796" s="156"/>
      <c r="K796" s="132"/>
      <c r="L796" s="473"/>
      <c r="M796" s="156"/>
      <c r="N796" s="156"/>
      <c r="O796" s="156"/>
      <c r="P796" s="132"/>
      <c r="Q796" s="487"/>
      <c r="R796" s="156"/>
      <c r="S796" s="156"/>
      <c r="T796" s="156"/>
      <c r="U796" s="154"/>
      <c r="V796" s="473"/>
      <c r="W796" s="156"/>
      <c r="X796" s="156"/>
      <c r="Y796" s="156"/>
      <c r="Z796" s="154"/>
      <c r="AA796" s="473"/>
      <c r="AB796" s="156"/>
      <c r="AC796" s="156"/>
      <c r="AD796" s="156"/>
      <c r="AE796" s="154"/>
      <c r="AF796" s="473"/>
      <c r="AG796" s="156"/>
      <c r="AH796" s="156"/>
      <c r="AI796" s="156"/>
      <c r="AJ796" s="154"/>
      <c r="AK796" s="473"/>
      <c r="AL796" s="156"/>
      <c r="AM796" s="156"/>
      <c r="AN796" s="156"/>
      <c r="AO796" s="452"/>
      <c r="AP796" s="452"/>
      <c r="AQ796" s="452"/>
      <c r="AR796" s="452"/>
      <c r="AS796" s="452"/>
      <c r="AT796" s="452"/>
      <c r="AU796" s="452"/>
      <c r="AV796" s="452"/>
      <c r="AW796" s="452"/>
      <c r="AX796" s="452"/>
      <c r="AY796" s="154"/>
      <c r="AZ796" s="473"/>
      <c r="BA796" s="156"/>
      <c r="BB796" s="156"/>
      <c r="BC796" s="156"/>
      <c r="BD796" s="452"/>
      <c r="BE796" s="452"/>
      <c r="BF796" s="452"/>
      <c r="BG796" s="452"/>
      <c r="BH796" s="452"/>
    </row>
    <row r="797">
      <c r="A797" s="154"/>
      <c r="B797" s="473"/>
      <c r="C797" s="156"/>
      <c r="D797" s="156"/>
      <c r="E797" s="156"/>
      <c r="F797" s="154"/>
      <c r="G797" s="473"/>
      <c r="H797" s="156"/>
      <c r="I797" s="156"/>
      <c r="J797" s="156"/>
      <c r="K797" s="132"/>
      <c r="L797" s="473"/>
      <c r="M797" s="156"/>
      <c r="N797" s="156"/>
      <c r="O797" s="156"/>
      <c r="P797" s="132"/>
      <c r="Q797" s="487"/>
      <c r="R797" s="156"/>
      <c r="S797" s="156"/>
      <c r="T797" s="156"/>
      <c r="U797" s="154"/>
      <c r="V797" s="473"/>
      <c r="W797" s="156"/>
      <c r="X797" s="156"/>
      <c r="Y797" s="156"/>
      <c r="Z797" s="154"/>
      <c r="AA797" s="473"/>
      <c r="AB797" s="156"/>
      <c r="AC797" s="156"/>
      <c r="AD797" s="156"/>
      <c r="AE797" s="154"/>
      <c r="AF797" s="473"/>
      <c r="AG797" s="156"/>
      <c r="AH797" s="156"/>
      <c r="AI797" s="156"/>
      <c r="AJ797" s="154"/>
      <c r="AK797" s="473"/>
      <c r="AL797" s="156"/>
      <c r="AM797" s="156"/>
      <c r="AN797" s="156"/>
      <c r="AO797" s="452"/>
      <c r="AP797" s="452"/>
      <c r="AQ797" s="452"/>
      <c r="AR797" s="452"/>
      <c r="AS797" s="452"/>
      <c r="AT797" s="452"/>
      <c r="AU797" s="452"/>
      <c r="AV797" s="452"/>
      <c r="AW797" s="452"/>
      <c r="AX797" s="452"/>
      <c r="AY797" s="154"/>
      <c r="AZ797" s="473"/>
      <c r="BA797" s="156"/>
      <c r="BB797" s="156"/>
      <c r="BC797" s="156"/>
      <c r="BD797" s="452"/>
      <c r="BE797" s="452"/>
      <c r="BF797" s="452"/>
      <c r="BG797" s="452"/>
      <c r="BH797" s="452"/>
    </row>
    <row r="798">
      <c r="A798" s="154"/>
      <c r="B798" s="473"/>
      <c r="C798" s="156"/>
      <c r="D798" s="156"/>
      <c r="E798" s="156"/>
      <c r="F798" s="154"/>
      <c r="G798" s="473"/>
      <c r="H798" s="156"/>
      <c r="I798" s="156"/>
      <c r="J798" s="156"/>
      <c r="K798" s="132"/>
      <c r="L798" s="473"/>
      <c r="M798" s="156"/>
      <c r="N798" s="156"/>
      <c r="O798" s="156"/>
      <c r="P798" s="132"/>
      <c r="Q798" s="487"/>
      <c r="R798" s="156"/>
      <c r="S798" s="156"/>
      <c r="T798" s="156"/>
      <c r="U798" s="154"/>
      <c r="V798" s="473"/>
      <c r="W798" s="156"/>
      <c r="X798" s="156"/>
      <c r="Y798" s="156"/>
      <c r="Z798" s="154"/>
      <c r="AA798" s="473"/>
      <c r="AB798" s="156"/>
      <c r="AC798" s="156"/>
      <c r="AD798" s="156"/>
      <c r="AE798" s="154"/>
      <c r="AF798" s="473"/>
      <c r="AG798" s="156"/>
      <c r="AH798" s="156"/>
      <c r="AI798" s="156"/>
      <c r="AJ798" s="154"/>
      <c r="AK798" s="473"/>
      <c r="AL798" s="156"/>
      <c r="AM798" s="156"/>
      <c r="AN798" s="156"/>
      <c r="AO798" s="452"/>
      <c r="AP798" s="452"/>
      <c r="AQ798" s="452"/>
      <c r="AR798" s="452"/>
      <c r="AS798" s="452"/>
      <c r="AT798" s="452"/>
      <c r="AU798" s="452"/>
      <c r="AV798" s="452"/>
      <c r="AW798" s="452"/>
      <c r="AX798" s="452"/>
      <c r="AY798" s="154"/>
      <c r="AZ798" s="473"/>
      <c r="BA798" s="156"/>
      <c r="BB798" s="156"/>
      <c r="BC798" s="156"/>
      <c r="BD798" s="452"/>
      <c r="BE798" s="452"/>
      <c r="BF798" s="452"/>
      <c r="BG798" s="452"/>
      <c r="BH798" s="452"/>
    </row>
    <row r="799">
      <c r="A799" s="154"/>
      <c r="B799" s="473"/>
      <c r="C799" s="156"/>
      <c r="D799" s="156"/>
      <c r="E799" s="156"/>
      <c r="F799" s="154"/>
      <c r="G799" s="473"/>
      <c r="H799" s="156"/>
      <c r="I799" s="156"/>
      <c r="J799" s="156"/>
      <c r="K799" s="132"/>
      <c r="L799" s="473"/>
      <c r="M799" s="156"/>
      <c r="N799" s="156"/>
      <c r="O799" s="156"/>
      <c r="P799" s="132"/>
      <c r="Q799" s="487"/>
      <c r="R799" s="156"/>
      <c r="S799" s="156"/>
      <c r="T799" s="156"/>
      <c r="U799" s="154"/>
      <c r="V799" s="473"/>
      <c r="W799" s="156"/>
      <c r="X799" s="156"/>
      <c r="Y799" s="156"/>
      <c r="Z799" s="154"/>
      <c r="AA799" s="473"/>
      <c r="AB799" s="156"/>
      <c r="AC799" s="156"/>
      <c r="AD799" s="156"/>
      <c r="AE799" s="154"/>
      <c r="AF799" s="473"/>
      <c r="AG799" s="156"/>
      <c r="AH799" s="156"/>
      <c r="AI799" s="156"/>
      <c r="AJ799" s="154"/>
      <c r="AK799" s="473"/>
      <c r="AL799" s="156"/>
      <c r="AM799" s="156"/>
      <c r="AN799" s="156"/>
      <c r="AO799" s="452"/>
      <c r="AP799" s="452"/>
      <c r="AQ799" s="452"/>
      <c r="AR799" s="452"/>
      <c r="AS799" s="452"/>
      <c r="AT799" s="452"/>
      <c r="AU799" s="452"/>
      <c r="AV799" s="452"/>
      <c r="AW799" s="452"/>
      <c r="AX799" s="452"/>
      <c r="AY799" s="154"/>
      <c r="AZ799" s="473"/>
      <c r="BA799" s="156"/>
      <c r="BB799" s="156"/>
      <c r="BC799" s="156"/>
      <c r="BD799" s="452"/>
      <c r="BE799" s="452"/>
      <c r="BF799" s="452"/>
      <c r="BG799" s="452"/>
      <c r="BH799" s="452"/>
    </row>
    <row r="800">
      <c r="A800" s="154"/>
      <c r="B800" s="473"/>
      <c r="C800" s="156"/>
      <c r="D800" s="156"/>
      <c r="E800" s="156"/>
      <c r="F800" s="154"/>
      <c r="G800" s="473"/>
      <c r="H800" s="156"/>
      <c r="I800" s="156"/>
      <c r="J800" s="156"/>
      <c r="K800" s="132"/>
      <c r="L800" s="473"/>
      <c r="M800" s="156"/>
      <c r="N800" s="156"/>
      <c r="O800" s="156"/>
      <c r="P800" s="132"/>
      <c r="Q800" s="487"/>
      <c r="R800" s="156"/>
      <c r="S800" s="156"/>
      <c r="T800" s="156"/>
      <c r="U800" s="154"/>
      <c r="V800" s="473"/>
      <c r="W800" s="156"/>
      <c r="X800" s="156"/>
      <c r="Y800" s="156"/>
      <c r="Z800" s="154"/>
      <c r="AA800" s="473"/>
      <c r="AB800" s="156"/>
      <c r="AC800" s="156"/>
      <c r="AD800" s="156"/>
      <c r="AE800" s="154"/>
      <c r="AF800" s="473"/>
      <c r="AG800" s="156"/>
      <c r="AH800" s="156"/>
      <c r="AI800" s="156"/>
      <c r="AJ800" s="154"/>
      <c r="AK800" s="473"/>
      <c r="AL800" s="156"/>
      <c r="AM800" s="156"/>
      <c r="AN800" s="156"/>
      <c r="AO800" s="452"/>
      <c r="AP800" s="452"/>
      <c r="AQ800" s="452"/>
      <c r="AR800" s="452"/>
      <c r="AS800" s="452"/>
      <c r="AT800" s="452"/>
      <c r="AU800" s="452"/>
      <c r="AV800" s="452"/>
      <c r="AW800" s="452"/>
      <c r="AX800" s="452"/>
      <c r="AY800" s="154"/>
      <c r="AZ800" s="473"/>
      <c r="BA800" s="156"/>
      <c r="BB800" s="156"/>
      <c r="BC800" s="156"/>
      <c r="BD800" s="452"/>
      <c r="BE800" s="452"/>
      <c r="BF800" s="452"/>
      <c r="BG800" s="452"/>
      <c r="BH800" s="452"/>
    </row>
    <row r="801">
      <c r="A801" s="154"/>
      <c r="B801" s="473"/>
      <c r="C801" s="156"/>
      <c r="D801" s="156"/>
      <c r="E801" s="156"/>
      <c r="F801" s="154"/>
      <c r="G801" s="473"/>
      <c r="H801" s="156"/>
      <c r="I801" s="156"/>
      <c r="J801" s="156"/>
      <c r="K801" s="132"/>
      <c r="L801" s="473"/>
      <c r="M801" s="156"/>
      <c r="N801" s="156"/>
      <c r="O801" s="156"/>
      <c r="P801" s="132"/>
      <c r="Q801" s="487"/>
      <c r="R801" s="156"/>
      <c r="S801" s="156"/>
      <c r="T801" s="156"/>
      <c r="U801" s="154"/>
      <c r="V801" s="473"/>
      <c r="W801" s="156"/>
      <c r="X801" s="156"/>
      <c r="Y801" s="156"/>
      <c r="Z801" s="154"/>
      <c r="AA801" s="473"/>
      <c r="AB801" s="156"/>
      <c r="AC801" s="156"/>
      <c r="AD801" s="156"/>
      <c r="AE801" s="154"/>
      <c r="AF801" s="473"/>
      <c r="AG801" s="156"/>
      <c r="AH801" s="156"/>
      <c r="AI801" s="156"/>
      <c r="AJ801" s="154"/>
      <c r="AK801" s="473"/>
      <c r="AL801" s="156"/>
      <c r="AM801" s="156"/>
      <c r="AN801" s="156"/>
      <c r="AO801" s="452"/>
      <c r="AP801" s="452"/>
      <c r="AQ801" s="452"/>
      <c r="AR801" s="452"/>
      <c r="AS801" s="452"/>
      <c r="AT801" s="452"/>
      <c r="AU801" s="452"/>
      <c r="AV801" s="452"/>
      <c r="AW801" s="452"/>
      <c r="AX801" s="452"/>
      <c r="AY801" s="154"/>
      <c r="AZ801" s="473"/>
      <c r="BA801" s="156"/>
      <c r="BB801" s="156"/>
      <c r="BC801" s="156"/>
      <c r="BD801" s="452"/>
      <c r="BE801" s="452"/>
      <c r="BF801" s="452"/>
      <c r="BG801" s="452"/>
      <c r="BH801" s="452"/>
    </row>
    <row r="802">
      <c r="A802" s="154"/>
      <c r="B802" s="473"/>
      <c r="C802" s="156"/>
      <c r="D802" s="156"/>
      <c r="E802" s="156"/>
      <c r="F802" s="154"/>
      <c r="G802" s="473"/>
      <c r="H802" s="156"/>
      <c r="I802" s="156"/>
      <c r="J802" s="156"/>
      <c r="K802" s="132"/>
      <c r="L802" s="473"/>
      <c r="M802" s="156"/>
      <c r="N802" s="156"/>
      <c r="O802" s="156"/>
      <c r="P802" s="132"/>
      <c r="Q802" s="487"/>
      <c r="R802" s="156"/>
      <c r="S802" s="156"/>
      <c r="T802" s="156"/>
      <c r="U802" s="154"/>
      <c r="V802" s="473"/>
      <c r="W802" s="156"/>
      <c r="X802" s="156"/>
      <c r="Y802" s="156"/>
      <c r="Z802" s="154"/>
      <c r="AA802" s="473"/>
      <c r="AB802" s="156"/>
      <c r="AC802" s="156"/>
      <c r="AD802" s="156"/>
      <c r="AE802" s="154"/>
      <c r="AF802" s="473"/>
      <c r="AG802" s="156"/>
      <c r="AH802" s="156"/>
      <c r="AI802" s="156"/>
      <c r="AJ802" s="154"/>
      <c r="AK802" s="473"/>
      <c r="AL802" s="156"/>
      <c r="AM802" s="156"/>
      <c r="AN802" s="156"/>
      <c r="AO802" s="452"/>
      <c r="AP802" s="452"/>
      <c r="AQ802" s="452"/>
      <c r="AR802" s="452"/>
      <c r="AS802" s="452"/>
      <c r="AT802" s="452"/>
      <c r="AU802" s="452"/>
      <c r="AV802" s="452"/>
      <c r="AW802" s="452"/>
      <c r="AX802" s="452"/>
      <c r="AY802" s="154"/>
      <c r="AZ802" s="473"/>
      <c r="BA802" s="156"/>
      <c r="BB802" s="156"/>
      <c r="BC802" s="156"/>
      <c r="BD802" s="452"/>
      <c r="BE802" s="452"/>
      <c r="BF802" s="452"/>
      <c r="BG802" s="452"/>
      <c r="BH802" s="452"/>
    </row>
    <row r="803">
      <c r="A803" s="154"/>
      <c r="B803" s="473"/>
      <c r="C803" s="156"/>
      <c r="D803" s="156"/>
      <c r="E803" s="156"/>
      <c r="F803" s="154"/>
      <c r="G803" s="473"/>
      <c r="H803" s="156"/>
      <c r="I803" s="156"/>
      <c r="J803" s="156"/>
      <c r="K803" s="132"/>
      <c r="L803" s="473"/>
      <c r="M803" s="156"/>
      <c r="N803" s="156"/>
      <c r="O803" s="156"/>
      <c r="P803" s="132"/>
      <c r="Q803" s="487"/>
      <c r="R803" s="156"/>
      <c r="S803" s="156"/>
      <c r="T803" s="156"/>
      <c r="U803" s="154"/>
      <c r="V803" s="473"/>
      <c r="W803" s="156"/>
      <c r="X803" s="156"/>
      <c r="Y803" s="156"/>
      <c r="Z803" s="154"/>
      <c r="AA803" s="473"/>
      <c r="AB803" s="156"/>
      <c r="AC803" s="156"/>
      <c r="AD803" s="156"/>
      <c r="AE803" s="154"/>
      <c r="AF803" s="473"/>
      <c r="AG803" s="156"/>
      <c r="AH803" s="156"/>
      <c r="AI803" s="156"/>
      <c r="AJ803" s="154"/>
      <c r="AK803" s="473"/>
      <c r="AL803" s="156"/>
      <c r="AM803" s="156"/>
      <c r="AN803" s="156"/>
      <c r="AO803" s="452"/>
      <c r="AP803" s="452"/>
      <c r="AQ803" s="452"/>
      <c r="AR803" s="452"/>
      <c r="AS803" s="452"/>
      <c r="AT803" s="452"/>
      <c r="AU803" s="452"/>
      <c r="AV803" s="452"/>
      <c r="AW803" s="452"/>
      <c r="AX803" s="452"/>
      <c r="AY803" s="154"/>
      <c r="AZ803" s="473"/>
      <c r="BA803" s="156"/>
      <c r="BB803" s="156"/>
      <c r="BC803" s="156"/>
      <c r="BD803" s="452"/>
      <c r="BE803" s="452"/>
      <c r="BF803" s="452"/>
      <c r="BG803" s="452"/>
      <c r="BH803" s="452"/>
    </row>
    <row r="804">
      <c r="A804" s="154"/>
      <c r="B804" s="473"/>
      <c r="C804" s="156"/>
      <c r="D804" s="156"/>
      <c r="E804" s="156"/>
      <c r="F804" s="154"/>
      <c r="G804" s="473"/>
      <c r="H804" s="156"/>
      <c r="I804" s="156"/>
      <c r="J804" s="156"/>
      <c r="K804" s="132"/>
      <c r="L804" s="473"/>
      <c r="M804" s="156"/>
      <c r="N804" s="156"/>
      <c r="O804" s="156"/>
      <c r="P804" s="132"/>
      <c r="Q804" s="487"/>
      <c r="R804" s="156"/>
      <c r="S804" s="156"/>
      <c r="T804" s="156"/>
      <c r="U804" s="154"/>
      <c r="V804" s="473"/>
      <c r="W804" s="156"/>
      <c r="X804" s="156"/>
      <c r="Y804" s="156"/>
      <c r="Z804" s="154"/>
      <c r="AA804" s="473"/>
      <c r="AB804" s="156"/>
      <c r="AC804" s="156"/>
      <c r="AD804" s="156"/>
      <c r="AE804" s="154"/>
      <c r="AF804" s="473"/>
      <c r="AG804" s="156"/>
      <c r="AH804" s="156"/>
      <c r="AI804" s="156"/>
      <c r="AJ804" s="154"/>
      <c r="AK804" s="473"/>
      <c r="AL804" s="156"/>
      <c r="AM804" s="156"/>
      <c r="AN804" s="156"/>
      <c r="AO804" s="452"/>
      <c r="AP804" s="452"/>
      <c r="AQ804" s="452"/>
      <c r="AR804" s="452"/>
      <c r="AS804" s="452"/>
      <c r="AT804" s="452"/>
      <c r="AU804" s="452"/>
      <c r="AV804" s="452"/>
      <c r="AW804" s="452"/>
      <c r="AX804" s="452"/>
      <c r="AY804" s="154"/>
      <c r="AZ804" s="473"/>
      <c r="BA804" s="156"/>
      <c r="BB804" s="156"/>
      <c r="BC804" s="156"/>
      <c r="BD804" s="452"/>
      <c r="BE804" s="452"/>
      <c r="BF804" s="452"/>
      <c r="BG804" s="452"/>
      <c r="BH804" s="452"/>
    </row>
    <row r="805">
      <c r="A805" s="154"/>
      <c r="B805" s="473"/>
      <c r="C805" s="156"/>
      <c r="D805" s="156"/>
      <c r="E805" s="156"/>
      <c r="F805" s="154"/>
      <c r="G805" s="473"/>
      <c r="H805" s="156"/>
      <c r="I805" s="156"/>
      <c r="J805" s="156"/>
      <c r="K805" s="132"/>
      <c r="L805" s="473"/>
      <c r="M805" s="156"/>
      <c r="N805" s="156"/>
      <c r="O805" s="156"/>
      <c r="P805" s="132"/>
      <c r="Q805" s="487"/>
      <c r="R805" s="156"/>
      <c r="S805" s="156"/>
      <c r="T805" s="156"/>
      <c r="U805" s="154"/>
      <c r="V805" s="473"/>
      <c r="W805" s="156"/>
      <c r="X805" s="156"/>
      <c r="Y805" s="156"/>
      <c r="Z805" s="154"/>
      <c r="AA805" s="473"/>
      <c r="AB805" s="156"/>
      <c r="AC805" s="156"/>
      <c r="AD805" s="156"/>
      <c r="AE805" s="154"/>
      <c r="AF805" s="473"/>
      <c r="AG805" s="156"/>
      <c r="AH805" s="156"/>
      <c r="AI805" s="156"/>
      <c r="AJ805" s="154"/>
      <c r="AK805" s="473"/>
      <c r="AL805" s="156"/>
      <c r="AM805" s="156"/>
      <c r="AN805" s="156"/>
      <c r="AO805" s="452"/>
      <c r="AP805" s="452"/>
      <c r="AQ805" s="452"/>
      <c r="AR805" s="452"/>
      <c r="AS805" s="452"/>
      <c r="AT805" s="452"/>
      <c r="AU805" s="452"/>
      <c r="AV805" s="452"/>
      <c r="AW805" s="452"/>
      <c r="AX805" s="452"/>
      <c r="AY805" s="154"/>
      <c r="AZ805" s="473"/>
      <c r="BA805" s="156"/>
      <c r="BB805" s="156"/>
      <c r="BC805" s="156"/>
      <c r="BD805" s="452"/>
      <c r="BE805" s="452"/>
      <c r="BF805" s="452"/>
      <c r="BG805" s="452"/>
      <c r="BH805" s="452"/>
    </row>
    <row r="806">
      <c r="A806" s="154"/>
      <c r="B806" s="473"/>
      <c r="C806" s="156"/>
      <c r="D806" s="156"/>
      <c r="E806" s="156"/>
      <c r="F806" s="154"/>
      <c r="G806" s="473"/>
      <c r="H806" s="156"/>
      <c r="I806" s="156"/>
      <c r="J806" s="156"/>
      <c r="K806" s="132"/>
      <c r="L806" s="473"/>
      <c r="M806" s="156"/>
      <c r="N806" s="156"/>
      <c r="O806" s="156"/>
      <c r="P806" s="132"/>
      <c r="Q806" s="487"/>
      <c r="R806" s="156"/>
      <c r="S806" s="156"/>
      <c r="T806" s="156"/>
      <c r="U806" s="154"/>
      <c r="V806" s="473"/>
      <c r="W806" s="156"/>
      <c r="X806" s="156"/>
      <c r="Y806" s="156"/>
      <c r="Z806" s="154"/>
      <c r="AA806" s="473"/>
      <c r="AB806" s="156"/>
      <c r="AC806" s="156"/>
      <c r="AD806" s="156"/>
      <c r="AE806" s="154"/>
      <c r="AF806" s="473"/>
      <c r="AG806" s="156"/>
      <c r="AH806" s="156"/>
      <c r="AI806" s="156"/>
      <c r="AJ806" s="154"/>
      <c r="AK806" s="473"/>
      <c r="AL806" s="156"/>
      <c r="AM806" s="156"/>
      <c r="AN806" s="156"/>
      <c r="AO806" s="452"/>
      <c r="AP806" s="452"/>
      <c r="AQ806" s="452"/>
      <c r="AR806" s="452"/>
      <c r="AS806" s="452"/>
      <c r="AT806" s="452"/>
      <c r="AU806" s="452"/>
      <c r="AV806" s="452"/>
      <c r="AW806" s="452"/>
      <c r="AX806" s="452"/>
      <c r="AY806" s="154"/>
      <c r="AZ806" s="473"/>
      <c r="BA806" s="156"/>
      <c r="BB806" s="156"/>
      <c r="BC806" s="156"/>
      <c r="BD806" s="452"/>
      <c r="BE806" s="452"/>
      <c r="BF806" s="452"/>
      <c r="BG806" s="452"/>
      <c r="BH806" s="452"/>
    </row>
    <row r="807">
      <c r="A807" s="154"/>
      <c r="B807" s="473"/>
      <c r="C807" s="156"/>
      <c r="D807" s="156"/>
      <c r="E807" s="156"/>
      <c r="F807" s="154"/>
      <c r="G807" s="473"/>
      <c r="H807" s="156"/>
      <c r="I807" s="156"/>
      <c r="J807" s="156"/>
      <c r="K807" s="132"/>
      <c r="L807" s="473"/>
      <c r="M807" s="156"/>
      <c r="N807" s="156"/>
      <c r="O807" s="156"/>
      <c r="P807" s="132"/>
      <c r="Q807" s="487"/>
      <c r="R807" s="156"/>
      <c r="S807" s="156"/>
      <c r="T807" s="156"/>
      <c r="U807" s="154"/>
      <c r="V807" s="473"/>
      <c r="W807" s="156"/>
      <c r="X807" s="156"/>
      <c r="Y807" s="156"/>
      <c r="Z807" s="154"/>
      <c r="AA807" s="473"/>
      <c r="AB807" s="156"/>
      <c r="AC807" s="156"/>
      <c r="AD807" s="156"/>
      <c r="AE807" s="154"/>
      <c r="AF807" s="473"/>
      <c r="AG807" s="156"/>
      <c r="AH807" s="156"/>
      <c r="AI807" s="156"/>
      <c r="AJ807" s="154"/>
      <c r="AK807" s="473"/>
      <c r="AL807" s="156"/>
      <c r="AM807" s="156"/>
      <c r="AN807" s="156"/>
      <c r="AO807" s="452"/>
      <c r="AP807" s="452"/>
      <c r="AQ807" s="452"/>
      <c r="AR807" s="452"/>
      <c r="AS807" s="452"/>
      <c r="AT807" s="452"/>
      <c r="AU807" s="452"/>
      <c r="AV807" s="452"/>
      <c r="AW807" s="452"/>
      <c r="AX807" s="452"/>
      <c r="AY807" s="154"/>
      <c r="AZ807" s="473"/>
      <c r="BA807" s="156"/>
      <c r="BB807" s="156"/>
      <c r="BC807" s="156"/>
      <c r="BD807" s="452"/>
      <c r="BE807" s="452"/>
      <c r="BF807" s="452"/>
      <c r="BG807" s="452"/>
      <c r="BH807" s="452"/>
    </row>
    <row r="808">
      <c r="A808" s="154"/>
      <c r="B808" s="473"/>
      <c r="C808" s="156"/>
      <c r="D808" s="156"/>
      <c r="E808" s="156"/>
      <c r="F808" s="154"/>
      <c r="G808" s="473"/>
      <c r="H808" s="156"/>
      <c r="I808" s="156"/>
      <c r="J808" s="156"/>
      <c r="K808" s="132"/>
      <c r="L808" s="473"/>
      <c r="M808" s="156"/>
      <c r="N808" s="156"/>
      <c r="O808" s="156"/>
      <c r="P808" s="132"/>
      <c r="Q808" s="487"/>
      <c r="R808" s="156"/>
      <c r="S808" s="156"/>
      <c r="T808" s="156"/>
      <c r="U808" s="154"/>
      <c r="V808" s="473"/>
      <c r="W808" s="156"/>
      <c r="X808" s="156"/>
      <c r="Y808" s="156"/>
      <c r="Z808" s="154"/>
      <c r="AA808" s="473"/>
      <c r="AB808" s="156"/>
      <c r="AC808" s="156"/>
      <c r="AD808" s="156"/>
      <c r="AE808" s="154"/>
      <c r="AF808" s="473"/>
      <c r="AG808" s="156"/>
      <c r="AH808" s="156"/>
      <c r="AI808" s="156"/>
      <c r="AJ808" s="154"/>
      <c r="AK808" s="473"/>
      <c r="AL808" s="156"/>
      <c r="AM808" s="156"/>
      <c r="AN808" s="156"/>
      <c r="AO808" s="452"/>
      <c r="AP808" s="452"/>
      <c r="AQ808" s="452"/>
      <c r="AR808" s="452"/>
      <c r="AS808" s="452"/>
      <c r="AT808" s="452"/>
      <c r="AU808" s="452"/>
      <c r="AV808" s="452"/>
      <c r="AW808" s="452"/>
      <c r="AX808" s="452"/>
      <c r="AY808" s="154"/>
      <c r="AZ808" s="473"/>
      <c r="BA808" s="156"/>
      <c r="BB808" s="156"/>
      <c r="BC808" s="156"/>
      <c r="BD808" s="452"/>
      <c r="BE808" s="452"/>
      <c r="BF808" s="452"/>
      <c r="BG808" s="452"/>
      <c r="BH808" s="452"/>
    </row>
    <row r="809">
      <c r="A809" s="154"/>
      <c r="B809" s="473"/>
      <c r="C809" s="156"/>
      <c r="D809" s="156"/>
      <c r="E809" s="156"/>
      <c r="F809" s="154"/>
      <c r="G809" s="473"/>
      <c r="H809" s="156"/>
      <c r="I809" s="156"/>
      <c r="J809" s="156"/>
      <c r="K809" s="132"/>
      <c r="L809" s="473"/>
      <c r="M809" s="156"/>
      <c r="N809" s="156"/>
      <c r="O809" s="156"/>
      <c r="P809" s="132"/>
      <c r="Q809" s="487"/>
      <c r="R809" s="156"/>
      <c r="S809" s="156"/>
      <c r="T809" s="156"/>
      <c r="U809" s="154"/>
      <c r="V809" s="473"/>
      <c r="W809" s="156"/>
      <c r="X809" s="156"/>
      <c r="Y809" s="156"/>
      <c r="Z809" s="154"/>
      <c r="AA809" s="473"/>
      <c r="AB809" s="156"/>
      <c r="AC809" s="156"/>
      <c r="AD809" s="156"/>
      <c r="AE809" s="154"/>
      <c r="AF809" s="473"/>
      <c r="AG809" s="156"/>
      <c r="AH809" s="156"/>
      <c r="AI809" s="156"/>
      <c r="AJ809" s="154"/>
      <c r="AK809" s="473"/>
      <c r="AL809" s="156"/>
      <c r="AM809" s="156"/>
      <c r="AN809" s="156"/>
      <c r="AO809" s="452"/>
      <c r="AP809" s="452"/>
      <c r="AQ809" s="452"/>
      <c r="AR809" s="452"/>
      <c r="AS809" s="452"/>
      <c r="AT809" s="452"/>
      <c r="AU809" s="452"/>
      <c r="AV809" s="452"/>
      <c r="AW809" s="452"/>
      <c r="AX809" s="452"/>
      <c r="AY809" s="154"/>
      <c r="AZ809" s="473"/>
      <c r="BA809" s="156"/>
      <c r="BB809" s="156"/>
      <c r="BC809" s="156"/>
      <c r="BD809" s="452"/>
      <c r="BE809" s="452"/>
      <c r="BF809" s="452"/>
      <c r="BG809" s="452"/>
      <c r="BH809" s="452"/>
    </row>
    <row r="810">
      <c r="A810" s="154"/>
      <c r="B810" s="473"/>
      <c r="C810" s="156"/>
      <c r="D810" s="156"/>
      <c r="E810" s="156"/>
      <c r="F810" s="154"/>
      <c r="G810" s="473"/>
      <c r="H810" s="156"/>
      <c r="I810" s="156"/>
      <c r="J810" s="156"/>
      <c r="K810" s="132"/>
      <c r="L810" s="473"/>
      <c r="M810" s="156"/>
      <c r="N810" s="156"/>
      <c r="O810" s="156"/>
      <c r="P810" s="132"/>
      <c r="Q810" s="487"/>
      <c r="R810" s="156"/>
      <c r="S810" s="156"/>
      <c r="T810" s="156"/>
      <c r="U810" s="154"/>
      <c r="V810" s="473"/>
      <c r="W810" s="156"/>
      <c r="X810" s="156"/>
      <c r="Y810" s="156"/>
      <c r="Z810" s="154"/>
      <c r="AA810" s="473"/>
      <c r="AB810" s="156"/>
      <c r="AC810" s="156"/>
      <c r="AD810" s="156"/>
      <c r="AE810" s="154"/>
      <c r="AF810" s="473"/>
      <c r="AG810" s="156"/>
      <c r="AH810" s="156"/>
      <c r="AI810" s="156"/>
      <c r="AJ810" s="154"/>
      <c r="AK810" s="473"/>
      <c r="AL810" s="156"/>
      <c r="AM810" s="156"/>
      <c r="AN810" s="156"/>
      <c r="AO810" s="452"/>
      <c r="AP810" s="452"/>
      <c r="AQ810" s="452"/>
      <c r="AR810" s="452"/>
      <c r="AS810" s="452"/>
      <c r="AT810" s="452"/>
      <c r="AU810" s="452"/>
      <c r="AV810" s="452"/>
      <c r="AW810" s="452"/>
      <c r="AX810" s="452"/>
      <c r="AY810" s="154"/>
      <c r="AZ810" s="473"/>
      <c r="BA810" s="156"/>
      <c r="BB810" s="156"/>
      <c r="BC810" s="156"/>
      <c r="BD810" s="452"/>
      <c r="BE810" s="452"/>
      <c r="BF810" s="452"/>
      <c r="BG810" s="452"/>
      <c r="BH810" s="452"/>
    </row>
    <row r="811">
      <c r="A811" s="154"/>
      <c r="B811" s="473"/>
      <c r="C811" s="156"/>
      <c r="D811" s="156"/>
      <c r="E811" s="156"/>
      <c r="F811" s="154"/>
      <c r="G811" s="473"/>
      <c r="H811" s="156"/>
      <c r="I811" s="156"/>
      <c r="J811" s="156"/>
      <c r="K811" s="132"/>
      <c r="L811" s="473"/>
      <c r="M811" s="156"/>
      <c r="N811" s="156"/>
      <c r="O811" s="156"/>
      <c r="P811" s="132"/>
      <c r="Q811" s="487"/>
      <c r="R811" s="156"/>
      <c r="S811" s="156"/>
      <c r="T811" s="156"/>
      <c r="U811" s="154"/>
      <c r="V811" s="473"/>
      <c r="W811" s="156"/>
      <c r="X811" s="156"/>
      <c r="Y811" s="156"/>
      <c r="Z811" s="154"/>
      <c r="AA811" s="473"/>
      <c r="AB811" s="156"/>
      <c r="AC811" s="156"/>
      <c r="AD811" s="156"/>
      <c r="AE811" s="154"/>
      <c r="AF811" s="473"/>
      <c r="AG811" s="156"/>
      <c r="AH811" s="156"/>
      <c r="AI811" s="156"/>
      <c r="AJ811" s="154"/>
      <c r="AK811" s="473"/>
      <c r="AL811" s="156"/>
      <c r="AM811" s="156"/>
      <c r="AN811" s="156"/>
      <c r="AO811" s="452"/>
      <c r="AP811" s="452"/>
      <c r="AQ811" s="452"/>
      <c r="AR811" s="452"/>
      <c r="AS811" s="452"/>
      <c r="AT811" s="452"/>
      <c r="AU811" s="452"/>
      <c r="AV811" s="452"/>
      <c r="AW811" s="452"/>
      <c r="AX811" s="452"/>
      <c r="AY811" s="154"/>
      <c r="AZ811" s="473"/>
      <c r="BA811" s="156"/>
      <c r="BB811" s="156"/>
      <c r="BC811" s="156"/>
      <c r="BD811" s="452"/>
      <c r="BE811" s="452"/>
      <c r="BF811" s="452"/>
      <c r="BG811" s="452"/>
      <c r="BH811" s="452"/>
    </row>
    <row r="812">
      <c r="A812" s="154"/>
      <c r="B812" s="473"/>
      <c r="C812" s="156"/>
      <c r="D812" s="156"/>
      <c r="E812" s="156"/>
      <c r="F812" s="154"/>
      <c r="G812" s="473"/>
      <c r="H812" s="156"/>
      <c r="I812" s="156"/>
      <c r="J812" s="156"/>
      <c r="K812" s="132"/>
      <c r="L812" s="473"/>
      <c r="M812" s="156"/>
      <c r="N812" s="156"/>
      <c r="O812" s="156"/>
      <c r="P812" s="132"/>
      <c r="Q812" s="487"/>
      <c r="R812" s="156"/>
      <c r="S812" s="156"/>
      <c r="T812" s="156"/>
      <c r="U812" s="154"/>
      <c r="V812" s="473"/>
      <c r="W812" s="156"/>
      <c r="X812" s="156"/>
      <c r="Y812" s="156"/>
      <c r="Z812" s="154"/>
      <c r="AA812" s="473"/>
      <c r="AB812" s="156"/>
      <c r="AC812" s="156"/>
      <c r="AD812" s="156"/>
      <c r="AE812" s="154"/>
      <c r="AF812" s="473"/>
      <c r="AG812" s="156"/>
      <c r="AH812" s="156"/>
      <c r="AI812" s="156"/>
      <c r="AJ812" s="154"/>
      <c r="AK812" s="473"/>
      <c r="AL812" s="156"/>
      <c r="AM812" s="156"/>
      <c r="AN812" s="156"/>
      <c r="AO812" s="452"/>
      <c r="AP812" s="452"/>
      <c r="AQ812" s="452"/>
      <c r="AR812" s="452"/>
      <c r="AS812" s="452"/>
      <c r="AT812" s="452"/>
      <c r="AU812" s="452"/>
      <c r="AV812" s="452"/>
      <c r="AW812" s="452"/>
      <c r="AX812" s="452"/>
      <c r="AY812" s="154"/>
      <c r="AZ812" s="473"/>
      <c r="BA812" s="156"/>
      <c r="BB812" s="156"/>
      <c r="BC812" s="156"/>
      <c r="BD812" s="452"/>
      <c r="BE812" s="452"/>
      <c r="BF812" s="452"/>
      <c r="BG812" s="452"/>
      <c r="BH812" s="452"/>
    </row>
    <row r="813">
      <c r="A813" s="154"/>
      <c r="B813" s="473"/>
      <c r="C813" s="156"/>
      <c r="D813" s="156"/>
      <c r="E813" s="156"/>
      <c r="F813" s="154"/>
      <c r="G813" s="473"/>
      <c r="H813" s="156"/>
      <c r="I813" s="156"/>
      <c r="J813" s="156"/>
      <c r="K813" s="132"/>
      <c r="L813" s="473"/>
      <c r="M813" s="156"/>
      <c r="N813" s="156"/>
      <c r="O813" s="156"/>
      <c r="P813" s="132"/>
      <c r="Q813" s="487"/>
      <c r="R813" s="156"/>
      <c r="S813" s="156"/>
      <c r="T813" s="156"/>
      <c r="U813" s="154"/>
      <c r="V813" s="473"/>
      <c r="W813" s="156"/>
      <c r="X813" s="156"/>
      <c r="Y813" s="156"/>
      <c r="Z813" s="154"/>
      <c r="AA813" s="473"/>
      <c r="AB813" s="156"/>
      <c r="AC813" s="156"/>
      <c r="AD813" s="156"/>
      <c r="AE813" s="154"/>
      <c r="AF813" s="473"/>
      <c r="AG813" s="156"/>
      <c r="AH813" s="156"/>
      <c r="AI813" s="156"/>
      <c r="AJ813" s="154"/>
      <c r="AK813" s="473"/>
      <c r="AL813" s="156"/>
      <c r="AM813" s="156"/>
      <c r="AN813" s="156"/>
      <c r="AO813" s="452"/>
      <c r="AP813" s="452"/>
      <c r="AQ813" s="452"/>
      <c r="AR813" s="452"/>
      <c r="AS813" s="452"/>
      <c r="AT813" s="452"/>
      <c r="AU813" s="452"/>
      <c r="AV813" s="452"/>
      <c r="AW813" s="452"/>
      <c r="AX813" s="452"/>
      <c r="AY813" s="154"/>
      <c r="AZ813" s="473"/>
      <c r="BA813" s="156"/>
      <c r="BB813" s="156"/>
      <c r="BC813" s="156"/>
      <c r="BD813" s="452"/>
      <c r="BE813" s="452"/>
      <c r="BF813" s="452"/>
      <c r="BG813" s="452"/>
      <c r="BH813" s="452"/>
    </row>
    <row r="814">
      <c r="A814" s="154"/>
      <c r="B814" s="473"/>
      <c r="C814" s="156"/>
      <c r="D814" s="156"/>
      <c r="E814" s="156"/>
      <c r="F814" s="154"/>
      <c r="G814" s="473"/>
      <c r="H814" s="156"/>
      <c r="I814" s="156"/>
      <c r="J814" s="156"/>
      <c r="K814" s="132"/>
      <c r="L814" s="473"/>
      <c r="M814" s="156"/>
      <c r="N814" s="156"/>
      <c r="O814" s="156"/>
      <c r="P814" s="132"/>
      <c r="Q814" s="487"/>
      <c r="R814" s="156"/>
      <c r="S814" s="156"/>
      <c r="T814" s="156"/>
      <c r="U814" s="154"/>
      <c r="V814" s="473"/>
      <c r="W814" s="156"/>
      <c r="X814" s="156"/>
      <c r="Y814" s="156"/>
      <c r="Z814" s="154"/>
      <c r="AA814" s="473"/>
      <c r="AB814" s="156"/>
      <c r="AC814" s="156"/>
      <c r="AD814" s="156"/>
      <c r="AE814" s="154"/>
      <c r="AF814" s="473"/>
      <c r="AG814" s="156"/>
      <c r="AH814" s="156"/>
      <c r="AI814" s="156"/>
      <c r="AJ814" s="154"/>
      <c r="AK814" s="473"/>
      <c r="AL814" s="156"/>
      <c r="AM814" s="156"/>
      <c r="AN814" s="156"/>
      <c r="AO814" s="452"/>
      <c r="AP814" s="452"/>
      <c r="AQ814" s="452"/>
      <c r="AR814" s="452"/>
      <c r="AS814" s="452"/>
      <c r="AT814" s="452"/>
      <c r="AU814" s="452"/>
      <c r="AV814" s="452"/>
      <c r="AW814" s="452"/>
      <c r="AX814" s="452"/>
      <c r="AY814" s="154"/>
      <c r="AZ814" s="473"/>
      <c r="BA814" s="156"/>
      <c r="BB814" s="156"/>
      <c r="BC814" s="156"/>
      <c r="BD814" s="452"/>
      <c r="BE814" s="452"/>
      <c r="BF814" s="452"/>
      <c r="BG814" s="452"/>
      <c r="BH814" s="452"/>
    </row>
    <row r="815">
      <c r="A815" s="154"/>
      <c r="B815" s="473"/>
      <c r="C815" s="156"/>
      <c r="D815" s="156"/>
      <c r="E815" s="156"/>
      <c r="F815" s="154"/>
      <c r="G815" s="473"/>
      <c r="H815" s="156"/>
      <c r="I815" s="156"/>
      <c r="J815" s="156"/>
      <c r="K815" s="132"/>
      <c r="L815" s="473"/>
      <c r="M815" s="156"/>
      <c r="N815" s="156"/>
      <c r="O815" s="156"/>
      <c r="P815" s="132"/>
      <c r="Q815" s="487"/>
      <c r="R815" s="156"/>
      <c r="S815" s="156"/>
      <c r="T815" s="156"/>
      <c r="U815" s="154"/>
      <c r="V815" s="473"/>
      <c r="W815" s="156"/>
      <c r="X815" s="156"/>
      <c r="Y815" s="156"/>
      <c r="Z815" s="154"/>
      <c r="AA815" s="473"/>
      <c r="AB815" s="156"/>
      <c r="AC815" s="156"/>
      <c r="AD815" s="156"/>
      <c r="AE815" s="154"/>
      <c r="AF815" s="473"/>
      <c r="AG815" s="156"/>
      <c r="AH815" s="156"/>
      <c r="AI815" s="156"/>
      <c r="AJ815" s="154"/>
      <c r="AK815" s="473"/>
      <c r="AL815" s="156"/>
      <c r="AM815" s="156"/>
      <c r="AN815" s="156"/>
      <c r="AO815" s="452"/>
      <c r="AP815" s="452"/>
      <c r="AQ815" s="452"/>
      <c r="AR815" s="452"/>
      <c r="AS815" s="452"/>
      <c r="AT815" s="452"/>
      <c r="AU815" s="452"/>
      <c r="AV815" s="452"/>
      <c r="AW815" s="452"/>
      <c r="AX815" s="452"/>
      <c r="AY815" s="154"/>
      <c r="AZ815" s="473"/>
      <c r="BA815" s="156"/>
      <c r="BB815" s="156"/>
      <c r="BC815" s="156"/>
      <c r="BD815" s="452"/>
      <c r="BE815" s="452"/>
      <c r="BF815" s="452"/>
      <c r="BG815" s="452"/>
      <c r="BH815" s="452"/>
    </row>
    <row r="816">
      <c r="A816" s="154"/>
      <c r="B816" s="473"/>
      <c r="C816" s="156"/>
      <c r="D816" s="156"/>
      <c r="E816" s="156"/>
      <c r="F816" s="154"/>
      <c r="G816" s="473"/>
      <c r="H816" s="156"/>
      <c r="I816" s="156"/>
      <c r="J816" s="156"/>
      <c r="K816" s="132"/>
      <c r="L816" s="473"/>
      <c r="M816" s="156"/>
      <c r="N816" s="156"/>
      <c r="O816" s="156"/>
      <c r="P816" s="132"/>
      <c r="Q816" s="487"/>
      <c r="R816" s="156"/>
      <c r="S816" s="156"/>
      <c r="T816" s="156"/>
      <c r="U816" s="154"/>
      <c r="V816" s="473"/>
      <c r="W816" s="156"/>
      <c r="X816" s="156"/>
      <c r="Y816" s="156"/>
      <c r="Z816" s="154"/>
      <c r="AA816" s="473"/>
      <c r="AB816" s="156"/>
      <c r="AC816" s="156"/>
      <c r="AD816" s="156"/>
      <c r="AE816" s="154"/>
      <c r="AF816" s="473"/>
      <c r="AG816" s="156"/>
      <c r="AH816" s="156"/>
      <c r="AI816" s="156"/>
      <c r="AJ816" s="154"/>
      <c r="AK816" s="473"/>
      <c r="AL816" s="156"/>
      <c r="AM816" s="156"/>
      <c r="AN816" s="156"/>
      <c r="AO816" s="452"/>
      <c r="AP816" s="452"/>
      <c r="AQ816" s="452"/>
      <c r="AR816" s="452"/>
      <c r="AS816" s="452"/>
      <c r="AT816" s="452"/>
      <c r="AU816" s="452"/>
      <c r="AV816" s="452"/>
      <c r="AW816" s="452"/>
      <c r="AX816" s="452"/>
      <c r="AY816" s="154"/>
      <c r="AZ816" s="473"/>
      <c r="BA816" s="156"/>
      <c r="BB816" s="156"/>
      <c r="BC816" s="156"/>
      <c r="BD816" s="452"/>
      <c r="BE816" s="452"/>
      <c r="BF816" s="452"/>
      <c r="BG816" s="452"/>
      <c r="BH816" s="452"/>
    </row>
    <row r="817">
      <c r="A817" s="154"/>
      <c r="B817" s="473"/>
      <c r="C817" s="156"/>
      <c r="D817" s="156"/>
      <c r="E817" s="156"/>
      <c r="F817" s="154"/>
      <c r="G817" s="473"/>
      <c r="H817" s="156"/>
      <c r="I817" s="156"/>
      <c r="J817" s="156"/>
      <c r="K817" s="132"/>
      <c r="L817" s="473"/>
      <c r="M817" s="156"/>
      <c r="N817" s="156"/>
      <c r="O817" s="156"/>
      <c r="P817" s="132"/>
      <c r="Q817" s="487"/>
      <c r="R817" s="156"/>
      <c r="S817" s="156"/>
      <c r="T817" s="156"/>
      <c r="U817" s="154"/>
      <c r="V817" s="473"/>
      <c r="W817" s="156"/>
      <c r="X817" s="156"/>
      <c r="Y817" s="156"/>
      <c r="Z817" s="154"/>
      <c r="AA817" s="473"/>
      <c r="AB817" s="156"/>
      <c r="AC817" s="156"/>
      <c r="AD817" s="156"/>
      <c r="AE817" s="154"/>
      <c r="AF817" s="473"/>
      <c r="AG817" s="156"/>
      <c r="AH817" s="156"/>
      <c r="AI817" s="156"/>
      <c r="AJ817" s="154"/>
      <c r="AK817" s="473"/>
      <c r="AL817" s="156"/>
      <c r="AM817" s="156"/>
      <c r="AN817" s="156"/>
      <c r="AO817" s="452"/>
      <c r="AP817" s="452"/>
      <c r="AQ817" s="452"/>
      <c r="AR817" s="452"/>
      <c r="AS817" s="452"/>
      <c r="AT817" s="452"/>
      <c r="AU817" s="452"/>
      <c r="AV817" s="452"/>
      <c r="AW817" s="452"/>
      <c r="AX817" s="452"/>
      <c r="AY817" s="154"/>
      <c r="AZ817" s="473"/>
      <c r="BA817" s="156"/>
      <c r="BB817" s="156"/>
      <c r="BC817" s="156"/>
      <c r="BD817" s="452"/>
      <c r="BE817" s="452"/>
      <c r="BF817" s="452"/>
      <c r="BG817" s="452"/>
      <c r="BH817" s="452"/>
    </row>
    <row r="818">
      <c r="A818" s="154"/>
      <c r="B818" s="473"/>
      <c r="C818" s="156"/>
      <c r="D818" s="156"/>
      <c r="E818" s="156"/>
      <c r="F818" s="154"/>
      <c r="G818" s="473"/>
      <c r="H818" s="156"/>
      <c r="I818" s="156"/>
      <c r="J818" s="156"/>
      <c r="K818" s="132"/>
      <c r="L818" s="473"/>
      <c r="M818" s="156"/>
      <c r="N818" s="156"/>
      <c r="O818" s="156"/>
      <c r="P818" s="132"/>
      <c r="Q818" s="487"/>
      <c r="R818" s="156"/>
      <c r="S818" s="156"/>
      <c r="T818" s="156"/>
      <c r="U818" s="154"/>
      <c r="V818" s="473"/>
      <c r="W818" s="156"/>
      <c r="X818" s="156"/>
      <c r="Y818" s="156"/>
      <c r="Z818" s="154"/>
      <c r="AA818" s="473"/>
      <c r="AB818" s="156"/>
      <c r="AC818" s="156"/>
      <c r="AD818" s="156"/>
      <c r="AE818" s="154"/>
      <c r="AF818" s="473"/>
      <c r="AG818" s="156"/>
      <c r="AH818" s="156"/>
      <c r="AI818" s="156"/>
      <c r="AJ818" s="154"/>
      <c r="AK818" s="473"/>
      <c r="AL818" s="156"/>
      <c r="AM818" s="156"/>
      <c r="AN818" s="156"/>
      <c r="AO818" s="452"/>
      <c r="AP818" s="452"/>
      <c r="AQ818" s="452"/>
      <c r="AR818" s="452"/>
      <c r="AS818" s="452"/>
      <c r="AT818" s="452"/>
      <c r="AU818" s="452"/>
      <c r="AV818" s="452"/>
      <c r="AW818" s="452"/>
      <c r="AX818" s="452"/>
      <c r="AY818" s="154"/>
      <c r="AZ818" s="473"/>
      <c r="BA818" s="156"/>
      <c r="BB818" s="156"/>
      <c r="BC818" s="156"/>
      <c r="BD818" s="452"/>
      <c r="BE818" s="452"/>
      <c r="BF818" s="452"/>
      <c r="BG818" s="452"/>
      <c r="BH818" s="452"/>
    </row>
    <row r="819">
      <c r="A819" s="154"/>
      <c r="B819" s="473"/>
      <c r="C819" s="156"/>
      <c r="D819" s="156"/>
      <c r="E819" s="156"/>
      <c r="F819" s="154"/>
      <c r="G819" s="473"/>
      <c r="H819" s="156"/>
      <c r="I819" s="156"/>
      <c r="J819" s="156"/>
      <c r="K819" s="132"/>
      <c r="L819" s="473"/>
      <c r="M819" s="156"/>
      <c r="N819" s="156"/>
      <c r="O819" s="156"/>
      <c r="P819" s="132"/>
      <c r="Q819" s="487"/>
      <c r="R819" s="156"/>
      <c r="S819" s="156"/>
      <c r="T819" s="156"/>
      <c r="U819" s="154"/>
      <c r="V819" s="473"/>
      <c r="W819" s="156"/>
      <c r="X819" s="156"/>
      <c r="Y819" s="156"/>
      <c r="Z819" s="154"/>
      <c r="AA819" s="473"/>
      <c r="AB819" s="156"/>
      <c r="AC819" s="156"/>
      <c r="AD819" s="156"/>
      <c r="AE819" s="154"/>
      <c r="AF819" s="473"/>
      <c r="AG819" s="156"/>
      <c r="AH819" s="156"/>
      <c r="AI819" s="156"/>
      <c r="AJ819" s="154"/>
      <c r="AK819" s="473"/>
      <c r="AL819" s="156"/>
      <c r="AM819" s="156"/>
      <c r="AN819" s="156"/>
      <c r="AO819" s="452"/>
      <c r="AP819" s="452"/>
      <c r="AQ819" s="452"/>
      <c r="AR819" s="452"/>
      <c r="AS819" s="452"/>
      <c r="AT819" s="452"/>
      <c r="AU819" s="452"/>
      <c r="AV819" s="452"/>
      <c r="AW819" s="452"/>
      <c r="AX819" s="452"/>
      <c r="AY819" s="154"/>
      <c r="AZ819" s="473"/>
      <c r="BA819" s="156"/>
      <c r="BB819" s="156"/>
      <c r="BC819" s="156"/>
      <c r="BD819" s="452"/>
      <c r="BE819" s="452"/>
      <c r="BF819" s="452"/>
      <c r="BG819" s="452"/>
      <c r="BH819" s="452"/>
    </row>
    <row r="820">
      <c r="A820" s="154"/>
      <c r="B820" s="473"/>
      <c r="C820" s="156"/>
      <c r="D820" s="156"/>
      <c r="E820" s="156"/>
      <c r="F820" s="154"/>
      <c r="G820" s="473"/>
      <c r="H820" s="156"/>
      <c r="I820" s="156"/>
      <c r="J820" s="156"/>
      <c r="K820" s="132"/>
      <c r="L820" s="473"/>
      <c r="M820" s="156"/>
      <c r="N820" s="156"/>
      <c r="O820" s="156"/>
      <c r="P820" s="132"/>
      <c r="Q820" s="487"/>
      <c r="R820" s="156"/>
      <c r="S820" s="156"/>
      <c r="T820" s="156"/>
      <c r="U820" s="154"/>
      <c r="V820" s="473"/>
      <c r="W820" s="156"/>
      <c r="X820" s="156"/>
      <c r="Y820" s="156"/>
      <c r="Z820" s="154"/>
      <c r="AA820" s="473"/>
      <c r="AB820" s="156"/>
      <c r="AC820" s="156"/>
      <c r="AD820" s="156"/>
      <c r="AE820" s="154"/>
      <c r="AF820" s="473"/>
      <c r="AG820" s="156"/>
      <c r="AH820" s="156"/>
      <c r="AI820" s="156"/>
      <c r="AJ820" s="154"/>
      <c r="AK820" s="473"/>
      <c r="AL820" s="156"/>
      <c r="AM820" s="156"/>
      <c r="AN820" s="156"/>
      <c r="AO820" s="452"/>
      <c r="AP820" s="452"/>
      <c r="AQ820" s="452"/>
      <c r="AR820" s="452"/>
      <c r="AS820" s="452"/>
      <c r="AT820" s="452"/>
      <c r="AU820" s="452"/>
      <c r="AV820" s="452"/>
      <c r="AW820" s="452"/>
      <c r="AX820" s="452"/>
      <c r="AY820" s="154"/>
      <c r="AZ820" s="473"/>
      <c r="BA820" s="156"/>
      <c r="BB820" s="156"/>
      <c r="BC820" s="156"/>
      <c r="BD820" s="452"/>
      <c r="BE820" s="452"/>
      <c r="BF820" s="452"/>
      <c r="BG820" s="452"/>
      <c r="BH820" s="452"/>
    </row>
    <row r="821">
      <c r="A821" s="154"/>
      <c r="B821" s="473"/>
      <c r="C821" s="156"/>
      <c r="D821" s="156"/>
      <c r="E821" s="156"/>
      <c r="F821" s="154"/>
      <c r="G821" s="473"/>
      <c r="H821" s="156"/>
      <c r="I821" s="156"/>
      <c r="J821" s="156"/>
      <c r="K821" s="132"/>
      <c r="L821" s="473"/>
      <c r="M821" s="156"/>
      <c r="N821" s="156"/>
      <c r="O821" s="156"/>
      <c r="P821" s="132"/>
      <c r="Q821" s="487"/>
      <c r="R821" s="156"/>
      <c r="S821" s="156"/>
      <c r="T821" s="156"/>
      <c r="U821" s="154"/>
      <c r="V821" s="473"/>
      <c r="W821" s="156"/>
      <c r="X821" s="156"/>
      <c r="Y821" s="156"/>
      <c r="Z821" s="154"/>
      <c r="AA821" s="473"/>
      <c r="AB821" s="156"/>
      <c r="AC821" s="156"/>
      <c r="AD821" s="156"/>
      <c r="AE821" s="154"/>
      <c r="AF821" s="473"/>
      <c r="AG821" s="156"/>
      <c r="AH821" s="156"/>
      <c r="AI821" s="156"/>
      <c r="AJ821" s="154"/>
      <c r="AK821" s="473"/>
      <c r="AL821" s="156"/>
      <c r="AM821" s="156"/>
      <c r="AN821" s="156"/>
      <c r="AO821" s="452"/>
      <c r="AP821" s="452"/>
      <c r="AQ821" s="452"/>
      <c r="AR821" s="452"/>
      <c r="AS821" s="452"/>
      <c r="AT821" s="452"/>
      <c r="AU821" s="452"/>
      <c r="AV821" s="452"/>
      <c r="AW821" s="452"/>
      <c r="AX821" s="452"/>
      <c r="AY821" s="154"/>
      <c r="AZ821" s="473"/>
      <c r="BA821" s="156"/>
      <c r="BB821" s="156"/>
      <c r="BC821" s="156"/>
      <c r="BD821" s="452"/>
      <c r="BE821" s="452"/>
      <c r="BF821" s="452"/>
      <c r="BG821" s="452"/>
      <c r="BH821" s="452"/>
    </row>
    <row r="822">
      <c r="A822" s="154"/>
      <c r="B822" s="473"/>
      <c r="C822" s="156"/>
      <c r="D822" s="156"/>
      <c r="E822" s="156"/>
      <c r="F822" s="154"/>
      <c r="G822" s="473"/>
      <c r="H822" s="156"/>
      <c r="I822" s="156"/>
      <c r="J822" s="156"/>
      <c r="K822" s="132"/>
      <c r="L822" s="473"/>
      <c r="M822" s="156"/>
      <c r="N822" s="156"/>
      <c r="O822" s="156"/>
      <c r="P822" s="132"/>
      <c r="Q822" s="487"/>
      <c r="R822" s="156"/>
      <c r="S822" s="156"/>
      <c r="T822" s="156"/>
      <c r="U822" s="154"/>
      <c r="V822" s="473"/>
      <c r="W822" s="156"/>
      <c r="X822" s="156"/>
      <c r="Y822" s="156"/>
      <c r="Z822" s="154"/>
      <c r="AA822" s="473"/>
      <c r="AB822" s="156"/>
      <c r="AC822" s="156"/>
      <c r="AD822" s="156"/>
      <c r="AE822" s="154"/>
      <c r="AF822" s="473"/>
      <c r="AG822" s="156"/>
      <c r="AH822" s="156"/>
      <c r="AI822" s="156"/>
      <c r="AJ822" s="154"/>
      <c r="AK822" s="473"/>
      <c r="AL822" s="156"/>
      <c r="AM822" s="156"/>
      <c r="AN822" s="156"/>
      <c r="AO822" s="452"/>
      <c r="AP822" s="452"/>
      <c r="AQ822" s="452"/>
      <c r="AR822" s="452"/>
      <c r="AS822" s="452"/>
      <c r="AT822" s="452"/>
      <c r="AU822" s="452"/>
      <c r="AV822" s="452"/>
      <c r="AW822" s="452"/>
      <c r="AX822" s="452"/>
      <c r="AY822" s="154"/>
      <c r="AZ822" s="473"/>
      <c r="BA822" s="156"/>
      <c r="BB822" s="156"/>
      <c r="BC822" s="156"/>
      <c r="BD822" s="452"/>
      <c r="BE822" s="452"/>
      <c r="BF822" s="452"/>
      <c r="BG822" s="452"/>
      <c r="BH822" s="452"/>
    </row>
    <row r="823">
      <c r="A823" s="154"/>
      <c r="B823" s="473"/>
      <c r="C823" s="156"/>
      <c r="D823" s="156"/>
      <c r="E823" s="156"/>
      <c r="F823" s="154"/>
      <c r="G823" s="473"/>
      <c r="H823" s="156"/>
      <c r="I823" s="156"/>
      <c r="J823" s="156"/>
      <c r="K823" s="132"/>
      <c r="L823" s="473"/>
      <c r="M823" s="156"/>
      <c r="N823" s="156"/>
      <c r="O823" s="156"/>
      <c r="P823" s="132"/>
      <c r="Q823" s="487"/>
      <c r="R823" s="156"/>
      <c r="S823" s="156"/>
      <c r="T823" s="156"/>
      <c r="U823" s="154"/>
      <c r="V823" s="473"/>
      <c r="W823" s="156"/>
      <c r="X823" s="156"/>
      <c r="Y823" s="156"/>
      <c r="Z823" s="154"/>
      <c r="AA823" s="473"/>
      <c r="AB823" s="156"/>
      <c r="AC823" s="156"/>
      <c r="AD823" s="156"/>
      <c r="AE823" s="154"/>
      <c r="AF823" s="473"/>
      <c r="AG823" s="156"/>
      <c r="AH823" s="156"/>
      <c r="AI823" s="156"/>
      <c r="AJ823" s="154"/>
      <c r="AK823" s="473"/>
      <c r="AL823" s="156"/>
      <c r="AM823" s="156"/>
      <c r="AN823" s="156"/>
      <c r="AO823" s="452"/>
      <c r="AP823" s="452"/>
      <c r="AQ823" s="452"/>
      <c r="AR823" s="452"/>
      <c r="AS823" s="452"/>
      <c r="AT823" s="452"/>
      <c r="AU823" s="452"/>
      <c r="AV823" s="452"/>
      <c r="AW823" s="452"/>
      <c r="AX823" s="452"/>
      <c r="AY823" s="154"/>
      <c r="AZ823" s="473"/>
      <c r="BA823" s="156"/>
      <c r="BB823" s="156"/>
      <c r="BC823" s="156"/>
      <c r="BD823" s="452"/>
      <c r="BE823" s="452"/>
      <c r="BF823" s="452"/>
      <c r="BG823" s="452"/>
      <c r="BH823" s="452"/>
    </row>
    <row r="824">
      <c r="A824" s="154"/>
      <c r="B824" s="473"/>
      <c r="C824" s="156"/>
      <c r="D824" s="156"/>
      <c r="E824" s="156"/>
      <c r="F824" s="154"/>
      <c r="G824" s="473"/>
      <c r="H824" s="156"/>
      <c r="I824" s="156"/>
      <c r="J824" s="156"/>
      <c r="K824" s="132"/>
      <c r="L824" s="473"/>
      <c r="M824" s="156"/>
      <c r="N824" s="156"/>
      <c r="O824" s="156"/>
      <c r="P824" s="132"/>
      <c r="Q824" s="487"/>
      <c r="R824" s="156"/>
      <c r="S824" s="156"/>
      <c r="T824" s="156"/>
      <c r="U824" s="154"/>
      <c r="V824" s="473"/>
      <c r="W824" s="156"/>
      <c r="X824" s="156"/>
      <c r="Y824" s="156"/>
      <c r="Z824" s="154"/>
      <c r="AA824" s="473"/>
      <c r="AB824" s="156"/>
      <c r="AC824" s="156"/>
      <c r="AD824" s="156"/>
      <c r="AE824" s="154"/>
      <c r="AF824" s="473"/>
      <c r="AG824" s="156"/>
      <c r="AH824" s="156"/>
      <c r="AI824" s="156"/>
      <c r="AJ824" s="154"/>
      <c r="AK824" s="473"/>
      <c r="AL824" s="156"/>
      <c r="AM824" s="156"/>
      <c r="AN824" s="156"/>
      <c r="AO824" s="452"/>
      <c r="AP824" s="452"/>
      <c r="AQ824" s="452"/>
      <c r="AR824" s="452"/>
      <c r="AS824" s="452"/>
      <c r="AT824" s="452"/>
      <c r="AU824" s="452"/>
      <c r="AV824" s="452"/>
      <c r="AW824" s="452"/>
      <c r="AX824" s="452"/>
      <c r="AY824" s="154"/>
      <c r="AZ824" s="473"/>
      <c r="BA824" s="156"/>
      <c r="BB824" s="156"/>
      <c r="BC824" s="156"/>
      <c r="BD824" s="452"/>
      <c r="BE824" s="452"/>
      <c r="BF824" s="452"/>
      <c r="BG824" s="452"/>
      <c r="BH824" s="452"/>
    </row>
    <row r="825">
      <c r="A825" s="154"/>
      <c r="B825" s="473"/>
      <c r="C825" s="156"/>
      <c r="D825" s="156"/>
      <c r="E825" s="156"/>
      <c r="F825" s="154"/>
      <c r="G825" s="473"/>
      <c r="H825" s="156"/>
      <c r="I825" s="156"/>
      <c r="J825" s="156"/>
      <c r="K825" s="132"/>
      <c r="L825" s="473"/>
      <c r="M825" s="156"/>
      <c r="N825" s="156"/>
      <c r="O825" s="156"/>
      <c r="P825" s="132"/>
      <c r="Q825" s="487"/>
      <c r="R825" s="156"/>
      <c r="S825" s="156"/>
      <c r="T825" s="156"/>
      <c r="U825" s="154"/>
      <c r="V825" s="473"/>
      <c r="W825" s="156"/>
      <c r="X825" s="156"/>
      <c r="Y825" s="156"/>
      <c r="Z825" s="154"/>
      <c r="AA825" s="473"/>
      <c r="AB825" s="156"/>
      <c r="AC825" s="156"/>
      <c r="AD825" s="156"/>
      <c r="AE825" s="154"/>
      <c r="AF825" s="473"/>
      <c r="AG825" s="156"/>
      <c r="AH825" s="156"/>
      <c r="AI825" s="156"/>
      <c r="AJ825" s="154"/>
      <c r="AK825" s="473"/>
      <c r="AL825" s="156"/>
      <c r="AM825" s="156"/>
      <c r="AN825" s="156"/>
      <c r="AO825" s="452"/>
      <c r="AP825" s="452"/>
      <c r="AQ825" s="452"/>
      <c r="AR825" s="452"/>
      <c r="AS825" s="452"/>
      <c r="AT825" s="452"/>
      <c r="AU825" s="452"/>
      <c r="AV825" s="452"/>
      <c r="AW825" s="452"/>
      <c r="AX825" s="452"/>
      <c r="AY825" s="154"/>
      <c r="AZ825" s="473"/>
      <c r="BA825" s="156"/>
      <c r="BB825" s="156"/>
      <c r="BC825" s="156"/>
      <c r="BD825" s="452"/>
      <c r="BE825" s="452"/>
      <c r="BF825" s="452"/>
      <c r="BG825" s="452"/>
      <c r="BH825" s="452"/>
    </row>
    <row r="826">
      <c r="A826" s="154"/>
      <c r="B826" s="473"/>
      <c r="C826" s="156"/>
      <c r="D826" s="156"/>
      <c r="E826" s="156"/>
      <c r="F826" s="154"/>
      <c r="G826" s="473"/>
      <c r="H826" s="156"/>
      <c r="I826" s="156"/>
      <c r="J826" s="156"/>
      <c r="K826" s="132"/>
      <c r="L826" s="473"/>
      <c r="M826" s="156"/>
      <c r="N826" s="156"/>
      <c r="O826" s="156"/>
      <c r="P826" s="132"/>
      <c r="Q826" s="487"/>
      <c r="R826" s="156"/>
      <c r="S826" s="156"/>
      <c r="T826" s="156"/>
      <c r="U826" s="154"/>
      <c r="V826" s="473"/>
      <c r="W826" s="156"/>
      <c r="X826" s="156"/>
      <c r="Y826" s="156"/>
      <c r="Z826" s="154"/>
      <c r="AA826" s="473"/>
      <c r="AB826" s="156"/>
      <c r="AC826" s="156"/>
      <c r="AD826" s="156"/>
      <c r="AE826" s="154"/>
      <c r="AF826" s="473"/>
      <c r="AG826" s="156"/>
      <c r="AH826" s="156"/>
      <c r="AI826" s="156"/>
      <c r="AJ826" s="154"/>
      <c r="AK826" s="473"/>
      <c r="AL826" s="156"/>
      <c r="AM826" s="156"/>
      <c r="AN826" s="156"/>
      <c r="AO826" s="452"/>
      <c r="AP826" s="452"/>
      <c r="AQ826" s="452"/>
      <c r="AR826" s="452"/>
      <c r="AS826" s="452"/>
      <c r="AT826" s="452"/>
      <c r="AU826" s="452"/>
      <c r="AV826" s="452"/>
      <c r="AW826" s="452"/>
      <c r="AX826" s="452"/>
      <c r="AY826" s="154"/>
      <c r="AZ826" s="473"/>
      <c r="BA826" s="156"/>
      <c r="BB826" s="156"/>
      <c r="BC826" s="156"/>
      <c r="BD826" s="452"/>
      <c r="BE826" s="452"/>
      <c r="BF826" s="452"/>
      <c r="BG826" s="452"/>
      <c r="BH826" s="452"/>
    </row>
    <row r="827">
      <c r="A827" s="154"/>
      <c r="B827" s="473"/>
      <c r="C827" s="156"/>
      <c r="D827" s="156"/>
      <c r="E827" s="156"/>
      <c r="F827" s="154"/>
      <c r="G827" s="473"/>
      <c r="H827" s="156"/>
      <c r="I827" s="156"/>
      <c r="J827" s="156"/>
      <c r="K827" s="132"/>
      <c r="L827" s="473"/>
      <c r="M827" s="156"/>
      <c r="N827" s="156"/>
      <c r="O827" s="156"/>
      <c r="P827" s="132"/>
      <c r="Q827" s="487"/>
      <c r="R827" s="156"/>
      <c r="S827" s="156"/>
      <c r="T827" s="156"/>
      <c r="U827" s="154"/>
      <c r="V827" s="473"/>
      <c r="W827" s="156"/>
      <c r="X827" s="156"/>
      <c r="Y827" s="156"/>
      <c r="Z827" s="154"/>
      <c r="AA827" s="473"/>
      <c r="AB827" s="156"/>
      <c r="AC827" s="156"/>
      <c r="AD827" s="156"/>
      <c r="AE827" s="154"/>
      <c r="AF827" s="473"/>
      <c r="AG827" s="156"/>
      <c r="AH827" s="156"/>
      <c r="AI827" s="156"/>
      <c r="AJ827" s="154"/>
      <c r="AK827" s="473"/>
      <c r="AL827" s="156"/>
      <c r="AM827" s="156"/>
      <c r="AN827" s="156"/>
      <c r="AO827" s="452"/>
      <c r="AP827" s="452"/>
      <c r="AQ827" s="452"/>
      <c r="AR827" s="452"/>
      <c r="AS827" s="452"/>
      <c r="AT827" s="452"/>
      <c r="AU827" s="452"/>
      <c r="AV827" s="452"/>
      <c r="AW827" s="452"/>
      <c r="AX827" s="452"/>
      <c r="AY827" s="154"/>
      <c r="AZ827" s="473"/>
      <c r="BA827" s="156"/>
      <c r="BB827" s="156"/>
      <c r="BC827" s="156"/>
      <c r="BD827" s="452"/>
      <c r="BE827" s="452"/>
      <c r="BF827" s="452"/>
      <c r="BG827" s="452"/>
      <c r="BH827" s="452"/>
    </row>
    <row r="828">
      <c r="A828" s="154"/>
      <c r="B828" s="473"/>
      <c r="C828" s="156"/>
      <c r="D828" s="156"/>
      <c r="E828" s="156"/>
      <c r="F828" s="154"/>
      <c r="G828" s="473"/>
      <c r="H828" s="156"/>
      <c r="I828" s="156"/>
      <c r="J828" s="156"/>
      <c r="K828" s="132"/>
      <c r="L828" s="473"/>
      <c r="M828" s="156"/>
      <c r="N828" s="156"/>
      <c r="O828" s="156"/>
      <c r="P828" s="132"/>
      <c r="Q828" s="487"/>
      <c r="R828" s="156"/>
      <c r="S828" s="156"/>
      <c r="T828" s="156"/>
      <c r="U828" s="154"/>
      <c r="V828" s="473"/>
      <c r="W828" s="156"/>
      <c r="X828" s="156"/>
      <c r="Y828" s="156"/>
      <c r="Z828" s="154"/>
      <c r="AA828" s="473"/>
      <c r="AB828" s="156"/>
      <c r="AC828" s="156"/>
      <c r="AD828" s="156"/>
      <c r="AE828" s="154"/>
      <c r="AF828" s="473"/>
      <c r="AG828" s="156"/>
      <c r="AH828" s="156"/>
      <c r="AI828" s="156"/>
      <c r="AJ828" s="154"/>
      <c r="AK828" s="473"/>
      <c r="AL828" s="156"/>
      <c r="AM828" s="156"/>
      <c r="AN828" s="156"/>
      <c r="AO828" s="452"/>
      <c r="AP828" s="452"/>
      <c r="AQ828" s="452"/>
      <c r="AR828" s="452"/>
      <c r="AS828" s="452"/>
      <c r="AT828" s="452"/>
      <c r="AU828" s="452"/>
      <c r="AV828" s="452"/>
      <c r="AW828" s="452"/>
      <c r="AX828" s="452"/>
      <c r="AY828" s="154"/>
      <c r="AZ828" s="473"/>
      <c r="BA828" s="156"/>
      <c r="BB828" s="156"/>
      <c r="BC828" s="156"/>
      <c r="BD828" s="452"/>
      <c r="BE828" s="452"/>
      <c r="BF828" s="452"/>
      <c r="BG828" s="452"/>
      <c r="BH828" s="452"/>
    </row>
    <row r="829">
      <c r="A829" s="154"/>
      <c r="B829" s="473"/>
      <c r="C829" s="156"/>
      <c r="D829" s="156"/>
      <c r="E829" s="156"/>
      <c r="F829" s="154"/>
      <c r="G829" s="473"/>
      <c r="H829" s="156"/>
      <c r="I829" s="156"/>
      <c r="J829" s="156"/>
      <c r="K829" s="132"/>
      <c r="L829" s="473"/>
      <c r="M829" s="156"/>
      <c r="N829" s="156"/>
      <c r="O829" s="156"/>
      <c r="P829" s="132"/>
      <c r="Q829" s="487"/>
      <c r="R829" s="156"/>
      <c r="S829" s="156"/>
      <c r="T829" s="156"/>
      <c r="U829" s="154"/>
      <c r="V829" s="473"/>
      <c r="W829" s="156"/>
      <c r="X829" s="156"/>
      <c r="Y829" s="156"/>
      <c r="Z829" s="154"/>
      <c r="AA829" s="473"/>
      <c r="AB829" s="156"/>
      <c r="AC829" s="156"/>
      <c r="AD829" s="156"/>
      <c r="AE829" s="154"/>
      <c r="AF829" s="473"/>
      <c r="AG829" s="156"/>
      <c r="AH829" s="156"/>
      <c r="AI829" s="156"/>
      <c r="AJ829" s="154"/>
      <c r="AK829" s="473"/>
      <c r="AL829" s="156"/>
      <c r="AM829" s="156"/>
      <c r="AN829" s="156"/>
      <c r="AO829" s="452"/>
      <c r="AP829" s="452"/>
      <c r="AQ829" s="452"/>
      <c r="AR829" s="452"/>
      <c r="AS829" s="452"/>
      <c r="AT829" s="452"/>
      <c r="AU829" s="452"/>
      <c r="AV829" s="452"/>
      <c r="AW829" s="452"/>
      <c r="AX829" s="452"/>
      <c r="AY829" s="154"/>
      <c r="AZ829" s="473"/>
      <c r="BA829" s="156"/>
      <c r="BB829" s="156"/>
      <c r="BC829" s="156"/>
      <c r="BD829" s="452"/>
      <c r="BE829" s="452"/>
      <c r="BF829" s="452"/>
      <c r="BG829" s="452"/>
      <c r="BH829" s="452"/>
    </row>
    <row r="830">
      <c r="A830" s="154"/>
      <c r="B830" s="473"/>
      <c r="C830" s="156"/>
      <c r="D830" s="156"/>
      <c r="E830" s="156"/>
      <c r="F830" s="154"/>
      <c r="G830" s="473"/>
      <c r="H830" s="156"/>
      <c r="I830" s="156"/>
      <c r="J830" s="156"/>
      <c r="K830" s="132"/>
      <c r="L830" s="473"/>
      <c r="M830" s="156"/>
      <c r="N830" s="156"/>
      <c r="O830" s="156"/>
      <c r="P830" s="132"/>
      <c r="Q830" s="487"/>
      <c r="R830" s="156"/>
      <c r="S830" s="156"/>
      <c r="T830" s="156"/>
      <c r="U830" s="154"/>
      <c r="V830" s="473"/>
      <c r="W830" s="156"/>
      <c r="X830" s="156"/>
      <c r="Y830" s="156"/>
      <c r="Z830" s="154"/>
      <c r="AA830" s="473"/>
      <c r="AB830" s="156"/>
      <c r="AC830" s="156"/>
      <c r="AD830" s="156"/>
      <c r="AE830" s="154"/>
      <c r="AF830" s="473"/>
      <c r="AG830" s="156"/>
      <c r="AH830" s="156"/>
      <c r="AI830" s="156"/>
      <c r="AJ830" s="154"/>
      <c r="AK830" s="473"/>
      <c r="AL830" s="156"/>
      <c r="AM830" s="156"/>
      <c r="AN830" s="156"/>
      <c r="AO830" s="452"/>
      <c r="AP830" s="452"/>
      <c r="AQ830" s="452"/>
      <c r="AR830" s="452"/>
      <c r="AS830" s="452"/>
      <c r="AT830" s="452"/>
      <c r="AU830" s="452"/>
      <c r="AV830" s="452"/>
      <c r="AW830" s="452"/>
      <c r="AX830" s="452"/>
      <c r="AY830" s="154"/>
      <c r="AZ830" s="473"/>
      <c r="BA830" s="156"/>
      <c r="BB830" s="156"/>
      <c r="BC830" s="156"/>
      <c r="BD830" s="452"/>
      <c r="BE830" s="452"/>
      <c r="BF830" s="452"/>
      <c r="BG830" s="452"/>
      <c r="BH830" s="452"/>
    </row>
    <row r="831">
      <c r="A831" s="154"/>
      <c r="B831" s="473"/>
      <c r="C831" s="156"/>
      <c r="D831" s="156"/>
      <c r="E831" s="156"/>
      <c r="F831" s="154"/>
      <c r="G831" s="473"/>
      <c r="H831" s="156"/>
      <c r="I831" s="156"/>
      <c r="J831" s="156"/>
      <c r="K831" s="132"/>
      <c r="L831" s="473"/>
      <c r="M831" s="156"/>
      <c r="N831" s="156"/>
      <c r="O831" s="156"/>
      <c r="P831" s="132"/>
      <c r="Q831" s="487"/>
      <c r="R831" s="156"/>
      <c r="S831" s="156"/>
      <c r="T831" s="156"/>
      <c r="U831" s="154"/>
      <c r="V831" s="473"/>
      <c r="W831" s="156"/>
      <c r="X831" s="156"/>
      <c r="Y831" s="156"/>
      <c r="Z831" s="154"/>
      <c r="AA831" s="473"/>
      <c r="AB831" s="156"/>
      <c r="AC831" s="156"/>
      <c r="AD831" s="156"/>
      <c r="AE831" s="154"/>
      <c r="AF831" s="473"/>
      <c r="AG831" s="156"/>
      <c r="AH831" s="156"/>
      <c r="AI831" s="156"/>
      <c r="AJ831" s="154"/>
      <c r="AK831" s="473"/>
      <c r="AL831" s="156"/>
      <c r="AM831" s="156"/>
      <c r="AN831" s="156"/>
      <c r="AO831" s="452"/>
      <c r="AP831" s="452"/>
      <c r="AQ831" s="452"/>
      <c r="AR831" s="452"/>
      <c r="AS831" s="452"/>
      <c r="AT831" s="452"/>
      <c r="AU831" s="452"/>
      <c r="AV831" s="452"/>
      <c r="AW831" s="452"/>
      <c r="AX831" s="452"/>
      <c r="AY831" s="154"/>
      <c r="AZ831" s="473"/>
      <c r="BA831" s="156"/>
      <c r="BB831" s="156"/>
      <c r="BC831" s="156"/>
      <c r="BD831" s="452"/>
      <c r="BE831" s="452"/>
      <c r="BF831" s="452"/>
      <c r="BG831" s="452"/>
      <c r="BH831" s="452"/>
    </row>
    <row r="832">
      <c r="A832" s="154"/>
      <c r="B832" s="473"/>
      <c r="C832" s="156"/>
      <c r="D832" s="156"/>
      <c r="E832" s="156"/>
      <c r="F832" s="154"/>
      <c r="G832" s="473"/>
      <c r="H832" s="156"/>
      <c r="I832" s="156"/>
      <c r="J832" s="156"/>
      <c r="K832" s="132"/>
      <c r="L832" s="473"/>
      <c r="M832" s="156"/>
      <c r="N832" s="156"/>
      <c r="O832" s="156"/>
      <c r="P832" s="132"/>
      <c r="Q832" s="487"/>
      <c r="R832" s="156"/>
      <c r="S832" s="156"/>
      <c r="T832" s="156"/>
      <c r="U832" s="154"/>
      <c r="V832" s="473"/>
      <c r="W832" s="156"/>
      <c r="X832" s="156"/>
      <c r="Y832" s="156"/>
      <c r="Z832" s="154"/>
      <c r="AA832" s="473"/>
      <c r="AB832" s="156"/>
      <c r="AC832" s="156"/>
      <c r="AD832" s="156"/>
      <c r="AE832" s="154"/>
      <c r="AF832" s="473"/>
      <c r="AG832" s="156"/>
      <c r="AH832" s="156"/>
      <c r="AI832" s="156"/>
      <c r="AJ832" s="154"/>
      <c r="AK832" s="473"/>
      <c r="AL832" s="156"/>
      <c r="AM832" s="156"/>
      <c r="AN832" s="156"/>
      <c r="AO832" s="452"/>
      <c r="AP832" s="452"/>
      <c r="AQ832" s="452"/>
      <c r="AR832" s="452"/>
      <c r="AS832" s="452"/>
      <c r="AT832" s="452"/>
      <c r="AU832" s="452"/>
      <c r="AV832" s="452"/>
      <c r="AW832" s="452"/>
      <c r="AX832" s="452"/>
      <c r="AY832" s="154"/>
      <c r="AZ832" s="473"/>
      <c r="BA832" s="156"/>
      <c r="BB832" s="156"/>
      <c r="BC832" s="156"/>
      <c r="BD832" s="452"/>
      <c r="BE832" s="452"/>
      <c r="BF832" s="452"/>
      <c r="BG832" s="452"/>
      <c r="BH832" s="452"/>
    </row>
    <row r="833">
      <c r="A833" s="154"/>
      <c r="B833" s="473"/>
      <c r="C833" s="156"/>
      <c r="D833" s="156"/>
      <c r="E833" s="156"/>
      <c r="F833" s="154"/>
      <c r="G833" s="473"/>
      <c r="H833" s="156"/>
      <c r="I833" s="156"/>
      <c r="J833" s="156"/>
      <c r="K833" s="132"/>
      <c r="L833" s="473"/>
      <c r="M833" s="156"/>
      <c r="N833" s="156"/>
      <c r="O833" s="156"/>
      <c r="P833" s="132"/>
      <c r="Q833" s="487"/>
      <c r="R833" s="156"/>
      <c r="S833" s="156"/>
      <c r="T833" s="156"/>
      <c r="U833" s="154"/>
      <c r="V833" s="473"/>
      <c r="W833" s="156"/>
      <c r="X833" s="156"/>
      <c r="Y833" s="156"/>
      <c r="Z833" s="154"/>
      <c r="AA833" s="473"/>
      <c r="AB833" s="156"/>
      <c r="AC833" s="156"/>
      <c r="AD833" s="156"/>
      <c r="AE833" s="154"/>
      <c r="AF833" s="473"/>
      <c r="AG833" s="156"/>
      <c r="AH833" s="156"/>
      <c r="AI833" s="156"/>
      <c r="AJ833" s="154"/>
      <c r="AK833" s="473"/>
      <c r="AL833" s="156"/>
      <c r="AM833" s="156"/>
      <c r="AN833" s="156"/>
      <c r="AO833" s="452"/>
      <c r="AP833" s="452"/>
      <c r="AQ833" s="452"/>
      <c r="AR833" s="452"/>
      <c r="AS833" s="452"/>
      <c r="AT833" s="452"/>
      <c r="AU833" s="452"/>
      <c r="AV833" s="452"/>
      <c r="AW833" s="452"/>
      <c r="AX833" s="452"/>
      <c r="AY833" s="154"/>
      <c r="AZ833" s="473"/>
      <c r="BA833" s="156"/>
      <c r="BB833" s="156"/>
      <c r="BC833" s="156"/>
      <c r="BD833" s="452"/>
      <c r="BE833" s="452"/>
      <c r="BF833" s="452"/>
      <c r="BG833" s="452"/>
      <c r="BH833" s="452"/>
    </row>
    <row r="834">
      <c r="A834" s="154"/>
      <c r="B834" s="473"/>
      <c r="C834" s="156"/>
      <c r="D834" s="156"/>
      <c r="E834" s="156"/>
      <c r="F834" s="154"/>
      <c r="G834" s="473"/>
      <c r="H834" s="156"/>
      <c r="I834" s="156"/>
      <c r="J834" s="156"/>
      <c r="K834" s="132"/>
      <c r="L834" s="473"/>
      <c r="M834" s="156"/>
      <c r="N834" s="156"/>
      <c r="O834" s="156"/>
      <c r="P834" s="132"/>
      <c r="Q834" s="487"/>
      <c r="R834" s="156"/>
      <c r="S834" s="156"/>
      <c r="T834" s="156"/>
      <c r="U834" s="154"/>
      <c r="V834" s="473"/>
      <c r="W834" s="156"/>
      <c r="X834" s="156"/>
      <c r="Y834" s="156"/>
      <c r="Z834" s="154"/>
      <c r="AA834" s="473"/>
      <c r="AB834" s="156"/>
      <c r="AC834" s="156"/>
      <c r="AD834" s="156"/>
      <c r="AE834" s="154"/>
      <c r="AF834" s="473"/>
      <c r="AG834" s="156"/>
      <c r="AH834" s="156"/>
      <c r="AI834" s="156"/>
      <c r="AJ834" s="154"/>
      <c r="AK834" s="473"/>
      <c r="AL834" s="156"/>
      <c r="AM834" s="156"/>
      <c r="AN834" s="156"/>
      <c r="AO834" s="452"/>
      <c r="AP834" s="452"/>
      <c r="AQ834" s="452"/>
      <c r="AR834" s="452"/>
      <c r="AS834" s="452"/>
      <c r="AT834" s="452"/>
      <c r="AU834" s="452"/>
      <c r="AV834" s="452"/>
      <c r="AW834" s="452"/>
      <c r="AX834" s="452"/>
      <c r="AY834" s="154"/>
      <c r="AZ834" s="473"/>
      <c r="BA834" s="156"/>
      <c r="BB834" s="156"/>
      <c r="BC834" s="156"/>
      <c r="BD834" s="452"/>
      <c r="BE834" s="452"/>
      <c r="BF834" s="452"/>
      <c r="BG834" s="452"/>
      <c r="BH834" s="452"/>
    </row>
    <row r="835">
      <c r="A835" s="154"/>
      <c r="B835" s="473"/>
      <c r="C835" s="156"/>
      <c r="D835" s="156"/>
      <c r="E835" s="156"/>
      <c r="F835" s="154"/>
      <c r="G835" s="473"/>
      <c r="H835" s="156"/>
      <c r="I835" s="156"/>
      <c r="J835" s="156"/>
      <c r="K835" s="132"/>
      <c r="L835" s="473"/>
      <c r="M835" s="156"/>
      <c r="N835" s="156"/>
      <c r="O835" s="156"/>
      <c r="P835" s="132"/>
      <c r="Q835" s="487"/>
      <c r="R835" s="156"/>
      <c r="S835" s="156"/>
      <c r="T835" s="156"/>
      <c r="U835" s="154"/>
      <c r="V835" s="473"/>
      <c r="W835" s="156"/>
      <c r="X835" s="156"/>
      <c r="Y835" s="156"/>
      <c r="Z835" s="154"/>
      <c r="AA835" s="473"/>
      <c r="AB835" s="156"/>
      <c r="AC835" s="156"/>
      <c r="AD835" s="156"/>
      <c r="AE835" s="154"/>
      <c r="AF835" s="473"/>
      <c r="AG835" s="156"/>
      <c r="AH835" s="156"/>
      <c r="AI835" s="156"/>
      <c r="AJ835" s="154"/>
      <c r="AK835" s="473"/>
      <c r="AL835" s="156"/>
      <c r="AM835" s="156"/>
      <c r="AN835" s="156"/>
      <c r="AO835" s="452"/>
      <c r="AP835" s="452"/>
      <c r="AQ835" s="452"/>
      <c r="AR835" s="452"/>
      <c r="AS835" s="452"/>
      <c r="AT835" s="452"/>
      <c r="AU835" s="452"/>
      <c r="AV835" s="452"/>
      <c r="AW835" s="452"/>
      <c r="AX835" s="452"/>
      <c r="AY835" s="154"/>
      <c r="AZ835" s="473"/>
      <c r="BA835" s="156"/>
      <c r="BB835" s="156"/>
      <c r="BC835" s="156"/>
      <c r="BD835" s="452"/>
      <c r="BE835" s="452"/>
      <c r="BF835" s="452"/>
      <c r="BG835" s="452"/>
      <c r="BH835" s="452"/>
    </row>
    <row r="836">
      <c r="A836" s="154"/>
      <c r="B836" s="473"/>
      <c r="C836" s="156"/>
      <c r="D836" s="156"/>
      <c r="E836" s="156"/>
      <c r="F836" s="154"/>
      <c r="G836" s="473"/>
      <c r="H836" s="156"/>
      <c r="I836" s="156"/>
      <c r="J836" s="156"/>
      <c r="K836" s="132"/>
      <c r="L836" s="473"/>
      <c r="M836" s="156"/>
      <c r="N836" s="156"/>
      <c r="O836" s="156"/>
      <c r="P836" s="132"/>
      <c r="Q836" s="487"/>
      <c r="R836" s="156"/>
      <c r="S836" s="156"/>
      <c r="T836" s="156"/>
      <c r="U836" s="154"/>
      <c r="V836" s="473"/>
      <c r="W836" s="156"/>
      <c r="X836" s="156"/>
      <c r="Y836" s="156"/>
      <c r="Z836" s="154"/>
      <c r="AA836" s="473"/>
      <c r="AB836" s="156"/>
      <c r="AC836" s="156"/>
      <c r="AD836" s="156"/>
      <c r="AE836" s="154"/>
      <c r="AF836" s="473"/>
      <c r="AG836" s="156"/>
      <c r="AH836" s="156"/>
      <c r="AI836" s="156"/>
      <c r="AJ836" s="154"/>
      <c r="AK836" s="473"/>
      <c r="AL836" s="156"/>
      <c r="AM836" s="156"/>
      <c r="AN836" s="156"/>
      <c r="AO836" s="452"/>
      <c r="AP836" s="452"/>
      <c r="AQ836" s="452"/>
      <c r="AR836" s="452"/>
      <c r="AS836" s="452"/>
      <c r="AT836" s="452"/>
      <c r="AU836" s="452"/>
      <c r="AV836" s="452"/>
      <c r="AW836" s="452"/>
      <c r="AX836" s="452"/>
      <c r="AY836" s="154"/>
      <c r="AZ836" s="473"/>
      <c r="BA836" s="156"/>
      <c r="BB836" s="156"/>
      <c r="BC836" s="156"/>
      <c r="BD836" s="452"/>
      <c r="BE836" s="452"/>
      <c r="BF836" s="452"/>
      <c r="BG836" s="452"/>
      <c r="BH836" s="452"/>
    </row>
    <row r="837">
      <c r="A837" s="154"/>
      <c r="B837" s="473"/>
      <c r="C837" s="156"/>
      <c r="D837" s="156"/>
      <c r="E837" s="156"/>
      <c r="F837" s="154"/>
      <c r="G837" s="473"/>
      <c r="H837" s="156"/>
      <c r="I837" s="156"/>
      <c r="J837" s="156"/>
      <c r="K837" s="132"/>
      <c r="L837" s="473"/>
      <c r="M837" s="156"/>
      <c r="N837" s="156"/>
      <c r="O837" s="156"/>
      <c r="P837" s="132"/>
      <c r="Q837" s="487"/>
      <c r="R837" s="156"/>
      <c r="S837" s="156"/>
      <c r="T837" s="156"/>
      <c r="U837" s="154"/>
      <c r="V837" s="473"/>
      <c r="W837" s="156"/>
      <c r="X837" s="156"/>
      <c r="Y837" s="156"/>
      <c r="Z837" s="154"/>
      <c r="AA837" s="473"/>
      <c r="AB837" s="156"/>
      <c r="AC837" s="156"/>
      <c r="AD837" s="156"/>
      <c r="AE837" s="154"/>
      <c r="AF837" s="473"/>
      <c r="AG837" s="156"/>
      <c r="AH837" s="156"/>
      <c r="AI837" s="156"/>
      <c r="AJ837" s="154"/>
      <c r="AK837" s="473"/>
      <c r="AL837" s="156"/>
      <c r="AM837" s="156"/>
      <c r="AN837" s="156"/>
      <c r="AO837" s="452"/>
      <c r="AP837" s="452"/>
      <c r="AQ837" s="452"/>
      <c r="AR837" s="452"/>
      <c r="AS837" s="452"/>
      <c r="AT837" s="452"/>
      <c r="AU837" s="452"/>
      <c r="AV837" s="452"/>
      <c r="AW837" s="452"/>
      <c r="AX837" s="452"/>
      <c r="AY837" s="154"/>
      <c r="AZ837" s="473"/>
      <c r="BA837" s="156"/>
      <c r="BB837" s="156"/>
      <c r="BC837" s="156"/>
      <c r="BD837" s="452"/>
      <c r="BE837" s="452"/>
      <c r="BF837" s="452"/>
      <c r="BG837" s="452"/>
      <c r="BH837" s="452"/>
    </row>
    <row r="838">
      <c r="A838" s="154"/>
      <c r="B838" s="473"/>
      <c r="C838" s="156"/>
      <c r="D838" s="156"/>
      <c r="E838" s="156"/>
      <c r="F838" s="154"/>
      <c r="G838" s="473"/>
      <c r="H838" s="156"/>
      <c r="I838" s="156"/>
      <c r="J838" s="156"/>
      <c r="K838" s="132"/>
      <c r="L838" s="473"/>
      <c r="M838" s="156"/>
      <c r="N838" s="156"/>
      <c r="O838" s="156"/>
      <c r="P838" s="132"/>
      <c r="Q838" s="487"/>
      <c r="R838" s="156"/>
      <c r="S838" s="156"/>
      <c r="T838" s="156"/>
      <c r="U838" s="154"/>
      <c r="V838" s="473"/>
      <c r="W838" s="156"/>
      <c r="X838" s="156"/>
      <c r="Y838" s="156"/>
      <c r="Z838" s="154"/>
      <c r="AA838" s="473"/>
      <c r="AB838" s="156"/>
      <c r="AC838" s="156"/>
      <c r="AD838" s="156"/>
      <c r="AE838" s="154"/>
      <c r="AF838" s="473"/>
      <c r="AG838" s="156"/>
      <c r="AH838" s="156"/>
      <c r="AI838" s="156"/>
      <c r="AJ838" s="154"/>
      <c r="AK838" s="473"/>
      <c r="AL838" s="156"/>
      <c r="AM838" s="156"/>
      <c r="AN838" s="156"/>
      <c r="AO838" s="452"/>
      <c r="AP838" s="452"/>
      <c r="AQ838" s="452"/>
      <c r="AR838" s="452"/>
      <c r="AS838" s="452"/>
      <c r="AT838" s="452"/>
      <c r="AU838" s="452"/>
      <c r="AV838" s="452"/>
      <c r="AW838" s="452"/>
      <c r="AX838" s="452"/>
      <c r="AY838" s="154"/>
      <c r="AZ838" s="473"/>
      <c r="BA838" s="156"/>
      <c r="BB838" s="156"/>
      <c r="BC838" s="156"/>
      <c r="BD838" s="452"/>
      <c r="BE838" s="452"/>
      <c r="BF838" s="452"/>
      <c r="BG838" s="452"/>
      <c r="BH838" s="452"/>
    </row>
    <row r="839">
      <c r="A839" s="154"/>
      <c r="B839" s="473"/>
      <c r="C839" s="156"/>
      <c r="D839" s="156"/>
      <c r="E839" s="156"/>
      <c r="F839" s="154"/>
      <c r="G839" s="473"/>
      <c r="H839" s="156"/>
      <c r="I839" s="156"/>
      <c r="J839" s="156"/>
      <c r="K839" s="132"/>
      <c r="L839" s="473"/>
      <c r="M839" s="156"/>
      <c r="N839" s="156"/>
      <c r="O839" s="156"/>
      <c r="P839" s="132"/>
      <c r="Q839" s="487"/>
      <c r="R839" s="156"/>
      <c r="S839" s="156"/>
      <c r="T839" s="156"/>
      <c r="U839" s="154"/>
      <c r="V839" s="473"/>
      <c r="W839" s="156"/>
      <c r="X839" s="156"/>
      <c r="Y839" s="156"/>
      <c r="Z839" s="154"/>
      <c r="AA839" s="473"/>
      <c r="AB839" s="156"/>
      <c r="AC839" s="156"/>
      <c r="AD839" s="156"/>
      <c r="AE839" s="154"/>
      <c r="AF839" s="473"/>
      <c r="AG839" s="156"/>
      <c r="AH839" s="156"/>
      <c r="AI839" s="156"/>
      <c r="AJ839" s="154"/>
      <c r="AK839" s="473"/>
      <c r="AL839" s="156"/>
      <c r="AM839" s="156"/>
      <c r="AN839" s="156"/>
      <c r="AO839" s="452"/>
      <c r="AP839" s="452"/>
      <c r="AQ839" s="452"/>
      <c r="AR839" s="452"/>
      <c r="AS839" s="452"/>
      <c r="AT839" s="452"/>
      <c r="AU839" s="452"/>
      <c r="AV839" s="452"/>
      <c r="AW839" s="452"/>
      <c r="AX839" s="452"/>
      <c r="AY839" s="154"/>
      <c r="AZ839" s="473"/>
      <c r="BA839" s="156"/>
      <c r="BB839" s="156"/>
      <c r="BC839" s="156"/>
      <c r="BD839" s="452"/>
      <c r="BE839" s="452"/>
      <c r="BF839" s="452"/>
      <c r="BG839" s="452"/>
      <c r="BH839" s="452"/>
    </row>
    <row r="840">
      <c r="A840" s="154"/>
      <c r="B840" s="473"/>
      <c r="C840" s="156"/>
      <c r="D840" s="156"/>
      <c r="E840" s="156"/>
      <c r="F840" s="154"/>
      <c r="G840" s="473"/>
      <c r="H840" s="156"/>
      <c r="I840" s="156"/>
      <c r="J840" s="156"/>
      <c r="K840" s="132"/>
      <c r="L840" s="473"/>
      <c r="M840" s="156"/>
      <c r="N840" s="156"/>
      <c r="O840" s="156"/>
      <c r="P840" s="132"/>
      <c r="Q840" s="487"/>
      <c r="R840" s="156"/>
      <c r="S840" s="156"/>
      <c r="T840" s="156"/>
      <c r="U840" s="154"/>
      <c r="V840" s="473"/>
      <c r="W840" s="156"/>
      <c r="X840" s="156"/>
      <c r="Y840" s="156"/>
      <c r="Z840" s="154"/>
      <c r="AA840" s="473"/>
      <c r="AB840" s="156"/>
      <c r="AC840" s="156"/>
      <c r="AD840" s="156"/>
      <c r="AE840" s="154"/>
      <c r="AF840" s="473"/>
      <c r="AG840" s="156"/>
      <c r="AH840" s="156"/>
      <c r="AI840" s="156"/>
      <c r="AJ840" s="154"/>
      <c r="AK840" s="473"/>
      <c r="AL840" s="156"/>
      <c r="AM840" s="156"/>
      <c r="AN840" s="156"/>
      <c r="AO840" s="452"/>
      <c r="AP840" s="452"/>
      <c r="AQ840" s="452"/>
      <c r="AR840" s="452"/>
      <c r="AS840" s="452"/>
      <c r="AT840" s="452"/>
      <c r="AU840" s="452"/>
      <c r="AV840" s="452"/>
      <c r="AW840" s="452"/>
      <c r="AX840" s="452"/>
      <c r="AY840" s="154"/>
      <c r="AZ840" s="473"/>
      <c r="BA840" s="156"/>
      <c r="BB840" s="156"/>
      <c r="BC840" s="156"/>
      <c r="BD840" s="452"/>
      <c r="BE840" s="452"/>
      <c r="BF840" s="452"/>
      <c r="BG840" s="452"/>
      <c r="BH840" s="452"/>
    </row>
    <row r="841">
      <c r="A841" s="154"/>
      <c r="B841" s="473"/>
      <c r="C841" s="156"/>
      <c r="D841" s="156"/>
      <c r="E841" s="156"/>
      <c r="F841" s="154"/>
      <c r="G841" s="473"/>
      <c r="H841" s="156"/>
      <c r="I841" s="156"/>
      <c r="J841" s="156"/>
      <c r="K841" s="132"/>
      <c r="L841" s="473"/>
      <c r="M841" s="156"/>
      <c r="N841" s="156"/>
      <c r="O841" s="156"/>
      <c r="P841" s="132"/>
      <c r="Q841" s="487"/>
      <c r="R841" s="156"/>
      <c r="S841" s="156"/>
      <c r="T841" s="156"/>
      <c r="U841" s="154"/>
      <c r="V841" s="473"/>
      <c r="W841" s="156"/>
      <c r="X841" s="156"/>
      <c r="Y841" s="156"/>
      <c r="Z841" s="154"/>
      <c r="AA841" s="473"/>
      <c r="AB841" s="156"/>
      <c r="AC841" s="156"/>
      <c r="AD841" s="156"/>
      <c r="AE841" s="154"/>
      <c r="AF841" s="473"/>
      <c r="AG841" s="156"/>
      <c r="AH841" s="156"/>
      <c r="AI841" s="156"/>
      <c r="AJ841" s="154"/>
      <c r="AK841" s="473"/>
      <c r="AL841" s="156"/>
      <c r="AM841" s="156"/>
      <c r="AN841" s="156"/>
      <c r="AO841" s="452"/>
      <c r="AP841" s="452"/>
      <c r="AQ841" s="452"/>
      <c r="AR841" s="452"/>
      <c r="AS841" s="452"/>
      <c r="AT841" s="452"/>
      <c r="AU841" s="452"/>
      <c r="AV841" s="452"/>
      <c r="AW841" s="452"/>
      <c r="AX841" s="452"/>
      <c r="AY841" s="154"/>
      <c r="AZ841" s="473"/>
      <c r="BA841" s="156"/>
      <c r="BB841" s="156"/>
      <c r="BC841" s="156"/>
      <c r="BD841" s="452"/>
      <c r="BE841" s="452"/>
      <c r="BF841" s="452"/>
      <c r="BG841" s="452"/>
      <c r="BH841" s="452"/>
    </row>
    <row r="842">
      <c r="A842" s="154"/>
      <c r="B842" s="473"/>
      <c r="C842" s="156"/>
      <c r="D842" s="156"/>
      <c r="E842" s="156"/>
      <c r="F842" s="154"/>
      <c r="G842" s="473"/>
      <c r="H842" s="156"/>
      <c r="I842" s="156"/>
      <c r="J842" s="156"/>
      <c r="K842" s="132"/>
      <c r="L842" s="473"/>
      <c r="M842" s="156"/>
      <c r="N842" s="156"/>
      <c r="O842" s="156"/>
      <c r="P842" s="132"/>
      <c r="Q842" s="487"/>
      <c r="R842" s="156"/>
      <c r="S842" s="156"/>
      <c r="T842" s="156"/>
      <c r="U842" s="154"/>
      <c r="V842" s="473"/>
      <c r="W842" s="156"/>
      <c r="X842" s="156"/>
      <c r="Y842" s="156"/>
      <c r="Z842" s="154"/>
      <c r="AA842" s="473"/>
      <c r="AB842" s="156"/>
      <c r="AC842" s="156"/>
      <c r="AD842" s="156"/>
      <c r="AE842" s="154"/>
      <c r="AF842" s="473"/>
      <c r="AG842" s="156"/>
      <c r="AH842" s="156"/>
      <c r="AI842" s="156"/>
      <c r="AJ842" s="154"/>
      <c r="AK842" s="473"/>
      <c r="AL842" s="156"/>
      <c r="AM842" s="156"/>
      <c r="AN842" s="156"/>
      <c r="AO842" s="452"/>
      <c r="AP842" s="452"/>
      <c r="AQ842" s="452"/>
      <c r="AR842" s="452"/>
      <c r="AS842" s="452"/>
      <c r="AT842" s="452"/>
      <c r="AU842" s="452"/>
      <c r="AV842" s="452"/>
      <c r="AW842" s="452"/>
      <c r="AX842" s="452"/>
      <c r="AY842" s="154"/>
      <c r="AZ842" s="473"/>
      <c r="BA842" s="156"/>
      <c r="BB842" s="156"/>
      <c r="BC842" s="156"/>
      <c r="BD842" s="452"/>
      <c r="BE842" s="452"/>
      <c r="BF842" s="452"/>
      <c r="BG842" s="452"/>
      <c r="BH842" s="452"/>
    </row>
    <row r="843">
      <c r="A843" s="154"/>
      <c r="B843" s="473"/>
      <c r="C843" s="156"/>
      <c r="D843" s="156"/>
      <c r="E843" s="156"/>
      <c r="F843" s="154"/>
      <c r="G843" s="473"/>
      <c r="H843" s="156"/>
      <c r="I843" s="156"/>
      <c r="J843" s="156"/>
      <c r="K843" s="132"/>
      <c r="L843" s="473"/>
      <c r="M843" s="156"/>
      <c r="N843" s="156"/>
      <c r="O843" s="156"/>
      <c r="P843" s="132"/>
      <c r="Q843" s="487"/>
      <c r="R843" s="156"/>
      <c r="S843" s="156"/>
      <c r="T843" s="156"/>
      <c r="U843" s="154"/>
      <c r="V843" s="473"/>
      <c r="W843" s="156"/>
      <c r="X843" s="156"/>
      <c r="Y843" s="156"/>
      <c r="Z843" s="154"/>
      <c r="AA843" s="473"/>
      <c r="AB843" s="156"/>
      <c r="AC843" s="156"/>
      <c r="AD843" s="156"/>
      <c r="AE843" s="154"/>
      <c r="AF843" s="473"/>
      <c r="AG843" s="156"/>
      <c r="AH843" s="156"/>
      <c r="AI843" s="156"/>
      <c r="AJ843" s="154"/>
      <c r="AK843" s="473"/>
      <c r="AL843" s="156"/>
      <c r="AM843" s="156"/>
      <c r="AN843" s="156"/>
      <c r="AO843" s="452"/>
      <c r="AP843" s="452"/>
      <c r="AQ843" s="452"/>
      <c r="AR843" s="452"/>
      <c r="AS843" s="452"/>
      <c r="AT843" s="452"/>
      <c r="AU843" s="452"/>
      <c r="AV843" s="452"/>
      <c r="AW843" s="452"/>
      <c r="AX843" s="452"/>
      <c r="AY843" s="154"/>
      <c r="AZ843" s="473"/>
      <c r="BA843" s="156"/>
      <c r="BB843" s="156"/>
      <c r="BC843" s="156"/>
      <c r="BD843" s="452"/>
      <c r="BE843" s="452"/>
      <c r="BF843" s="452"/>
      <c r="BG843" s="452"/>
      <c r="BH843" s="452"/>
    </row>
    <row r="844">
      <c r="A844" s="154"/>
      <c r="B844" s="473"/>
      <c r="C844" s="156"/>
      <c r="D844" s="156"/>
      <c r="E844" s="156"/>
      <c r="F844" s="154"/>
      <c r="G844" s="473"/>
      <c r="H844" s="156"/>
      <c r="I844" s="156"/>
      <c r="J844" s="156"/>
      <c r="K844" s="132"/>
      <c r="L844" s="473"/>
      <c r="M844" s="156"/>
      <c r="N844" s="156"/>
      <c r="O844" s="156"/>
      <c r="P844" s="132"/>
      <c r="Q844" s="487"/>
      <c r="R844" s="156"/>
      <c r="S844" s="156"/>
      <c r="T844" s="156"/>
      <c r="U844" s="154"/>
      <c r="V844" s="473"/>
      <c r="W844" s="156"/>
      <c r="X844" s="156"/>
      <c r="Y844" s="156"/>
      <c r="Z844" s="154"/>
      <c r="AA844" s="473"/>
      <c r="AB844" s="156"/>
      <c r="AC844" s="156"/>
      <c r="AD844" s="156"/>
      <c r="AE844" s="154"/>
      <c r="AF844" s="473"/>
      <c r="AG844" s="156"/>
      <c r="AH844" s="156"/>
      <c r="AI844" s="156"/>
      <c r="AJ844" s="154"/>
      <c r="AK844" s="473"/>
      <c r="AL844" s="156"/>
      <c r="AM844" s="156"/>
      <c r="AN844" s="156"/>
      <c r="AO844" s="452"/>
      <c r="AP844" s="452"/>
      <c r="AQ844" s="452"/>
      <c r="AR844" s="452"/>
      <c r="AS844" s="452"/>
      <c r="AT844" s="452"/>
      <c r="AU844" s="452"/>
      <c r="AV844" s="452"/>
      <c r="AW844" s="452"/>
      <c r="AX844" s="452"/>
      <c r="AY844" s="154"/>
      <c r="AZ844" s="473"/>
      <c r="BA844" s="156"/>
      <c r="BB844" s="156"/>
      <c r="BC844" s="156"/>
      <c r="BD844" s="452"/>
      <c r="BE844" s="452"/>
      <c r="BF844" s="452"/>
      <c r="BG844" s="452"/>
      <c r="BH844" s="452"/>
    </row>
    <row r="845">
      <c r="A845" s="154"/>
      <c r="B845" s="473"/>
      <c r="C845" s="156"/>
      <c r="D845" s="156"/>
      <c r="E845" s="156"/>
      <c r="F845" s="154"/>
      <c r="G845" s="473"/>
      <c r="H845" s="156"/>
      <c r="I845" s="156"/>
      <c r="J845" s="156"/>
      <c r="K845" s="132"/>
      <c r="L845" s="473"/>
      <c r="M845" s="156"/>
      <c r="N845" s="156"/>
      <c r="O845" s="156"/>
      <c r="P845" s="132"/>
      <c r="Q845" s="487"/>
      <c r="R845" s="156"/>
      <c r="S845" s="156"/>
      <c r="T845" s="156"/>
      <c r="U845" s="154"/>
      <c r="V845" s="473"/>
      <c r="W845" s="156"/>
      <c r="X845" s="156"/>
      <c r="Y845" s="156"/>
      <c r="Z845" s="154"/>
      <c r="AA845" s="473"/>
      <c r="AB845" s="156"/>
      <c r="AC845" s="156"/>
      <c r="AD845" s="156"/>
      <c r="AE845" s="154"/>
      <c r="AF845" s="473"/>
      <c r="AG845" s="156"/>
      <c r="AH845" s="156"/>
      <c r="AI845" s="156"/>
      <c r="AJ845" s="154"/>
      <c r="AK845" s="473"/>
      <c r="AL845" s="156"/>
      <c r="AM845" s="156"/>
      <c r="AN845" s="156"/>
      <c r="AO845" s="452"/>
      <c r="AP845" s="452"/>
      <c r="AQ845" s="452"/>
      <c r="AR845" s="452"/>
      <c r="AS845" s="452"/>
      <c r="AT845" s="452"/>
      <c r="AU845" s="452"/>
      <c r="AV845" s="452"/>
      <c r="AW845" s="452"/>
      <c r="AX845" s="452"/>
      <c r="AY845" s="154"/>
      <c r="AZ845" s="473"/>
      <c r="BA845" s="156"/>
      <c r="BB845" s="156"/>
      <c r="BC845" s="156"/>
      <c r="BD845" s="452"/>
      <c r="BE845" s="452"/>
      <c r="BF845" s="452"/>
      <c r="BG845" s="452"/>
      <c r="BH845" s="452"/>
    </row>
    <row r="846">
      <c r="A846" s="154"/>
      <c r="B846" s="473"/>
      <c r="C846" s="156"/>
      <c r="D846" s="156"/>
      <c r="E846" s="156"/>
      <c r="F846" s="154"/>
      <c r="G846" s="473"/>
      <c r="H846" s="156"/>
      <c r="I846" s="156"/>
      <c r="J846" s="156"/>
      <c r="K846" s="132"/>
      <c r="L846" s="473"/>
      <c r="M846" s="156"/>
      <c r="N846" s="156"/>
      <c r="O846" s="156"/>
      <c r="P846" s="132"/>
      <c r="Q846" s="487"/>
      <c r="R846" s="156"/>
      <c r="S846" s="156"/>
      <c r="T846" s="156"/>
      <c r="U846" s="154"/>
      <c r="V846" s="473"/>
      <c r="W846" s="156"/>
      <c r="X846" s="156"/>
      <c r="Y846" s="156"/>
      <c r="Z846" s="154"/>
      <c r="AA846" s="473"/>
      <c r="AB846" s="156"/>
      <c r="AC846" s="156"/>
      <c r="AD846" s="156"/>
      <c r="AE846" s="154"/>
      <c r="AF846" s="473"/>
      <c r="AG846" s="156"/>
      <c r="AH846" s="156"/>
      <c r="AI846" s="156"/>
      <c r="AJ846" s="154"/>
      <c r="AK846" s="473"/>
      <c r="AL846" s="156"/>
      <c r="AM846" s="156"/>
      <c r="AN846" s="156"/>
      <c r="AO846" s="452"/>
      <c r="AP846" s="452"/>
      <c r="AQ846" s="452"/>
      <c r="AR846" s="452"/>
      <c r="AS846" s="452"/>
      <c r="AT846" s="452"/>
      <c r="AU846" s="452"/>
      <c r="AV846" s="452"/>
      <c r="AW846" s="452"/>
      <c r="AX846" s="452"/>
      <c r="AY846" s="154"/>
      <c r="AZ846" s="473"/>
      <c r="BA846" s="156"/>
      <c r="BB846" s="156"/>
      <c r="BC846" s="156"/>
      <c r="BD846" s="452"/>
      <c r="BE846" s="452"/>
      <c r="BF846" s="452"/>
      <c r="BG846" s="452"/>
      <c r="BH846" s="452"/>
    </row>
    <row r="847">
      <c r="A847" s="154"/>
      <c r="B847" s="473"/>
      <c r="C847" s="156"/>
      <c r="D847" s="156"/>
      <c r="E847" s="156"/>
      <c r="F847" s="154"/>
      <c r="G847" s="473"/>
      <c r="H847" s="156"/>
      <c r="I847" s="156"/>
      <c r="J847" s="156"/>
      <c r="K847" s="132"/>
      <c r="L847" s="473"/>
      <c r="M847" s="156"/>
      <c r="N847" s="156"/>
      <c r="O847" s="156"/>
      <c r="P847" s="132"/>
      <c r="Q847" s="487"/>
      <c r="R847" s="156"/>
      <c r="S847" s="156"/>
      <c r="T847" s="156"/>
      <c r="U847" s="154"/>
      <c r="V847" s="473"/>
      <c r="W847" s="156"/>
      <c r="X847" s="156"/>
      <c r="Y847" s="156"/>
      <c r="Z847" s="154"/>
      <c r="AA847" s="473"/>
      <c r="AB847" s="156"/>
      <c r="AC847" s="156"/>
      <c r="AD847" s="156"/>
      <c r="AE847" s="154"/>
      <c r="AF847" s="473"/>
      <c r="AG847" s="156"/>
      <c r="AH847" s="156"/>
      <c r="AI847" s="156"/>
      <c r="AJ847" s="154"/>
      <c r="AK847" s="473"/>
      <c r="AL847" s="156"/>
      <c r="AM847" s="156"/>
      <c r="AN847" s="156"/>
      <c r="AO847" s="452"/>
      <c r="AP847" s="452"/>
      <c r="AQ847" s="452"/>
      <c r="AR847" s="452"/>
      <c r="AS847" s="452"/>
      <c r="AT847" s="452"/>
      <c r="AU847" s="452"/>
      <c r="AV847" s="452"/>
      <c r="AW847" s="452"/>
      <c r="AX847" s="452"/>
      <c r="AY847" s="154"/>
      <c r="AZ847" s="473"/>
      <c r="BA847" s="156"/>
      <c r="BB847" s="156"/>
      <c r="BC847" s="156"/>
      <c r="BD847" s="452"/>
      <c r="BE847" s="452"/>
      <c r="BF847" s="452"/>
      <c r="BG847" s="452"/>
      <c r="BH847" s="452"/>
    </row>
    <row r="848">
      <c r="A848" s="154"/>
      <c r="B848" s="473"/>
      <c r="C848" s="156"/>
      <c r="D848" s="156"/>
      <c r="E848" s="156"/>
      <c r="F848" s="154"/>
      <c r="G848" s="473"/>
      <c r="H848" s="156"/>
      <c r="I848" s="156"/>
      <c r="J848" s="156"/>
      <c r="K848" s="132"/>
      <c r="L848" s="473"/>
      <c r="M848" s="156"/>
      <c r="N848" s="156"/>
      <c r="O848" s="156"/>
      <c r="P848" s="132"/>
      <c r="Q848" s="487"/>
      <c r="R848" s="156"/>
      <c r="S848" s="156"/>
      <c r="T848" s="156"/>
      <c r="U848" s="154"/>
      <c r="V848" s="473"/>
      <c r="W848" s="156"/>
      <c r="X848" s="156"/>
      <c r="Y848" s="156"/>
      <c r="Z848" s="154"/>
      <c r="AA848" s="473"/>
      <c r="AB848" s="156"/>
      <c r="AC848" s="156"/>
      <c r="AD848" s="156"/>
      <c r="AE848" s="154"/>
      <c r="AF848" s="473"/>
      <c r="AG848" s="156"/>
      <c r="AH848" s="156"/>
      <c r="AI848" s="156"/>
      <c r="AJ848" s="154"/>
      <c r="AK848" s="473"/>
      <c r="AL848" s="156"/>
      <c r="AM848" s="156"/>
      <c r="AN848" s="156"/>
      <c r="AO848" s="452"/>
      <c r="AP848" s="452"/>
      <c r="AQ848" s="452"/>
      <c r="AR848" s="452"/>
      <c r="AS848" s="452"/>
      <c r="AT848" s="452"/>
      <c r="AU848" s="452"/>
      <c r="AV848" s="452"/>
      <c r="AW848" s="452"/>
      <c r="AX848" s="452"/>
      <c r="AY848" s="154"/>
      <c r="AZ848" s="473"/>
      <c r="BA848" s="156"/>
      <c r="BB848" s="156"/>
      <c r="BC848" s="156"/>
      <c r="BD848" s="452"/>
      <c r="BE848" s="452"/>
      <c r="BF848" s="452"/>
      <c r="BG848" s="452"/>
      <c r="BH848" s="452"/>
    </row>
    <row r="849">
      <c r="A849" s="154"/>
      <c r="B849" s="473"/>
      <c r="C849" s="156"/>
      <c r="D849" s="156"/>
      <c r="E849" s="156"/>
      <c r="F849" s="154"/>
      <c r="G849" s="473"/>
      <c r="H849" s="156"/>
      <c r="I849" s="156"/>
      <c r="J849" s="156"/>
      <c r="K849" s="132"/>
      <c r="L849" s="473"/>
      <c r="M849" s="156"/>
      <c r="N849" s="156"/>
      <c r="O849" s="156"/>
      <c r="P849" s="132"/>
      <c r="Q849" s="487"/>
      <c r="R849" s="156"/>
      <c r="S849" s="156"/>
      <c r="T849" s="156"/>
      <c r="U849" s="154"/>
      <c r="V849" s="473"/>
      <c r="W849" s="156"/>
      <c r="X849" s="156"/>
      <c r="Y849" s="156"/>
      <c r="Z849" s="154"/>
      <c r="AA849" s="473"/>
      <c r="AB849" s="156"/>
      <c r="AC849" s="156"/>
      <c r="AD849" s="156"/>
      <c r="AE849" s="154"/>
      <c r="AF849" s="473"/>
      <c r="AG849" s="156"/>
      <c r="AH849" s="156"/>
      <c r="AI849" s="156"/>
      <c r="AJ849" s="154"/>
      <c r="AK849" s="473"/>
      <c r="AL849" s="156"/>
      <c r="AM849" s="156"/>
      <c r="AN849" s="156"/>
      <c r="AO849" s="452"/>
      <c r="AP849" s="452"/>
      <c r="AQ849" s="452"/>
      <c r="AR849" s="452"/>
      <c r="AS849" s="452"/>
      <c r="AT849" s="452"/>
      <c r="AU849" s="452"/>
      <c r="AV849" s="452"/>
      <c r="AW849" s="452"/>
      <c r="AX849" s="452"/>
      <c r="AY849" s="154"/>
      <c r="AZ849" s="473"/>
      <c r="BA849" s="156"/>
      <c r="BB849" s="156"/>
      <c r="BC849" s="156"/>
      <c r="BD849" s="452"/>
      <c r="BE849" s="452"/>
      <c r="BF849" s="452"/>
      <c r="BG849" s="452"/>
      <c r="BH849" s="452"/>
    </row>
    <row r="850">
      <c r="A850" s="154"/>
      <c r="B850" s="473"/>
      <c r="C850" s="156"/>
      <c r="D850" s="156"/>
      <c r="E850" s="156"/>
      <c r="F850" s="154"/>
      <c r="G850" s="473"/>
      <c r="H850" s="156"/>
      <c r="I850" s="156"/>
      <c r="J850" s="156"/>
      <c r="K850" s="132"/>
      <c r="L850" s="473"/>
      <c r="M850" s="156"/>
      <c r="N850" s="156"/>
      <c r="O850" s="156"/>
      <c r="P850" s="132"/>
      <c r="Q850" s="487"/>
      <c r="R850" s="156"/>
      <c r="S850" s="156"/>
      <c r="T850" s="156"/>
      <c r="U850" s="154"/>
      <c r="V850" s="473"/>
      <c r="W850" s="156"/>
      <c r="X850" s="156"/>
      <c r="Y850" s="156"/>
      <c r="Z850" s="154"/>
      <c r="AA850" s="473"/>
      <c r="AB850" s="156"/>
      <c r="AC850" s="156"/>
      <c r="AD850" s="156"/>
      <c r="AE850" s="154"/>
      <c r="AF850" s="473"/>
      <c r="AG850" s="156"/>
      <c r="AH850" s="156"/>
      <c r="AI850" s="156"/>
      <c r="AJ850" s="154"/>
      <c r="AK850" s="473"/>
      <c r="AL850" s="156"/>
      <c r="AM850" s="156"/>
      <c r="AN850" s="156"/>
      <c r="AO850" s="452"/>
      <c r="AP850" s="452"/>
      <c r="AQ850" s="452"/>
      <c r="AR850" s="452"/>
      <c r="AS850" s="452"/>
      <c r="AT850" s="452"/>
      <c r="AU850" s="452"/>
      <c r="AV850" s="452"/>
      <c r="AW850" s="452"/>
      <c r="AX850" s="452"/>
      <c r="AY850" s="154"/>
      <c r="AZ850" s="473"/>
      <c r="BA850" s="156"/>
      <c r="BB850" s="156"/>
      <c r="BC850" s="156"/>
      <c r="BD850" s="452"/>
      <c r="BE850" s="452"/>
      <c r="BF850" s="452"/>
      <c r="BG850" s="452"/>
      <c r="BH850" s="452"/>
    </row>
    <row r="851">
      <c r="A851" s="154"/>
      <c r="B851" s="473"/>
      <c r="C851" s="156"/>
      <c r="D851" s="156"/>
      <c r="E851" s="156"/>
      <c r="F851" s="154"/>
      <c r="G851" s="473"/>
      <c r="H851" s="156"/>
      <c r="I851" s="156"/>
      <c r="J851" s="156"/>
      <c r="K851" s="132"/>
      <c r="L851" s="473"/>
      <c r="M851" s="156"/>
      <c r="N851" s="156"/>
      <c r="O851" s="156"/>
      <c r="P851" s="132"/>
      <c r="Q851" s="487"/>
      <c r="R851" s="156"/>
      <c r="S851" s="156"/>
      <c r="T851" s="156"/>
      <c r="U851" s="154"/>
      <c r="V851" s="473"/>
      <c r="W851" s="156"/>
      <c r="X851" s="156"/>
      <c r="Y851" s="156"/>
      <c r="Z851" s="154"/>
      <c r="AA851" s="473"/>
      <c r="AB851" s="156"/>
      <c r="AC851" s="156"/>
      <c r="AD851" s="156"/>
      <c r="AE851" s="154"/>
      <c r="AF851" s="473"/>
      <c r="AG851" s="156"/>
      <c r="AH851" s="156"/>
      <c r="AI851" s="156"/>
      <c r="AJ851" s="154"/>
      <c r="AK851" s="473"/>
      <c r="AL851" s="156"/>
      <c r="AM851" s="156"/>
      <c r="AN851" s="156"/>
      <c r="AO851" s="452"/>
      <c r="AP851" s="452"/>
      <c r="AQ851" s="452"/>
      <c r="AR851" s="452"/>
      <c r="AS851" s="452"/>
      <c r="AT851" s="452"/>
      <c r="AU851" s="452"/>
      <c r="AV851" s="452"/>
      <c r="AW851" s="452"/>
      <c r="AX851" s="452"/>
      <c r="AY851" s="154"/>
      <c r="AZ851" s="473"/>
      <c r="BA851" s="156"/>
      <c r="BB851" s="156"/>
      <c r="BC851" s="156"/>
      <c r="BD851" s="452"/>
      <c r="BE851" s="452"/>
      <c r="BF851" s="452"/>
      <c r="BG851" s="452"/>
      <c r="BH851" s="452"/>
    </row>
    <row r="852">
      <c r="A852" s="154"/>
      <c r="B852" s="473"/>
      <c r="C852" s="156"/>
      <c r="D852" s="156"/>
      <c r="E852" s="156"/>
      <c r="F852" s="154"/>
      <c r="G852" s="473"/>
      <c r="H852" s="156"/>
      <c r="I852" s="156"/>
      <c r="J852" s="156"/>
      <c r="K852" s="132"/>
      <c r="L852" s="473"/>
      <c r="M852" s="156"/>
      <c r="N852" s="156"/>
      <c r="O852" s="156"/>
      <c r="P852" s="132"/>
      <c r="Q852" s="487"/>
      <c r="R852" s="156"/>
      <c r="S852" s="156"/>
      <c r="T852" s="156"/>
      <c r="U852" s="154"/>
      <c r="V852" s="473"/>
      <c r="W852" s="156"/>
      <c r="X852" s="156"/>
      <c r="Y852" s="156"/>
      <c r="Z852" s="154"/>
      <c r="AA852" s="473"/>
      <c r="AB852" s="156"/>
      <c r="AC852" s="156"/>
      <c r="AD852" s="156"/>
      <c r="AE852" s="154"/>
      <c r="AF852" s="473"/>
      <c r="AG852" s="156"/>
      <c r="AH852" s="156"/>
      <c r="AI852" s="156"/>
      <c r="AJ852" s="154"/>
      <c r="AK852" s="473"/>
      <c r="AL852" s="156"/>
      <c r="AM852" s="156"/>
      <c r="AN852" s="156"/>
      <c r="AO852" s="452"/>
      <c r="AP852" s="452"/>
      <c r="AQ852" s="452"/>
      <c r="AR852" s="452"/>
      <c r="AS852" s="452"/>
      <c r="AT852" s="452"/>
      <c r="AU852" s="452"/>
      <c r="AV852" s="452"/>
      <c r="AW852" s="452"/>
      <c r="AX852" s="452"/>
      <c r="AY852" s="154"/>
      <c r="AZ852" s="473"/>
      <c r="BA852" s="156"/>
      <c r="BB852" s="156"/>
      <c r="BC852" s="156"/>
      <c r="BD852" s="452"/>
      <c r="BE852" s="452"/>
      <c r="BF852" s="452"/>
      <c r="BG852" s="452"/>
      <c r="BH852" s="452"/>
    </row>
    <row r="853">
      <c r="A853" s="154"/>
      <c r="B853" s="473"/>
      <c r="C853" s="156"/>
      <c r="D853" s="156"/>
      <c r="E853" s="156"/>
      <c r="F853" s="154"/>
      <c r="G853" s="473"/>
      <c r="H853" s="156"/>
      <c r="I853" s="156"/>
      <c r="J853" s="156"/>
      <c r="K853" s="132"/>
      <c r="L853" s="473"/>
      <c r="M853" s="156"/>
      <c r="N853" s="156"/>
      <c r="O853" s="156"/>
      <c r="P853" s="132"/>
      <c r="Q853" s="487"/>
      <c r="R853" s="156"/>
      <c r="S853" s="156"/>
      <c r="T853" s="156"/>
      <c r="U853" s="154"/>
      <c r="V853" s="473"/>
      <c r="W853" s="156"/>
      <c r="X853" s="156"/>
      <c r="Y853" s="156"/>
      <c r="Z853" s="154"/>
      <c r="AA853" s="473"/>
      <c r="AB853" s="156"/>
      <c r="AC853" s="156"/>
      <c r="AD853" s="156"/>
      <c r="AE853" s="154"/>
      <c r="AF853" s="473"/>
      <c r="AG853" s="156"/>
      <c r="AH853" s="156"/>
      <c r="AI853" s="156"/>
      <c r="AJ853" s="154"/>
      <c r="AK853" s="473"/>
      <c r="AL853" s="156"/>
      <c r="AM853" s="156"/>
      <c r="AN853" s="156"/>
      <c r="AO853" s="452"/>
      <c r="AP853" s="452"/>
      <c r="AQ853" s="452"/>
      <c r="AR853" s="452"/>
      <c r="AS853" s="452"/>
      <c r="AT853" s="452"/>
      <c r="AU853" s="452"/>
      <c r="AV853" s="452"/>
      <c r="AW853" s="452"/>
      <c r="AX853" s="452"/>
      <c r="AY853" s="154"/>
      <c r="AZ853" s="473"/>
      <c r="BA853" s="156"/>
      <c r="BB853" s="156"/>
      <c r="BC853" s="156"/>
      <c r="BD853" s="452"/>
      <c r="BE853" s="452"/>
      <c r="BF853" s="452"/>
      <c r="BG853" s="452"/>
      <c r="BH853" s="452"/>
    </row>
    <row r="854">
      <c r="A854" s="154"/>
      <c r="B854" s="473"/>
      <c r="C854" s="156"/>
      <c r="D854" s="156"/>
      <c r="E854" s="156"/>
      <c r="F854" s="154"/>
      <c r="G854" s="473"/>
      <c r="H854" s="156"/>
      <c r="I854" s="156"/>
      <c r="J854" s="156"/>
      <c r="K854" s="132"/>
      <c r="L854" s="473"/>
      <c r="M854" s="156"/>
      <c r="N854" s="156"/>
      <c r="O854" s="156"/>
      <c r="P854" s="132"/>
      <c r="Q854" s="487"/>
      <c r="R854" s="156"/>
      <c r="S854" s="156"/>
      <c r="T854" s="156"/>
      <c r="U854" s="154"/>
      <c r="V854" s="473"/>
      <c r="W854" s="156"/>
      <c r="X854" s="156"/>
      <c r="Y854" s="156"/>
      <c r="Z854" s="154"/>
      <c r="AA854" s="473"/>
      <c r="AB854" s="156"/>
      <c r="AC854" s="156"/>
      <c r="AD854" s="156"/>
      <c r="AE854" s="154"/>
      <c r="AF854" s="473"/>
      <c r="AG854" s="156"/>
      <c r="AH854" s="156"/>
      <c r="AI854" s="156"/>
      <c r="AJ854" s="154"/>
      <c r="AK854" s="473"/>
      <c r="AL854" s="156"/>
      <c r="AM854" s="156"/>
      <c r="AN854" s="156"/>
      <c r="AO854" s="452"/>
      <c r="AP854" s="452"/>
      <c r="AQ854" s="452"/>
      <c r="AR854" s="452"/>
      <c r="AS854" s="452"/>
      <c r="AT854" s="452"/>
      <c r="AU854" s="452"/>
      <c r="AV854" s="452"/>
      <c r="AW854" s="452"/>
      <c r="AX854" s="452"/>
      <c r="AY854" s="154"/>
      <c r="AZ854" s="473"/>
      <c r="BA854" s="156"/>
      <c r="BB854" s="156"/>
      <c r="BC854" s="156"/>
      <c r="BD854" s="452"/>
      <c r="BE854" s="452"/>
      <c r="BF854" s="452"/>
      <c r="BG854" s="452"/>
      <c r="BH854" s="452"/>
    </row>
    <row r="855">
      <c r="A855" s="154"/>
      <c r="B855" s="473"/>
      <c r="C855" s="156"/>
      <c r="D855" s="156"/>
      <c r="E855" s="156"/>
      <c r="F855" s="154"/>
      <c r="G855" s="473"/>
      <c r="H855" s="156"/>
      <c r="I855" s="156"/>
      <c r="J855" s="156"/>
      <c r="K855" s="132"/>
      <c r="L855" s="473"/>
      <c r="M855" s="156"/>
      <c r="N855" s="156"/>
      <c r="O855" s="156"/>
      <c r="P855" s="132"/>
      <c r="Q855" s="487"/>
      <c r="R855" s="156"/>
      <c r="S855" s="156"/>
      <c r="T855" s="156"/>
      <c r="U855" s="154"/>
      <c r="V855" s="473"/>
      <c r="W855" s="156"/>
      <c r="X855" s="156"/>
      <c r="Y855" s="156"/>
      <c r="Z855" s="154"/>
      <c r="AA855" s="473"/>
      <c r="AB855" s="156"/>
      <c r="AC855" s="156"/>
      <c r="AD855" s="156"/>
      <c r="AE855" s="154"/>
      <c r="AF855" s="473"/>
      <c r="AG855" s="156"/>
      <c r="AH855" s="156"/>
      <c r="AI855" s="156"/>
      <c r="AJ855" s="154"/>
      <c r="AK855" s="473"/>
      <c r="AL855" s="156"/>
      <c r="AM855" s="156"/>
      <c r="AN855" s="156"/>
      <c r="AO855" s="452"/>
      <c r="AP855" s="452"/>
      <c r="AQ855" s="452"/>
      <c r="AR855" s="452"/>
      <c r="AS855" s="452"/>
      <c r="AT855" s="452"/>
      <c r="AU855" s="452"/>
      <c r="AV855" s="452"/>
      <c r="AW855" s="452"/>
      <c r="AX855" s="452"/>
      <c r="AY855" s="154"/>
      <c r="AZ855" s="473"/>
      <c r="BA855" s="156"/>
      <c r="BB855" s="156"/>
      <c r="BC855" s="156"/>
      <c r="BD855" s="452"/>
      <c r="BE855" s="452"/>
      <c r="BF855" s="452"/>
      <c r="BG855" s="452"/>
      <c r="BH855" s="452"/>
    </row>
    <row r="856">
      <c r="A856" s="154"/>
      <c r="B856" s="473"/>
      <c r="C856" s="156"/>
      <c r="D856" s="156"/>
      <c r="E856" s="156"/>
      <c r="F856" s="154"/>
      <c r="G856" s="473"/>
      <c r="H856" s="156"/>
      <c r="I856" s="156"/>
      <c r="J856" s="156"/>
      <c r="K856" s="132"/>
      <c r="L856" s="473"/>
      <c r="M856" s="156"/>
      <c r="N856" s="156"/>
      <c r="O856" s="156"/>
      <c r="P856" s="132"/>
      <c r="Q856" s="487"/>
      <c r="R856" s="156"/>
      <c r="S856" s="156"/>
      <c r="T856" s="156"/>
      <c r="U856" s="154"/>
      <c r="V856" s="473"/>
      <c r="W856" s="156"/>
      <c r="X856" s="156"/>
      <c r="Y856" s="156"/>
      <c r="Z856" s="154"/>
      <c r="AA856" s="473"/>
      <c r="AB856" s="156"/>
      <c r="AC856" s="156"/>
      <c r="AD856" s="156"/>
      <c r="AE856" s="154"/>
      <c r="AF856" s="473"/>
      <c r="AG856" s="156"/>
      <c r="AH856" s="156"/>
      <c r="AI856" s="156"/>
      <c r="AJ856" s="154"/>
      <c r="AK856" s="473"/>
      <c r="AL856" s="156"/>
      <c r="AM856" s="156"/>
      <c r="AN856" s="156"/>
      <c r="AO856" s="452"/>
      <c r="AP856" s="452"/>
      <c r="AQ856" s="452"/>
      <c r="AR856" s="452"/>
      <c r="AS856" s="452"/>
      <c r="AT856" s="452"/>
      <c r="AU856" s="452"/>
      <c r="AV856" s="452"/>
      <c r="AW856" s="452"/>
      <c r="AX856" s="452"/>
      <c r="AY856" s="154"/>
      <c r="AZ856" s="473"/>
      <c r="BA856" s="156"/>
      <c r="BB856" s="156"/>
      <c r="BC856" s="156"/>
      <c r="BD856" s="452"/>
      <c r="BE856" s="452"/>
      <c r="BF856" s="452"/>
      <c r="BG856" s="452"/>
      <c r="BH856" s="452"/>
    </row>
    <row r="857">
      <c r="A857" s="154"/>
      <c r="B857" s="473"/>
      <c r="C857" s="156"/>
      <c r="D857" s="156"/>
      <c r="E857" s="156"/>
      <c r="F857" s="154"/>
      <c r="G857" s="473"/>
      <c r="H857" s="156"/>
      <c r="I857" s="156"/>
      <c r="J857" s="156"/>
      <c r="K857" s="132"/>
      <c r="L857" s="473"/>
      <c r="M857" s="156"/>
      <c r="N857" s="156"/>
      <c r="O857" s="156"/>
      <c r="P857" s="132"/>
      <c r="Q857" s="487"/>
      <c r="R857" s="156"/>
      <c r="S857" s="156"/>
      <c r="T857" s="156"/>
      <c r="U857" s="154"/>
      <c r="V857" s="473"/>
      <c r="W857" s="156"/>
      <c r="X857" s="156"/>
      <c r="Y857" s="156"/>
      <c r="Z857" s="154"/>
      <c r="AA857" s="473"/>
      <c r="AB857" s="156"/>
      <c r="AC857" s="156"/>
      <c r="AD857" s="156"/>
      <c r="AE857" s="154"/>
      <c r="AF857" s="473"/>
      <c r="AG857" s="156"/>
      <c r="AH857" s="156"/>
      <c r="AI857" s="156"/>
      <c r="AJ857" s="154"/>
      <c r="AK857" s="473"/>
      <c r="AL857" s="156"/>
      <c r="AM857" s="156"/>
      <c r="AN857" s="156"/>
      <c r="AO857" s="452"/>
      <c r="AP857" s="452"/>
      <c r="AQ857" s="452"/>
      <c r="AR857" s="452"/>
      <c r="AS857" s="452"/>
      <c r="AT857" s="452"/>
      <c r="AU857" s="452"/>
      <c r="AV857" s="452"/>
      <c r="AW857" s="452"/>
      <c r="AX857" s="452"/>
      <c r="AY857" s="154"/>
      <c r="AZ857" s="473"/>
      <c r="BA857" s="156"/>
      <c r="BB857" s="156"/>
      <c r="BC857" s="156"/>
      <c r="BD857" s="452"/>
      <c r="BE857" s="452"/>
      <c r="BF857" s="452"/>
      <c r="BG857" s="452"/>
      <c r="BH857" s="452"/>
    </row>
    <row r="858">
      <c r="A858" s="154"/>
      <c r="B858" s="473"/>
      <c r="C858" s="156"/>
      <c r="D858" s="156"/>
      <c r="E858" s="156"/>
      <c r="F858" s="154"/>
      <c r="G858" s="473"/>
      <c r="H858" s="156"/>
      <c r="I858" s="156"/>
      <c r="J858" s="156"/>
      <c r="K858" s="132"/>
      <c r="L858" s="473"/>
      <c r="M858" s="156"/>
      <c r="N858" s="156"/>
      <c r="O858" s="156"/>
      <c r="P858" s="132"/>
      <c r="Q858" s="487"/>
      <c r="R858" s="156"/>
      <c r="S858" s="156"/>
      <c r="T858" s="156"/>
      <c r="U858" s="154"/>
      <c r="V858" s="473"/>
      <c r="W858" s="156"/>
      <c r="X858" s="156"/>
      <c r="Y858" s="156"/>
      <c r="Z858" s="154"/>
      <c r="AA858" s="473"/>
      <c r="AB858" s="156"/>
      <c r="AC858" s="156"/>
      <c r="AD858" s="156"/>
      <c r="AE858" s="154"/>
      <c r="AF858" s="473"/>
      <c r="AG858" s="156"/>
      <c r="AH858" s="156"/>
      <c r="AI858" s="156"/>
      <c r="AJ858" s="154"/>
      <c r="AK858" s="473"/>
      <c r="AL858" s="156"/>
      <c r="AM858" s="156"/>
      <c r="AN858" s="156"/>
      <c r="AO858" s="452"/>
      <c r="AP858" s="452"/>
      <c r="AQ858" s="452"/>
      <c r="AR858" s="452"/>
      <c r="AS858" s="452"/>
      <c r="AT858" s="452"/>
      <c r="AU858" s="452"/>
      <c r="AV858" s="452"/>
      <c r="AW858" s="452"/>
      <c r="AX858" s="452"/>
      <c r="AY858" s="154"/>
      <c r="AZ858" s="473"/>
      <c r="BA858" s="156"/>
      <c r="BB858" s="156"/>
      <c r="BC858" s="156"/>
      <c r="BD858" s="452"/>
      <c r="BE858" s="452"/>
      <c r="BF858" s="452"/>
      <c r="BG858" s="452"/>
      <c r="BH858" s="452"/>
    </row>
    <row r="859">
      <c r="A859" s="154"/>
      <c r="B859" s="473"/>
      <c r="C859" s="156"/>
      <c r="D859" s="156"/>
      <c r="E859" s="156"/>
      <c r="F859" s="154"/>
      <c r="G859" s="473"/>
      <c r="H859" s="156"/>
      <c r="I859" s="156"/>
      <c r="J859" s="156"/>
      <c r="K859" s="132"/>
      <c r="L859" s="473"/>
      <c r="M859" s="156"/>
      <c r="N859" s="156"/>
      <c r="O859" s="156"/>
      <c r="P859" s="132"/>
      <c r="Q859" s="487"/>
      <c r="R859" s="156"/>
      <c r="S859" s="156"/>
      <c r="T859" s="156"/>
      <c r="U859" s="154"/>
      <c r="V859" s="473"/>
      <c r="W859" s="156"/>
      <c r="X859" s="156"/>
      <c r="Y859" s="156"/>
      <c r="Z859" s="154"/>
      <c r="AA859" s="473"/>
      <c r="AB859" s="156"/>
      <c r="AC859" s="156"/>
      <c r="AD859" s="156"/>
      <c r="AE859" s="154"/>
      <c r="AF859" s="473"/>
      <c r="AG859" s="156"/>
      <c r="AH859" s="156"/>
      <c r="AI859" s="156"/>
      <c r="AJ859" s="154"/>
      <c r="AK859" s="473"/>
      <c r="AL859" s="156"/>
      <c r="AM859" s="156"/>
      <c r="AN859" s="156"/>
      <c r="AO859" s="452"/>
      <c r="AP859" s="452"/>
      <c r="AQ859" s="452"/>
      <c r="AR859" s="452"/>
      <c r="AS859" s="452"/>
      <c r="AT859" s="452"/>
      <c r="AU859" s="452"/>
      <c r="AV859" s="452"/>
      <c r="AW859" s="452"/>
      <c r="AX859" s="452"/>
      <c r="AY859" s="154"/>
      <c r="AZ859" s="473"/>
      <c r="BA859" s="156"/>
      <c r="BB859" s="156"/>
      <c r="BC859" s="156"/>
      <c r="BD859" s="452"/>
      <c r="BE859" s="452"/>
      <c r="BF859" s="452"/>
      <c r="BG859" s="452"/>
      <c r="BH859" s="452"/>
    </row>
    <row r="860">
      <c r="A860" s="154"/>
      <c r="B860" s="473"/>
      <c r="C860" s="156"/>
      <c r="D860" s="156"/>
      <c r="E860" s="156"/>
      <c r="F860" s="154"/>
      <c r="G860" s="473"/>
      <c r="H860" s="156"/>
      <c r="I860" s="156"/>
      <c r="J860" s="156"/>
      <c r="K860" s="132"/>
      <c r="L860" s="473"/>
      <c r="M860" s="156"/>
      <c r="N860" s="156"/>
      <c r="O860" s="156"/>
      <c r="P860" s="132"/>
      <c r="Q860" s="487"/>
      <c r="R860" s="156"/>
      <c r="S860" s="156"/>
      <c r="T860" s="156"/>
      <c r="U860" s="154"/>
      <c r="V860" s="473"/>
      <c r="W860" s="156"/>
      <c r="X860" s="156"/>
      <c r="Y860" s="156"/>
      <c r="Z860" s="154"/>
      <c r="AA860" s="473"/>
      <c r="AB860" s="156"/>
      <c r="AC860" s="156"/>
      <c r="AD860" s="156"/>
      <c r="AE860" s="154"/>
      <c r="AF860" s="473"/>
      <c r="AG860" s="156"/>
      <c r="AH860" s="156"/>
      <c r="AI860" s="156"/>
      <c r="AJ860" s="154"/>
      <c r="AK860" s="473"/>
      <c r="AL860" s="156"/>
      <c r="AM860" s="156"/>
      <c r="AN860" s="156"/>
      <c r="AO860" s="452"/>
      <c r="AP860" s="452"/>
      <c r="AQ860" s="452"/>
      <c r="AR860" s="452"/>
      <c r="AS860" s="452"/>
      <c r="AT860" s="452"/>
      <c r="AU860" s="452"/>
      <c r="AV860" s="452"/>
      <c r="AW860" s="452"/>
      <c r="AX860" s="452"/>
      <c r="AY860" s="154"/>
      <c r="AZ860" s="473"/>
      <c r="BA860" s="156"/>
      <c r="BB860" s="156"/>
      <c r="BC860" s="156"/>
      <c r="BD860" s="452"/>
      <c r="BE860" s="452"/>
      <c r="BF860" s="452"/>
      <c r="BG860" s="452"/>
      <c r="BH860" s="452"/>
    </row>
    <row r="861">
      <c r="A861" s="154"/>
      <c r="B861" s="473"/>
      <c r="C861" s="156"/>
      <c r="D861" s="156"/>
      <c r="E861" s="156"/>
      <c r="F861" s="154"/>
      <c r="G861" s="473"/>
      <c r="H861" s="156"/>
      <c r="I861" s="156"/>
      <c r="J861" s="156"/>
      <c r="K861" s="132"/>
      <c r="L861" s="473"/>
      <c r="M861" s="156"/>
      <c r="N861" s="156"/>
      <c r="O861" s="156"/>
      <c r="P861" s="132"/>
      <c r="Q861" s="487"/>
      <c r="R861" s="156"/>
      <c r="S861" s="156"/>
      <c r="T861" s="156"/>
      <c r="U861" s="154"/>
      <c r="V861" s="473"/>
      <c r="W861" s="156"/>
      <c r="X861" s="156"/>
      <c r="Y861" s="156"/>
      <c r="Z861" s="154"/>
      <c r="AA861" s="473"/>
      <c r="AB861" s="156"/>
      <c r="AC861" s="156"/>
      <c r="AD861" s="156"/>
      <c r="AE861" s="154"/>
      <c r="AF861" s="473"/>
      <c r="AG861" s="156"/>
      <c r="AH861" s="156"/>
      <c r="AI861" s="156"/>
      <c r="AJ861" s="154"/>
      <c r="AK861" s="473"/>
      <c r="AL861" s="156"/>
      <c r="AM861" s="156"/>
      <c r="AN861" s="156"/>
      <c r="AO861" s="452"/>
      <c r="AP861" s="452"/>
      <c r="AQ861" s="452"/>
      <c r="AR861" s="452"/>
      <c r="AS861" s="452"/>
      <c r="AT861" s="452"/>
      <c r="AU861" s="452"/>
      <c r="AV861" s="452"/>
      <c r="AW861" s="452"/>
      <c r="AX861" s="452"/>
      <c r="AY861" s="154"/>
      <c r="AZ861" s="473"/>
      <c r="BA861" s="156"/>
      <c r="BB861" s="156"/>
      <c r="BC861" s="156"/>
      <c r="BD861" s="452"/>
      <c r="BE861" s="452"/>
      <c r="BF861" s="452"/>
      <c r="BG861" s="452"/>
      <c r="BH861" s="452"/>
    </row>
    <row r="862">
      <c r="A862" s="154"/>
      <c r="B862" s="473"/>
      <c r="C862" s="156"/>
      <c r="D862" s="156"/>
      <c r="E862" s="156"/>
      <c r="F862" s="154"/>
      <c r="G862" s="473"/>
      <c r="H862" s="156"/>
      <c r="I862" s="156"/>
      <c r="J862" s="156"/>
      <c r="K862" s="132"/>
      <c r="L862" s="473"/>
      <c r="M862" s="156"/>
      <c r="N862" s="156"/>
      <c r="O862" s="156"/>
      <c r="P862" s="132"/>
      <c r="Q862" s="487"/>
      <c r="R862" s="156"/>
      <c r="S862" s="156"/>
      <c r="T862" s="156"/>
      <c r="U862" s="154"/>
      <c r="V862" s="473"/>
      <c r="W862" s="156"/>
      <c r="X862" s="156"/>
      <c r="Y862" s="156"/>
      <c r="Z862" s="154"/>
      <c r="AA862" s="473"/>
      <c r="AB862" s="156"/>
      <c r="AC862" s="156"/>
      <c r="AD862" s="156"/>
      <c r="AE862" s="154"/>
      <c r="AF862" s="473"/>
      <c r="AG862" s="156"/>
      <c r="AH862" s="156"/>
      <c r="AI862" s="156"/>
      <c r="AJ862" s="154"/>
      <c r="AK862" s="473"/>
      <c r="AL862" s="156"/>
      <c r="AM862" s="156"/>
      <c r="AN862" s="156"/>
      <c r="AO862" s="452"/>
      <c r="AP862" s="452"/>
      <c r="AQ862" s="452"/>
      <c r="AR862" s="452"/>
      <c r="AS862" s="452"/>
      <c r="AT862" s="452"/>
      <c r="AU862" s="452"/>
      <c r="AV862" s="452"/>
      <c r="AW862" s="452"/>
      <c r="AX862" s="452"/>
      <c r="AY862" s="154"/>
      <c r="AZ862" s="473"/>
      <c r="BA862" s="156"/>
      <c r="BB862" s="156"/>
      <c r="BC862" s="156"/>
      <c r="BD862" s="452"/>
      <c r="BE862" s="452"/>
      <c r="BF862" s="452"/>
      <c r="BG862" s="452"/>
      <c r="BH862" s="452"/>
    </row>
    <row r="863">
      <c r="A863" s="154"/>
      <c r="B863" s="473"/>
      <c r="C863" s="156"/>
      <c r="D863" s="156"/>
      <c r="E863" s="156"/>
      <c r="F863" s="154"/>
      <c r="G863" s="473"/>
      <c r="H863" s="156"/>
      <c r="I863" s="156"/>
      <c r="J863" s="156"/>
      <c r="K863" s="132"/>
      <c r="L863" s="473"/>
      <c r="M863" s="156"/>
      <c r="N863" s="156"/>
      <c r="O863" s="156"/>
      <c r="P863" s="132"/>
      <c r="Q863" s="487"/>
      <c r="R863" s="156"/>
      <c r="S863" s="156"/>
      <c r="T863" s="156"/>
      <c r="U863" s="154"/>
      <c r="V863" s="473"/>
      <c r="W863" s="156"/>
      <c r="X863" s="156"/>
      <c r="Y863" s="156"/>
      <c r="Z863" s="154"/>
      <c r="AA863" s="473"/>
      <c r="AB863" s="156"/>
      <c r="AC863" s="156"/>
      <c r="AD863" s="156"/>
      <c r="AE863" s="154"/>
      <c r="AF863" s="473"/>
      <c r="AG863" s="156"/>
      <c r="AH863" s="156"/>
      <c r="AI863" s="156"/>
      <c r="AJ863" s="154"/>
      <c r="AK863" s="473"/>
      <c r="AL863" s="156"/>
      <c r="AM863" s="156"/>
      <c r="AN863" s="156"/>
      <c r="AO863" s="452"/>
      <c r="AP863" s="452"/>
      <c r="AQ863" s="452"/>
      <c r="AR863" s="452"/>
      <c r="AS863" s="452"/>
      <c r="AT863" s="452"/>
      <c r="AU863" s="452"/>
      <c r="AV863" s="452"/>
      <c r="AW863" s="452"/>
      <c r="AX863" s="452"/>
      <c r="AY863" s="154"/>
      <c r="AZ863" s="473"/>
      <c r="BA863" s="156"/>
      <c r="BB863" s="156"/>
      <c r="BC863" s="156"/>
      <c r="BD863" s="452"/>
      <c r="BE863" s="452"/>
      <c r="BF863" s="452"/>
      <c r="BG863" s="452"/>
      <c r="BH863" s="452"/>
    </row>
    <row r="864">
      <c r="A864" s="154"/>
      <c r="B864" s="473"/>
      <c r="C864" s="156"/>
      <c r="D864" s="156"/>
      <c r="E864" s="156"/>
      <c r="F864" s="154"/>
      <c r="G864" s="473"/>
      <c r="H864" s="156"/>
      <c r="I864" s="156"/>
      <c r="J864" s="156"/>
      <c r="K864" s="132"/>
      <c r="L864" s="473"/>
      <c r="M864" s="156"/>
      <c r="N864" s="156"/>
      <c r="O864" s="156"/>
      <c r="P864" s="132"/>
      <c r="Q864" s="487"/>
      <c r="R864" s="156"/>
      <c r="S864" s="156"/>
      <c r="T864" s="156"/>
      <c r="U864" s="154"/>
      <c r="V864" s="473"/>
      <c r="W864" s="156"/>
      <c r="X864" s="156"/>
      <c r="Y864" s="156"/>
      <c r="Z864" s="154"/>
      <c r="AA864" s="473"/>
      <c r="AB864" s="156"/>
      <c r="AC864" s="156"/>
      <c r="AD864" s="156"/>
      <c r="AE864" s="154"/>
      <c r="AF864" s="473"/>
      <c r="AG864" s="156"/>
      <c r="AH864" s="156"/>
      <c r="AI864" s="156"/>
      <c r="AJ864" s="154"/>
      <c r="AK864" s="473"/>
      <c r="AL864" s="156"/>
      <c r="AM864" s="156"/>
      <c r="AN864" s="156"/>
      <c r="AO864" s="452"/>
      <c r="AP864" s="452"/>
      <c r="AQ864" s="452"/>
      <c r="AR864" s="452"/>
      <c r="AS864" s="452"/>
      <c r="AT864" s="452"/>
      <c r="AU864" s="452"/>
      <c r="AV864" s="452"/>
      <c r="AW864" s="452"/>
      <c r="AX864" s="452"/>
      <c r="AY864" s="154"/>
      <c r="AZ864" s="473"/>
      <c r="BA864" s="156"/>
      <c r="BB864" s="156"/>
      <c r="BC864" s="156"/>
      <c r="BD864" s="452"/>
      <c r="BE864" s="452"/>
      <c r="BF864" s="452"/>
      <c r="BG864" s="452"/>
      <c r="BH864" s="452"/>
    </row>
    <row r="865">
      <c r="A865" s="154"/>
      <c r="B865" s="473"/>
      <c r="C865" s="156"/>
      <c r="D865" s="156"/>
      <c r="E865" s="156"/>
      <c r="F865" s="154"/>
      <c r="G865" s="473"/>
      <c r="H865" s="156"/>
      <c r="I865" s="156"/>
      <c r="J865" s="156"/>
      <c r="K865" s="132"/>
      <c r="L865" s="473"/>
      <c r="M865" s="156"/>
      <c r="N865" s="156"/>
      <c r="O865" s="156"/>
      <c r="P865" s="132"/>
      <c r="Q865" s="487"/>
      <c r="R865" s="156"/>
      <c r="S865" s="156"/>
      <c r="T865" s="156"/>
      <c r="U865" s="154"/>
      <c r="V865" s="473"/>
      <c r="W865" s="156"/>
      <c r="X865" s="156"/>
      <c r="Y865" s="156"/>
      <c r="Z865" s="154"/>
      <c r="AA865" s="473"/>
      <c r="AB865" s="156"/>
      <c r="AC865" s="156"/>
      <c r="AD865" s="156"/>
      <c r="AE865" s="154"/>
      <c r="AF865" s="473"/>
      <c r="AG865" s="156"/>
      <c r="AH865" s="156"/>
      <c r="AI865" s="156"/>
      <c r="AJ865" s="154"/>
      <c r="AK865" s="473"/>
      <c r="AL865" s="156"/>
      <c r="AM865" s="156"/>
      <c r="AN865" s="156"/>
      <c r="AO865" s="452"/>
      <c r="AP865" s="452"/>
      <c r="AQ865" s="452"/>
      <c r="AR865" s="452"/>
      <c r="AS865" s="452"/>
      <c r="AT865" s="452"/>
      <c r="AU865" s="452"/>
      <c r="AV865" s="452"/>
      <c r="AW865" s="452"/>
      <c r="AX865" s="452"/>
      <c r="AY865" s="154"/>
      <c r="AZ865" s="473"/>
      <c r="BA865" s="156"/>
      <c r="BB865" s="156"/>
      <c r="BC865" s="156"/>
      <c r="BD865" s="452"/>
      <c r="BE865" s="452"/>
      <c r="BF865" s="452"/>
      <c r="BG865" s="452"/>
      <c r="BH865" s="452"/>
    </row>
    <row r="866">
      <c r="A866" s="154"/>
      <c r="B866" s="473"/>
      <c r="C866" s="156"/>
      <c r="D866" s="156"/>
      <c r="E866" s="156"/>
      <c r="F866" s="154"/>
      <c r="G866" s="473"/>
      <c r="H866" s="156"/>
      <c r="I866" s="156"/>
      <c r="J866" s="156"/>
      <c r="K866" s="132"/>
      <c r="L866" s="473"/>
      <c r="M866" s="156"/>
      <c r="N866" s="156"/>
      <c r="O866" s="156"/>
      <c r="P866" s="132"/>
      <c r="Q866" s="487"/>
      <c r="R866" s="156"/>
      <c r="S866" s="156"/>
      <c r="T866" s="156"/>
      <c r="U866" s="154"/>
      <c r="V866" s="473"/>
      <c r="W866" s="156"/>
      <c r="X866" s="156"/>
      <c r="Y866" s="156"/>
      <c r="Z866" s="154"/>
      <c r="AA866" s="473"/>
      <c r="AB866" s="156"/>
      <c r="AC866" s="156"/>
      <c r="AD866" s="156"/>
      <c r="AE866" s="154"/>
      <c r="AF866" s="473"/>
      <c r="AG866" s="156"/>
      <c r="AH866" s="156"/>
      <c r="AI866" s="156"/>
      <c r="AJ866" s="154"/>
      <c r="AK866" s="473"/>
      <c r="AL866" s="156"/>
      <c r="AM866" s="156"/>
      <c r="AN866" s="156"/>
      <c r="AO866" s="452"/>
      <c r="AP866" s="452"/>
      <c r="AQ866" s="452"/>
      <c r="AR866" s="452"/>
      <c r="AS866" s="452"/>
      <c r="AT866" s="452"/>
      <c r="AU866" s="452"/>
      <c r="AV866" s="452"/>
      <c r="AW866" s="452"/>
      <c r="AX866" s="452"/>
      <c r="AY866" s="154"/>
      <c r="AZ866" s="473"/>
      <c r="BA866" s="156"/>
      <c r="BB866" s="156"/>
      <c r="BC866" s="156"/>
      <c r="BD866" s="452"/>
      <c r="BE866" s="452"/>
      <c r="BF866" s="452"/>
      <c r="BG866" s="452"/>
      <c r="BH866" s="452"/>
    </row>
    <row r="867">
      <c r="A867" s="154"/>
      <c r="B867" s="473"/>
      <c r="C867" s="156"/>
      <c r="D867" s="156"/>
      <c r="E867" s="156"/>
      <c r="F867" s="154"/>
      <c r="G867" s="473"/>
      <c r="H867" s="156"/>
      <c r="I867" s="156"/>
      <c r="J867" s="156"/>
      <c r="K867" s="132"/>
      <c r="L867" s="473"/>
      <c r="M867" s="156"/>
      <c r="N867" s="156"/>
      <c r="O867" s="156"/>
      <c r="P867" s="132"/>
      <c r="Q867" s="487"/>
      <c r="R867" s="156"/>
      <c r="S867" s="156"/>
      <c r="T867" s="156"/>
      <c r="U867" s="154"/>
      <c r="V867" s="473"/>
      <c r="W867" s="156"/>
      <c r="X867" s="156"/>
      <c r="Y867" s="156"/>
      <c r="Z867" s="154"/>
      <c r="AA867" s="473"/>
      <c r="AB867" s="156"/>
      <c r="AC867" s="156"/>
      <c r="AD867" s="156"/>
      <c r="AE867" s="154"/>
      <c r="AF867" s="473"/>
      <c r="AG867" s="156"/>
      <c r="AH867" s="156"/>
      <c r="AI867" s="156"/>
      <c r="AJ867" s="154"/>
      <c r="AK867" s="473"/>
      <c r="AL867" s="156"/>
      <c r="AM867" s="156"/>
      <c r="AN867" s="156"/>
      <c r="AO867" s="452"/>
      <c r="AP867" s="452"/>
      <c r="AQ867" s="452"/>
      <c r="AR867" s="452"/>
      <c r="AS867" s="452"/>
      <c r="AT867" s="452"/>
      <c r="AU867" s="452"/>
      <c r="AV867" s="452"/>
      <c r="AW867" s="452"/>
      <c r="AX867" s="452"/>
      <c r="AY867" s="154"/>
      <c r="AZ867" s="473"/>
      <c r="BA867" s="156"/>
      <c r="BB867" s="156"/>
      <c r="BC867" s="156"/>
      <c r="BD867" s="452"/>
      <c r="BE867" s="452"/>
      <c r="BF867" s="452"/>
      <c r="BG867" s="452"/>
      <c r="BH867" s="452"/>
    </row>
    <row r="868">
      <c r="A868" s="154"/>
      <c r="B868" s="473"/>
      <c r="C868" s="156"/>
      <c r="D868" s="156"/>
      <c r="E868" s="156"/>
      <c r="F868" s="154"/>
      <c r="G868" s="473"/>
      <c r="H868" s="156"/>
      <c r="I868" s="156"/>
      <c r="J868" s="156"/>
      <c r="K868" s="132"/>
      <c r="L868" s="473"/>
      <c r="M868" s="156"/>
      <c r="N868" s="156"/>
      <c r="O868" s="156"/>
      <c r="P868" s="132"/>
      <c r="Q868" s="487"/>
      <c r="R868" s="156"/>
      <c r="S868" s="156"/>
      <c r="T868" s="156"/>
      <c r="U868" s="154"/>
      <c r="V868" s="473"/>
      <c r="W868" s="156"/>
      <c r="X868" s="156"/>
      <c r="Y868" s="156"/>
      <c r="Z868" s="154"/>
      <c r="AA868" s="473"/>
      <c r="AB868" s="156"/>
      <c r="AC868" s="156"/>
      <c r="AD868" s="156"/>
      <c r="AE868" s="154"/>
      <c r="AF868" s="473"/>
      <c r="AG868" s="156"/>
      <c r="AH868" s="156"/>
      <c r="AI868" s="156"/>
      <c r="AJ868" s="154"/>
      <c r="AK868" s="473"/>
      <c r="AL868" s="156"/>
      <c r="AM868" s="156"/>
      <c r="AN868" s="156"/>
      <c r="AO868" s="452"/>
      <c r="AP868" s="452"/>
      <c r="AQ868" s="452"/>
      <c r="AR868" s="452"/>
      <c r="AS868" s="452"/>
      <c r="AT868" s="452"/>
      <c r="AU868" s="452"/>
      <c r="AV868" s="452"/>
      <c r="AW868" s="452"/>
      <c r="AX868" s="452"/>
      <c r="AY868" s="154"/>
      <c r="AZ868" s="473"/>
      <c r="BA868" s="156"/>
      <c r="BB868" s="156"/>
      <c r="BC868" s="156"/>
      <c r="BD868" s="452"/>
      <c r="BE868" s="452"/>
      <c r="BF868" s="452"/>
      <c r="BG868" s="452"/>
      <c r="BH868" s="452"/>
    </row>
    <row r="869">
      <c r="A869" s="154"/>
      <c r="B869" s="473"/>
      <c r="C869" s="156"/>
      <c r="D869" s="156"/>
      <c r="E869" s="156"/>
      <c r="F869" s="154"/>
      <c r="G869" s="473"/>
      <c r="H869" s="156"/>
      <c r="I869" s="156"/>
      <c r="J869" s="156"/>
      <c r="K869" s="132"/>
      <c r="L869" s="473"/>
      <c r="M869" s="156"/>
      <c r="N869" s="156"/>
      <c r="O869" s="156"/>
      <c r="P869" s="132"/>
      <c r="Q869" s="487"/>
      <c r="R869" s="156"/>
      <c r="S869" s="156"/>
      <c r="T869" s="156"/>
      <c r="U869" s="154"/>
      <c r="V869" s="473"/>
      <c r="W869" s="156"/>
      <c r="X869" s="156"/>
      <c r="Y869" s="156"/>
      <c r="Z869" s="154"/>
      <c r="AA869" s="473"/>
      <c r="AB869" s="156"/>
      <c r="AC869" s="156"/>
      <c r="AD869" s="156"/>
      <c r="AE869" s="154"/>
      <c r="AF869" s="473"/>
      <c r="AG869" s="156"/>
      <c r="AH869" s="156"/>
      <c r="AI869" s="156"/>
      <c r="AJ869" s="154"/>
      <c r="AK869" s="473"/>
      <c r="AL869" s="156"/>
      <c r="AM869" s="156"/>
      <c r="AN869" s="156"/>
      <c r="AO869" s="452"/>
      <c r="AP869" s="452"/>
      <c r="AQ869" s="452"/>
      <c r="AR869" s="452"/>
      <c r="AS869" s="452"/>
      <c r="AT869" s="452"/>
      <c r="AU869" s="452"/>
      <c r="AV869" s="452"/>
      <c r="AW869" s="452"/>
      <c r="AX869" s="452"/>
      <c r="AY869" s="154"/>
      <c r="AZ869" s="473"/>
      <c r="BA869" s="156"/>
      <c r="BB869" s="156"/>
      <c r="BC869" s="156"/>
      <c r="BD869" s="452"/>
      <c r="BE869" s="452"/>
      <c r="BF869" s="452"/>
      <c r="BG869" s="452"/>
      <c r="BH869" s="452"/>
    </row>
    <row r="870">
      <c r="A870" s="154"/>
      <c r="B870" s="473"/>
      <c r="C870" s="156"/>
      <c r="D870" s="156"/>
      <c r="E870" s="156"/>
      <c r="F870" s="154"/>
      <c r="G870" s="473"/>
      <c r="H870" s="156"/>
      <c r="I870" s="156"/>
      <c r="J870" s="156"/>
      <c r="K870" s="132"/>
      <c r="L870" s="473"/>
      <c r="M870" s="156"/>
      <c r="N870" s="156"/>
      <c r="O870" s="156"/>
      <c r="P870" s="132"/>
      <c r="Q870" s="487"/>
      <c r="R870" s="156"/>
      <c r="S870" s="156"/>
      <c r="T870" s="156"/>
      <c r="U870" s="154"/>
      <c r="V870" s="473"/>
      <c r="W870" s="156"/>
      <c r="X870" s="156"/>
      <c r="Y870" s="156"/>
      <c r="Z870" s="154"/>
      <c r="AA870" s="473"/>
      <c r="AB870" s="156"/>
      <c r="AC870" s="156"/>
      <c r="AD870" s="156"/>
      <c r="AE870" s="154"/>
      <c r="AF870" s="473"/>
      <c r="AG870" s="156"/>
      <c r="AH870" s="156"/>
      <c r="AI870" s="156"/>
      <c r="AJ870" s="154"/>
      <c r="AK870" s="473"/>
      <c r="AL870" s="156"/>
      <c r="AM870" s="156"/>
      <c r="AN870" s="156"/>
      <c r="AO870" s="452"/>
      <c r="AP870" s="452"/>
      <c r="AQ870" s="452"/>
      <c r="AR870" s="452"/>
      <c r="AS870" s="452"/>
      <c r="AT870" s="452"/>
      <c r="AU870" s="452"/>
      <c r="AV870" s="452"/>
      <c r="AW870" s="452"/>
      <c r="AX870" s="452"/>
      <c r="AY870" s="154"/>
      <c r="AZ870" s="473"/>
      <c r="BA870" s="156"/>
      <c r="BB870" s="156"/>
      <c r="BC870" s="156"/>
      <c r="BD870" s="452"/>
      <c r="BE870" s="452"/>
      <c r="BF870" s="452"/>
      <c r="BG870" s="452"/>
      <c r="BH870" s="452"/>
    </row>
    <row r="871">
      <c r="A871" s="154"/>
      <c r="B871" s="473"/>
      <c r="C871" s="156"/>
      <c r="D871" s="156"/>
      <c r="E871" s="156"/>
      <c r="F871" s="154"/>
      <c r="G871" s="473"/>
      <c r="H871" s="156"/>
      <c r="I871" s="156"/>
      <c r="J871" s="156"/>
      <c r="K871" s="132"/>
      <c r="L871" s="473"/>
      <c r="M871" s="156"/>
      <c r="N871" s="156"/>
      <c r="O871" s="156"/>
      <c r="P871" s="132"/>
      <c r="Q871" s="487"/>
      <c r="R871" s="156"/>
      <c r="S871" s="156"/>
      <c r="T871" s="156"/>
      <c r="U871" s="154"/>
      <c r="V871" s="473"/>
      <c r="W871" s="156"/>
      <c r="X871" s="156"/>
      <c r="Y871" s="156"/>
      <c r="Z871" s="154"/>
      <c r="AA871" s="473"/>
      <c r="AB871" s="156"/>
      <c r="AC871" s="156"/>
      <c r="AD871" s="156"/>
      <c r="AE871" s="154"/>
      <c r="AF871" s="473"/>
      <c r="AG871" s="156"/>
      <c r="AH871" s="156"/>
      <c r="AI871" s="156"/>
      <c r="AJ871" s="154"/>
      <c r="AK871" s="473"/>
      <c r="AL871" s="156"/>
      <c r="AM871" s="156"/>
      <c r="AN871" s="156"/>
      <c r="AO871" s="452"/>
      <c r="AP871" s="452"/>
      <c r="AQ871" s="452"/>
      <c r="AR871" s="452"/>
      <c r="AS871" s="452"/>
      <c r="AT871" s="452"/>
      <c r="AU871" s="452"/>
      <c r="AV871" s="452"/>
      <c r="AW871" s="452"/>
      <c r="AX871" s="452"/>
      <c r="AY871" s="154"/>
      <c r="AZ871" s="473"/>
      <c r="BA871" s="156"/>
      <c r="BB871" s="156"/>
      <c r="BC871" s="156"/>
      <c r="BD871" s="452"/>
      <c r="BE871" s="452"/>
      <c r="BF871" s="452"/>
      <c r="BG871" s="452"/>
      <c r="BH871" s="452"/>
    </row>
    <row r="872">
      <c r="A872" s="154"/>
      <c r="B872" s="473"/>
      <c r="C872" s="156"/>
      <c r="D872" s="156"/>
      <c r="E872" s="156"/>
      <c r="F872" s="154"/>
      <c r="G872" s="473"/>
      <c r="H872" s="156"/>
      <c r="I872" s="156"/>
      <c r="J872" s="156"/>
      <c r="K872" s="132"/>
      <c r="L872" s="473"/>
      <c r="M872" s="156"/>
      <c r="N872" s="156"/>
      <c r="O872" s="156"/>
      <c r="P872" s="132"/>
      <c r="Q872" s="487"/>
      <c r="R872" s="156"/>
      <c r="S872" s="156"/>
      <c r="T872" s="156"/>
      <c r="U872" s="154"/>
      <c r="V872" s="473"/>
      <c r="W872" s="156"/>
      <c r="X872" s="156"/>
      <c r="Y872" s="156"/>
      <c r="Z872" s="154"/>
      <c r="AA872" s="473"/>
      <c r="AB872" s="156"/>
      <c r="AC872" s="156"/>
      <c r="AD872" s="156"/>
      <c r="AE872" s="154"/>
      <c r="AF872" s="473"/>
      <c r="AG872" s="156"/>
      <c r="AH872" s="156"/>
      <c r="AI872" s="156"/>
      <c r="AJ872" s="154"/>
      <c r="AK872" s="473"/>
      <c r="AL872" s="156"/>
      <c r="AM872" s="156"/>
      <c r="AN872" s="156"/>
      <c r="AO872" s="452"/>
      <c r="AP872" s="452"/>
      <c r="AQ872" s="452"/>
      <c r="AR872" s="452"/>
      <c r="AS872" s="452"/>
      <c r="AT872" s="452"/>
      <c r="AU872" s="452"/>
      <c r="AV872" s="452"/>
      <c r="AW872" s="452"/>
      <c r="AX872" s="452"/>
      <c r="AY872" s="154"/>
      <c r="AZ872" s="473"/>
      <c r="BA872" s="156"/>
      <c r="BB872" s="156"/>
      <c r="BC872" s="156"/>
      <c r="BD872" s="452"/>
      <c r="BE872" s="452"/>
      <c r="BF872" s="452"/>
      <c r="BG872" s="452"/>
      <c r="BH872" s="452"/>
    </row>
    <row r="873">
      <c r="A873" s="154"/>
      <c r="B873" s="473"/>
      <c r="C873" s="156"/>
      <c r="D873" s="156"/>
      <c r="E873" s="156"/>
      <c r="F873" s="154"/>
      <c r="G873" s="473"/>
      <c r="H873" s="156"/>
      <c r="I873" s="156"/>
      <c r="J873" s="156"/>
      <c r="K873" s="132"/>
      <c r="L873" s="473"/>
      <c r="M873" s="156"/>
      <c r="N873" s="156"/>
      <c r="O873" s="156"/>
      <c r="P873" s="132"/>
      <c r="Q873" s="487"/>
      <c r="R873" s="156"/>
      <c r="S873" s="156"/>
      <c r="T873" s="156"/>
      <c r="U873" s="154"/>
      <c r="V873" s="473"/>
      <c r="W873" s="156"/>
      <c r="X873" s="156"/>
      <c r="Y873" s="156"/>
      <c r="Z873" s="154"/>
      <c r="AA873" s="473"/>
      <c r="AB873" s="156"/>
      <c r="AC873" s="156"/>
      <c r="AD873" s="156"/>
      <c r="AE873" s="154"/>
      <c r="AF873" s="473"/>
      <c r="AG873" s="156"/>
      <c r="AH873" s="156"/>
      <c r="AI873" s="156"/>
      <c r="AJ873" s="154"/>
      <c r="AK873" s="473"/>
      <c r="AL873" s="156"/>
      <c r="AM873" s="156"/>
      <c r="AN873" s="156"/>
      <c r="AO873" s="452"/>
      <c r="AP873" s="452"/>
      <c r="AQ873" s="452"/>
      <c r="AR873" s="452"/>
      <c r="AS873" s="452"/>
      <c r="AT873" s="452"/>
      <c r="AU873" s="452"/>
      <c r="AV873" s="452"/>
      <c r="AW873" s="452"/>
      <c r="AX873" s="452"/>
      <c r="AY873" s="154"/>
      <c r="AZ873" s="473"/>
      <c r="BA873" s="156"/>
      <c r="BB873" s="156"/>
      <c r="BC873" s="156"/>
      <c r="BD873" s="452"/>
      <c r="BE873" s="452"/>
      <c r="BF873" s="452"/>
      <c r="BG873" s="452"/>
      <c r="BH873" s="452"/>
    </row>
    <row r="874">
      <c r="A874" s="154"/>
      <c r="B874" s="473"/>
      <c r="C874" s="156"/>
      <c r="D874" s="156"/>
      <c r="E874" s="156"/>
      <c r="F874" s="154"/>
      <c r="G874" s="473"/>
      <c r="H874" s="156"/>
      <c r="I874" s="156"/>
      <c r="J874" s="156"/>
      <c r="K874" s="132"/>
      <c r="L874" s="473"/>
      <c r="M874" s="156"/>
      <c r="N874" s="156"/>
      <c r="O874" s="156"/>
      <c r="P874" s="132"/>
      <c r="Q874" s="487"/>
      <c r="R874" s="156"/>
      <c r="S874" s="156"/>
      <c r="T874" s="156"/>
      <c r="U874" s="154"/>
      <c r="V874" s="473"/>
      <c r="W874" s="156"/>
      <c r="X874" s="156"/>
      <c r="Y874" s="156"/>
      <c r="Z874" s="154"/>
      <c r="AA874" s="473"/>
      <c r="AB874" s="156"/>
      <c r="AC874" s="156"/>
      <c r="AD874" s="156"/>
      <c r="AE874" s="154"/>
      <c r="AF874" s="473"/>
      <c r="AG874" s="156"/>
      <c r="AH874" s="156"/>
      <c r="AI874" s="156"/>
      <c r="AJ874" s="154"/>
      <c r="AK874" s="473"/>
      <c r="AL874" s="156"/>
      <c r="AM874" s="156"/>
      <c r="AN874" s="156"/>
      <c r="AO874" s="452"/>
      <c r="AP874" s="452"/>
      <c r="AQ874" s="452"/>
      <c r="AR874" s="452"/>
      <c r="AS874" s="452"/>
      <c r="AT874" s="452"/>
      <c r="AU874" s="452"/>
      <c r="AV874" s="452"/>
      <c r="AW874" s="452"/>
      <c r="AX874" s="452"/>
      <c r="AY874" s="154"/>
      <c r="AZ874" s="473"/>
      <c r="BA874" s="156"/>
      <c r="BB874" s="156"/>
      <c r="BC874" s="156"/>
      <c r="BD874" s="452"/>
      <c r="BE874" s="452"/>
      <c r="BF874" s="452"/>
      <c r="BG874" s="452"/>
      <c r="BH874" s="452"/>
    </row>
    <row r="875">
      <c r="A875" s="154"/>
      <c r="B875" s="473"/>
      <c r="C875" s="156"/>
      <c r="D875" s="156"/>
      <c r="E875" s="156"/>
      <c r="F875" s="154"/>
      <c r="G875" s="473"/>
      <c r="H875" s="156"/>
      <c r="I875" s="156"/>
      <c r="J875" s="156"/>
      <c r="K875" s="132"/>
      <c r="L875" s="473"/>
      <c r="M875" s="156"/>
      <c r="N875" s="156"/>
      <c r="O875" s="156"/>
      <c r="P875" s="132"/>
      <c r="Q875" s="487"/>
      <c r="R875" s="156"/>
      <c r="S875" s="156"/>
      <c r="T875" s="156"/>
      <c r="U875" s="154"/>
      <c r="V875" s="473"/>
      <c r="W875" s="156"/>
      <c r="X875" s="156"/>
      <c r="Y875" s="156"/>
      <c r="Z875" s="154"/>
      <c r="AA875" s="473"/>
      <c r="AB875" s="156"/>
      <c r="AC875" s="156"/>
      <c r="AD875" s="156"/>
      <c r="AE875" s="154"/>
      <c r="AF875" s="473"/>
      <c r="AG875" s="156"/>
      <c r="AH875" s="156"/>
      <c r="AI875" s="156"/>
      <c r="AJ875" s="154"/>
      <c r="AK875" s="473"/>
      <c r="AL875" s="156"/>
      <c r="AM875" s="156"/>
      <c r="AN875" s="156"/>
      <c r="AO875" s="452"/>
      <c r="AP875" s="452"/>
      <c r="AQ875" s="452"/>
      <c r="AR875" s="452"/>
      <c r="AS875" s="452"/>
      <c r="AT875" s="452"/>
      <c r="AU875" s="452"/>
      <c r="AV875" s="452"/>
      <c r="AW875" s="452"/>
      <c r="AX875" s="452"/>
      <c r="AY875" s="154"/>
      <c r="AZ875" s="473"/>
      <c r="BA875" s="156"/>
      <c r="BB875" s="156"/>
      <c r="BC875" s="156"/>
      <c r="BD875" s="452"/>
      <c r="BE875" s="452"/>
      <c r="BF875" s="452"/>
      <c r="BG875" s="452"/>
      <c r="BH875" s="452"/>
    </row>
    <row r="876">
      <c r="A876" s="154"/>
      <c r="B876" s="473"/>
      <c r="C876" s="156"/>
      <c r="D876" s="156"/>
      <c r="E876" s="156"/>
      <c r="F876" s="154"/>
      <c r="G876" s="473"/>
      <c r="H876" s="156"/>
      <c r="I876" s="156"/>
      <c r="J876" s="156"/>
      <c r="K876" s="132"/>
      <c r="L876" s="473"/>
      <c r="M876" s="156"/>
      <c r="N876" s="156"/>
      <c r="O876" s="156"/>
      <c r="P876" s="132"/>
      <c r="Q876" s="487"/>
      <c r="R876" s="156"/>
      <c r="S876" s="156"/>
      <c r="T876" s="156"/>
      <c r="U876" s="154"/>
      <c r="V876" s="473"/>
      <c r="W876" s="156"/>
      <c r="X876" s="156"/>
      <c r="Y876" s="156"/>
      <c r="Z876" s="154"/>
      <c r="AA876" s="473"/>
      <c r="AB876" s="156"/>
      <c r="AC876" s="156"/>
      <c r="AD876" s="156"/>
      <c r="AE876" s="154"/>
      <c r="AF876" s="473"/>
      <c r="AG876" s="156"/>
      <c r="AH876" s="156"/>
      <c r="AI876" s="156"/>
      <c r="AJ876" s="154"/>
      <c r="AK876" s="473"/>
      <c r="AL876" s="156"/>
      <c r="AM876" s="156"/>
      <c r="AN876" s="156"/>
      <c r="AO876" s="452"/>
      <c r="AP876" s="452"/>
      <c r="AQ876" s="452"/>
      <c r="AR876" s="452"/>
      <c r="AS876" s="452"/>
      <c r="AT876" s="452"/>
      <c r="AU876" s="452"/>
      <c r="AV876" s="452"/>
      <c r="AW876" s="452"/>
      <c r="AX876" s="452"/>
      <c r="AY876" s="154"/>
      <c r="AZ876" s="473"/>
      <c r="BA876" s="156"/>
      <c r="BB876" s="156"/>
      <c r="BC876" s="156"/>
      <c r="BD876" s="452"/>
      <c r="BE876" s="452"/>
      <c r="BF876" s="452"/>
      <c r="BG876" s="452"/>
      <c r="BH876" s="452"/>
    </row>
    <row r="877">
      <c r="A877" s="154"/>
      <c r="B877" s="473"/>
      <c r="C877" s="156"/>
      <c r="D877" s="156"/>
      <c r="E877" s="156"/>
      <c r="F877" s="154"/>
      <c r="G877" s="473"/>
      <c r="H877" s="156"/>
      <c r="I877" s="156"/>
      <c r="J877" s="156"/>
      <c r="K877" s="132"/>
      <c r="L877" s="473"/>
      <c r="M877" s="156"/>
      <c r="N877" s="156"/>
      <c r="O877" s="156"/>
      <c r="P877" s="132"/>
      <c r="Q877" s="487"/>
      <c r="R877" s="156"/>
      <c r="S877" s="156"/>
      <c r="T877" s="156"/>
      <c r="U877" s="154"/>
      <c r="V877" s="473"/>
      <c r="W877" s="156"/>
      <c r="X877" s="156"/>
      <c r="Y877" s="156"/>
      <c r="Z877" s="154"/>
      <c r="AA877" s="473"/>
      <c r="AB877" s="156"/>
      <c r="AC877" s="156"/>
      <c r="AD877" s="156"/>
      <c r="AE877" s="154"/>
      <c r="AF877" s="473"/>
      <c r="AG877" s="156"/>
      <c r="AH877" s="156"/>
      <c r="AI877" s="156"/>
      <c r="AJ877" s="154"/>
      <c r="AK877" s="473"/>
      <c r="AL877" s="156"/>
      <c r="AM877" s="156"/>
      <c r="AN877" s="156"/>
      <c r="AO877" s="452"/>
      <c r="AP877" s="452"/>
      <c r="AQ877" s="452"/>
      <c r="AR877" s="452"/>
      <c r="AS877" s="452"/>
      <c r="AT877" s="452"/>
      <c r="AU877" s="452"/>
      <c r="AV877" s="452"/>
      <c r="AW877" s="452"/>
      <c r="AX877" s="452"/>
      <c r="AY877" s="154"/>
      <c r="AZ877" s="473"/>
      <c r="BA877" s="156"/>
      <c r="BB877" s="156"/>
      <c r="BC877" s="156"/>
      <c r="BD877" s="452"/>
      <c r="BE877" s="452"/>
      <c r="BF877" s="452"/>
      <c r="BG877" s="452"/>
      <c r="BH877" s="452"/>
    </row>
    <row r="878">
      <c r="A878" s="154"/>
      <c r="B878" s="473"/>
      <c r="C878" s="156"/>
      <c r="D878" s="156"/>
      <c r="E878" s="156"/>
      <c r="F878" s="154"/>
      <c r="G878" s="473"/>
      <c r="H878" s="156"/>
      <c r="I878" s="156"/>
      <c r="J878" s="156"/>
      <c r="K878" s="132"/>
      <c r="L878" s="473"/>
      <c r="M878" s="156"/>
      <c r="N878" s="156"/>
      <c r="O878" s="156"/>
      <c r="P878" s="132"/>
      <c r="Q878" s="487"/>
      <c r="R878" s="156"/>
      <c r="S878" s="156"/>
      <c r="T878" s="156"/>
      <c r="U878" s="154"/>
      <c r="V878" s="473"/>
      <c r="W878" s="156"/>
      <c r="X878" s="156"/>
      <c r="Y878" s="156"/>
      <c r="Z878" s="154"/>
      <c r="AA878" s="473"/>
      <c r="AB878" s="156"/>
      <c r="AC878" s="156"/>
      <c r="AD878" s="156"/>
      <c r="AE878" s="154"/>
      <c r="AF878" s="473"/>
      <c r="AG878" s="156"/>
      <c r="AH878" s="156"/>
      <c r="AI878" s="156"/>
      <c r="AJ878" s="154"/>
      <c r="AK878" s="473"/>
      <c r="AL878" s="156"/>
      <c r="AM878" s="156"/>
      <c r="AN878" s="156"/>
      <c r="AO878" s="452"/>
      <c r="AP878" s="452"/>
      <c r="AQ878" s="452"/>
      <c r="AR878" s="452"/>
      <c r="AS878" s="452"/>
      <c r="AT878" s="452"/>
      <c r="AU878" s="452"/>
      <c r="AV878" s="452"/>
      <c r="AW878" s="452"/>
      <c r="AX878" s="452"/>
      <c r="AY878" s="154"/>
      <c r="AZ878" s="473"/>
      <c r="BA878" s="156"/>
      <c r="BB878" s="156"/>
      <c r="BC878" s="156"/>
      <c r="BD878" s="452"/>
      <c r="BE878" s="452"/>
      <c r="BF878" s="452"/>
      <c r="BG878" s="452"/>
      <c r="BH878" s="452"/>
    </row>
    <row r="879">
      <c r="A879" s="154"/>
      <c r="B879" s="473"/>
      <c r="C879" s="156"/>
      <c r="D879" s="156"/>
      <c r="E879" s="156"/>
      <c r="F879" s="154"/>
      <c r="G879" s="473"/>
      <c r="H879" s="156"/>
      <c r="I879" s="156"/>
      <c r="J879" s="156"/>
      <c r="K879" s="132"/>
      <c r="L879" s="473"/>
      <c r="M879" s="156"/>
      <c r="N879" s="156"/>
      <c r="O879" s="156"/>
      <c r="P879" s="132"/>
      <c r="Q879" s="487"/>
      <c r="R879" s="156"/>
      <c r="S879" s="156"/>
      <c r="T879" s="156"/>
      <c r="U879" s="154"/>
      <c r="V879" s="473"/>
      <c r="W879" s="156"/>
      <c r="X879" s="156"/>
      <c r="Y879" s="156"/>
      <c r="Z879" s="154"/>
      <c r="AA879" s="473"/>
      <c r="AB879" s="156"/>
      <c r="AC879" s="156"/>
      <c r="AD879" s="156"/>
      <c r="AE879" s="154"/>
      <c r="AF879" s="473"/>
      <c r="AG879" s="156"/>
      <c r="AH879" s="156"/>
      <c r="AI879" s="156"/>
      <c r="AJ879" s="154"/>
      <c r="AK879" s="473"/>
      <c r="AL879" s="156"/>
      <c r="AM879" s="156"/>
      <c r="AN879" s="156"/>
      <c r="AO879" s="452"/>
      <c r="AP879" s="452"/>
      <c r="AQ879" s="452"/>
      <c r="AR879" s="452"/>
      <c r="AS879" s="452"/>
      <c r="AT879" s="452"/>
      <c r="AU879" s="452"/>
      <c r="AV879" s="452"/>
      <c r="AW879" s="452"/>
      <c r="AX879" s="452"/>
      <c r="AY879" s="154"/>
      <c r="AZ879" s="473"/>
      <c r="BA879" s="156"/>
      <c r="BB879" s="156"/>
      <c r="BC879" s="156"/>
      <c r="BD879" s="452"/>
      <c r="BE879" s="452"/>
      <c r="BF879" s="452"/>
      <c r="BG879" s="452"/>
      <c r="BH879" s="452"/>
    </row>
    <row r="880">
      <c r="A880" s="154"/>
      <c r="B880" s="473"/>
      <c r="C880" s="156"/>
      <c r="D880" s="156"/>
      <c r="E880" s="156"/>
      <c r="F880" s="154"/>
      <c r="G880" s="473"/>
      <c r="H880" s="156"/>
      <c r="I880" s="156"/>
      <c r="J880" s="156"/>
      <c r="K880" s="132"/>
      <c r="L880" s="473"/>
      <c r="M880" s="156"/>
      <c r="N880" s="156"/>
      <c r="O880" s="156"/>
      <c r="P880" s="132"/>
      <c r="Q880" s="487"/>
      <c r="R880" s="156"/>
      <c r="S880" s="156"/>
      <c r="T880" s="156"/>
      <c r="U880" s="154"/>
      <c r="V880" s="473"/>
      <c r="W880" s="156"/>
      <c r="X880" s="156"/>
      <c r="Y880" s="156"/>
      <c r="Z880" s="154"/>
      <c r="AA880" s="473"/>
      <c r="AB880" s="156"/>
      <c r="AC880" s="156"/>
      <c r="AD880" s="156"/>
      <c r="AE880" s="154"/>
      <c r="AF880" s="473"/>
      <c r="AG880" s="156"/>
      <c r="AH880" s="156"/>
      <c r="AI880" s="156"/>
      <c r="AJ880" s="154"/>
      <c r="AK880" s="473"/>
      <c r="AL880" s="156"/>
      <c r="AM880" s="156"/>
      <c r="AN880" s="156"/>
      <c r="AO880" s="452"/>
      <c r="AP880" s="452"/>
      <c r="AQ880" s="452"/>
      <c r="AR880" s="452"/>
      <c r="AS880" s="452"/>
      <c r="AT880" s="452"/>
      <c r="AU880" s="452"/>
      <c r="AV880" s="452"/>
      <c r="AW880" s="452"/>
      <c r="AX880" s="452"/>
      <c r="AY880" s="154"/>
      <c r="AZ880" s="473"/>
      <c r="BA880" s="156"/>
      <c r="BB880" s="156"/>
      <c r="BC880" s="156"/>
      <c r="BD880" s="452"/>
      <c r="BE880" s="452"/>
      <c r="BF880" s="452"/>
      <c r="BG880" s="452"/>
      <c r="BH880" s="452"/>
    </row>
    <row r="881">
      <c r="A881" s="154"/>
      <c r="B881" s="473"/>
      <c r="C881" s="156"/>
      <c r="D881" s="156"/>
      <c r="E881" s="156"/>
      <c r="F881" s="154"/>
      <c r="G881" s="473"/>
      <c r="H881" s="156"/>
      <c r="I881" s="156"/>
      <c r="J881" s="156"/>
      <c r="K881" s="132"/>
      <c r="L881" s="473"/>
      <c r="M881" s="156"/>
      <c r="N881" s="156"/>
      <c r="O881" s="156"/>
      <c r="P881" s="132"/>
      <c r="Q881" s="487"/>
      <c r="R881" s="156"/>
      <c r="S881" s="156"/>
      <c r="T881" s="156"/>
      <c r="U881" s="154"/>
      <c r="V881" s="473"/>
      <c r="W881" s="156"/>
      <c r="X881" s="156"/>
      <c r="Y881" s="156"/>
      <c r="Z881" s="154"/>
      <c r="AA881" s="473"/>
      <c r="AB881" s="156"/>
      <c r="AC881" s="156"/>
      <c r="AD881" s="156"/>
      <c r="AE881" s="154"/>
      <c r="AF881" s="473"/>
      <c r="AG881" s="156"/>
      <c r="AH881" s="156"/>
      <c r="AI881" s="156"/>
      <c r="AJ881" s="154"/>
      <c r="AK881" s="473"/>
      <c r="AL881" s="156"/>
      <c r="AM881" s="156"/>
      <c r="AN881" s="156"/>
      <c r="AO881" s="452"/>
      <c r="AP881" s="452"/>
      <c r="AQ881" s="452"/>
      <c r="AR881" s="452"/>
      <c r="AS881" s="452"/>
      <c r="AT881" s="452"/>
      <c r="AU881" s="452"/>
      <c r="AV881" s="452"/>
      <c r="AW881" s="452"/>
      <c r="AX881" s="452"/>
      <c r="AY881" s="154"/>
      <c r="AZ881" s="473"/>
      <c r="BA881" s="156"/>
      <c r="BB881" s="156"/>
      <c r="BC881" s="156"/>
      <c r="BD881" s="452"/>
      <c r="BE881" s="452"/>
      <c r="BF881" s="452"/>
      <c r="BG881" s="452"/>
      <c r="BH881" s="452"/>
    </row>
    <row r="882">
      <c r="A882" s="154"/>
      <c r="B882" s="473"/>
      <c r="C882" s="156"/>
      <c r="D882" s="156"/>
      <c r="E882" s="156"/>
      <c r="F882" s="154"/>
      <c r="G882" s="473"/>
      <c r="H882" s="156"/>
      <c r="I882" s="156"/>
      <c r="J882" s="156"/>
      <c r="K882" s="132"/>
      <c r="L882" s="473"/>
      <c r="M882" s="156"/>
      <c r="N882" s="156"/>
      <c r="O882" s="156"/>
      <c r="P882" s="132"/>
      <c r="Q882" s="487"/>
      <c r="R882" s="156"/>
      <c r="S882" s="156"/>
      <c r="T882" s="156"/>
      <c r="U882" s="154"/>
      <c r="V882" s="473"/>
      <c r="W882" s="156"/>
      <c r="X882" s="156"/>
      <c r="Y882" s="156"/>
      <c r="Z882" s="154"/>
      <c r="AA882" s="473"/>
      <c r="AB882" s="156"/>
      <c r="AC882" s="156"/>
      <c r="AD882" s="156"/>
      <c r="AE882" s="154"/>
      <c r="AF882" s="473"/>
      <c r="AG882" s="156"/>
      <c r="AH882" s="156"/>
      <c r="AI882" s="156"/>
      <c r="AJ882" s="154"/>
      <c r="AK882" s="473"/>
      <c r="AL882" s="156"/>
      <c r="AM882" s="156"/>
      <c r="AN882" s="156"/>
      <c r="AO882" s="452"/>
      <c r="AP882" s="452"/>
      <c r="AQ882" s="452"/>
      <c r="AR882" s="452"/>
      <c r="AS882" s="452"/>
      <c r="AT882" s="452"/>
      <c r="AU882" s="452"/>
      <c r="AV882" s="452"/>
      <c r="AW882" s="452"/>
      <c r="AX882" s="452"/>
      <c r="AY882" s="154"/>
      <c r="AZ882" s="473"/>
      <c r="BA882" s="156"/>
      <c r="BB882" s="156"/>
      <c r="BC882" s="156"/>
      <c r="BD882" s="452"/>
      <c r="BE882" s="452"/>
      <c r="BF882" s="452"/>
      <c r="BG882" s="452"/>
      <c r="BH882" s="452"/>
    </row>
    <row r="883">
      <c r="A883" s="154"/>
      <c r="B883" s="473"/>
      <c r="C883" s="156"/>
      <c r="D883" s="156"/>
      <c r="E883" s="156"/>
      <c r="F883" s="154"/>
      <c r="G883" s="473"/>
      <c r="H883" s="156"/>
      <c r="I883" s="156"/>
      <c r="J883" s="156"/>
      <c r="K883" s="132"/>
      <c r="L883" s="473"/>
      <c r="M883" s="156"/>
      <c r="N883" s="156"/>
      <c r="O883" s="156"/>
      <c r="P883" s="132"/>
      <c r="Q883" s="487"/>
      <c r="R883" s="156"/>
      <c r="S883" s="156"/>
      <c r="T883" s="156"/>
      <c r="U883" s="154"/>
      <c r="V883" s="473"/>
      <c r="W883" s="156"/>
      <c r="X883" s="156"/>
      <c r="Y883" s="156"/>
      <c r="Z883" s="154"/>
      <c r="AA883" s="473"/>
      <c r="AB883" s="156"/>
      <c r="AC883" s="156"/>
      <c r="AD883" s="156"/>
      <c r="AE883" s="154"/>
      <c r="AF883" s="473"/>
      <c r="AG883" s="156"/>
      <c r="AH883" s="156"/>
      <c r="AI883" s="156"/>
      <c r="AJ883" s="154"/>
      <c r="AK883" s="473"/>
      <c r="AL883" s="156"/>
      <c r="AM883" s="156"/>
      <c r="AN883" s="156"/>
      <c r="AO883" s="452"/>
      <c r="AP883" s="452"/>
      <c r="AQ883" s="452"/>
      <c r="AR883" s="452"/>
      <c r="AS883" s="452"/>
      <c r="AT883" s="452"/>
      <c r="AU883" s="452"/>
      <c r="AV883" s="452"/>
      <c r="AW883" s="452"/>
      <c r="AX883" s="452"/>
      <c r="AY883" s="154"/>
      <c r="AZ883" s="473"/>
      <c r="BA883" s="156"/>
      <c r="BB883" s="156"/>
      <c r="BC883" s="156"/>
      <c r="BD883" s="452"/>
      <c r="BE883" s="452"/>
      <c r="BF883" s="452"/>
      <c r="BG883" s="452"/>
      <c r="BH883" s="452"/>
    </row>
    <row r="884">
      <c r="A884" s="154"/>
      <c r="B884" s="473"/>
      <c r="C884" s="156"/>
      <c r="D884" s="156"/>
      <c r="E884" s="156"/>
      <c r="F884" s="154"/>
      <c r="G884" s="473"/>
      <c r="H884" s="156"/>
      <c r="I884" s="156"/>
      <c r="J884" s="156"/>
      <c r="K884" s="132"/>
      <c r="L884" s="473"/>
      <c r="M884" s="156"/>
      <c r="N884" s="156"/>
      <c r="O884" s="156"/>
      <c r="P884" s="132"/>
      <c r="Q884" s="487"/>
      <c r="R884" s="156"/>
      <c r="S884" s="156"/>
      <c r="T884" s="156"/>
      <c r="U884" s="154"/>
      <c r="V884" s="473"/>
      <c r="W884" s="156"/>
      <c r="X884" s="156"/>
      <c r="Y884" s="156"/>
      <c r="Z884" s="154"/>
      <c r="AA884" s="473"/>
      <c r="AB884" s="156"/>
      <c r="AC884" s="156"/>
      <c r="AD884" s="156"/>
      <c r="AE884" s="154"/>
      <c r="AF884" s="473"/>
      <c r="AG884" s="156"/>
      <c r="AH884" s="156"/>
      <c r="AI884" s="156"/>
      <c r="AJ884" s="154"/>
      <c r="AK884" s="473"/>
      <c r="AL884" s="156"/>
      <c r="AM884" s="156"/>
      <c r="AN884" s="156"/>
      <c r="AO884" s="452"/>
      <c r="AP884" s="452"/>
      <c r="AQ884" s="452"/>
      <c r="AR884" s="452"/>
      <c r="AS884" s="452"/>
      <c r="AT884" s="452"/>
      <c r="AU884" s="452"/>
      <c r="AV884" s="452"/>
      <c r="AW884" s="452"/>
      <c r="AX884" s="452"/>
      <c r="AY884" s="154"/>
      <c r="AZ884" s="473"/>
      <c r="BA884" s="156"/>
      <c r="BB884" s="156"/>
      <c r="BC884" s="156"/>
      <c r="BD884" s="452"/>
      <c r="BE884" s="452"/>
      <c r="BF884" s="452"/>
      <c r="BG884" s="452"/>
      <c r="BH884" s="452"/>
    </row>
    <row r="885">
      <c r="A885" s="154"/>
      <c r="B885" s="473"/>
      <c r="C885" s="156"/>
      <c r="D885" s="156"/>
      <c r="E885" s="156"/>
      <c r="F885" s="154"/>
      <c r="G885" s="473"/>
      <c r="H885" s="156"/>
      <c r="I885" s="156"/>
      <c r="J885" s="156"/>
      <c r="K885" s="132"/>
      <c r="L885" s="473"/>
      <c r="M885" s="156"/>
      <c r="N885" s="156"/>
      <c r="O885" s="156"/>
      <c r="P885" s="132"/>
      <c r="Q885" s="487"/>
      <c r="R885" s="156"/>
      <c r="S885" s="156"/>
      <c r="T885" s="156"/>
      <c r="U885" s="154"/>
      <c r="V885" s="473"/>
      <c r="W885" s="156"/>
      <c r="X885" s="156"/>
      <c r="Y885" s="156"/>
      <c r="Z885" s="154"/>
      <c r="AA885" s="473"/>
      <c r="AB885" s="156"/>
      <c r="AC885" s="156"/>
      <c r="AD885" s="156"/>
      <c r="AE885" s="154"/>
      <c r="AF885" s="473"/>
      <c r="AG885" s="156"/>
      <c r="AH885" s="156"/>
      <c r="AI885" s="156"/>
      <c r="AJ885" s="154"/>
      <c r="AK885" s="473"/>
      <c r="AL885" s="156"/>
      <c r="AM885" s="156"/>
      <c r="AN885" s="156"/>
      <c r="AO885" s="452"/>
      <c r="AP885" s="452"/>
      <c r="AQ885" s="452"/>
      <c r="AR885" s="452"/>
      <c r="AS885" s="452"/>
      <c r="AT885" s="452"/>
      <c r="AU885" s="452"/>
      <c r="AV885" s="452"/>
      <c r="AW885" s="452"/>
      <c r="AX885" s="452"/>
      <c r="AY885" s="154"/>
      <c r="AZ885" s="473"/>
      <c r="BA885" s="156"/>
      <c r="BB885" s="156"/>
      <c r="BC885" s="156"/>
      <c r="BD885" s="452"/>
      <c r="BE885" s="452"/>
      <c r="BF885" s="452"/>
      <c r="BG885" s="452"/>
      <c r="BH885" s="452"/>
    </row>
    <row r="886">
      <c r="A886" s="154"/>
      <c r="B886" s="473"/>
      <c r="C886" s="156"/>
      <c r="D886" s="156"/>
      <c r="E886" s="156"/>
      <c r="F886" s="154"/>
      <c r="G886" s="473"/>
      <c r="H886" s="156"/>
      <c r="I886" s="156"/>
      <c r="J886" s="156"/>
      <c r="K886" s="132"/>
      <c r="L886" s="473"/>
      <c r="M886" s="156"/>
      <c r="N886" s="156"/>
      <c r="O886" s="156"/>
      <c r="P886" s="132"/>
      <c r="Q886" s="487"/>
      <c r="R886" s="156"/>
      <c r="S886" s="156"/>
      <c r="T886" s="156"/>
      <c r="U886" s="154"/>
      <c r="V886" s="473"/>
      <c r="W886" s="156"/>
      <c r="X886" s="156"/>
      <c r="Y886" s="156"/>
      <c r="Z886" s="154"/>
      <c r="AA886" s="473"/>
      <c r="AB886" s="156"/>
      <c r="AC886" s="156"/>
      <c r="AD886" s="156"/>
      <c r="AE886" s="154"/>
      <c r="AF886" s="473"/>
      <c r="AG886" s="156"/>
      <c r="AH886" s="156"/>
      <c r="AI886" s="156"/>
      <c r="AJ886" s="154"/>
      <c r="AK886" s="473"/>
      <c r="AL886" s="156"/>
      <c r="AM886" s="156"/>
      <c r="AN886" s="156"/>
      <c r="AO886" s="452"/>
      <c r="AP886" s="452"/>
      <c r="AQ886" s="452"/>
      <c r="AR886" s="452"/>
      <c r="AS886" s="452"/>
      <c r="AT886" s="452"/>
      <c r="AU886" s="452"/>
      <c r="AV886" s="452"/>
      <c r="AW886" s="452"/>
      <c r="AX886" s="452"/>
      <c r="AY886" s="154"/>
      <c r="AZ886" s="473"/>
      <c r="BA886" s="156"/>
      <c r="BB886" s="156"/>
      <c r="BC886" s="156"/>
      <c r="BD886" s="452"/>
      <c r="BE886" s="452"/>
      <c r="BF886" s="452"/>
      <c r="BG886" s="452"/>
      <c r="BH886" s="452"/>
    </row>
    <row r="887">
      <c r="A887" s="154"/>
      <c r="B887" s="473"/>
      <c r="C887" s="156"/>
      <c r="D887" s="156"/>
      <c r="E887" s="156"/>
      <c r="F887" s="154"/>
      <c r="G887" s="473"/>
      <c r="H887" s="156"/>
      <c r="I887" s="156"/>
      <c r="J887" s="156"/>
      <c r="K887" s="132"/>
      <c r="L887" s="473"/>
      <c r="M887" s="156"/>
      <c r="N887" s="156"/>
      <c r="O887" s="156"/>
      <c r="P887" s="132"/>
      <c r="Q887" s="487"/>
      <c r="R887" s="156"/>
      <c r="S887" s="156"/>
      <c r="T887" s="156"/>
      <c r="U887" s="154"/>
      <c r="V887" s="473"/>
      <c r="W887" s="156"/>
      <c r="X887" s="156"/>
      <c r="Y887" s="156"/>
      <c r="Z887" s="154"/>
      <c r="AA887" s="473"/>
      <c r="AB887" s="156"/>
      <c r="AC887" s="156"/>
      <c r="AD887" s="156"/>
      <c r="AE887" s="154"/>
      <c r="AF887" s="473"/>
      <c r="AG887" s="156"/>
      <c r="AH887" s="156"/>
      <c r="AI887" s="156"/>
      <c r="AJ887" s="154"/>
      <c r="AK887" s="473"/>
      <c r="AL887" s="156"/>
      <c r="AM887" s="156"/>
      <c r="AN887" s="156"/>
      <c r="AO887" s="452"/>
      <c r="AP887" s="452"/>
      <c r="AQ887" s="452"/>
      <c r="AR887" s="452"/>
      <c r="AS887" s="452"/>
      <c r="AT887" s="452"/>
      <c r="AU887" s="452"/>
      <c r="AV887" s="452"/>
      <c r="AW887" s="452"/>
      <c r="AX887" s="452"/>
      <c r="AY887" s="154"/>
      <c r="AZ887" s="473"/>
      <c r="BA887" s="156"/>
      <c r="BB887" s="156"/>
      <c r="BC887" s="156"/>
      <c r="BD887" s="452"/>
      <c r="BE887" s="452"/>
      <c r="BF887" s="452"/>
      <c r="BG887" s="452"/>
      <c r="BH887" s="452"/>
    </row>
    <row r="888">
      <c r="A888" s="154"/>
      <c r="B888" s="473"/>
      <c r="C888" s="156"/>
      <c r="D888" s="156"/>
      <c r="E888" s="156"/>
      <c r="F888" s="154"/>
      <c r="G888" s="473"/>
      <c r="H888" s="156"/>
      <c r="I888" s="156"/>
      <c r="J888" s="156"/>
      <c r="K888" s="132"/>
      <c r="L888" s="473"/>
      <c r="M888" s="156"/>
      <c r="N888" s="156"/>
      <c r="O888" s="156"/>
      <c r="P888" s="132"/>
      <c r="Q888" s="487"/>
      <c r="R888" s="156"/>
      <c r="S888" s="156"/>
      <c r="T888" s="156"/>
      <c r="U888" s="154"/>
      <c r="V888" s="473"/>
      <c r="W888" s="156"/>
      <c r="X888" s="156"/>
      <c r="Y888" s="156"/>
      <c r="Z888" s="154"/>
      <c r="AA888" s="473"/>
      <c r="AB888" s="156"/>
      <c r="AC888" s="156"/>
      <c r="AD888" s="156"/>
      <c r="AE888" s="154"/>
      <c r="AF888" s="473"/>
      <c r="AG888" s="156"/>
      <c r="AH888" s="156"/>
      <c r="AI888" s="156"/>
      <c r="AJ888" s="154"/>
      <c r="AK888" s="473"/>
      <c r="AL888" s="156"/>
      <c r="AM888" s="156"/>
      <c r="AN888" s="156"/>
      <c r="AO888" s="452"/>
      <c r="AP888" s="452"/>
      <c r="AQ888" s="452"/>
      <c r="AR888" s="452"/>
      <c r="AS888" s="452"/>
      <c r="AT888" s="452"/>
      <c r="AU888" s="452"/>
      <c r="AV888" s="452"/>
      <c r="AW888" s="452"/>
      <c r="AX888" s="452"/>
      <c r="AY888" s="154"/>
      <c r="AZ888" s="473"/>
      <c r="BA888" s="156"/>
      <c r="BB888" s="156"/>
      <c r="BC888" s="156"/>
      <c r="BD888" s="452"/>
      <c r="BE888" s="452"/>
      <c r="BF888" s="452"/>
      <c r="BG888" s="452"/>
      <c r="BH888" s="452"/>
    </row>
    <row r="889">
      <c r="A889" s="154"/>
      <c r="B889" s="473"/>
      <c r="C889" s="156"/>
      <c r="D889" s="156"/>
      <c r="E889" s="156"/>
      <c r="F889" s="154"/>
      <c r="G889" s="473"/>
      <c r="H889" s="156"/>
      <c r="I889" s="156"/>
      <c r="J889" s="156"/>
      <c r="K889" s="132"/>
      <c r="L889" s="473"/>
      <c r="M889" s="156"/>
      <c r="N889" s="156"/>
      <c r="O889" s="156"/>
      <c r="P889" s="132"/>
      <c r="Q889" s="487"/>
      <c r="R889" s="156"/>
      <c r="S889" s="156"/>
      <c r="T889" s="156"/>
      <c r="U889" s="154"/>
      <c r="V889" s="473"/>
      <c r="W889" s="156"/>
      <c r="X889" s="156"/>
      <c r="Y889" s="156"/>
      <c r="Z889" s="154"/>
      <c r="AA889" s="473"/>
      <c r="AB889" s="156"/>
      <c r="AC889" s="156"/>
      <c r="AD889" s="156"/>
      <c r="AE889" s="154"/>
      <c r="AF889" s="473"/>
      <c r="AG889" s="156"/>
      <c r="AH889" s="156"/>
      <c r="AI889" s="156"/>
      <c r="AJ889" s="154"/>
      <c r="AK889" s="473"/>
      <c r="AL889" s="156"/>
      <c r="AM889" s="156"/>
      <c r="AN889" s="156"/>
      <c r="AO889" s="452"/>
      <c r="AP889" s="452"/>
      <c r="AQ889" s="452"/>
      <c r="AR889" s="452"/>
      <c r="AS889" s="452"/>
      <c r="AT889" s="452"/>
      <c r="AU889" s="452"/>
      <c r="AV889" s="452"/>
      <c r="AW889" s="452"/>
      <c r="AX889" s="452"/>
      <c r="AY889" s="154"/>
      <c r="AZ889" s="473"/>
      <c r="BA889" s="156"/>
      <c r="BB889" s="156"/>
      <c r="BC889" s="156"/>
      <c r="BD889" s="452"/>
      <c r="BE889" s="452"/>
      <c r="BF889" s="452"/>
      <c r="BG889" s="452"/>
      <c r="BH889" s="452"/>
    </row>
    <row r="890">
      <c r="A890" s="154"/>
      <c r="B890" s="473"/>
      <c r="C890" s="156"/>
      <c r="D890" s="156"/>
      <c r="E890" s="156"/>
      <c r="F890" s="154"/>
      <c r="G890" s="473"/>
      <c r="H890" s="156"/>
      <c r="I890" s="156"/>
      <c r="J890" s="156"/>
      <c r="K890" s="132"/>
      <c r="L890" s="473"/>
      <c r="M890" s="156"/>
      <c r="N890" s="156"/>
      <c r="O890" s="156"/>
      <c r="P890" s="132"/>
      <c r="Q890" s="487"/>
      <c r="R890" s="156"/>
      <c r="S890" s="156"/>
      <c r="T890" s="156"/>
      <c r="U890" s="154"/>
      <c r="V890" s="473"/>
      <c r="W890" s="156"/>
      <c r="X890" s="156"/>
      <c r="Y890" s="156"/>
      <c r="Z890" s="154"/>
      <c r="AA890" s="473"/>
      <c r="AB890" s="156"/>
      <c r="AC890" s="156"/>
      <c r="AD890" s="156"/>
      <c r="AE890" s="154"/>
      <c r="AF890" s="473"/>
      <c r="AG890" s="156"/>
      <c r="AH890" s="156"/>
      <c r="AI890" s="156"/>
      <c r="AJ890" s="154"/>
      <c r="AK890" s="473"/>
      <c r="AL890" s="156"/>
      <c r="AM890" s="156"/>
      <c r="AN890" s="156"/>
      <c r="AO890" s="452"/>
      <c r="AP890" s="452"/>
      <c r="AQ890" s="452"/>
      <c r="AR890" s="452"/>
      <c r="AS890" s="452"/>
      <c r="AT890" s="452"/>
      <c r="AU890" s="452"/>
      <c r="AV890" s="452"/>
      <c r="AW890" s="452"/>
      <c r="AX890" s="452"/>
      <c r="AY890" s="154"/>
      <c r="AZ890" s="473"/>
      <c r="BA890" s="156"/>
      <c r="BB890" s="156"/>
      <c r="BC890" s="156"/>
      <c r="BD890" s="452"/>
      <c r="BE890" s="452"/>
      <c r="BF890" s="452"/>
      <c r="BG890" s="452"/>
      <c r="BH890" s="452"/>
    </row>
    <row r="891">
      <c r="A891" s="154"/>
      <c r="B891" s="473"/>
      <c r="C891" s="156"/>
      <c r="D891" s="156"/>
      <c r="E891" s="156"/>
      <c r="F891" s="154"/>
      <c r="G891" s="473"/>
      <c r="H891" s="156"/>
      <c r="I891" s="156"/>
      <c r="J891" s="156"/>
      <c r="K891" s="132"/>
      <c r="L891" s="473"/>
      <c r="M891" s="156"/>
      <c r="N891" s="156"/>
      <c r="O891" s="156"/>
      <c r="P891" s="132"/>
      <c r="Q891" s="487"/>
      <c r="R891" s="156"/>
      <c r="S891" s="156"/>
      <c r="T891" s="156"/>
      <c r="U891" s="154"/>
      <c r="V891" s="473"/>
      <c r="W891" s="156"/>
      <c r="X891" s="156"/>
      <c r="Y891" s="156"/>
      <c r="Z891" s="154"/>
      <c r="AA891" s="473"/>
      <c r="AB891" s="156"/>
      <c r="AC891" s="156"/>
      <c r="AD891" s="156"/>
      <c r="AE891" s="154"/>
      <c r="AF891" s="473"/>
      <c r="AG891" s="156"/>
      <c r="AH891" s="156"/>
      <c r="AI891" s="156"/>
      <c r="AJ891" s="154"/>
      <c r="AK891" s="473"/>
      <c r="AL891" s="156"/>
      <c r="AM891" s="156"/>
      <c r="AN891" s="156"/>
      <c r="AO891" s="452"/>
      <c r="AP891" s="452"/>
      <c r="AQ891" s="452"/>
      <c r="AR891" s="452"/>
      <c r="AS891" s="452"/>
      <c r="AT891" s="452"/>
      <c r="AU891" s="452"/>
      <c r="AV891" s="452"/>
      <c r="AW891" s="452"/>
      <c r="AX891" s="452"/>
      <c r="AY891" s="154"/>
      <c r="AZ891" s="473"/>
      <c r="BA891" s="156"/>
      <c r="BB891" s="156"/>
      <c r="BC891" s="156"/>
      <c r="BD891" s="452"/>
      <c r="BE891" s="452"/>
      <c r="BF891" s="452"/>
      <c r="BG891" s="452"/>
      <c r="BH891" s="452"/>
    </row>
    <row r="892">
      <c r="A892" s="154"/>
      <c r="B892" s="473"/>
      <c r="C892" s="156"/>
      <c r="D892" s="156"/>
      <c r="E892" s="156"/>
      <c r="F892" s="154"/>
      <c r="G892" s="473"/>
      <c r="H892" s="156"/>
      <c r="I892" s="156"/>
      <c r="J892" s="156"/>
      <c r="K892" s="132"/>
      <c r="L892" s="473"/>
      <c r="M892" s="156"/>
      <c r="N892" s="156"/>
      <c r="O892" s="156"/>
      <c r="P892" s="132"/>
      <c r="Q892" s="487"/>
      <c r="R892" s="156"/>
      <c r="S892" s="156"/>
      <c r="T892" s="156"/>
      <c r="U892" s="154"/>
      <c r="V892" s="473"/>
      <c r="W892" s="156"/>
      <c r="X892" s="156"/>
      <c r="Y892" s="156"/>
      <c r="Z892" s="154"/>
      <c r="AA892" s="473"/>
      <c r="AB892" s="156"/>
      <c r="AC892" s="156"/>
      <c r="AD892" s="156"/>
      <c r="AE892" s="154"/>
      <c r="AF892" s="473"/>
      <c r="AG892" s="156"/>
      <c r="AH892" s="156"/>
      <c r="AI892" s="156"/>
      <c r="AJ892" s="154"/>
      <c r="AK892" s="473"/>
      <c r="AL892" s="156"/>
      <c r="AM892" s="156"/>
      <c r="AN892" s="156"/>
      <c r="AO892" s="452"/>
      <c r="AP892" s="452"/>
      <c r="AQ892" s="452"/>
      <c r="AR892" s="452"/>
      <c r="AS892" s="452"/>
      <c r="AT892" s="452"/>
      <c r="AU892" s="452"/>
      <c r="AV892" s="452"/>
      <c r="AW892" s="452"/>
      <c r="AX892" s="452"/>
      <c r="AY892" s="154"/>
      <c r="AZ892" s="473"/>
      <c r="BA892" s="156"/>
      <c r="BB892" s="156"/>
      <c r="BC892" s="156"/>
      <c r="BD892" s="452"/>
      <c r="BE892" s="452"/>
      <c r="BF892" s="452"/>
      <c r="BG892" s="452"/>
      <c r="BH892" s="452"/>
    </row>
    <row r="893">
      <c r="A893" s="154"/>
      <c r="B893" s="473"/>
      <c r="C893" s="156"/>
      <c r="D893" s="156"/>
      <c r="E893" s="156"/>
      <c r="F893" s="154"/>
      <c r="G893" s="473"/>
      <c r="H893" s="156"/>
      <c r="I893" s="156"/>
      <c r="J893" s="156"/>
      <c r="K893" s="132"/>
      <c r="L893" s="473"/>
      <c r="M893" s="156"/>
      <c r="N893" s="156"/>
      <c r="O893" s="156"/>
      <c r="P893" s="132"/>
      <c r="Q893" s="487"/>
      <c r="R893" s="156"/>
      <c r="S893" s="156"/>
      <c r="T893" s="156"/>
      <c r="U893" s="154"/>
      <c r="V893" s="473"/>
      <c r="W893" s="156"/>
      <c r="X893" s="156"/>
      <c r="Y893" s="156"/>
      <c r="Z893" s="154"/>
      <c r="AA893" s="473"/>
      <c r="AB893" s="156"/>
      <c r="AC893" s="156"/>
      <c r="AD893" s="156"/>
      <c r="AE893" s="154"/>
      <c r="AF893" s="473"/>
      <c r="AG893" s="156"/>
      <c r="AH893" s="156"/>
      <c r="AI893" s="156"/>
      <c r="AJ893" s="154"/>
      <c r="AK893" s="473"/>
      <c r="AL893" s="156"/>
      <c r="AM893" s="156"/>
      <c r="AN893" s="156"/>
      <c r="AO893" s="452"/>
      <c r="AP893" s="452"/>
      <c r="AQ893" s="452"/>
      <c r="AR893" s="452"/>
      <c r="AS893" s="452"/>
      <c r="AT893" s="452"/>
      <c r="AU893" s="452"/>
      <c r="AV893" s="452"/>
      <c r="AW893" s="452"/>
      <c r="AX893" s="452"/>
      <c r="AY893" s="154"/>
      <c r="AZ893" s="473"/>
      <c r="BA893" s="156"/>
      <c r="BB893" s="156"/>
      <c r="BC893" s="156"/>
      <c r="BD893" s="452"/>
      <c r="BE893" s="452"/>
      <c r="BF893" s="452"/>
      <c r="BG893" s="452"/>
      <c r="BH893" s="452"/>
    </row>
    <row r="894">
      <c r="A894" s="154"/>
      <c r="B894" s="473"/>
      <c r="C894" s="156"/>
      <c r="D894" s="156"/>
      <c r="E894" s="156"/>
      <c r="F894" s="154"/>
      <c r="G894" s="473"/>
      <c r="H894" s="156"/>
      <c r="I894" s="156"/>
      <c r="J894" s="156"/>
      <c r="K894" s="132"/>
      <c r="L894" s="473"/>
      <c r="M894" s="156"/>
      <c r="N894" s="156"/>
      <c r="O894" s="156"/>
      <c r="P894" s="132"/>
      <c r="Q894" s="487"/>
      <c r="R894" s="156"/>
      <c r="S894" s="156"/>
      <c r="T894" s="156"/>
      <c r="U894" s="154"/>
      <c r="V894" s="473"/>
      <c r="W894" s="156"/>
      <c r="X894" s="156"/>
      <c r="Y894" s="156"/>
      <c r="Z894" s="154"/>
      <c r="AA894" s="473"/>
      <c r="AB894" s="156"/>
      <c r="AC894" s="156"/>
      <c r="AD894" s="156"/>
      <c r="AE894" s="154"/>
      <c r="AF894" s="473"/>
      <c r="AG894" s="156"/>
      <c r="AH894" s="156"/>
      <c r="AI894" s="156"/>
      <c r="AJ894" s="154"/>
      <c r="AK894" s="473"/>
      <c r="AL894" s="156"/>
      <c r="AM894" s="156"/>
      <c r="AN894" s="156"/>
      <c r="AO894" s="452"/>
      <c r="AP894" s="452"/>
      <c r="AQ894" s="452"/>
      <c r="AR894" s="452"/>
      <c r="AS894" s="452"/>
      <c r="AT894" s="452"/>
      <c r="AU894" s="452"/>
      <c r="AV894" s="452"/>
      <c r="AW894" s="452"/>
      <c r="AX894" s="452"/>
      <c r="AY894" s="154"/>
      <c r="AZ894" s="473"/>
      <c r="BA894" s="156"/>
      <c r="BB894" s="156"/>
      <c r="BC894" s="156"/>
      <c r="BD894" s="452"/>
      <c r="BE894" s="452"/>
      <c r="BF894" s="452"/>
      <c r="BG894" s="452"/>
      <c r="BH894" s="452"/>
    </row>
    <row r="895">
      <c r="A895" s="154"/>
      <c r="B895" s="473"/>
      <c r="C895" s="156"/>
      <c r="D895" s="156"/>
      <c r="E895" s="156"/>
      <c r="F895" s="154"/>
      <c r="G895" s="473"/>
      <c r="H895" s="156"/>
      <c r="I895" s="156"/>
      <c r="J895" s="156"/>
      <c r="K895" s="132"/>
      <c r="L895" s="473"/>
      <c r="M895" s="156"/>
      <c r="N895" s="156"/>
      <c r="O895" s="156"/>
      <c r="P895" s="132"/>
      <c r="Q895" s="487"/>
      <c r="R895" s="156"/>
      <c r="S895" s="156"/>
      <c r="T895" s="156"/>
      <c r="U895" s="154"/>
      <c r="V895" s="473"/>
      <c r="W895" s="156"/>
      <c r="X895" s="156"/>
      <c r="Y895" s="156"/>
      <c r="Z895" s="154"/>
      <c r="AA895" s="473"/>
      <c r="AB895" s="156"/>
      <c r="AC895" s="156"/>
      <c r="AD895" s="156"/>
      <c r="AE895" s="154"/>
      <c r="AF895" s="473"/>
      <c r="AG895" s="156"/>
      <c r="AH895" s="156"/>
      <c r="AI895" s="156"/>
      <c r="AJ895" s="154"/>
      <c r="AK895" s="473"/>
      <c r="AL895" s="156"/>
      <c r="AM895" s="156"/>
      <c r="AN895" s="156"/>
      <c r="AO895" s="452"/>
      <c r="AP895" s="452"/>
      <c r="AQ895" s="452"/>
      <c r="AR895" s="452"/>
      <c r="AS895" s="452"/>
      <c r="AT895" s="452"/>
      <c r="AU895" s="452"/>
      <c r="AV895" s="452"/>
      <c r="AW895" s="452"/>
      <c r="AX895" s="452"/>
      <c r="AY895" s="154"/>
      <c r="AZ895" s="473"/>
      <c r="BA895" s="156"/>
      <c r="BB895" s="156"/>
      <c r="BC895" s="156"/>
      <c r="BD895" s="452"/>
      <c r="BE895" s="452"/>
      <c r="BF895" s="452"/>
      <c r="BG895" s="452"/>
      <c r="BH895" s="452"/>
    </row>
    <row r="896">
      <c r="A896" s="154"/>
      <c r="B896" s="473"/>
      <c r="C896" s="156"/>
      <c r="D896" s="156"/>
      <c r="E896" s="156"/>
      <c r="F896" s="154"/>
      <c r="G896" s="473"/>
      <c r="H896" s="156"/>
      <c r="I896" s="156"/>
      <c r="J896" s="156"/>
      <c r="K896" s="132"/>
      <c r="L896" s="473"/>
      <c r="M896" s="156"/>
      <c r="N896" s="156"/>
      <c r="O896" s="156"/>
      <c r="P896" s="132"/>
      <c r="Q896" s="487"/>
      <c r="R896" s="156"/>
      <c r="S896" s="156"/>
      <c r="T896" s="156"/>
      <c r="U896" s="154"/>
      <c r="V896" s="473"/>
      <c r="W896" s="156"/>
      <c r="X896" s="156"/>
      <c r="Y896" s="156"/>
      <c r="Z896" s="154"/>
      <c r="AA896" s="473"/>
      <c r="AB896" s="156"/>
      <c r="AC896" s="156"/>
      <c r="AD896" s="156"/>
      <c r="AE896" s="154"/>
      <c r="AF896" s="473"/>
      <c r="AG896" s="156"/>
      <c r="AH896" s="156"/>
      <c r="AI896" s="156"/>
      <c r="AJ896" s="154"/>
      <c r="AK896" s="473"/>
      <c r="AL896" s="156"/>
      <c r="AM896" s="156"/>
      <c r="AN896" s="156"/>
      <c r="AO896" s="452"/>
      <c r="AP896" s="452"/>
      <c r="AQ896" s="452"/>
      <c r="AR896" s="452"/>
      <c r="AS896" s="452"/>
      <c r="AT896" s="452"/>
      <c r="AU896" s="452"/>
      <c r="AV896" s="452"/>
      <c r="AW896" s="452"/>
      <c r="AX896" s="452"/>
      <c r="AY896" s="154"/>
      <c r="AZ896" s="473"/>
      <c r="BA896" s="156"/>
      <c r="BB896" s="156"/>
      <c r="BC896" s="156"/>
      <c r="BD896" s="452"/>
      <c r="BE896" s="452"/>
      <c r="BF896" s="452"/>
      <c r="BG896" s="452"/>
      <c r="BH896" s="452"/>
    </row>
    <row r="897">
      <c r="A897" s="154"/>
      <c r="B897" s="473"/>
      <c r="C897" s="156"/>
      <c r="D897" s="156"/>
      <c r="E897" s="156"/>
      <c r="F897" s="154"/>
      <c r="G897" s="473"/>
      <c r="H897" s="156"/>
      <c r="I897" s="156"/>
      <c r="J897" s="156"/>
      <c r="K897" s="132"/>
      <c r="L897" s="473"/>
      <c r="M897" s="156"/>
      <c r="N897" s="156"/>
      <c r="O897" s="156"/>
      <c r="P897" s="132"/>
      <c r="Q897" s="487"/>
      <c r="R897" s="156"/>
      <c r="S897" s="156"/>
      <c r="T897" s="156"/>
      <c r="U897" s="154"/>
      <c r="V897" s="473"/>
      <c r="W897" s="156"/>
      <c r="X897" s="156"/>
      <c r="Y897" s="156"/>
      <c r="Z897" s="154"/>
      <c r="AA897" s="473"/>
      <c r="AB897" s="156"/>
      <c r="AC897" s="156"/>
      <c r="AD897" s="156"/>
      <c r="AE897" s="154"/>
      <c r="AF897" s="473"/>
      <c r="AG897" s="156"/>
      <c r="AH897" s="156"/>
      <c r="AI897" s="156"/>
      <c r="AJ897" s="154"/>
      <c r="AK897" s="473"/>
      <c r="AL897" s="156"/>
      <c r="AM897" s="156"/>
      <c r="AN897" s="156"/>
      <c r="AO897" s="452"/>
      <c r="AP897" s="452"/>
      <c r="AQ897" s="452"/>
      <c r="AR897" s="452"/>
      <c r="AS897" s="452"/>
      <c r="AT897" s="452"/>
      <c r="AU897" s="452"/>
      <c r="AV897" s="452"/>
      <c r="AW897" s="452"/>
      <c r="AX897" s="452"/>
      <c r="AY897" s="154"/>
      <c r="AZ897" s="473"/>
      <c r="BA897" s="156"/>
      <c r="BB897" s="156"/>
      <c r="BC897" s="156"/>
      <c r="BD897" s="452"/>
      <c r="BE897" s="452"/>
      <c r="BF897" s="452"/>
      <c r="BG897" s="452"/>
      <c r="BH897" s="452"/>
    </row>
    <row r="898">
      <c r="A898" s="154"/>
      <c r="B898" s="473"/>
      <c r="C898" s="156"/>
      <c r="D898" s="156"/>
      <c r="E898" s="156"/>
      <c r="F898" s="154"/>
      <c r="G898" s="473"/>
      <c r="H898" s="156"/>
      <c r="I898" s="156"/>
      <c r="J898" s="156"/>
      <c r="K898" s="132"/>
      <c r="L898" s="473"/>
      <c r="M898" s="156"/>
      <c r="N898" s="156"/>
      <c r="O898" s="156"/>
      <c r="P898" s="132"/>
      <c r="Q898" s="487"/>
      <c r="R898" s="156"/>
      <c r="S898" s="156"/>
      <c r="T898" s="156"/>
      <c r="U898" s="154"/>
      <c r="V898" s="473"/>
      <c r="W898" s="156"/>
      <c r="X898" s="156"/>
      <c r="Y898" s="156"/>
      <c r="Z898" s="154"/>
      <c r="AA898" s="473"/>
      <c r="AB898" s="156"/>
      <c r="AC898" s="156"/>
      <c r="AD898" s="156"/>
      <c r="AE898" s="154"/>
      <c r="AF898" s="473"/>
      <c r="AG898" s="156"/>
      <c r="AH898" s="156"/>
      <c r="AI898" s="156"/>
      <c r="AJ898" s="154"/>
      <c r="AK898" s="473"/>
      <c r="AL898" s="156"/>
      <c r="AM898" s="156"/>
      <c r="AN898" s="156"/>
      <c r="AO898" s="452"/>
      <c r="AP898" s="452"/>
      <c r="AQ898" s="452"/>
      <c r="AR898" s="452"/>
      <c r="AS898" s="452"/>
      <c r="AT898" s="452"/>
      <c r="AU898" s="452"/>
      <c r="AV898" s="452"/>
      <c r="AW898" s="452"/>
      <c r="AX898" s="452"/>
      <c r="AY898" s="154"/>
      <c r="AZ898" s="473"/>
      <c r="BA898" s="156"/>
      <c r="BB898" s="156"/>
      <c r="BC898" s="156"/>
      <c r="BD898" s="452"/>
      <c r="BE898" s="452"/>
      <c r="BF898" s="452"/>
      <c r="BG898" s="452"/>
      <c r="BH898" s="452"/>
    </row>
    <row r="899">
      <c r="A899" s="154"/>
      <c r="B899" s="473"/>
      <c r="C899" s="156"/>
      <c r="D899" s="156"/>
      <c r="E899" s="156"/>
      <c r="F899" s="154"/>
      <c r="G899" s="473"/>
      <c r="H899" s="156"/>
      <c r="I899" s="156"/>
      <c r="J899" s="156"/>
      <c r="K899" s="132"/>
      <c r="L899" s="473"/>
      <c r="M899" s="156"/>
      <c r="N899" s="156"/>
      <c r="O899" s="156"/>
      <c r="P899" s="132"/>
      <c r="Q899" s="487"/>
      <c r="R899" s="156"/>
      <c r="S899" s="156"/>
      <c r="T899" s="156"/>
      <c r="U899" s="154"/>
      <c r="V899" s="473"/>
      <c r="W899" s="156"/>
      <c r="X899" s="156"/>
      <c r="Y899" s="156"/>
      <c r="Z899" s="154"/>
      <c r="AA899" s="473"/>
      <c r="AB899" s="156"/>
      <c r="AC899" s="156"/>
      <c r="AD899" s="156"/>
      <c r="AE899" s="154"/>
      <c r="AF899" s="473"/>
      <c r="AG899" s="156"/>
      <c r="AH899" s="156"/>
      <c r="AI899" s="156"/>
      <c r="AJ899" s="154"/>
      <c r="AK899" s="473"/>
      <c r="AL899" s="156"/>
      <c r="AM899" s="156"/>
      <c r="AN899" s="156"/>
      <c r="AO899" s="452"/>
      <c r="AP899" s="452"/>
      <c r="AQ899" s="452"/>
      <c r="AR899" s="452"/>
      <c r="AS899" s="452"/>
      <c r="AT899" s="452"/>
      <c r="AU899" s="452"/>
      <c r="AV899" s="452"/>
      <c r="AW899" s="452"/>
      <c r="AX899" s="452"/>
      <c r="AY899" s="154"/>
      <c r="AZ899" s="473"/>
      <c r="BA899" s="156"/>
      <c r="BB899" s="156"/>
      <c r="BC899" s="156"/>
      <c r="BD899" s="452"/>
      <c r="BE899" s="452"/>
      <c r="BF899" s="452"/>
      <c r="BG899" s="452"/>
      <c r="BH899" s="452"/>
    </row>
    <row r="900">
      <c r="A900" s="154"/>
      <c r="B900" s="473"/>
      <c r="C900" s="156"/>
      <c r="D900" s="156"/>
      <c r="E900" s="156"/>
      <c r="F900" s="154"/>
      <c r="G900" s="473"/>
      <c r="H900" s="156"/>
      <c r="I900" s="156"/>
      <c r="J900" s="156"/>
      <c r="K900" s="132"/>
      <c r="L900" s="473"/>
      <c r="M900" s="156"/>
      <c r="N900" s="156"/>
      <c r="O900" s="156"/>
      <c r="P900" s="132"/>
      <c r="Q900" s="487"/>
      <c r="R900" s="156"/>
      <c r="S900" s="156"/>
      <c r="T900" s="156"/>
      <c r="U900" s="154"/>
      <c r="V900" s="473"/>
      <c r="W900" s="156"/>
      <c r="X900" s="156"/>
      <c r="Y900" s="156"/>
      <c r="Z900" s="154"/>
      <c r="AA900" s="473"/>
      <c r="AB900" s="156"/>
      <c r="AC900" s="156"/>
      <c r="AD900" s="156"/>
      <c r="AE900" s="154"/>
      <c r="AF900" s="473"/>
      <c r="AG900" s="156"/>
      <c r="AH900" s="156"/>
      <c r="AI900" s="156"/>
      <c r="AJ900" s="154"/>
      <c r="AK900" s="473"/>
      <c r="AL900" s="156"/>
      <c r="AM900" s="156"/>
      <c r="AN900" s="156"/>
      <c r="AO900" s="452"/>
      <c r="AP900" s="452"/>
      <c r="AQ900" s="452"/>
      <c r="AR900" s="452"/>
      <c r="AS900" s="452"/>
      <c r="AT900" s="452"/>
      <c r="AU900" s="452"/>
      <c r="AV900" s="452"/>
      <c r="AW900" s="452"/>
      <c r="AX900" s="452"/>
      <c r="AY900" s="154"/>
      <c r="AZ900" s="473"/>
      <c r="BA900" s="156"/>
      <c r="BB900" s="156"/>
      <c r="BC900" s="156"/>
      <c r="BD900" s="452"/>
      <c r="BE900" s="452"/>
      <c r="BF900" s="452"/>
      <c r="BG900" s="452"/>
      <c r="BH900" s="452"/>
    </row>
    <row r="901">
      <c r="A901" s="154"/>
      <c r="B901" s="473"/>
      <c r="C901" s="156"/>
      <c r="D901" s="156"/>
      <c r="E901" s="156"/>
      <c r="F901" s="154"/>
      <c r="G901" s="473"/>
      <c r="H901" s="156"/>
      <c r="I901" s="156"/>
      <c r="J901" s="156"/>
      <c r="K901" s="132"/>
      <c r="L901" s="473"/>
      <c r="M901" s="156"/>
      <c r="N901" s="156"/>
      <c r="O901" s="156"/>
      <c r="P901" s="132"/>
      <c r="Q901" s="487"/>
      <c r="R901" s="156"/>
      <c r="S901" s="156"/>
      <c r="T901" s="156"/>
      <c r="U901" s="154"/>
      <c r="V901" s="473"/>
      <c r="W901" s="156"/>
      <c r="X901" s="156"/>
      <c r="Y901" s="156"/>
      <c r="Z901" s="154"/>
      <c r="AA901" s="473"/>
      <c r="AB901" s="156"/>
      <c r="AC901" s="156"/>
      <c r="AD901" s="156"/>
      <c r="AE901" s="154"/>
      <c r="AF901" s="473"/>
      <c r="AG901" s="156"/>
      <c r="AH901" s="156"/>
      <c r="AI901" s="156"/>
      <c r="AJ901" s="154"/>
      <c r="AK901" s="473"/>
      <c r="AL901" s="156"/>
      <c r="AM901" s="156"/>
      <c r="AN901" s="156"/>
      <c r="AO901" s="452"/>
      <c r="AP901" s="452"/>
      <c r="AQ901" s="452"/>
      <c r="AR901" s="452"/>
      <c r="AS901" s="452"/>
      <c r="AT901" s="452"/>
      <c r="AU901" s="452"/>
      <c r="AV901" s="452"/>
      <c r="AW901" s="452"/>
      <c r="AX901" s="452"/>
      <c r="AY901" s="154"/>
      <c r="AZ901" s="473"/>
      <c r="BA901" s="156"/>
      <c r="BB901" s="156"/>
      <c r="BC901" s="156"/>
      <c r="BD901" s="452"/>
      <c r="BE901" s="452"/>
      <c r="BF901" s="452"/>
      <c r="BG901" s="452"/>
      <c r="BH901" s="452"/>
    </row>
    <row r="902">
      <c r="A902" s="154"/>
      <c r="B902" s="473"/>
      <c r="C902" s="156"/>
      <c r="D902" s="156"/>
      <c r="E902" s="156"/>
      <c r="F902" s="154"/>
      <c r="G902" s="473"/>
      <c r="H902" s="156"/>
      <c r="I902" s="156"/>
      <c r="J902" s="156"/>
      <c r="K902" s="132"/>
      <c r="L902" s="473"/>
      <c r="M902" s="156"/>
      <c r="N902" s="156"/>
      <c r="O902" s="156"/>
      <c r="P902" s="132"/>
      <c r="Q902" s="487"/>
      <c r="R902" s="156"/>
      <c r="S902" s="156"/>
      <c r="T902" s="156"/>
      <c r="U902" s="154"/>
      <c r="V902" s="473"/>
      <c r="W902" s="156"/>
      <c r="X902" s="156"/>
      <c r="Y902" s="156"/>
      <c r="Z902" s="154"/>
      <c r="AA902" s="473"/>
      <c r="AB902" s="156"/>
      <c r="AC902" s="156"/>
      <c r="AD902" s="156"/>
      <c r="AE902" s="154"/>
      <c r="AF902" s="473"/>
      <c r="AG902" s="156"/>
      <c r="AH902" s="156"/>
      <c r="AI902" s="156"/>
      <c r="AJ902" s="154"/>
      <c r="AK902" s="473"/>
      <c r="AL902" s="156"/>
      <c r="AM902" s="156"/>
      <c r="AN902" s="156"/>
      <c r="AO902" s="452"/>
      <c r="AP902" s="452"/>
      <c r="AQ902" s="452"/>
      <c r="AR902" s="452"/>
      <c r="AS902" s="452"/>
      <c r="AT902" s="452"/>
      <c r="AU902" s="452"/>
      <c r="AV902" s="452"/>
      <c r="AW902" s="452"/>
      <c r="AX902" s="452"/>
      <c r="AY902" s="154"/>
      <c r="AZ902" s="473"/>
      <c r="BA902" s="156"/>
      <c r="BB902" s="156"/>
      <c r="BC902" s="156"/>
      <c r="BD902" s="452"/>
      <c r="BE902" s="452"/>
      <c r="BF902" s="452"/>
      <c r="BG902" s="452"/>
      <c r="BH902" s="452"/>
    </row>
    <row r="903">
      <c r="A903" s="154"/>
      <c r="B903" s="473"/>
      <c r="C903" s="156"/>
      <c r="D903" s="156"/>
      <c r="E903" s="156"/>
      <c r="F903" s="154"/>
      <c r="G903" s="473"/>
      <c r="H903" s="156"/>
      <c r="I903" s="156"/>
      <c r="J903" s="156"/>
      <c r="K903" s="132"/>
      <c r="L903" s="473"/>
      <c r="M903" s="156"/>
      <c r="N903" s="156"/>
      <c r="O903" s="156"/>
      <c r="P903" s="132"/>
      <c r="Q903" s="487"/>
      <c r="R903" s="156"/>
      <c r="S903" s="156"/>
      <c r="T903" s="156"/>
      <c r="U903" s="154"/>
      <c r="V903" s="473"/>
      <c r="W903" s="156"/>
      <c r="X903" s="156"/>
      <c r="Y903" s="156"/>
      <c r="Z903" s="154"/>
      <c r="AA903" s="473"/>
      <c r="AB903" s="156"/>
      <c r="AC903" s="156"/>
      <c r="AD903" s="156"/>
      <c r="AE903" s="154"/>
      <c r="AF903" s="473"/>
      <c r="AG903" s="156"/>
      <c r="AH903" s="156"/>
      <c r="AI903" s="156"/>
      <c r="AJ903" s="154"/>
      <c r="AK903" s="473"/>
      <c r="AL903" s="156"/>
      <c r="AM903" s="156"/>
      <c r="AN903" s="156"/>
      <c r="AO903" s="452"/>
      <c r="AP903" s="452"/>
      <c r="AQ903" s="452"/>
      <c r="AR903" s="452"/>
      <c r="AS903" s="452"/>
      <c r="AT903" s="452"/>
      <c r="AU903" s="452"/>
      <c r="AV903" s="452"/>
      <c r="AW903" s="452"/>
      <c r="AX903" s="452"/>
      <c r="AY903" s="154"/>
      <c r="AZ903" s="473"/>
      <c r="BA903" s="156"/>
      <c r="BB903" s="156"/>
      <c r="BC903" s="156"/>
      <c r="BD903" s="452"/>
      <c r="BE903" s="452"/>
      <c r="BF903" s="452"/>
      <c r="BG903" s="452"/>
      <c r="BH903" s="452"/>
    </row>
    <row r="904">
      <c r="A904" s="154"/>
      <c r="B904" s="473"/>
      <c r="C904" s="156"/>
      <c r="D904" s="156"/>
      <c r="E904" s="156"/>
      <c r="F904" s="154"/>
      <c r="G904" s="473"/>
      <c r="H904" s="156"/>
      <c r="I904" s="156"/>
      <c r="J904" s="156"/>
      <c r="K904" s="132"/>
      <c r="L904" s="473"/>
      <c r="M904" s="156"/>
      <c r="N904" s="156"/>
      <c r="O904" s="156"/>
      <c r="P904" s="132"/>
      <c r="Q904" s="487"/>
      <c r="R904" s="156"/>
      <c r="S904" s="156"/>
      <c r="T904" s="156"/>
      <c r="U904" s="154"/>
      <c r="V904" s="473"/>
      <c r="W904" s="156"/>
      <c r="X904" s="156"/>
      <c r="Y904" s="156"/>
      <c r="Z904" s="154"/>
      <c r="AA904" s="473"/>
      <c r="AB904" s="156"/>
      <c r="AC904" s="156"/>
      <c r="AD904" s="156"/>
      <c r="AE904" s="154"/>
      <c r="AF904" s="473"/>
      <c r="AG904" s="156"/>
      <c r="AH904" s="156"/>
      <c r="AI904" s="156"/>
      <c r="AJ904" s="154"/>
      <c r="AK904" s="473"/>
      <c r="AL904" s="156"/>
      <c r="AM904" s="156"/>
      <c r="AN904" s="156"/>
      <c r="AO904" s="452"/>
      <c r="AP904" s="452"/>
      <c r="AQ904" s="452"/>
      <c r="AR904" s="452"/>
      <c r="AS904" s="452"/>
      <c r="AT904" s="452"/>
      <c r="AU904" s="452"/>
      <c r="AV904" s="452"/>
      <c r="AW904" s="452"/>
      <c r="AX904" s="452"/>
      <c r="AY904" s="154"/>
      <c r="AZ904" s="473"/>
      <c r="BA904" s="156"/>
      <c r="BB904" s="156"/>
      <c r="BC904" s="156"/>
      <c r="BD904" s="452"/>
      <c r="BE904" s="452"/>
      <c r="BF904" s="452"/>
      <c r="BG904" s="452"/>
      <c r="BH904" s="452"/>
    </row>
    <row r="905">
      <c r="A905" s="154"/>
      <c r="B905" s="473"/>
      <c r="C905" s="156"/>
      <c r="D905" s="156"/>
      <c r="E905" s="156"/>
      <c r="F905" s="154"/>
      <c r="G905" s="473"/>
      <c r="H905" s="156"/>
      <c r="I905" s="156"/>
      <c r="J905" s="156"/>
      <c r="K905" s="132"/>
      <c r="L905" s="473"/>
      <c r="M905" s="156"/>
      <c r="N905" s="156"/>
      <c r="O905" s="156"/>
      <c r="P905" s="132"/>
      <c r="Q905" s="487"/>
      <c r="R905" s="156"/>
      <c r="S905" s="156"/>
      <c r="T905" s="156"/>
      <c r="U905" s="154"/>
      <c r="V905" s="473"/>
      <c r="W905" s="156"/>
      <c r="X905" s="156"/>
      <c r="Y905" s="156"/>
      <c r="Z905" s="154"/>
      <c r="AA905" s="473"/>
      <c r="AB905" s="156"/>
      <c r="AC905" s="156"/>
      <c r="AD905" s="156"/>
      <c r="AE905" s="154"/>
      <c r="AF905" s="473"/>
      <c r="AG905" s="156"/>
      <c r="AH905" s="156"/>
      <c r="AI905" s="156"/>
      <c r="AJ905" s="154"/>
      <c r="AK905" s="473"/>
      <c r="AL905" s="156"/>
      <c r="AM905" s="156"/>
      <c r="AN905" s="156"/>
      <c r="AO905" s="452"/>
      <c r="AP905" s="452"/>
      <c r="AQ905" s="452"/>
      <c r="AR905" s="452"/>
      <c r="AS905" s="452"/>
      <c r="AT905" s="452"/>
      <c r="AU905" s="452"/>
      <c r="AV905" s="452"/>
      <c r="AW905" s="452"/>
      <c r="AX905" s="452"/>
      <c r="AY905" s="154"/>
      <c r="AZ905" s="473"/>
      <c r="BA905" s="156"/>
      <c r="BB905" s="156"/>
      <c r="BC905" s="156"/>
      <c r="BD905" s="452"/>
      <c r="BE905" s="452"/>
      <c r="BF905" s="452"/>
      <c r="BG905" s="452"/>
      <c r="BH905" s="452"/>
    </row>
    <row r="906">
      <c r="A906" s="154"/>
      <c r="B906" s="473"/>
      <c r="C906" s="156"/>
      <c r="D906" s="156"/>
      <c r="E906" s="156"/>
      <c r="F906" s="154"/>
      <c r="G906" s="473"/>
      <c r="H906" s="156"/>
      <c r="I906" s="156"/>
      <c r="J906" s="156"/>
      <c r="K906" s="132"/>
      <c r="L906" s="473"/>
      <c r="M906" s="156"/>
      <c r="N906" s="156"/>
      <c r="O906" s="156"/>
      <c r="P906" s="132"/>
      <c r="Q906" s="487"/>
      <c r="R906" s="156"/>
      <c r="S906" s="156"/>
      <c r="T906" s="156"/>
      <c r="U906" s="154"/>
      <c r="V906" s="473"/>
      <c r="W906" s="156"/>
      <c r="X906" s="156"/>
      <c r="Y906" s="156"/>
      <c r="Z906" s="154"/>
      <c r="AA906" s="473"/>
      <c r="AB906" s="156"/>
      <c r="AC906" s="156"/>
      <c r="AD906" s="156"/>
      <c r="AE906" s="154"/>
      <c r="AF906" s="473"/>
      <c r="AG906" s="156"/>
      <c r="AH906" s="156"/>
      <c r="AI906" s="156"/>
      <c r="AJ906" s="154"/>
      <c r="AK906" s="473"/>
      <c r="AL906" s="156"/>
      <c r="AM906" s="156"/>
      <c r="AN906" s="156"/>
      <c r="AO906" s="452"/>
      <c r="AP906" s="452"/>
      <c r="AQ906" s="452"/>
      <c r="AR906" s="452"/>
      <c r="AS906" s="452"/>
      <c r="AT906" s="452"/>
      <c r="AU906" s="452"/>
      <c r="AV906" s="452"/>
      <c r="AW906" s="452"/>
      <c r="AX906" s="452"/>
      <c r="AY906" s="154"/>
      <c r="AZ906" s="473"/>
      <c r="BA906" s="156"/>
      <c r="BB906" s="156"/>
      <c r="BC906" s="156"/>
      <c r="BD906" s="452"/>
      <c r="BE906" s="452"/>
      <c r="BF906" s="452"/>
      <c r="BG906" s="452"/>
      <c r="BH906" s="452"/>
    </row>
    <row r="907">
      <c r="A907" s="154"/>
      <c r="B907" s="473"/>
      <c r="C907" s="156"/>
      <c r="D907" s="156"/>
      <c r="E907" s="156"/>
      <c r="F907" s="154"/>
      <c r="G907" s="473"/>
      <c r="H907" s="156"/>
      <c r="I907" s="156"/>
      <c r="J907" s="156"/>
      <c r="K907" s="132"/>
      <c r="L907" s="473"/>
      <c r="M907" s="156"/>
      <c r="N907" s="156"/>
      <c r="O907" s="156"/>
      <c r="P907" s="132"/>
      <c r="Q907" s="487"/>
      <c r="R907" s="156"/>
      <c r="S907" s="156"/>
      <c r="T907" s="156"/>
      <c r="U907" s="154"/>
      <c r="V907" s="473"/>
      <c r="W907" s="156"/>
      <c r="X907" s="156"/>
      <c r="Y907" s="156"/>
      <c r="Z907" s="154"/>
      <c r="AA907" s="473"/>
      <c r="AB907" s="156"/>
      <c r="AC907" s="156"/>
      <c r="AD907" s="156"/>
      <c r="AE907" s="154"/>
      <c r="AF907" s="473"/>
      <c r="AG907" s="156"/>
      <c r="AH907" s="156"/>
      <c r="AI907" s="156"/>
      <c r="AJ907" s="154"/>
      <c r="AK907" s="473"/>
      <c r="AL907" s="156"/>
      <c r="AM907" s="156"/>
      <c r="AN907" s="156"/>
      <c r="AO907" s="452"/>
      <c r="AP907" s="452"/>
      <c r="AQ907" s="452"/>
      <c r="AR907" s="452"/>
      <c r="AS907" s="452"/>
      <c r="AT907" s="452"/>
      <c r="AU907" s="452"/>
      <c r="AV907" s="452"/>
      <c r="AW907" s="452"/>
      <c r="AX907" s="452"/>
      <c r="AY907" s="154"/>
      <c r="AZ907" s="473"/>
      <c r="BA907" s="156"/>
      <c r="BB907" s="156"/>
      <c r="BC907" s="156"/>
      <c r="BD907" s="452"/>
      <c r="BE907" s="452"/>
      <c r="BF907" s="452"/>
      <c r="BG907" s="452"/>
      <c r="BH907" s="452"/>
    </row>
    <row r="908">
      <c r="A908" s="154"/>
      <c r="B908" s="473"/>
      <c r="C908" s="156"/>
      <c r="D908" s="156"/>
      <c r="E908" s="156"/>
      <c r="F908" s="154"/>
      <c r="G908" s="473"/>
      <c r="H908" s="156"/>
      <c r="I908" s="156"/>
      <c r="J908" s="156"/>
      <c r="K908" s="132"/>
      <c r="L908" s="473"/>
      <c r="M908" s="156"/>
      <c r="N908" s="156"/>
      <c r="O908" s="156"/>
      <c r="P908" s="132"/>
      <c r="Q908" s="487"/>
      <c r="R908" s="156"/>
      <c r="S908" s="156"/>
      <c r="T908" s="156"/>
      <c r="U908" s="154"/>
      <c r="V908" s="473"/>
      <c r="W908" s="156"/>
      <c r="X908" s="156"/>
      <c r="Y908" s="156"/>
      <c r="Z908" s="154"/>
      <c r="AA908" s="473"/>
      <c r="AB908" s="156"/>
      <c r="AC908" s="156"/>
      <c r="AD908" s="156"/>
      <c r="AE908" s="154"/>
      <c r="AF908" s="473"/>
      <c r="AG908" s="156"/>
      <c r="AH908" s="156"/>
      <c r="AI908" s="156"/>
      <c r="AJ908" s="154"/>
      <c r="AK908" s="473"/>
      <c r="AL908" s="156"/>
      <c r="AM908" s="156"/>
      <c r="AN908" s="156"/>
      <c r="AO908" s="452"/>
      <c r="AP908" s="452"/>
      <c r="AQ908" s="452"/>
      <c r="AR908" s="452"/>
      <c r="AS908" s="452"/>
      <c r="AT908" s="452"/>
      <c r="AU908" s="452"/>
      <c r="AV908" s="452"/>
      <c r="AW908" s="452"/>
      <c r="AX908" s="452"/>
      <c r="AY908" s="154"/>
      <c r="AZ908" s="473"/>
      <c r="BA908" s="156"/>
      <c r="BB908" s="156"/>
      <c r="BC908" s="156"/>
      <c r="BD908" s="452"/>
      <c r="BE908" s="452"/>
      <c r="BF908" s="452"/>
      <c r="BG908" s="452"/>
      <c r="BH908" s="452"/>
    </row>
    <row r="909">
      <c r="A909" s="154"/>
      <c r="B909" s="473"/>
      <c r="C909" s="156"/>
      <c r="D909" s="156"/>
      <c r="E909" s="156"/>
      <c r="F909" s="154"/>
      <c r="G909" s="473"/>
      <c r="H909" s="156"/>
      <c r="I909" s="156"/>
      <c r="J909" s="156"/>
      <c r="K909" s="132"/>
      <c r="L909" s="473"/>
      <c r="M909" s="156"/>
      <c r="N909" s="156"/>
      <c r="O909" s="156"/>
      <c r="P909" s="132"/>
      <c r="Q909" s="487"/>
      <c r="R909" s="156"/>
      <c r="S909" s="156"/>
      <c r="T909" s="156"/>
      <c r="U909" s="154"/>
      <c r="V909" s="473"/>
      <c r="W909" s="156"/>
      <c r="X909" s="156"/>
      <c r="Y909" s="156"/>
      <c r="Z909" s="154"/>
      <c r="AA909" s="473"/>
      <c r="AB909" s="156"/>
      <c r="AC909" s="156"/>
      <c r="AD909" s="156"/>
      <c r="AE909" s="154"/>
      <c r="AF909" s="473"/>
      <c r="AG909" s="156"/>
      <c r="AH909" s="156"/>
      <c r="AI909" s="156"/>
      <c r="AJ909" s="154"/>
      <c r="AK909" s="473"/>
      <c r="AL909" s="156"/>
      <c r="AM909" s="156"/>
      <c r="AN909" s="156"/>
      <c r="AO909" s="452"/>
      <c r="AP909" s="452"/>
      <c r="AQ909" s="452"/>
      <c r="AR909" s="452"/>
      <c r="AS909" s="452"/>
      <c r="AT909" s="452"/>
      <c r="AU909" s="452"/>
      <c r="AV909" s="452"/>
      <c r="AW909" s="452"/>
      <c r="AX909" s="452"/>
      <c r="AY909" s="154"/>
      <c r="AZ909" s="473"/>
      <c r="BA909" s="156"/>
      <c r="BB909" s="156"/>
      <c r="BC909" s="156"/>
      <c r="BD909" s="452"/>
      <c r="BE909" s="452"/>
      <c r="BF909" s="452"/>
      <c r="BG909" s="452"/>
      <c r="BH909" s="452"/>
    </row>
    <row r="910">
      <c r="A910" s="154"/>
      <c r="B910" s="473"/>
      <c r="C910" s="156"/>
      <c r="D910" s="156"/>
      <c r="E910" s="156"/>
      <c r="F910" s="154"/>
      <c r="G910" s="473"/>
      <c r="H910" s="156"/>
      <c r="I910" s="156"/>
      <c r="J910" s="156"/>
      <c r="K910" s="132"/>
      <c r="L910" s="473"/>
      <c r="M910" s="156"/>
      <c r="N910" s="156"/>
      <c r="O910" s="156"/>
      <c r="P910" s="132"/>
      <c r="Q910" s="487"/>
      <c r="R910" s="156"/>
      <c r="S910" s="156"/>
      <c r="T910" s="156"/>
      <c r="U910" s="154"/>
      <c r="V910" s="473"/>
      <c r="W910" s="156"/>
      <c r="X910" s="156"/>
      <c r="Y910" s="156"/>
      <c r="Z910" s="154"/>
      <c r="AA910" s="473"/>
      <c r="AB910" s="156"/>
      <c r="AC910" s="156"/>
      <c r="AD910" s="156"/>
      <c r="AE910" s="154"/>
      <c r="AF910" s="473"/>
      <c r="AG910" s="156"/>
      <c r="AH910" s="156"/>
      <c r="AI910" s="156"/>
      <c r="AJ910" s="154"/>
      <c r="AK910" s="473"/>
      <c r="AL910" s="156"/>
      <c r="AM910" s="156"/>
      <c r="AN910" s="156"/>
      <c r="AO910" s="452"/>
      <c r="AP910" s="452"/>
      <c r="AQ910" s="452"/>
      <c r="AR910" s="452"/>
      <c r="AS910" s="452"/>
      <c r="AT910" s="452"/>
      <c r="AU910" s="452"/>
      <c r="AV910" s="452"/>
      <c r="AW910" s="452"/>
      <c r="AX910" s="452"/>
      <c r="AY910" s="154"/>
      <c r="AZ910" s="473"/>
      <c r="BA910" s="156"/>
      <c r="BB910" s="156"/>
      <c r="BC910" s="156"/>
      <c r="BD910" s="452"/>
      <c r="BE910" s="452"/>
      <c r="BF910" s="452"/>
      <c r="BG910" s="452"/>
      <c r="BH910" s="452"/>
    </row>
    <row r="911">
      <c r="A911" s="154"/>
      <c r="B911" s="473"/>
      <c r="C911" s="156"/>
      <c r="D911" s="156"/>
      <c r="E911" s="156"/>
      <c r="F911" s="154"/>
      <c r="G911" s="473"/>
      <c r="H911" s="156"/>
      <c r="I911" s="156"/>
      <c r="J911" s="156"/>
      <c r="K911" s="132"/>
      <c r="L911" s="473"/>
      <c r="M911" s="156"/>
      <c r="N911" s="156"/>
      <c r="O911" s="156"/>
      <c r="P911" s="132"/>
      <c r="Q911" s="487"/>
      <c r="R911" s="156"/>
      <c r="S911" s="156"/>
      <c r="T911" s="156"/>
      <c r="U911" s="154"/>
      <c r="V911" s="473"/>
      <c r="W911" s="156"/>
      <c r="X911" s="156"/>
      <c r="Y911" s="156"/>
      <c r="Z911" s="154"/>
      <c r="AA911" s="473"/>
      <c r="AB911" s="156"/>
      <c r="AC911" s="156"/>
      <c r="AD911" s="156"/>
      <c r="AE911" s="154"/>
      <c r="AF911" s="473"/>
      <c r="AG911" s="156"/>
      <c r="AH911" s="156"/>
      <c r="AI911" s="156"/>
      <c r="AJ911" s="154"/>
      <c r="AK911" s="473"/>
      <c r="AL911" s="156"/>
      <c r="AM911" s="156"/>
      <c r="AN911" s="156"/>
      <c r="AO911" s="452"/>
      <c r="AP911" s="452"/>
      <c r="AQ911" s="452"/>
      <c r="AR911" s="452"/>
      <c r="AS911" s="452"/>
      <c r="AT911" s="452"/>
      <c r="AU911" s="452"/>
      <c r="AV911" s="452"/>
      <c r="AW911" s="452"/>
      <c r="AX911" s="452"/>
      <c r="AY911" s="154"/>
      <c r="AZ911" s="473"/>
      <c r="BA911" s="156"/>
      <c r="BB911" s="156"/>
      <c r="BC911" s="156"/>
      <c r="BD911" s="452"/>
      <c r="BE911" s="452"/>
      <c r="BF911" s="452"/>
      <c r="BG911" s="452"/>
      <c r="BH911" s="452"/>
    </row>
    <row r="912">
      <c r="A912" s="154"/>
      <c r="B912" s="473"/>
      <c r="C912" s="156"/>
      <c r="D912" s="156"/>
      <c r="E912" s="156"/>
      <c r="F912" s="154"/>
      <c r="G912" s="473"/>
      <c r="H912" s="156"/>
      <c r="I912" s="156"/>
      <c r="J912" s="156"/>
      <c r="K912" s="132"/>
      <c r="L912" s="473"/>
      <c r="M912" s="156"/>
      <c r="N912" s="156"/>
      <c r="O912" s="156"/>
      <c r="P912" s="132"/>
      <c r="Q912" s="487"/>
      <c r="R912" s="156"/>
      <c r="S912" s="156"/>
      <c r="T912" s="156"/>
      <c r="U912" s="154"/>
      <c r="V912" s="473"/>
      <c r="W912" s="156"/>
      <c r="X912" s="156"/>
      <c r="Y912" s="156"/>
      <c r="Z912" s="154"/>
      <c r="AA912" s="473"/>
      <c r="AB912" s="156"/>
      <c r="AC912" s="156"/>
      <c r="AD912" s="156"/>
      <c r="AE912" s="154"/>
      <c r="AF912" s="473"/>
      <c r="AG912" s="156"/>
      <c r="AH912" s="156"/>
      <c r="AI912" s="156"/>
      <c r="AJ912" s="154"/>
      <c r="AK912" s="473"/>
      <c r="AL912" s="156"/>
      <c r="AM912" s="156"/>
      <c r="AN912" s="156"/>
      <c r="AO912" s="452"/>
      <c r="AP912" s="452"/>
      <c r="AQ912" s="452"/>
      <c r="AR912" s="452"/>
      <c r="AS912" s="452"/>
      <c r="AT912" s="452"/>
      <c r="AU912" s="452"/>
      <c r="AV912" s="452"/>
      <c r="AW912" s="452"/>
      <c r="AX912" s="452"/>
      <c r="AY912" s="154"/>
      <c r="AZ912" s="473"/>
      <c r="BA912" s="156"/>
      <c r="BB912" s="156"/>
      <c r="BC912" s="156"/>
      <c r="BD912" s="452"/>
      <c r="BE912" s="452"/>
      <c r="BF912" s="452"/>
      <c r="BG912" s="452"/>
      <c r="BH912" s="452"/>
    </row>
    <row r="913">
      <c r="A913" s="154"/>
      <c r="B913" s="473"/>
      <c r="C913" s="156"/>
      <c r="D913" s="156"/>
      <c r="E913" s="156"/>
      <c r="F913" s="154"/>
      <c r="G913" s="473"/>
      <c r="H913" s="156"/>
      <c r="I913" s="156"/>
      <c r="J913" s="156"/>
      <c r="K913" s="132"/>
      <c r="L913" s="473"/>
      <c r="M913" s="156"/>
      <c r="N913" s="156"/>
      <c r="O913" s="156"/>
      <c r="P913" s="132"/>
      <c r="Q913" s="487"/>
      <c r="R913" s="156"/>
      <c r="S913" s="156"/>
      <c r="T913" s="156"/>
      <c r="U913" s="154"/>
      <c r="V913" s="473"/>
      <c r="W913" s="156"/>
      <c r="X913" s="156"/>
      <c r="Y913" s="156"/>
      <c r="Z913" s="154"/>
      <c r="AA913" s="473"/>
      <c r="AB913" s="156"/>
      <c r="AC913" s="156"/>
      <c r="AD913" s="156"/>
      <c r="AE913" s="154"/>
      <c r="AF913" s="473"/>
      <c r="AG913" s="156"/>
      <c r="AH913" s="156"/>
      <c r="AI913" s="156"/>
      <c r="AJ913" s="154"/>
      <c r="AK913" s="473"/>
      <c r="AL913" s="156"/>
      <c r="AM913" s="156"/>
      <c r="AN913" s="156"/>
      <c r="AO913" s="452"/>
      <c r="AP913" s="452"/>
      <c r="AQ913" s="452"/>
      <c r="AR913" s="452"/>
      <c r="AS913" s="452"/>
      <c r="AT913" s="452"/>
      <c r="AU913" s="452"/>
      <c r="AV913" s="452"/>
      <c r="AW913" s="452"/>
      <c r="AX913" s="452"/>
      <c r="AY913" s="154"/>
      <c r="AZ913" s="473"/>
      <c r="BA913" s="156"/>
      <c r="BB913" s="156"/>
      <c r="BC913" s="156"/>
      <c r="BD913" s="452"/>
      <c r="BE913" s="452"/>
      <c r="BF913" s="452"/>
      <c r="BG913" s="452"/>
      <c r="BH913" s="452"/>
    </row>
    <row r="914">
      <c r="A914" s="154"/>
      <c r="B914" s="473"/>
      <c r="C914" s="156"/>
      <c r="D914" s="156"/>
      <c r="E914" s="156"/>
      <c r="F914" s="154"/>
      <c r="G914" s="473"/>
      <c r="H914" s="156"/>
      <c r="I914" s="156"/>
      <c r="J914" s="156"/>
      <c r="K914" s="132"/>
      <c r="L914" s="473"/>
      <c r="M914" s="156"/>
      <c r="N914" s="156"/>
      <c r="O914" s="156"/>
      <c r="P914" s="132"/>
      <c r="Q914" s="487"/>
      <c r="R914" s="156"/>
      <c r="S914" s="156"/>
      <c r="T914" s="156"/>
      <c r="U914" s="154"/>
      <c r="V914" s="473"/>
      <c r="W914" s="156"/>
      <c r="X914" s="156"/>
      <c r="Y914" s="156"/>
      <c r="Z914" s="154"/>
      <c r="AA914" s="473"/>
      <c r="AB914" s="156"/>
      <c r="AC914" s="156"/>
      <c r="AD914" s="156"/>
      <c r="AE914" s="154"/>
      <c r="AF914" s="473"/>
      <c r="AG914" s="156"/>
      <c r="AH914" s="156"/>
      <c r="AI914" s="156"/>
      <c r="AJ914" s="154"/>
      <c r="AK914" s="473"/>
      <c r="AL914" s="156"/>
      <c r="AM914" s="156"/>
      <c r="AN914" s="156"/>
      <c r="AO914" s="452"/>
      <c r="AP914" s="452"/>
      <c r="AQ914" s="452"/>
      <c r="AR914" s="452"/>
      <c r="AS914" s="452"/>
      <c r="AT914" s="452"/>
      <c r="AU914" s="452"/>
      <c r="AV914" s="452"/>
      <c r="AW914" s="452"/>
      <c r="AX914" s="452"/>
      <c r="AY914" s="154"/>
      <c r="AZ914" s="473"/>
      <c r="BA914" s="156"/>
      <c r="BB914" s="156"/>
      <c r="BC914" s="156"/>
      <c r="BD914" s="452"/>
      <c r="BE914" s="452"/>
      <c r="BF914" s="452"/>
      <c r="BG914" s="452"/>
      <c r="BH914" s="452"/>
    </row>
    <row r="915">
      <c r="A915" s="154"/>
      <c r="B915" s="473"/>
      <c r="C915" s="156"/>
      <c r="D915" s="156"/>
      <c r="E915" s="156"/>
      <c r="F915" s="154"/>
      <c r="G915" s="473"/>
      <c r="H915" s="156"/>
      <c r="I915" s="156"/>
      <c r="J915" s="156"/>
      <c r="K915" s="132"/>
      <c r="L915" s="473"/>
      <c r="M915" s="156"/>
      <c r="N915" s="156"/>
      <c r="O915" s="156"/>
      <c r="P915" s="132"/>
      <c r="Q915" s="487"/>
      <c r="R915" s="156"/>
      <c r="S915" s="156"/>
      <c r="T915" s="156"/>
      <c r="U915" s="154"/>
      <c r="V915" s="473"/>
      <c r="W915" s="156"/>
      <c r="X915" s="156"/>
      <c r="Y915" s="156"/>
      <c r="Z915" s="154"/>
      <c r="AA915" s="473"/>
      <c r="AB915" s="156"/>
      <c r="AC915" s="156"/>
      <c r="AD915" s="156"/>
      <c r="AE915" s="154"/>
      <c r="AF915" s="473"/>
      <c r="AG915" s="156"/>
      <c r="AH915" s="156"/>
      <c r="AI915" s="156"/>
      <c r="AJ915" s="154"/>
      <c r="AK915" s="473"/>
      <c r="AL915" s="156"/>
      <c r="AM915" s="156"/>
      <c r="AN915" s="156"/>
      <c r="AO915" s="452"/>
      <c r="AP915" s="452"/>
      <c r="AQ915" s="452"/>
      <c r="AR915" s="452"/>
      <c r="AS915" s="452"/>
      <c r="AT915" s="452"/>
      <c r="AU915" s="452"/>
      <c r="AV915" s="452"/>
      <c r="AW915" s="452"/>
      <c r="AX915" s="452"/>
      <c r="AY915" s="154"/>
      <c r="AZ915" s="473"/>
      <c r="BA915" s="156"/>
      <c r="BB915" s="156"/>
      <c r="BC915" s="156"/>
      <c r="BD915" s="452"/>
      <c r="BE915" s="452"/>
      <c r="BF915" s="452"/>
      <c r="BG915" s="452"/>
      <c r="BH915" s="452"/>
    </row>
    <row r="916">
      <c r="A916" s="154"/>
      <c r="B916" s="473"/>
      <c r="C916" s="156"/>
      <c r="D916" s="156"/>
      <c r="E916" s="156"/>
      <c r="F916" s="154"/>
      <c r="G916" s="473"/>
      <c r="H916" s="156"/>
      <c r="I916" s="156"/>
      <c r="J916" s="156"/>
      <c r="K916" s="132"/>
      <c r="L916" s="473"/>
      <c r="M916" s="156"/>
      <c r="N916" s="156"/>
      <c r="O916" s="156"/>
      <c r="P916" s="132"/>
      <c r="Q916" s="487"/>
      <c r="R916" s="156"/>
      <c r="S916" s="156"/>
      <c r="T916" s="156"/>
      <c r="U916" s="154"/>
      <c r="V916" s="473"/>
      <c r="W916" s="156"/>
      <c r="X916" s="156"/>
      <c r="Y916" s="156"/>
      <c r="Z916" s="154"/>
      <c r="AA916" s="473"/>
      <c r="AB916" s="156"/>
      <c r="AC916" s="156"/>
      <c r="AD916" s="156"/>
      <c r="AE916" s="154"/>
      <c r="AF916" s="473"/>
      <c r="AG916" s="156"/>
      <c r="AH916" s="156"/>
      <c r="AI916" s="156"/>
      <c r="AJ916" s="154"/>
      <c r="AK916" s="473"/>
      <c r="AL916" s="156"/>
      <c r="AM916" s="156"/>
      <c r="AN916" s="156"/>
      <c r="AO916" s="452"/>
      <c r="AP916" s="452"/>
      <c r="AQ916" s="452"/>
      <c r="AR916" s="452"/>
      <c r="AS916" s="452"/>
      <c r="AT916" s="452"/>
      <c r="AU916" s="452"/>
      <c r="AV916" s="452"/>
      <c r="AW916" s="452"/>
      <c r="AX916" s="452"/>
      <c r="AY916" s="154"/>
      <c r="AZ916" s="473"/>
      <c r="BA916" s="156"/>
      <c r="BB916" s="156"/>
      <c r="BC916" s="156"/>
      <c r="BD916" s="452"/>
      <c r="BE916" s="452"/>
      <c r="BF916" s="452"/>
      <c r="BG916" s="452"/>
      <c r="BH916" s="452"/>
    </row>
    <row r="917">
      <c r="A917" s="154"/>
      <c r="B917" s="473"/>
      <c r="C917" s="156"/>
      <c r="D917" s="156"/>
      <c r="E917" s="156"/>
      <c r="F917" s="154"/>
      <c r="G917" s="473"/>
      <c r="H917" s="156"/>
      <c r="I917" s="156"/>
      <c r="J917" s="156"/>
      <c r="K917" s="132"/>
      <c r="L917" s="473"/>
      <c r="M917" s="156"/>
      <c r="N917" s="156"/>
      <c r="O917" s="156"/>
      <c r="P917" s="132"/>
      <c r="Q917" s="487"/>
      <c r="R917" s="156"/>
      <c r="S917" s="156"/>
      <c r="T917" s="156"/>
      <c r="U917" s="154"/>
      <c r="V917" s="473"/>
      <c r="W917" s="156"/>
      <c r="X917" s="156"/>
      <c r="Y917" s="156"/>
      <c r="Z917" s="154"/>
      <c r="AA917" s="473"/>
      <c r="AB917" s="156"/>
      <c r="AC917" s="156"/>
      <c r="AD917" s="156"/>
      <c r="AE917" s="154"/>
      <c r="AF917" s="473"/>
      <c r="AG917" s="156"/>
      <c r="AH917" s="156"/>
      <c r="AI917" s="156"/>
      <c r="AJ917" s="154"/>
      <c r="AK917" s="473"/>
      <c r="AL917" s="156"/>
      <c r="AM917" s="156"/>
      <c r="AN917" s="156"/>
      <c r="AO917" s="452"/>
      <c r="AP917" s="452"/>
      <c r="AQ917" s="452"/>
      <c r="AR917" s="452"/>
      <c r="AS917" s="452"/>
      <c r="AT917" s="452"/>
      <c r="AU917" s="452"/>
      <c r="AV917" s="452"/>
      <c r="AW917" s="452"/>
      <c r="AX917" s="452"/>
      <c r="AY917" s="154"/>
      <c r="AZ917" s="473"/>
      <c r="BA917" s="156"/>
      <c r="BB917" s="156"/>
      <c r="BC917" s="156"/>
      <c r="BD917" s="452"/>
      <c r="BE917" s="452"/>
      <c r="BF917" s="452"/>
      <c r="BG917" s="452"/>
      <c r="BH917" s="452"/>
    </row>
    <row r="918">
      <c r="A918" s="154"/>
      <c r="B918" s="473"/>
      <c r="C918" s="156"/>
      <c r="D918" s="156"/>
      <c r="E918" s="156"/>
      <c r="F918" s="154"/>
      <c r="G918" s="473"/>
      <c r="H918" s="156"/>
      <c r="I918" s="156"/>
      <c r="J918" s="156"/>
      <c r="K918" s="132"/>
      <c r="L918" s="473"/>
      <c r="M918" s="156"/>
      <c r="N918" s="156"/>
      <c r="O918" s="156"/>
      <c r="P918" s="132"/>
      <c r="Q918" s="487"/>
      <c r="R918" s="156"/>
      <c r="S918" s="156"/>
      <c r="T918" s="156"/>
      <c r="U918" s="154"/>
      <c r="V918" s="473"/>
      <c r="W918" s="156"/>
      <c r="X918" s="156"/>
      <c r="Y918" s="156"/>
      <c r="Z918" s="154"/>
      <c r="AA918" s="473"/>
      <c r="AB918" s="156"/>
      <c r="AC918" s="156"/>
      <c r="AD918" s="156"/>
      <c r="AE918" s="154"/>
      <c r="AF918" s="473"/>
      <c r="AG918" s="156"/>
      <c r="AH918" s="156"/>
      <c r="AI918" s="156"/>
      <c r="AJ918" s="154"/>
      <c r="AK918" s="473"/>
      <c r="AL918" s="156"/>
      <c r="AM918" s="156"/>
      <c r="AN918" s="156"/>
      <c r="AO918" s="452"/>
      <c r="AP918" s="452"/>
      <c r="AQ918" s="452"/>
      <c r="AR918" s="452"/>
      <c r="AS918" s="452"/>
      <c r="AT918" s="452"/>
      <c r="AU918" s="452"/>
      <c r="AV918" s="452"/>
      <c r="AW918" s="452"/>
      <c r="AX918" s="452"/>
      <c r="AY918" s="154"/>
      <c r="AZ918" s="473"/>
      <c r="BA918" s="156"/>
      <c r="BB918" s="156"/>
      <c r="BC918" s="156"/>
      <c r="BD918" s="452"/>
      <c r="BE918" s="452"/>
      <c r="BF918" s="452"/>
      <c r="BG918" s="452"/>
      <c r="BH918" s="452"/>
    </row>
    <row r="919">
      <c r="A919" s="154"/>
      <c r="B919" s="473"/>
      <c r="C919" s="156"/>
      <c r="D919" s="156"/>
      <c r="E919" s="156"/>
      <c r="F919" s="154"/>
      <c r="G919" s="473"/>
      <c r="H919" s="156"/>
      <c r="I919" s="156"/>
      <c r="J919" s="156"/>
      <c r="K919" s="132"/>
      <c r="L919" s="473"/>
      <c r="M919" s="156"/>
      <c r="N919" s="156"/>
      <c r="O919" s="156"/>
      <c r="P919" s="132"/>
      <c r="Q919" s="487"/>
      <c r="R919" s="156"/>
      <c r="S919" s="156"/>
      <c r="T919" s="156"/>
      <c r="U919" s="154"/>
      <c r="V919" s="473"/>
      <c r="W919" s="156"/>
      <c r="X919" s="156"/>
      <c r="Y919" s="156"/>
      <c r="Z919" s="154"/>
      <c r="AA919" s="473"/>
      <c r="AB919" s="156"/>
      <c r="AC919" s="156"/>
      <c r="AD919" s="156"/>
      <c r="AE919" s="154"/>
      <c r="AF919" s="473"/>
      <c r="AG919" s="156"/>
      <c r="AH919" s="156"/>
      <c r="AI919" s="156"/>
      <c r="AJ919" s="154"/>
      <c r="AK919" s="473"/>
      <c r="AL919" s="156"/>
      <c r="AM919" s="156"/>
      <c r="AN919" s="156"/>
      <c r="AO919" s="452"/>
      <c r="AP919" s="452"/>
      <c r="AQ919" s="452"/>
      <c r="AR919" s="452"/>
      <c r="AS919" s="452"/>
      <c r="AT919" s="452"/>
      <c r="AU919" s="452"/>
      <c r="AV919" s="452"/>
      <c r="AW919" s="452"/>
      <c r="AX919" s="452"/>
      <c r="AY919" s="154"/>
      <c r="AZ919" s="473"/>
      <c r="BA919" s="156"/>
      <c r="BB919" s="156"/>
      <c r="BC919" s="156"/>
      <c r="BD919" s="452"/>
      <c r="BE919" s="452"/>
      <c r="BF919" s="452"/>
      <c r="BG919" s="452"/>
      <c r="BH919" s="452"/>
    </row>
    <row r="920">
      <c r="A920" s="154"/>
      <c r="B920" s="473"/>
      <c r="C920" s="156"/>
      <c r="D920" s="156"/>
      <c r="E920" s="156"/>
      <c r="F920" s="154"/>
      <c r="G920" s="473"/>
      <c r="H920" s="156"/>
      <c r="I920" s="156"/>
      <c r="J920" s="156"/>
      <c r="K920" s="132"/>
      <c r="L920" s="473"/>
      <c r="M920" s="156"/>
      <c r="N920" s="156"/>
      <c r="O920" s="156"/>
      <c r="P920" s="132"/>
      <c r="Q920" s="487"/>
      <c r="R920" s="156"/>
      <c r="S920" s="156"/>
      <c r="T920" s="156"/>
      <c r="U920" s="154"/>
      <c r="V920" s="473"/>
      <c r="W920" s="156"/>
      <c r="X920" s="156"/>
      <c r="Y920" s="156"/>
      <c r="Z920" s="154"/>
      <c r="AA920" s="473"/>
      <c r="AB920" s="156"/>
      <c r="AC920" s="156"/>
      <c r="AD920" s="156"/>
      <c r="AE920" s="154"/>
      <c r="AF920" s="473"/>
      <c r="AG920" s="156"/>
      <c r="AH920" s="156"/>
      <c r="AI920" s="156"/>
      <c r="AJ920" s="154"/>
      <c r="AK920" s="473"/>
      <c r="AL920" s="156"/>
      <c r="AM920" s="156"/>
      <c r="AN920" s="156"/>
      <c r="AO920" s="452"/>
      <c r="AP920" s="452"/>
      <c r="AQ920" s="452"/>
      <c r="AR920" s="452"/>
      <c r="AS920" s="452"/>
      <c r="AT920" s="452"/>
      <c r="AU920" s="452"/>
      <c r="AV920" s="452"/>
      <c r="AW920" s="452"/>
      <c r="AX920" s="452"/>
      <c r="AY920" s="154"/>
      <c r="AZ920" s="473"/>
      <c r="BA920" s="156"/>
      <c r="BB920" s="156"/>
      <c r="BC920" s="156"/>
      <c r="BD920" s="452"/>
      <c r="BE920" s="452"/>
      <c r="BF920" s="452"/>
      <c r="BG920" s="452"/>
      <c r="BH920" s="452"/>
    </row>
    <row r="921">
      <c r="A921" s="154"/>
      <c r="B921" s="473"/>
      <c r="C921" s="156"/>
      <c r="D921" s="156"/>
      <c r="E921" s="156"/>
      <c r="F921" s="154"/>
      <c r="G921" s="473"/>
      <c r="H921" s="156"/>
      <c r="I921" s="156"/>
      <c r="J921" s="156"/>
      <c r="K921" s="132"/>
      <c r="L921" s="473"/>
      <c r="M921" s="156"/>
      <c r="N921" s="156"/>
      <c r="O921" s="156"/>
      <c r="P921" s="132"/>
      <c r="Q921" s="487"/>
      <c r="R921" s="156"/>
      <c r="S921" s="156"/>
      <c r="T921" s="156"/>
      <c r="U921" s="154"/>
      <c r="V921" s="473"/>
      <c r="W921" s="156"/>
      <c r="X921" s="156"/>
      <c r="Y921" s="156"/>
      <c r="Z921" s="154"/>
      <c r="AA921" s="473"/>
      <c r="AB921" s="156"/>
      <c r="AC921" s="156"/>
      <c r="AD921" s="156"/>
      <c r="AE921" s="154"/>
      <c r="AF921" s="473"/>
      <c r="AG921" s="156"/>
      <c r="AH921" s="156"/>
      <c r="AI921" s="156"/>
      <c r="AJ921" s="154"/>
      <c r="AK921" s="473"/>
      <c r="AL921" s="156"/>
      <c r="AM921" s="156"/>
      <c r="AN921" s="156"/>
      <c r="AO921" s="452"/>
      <c r="AP921" s="452"/>
      <c r="AQ921" s="452"/>
      <c r="AR921" s="452"/>
      <c r="AS921" s="452"/>
      <c r="AT921" s="452"/>
      <c r="AU921" s="452"/>
      <c r="AV921" s="452"/>
      <c r="AW921" s="452"/>
      <c r="AX921" s="452"/>
      <c r="AY921" s="154"/>
      <c r="AZ921" s="473"/>
      <c r="BA921" s="156"/>
      <c r="BB921" s="156"/>
      <c r="BC921" s="156"/>
      <c r="BD921" s="452"/>
      <c r="BE921" s="452"/>
      <c r="BF921" s="452"/>
      <c r="BG921" s="452"/>
      <c r="BH921" s="452"/>
    </row>
    <row r="922">
      <c r="A922" s="154"/>
      <c r="B922" s="473"/>
      <c r="C922" s="156"/>
      <c r="D922" s="156"/>
      <c r="E922" s="156"/>
      <c r="F922" s="154"/>
      <c r="G922" s="473"/>
      <c r="H922" s="156"/>
      <c r="I922" s="156"/>
      <c r="J922" s="156"/>
      <c r="K922" s="132"/>
      <c r="L922" s="473"/>
      <c r="M922" s="156"/>
      <c r="N922" s="156"/>
      <c r="O922" s="156"/>
      <c r="P922" s="132"/>
      <c r="Q922" s="487"/>
      <c r="R922" s="156"/>
      <c r="S922" s="156"/>
      <c r="T922" s="156"/>
      <c r="U922" s="154"/>
      <c r="V922" s="473"/>
      <c r="W922" s="156"/>
      <c r="X922" s="156"/>
      <c r="Y922" s="156"/>
      <c r="Z922" s="154"/>
      <c r="AA922" s="473"/>
      <c r="AB922" s="156"/>
      <c r="AC922" s="156"/>
      <c r="AD922" s="156"/>
      <c r="AE922" s="154"/>
      <c r="AF922" s="473"/>
      <c r="AG922" s="156"/>
      <c r="AH922" s="156"/>
      <c r="AI922" s="156"/>
      <c r="AJ922" s="154"/>
      <c r="AK922" s="473"/>
      <c r="AL922" s="156"/>
      <c r="AM922" s="156"/>
      <c r="AN922" s="156"/>
      <c r="AO922" s="452"/>
      <c r="AP922" s="452"/>
      <c r="AQ922" s="452"/>
      <c r="AR922" s="452"/>
      <c r="AS922" s="452"/>
      <c r="AT922" s="452"/>
      <c r="AU922" s="452"/>
      <c r="AV922" s="452"/>
      <c r="AW922" s="452"/>
      <c r="AX922" s="452"/>
      <c r="AY922" s="154"/>
      <c r="AZ922" s="473"/>
      <c r="BA922" s="156"/>
      <c r="BB922" s="156"/>
      <c r="BC922" s="156"/>
      <c r="BD922" s="452"/>
      <c r="BE922" s="452"/>
      <c r="BF922" s="452"/>
      <c r="BG922" s="452"/>
      <c r="BH922" s="452"/>
    </row>
    <row r="923">
      <c r="A923" s="154"/>
      <c r="B923" s="473"/>
      <c r="C923" s="156"/>
      <c r="D923" s="156"/>
      <c r="E923" s="156"/>
      <c r="F923" s="154"/>
      <c r="G923" s="473"/>
      <c r="H923" s="156"/>
      <c r="I923" s="156"/>
      <c r="J923" s="156"/>
      <c r="K923" s="132"/>
      <c r="L923" s="473"/>
      <c r="M923" s="156"/>
      <c r="N923" s="156"/>
      <c r="O923" s="156"/>
      <c r="P923" s="132"/>
      <c r="Q923" s="487"/>
      <c r="R923" s="156"/>
      <c r="S923" s="156"/>
      <c r="T923" s="156"/>
      <c r="U923" s="154"/>
      <c r="V923" s="473"/>
      <c r="W923" s="156"/>
      <c r="X923" s="156"/>
      <c r="Y923" s="156"/>
      <c r="Z923" s="154"/>
      <c r="AA923" s="473"/>
      <c r="AB923" s="156"/>
      <c r="AC923" s="156"/>
      <c r="AD923" s="156"/>
      <c r="AE923" s="154"/>
      <c r="AF923" s="473"/>
      <c r="AG923" s="156"/>
      <c r="AH923" s="156"/>
      <c r="AI923" s="156"/>
      <c r="AJ923" s="154"/>
      <c r="AK923" s="473"/>
      <c r="AL923" s="156"/>
      <c r="AM923" s="156"/>
      <c r="AN923" s="156"/>
      <c r="AO923" s="452"/>
      <c r="AP923" s="452"/>
      <c r="AQ923" s="452"/>
      <c r="AR923" s="452"/>
      <c r="AS923" s="452"/>
      <c r="AT923" s="452"/>
      <c r="AU923" s="452"/>
      <c r="AV923" s="452"/>
      <c r="AW923" s="452"/>
      <c r="AX923" s="452"/>
      <c r="AY923" s="154"/>
      <c r="AZ923" s="473"/>
      <c r="BA923" s="156"/>
      <c r="BB923" s="156"/>
      <c r="BC923" s="156"/>
      <c r="BD923" s="452"/>
      <c r="BE923" s="452"/>
      <c r="BF923" s="452"/>
      <c r="BG923" s="452"/>
      <c r="BH923" s="452"/>
    </row>
    <row r="924">
      <c r="A924" s="154"/>
      <c r="B924" s="473"/>
      <c r="C924" s="156"/>
      <c r="D924" s="156"/>
      <c r="E924" s="156"/>
      <c r="F924" s="154"/>
      <c r="G924" s="473"/>
      <c r="H924" s="156"/>
      <c r="I924" s="156"/>
      <c r="J924" s="156"/>
      <c r="K924" s="132"/>
      <c r="L924" s="473"/>
      <c r="M924" s="156"/>
      <c r="N924" s="156"/>
      <c r="O924" s="156"/>
      <c r="P924" s="132"/>
      <c r="Q924" s="487"/>
      <c r="R924" s="156"/>
      <c r="S924" s="156"/>
      <c r="T924" s="156"/>
      <c r="U924" s="154"/>
      <c r="V924" s="473"/>
      <c r="W924" s="156"/>
      <c r="X924" s="156"/>
      <c r="Y924" s="156"/>
      <c r="Z924" s="154"/>
      <c r="AA924" s="473"/>
      <c r="AB924" s="156"/>
      <c r="AC924" s="156"/>
      <c r="AD924" s="156"/>
      <c r="AE924" s="154"/>
      <c r="AF924" s="473"/>
      <c r="AG924" s="156"/>
      <c r="AH924" s="156"/>
      <c r="AI924" s="156"/>
      <c r="AJ924" s="154"/>
      <c r="AK924" s="473"/>
      <c r="AL924" s="156"/>
      <c r="AM924" s="156"/>
      <c r="AN924" s="156"/>
      <c r="AO924" s="452"/>
      <c r="AP924" s="452"/>
      <c r="AQ924" s="452"/>
      <c r="AR924" s="452"/>
      <c r="AS924" s="452"/>
      <c r="AT924" s="452"/>
      <c r="AU924" s="452"/>
      <c r="AV924" s="452"/>
      <c r="AW924" s="452"/>
      <c r="AX924" s="452"/>
      <c r="AY924" s="154"/>
      <c r="AZ924" s="473"/>
      <c r="BA924" s="156"/>
      <c r="BB924" s="156"/>
      <c r="BC924" s="156"/>
      <c r="BD924" s="452"/>
      <c r="BE924" s="452"/>
      <c r="BF924" s="452"/>
      <c r="BG924" s="452"/>
      <c r="BH924" s="452"/>
    </row>
    <row r="925">
      <c r="A925" s="154"/>
      <c r="B925" s="473"/>
      <c r="C925" s="156"/>
      <c r="D925" s="156"/>
      <c r="E925" s="156"/>
      <c r="F925" s="154"/>
      <c r="G925" s="473"/>
      <c r="H925" s="156"/>
      <c r="I925" s="156"/>
      <c r="J925" s="156"/>
      <c r="K925" s="132"/>
      <c r="L925" s="473"/>
      <c r="M925" s="156"/>
      <c r="N925" s="156"/>
      <c r="O925" s="156"/>
      <c r="P925" s="132"/>
      <c r="Q925" s="487"/>
      <c r="R925" s="156"/>
      <c r="S925" s="156"/>
      <c r="T925" s="156"/>
      <c r="U925" s="154"/>
      <c r="V925" s="473"/>
      <c r="W925" s="156"/>
      <c r="X925" s="156"/>
      <c r="Y925" s="156"/>
      <c r="Z925" s="154"/>
      <c r="AA925" s="473"/>
      <c r="AB925" s="156"/>
      <c r="AC925" s="156"/>
      <c r="AD925" s="156"/>
      <c r="AE925" s="154"/>
      <c r="AF925" s="473"/>
      <c r="AG925" s="156"/>
      <c r="AH925" s="156"/>
      <c r="AI925" s="156"/>
      <c r="AJ925" s="154"/>
      <c r="AK925" s="473"/>
      <c r="AL925" s="156"/>
      <c r="AM925" s="156"/>
      <c r="AN925" s="156"/>
      <c r="AO925" s="452"/>
      <c r="AP925" s="452"/>
      <c r="AQ925" s="452"/>
      <c r="AR925" s="452"/>
      <c r="AS925" s="452"/>
      <c r="AT925" s="452"/>
      <c r="AU925" s="452"/>
      <c r="AV925" s="452"/>
      <c r="AW925" s="452"/>
      <c r="AX925" s="452"/>
      <c r="AY925" s="154"/>
      <c r="AZ925" s="473"/>
      <c r="BA925" s="156"/>
      <c r="BB925" s="156"/>
      <c r="BC925" s="156"/>
      <c r="BD925" s="452"/>
      <c r="BE925" s="452"/>
      <c r="BF925" s="452"/>
      <c r="BG925" s="452"/>
      <c r="BH925" s="452"/>
    </row>
    <row r="926">
      <c r="A926" s="154"/>
      <c r="B926" s="473"/>
      <c r="C926" s="156"/>
      <c r="D926" s="156"/>
      <c r="E926" s="156"/>
      <c r="F926" s="154"/>
      <c r="G926" s="473"/>
      <c r="H926" s="156"/>
      <c r="I926" s="156"/>
      <c r="J926" s="156"/>
      <c r="K926" s="132"/>
      <c r="L926" s="473"/>
      <c r="M926" s="156"/>
      <c r="N926" s="156"/>
      <c r="O926" s="156"/>
      <c r="P926" s="132"/>
      <c r="Q926" s="487"/>
      <c r="R926" s="156"/>
      <c r="S926" s="156"/>
      <c r="T926" s="156"/>
      <c r="U926" s="154"/>
      <c r="V926" s="473"/>
      <c r="W926" s="156"/>
      <c r="X926" s="156"/>
      <c r="Y926" s="156"/>
      <c r="Z926" s="154"/>
      <c r="AA926" s="473"/>
      <c r="AB926" s="156"/>
      <c r="AC926" s="156"/>
      <c r="AD926" s="156"/>
      <c r="AE926" s="154"/>
      <c r="AF926" s="473"/>
      <c r="AG926" s="156"/>
      <c r="AH926" s="156"/>
      <c r="AI926" s="156"/>
      <c r="AJ926" s="154"/>
      <c r="AK926" s="473"/>
      <c r="AL926" s="156"/>
      <c r="AM926" s="156"/>
      <c r="AN926" s="156"/>
      <c r="AO926" s="452"/>
      <c r="AP926" s="452"/>
      <c r="AQ926" s="452"/>
      <c r="AR926" s="452"/>
      <c r="AS926" s="452"/>
      <c r="AT926" s="452"/>
      <c r="AU926" s="452"/>
      <c r="AV926" s="452"/>
      <c r="AW926" s="452"/>
      <c r="AX926" s="452"/>
      <c r="AY926" s="154"/>
      <c r="AZ926" s="473"/>
      <c r="BA926" s="156"/>
      <c r="BB926" s="156"/>
      <c r="BC926" s="156"/>
      <c r="BD926" s="452"/>
      <c r="BE926" s="452"/>
      <c r="BF926" s="452"/>
      <c r="BG926" s="452"/>
      <c r="BH926" s="452"/>
    </row>
    <row r="927">
      <c r="A927" s="154"/>
      <c r="B927" s="473"/>
      <c r="C927" s="156"/>
      <c r="D927" s="156"/>
      <c r="E927" s="156"/>
      <c r="F927" s="154"/>
      <c r="G927" s="473"/>
      <c r="H927" s="156"/>
      <c r="I927" s="156"/>
      <c r="J927" s="156"/>
      <c r="K927" s="132"/>
      <c r="L927" s="473"/>
      <c r="M927" s="156"/>
      <c r="N927" s="156"/>
      <c r="O927" s="156"/>
      <c r="P927" s="132"/>
      <c r="Q927" s="487"/>
      <c r="R927" s="156"/>
      <c r="S927" s="156"/>
      <c r="T927" s="156"/>
      <c r="U927" s="154"/>
      <c r="V927" s="473"/>
      <c r="W927" s="156"/>
      <c r="X927" s="156"/>
      <c r="Y927" s="156"/>
      <c r="Z927" s="154"/>
      <c r="AA927" s="473"/>
      <c r="AB927" s="156"/>
      <c r="AC927" s="156"/>
      <c r="AD927" s="156"/>
      <c r="AE927" s="154"/>
      <c r="AF927" s="473"/>
      <c r="AG927" s="156"/>
      <c r="AH927" s="156"/>
      <c r="AI927" s="156"/>
      <c r="AJ927" s="154"/>
      <c r="AK927" s="473"/>
      <c r="AL927" s="156"/>
      <c r="AM927" s="156"/>
      <c r="AN927" s="156"/>
      <c r="AO927" s="452"/>
      <c r="AP927" s="452"/>
      <c r="AQ927" s="452"/>
      <c r="AR927" s="452"/>
      <c r="AS927" s="452"/>
      <c r="AT927" s="452"/>
      <c r="AU927" s="452"/>
      <c r="AV927" s="452"/>
      <c r="AW927" s="452"/>
      <c r="AX927" s="452"/>
      <c r="AY927" s="154"/>
      <c r="AZ927" s="473"/>
      <c r="BA927" s="156"/>
      <c r="BB927" s="156"/>
      <c r="BC927" s="156"/>
      <c r="BD927" s="452"/>
      <c r="BE927" s="452"/>
      <c r="BF927" s="452"/>
      <c r="BG927" s="452"/>
      <c r="BH927" s="452"/>
    </row>
    <row r="928">
      <c r="A928" s="154"/>
      <c r="B928" s="473"/>
      <c r="C928" s="156"/>
      <c r="D928" s="156"/>
      <c r="E928" s="156"/>
      <c r="F928" s="154"/>
      <c r="G928" s="473"/>
      <c r="H928" s="156"/>
      <c r="I928" s="156"/>
      <c r="J928" s="156"/>
      <c r="K928" s="132"/>
      <c r="L928" s="473"/>
      <c r="M928" s="156"/>
      <c r="N928" s="156"/>
      <c r="O928" s="156"/>
      <c r="P928" s="132"/>
      <c r="Q928" s="487"/>
      <c r="R928" s="156"/>
      <c r="S928" s="156"/>
      <c r="T928" s="156"/>
      <c r="U928" s="154"/>
      <c r="V928" s="473"/>
      <c r="W928" s="156"/>
      <c r="X928" s="156"/>
      <c r="Y928" s="156"/>
      <c r="Z928" s="154"/>
      <c r="AA928" s="473"/>
      <c r="AB928" s="156"/>
      <c r="AC928" s="156"/>
      <c r="AD928" s="156"/>
      <c r="AE928" s="154"/>
      <c r="AF928" s="473"/>
      <c r="AG928" s="156"/>
      <c r="AH928" s="156"/>
      <c r="AI928" s="156"/>
      <c r="AJ928" s="154"/>
      <c r="AK928" s="473"/>
      <c r="AL928" s="156"/>
      <c r="AM928" s="156"/>
      <c r="AN928" s="156"/>
      <c r="AO928" s="452"/>
      <c r="AP928" s="452"/>
      <c r="AQ928" s="452"/>
      <c r="AR928" s="452"/>
      <c r="AS928" s="452"/>
      <c r="AT928" s="452"/>
      <c r="AU928" s="452"/>
      <c r="AV928" s="452"/>
      <c r="AW928" s="452"/>
      <c r="AX928" s="452"/>
      <c r="AY928" s="154"/>
      <c r="AZ928" s="473"/>
      <c r="BA928" s="156"/>
      <c r="BB928" s="156"/>
      <c r="BC928" s="156"/>
      <c r="BD928" s="452"/>
      <c r="BE928" s="452"/>
      <c r="BF928" s="452"/>
      <c r="BG928" s="452"/>
      <c r="BH928" s="452"/>
    </row>
    <row r="929">
      <c r="A929" s="154"/>
      <c r="B929" s="473"/>
      <c r="C929" s="156"/>
      <c r="D929" s="156"/>
      <c r="E929" s="156"/>
      <c r="F929" s="154"/>
      <c r="G929" s="473"/>
      <c r="H929" s="156"/>
      <c r="I929" s="156"/>
      <c r="J929" s="156"/>
      <c r="K929" s="132"/>
      <c r="L929" s="473"/>
      <c r="M929" s="156"/>
      <c r="N929" s="156"/>
      <c r="O929" s="156"/>
      <c r="P929" s="132"/>
      <c r="Q929" s="487"/>
      <c r="R929" s="156"/>
      <c r="S929" s="156"/>
      <c r="T929" s="156"/>
      <c r="U929" s="154"/>
      <c r="V929" s="473"/>
      <c r="W929" s="156"/>
      <c r="X929" s="156"/>
      <c r="Y929" s="156"/>
      <c r="Z929" s="154"/>
      <c r="AA929" s="473"/>
      <c r="AB929" s="156"/>
      <c r="AC929" s="156"/>
      <c r="AD929" s="156"/>
      <c r="AE929" s="154"/>
      <c r="AF929" s="473"/>
      <c r="AG929" s="156"/>
      <c r="AH929" s="156"/>
      <c r="AI929" s="156"/>
      <c r="AJ929" s="154"/>
      <c r="AK929" s="473"/>
      <c r="AL929" s="156"/>
      <c r="AM929" s="156"/>
      <c r="AN929" s="156"/>
      <c r="AO929" s="452"/>
      <c r="AP929" s="452"/>
      <c r="AQ929" s="452"/>
      <c r="AR929" s="452"/>
      <c r="AS929" s="452"/>
      <c r="AT929" s="452"/>
      <c r="AU929" s="452"/>
      <c r="AV929" s="452"/>
      <c r="AW929" s="452"/>
      <c r="AX929" s="452"/>
      <c r="AY929" s="154"/>
      <c r="AZ929" s="473"/>
      <c r="BA929" s="156"/>
      <c r="BB929" s="156"/>
      <c r="BC929" s="156"/>
      <c r="BD929" s="452"/>
      <c r="BE929" s="452"/>
      <c r="BF929" s="452"/>
      <c r="BG929" s="452"/>
      <c r="BH929" s="452"/>
    </row>
    <row r="930">
      <c r="A930" s="154"/>
      <c r="B930" s="473"/>
      <c r="C930" s="156"/>
      <c r="D930" s="156"/>
      <c r="E930" s="156"/>
      <c r="F930" s="154"/>
      <c r="G930" s="473"/>
      <c r="H930" s="156"/>
      <c r="I930" s="156"/>
      <c r="J930" s="156"/>
      <c r="K930" s="132"/>
      <c r="L930" s="473"/>
      <c r="M930" s="156"/>
      <c r="N930" s="156"/>
      <c r="O930" s="156"/>
      <c r="P930" s="132"/>
      <c r="Q930" s="487"/>
      <c r="R930" s="156"/>
      <c r="S930" s="156"/>
      <c r="T930" s="156"/>
      <c r="U930" s="154"/>
      <c r="V930" s="473"/>
      <c r="W930" s="156"/>
      <c r="X930" s="156"/>
      <c r="Y930" s="156"/>
      <c r="Z930" s="154"/>
      <c r="AA930" s="473"/>
      <c r="AB930" s="156"/>
      <c r="AC930" s="156"/>
      <c r="AD930" s="156"/>
      <c r="AE930" s="154"/>
      <c r="AF930" s="473"/>
      <c r="AG930" s="156"/>
      <c r="AH930" s="156"/>
      <c r="AI930" s="156"/>
      <c r="AJ930" s="154"/>
      <c r="AK930" s="473"/>
      <c r="AL930" s="156"/>
      <c r="AM930" s="156"/>
      <c r="AN930" s="156"/>
      <c r="AO930" s="452"/>
      <c r="AP930" s="452"/>
      <c r="AQ930" s="452"/>
      <c r="AR930" s="452"/>
      <c r="AS930" s="452"/>
      <c r="AT930" s="452"/>
      <c r="AU930" s="452"/>
      <c r="AV930" s="452"/>
      <c r="AW930" s="452"/>
      <c r="AX930" s="452"/>
      <c r="AY930" s="154"/>
      <c r="AZ930" s="473"/>
      <c r="BA930" s="156"/>
      <c r="BB930" s="156"/>
      <c r="BC930" s="156"/>
      <c r="BD930" s="452"/>
      <c r="BE930" s="452"/>
      <c r="BF930" s="452"/>
      <c r="BG930" s="452"/>
      <c r="BH930" s="452"/>
    </row>
    <row r="931">
      <c r="A931" s="154"/>
      <c r="B931" s="473"/>
      <c r="C931" s="156"/>
      <c r="D931" s="156"/>
      <c r="E931" s="156"/>
      <c r="F931" s="154"/>
      <c r="G931" s="473"/>
      <c r="H931" s="156"/>
      <c r="I931" s="156"/>
      <c r="J931" s="156"/>
      <c r="K931" s="132"/>
      <c r="L931" s="473"/>
      <c r="M931" s="156"/>
      <c r="N931" s="156"/>
      <c r="O931" s="156"/>
      <c r="P931" s="132"/>
      <c r="Q931" s="487"/>
      <c r="R931" s="156"/>
      <c r="S931" s="156"/>
      <c r="T931" s="156"/>
      <c r="U931" s="154"/>
      <c r="V931" s="473"/>
      <c r="W931" s="156"/>
      <c r="X931" s="156"/>
      <c r="Y931" s="156"/>
      <c r="Z931" s="154"/>
      <c r="AA931" s="473"/>
      <c r="AB931" s="156"/>
      <c r="AC931" s="156"/>
      <c r="AD931" s="156"/>
      <c r="AE931" s="154"/>
      <c r="AF931" s="473"/>
      <c r="AG931" s="156"/>
      <c r="AH931" s="156"/>
      <c r="AI931" s="156"/>
      <c r="AJ931" s="154"/>
      <c r="AK931" s="473"/>
      <c r="AL931" s="156"/>
      <c r="AM931" s="156"/>
      <c r="AN931" s="156"/>
      <c r="AO931" s="452"/>
      <c r="AP931" s="452"/>
      <c r="AQ931" s="452"/>
      <c r="AR931" s="452"/>
      <c r="AS931" s="452"/>
      <c r="AT931" s="452"/>
      <c r="AU931" s="452"/>
      <c r="AV931" s="452"/>
      <c r="AW931" s="452"/>
      <c r="AX931" s="452"/>
      <c r="AY931" s="154"/>
      <c r="AZ931" s="473"/>
      <c r="BA931" s="156"/>
      <c r="BB931" s="156"/>
      <c r="BC931" s="156"/>
      <c r="BD931" s="452"/>
      <c r="BE931" s="452"/>
      <c r="BF931" s="452"/>
      <c r="BG931" s="452"/>
      <c r="BH931" s="452"/>
    </row>
    <row r="932">
      <c r="A932" s="154"/>
      <c r="B932" s="473"/>
      <c r="C932" s="156"/>
      <c r="D932" s="156"/>
      <c r="E932" s="156"/>
      <c r="F932" s="154"/>
      <c r="G932" s="473"/>
      <c r="H932" s="156"/>
      <c r="I932" s="156"/>
      <c r="J932" s="156"/>
      <c r="K932" s="132"/>
      <c r="L932" s="473"/>
      <c r="M932" s="156"/>
      <c r="N932" s="156"/>
      <c r="O932" s="156"/>
      <c r="P932" s="132"/>
      <c r="Q932" s="487"/>
      <c r="R932" s="156"/>
      <c r="S932" s="156"/>
      <c r="T932" s="156"/>
      <c r="U932" s="154"/>
      <c r="V932" s="473"/>
      <c r="W932" s="156"/>
      <c r="X932" s="156"/>
      <c r="Y932" s="156"/>
      <c r="Z932" s="154"/>
      <c r="AA932" s="473"/>
      <c r="AB932" s="156"/>
      <c r="AC932" s="156"/>
      <c r="AD932" s="156"/>
      <c r="AE932" s="154"/>
      <c r="AF932" s="473"/>
      <c r="AG932" s="156"/>
      <c r="AH932" s="156"/>
      <c r="AI932" s="156"/>
      <c r="AJ932" s="154"/>
      <c r="AK932" s="473"/>
      <c r="AL932" s="156"/>
      <c r="AM932" s="156"/>
      <c r="AN932" s="156"/>
      <c r="AO932" s="452"/>
      <c r="AP932" s="452"/>
      <c r="AQ932" s="452"/>
      <c r="AR932" s="452"/>
      <c r="AS932" s="452"/>
      <c r="AT932" s="452"/>
      <c r="AU932" s="452"/>
      <c r="AV932" s="452"/>
      <c r="AW932" s="452"/>
      <c r="AX932" s="452"/>
      <c r="AY932" s="154"/>
      <c r="AZ932" s="473"/>
      <c r="BA932" s="156"/>
      <c r="BB932" s="156"/>
      <c r="BC932" s="156"/>
      <c r="BD932" s="452"/>
      <c r="BE932" s="452"/>
      <c r="BF932" s="452"/>
      <c r="BG932" s="452"/>
      <c r="BH932" s="452"/>
    </row>
    <row r="933">
      <c r="A933" s="154"/>
      <c r="B933" s="473"/>
      <c r="C933" s="156"/>
      <c r="D933" s="156"/>
      <c r="E933" s="156"/>
      <c r="F933" s="154"/>
      <c r="G933" s="473"/>
      <c r="H933" s="156"/>
      <c r="I933" s="156"/>
      <c r="J933" s="156"/>
      <c r="K933" s="132"/>
      <c r="L933" s="473"/>
      <c r="M933" s="156"/>
      <c r="N933" s="156"/>
      <c r="O933" s="156"/>
      <c r="P933" s="132"/>
      <c r="Q933" s="487"/>
      <c r="R933" s="156"/>
      <c r="S933" s="156"/>
      <c r="T933" s="156"/>
      <c r="U933" s="154"/>
      <c r="V933" s="473"/>
      <c r="W933" s="156"/>
      <c r="X933" s="156"/>
      <c r="Y933" s="156"/>
      <c r="Z933" s="154"/>
      <c r="AA933" s="473"/>
      <c r="AB933" s="156"/>
      <c r="AC933" s="156"/>
      <c r="AD933" s="156"/>
      <c r="AE933" s="154"/>
      <c r="AF933" s="473"/>
      <c r="AG933" s="156"/>
      <c r="AH933" s="156"/>
      <c r="AI933" s="156"/>
      <c r="AJ933" s="154"/>
      <c r="AK933" s="473"/>
      <c r="AL933" s="156"/>
      <c r="AM933" s="156"/>
      <c r="AN933" s="156"/>
      <c r="AO933" s="452"/>
      <c r="AP933" s="452"/>
      <c r="AQ933" s="452"/>
      <c r="AR933" s="452"/>
      <c r="AS933" s="452"/>
      <c r="AT933" s="452"/>
      <c r="AU933" s="452"/>
      <c r="AV933" s="452"/>
      <c r="AW933" s="452"/>
      <c r="AX933" s="452"/>
      <c r="AY933" s="154"/>
      <c r="AZ933" s="473"/>
      <c r="BA933" s="156"/>
      <c r="BB933" s="156"/>
      <c r="BC933" s="156"/>
      <c r="BD933" s="452"/>
      <c r="BE933" s="452"/>
      <c r="BF933" s="452"/>
      <c r="BG933" s="452"/>
      <c r="BH933" s="452"/>
    </row>
    <row r="934">
      <c r="A934" s="154"/>
      <c r="B934" s="473"/>
      <c r="C934" s="156"/>
      <c r="D934" s="156"/>
      <c r="E934" s="156"/>
      <c r="F934" s="154"/>
      <c r="G934" s="473"/>
      <c r="H934" s="156"/>
      <c r="I934" s="156"/>
      <c r="J934" s="156"/>
      <c r="K934" s="132"/>
      <c r="L934" s="473"/>
      <c r="M934" s="156"/>
      <c r="N934" s="156"/>
      <c r="O934" s="156"/>
      <c r="P934" s="132"/>
      <c r="Q934" s="487"/>
      <c r="R934" s="156"/>
      <c r="S934" s="156"/>
      <c r="T934" s="156"/>
      <c r="U934" s="154"/>
      <c r="V934" s="473"/>
      <c r="W934" s="156"/>
      <c r="X934" s="156"/>
      <c r="Y934" s="156"/>
      <c r="Z934" s="154"/>
      <c r="AA934" s="473"/>
      <c r="AB934" s="156"/>
      <c r="AC934" s="156"/>
      <c r="AD934" s="156"/>
      <c r="AE934" s="154"/>
      <c r="AF934" s="473"/>
      <c r="AG934" s="156"/>
      <c r="AH934" s="156"/>
      <c r="AI934" s="156"/>
      <c r="AJ934" s="154"/>
      <c r="AK934" s="473"/>
      <c r="AL934" s="156"/>
      <c r="AM934" s="156"/>
      <c r="AN934" s="156"/>
      <c r="AO934" s="452"/>
      <c r="AP934" s="452"/>
      <c r="AQ934" s="452"/>
      <c r="AR934" s="452"/>
      <c r="AS934" s="452"/>
      <c r="AT934" s="452"/>
      <c r="AU934" s="452"/>
      <c r="AV934" s="452"/>
      <c r="AW934" s="452"/>
      <c r="AX934" s="452"/>
      <c r="AY934" s="154"/>
      <c r="AZ934" s="473"/>
      <c r="BA934" s="156"/>
      <c r="BB934" s="156"/>
      <c r="BC934" s="156"/>
      <c r="BD934" s="452"/>
      <c r="BE934" s="452"/>
      <c r="BF934" s="452"/>
      <c r="BG934" s="452"/>
      <c r="BH934" s="452"/>
    </row>
    <row r="935">
      <c r="A935" s="154"/>
      <c r="B935" s="473"/>
      <c r="C935" s="156"/>
      <c r="D935" s="156"/>
      <c r="E935" s="156"/>
      <c r="F935" s="154"/>
      <c r="G935" s="473"/>
      <c r="H935" s="156"/>
      <c r="I935" s="156"/>
      <c r="J935" s="156"/>
      <c r="K935" s="132"/>
      <c r="L935" s="473"/>
      <c r="M935" s="156"/>
      <c r="N935" s="156"/>
      <c r="O935" s="156"/>
      <c r="P935" s="132"/>
      <c r="Q935" s="487"/>
      <c r="R935" s="156"/>
      <c r="S935" s="156"/>
      <c r="T935" s="156"/>
      <c r="U935" s="154"/>
      <c r="V935" s="473"/>
      <c r="W935" s="156"/>
      <c r="X935" s="156"/>
      <c r="Y935" s="156"/>
      <c r="Z935" s="154"/>
      <c r="AA935" s="473"/>
      <c r="AB935" s="156"/>
      <c r="AC935" s="156"/>
      <c r="AD935" s="156"/>
      <c r="AE935" s="154"/>
      <c r="AF935" s="473"/>
      <c r="AG935" s="156"/>
      <c r="AH935" s="156"/>
      <c r="AI935" s="156"/>
      <c r="AJ935" s="154"/>
      <c r="AK935" s="473"/>
      <c r="AL935" s="156"/>
      <c r="AM935" s="156"/>
      <c r="AN935" s="156"/>
      <c r="AO935" s="452"/>
      <c r="AP935" s="452"/>
      <c r="AQ935" s="452"/>
      <c r="AR935" s="452"/>
      <c r="AS935" s="452"/>
      <c r="AT935" s="452"/>
      <c r="AU935" s="452"/>
      <c r="AV935" s="452"/>
      <c r="AW935" s="452"/>
      <c r="AX935" s="452"/>
      <c r="AY935" s="154"/>
      <c r="AZ935" s="473"/>
      <c r="BA935" s="156"/>
      <c r="BB935" s="156"/>
      <c r="BC935" s="156"/>
      <c r="BD935" s="452"/>
      <c r="BE935" s="452"/>
      <c r="BF935" s="452"/>
      <c r="BG935" s="452"/>
      <c r="BH935" s="452"/>
    </row>
    <row r="936">
      <c r="A936" s="154"/>
      <c r="B936" s="473"/>
      <c r="C936" s="156"/>
      <c r="D936" s="156"/>
      <c r="E936" s="156"/>
      <c r="F936" s="154"/>
      <c r="G936" s="473"/>
      <c r="H936" s="156"/>
      <c r="I936" s="156"/>
      <c r="J936" s="156"/>
      <c r="K936" s="132"/>
      <c r="L936" s="473"/>
      <c r="M936" s="156"/>
      <c r="N936" s="156"/>
      <c r="O936" s="156"/>
      <c r="P936" s="132"/>
      <c r="Q936" s="487"/>
      <c r="R936" s="156"/>
      <c r="S936" s="156"/>
      <c r="T936" s="156"/>
      <c r="U936" s="154"/>
      <c r="V936" s="473"/>
      <c r="W936" s="156"/>
      <c r="X936" s="156"/>
      <c r="Y936" s="156"/>
      <c r="Z936" s="154"/>
      <c r="AA936" s="473"/>
      <c r="AB936" s="156"/>
      <c r="AC936" s="156"/>
      <c r="AD936" s="156"/>
      <c r="AE936" s="154"/>
      <c r="AF936" s="473"/>
      <c r="AG936" s="156"/>
      <c r="AH936" s="156"/>
      <c r="AI936" s="156"/>
      <c r="AJ936" s="154"/>
      <c r="AK936" s="473"/>
      <c r="AL936" s="156"/>
      <c r="AM936" s="156"/>
      <c r="AN936" s="156"/>
      <c r="AO936" s="452"/>
      <c r="AP936" s="452"/>
      <c r="AQ936" s="452"/>
      <c r="AR936" s="452"/>
      <c r="AS936" s="452"/>
      <c r="AT936" s="452"/>
      <c r="AU936" s="452"/>
      <c r="AV936" s="452"/>
      <c r="AW936" s="452"/>
      <c r="AX936" s="452"/>
      <c r="AY936" s="154"/>
      <c r="AZ936" s="473"/>
      <c r="BA936" s="156"/>
      <c r="BB936" s="156"/>
      <c r="BC936" s="156"/>
      <c r="BD936" s="452"/>
      <c r="BE936" s="452"/>
      <c r="BF936" s="452"/>
      <c r="BG936" s="452"/>
      <c r="BH936" s="452"/>
    </row>
    <row r="937">
      <c r="A937" s="154"/>
      <c r="B937" s="473"/>
      <c r="C937" s="156"/>
      <c r="D937" s="156"/>
      <c r="E937" s="156"/>
      <c r="F937" s="154"/>
      <c r="G937" s="473"/>
      <c r="H937" s="156"/>
      <c r="I937" s="156"/>
      <c r="J937" s="156"/>
      <c r="K937" s="132"/>
      <c r="L937" s="473"/>
      <c r="M937" s="156"/>
      <c r="N937" s="156"/>
      <c r="O937" s="156"/>
      <c r="P937" s="132"/>
      <c r="Q937" s="487"/>
      <c r="R937" s="156"/>
      <c r="S937" s="156"/>
      <c r="T937" s="156"/>
      <c r="U937" s="154"/>
      <c r="V937" s="473"/>
      <c r="W937" s="156"/>
      <c r="X937" s="156"/>
      <c r="Y937" s="156"/>
      <c r="Z937" s="154"/>
      <c r="AA937" s="473"/>
      <c r="AB937" s="156"/>
      <c r="AC937" s="156"/>
      <c r="AD937" s="156"/>
      <c r="AE937" s="154"/>
      <c r="AF937" s="473"/>
      <c r="AG937" s="156"/>
      <c r="AH937" s="156"/>
      <c r="AI937" s="156"/>
      <c r="AJ937" s="154"/>
      <c r="AK937" s="473"/>
      <c r="AL937" s="156"/>
      <c r="AM937" s="156"/>
      <c r="AN937" s="156"/>
      <c r="AO937" s="452"/>
      <c r="AP937" s="452"/>
      <c r="AQ937" s="452"/>
      <c r="AR937" s="452"/>
      <c r="AS937" s="452"/>
      <c r="AT937" s="452"/>
      <c r="AU937" s="452"/>
      <c r="AV937" s="452"/>
      <c r="AW937" s="452"/>
      <c r="AX937" s="452"/>
      <c r="AY937" s="154"/>
      <c r="AZ937" s="473"/>
      <c r="BA937" s="156"/>
      <c r="BB937" s="156"/>
      <c r="BC937" s="156"/>
      <c r="BD937" s="452"/>
      <c r="BE937" s="452"/>
      <c r="BF937" s="452"/>
      <c r="BG937" s="452"/>
      <c r="BH937" s="452"/>
    </row>
    <row r="938">
      <c r="A938" s="154"/>
      <c r="B938" s="473"/>
      <c r="C938" s="156"/>
      <c r="D938" s="156"/>
      <c r="E938" s="156"/>
      <c r="F938" s="154"/>
      <c r="G938" s="473"/>
      <c r="H938" s="156"/>
      <c r="I938" s="156"/>
      <c r="J938" s="156"/>
      <c r="K938" s="132"/>
      <c r="L938" s="473"/>
      <c r="M938" s="156"/>
      <c r="N938" s="156"/>
      <c r="O938" s="156"/>
      <c r="P938" s="132"/>
      <c r="Q938" s="487"/>
      <c r="R938" s="156"/>
      <c r="S938" s="156"/>
      <c r="T938" s="156"/>
      <c r="U938" s="154"/>
      <c r="V938" s="473"/>
      <c r="W938" s="156"/>
      <c r="X938" s="156"/>
      <c r="Y938" s="156"/>
      <c r="Z938" s="154"/>
      <c r="AA938" s="473"/>
      <c r="AB938" s="156"/>
      <c r="AC938" s="156"/>
      <c r="AD938" s="156"/>
      <c r="AE938" s="154"/>
      <c r="AF938" s="473"/>
      <c r="AG938" s="156"/>
      <c r="AH938" s="156"/>
      <c r="AI938" s="156"/>
      <c r="AJ938" s="154"/>
      <c r="AK938" s="473"/>
      <c r="AL938" s="156"/>
      <c r="AM938" s="156"/>
      <c r="AN938" s="156"/>
      <c r="AO938" s="452"/>
      <c r="AP938" s="452"/>
      <c r="AQ938" s="452"/>
      <c r="AR938" s="452"/>
      <c r="AS938" s="452"/>
      <c r="AT938" s="452"/>
      <c r="AU938" s="452"/>
      <c r="AV938" s="452"/>
      <c r="AW938" s="452"/>
      <c r="AX938" s="452"/>
      <c r="AY938" s="154"/>
      <c r="AZ938" s="473"/>
      <c r="BA938" s="156"/>
      <c r="BB938" s="156"/>
      <c r="BC938" s="156"/>
      <c r="BD938" s="452"/>
      <c r="BE938" s="452"/>
      <c r="BF938" s="452"/>
      <c r="BG938" s="452"/>
      <c r="BH938" s="452"/>
    </row>
    <row r="939">
      <c r="A939" s="154"/>
      <c r="B939" s="473"/>
      <c r="C939" s="156"/>
      <c r="D939" s="156"/>
      <c r="E939" s="156"/>
      <c r="F939" s="154"/>
      <c r="G939" s="473"/>
      <c r="H939" s="156"/>
      <c r="I939" s="156"/>
      <c r="J939" s="156"/>
      <c r="K939" s="132"/>
      <c r="L939" s="473"/>
      <c r="M939" s="156"/>
      <c r="N939" s="156"/>
      <c r="O939" s="156"/>
      <c r="P939" s="132"/>
      <c r="Q939" s="487"/>
      <c r="R939" s="156"/>
      <c r="S939" s="156"/>
      <c r="T939" s="156"/>
      <c r="U939" s="154"/>
      <c r="V939" s="473"/>
      <c r="W939" s="156"/>
      <c r="X939" s="156"/>
      <c r="Y939" s="156"/>
      <c r="Z939" s="154"/>
      <c r="AA939" s="473"/>
      <c r="AB939" s="156"/>
      <c r="AC939" s="156"/>
      <c r="AD939" s="156"/>
      <c r="AE939" s="154"/>
      <c r="AF939" s="473"/>
      <c r="AG939" s="156"/>
      <c r="AH939" s="156"/>
      <c r="AI939" s="156"/>
      <c r="AJ939" s="154"/>
      <c r="AK939" s="473"/>
      <c r="AL939" s="156"/>
      <c r="AM939" s="156"/>
      <c r="AN939" s="156"/>
      <c r="AO939" s="452"/>
      <c r="AP939" s="452"/>
      <c r="AQ939" s="452"/>
      <c r="AR939" s="452"/>
      <c r="AS939" s="452"/>
      <c r="AT939" s="452"/>
      <c r="AU939" s="452"/>
      <c r="AV939" s="452"/>
      <c r="AW939" s="452"/>
      <c r="AX939" s="452"/>
      <c r="AY939" s="154"/>
      <c r="AZ939" s="473"/>
      <c r="BA939" s="156"/>
      <c r="BB939" s="156"/>
      <c r="BC939" s="156"/>
      <c r="BD939" s="452"/>
      <c r="BE939" s="452"/>
      <c r="BF939" s="452"/>
      <c r="BG939" s="452"/>
      <c r="BH939" s="452"/>
    </row>
    <row r="940">
      <c r="A940" s="154"/>
      <c r="B940" s="473"/>
      <c r="C940" s="156"/>
      <c r="D940" s="156"/>
      <c r="E940" s="156"/>
      <c r="F940" s="154"/>
      <c r="G940" s="473"/>
      <c r="H940" s="156"/>
      <c r="I940" s="156"/>
      <c r="J940" s="156"/>
      <c r="K940" s="132"/>
      <c r="L940" s="473"/>
      <c r="M940" s="156"/>
      <c r="N940" s="156"/>
      <c r="O940" s="156"/>
      <c r="P940" s="132"/>
      <c r="Q940" s="487"/>
      <c r="R940" s="156"/>
      <c r="S940" s="156"/>
      <c r="T940" s="156"/>
      <c r="U940" s="154"/>
      <c r="V940" s="473"/>
      <c r="W940" s="156"/>
      <c r="X940" s="156"/>
      <c r="Y940" s="156"/>
      <c r="Z940" s="154"/>
      <c r="AA940" s="473"/>
      <c r="AB940" s="156"/>
      <c r="AC940" s="156"/>
      <c r="AD940" s="156"/>
      <c r="AE940" s="154"/>
      <c r="AF940" s="473"/>
      <c r="AG940" s="156"/>
      <c r="AH940" s="156"/>
      <c r="AI940" s="156"/>
      <c r="AJ940" s="154"/>
      <c r="AK940" s="473"/>
      <c r="AL940" s="156"/>
      <c r="AM940" s="156"/>
      <c r="AN940" s="156"/>
      <c r="AO940" s="452"/>
      <c r="AP940" s="452"/>
      <c r="AQ940" s="452"/>
      <c r="AR940" s="452"/>
      <c r="AS940" s="452"/>
      <c r="AT940" s="452"/>
      <c r="AU940" s="452"/>
      <c r="AV940" s="452"/>
      <c r="AW940" s="452"/>
      <c r="AX940" s="452"/>
      <c r="AY940" s="154"/>
      <c r="AZ940" s="473"/>
      <c r="BA940" s="156"/>
      <c r="BB940" s="156"/>
      <c r="BC940" s="156"/>
      <c r="BD940" s="452"/>
      <c r="BE940" s="452"/>
      <c r="BF940" s="452"/>
      <c r="BG940" s="452"/>
      <c r="BH940" s="452"/>
    </row>
    <row r="941">
      <c r="A941" s="154"/>
      <c r="B941" s="473"/>
      <c r="C941" s="156"/>
      <c r="D941" s="156"/>
      <c r="E941" s="156"/>
      <c r="F941" s="154"/>
      <c r="G941" s="473"/>
      <c r="H941" s="156"/>
      <c r="I941" s="156"/>
      <c r="J941" s="156"/>
      <c r="K941" s="132"/>
      <c r="L941" s="473"/>
      <c r="M941" s="156"/>
      <c r="N941" s="156"/>
      <c r="O941" s="156"/>
      <c r="P941" s="132"/>
      <c r="Q941" s="487"/>
      <c r="R941" s="156"/>
      <c r="S941" s="156"/>
      <c r="T941" s="156"/>
      <c r="U941" s="154"/>
      <c r="V941" s="473"/>
      <c r="W941" s="156"/>
      <c r="X941" s="156"/>
      <c r="Y941" s="156"/>
      <c r="Z941" s="154"/>
      <c r="AA941" s="473"/>
      <c r="AB941" s="156"/>
      <c r="AC941" s="156"/>
      <c r="AD941" s="156"/>
      <c r="AE941" s="154"/>
      <c r="AF941" s="473"/>
      <c r="AG941" s="156"/>
      <c r="AH941" s="156"/>
      <c r="AI941" s="156"/>
      <c r="AJ941" s="154"/>
      <c r="AK941" s="473"/>
      <c r="AL941" s="156"/>
      <c r="AM941" s="156"/>
      <c r="AN941" s="156"/>
      <c r="AO941" s="452"/>
      <c r="AP941" s="452"/>
      <c r="AQ941" s="452"/>
      <c r="AR941" s="452"/>
      <c r="AS941" s="452"/>
      <c r="AT941" s="452"/>
      <c r="AU941" s="452"/>
      <c r="AV941" s="452"/>
      <c r="AW941" s="452"/>
      <c r="AX941" s="452"/>
      <c r="AY941" s="154"/>
      <c r="AZ941" s="473"/>
      <c r="BA941" s="156"/>
      <c r="BB941" s="156"/>
      <c r="BC941" s="156"/>
      <c r="BD941" s="452"/>
      <c r="BE941" s="452"/>
      <c r="BF941" s="452"/>
      <c r="BG941" s="452"/>
      <c r="BH941" s="452"/>
    </row>
    <row r="942">
      <c r="A942" s="154"/>
      <c r="B942" s="473"/>
      <c r="C942" s="156"/>
      <c r="D942" s="156"/>
      <c r="E942" s="156"/>
      <c r="F942" s="154"/>
      <c r="G942" s="473"/>
      <c r="H942" s="156"/>
      <c r="I942" s="156"/>
      <c r="J942" s="156"/>
      <c r="K942" s="132"/>
      <c r="L942" s="473"/>
      <c r="M942" s="156"/>
      <c r="N942" s="156"/>
      <c r="O942" s="156"/>
      <c r="P942" s="132"/>
      <c r="Q942" s="487"/>
      <c r="R942" s="156"/>
      <c r="S942" s="156"/>
      <c r="T942" s="156"/>
      <c r="U942" s="154"/>
      <c r="V942" s="473"/>
      <c r="W942" s="156"/>
      <c r="X942" s="156"/>
      <c r="Y942" s="156"/>
      <c r="Z942" s="154"/>
      <c r="AA942" s="473"/>
      <c r="AB942" s="156"/>
      <c r="AC942" s="156"/>
      <c r="AD942" s="156"/>
      <c r="AE942" s="154"/>
      <c r="AF942" s="473"/>
      <c r="AG942" s="156"/>
      <c r="AH942" s="156"/>
      <c r="AI942" s="156"/>
      <c r="AJ942" s="154"/>
      <c r="AK942" s="473"/>
      <c r="AL942" s="156"/>
      <c r="AM942" s="156"/>
      <c r="AN942" s="156"/>
      <c r="AO942" s="452"/>
      <c r="AP942" s="452"/>
      <c r="AQ942" s="452"/>
      <c r="AR942" s="452"/>
      <c r="AS942" s="452"/>
      <c r="AT942" s="452"/>
      <c r="AU942" s="452"/>
      <c r="AV942" s="452"/>
      <c r="AW942" s="452"/>
      <c r="AX942" s="452"/>
      <c r="AY942" s="154"/>
      <c r="AZ942" s="473"/>
      <c r="BA942" s="156"/>
      <c r="BB942" s="156"/>
      <c r="BC942" s="156"/>
      <c r="BD942" s="452"/>
      <c r="BE942" s="452"/>
      <c r="BF942" s="452"/>
      <c r="BG942" s="452"/>
      <c r="BH942" s="452"/>
    </row>
    <row r="943">
      <c r="A943" s="154"/>
      <c r="B943" s="473"/>
      <c r="C943" s="156"/>
      <c r="D943" s="156"/>
      <c r="E943" s="156"/>
      <c r="F943" s="154"/>
      <c r="G943" s="473"/>
      <c r="H943" s="156"/>
      <c r="I943" s="156"/>
      <c r="J943" s="156"/>
      <c r="K943" s="132"/>
      <c r="L943" s="473"/>
      <c r="M943" s="156"/>
      <c r="N943" s="156"/>
      <c r="O943" s="156"/>
      <c r="P943" s="132"/>
      <c r="Q943" s="487"/>
      <c r="R943" s="156"/>
      <c r="S943" s="156"/>
      <c r="T943" s="156"/>
      <c r="U943" s="154"/>
      <c r="V943" s="473"/>
      <c r="W943" s="156"/>
      <c r="X943" s="156"/>
      <c r="Y943" s="156"/>
      <c r="Z943" s="154"/>
      <c r="AA943" s="473"/>
      <c r="AB943" s="156"/>
      <c r="AC943" s="156"/>
      <c r="AD943" s="156"/>
      <c r="AE943" s="154"/>
      <c r="AF943" s="473"/>
      <c r="AG943" s="156"/>
      <c r="AH943" s="156"/>
      <c r="AI943" s="156"/>
      <c r="AJ943" s="154"/>
      <c r="AK943" s="473"/>
      <c r="AL943" s="156"/>
      <c r="AM943" s="156"/>
      <c r="AN943" s="156"/>
      <c r="AO943" s="452"/>
      <c r="AP943" s="452"/>
      <c r="AQ943" s="452"/>
      <c r="AR943" s="452"/>
      <c r="AS943" s="452"/>
      <c r="AT943" s="452"/>
      <c r="AU943" s="452"/>
      <c r="AV943" s="452"/>
      <c r="AW943" s="452"/>
      <c r="AX943" s="452"/>
      <c r="AY943" s="154"/>
      <c r="AZ943" s="473"/>
      <c r="BA943" s="156"/>
      <c r="BB943" s="156"/>
      <c r="BC943" s="156"/>
      <c r="BD943" s="452"/>
      <c r="BE943" s="452"/>
      <c r="BF943" s="452"/>
      <c r="BG943" s="452"/>
      <c r="BH943" s="452"/>
    </row>
    <row r="944">
      <c r="A944" s="154"/>
      <c r="B944" s="473"/>
      <c r="C944" s="156"/>
      <c r="D944" s="156"/>
      <c r="E944" s="156"/>
      <c r="F944" s="154"/>
      <c r="G944" s="473"/>
      <c r="H944" s="156"/>
      <c r="I944" s="156"/>
      <c r="J944" s="156"/>
      <c r="K944" s="132"/>
      <c r="L944" s="473"/>
      <c r="M944" s="156"/>
      <c r="N944" s="156"/>
      <c r="O944" s="156"/>
      <c r="P944" s="132"/>
      <c r="Q944" s="487"/>
      <c r="R944" s="156"/>
      <c r="S944" s="156"/>
      <c r="T944" s="156"/>
      <c r="U944" s="154"/>
      <c r="V944" s="473"/>
      <c r="W944" s="156"/>
      <c r="X944" s="156"/>
      <c r="Y944" s="156"/>
      <c r="Z944" s="154"/>
      <c r="AA944" s="473"/>
      <c r="AB944" s="156"/>
      <c r="AC944" s="156"/>
      <c r="AD944" s="156"/>
      <c r="AE944" s="154"/>
      <c r="AF944" s="473"/>
      <c r="AG944" s="156"/>
      <c r="AH944" s="156"/>
      <c r="AI944" s="156"/>
      <c r="AJ944" s="154"/>
      <c r="AK944" s="473"/>
      <c r="AL944" s="156"/>
      <c r="AM944" s="156"/>
      <c r="AN944" s="156"/>
      <c r="AO944" s="452"/>
      <c r="AP944" s="452"/>
      <c r="AQ944" s="452"/>
      <c r="AR944" s="452"/>
      <c r="AS944" s="452"/>
      <c r="AT944" s="452"/>
      <c r="AU944" s="452"/>
      <c r="AV944" s="452"/>
      <c r="AW944" s="452"/>
      <c r="AX944" s="452"/>
      <c r="AY944" s="154"/>
      <c r="AZ944" s="473"/>
      <c r="BA944" s="156"/>
      <c r="BB944" s="156"/>
      <c r="BC944" s="156"/>
      <c r="BD944" s="452"/>
      <c r="BE944" s="452"/>
      <c r="BF944" s="452"/>
      <c r="BG944" s="452"/>
      <c r="BH944" s="452"/>
    </row>
    <row r="945">
      <c r="A945" s="154"/>
      <c r="B945" s="473"/>
      <c r="C945" s="156"/>
      <c r="D945" s="156"/>
      <c r="E945" s="156"/>
      <c r="F945" s="154"/>
      <c r="G945" s="473"/>
      <c r="H945" s="156"/>
      <c r="I945" s="156"/>
      <c r="J945" s="156"/>
      <c r="K945" s="132"/>
      <c r="L945" s="473"/>
      <c r="M945" s="156"/>
      <c r="N945" s="156"/>
      <c r="O945" s="156"/>
      <c r="P945" s="132"/>
      <c r="Q945" s="487"/>
      <c r="R945" s="156"/>
      <c r="S945" s="156"/>
      <c r="T945" s="156"/>
      <c r="U945" s="154"/>
      <c r="V945" s="473"/>
      <c r="W945" s="156"/>
      <c r="X945" s="156"/>
      <c r="Y945" s="156"/>
      <c r="Z945" s="154"/>
      <c r="AA945" s="473"/>
      <c r="AB945" s="156"/>
      <c r="AC945" s="156"/>
      <c r="AD945" s="156"/>
      <c r="AE945" s="154"/>
      <c r="AF945" s="473"/>
      <c r="AG945" s="156"/>
      <c r="AH945" s="156"/>
      <c r="AI945" s="156"/>
      <c r="AJ945" s="154"/>
      <c r="AK945" s="473"/>
      <c r="AL945" s="156"/>
      <c r="AM945" s="156"/>
      <c r="AN945" s="156"/>
      <c r="AO945" s="452"/>
      <c r="AP945" s="452"/>
      <c r="AQ945" s="452"/>
      <c r="AR945" s="452"/>
      <c r="AS945" s="452"/>
      <c r="AT945" s="452"/>
      <c r="AU945" s="452"/>
      <c r="AV945" s="452"/>
      <c r="AW945" s="452"/>
      <c r="AX945" s="452"/>
      <c r="AY945" s="154"/>
      <c r="AZ945" s="473"/>
      <c r="BA945" s="156"/>
      <c r="BB945" s="156"/>
      <c r="BC945" s="156"/>
      <c r="BD945" s="452"/>
      <c r="BE945" s="452"/>
      <c r="BF945" s="452"/>
      <c r="BG945" s="452"/>
      <c r="BH945" s="452"/>
    </row>
    <row r="946">
      <c r="A946" s="154"/>
      <c r="B946" s="473"/>
      <c r="C946" s="156"/>
      <c r="D946" s="156"/>
      <c r="E946" s="156"/>
      <c r="F946" s="154"/>
      <c r="G946" s="473"/>
      <c r="H946" s="156"/>
      <c r="I946" s="156"/>
      <c r="J946" s="156"/>
      <c r="K946" s="132"/>
      <c r="L946" s="473"/>
      <c r="M946" s="156"/>
      <c r="N946" s="156"/>
      <c r="O946" s="156"/>
      <c r="P946" s="132"/>
      <c r="Q946" s="487"/>
      <c r="R946" s="156"/>
      <c r="S946" s="156"/>
      <c r="T946" s="156"/>
      <c r="U946" s="154"/>
      <c r="V946" s="473"/>
      <c r="W946" s="156"/>
      <c r="X946" s="156"/>
      <c r="Y946" s="156"/>
      <c r="Z946" s="154"/>
      <c r="AA946" s="473"/>
      <c r="AB946" s="156"/>
      <c r="AC946" s="156"/>
      <c r="AD946" s="156"/>
      <c r="AE946" s="154"/>
      <c r="AF946" s="473"/>
      <c r="AG946" s="156"/>
      <c r="AH946" s="156"/>
      <c r="AI946" s="156"/>
      <c r="AJ946" s="154"/>
      <c r="AK946" s="473"/>
      <c r="AL946" s="156"/>
      <c r="AM946" s="156"/>
      <c r="AN946" s="156"/>
      <c r="AO946" s="452"/>
      <c r="AP946" s="452"/>
      <c r="AQ946" s="452"/>
      <c r="AR946" s="452"/>
      <c r="AS946" s="452"/>
      <c r="AT946" s="452"/>
      <c r="AU946" s="452"/>
      <c r="AV946" s="452"/>
      <c r="AW946" s="452"/>
      <c r="AX946" s="452"/>
      <c r="AY946" s="154"/>
      <c r="AZ946" s="473"/>
      <c r="BA946" s="156"/>
      <c r="BB946" s="156"/>
      <c r="BC946" s="156"/>
      <c r="BD946" s="452"/>
      <c r="BE946" s="452"/>
      <c r="BF946" s="452"/>
      <c r="BG946" s="452"/>
      <c r="BH946" s="452"/>
    </row>
    <row r="947">
      <c r="A947" s="154"/>
      <c r="B947" s="473"/>
      <c r="C947" s="156"/>
      <c r="D947" s="156"/>
      <c r="E947" s="156"/>
      <c r="F947" s="154"/>
      <c r="G947" s="473"/>
      <c r="H947" s="156"/>
      <c r="I947" s="156"/>
      <c r="J947" s="156"/>
      <c r="K947" s="132"/>
      <c r="L947" s="473"/>
      <c r="M947" s="156"/>
      <c r="N947" s="156"/>
      <c r="O947" s="156"/>
      <c r="P947" s="132"/>
      <c r="Q947" s="487"/>
      <c r="R947" s="156"/>
      <c r="S947" s="156"/>
      <c r="T947" s="156"/>
      <c r="U947" s="154"/>
      <c r="V947" s="473"/>
      <c r="W947" s="156"/>
      <c r="X947" s="156"/>
      <c r="Y947" s="156"/>
      <c r="Z947" s="154"/>
      <c r="AA947" s="473"/>
      <c r="AB947" s="156"/>
      <c r="AC947" s="156"/>
      <c r="AD947" s="156"/>
      <c r="AE947" s="154"/>
      <c r="AF947" s="473"/>
      <c r="AG947" s="156"/>
      <c r="AH947" s="156"/>
      <c r="AI947" s="156"/>
      <c r="AJ947" s="154"/>
      <c r="AK947" s="473"/>
      <c r="AL947" s="156"/>
      <c r="AM947" s="156"/>
      <c r="AN947" s="156"/>
      <c r="AO947" s="452"/>
      <c r="AP947" s="452"/>
      <c r="AQ947" s="452"/>
      <c r="AR947" s="452"/>
      <c r="AS947" s="452"/>
      <c r="AT947" s="452"/>
      <c r="AU947" s="452"/>
      <c r="AV947" s="452"/>
      <c r="AW947" s="452"/>
      <c r="AX947" s="452"/>
      <c r="AY947" s="154"/>
      <c r="AZ947" s="473"/>
      <c r="BA947" s="156"/>
      <c r="BB947" s="156"/>
      <c r="BC947" s="156"/>
      <c r="BD947" s="452"/>
      <c r="BE947" s="452"/>
      <c r="BF947" s="452"/>
      <c r="BG947" s="452"/>
      <c r="BH947" s="452"/>
    </row>
    <row r="948">
      <c r="A948" s="154"/>
      <c r="B948" s="473"/>
      <c r="C948" s="156"/>
      <c r="D948" s="156"/>
      <c r="E948" s="156"/>
      <c r="F948" s="154"/>
      <c r="G948" s="473"/>
      <c r="H948" s="156"/>
      <c r="I948" s="156"/>
      <c r="J948" s="156"/>
      <c r="K948" s="132"/>
      <c r="L948" s="473"/>
      <c r="M948" s="156"/>
      <c r="N948" s="156"/>
      <c r="O948" s="156"/>
      <c r="P948" s="132"/>
      <c r="Q948" s="487"/>
      <c r="R948" s="156"/>
      <c r="S948" s="156"/>
      <c r="T948" s="156"/>
      <c r="U948" s="154"/>
      <c r="V948" s="473"/>
      <c r="W948" s="156"/>
      <c r="X948" s="156"/>
      <c r="Y948" s="156"/>
      <c r="Z948" s="154"/>
      <c r="AA948" s="473"/>
      <c r="AB948" s="156"/>
      <c r="AC948" s="156"/>
      <c r="AD948" s="156"/>
      <c r="AE948" s="154"/>
      <c r="AF948" s="473"/>
      <c r="AG948" s="156"/>
      <c r="AH948" s="156"/>
      <c r="AI948" s="156"/>
      <c r="AJ948" s="154"/>
      <c r="AK948" s="473"/>
      <c r="AL948" s="156"/>
      <c r="AM948" s="156"/>
      <c r="AN948" s="156"/>
      <c r="AO948" s="452"/>
      <c r="AP948" s="452"/>
      <c r="AQ948" s="452"/>
      <c r="AR948" s="452"/>
      <c r="AS948" s="452"/>
      <c r="AT948" s="452"/>
      <c r="AU948" s="452"/>
      <c r="AV948" s="452"/>
      <c r="AW948" s="452"/>
      <c r="AX948" s="452"/>
      <c r="AY948" s="154"/>
      <c r="AZ948" s="473"/>
      <c r="BA948" s="156"/>
      <c r="BB948" s="156"/>
      <c r="BC948" s="156"/>
      <c r="BD948" s="452"/>
      <c r="BE948" s="452"/>
      <c r="BF948" s="452"/>
      <c r="BG948" s="452"/>
      <c r="BH948" s="452"/>
    </row>
    <row r="949">
      <c r="A949" s="154"/>
      <c r="B949" s="473"/>
      <c r="C949" s="156"/>
      <c r="D949" s="156"/>
      <c r="E949" s="156"/>
      <c r="F949" s="154"/>
      <c r="G949" s="473"/>
      <c r="H949" s="156"/>
      <c r="I949" s="156"/>
      <c r="J949" s="156"/>
      <c r="K949" s="132"/>
      <c r="L949" s="473"/>
      <c r="M949" s="156"/>
      <c r="N949" s="156"/>
      <c r="O949" s="156"/>
      <c r="P949" s="132"/>
      <c r="Q949" s="487"/>
      <c r="R949" s="156"/>
      <c r="S949" s="156"/>
      <c r="T949" s="156"/>
      <c r="U949" s="154"/>
      <c r="V949" s="473"/>
      <c r="W949" s="156"/>
      <c r="X949" s="156"/>
      <c r="Y949" s="156"/>
      <c r="Z949" s="154"/>
      <c r="AA949" s="473"/>
      <c r="AB949" s="156"/>
      <c r="AC949" s="156"/>
      <c r="AD949" s="156"/>
      <c r="AE949" s="154"/>
      <c r="AF949" s="473"/>
      <c r="AG949" s="156"/>
      <c r="AH949" s="156"/>
      <c r="AI949" s="156"/>
      <c r="AJ949" s="154"/>
      <c r="AK949" s="473"/>
      <c r="AL949" s="156"/>
      <c r="AM949" s="156"/>
      <c r="AN949" s="156"/>
      <c r="AO949" s="452"/>
      <c r="AP949" s="452"/>
      <c r="AQ949" s="452"/>
      <c r="AR949" s="452"/>
      <c r="AS949" s="452"/>
      <c r="AT949" s="452"/>
      <c r="AU949" s="452"/>
      <c r="AV949" s="452"/>
      <c r="AW949" s="452"/>
      <c r="AX949" s="452"/>
      <c r="AY949" s="154"/>
      <c r="AZ949" s="473"/>
      <c r="BA949" s="156"/>
      <c r="BB949" s="156"/>
      <c r="BC949" s="156"/>
      <c r="BD949" s="452"/>
      <c r="BE949" s="452"/>
      <c r="BF949" s="452"/>
      <c r="BG949" s="452"/>
      <c r="BH949" s="452"/>
    </row>
    <row r="950">
      <c r="A950" s="154"/>
      <c r="B950" s="473"/>
      <c r="C950" s="156"/>
      <c r="D950" s="156"/>
      <c r="E950" s="156"/>
      <c r="F950" s="154"/>
      <c r="G950" s="473"/>
      <c r="H950" s="156"/>
      <c r="I950" s="156"/>
      <c r="J950" s="156"/>
      <c r="K950" s="132"/>
      <c r="L950" s="473"/>
      <c r="M950" s="156"/>
      <c r="N950" s="156"/>
      <c r="O950" s="156"/>
      <c r="P950" s="132"/>
      <c r="Q950" s="487"/>
      <c r="R950" s="156"/>
      <c r="S950" s="156"/>
      <c r="T950" s="156"/>
      <c r="U950" s="154"/>
      <c r="V950" s="473"/>
      <c r="W950" s="156"/>
      <c r="X950" s="156"/>
      <c r="Y950" s="156"/>
      <c r="Z950" s="154"/>
      <c r="AA950" s="473"/>
      <c r="AB950" s="156"/>
      <c r="AC950" s="156"/>
      <c r="AD950" s="156"/>
      <c r="AE950" s="154"/>
      <c r="AF950" s="473"/>
      <c r="AG950" s="156"/>
      <c r="AH950" s="156"/>
      <c r="AI950" s="156"/>
      <c r="AJ950" s="154"/>
      <c r="AK950" s="473"/>
      <c r="AL950" s="156"/>
      <c r="AM950" s="156"/>
      <c r="AN950" s="156"/>
      <c r="AO950" s="452"/>
      <c r="AP950" s="452"/>
      <c r="AQ950" s="452"/>
      <c r="AR950" s="452"/>
      <c r="AS950" s="452"/>
      <c r="AT950" s="452"/>
      <c r="AU950" s="452"/>
      <c r="AV950" s="452"/>
      <c r="AW950" s="452"/>
      <c r="AX950" s="452"/>
      <c r="AY950" s="154"/>
      <c r="AZ950" s="473"/>
      <c r="BA950" s="156"/>
      <c r="BB950" s="156"/>
      <c r="BC950" s="156"/>
      <c r="BD950" s="452"/>
      <c r="BE950" s="452"/>
      <c r="BF950" s="452"/>
      <c r="BG950" s="452"/>
      <c r="BH950" s="452"/>
    </row>
    <row r="951">
      <c r="A951" s="154"/>
      <c r="B951" s="473"/>
      <c r="C951" s="156"/>
      <c r="D951" s="156"/>
      <c r="E951" s="156"/>
      <c r="F951" s="154"/>
      <c r="G951" s="473"/>
      <c r="H951" s="156"/>
      <c r="I951" s="156"/>
      <c r="J951" s="156"/>
      <c r="K951" s="132"/>
      <c r="L951" s="473"/>
      <c r="M951" s="156"/>
      <c r="N951" s="156"/>
      <c r="O951" s="156"/>
      <c r="P951" s="132"/>
      <c r="Q951" s="487"/>
      <c r="R951" s="156"/>
      <c r="S951" s="156"/>
      <c r="T951" s="156"/>
      <c r="U951" s="154"/>
      <c r="V951" s="473"/>
      <c r="W951" s="156"/>
      <c r="X951" s="156"/>
      <c r="Y951" s="156"/>
      <c r="Z951" s="154"/>
      <c r="AA951" s="473"/>
      <c r="AB951" s="156"/>
      <c r="AC951" s="156"/>
      <c r="AD951" s="156"/>
      <c r="AE951" s="154"/>
      <c r="AF951" s="473"/>
      <c r="AG951" s="156"/>
      <c r="AH951" s="156"/>
      <c r="AI951" s="156"/>
      <c r="AJ951" s="154"/>
      <c r="AK951" s="473"/>
      <c r="AL951" s="156"/>
      <c r="AM951" s="156"/>
      <c r="AN951" s="156"/>
      <c r="AO951" s="452"/>
      <c r="AP951" s="452"/>
      <c r="AQ951" s="452"/>
      <c r="AR951" s="452"/>
      <c r="AS951" s="452"/>
      <c r="AT951" s="452"/>
      <c r="AU951" s="452"/>
      <c r="AV951" s="452"/>
      <c r="AW951" s="452"/>
      <c r="AX951" s="452"/>
      <c r="AY951" s="154"/>
      <c r="AZ951" s="473"/>
      <c r="BA951" s="156"/>
      <c r="BB951" s="156"/>
      <c r="BC951" s="156"/>
      <c r="BD951" s="452"/>
      <c r="BE951" s="452"/>
      <c r="BF951" s="452"/>
      <c r="BG951" s="452"/>
      <c r="BH951" s="452"/>
    </row>
    <row r="952">
      <c r="A952" s="154"/>
      <c r="B952" s="473"/>
      <c r="C952" s="156"/>
      <c r="D952" s="156"/>
      <c r="E952" s="156"/>
      <c r="F952" s="154"/>
      <c r="G952" s="473"/>
      <c r="H952" s="156"/>
      <c r="I952" s="156"/>
      <c r="J952" s="156"/>
      <c r="K952" s="132"/>
      <c r="L952" s="473"/>
      <c r="M952" s="156"/>
      <c r="N952" s="156"/>
      <c r="O952" s="156"/>
      <c r="P952" s="132"/>
      <c r="Q952" s="487"/>
      <c r="R952" s="156"/>
      <c r="S952" s="156"/>
      <c r="T952" s="156"/>
      <c r="U952" s="154"/>
      <c r="V952" s="473"/>
      <c r="W952" s="156"/>
      <c r="X952" s="156"/>
      <c r="Y952" s="156"/>
      <c r="Z952" s="154"/>
      <c r="AA952" s="473"/>
      <c r="AB952" s="156"/>
      <c r="AC952" s="156"/>
      <c r="AD952" s="156"/>
      <c r="AE952" s="154"/>
      <c r="AF952" s="473"/>
      <c r="AG952" s="156"/>
      <c r="AH952" s="156"/>
      <c r="AI952" s="156"/>
      <c r="AJ952" s="154"/>
      <c r="AK952" s="473"/>
      <c r="AL952" s="156"/>
      <c r="AM952" s="156"/>
      <c r="AN952" s="156"/>
      <c r="AO952" s="452"/>
      <c r="AP952" s="452"/>
      <c r="AQ952" s="452"/>
      <c r="AR952" s="452"/>
      <c r="AS952" s="452"/>
      <c r="AT952" s="452"/>
      <c r="AU952" s="452"/>
      <c r="AV952" s="452"/>
      <c r="AW952" s="452"/>
      <c r="AX952" s="452"/>
      <c r="AY952" s="154"/>
      <c r="AZ952" s="473"/>
      <c r="BA952" s="156"/>
      <c r="BB952" s="156"/>
      <c r="BC952" s="156"/>
      <c r="BD952" s="452"/>
      <c r="BE952" s="452"/>
      <c r="BF952" s="452"/>
      <c r="BG952" s="452"/>
      <c r="BH952" s="452"/>
    </row>
    <row r="953">
      <c r="A953" s="154"/>
      <c r="B953" s="473"/>
      <c r="C953" s="156"/>
      <c r="D953" s="156"/>
      <c r="E953" s="156"/>
      <c r="F953" s="154"/>
      <c r="G953" s="473"/>
      <c r="H953" s="156"/>
      <c r="I953" s="156"/>
      <c r="J953" s="156"/>
      <c r="K953" s="132"/>
      <c r="L953" s="473"/>
      <c r="M953" s="156"/>
      <c r="N953" s="156"/>
      <c r="O953" s="156"/>
      <c r="P953" s="132"/>
      <c r="Q953" s="487"/>
      <c r="R953" s="156"/>
      <c r="S953" s="156"/>
      <c r="T953" s="156"/>
      <c r="U953" s="154"/>
      <c r="V953" s="473"/>
      <c r="W953" s="156"/>
      <c r="X953" s="156"/>
      <c r="Y953" s="156"/>
      <c r="Z953" s="154"/>
      <c r="AA953" s="473"/>
      <c r="AB953" s="156"/>
      <c r="AC953" s="156"/>
      <c r="AD953" s="156"/>
      <c r="AE953" s="154"/>
      <c r="AF953" s="473"/>
      <c r="AG953" s="156"/>
      <c r="AH953" s="156"/>
      <c r="AI953" s="156"/>
      <c r="AJ953" s="154"/>
      <c r="AK953" s="473"/>
      <c r="AL953" s="156"/>
      <c r="AM953" s="156"/>
      <c r="AN953" s="156"/>
      <c r="AO953" s="452"/>
      <c r="AP953" s="452"/>
      <c r="AQ953" s="452"/>
      <c r="AR953" s="452"/>
      <c r="AS953" s="452"/>
      <c r="AT953" s="452"/>
      <c r="AU953" s="452"/>
      <c r="AV953" s="452"/>
      <c r="AW953" s="452"/>
      <c r="AX953" s="452"/>
      <c r="AY953" s="154"/>
      <c r="AZ953" s="473"/>
      <c r="BA953" s="156"/>
      <c r="BB953" s="156"/>
      <c r="BC953" s="156"/>
      <c r="BD953" s="452"/>
      <c r="BE953" s="452"/>
      <c r="BF953" s="452"/>
      <c r="BG953" s="452"/>
      <c r="BH953" s="452"/>
    </row>
    <row r="954">
      <c r="A954" s="154"/>
      <c r="B954" s="473"/>
      <c r="C954" s="156"/>
      <c r="D954" s="156"/>
      <c r="E954" s="156"/>
      <c r="F954" s="154"/>
      <c r="G954" s="473"/>
      <c r="H954" s="156"/>
      <c r="I954" s="156"/>
      <c r="J954" s="156"/>
      <c r="K954" s="132"/>
      <c r="L954" s="473"/>
      <c r="M954" s="156"/>
      <c r="N954" s="156"/>
      <c r="O954" s="156"/>
      <c r="P954" s="132"/>
      <c r="Q954" s="487"/>
      <c r="R954" s="156"/>
      <c r="S954" s="156"/>
      <c r="T954" s="156"/>
      <c r="U954" s="154"/>
      <c r="V954" s="473"/>
      <c r="W954" s="156"/>
      <c r="X954" s="156"/>
      <c r="Y954" s="156"/>
      <c r="Z954" s="154"/>
      <c r="AA954" s="473"/>
      <c r="AB954" s="156"/>
      <c r="AC954" s="156"/>
      <c r="AD954" s="156"/>
      <c r="AE954" s="154"/>
      <c r="AF954" s="473"/>
      <c r="AG954" s="156"/>
      <c r="AH954" s="156"/>
      <c r="AI954" s="156"/>
      <c r="AJ954" s="154"/>
      <c r="AK954" s="473"/>
      <c r="AL954" s="156"/>
      <c r="AM954" s="156"/>
      <c r="AN954" s="156"/>
      <c r="AO954" s="452"/>
      <c r="AP954" s="452"/>
      <c r="AQ954" s="452"/>
      <c r="AR954" s="452"/>
      <c r="AS954" s="452"/>
      <c r="AT954" s="452"/>
      <c r="AU954" s="452"/>
      <c r="AV954" s="452"/>
      <c r="AW954" s="452"/>
      <c r="AX954" s="452"/>
      <c r="AY954" s="154"/>
      <c r="AZ954" s="473"/>
      <c r="BA954" s="156"/>
      <c r="BB954" s="156"/>
      <c r="BC954" s="156"/>
      <c r="BD954" s="452"/>
      <c r="BE954" s="452"/>
      <c r="BF954" s="452"/>
      <c r="BG954" s="452"/>
      <c r="BH954" s="452"/>
    </row>
    <row r="955">
      <c r="A955" s="154"/>
      <c r="B955" s="473"/>
      <c r="C955" s="156"/>
      <c r="D955" s="156"/>
      <c r="E955" s="156"/>
      <c r="F955" s="154"/>
      <c r="G955" s="473"/>
      <c r="H955" s="156"/>
      <c r="I955" s="156"/>
      <c r="J955" s="156"/>
      <c r="K955" s="132"/>
      <c r="L955" s="473"/>
      <c r="M955" s="156"/>
      <c r="N955" s="156"/>
      <c r="O955" s="156"/>
      <c r="P955" s="132"/>
      <c r="Q955" s="487"/>
      <c r="R955" s="156"/>
      <c r="S955" s="156"/>
      <c r="T955" s="156"/>
      <c r="U955" s="154"/>
      <c r="V955" s="473"/>
      <c r="W955" s="156"/>
      <c r="X955" s="156"/>
      <c r="Y955" s="156"/>
      <c r="Z955" s="154"/>
      <c r="AA955" s="473"/>
      <c r="AB955" s="156"/>
      <c r="AC955" s="156"/>
      <c r="AD955" s="156"/>
      <c r="AE955" s="154"/>
      <c r="AF955" s="473"/>
      <c r="AG955" s="156"/>
      <c r="AH955" s="156"/>
      <c r="AI955" s="156"/>
      <c r="AJ955" s="154"/>
      <c r="AK955" s="473"/>
      <c r="AL955" s="156"/>
      <c r="AM955" s="156"/>
      <c r="AN955" s="156"/>
      <c r="AO955" s="452"/>
      <c r="AP955" s="452"/>
      <c r="AQ955" s="452"/>
      <c r="AR955" s="452"/>
      <c r="AS955" s="452"/>
      <c r="AT955" s="452"/>
      <c r="AU955" s="452"/>
      <c r="AV955" s="452"/>
      <c r="AW955" s="452"/>
      <c r="AX955" s="452"/>
      <c r="AY955" s="154"/>
      <c r="AZ955" s="473"/>
      <c r="BA955" s="156"/>
      <c r="BB955" s="156"/>
      <c r="BC955" s="156"/>
      <c r="BD955" s="452"/>
      <c r="BE955" s="452"/>
      <c r="BF955" s="452"/>
      <c r="BG955" s="452"/>
      <c r="BH955" s="452"/>
    </row>
    <row r="956">
      <c r="A956" s="154"/>
      <c r="B956" s="473"/>
      <c r="C956" s="156"/>
      <c r="D956" s="156"/>
      <c r="E956" s="156"/>
      <c r="F956" s="154"/>
      <c r="G956" s="473"/>
      <c r="H956" s="156"/>
      <c r="I956" s="156"/>
      <c r="J956" s="156"/>
      <c r="K956" s="132"/>
      <c r="L956" s="473"/>
      <c r="M956" s="156"/>
      <c r="N956" s="156"/>
      <c r="O956" s="156"/>
      <c r="P956" s="132"/>
      <c r="Q956" s="487"/>
      <c r="R956" s="156"/>
      <c r="S956" s="156"/>
      <c r="T956" s="156"/>
      <c r="U956" s="154"/>
      <c r="V956" s="473"/>
      <c r="W956" s="156"/>
      <c r="X956" s="156"/>
      <c r="Y956" s="156"/>
      <c r="Z956" s="154"/>
      <c r="AA956" s="473"/>
      <c r="AB956" s="156"/>
      <c r="AC956" s="156"/>
      <c r="AD956" s="156"/>
      <c r="AE956" s="154"/>
      <c r="AF956" s="473"/>
      <c r="AG956" s="156"/>
      <c r="AH956" s="156"/>
      <c r="AI956" s="156"/>
      <c r="AJ956" s="154"/>
      <c r="AK956" s="473"/>
      <c r="AL956" s="156"/>
      <c r="AM956" s="156"/>
      <c r="AN956" s="156"/>
      <c r="AO956" s="452"/>
      <c r="AP956" s="452"/>
      <c r="AQ956" s="452"/>
      <c r="AR956" s="452"/>
      <c r="AS956" s="452"/>
      <c r="AT956" s="452"/>
      <c r="AU956" s="452"/>
      <c r="AV956" s="452"/>
      <c r="AW956" s="452"/>
      <c r="AX956" s="452"/>
      <c r="AY956" s="154"/>
      <c r="AZ956" s="473"/>
      <c r="BA956" s="156"/>
      <c r="BB956" s="156"/>
      <c r="BC956" s="156"/>
      <c r="BD956" s="452"/>
      <c r="BE956" s="452"/>
      <c r="BF956" s="452"/>
      <c r="BG956" s="452"/>
      <c r="BH956" s="452"/>
    </row>
    <row r="957">
      <c r="A957" s="154"/>
      <c r="B957" s="473"/>
      <c r="C957" s="156"/>
      <c r="D957" s="156"/>
      <c r="E957" s="156"/>
      <c r="F957" s="154"/>
      <c r="G957" s="473"/>
      <c r="H957" s="156"/>
      <c r="I957" s="156"/>
      <c r="J957" s="156"/>
      <c r="K957" s="132"/>
      <c r="L957" s="473"/>
      <c r="M957" s="156"/>
      <c r="N957" s="156"/>
      <c r="O957" s="156"/>
      <c r="P957" s="132"/>
      <c r="Q957" s="487"/>
      <c r="R957" s="156"/>
      <c r="S957" s="156"/>
      <c r="T957" s="156"/>
      <c r="U957" s="154"/>
      <c r="V957" s="473"/>
      <c r="W957" s="156"/>
      <c r="X957" s="156"/>
      <c r="Y957" s="156"/>
      <c r="Z957" s="154"/>
      <c r="AA957" s="473"/>
      <c r="AB957" s="156"/>
      <c r="AC957" s="156"/>
      <c r="AD957" s="156"/>
      <c r="AE957" s="154"/>
      <c r="AF957" s="473"/>
      <c r="AG957" s="156"/>
      <c r="AH957" s="156"/>
      <c r="AI957" s="156"/>
      <c r="AJ957" s="154"/>
      <c r="AK957" s="473"/>
      <c r="AL957" s="156"/>
      <c r="AM957" s="156"/>
      <c r="AN957" s="156"/>
      <c r="AO957" s="452"/>
      <c r="AP957" s="452"/>
      <c r="AQ957" s="452"/>
      <c r="AR957" s="452"/>
      <c r="AS957" s="452"/>
      <c r="AT957" s="452"/>
      <c r="AU957" s="452"/>
      <c r="AV957" s="452"/>
      <c r="AW957" s="452"/>
      <c r="AX957" s="452"/>
      <c r="AY957" s="154"/>
      <c r="AZ957" s="473"/>
      <c r="BA957" s="156"/>
      <c r="BB957" s="156"/>
      <c r="BC957" s="156"/>
      <c r="BD957" s="452"/>
      <c r="BE957" s="452"/>
      <c r="BF957" s="452"/>
      <c r="BG957" s="452"/>
      <c r="BH957" s="452"/>
    </row>
    <row r="958">
      <c r="A958" s="154"/>
      <c r="B958" s="473"/>
      <c r="C958" s="156"/>
      <c r="D958" s="156"/>
      <c r="E958" s="156"/>
      <c r="F958" s="154"/>
      <c r="G958" s="473"/>
      <c r="H958" s="156"/>
      <c r="I958" s="156"/>
      <c r="J958" s="156"/>
      <c r="K958" s="132"/>
      <c r="L958" s="473"/>
      <c r="M958" s="156"/>
      <c r="N958" s="156"/>
      <c r="O958" s="156"/>
      <c r="P958" s="132"/>
      <c r="Q958" s="487"/>
      <c r="R958" s="156"/>
      <c r="S958" s="156"/>
      <c r="T958" s="156"/>
      <c r="U958" s="154"/>
      <c r="V958" s="473"/>
      <c r="W958" s="156"/>
      <c r="X958" s="156"/>
      <c r="Y958" s="156"/>
      <c r="Z958" s="154"/>
      <c r="AA958" s="473"/>
      <c r="AB958" s="156"/>
      <c r="AC958" s="156"/>
      <c r="AD958" s="156"/>
      <c r="AE958" s="154"/>
      <c r="AF958" s="473"/>
      <c r="AG958" s="156"/>
      <c r="AH958" s="156"/>
      <c r="AI958" s="156"/>
      <c r="AJ958" s="154"/>
      <c r="AK958" s="473"/>
      <c r="AL958" s="156"/>
      <c r="AM958" s="156"/>
      <c r="AN958" s="156"/>
      <c r="AO958" s="452"/>
      <c r="AP958" s="452"/>
      <c r="AQ958" s="452"/>
      <c r="AR958" s="452"/>
      <c r="AS958" s="452"/>
      <c r="AT958" s="452"/>
      <c r="AU958" s="452"/>
      <c r="AV958" s="452"/>
      <c r="AW958" s="452"/>
      <c r="AX958" s="452"/>
      <c r="AY958" s="154"/>
      <c r="AZ958" s="473"/>
      <c r="BA958" s="156"/>
      <c r="BB958" s="156"/>
      <c r="BC958" s="156"/>
      <c r="BD958" s="452"/>
      <c r="BE958" s="452"/>
      <c r="BF958" s="452"/>
      <c r="BG958" s="452"/>
      <c r="BH958" s="452"/>
    </row>
    <row r="959">
      <c r="A959" s="154"/>
      <c r="B959" s="473"/>
      <c r="C959" s="156"/>
      <c r="D959" s="156"/>
      <c r="E959" s="156"/>
      <c r="F959" s="154"/>
      <c r="G959" s="473"/>
      <c r="H959" s="156"/>
      <c r="I959" s="156"/>
      <c r="J959" s="156"/>
      <c r="K959" s="132"/>
      <c r="L959" s="473"/>
      <c r="M959" s="156"/>
      <c r="N959" s="156"/>
      <c r="O959" s="156"/>
      <c r="P959" s="132"/>
      <c r="Q959" s="487"/>
      <c r="R959" s="156"/>
      <c r="S959" s="156"/>
      <c r="T959" s="156"/>
      <c r="U959" s="154"/>
      <c r="V959" s="473"/>
      <c r="W959" s="156"/>
      <c r="X959" s="156"/>
      <c r="Y959" s="156"/>
      <c r="Z959" s="154"/>
      <c r="AA959" s="473"/>
      <c r="AB959" s="156"/>
      <c r="AC959" s="156"/>
      <c r="AD959" s="156"/>
      <c r="AE959" s="154"/>
      <c r="AF959" s="473"/>
      <c r="AG959" s="156"/>
      <c r="AH959" s="156"/>
      <c r="AI959" s="156"/>
      <c r="AJ959" s="154"/>
      <c r="AK959" s="473"/>
      <c r="AL959" s="156"/>
      <c r="AM959" s="156"/>
      <c r="AN959" s="156"/>
      <c r="AO959" s="452"/>
      <c r="AP959" s="452"/>
      <c r="AQ959" s="452"/>
      <c r="AR959" s="452"/>
      <c r="AS959" s="452"/>
      <c r="AT959" s="452"/>
      <c r="AU959" s="452"/>
      <c r="AV959" s="452"/>
      <c r="AW959" s="452"/>
      <c r="AX959" s="452"/>
      <c r="AY959" s="154"/>
      <c r="AZ959" s="473"/>
      <c r="BA959" s="156"/>
      <c r="BB959" s="156"/>
      <c r="BC959" s="156"/>
      <c r="BD959" s="452"/>
      <c r="BE959" s="452"/>
      <c r="BF959" s="452"/>
      <c r="BG959" s="452"/>
      <c r="BH959" s="452"/>
    </row>
    <row r="960">
      <c r="A960" s="154"/>
      <c r="B960" s="473"/>
      <c r="C960" s="156"/>
      <c r="D960" s="156"/>
      <c r="E960" s="156"/>
      <c r="F960" s="154"/>
      <c r="G960" s="473"/>
      <c r="H960" s="156"/>
      <c r="I960" s="156"/>
      <c r="J960" s="156"/>
      <c r="K960" s="132"/>
      <c r="L960" s="473"/>
      <c r="M960" s="156"/>
      <c r="N960" s="156"/>
      <c r="O960" s="156"/>
      <c r="P960" s="132"/>
      <c r="Q960" s="487"/>
      <c r="R960" s="156"/>
      <c r="S960" s="156"/>
      <c r="T960" s="156"/>
      <c r="U960" s="154"/>
      <c r="V960" s="473"/>
      <c r="W960" s="156"/>
      <c r="X960" s="156"/>
      <c r="Y960" s="156"/>
      <c r="Z960" s="154"/>
      <c r="AA960" s="473"/>
      <c r="AB960" s="156"/>
      <c r="AC960" s="156"/>
      <c r="AD960" s="156"/>
      <c r="AE960" s="154"/>
      <c r="AF960" s="473"/>
      <c r="AG960" s="156"/>
      <c r="AH960" s="156"/>
      <c r="AI960" s="156"/>
      <c r="AJ960" s="154"/>
      <c r="AK960" s="473"/>
      <c r="AL960" s="156"/>
      <c r="AM960" s="156"/>
      <c r="AN960" s="156"/>
      <c r="AO960" s="452"/>
      <c r="AP960" s="452"/>
      <c r="AQ960" s="452"/>
      <c r="AR960" s="452"/>
      <c r="AS960" s="452"/>
      <c r="AT960" s="452"/>
      <c r="AU960" s="452"/>
      <c r="AV960" s="452"/>
      <c r="AW960" s="452"/>
      <c r="AX960" s="452"/>
      <c r="AY960" s="154"/>
      <c r="AZ960" s="473"/>
      <c r="BA960" s="156"/>
      <c r="BB960" s="156"/>
      <c r="BC960" s="156"/>
      <c r="BD960" s="452"/>
      <c r="BE960" s="452"/>
      <c r="BF960" s="452"/>
      <c r="BG960" s="452"/>
      <c r="BH960" s="452"/>
    </row>
    <row r="961">
      <c r="A961" s="154"/>
      <c r="B961" s="473"/>
      <c r="C961" s="156"/>
      <c r="D961" s="156"/>
      <c r="E961" s="156"/>
      <c r="F961" s="154"/>
      <c r="G961" s="473"/>
      <c r="H961" s="156"/>
      <c r="I961" s="156"/>
      <c r="J961" s="156"/>
      <c r="K961" s="132"/>
      <c r="L961" s="473"/>
      <c r="M961" s="156"/>
      <c r="N961" s="156"/>
      <c r="O961" s="156"/>
      <c r="P961" s="132"/>
      <c r="Q961" s="487"/>
      <c r="R961" s="156"/>
      <c r="S961" s="156"/>
      <c r="T961" s="156"/>
      <c r="U961" s="154"/>
      <c r="V961" s="473"/>
      <c r="W961" s="156"/>
      <c r="X961" s="156"/>
      <c r="Y961" s="156"/>
      <c r="Z961" s="154"/>
      <c r="AA961" s="473"/>
      <c r="AB961" s="156"/>
      <c r="AC961" s="156"/>
      <c r="AD961" s="156"/>
      <c r="AE961" s="154"/>
      <c r="AF961" s="473"/>
      <c r="AG961" s="156"/>
      <c r="AH961" s="156"/>
      <c r="AI961" s="156"/>
      <c r="AJ961" s="154"/>
      <c r="AK961" s="473"/>
      <c r="AL961" s="156"/>
      <c r="AM961" s="156"/>
      <c r="AN961" s="156"/>
      <c r="AO961" s="452"/>
      <c r="AP961" s="452"/>
      <c r="AQ961" s="452"/>
      <c r="AR961" s="452"/>
      <c r="AS961" s="452"/>
      <c r="AT961" s="452"/>
      <c r="AU961" s="452"/>
      <c r="AV961" s="452"/>
      <c r="AW961" s="452"/>
      <c r="AX961" s="452"/>
      <c r="AY961" s="154"/>
      <c r="AZ961" s="473"/>
      <c r="BA961" s="156"/>
      <c r="BB961" s="156"/>
      <c r="BC961" s="156"/>
      <c r="BD961" s="452"/>
      <c r="BE961" s="452"/>
      <c r="BF961" s="452"/>
      <c r="BG961" s="452"/>
      <c r="BH961" s="452"/>
    </row>
    <row r="962">
      <c r="A962" s="154"/>
      <c r="B962" s="473"/>
      <c r="C962" s="156"/>
      <c r="D962" s="156"/>
      <c r="E962" s="156"/>
      <c r="F962" s="154"/>
      <c r="G962" s="473"/>
      <c r="H962" s="156"/>
      <c r="I962" s="156"/>
      <c r="J962" s="156"/>
      <c r="K962" s="132"/>
      <c r="L962" s="473"/>
      <c r="M962" s="156"/>
      <c r="N962" s="156"/>
      <c r="O962" s="156"/>
      <c r="P962" s="132"/>
      <c r="Q962" s="487"/>
      <c r="R962" s="156"/>
      <c r="S962" s="156"/>
      <c r="T962" s="156"/>
      <c r="U962" s="154"/>
      <c r="V962" s="473"/>
      <c r="W962" s="156"/>
      <c r="X962" s="156"/>
      <c r="Y962" s="156"/>
      <c r="Z962" s="154"/>
      <c r="AA962" s="473"/>
      <c r="AB962" s="156"/>
      <c r="AC962" s="156"/>
      <c r="AD962" s="156"/>
      <c r="AE962" s="154"/>
      <c r="AF962" s="473"/>
      <c r="AG962" s="156"/>
      <c r="AH962" s="156"/>
      <c r="AI962" s="156"/>
      <c r="AJ962" s="154"/>
      <c r="AK962" s="473"/>
      <c r="AL962" s="156"/>
      <c r="AM962" s="156"/>
      <c r="AN962" s="156"/>
      <c r="AO962" s="452"/>
      <c r="AP962" s="452"/>
      <c r="AQ962" s="452"/>
      <c r="AR962" s="452"/>
      <c r="AS962" s="452"/>
      <c r="AT962" s="452"/>
      <c r="AU962" s="452"/>
      <c r="AV962" s="452"/>
      <c r="AW962" s="452"/>
      <c r="AX962" s="452"/>
      <c r="AY962" s="154"/>
      <c r="AZ962" s="473"/>
      <c r="BA962" s="156"/>
      <c r="BB962" s="156"/>
      <c r="BC962" s="156"/>
      <c r="BD962" s="452"/>
      <c r="BE962" s="452"/>
      <c r="BF962" s="452"/>
      <c r="BG962" s="452"/>
      <c r="BH962" s="452"/>
    </row>
    <row r="963">
      <c r="A963" s="154"/>
      <c r="B963" s="473"/>
      <c r="C963" s="156"/>
      <c r="D963" s="156"/>
      <c r="E963" s="156"/>
      <c r="F963" s="154"/>
      <c r="G963" s="473"/>
      <c r="H963" s="156"/>
      <c r="I963" s="156"/>
      <c r="J963" s="156"/>
      <c r="K963" s="132"/>
      <c r="L963" s="473"/>
      <c r="M963" s="156"/>
      <c r="N963" s="156"/>
      <c r="O963" s="156"/>
      <c r="P963" s="132"/>
      <c r="Q963" s="487"/>
      <c r="R963" s="156"/>
      <c r="S963" s="156"/>
      <c r="T963" s="156"/>
      <c r="U963" s="154"/>
      <c r="V963" s="473"/>
      <c r="W963" s="156"/>
      <c r="X963" s="156"/>
      <c r="Y963" s="156"/>
      <c r="Z963" s="154"/>
      <c r="AA963" s="473"/>
      <c r="AB963" s="156"/>
      <c r="AC963" s="156"/>
      <c r="AD963" s="156"/>
      <c r="AE963" s="154"/>
      <c r="AF963" s="473"/>
      <c r="AG963" s="156"/>
      <c r="AH963" s="156"/>
      <c r="AI963" s="156"/>
      <c r="AJ963" s="154"/>
      <c r="AK963" s="473"/>
      <c r="AL963" s="156"/>
      <c r="AM963" s="156"/>
      <c r="AN963" s="156"/>
      <c r="AO963" s="452"/>
      <c r="AP963" s="452"/>
      <c r="AQ963" s="452"/>
      <c r="AR963" s="452"/>
      <c r="AS963" s="452"/>
      <c r="AT963" s="452"/>
      <c r="AU963" s="452"/>
      <c r="AV963" s="452"/>
      <c r="AW963" s="452"/>
      <c r="AX963" s="452"/>
      <c r="AY963" s="154"/>
      <c r="AZ963" s="473"/>
      <c r="BA963" s="156"/>
      <c r="BB963" s="156"/>
      <c r="BC963" s="156"/>
      <c r="BD963" s="452"/>
      <c r="BE963" s="452"/>
      <c r="BF963" s="452"/>
      <c r="BG963" s="452"/>
      <c r="BH963" s="452"/>
    </row>
    <row r="964">
      <c r="A964" s="154"/>
      <c r="B964" s="473"/>
      <c r="C964" s="156"/>
      <c r="D964" s="156"/>
      <c r="E964" s="156"/>
      <c r="F964" s="154"/>
      <c r="G964" s="473"/>
      <c r="H964" s="156"/>
      <c r="I964" s="156"/>
      <c r="J964" s="156"/>
      <c r="K964" s="132"/>
      <c r="L964" s="473"/>
      <c r="M964" s="156"/>
      <c r="N964" s="156"/>
      <c r="O964" s="156"/>
      <c r="P964" s="132"/>
      <c r="Q964" s="487"/>
      <c r="R964" s="156"/>
      <c r="S964" s="156"/>
      <c r="T964" s="156"/>
      <c r="U964" s="154"/>
      <c r="V964" s="473"/>
      <c r="W964" s="156"/>
      <c r="X964" s="156"/>
      <c r="Y964" s="156"/>
      <c r="Z964" s="154"/>
      <c r="AA964" s="473"/>
      <c r="AB964" s="156"/>
      <c r="AC964" s="156"/>
      <c r="AD964" s="156"/>
      <c r="AE964" s="154"/>
      <c r="AF964" s="473"/>
      <c r="AG964" s="156"/>
      <c r="AH964" s="156"/>
      <c r="AI964" s="156"/>
      <c r="AJ964" s="154"/>
      <c r="AK964" s="473"/>
      <c r="AL964" s="156"/>
      <c r="AM964" s="156"/>
      <c r="AN964" s="156"/>
      <c r="AO964" s="452"/>
      <c r="AP964" s="452"/>
      <c r="AQ964" s="452"/>
      <c r="AR964" s="452"/>
      <c r="AS964" s="452"/>
      <c r="AT964" s="452"/>
      <c r="AU964" s="452"/>
      <c r="AV964" s="452"/>
      <c r="AW964" s="452"/>
      <c r="AX964" s="452"/>
      <c r="AY964" s="154"/>
      <c r="AZ964" s="473"/>
      <c r="BA964" s="156"/>
      <c r="BB964" s="156"/>
      <c r="BC964" s="156"/>
      <c r="BD964" s="452"/>
      <c r="BE964" s="452"/>
      <c r="BF964" s="452"/>
      <c r="BG964" s="452"/>
      <c r="BH964" s="452"/>
    </row>
    <row r="965">
      <c r="A965" s="154"/>
      <c r="B965" s="473"/>
      <c r="C965" s="156"/>
      <c r="D965" s="156"/>
      <c r="E965" s="156"/>
      <c r="F965" s="154"/>
      <c r="G965" s="473"/>
      <c r="H965" s="156"/>
      <c r="I965" s="156"/>
      <c r="J965" s="156"/>
      <c r="K965" s="132"/>
      <c r="L965" s="473"/>
      <c r="M965" s="156"/>
      <c r="N965" s="156"/>
      <c r="O965" s="156"/>
      <c r="P965" s="132"/>
      <c r="Q965" s="487"/>
      <c r="R965" s="156"/>
      <c r="S965" s="156"/>
      <c r="T965" s="156"/>
      <c r="U965" s="154"/>
      <c r="V965" s="473"/>
      <c r="W965" s="156"/>
      <c r="X965" s="156"/>
      <c r="Y965" s="156"/>
      <c r="Z965" s="154"/>
      <c r="AA965" s="473"/>
      <c r="AB965" s="156"/>
      <c r="AC965" s="156"/>
      <c r="AD965" s="156"/>
      <c r="AE965" s="154"/>
      <c r="AF965" s="473"/>
      <c r="AG965" s="156"/>
      <c r="AH965" s="156"/>
      <c r="AI965" s="156"/>
      <c r="AJ965" s="154"/>
      <c r="AK965" s="473"/>
      <c r="AL965" s="156"/>
      <c r="AM965" s="156"/>
      <c r="AN965" s="156"/>
      <c r="AO965" s="452"/>
      <c r="AP965" s="452"/>
      <c r="AQ965" s="452"/>
      <c r="AR965" s="452"/>
      <c r="AS965" s="452"/>
      <c r="AT965" s="452"/>
      <c r="AU965" s="452"/>
      <c r="AV965" s="452"/>
      <c r="AW965" s="452"/>
      <c r="AX965" s="452"/>
      <c r="AY965" s="154"/>
      <c r="AZ965" s="473"/>
      <c r="BA965" s="156"/>
      <c r="BB965" s="156"/>
      <c r="BC965" s="156"/>
      <c r="BD965" s="452"/>
      <c r="BE965" s="452"/>
      <c r="BF965" s="452"/>
      <c r="BG965" s="452"/>
      <c r="BH965" s="452"/>
    </row>
    <row r="966">
      <c r="A966" s="154"/>
      <c r="B966" s="473"/>
      <c r="C966" s="156"/>
      <c r="D966" s="156"/>
      <c r="E966" s="156"/>
      <c r="F966" s="154"/>
      <c r="G966" s="473"/>
      <c r="H966" s="156"/>
      <c r="I966" s="156"/>
      <c r="J966" s="156"/>
      <c r="K966" s="132"/>
      <c r="L966" s="473"/>
      <c r="M966" s="156"/>
      <c r="N966" s="156"/>
      <c r="O966" s="156"/>
      <c r="P966" s="132"/>
      <c r="Q966" s="487"/>
      <c r="R966" s="156"/>
      <c r="S966" s="156"/>
      <c r="T966" s="156"/>
      <c r="U966" s="154"/>
      <c r="V966" s="473"/>
      <c r="W966" s="156"/>
      <c r="X966" s="156"/>
      <c r="Y966" s="156"/>
      <c r="Z966" s="154"/>
      <c r="AA966" s="473"/>
      <c r="AB966" s="156"/>
      <c r="AC966" s="156"/>
      <c r="AD966" s="156"/>
      <c r="AE966" s="154"/>
      <c r="AF966" s="473"/>
      <c r="AG966" s="156"/>
      <c r="AH966" s="156"/>
      <c r="AI966" s="156"/>
      <c r="AJ966" s="154"/>
      <c r="AK966" s="473"/>
      <c r="AL966" s="156"/>
      <c r="AM966" s="156"/>
      <c r="AN966" s="156"/>
      <c r="AO966" s="452"/>
      <c r="AP966" s="452"/>
      <c r="AQ966" s="452"/>
      <c r="AR966" s="452"/>
      <c r="AS966" s="452"/>
      <c r="AT966" s="452"/>
      <c r="AU966" s="452"/>
      <c r="AV966" s="452"/>
      <c r="AW966" s="452"/>
      <c r="AX966" s="452"/>
      <c r="AY966" s="154"/>
      <c r="AZ966" s="473"/>
      <c r="BA966" s="156"/>
      <c r="BB966" s="156"/>
      <c r="BC966" s="156"/>
      <c r="BD966" s="452"/>
      <c r="BE966" s="452"/>
      <c r="BF966" s="452"/>
      <c r="BG966" s="452"/>
      <c r="BH966" s="452"/>
    </row>
    <row r="967">
      <c r="A967" s="154"/>
      <c r="B967" s="473"/>
      <c r="C967" s="156"/>
      <c r="D967" s="156"/>
      <c r="E967" s="156"/>
      <c r="F967" s="154"/>
      <c r="G967" s="473"/>
      <c r="H967" s="156"/>
      <c r="I967" s="156"/>
      <c r="J967" s="156"/>
      <c r="K967" s="132"/>
      <c r="L967" s="473"/>
      <c r="M967" s="156"/>
      <c r="N967" s="156"/>
      <c r="O967" s="156"/>
      <c r="P967" s="132"/>
      <c r="Q967" s="487"/>
      <c r="R967" s="156"/>
      <c r="S967" s="156"/>
      <c r="T967" s="156"/>
      <c r="U967" s="154"/>
      <c r="V967" s="473"/>
      <c r="W967" s="156"/>
      <c r="X967" s="156"/>
      <c r="Y967" s="156"/>
      <c r="Z967" s="154"/>
      <c r="AA967" s="473"/>
      <c r="AB967" s="156"/>
      <c r="AC967" s="156"/>
      <c r="AD967" s="156"/>
      <c r="AE967" s="154"/>
      <c r="AF967" s="473"/>
      <c r="AG967" s="156"/>
      <c r="AH967" s="156"/>
      <c r="AI967" s="156"/>
      <c r="AJ967" s="154"/>
      <c r="AK967" s="473"/>
      <c r="AL967" s="156"/>
      <c r="AM967" s="156"/>
      <c r="AN967" s="156"/>
      <c r="AO967" s="452"/>
      <c r="AP967" s="452"/>
      <c r="AQ967" s="452"/>
      <c r="AR967" s="452"/>
      <c r="AS967" s="452"/>
      <c r="AT967" s="452"/>
      <c r="AU967" s="452"/>
      <c r="AV967" s="452"/>
      <c r="AW967" s="452"/>
      <c r="AX967" s="452"/>
      <c r="AY967" s="154"/>
      <c r="AZ967" s="473"/>
      <c r="BA967" s="156"/>
      <c r="BB967" s="156"/>
      <c r="BC967" s="156"/>
      <c r="BD967" s="452"/>
      <c r="BE967" s="452"/>
      <c r="BF967" s="452"/>
      <c r="BG967" s="452"/>
      <c r="BH967" s="452"/>
    </row>
    <row r="968">
      <c r="A968" s="154"/>
      <c r="B968" s="473"/>
      <c r="C968" s="156"/>
      <c r="D968" s="156"/>
      <c r="E968" s="156"/>
      <c r="F968" s="154"/>
      <c r="G968" s="473"/>
      <c r="H968" s="156"/>
      <c r="I968" s="156"/>
      <c r="J968" s="156"/>
      <c r="K968" s="132"/>
      <c r="L968" s="473"/>
      <c r="M968" s="156"/>
      <c r="N968" s="156"/>
      <c r="O968" s="156"/>
      <c r="P968" s="132"/>
      <c r="Q968" s="487"/>
      <c r="R968" s="156"/>
      <c r="S968" s="156"/>
      <c r="T968" s="156"/>
      <c r="U968" s="154"/>
      <c r="V968" s="473"/>
      <c r="W968" s="156"/>
      <c r="X968" s="156"/>
      <c r="Y968" s="156"/>
      <c r="Z968" s="154"/>
      <c r="AA968" s="473"/>
      <c r="AB968" s="156"/>
      <c r="AC968" s="156"/>
      <c r="AD968" s="156"/>
      <c r="AE968" s="154"/>
      <c r="AF968" s="473"/>
      <c r="AG968" s="156"/>
      <c r="AH968" s="156"/>
      <c r="AI968" s="156"/>
      <c r="AJ968" s="154"/>
      <c r="AK968" s="473"/>
      <c r="AL968" s="156"/>
      <c r="AM968" s="156"/>
      <c r="AN968" s="156"/>
      <c r="AO968" s="452"/>
      <c r="AP968" s="452"/>
      <c r="AQ968" s="452"/>
      <c r="AR968" s="452"/>
      <c r="AS968" s="452"/>
      <c r="AT968" s="452"/>
      <c r="AU968" s="452"/>
      <c r="AV968" s="452"/>
      <c r="AW968" s="452"/>
      <c r="AX968" s="452"/>
      <c r="AY968" s="154"/>
      <c r="AZ968" s="473"/>
      <c r="BA968" s="156"/>
      <c r="BB968" s="156"/>
      <c r="BC968" s="156"/>
      <c r="BD968" s="452"/>
      <c r="BE968" s="452"/>
      <c r="BF968" s="452"/>
      <c r="BG968" s="452"/>
      <c r="BH968" s="452"/>
    </row>
    <row r="969">
      <c r="A969" s="154"/>
      <c r="B969" s="473"/>
      <c r="C969" s="156"/>
      <c r="D969" s="156"/>
      <c r="E969" s="156"/>
      <c r="F969" s="154"/>
      <c r="G969" s="473"/>
      <c r="H969" s="156"/>
      <c r="I969" s="156"/>
      <c r="J969" s="156"/>
      <c r="K969" s="132"/>
      <c r="L969" s="473"/>
      <c r="M969" s="156"/>
      <c r="N969" s="156"/>
      <c r="O969" s="156"/>
      <c r="P969" s="132"/>
      <c r="Q969" s="487"/>
      <c r="R969" s="156"/>
      <c r="S969" s="156"/>
      <c r="T969" s="156"/>
      <c r="U969" s="154"/>
      <c r="V969" s="473"/>
      <c r="W969" s="156"/>
      <c r="X969" s="156"/>
      <c r="Y969" s="156"/>
      <c r="Z969" s="154"/>
      <c r="AA969" s="473"/>
      <c r="AB969" s="156"/>
      <c r="AC969" s="156"/>
      <c r="AD969" s="156"/>
      <c r="AE969" s="154"/>
      <c r="AF969" s="473"/>
      <c r="AG969" s="156"/>
      <c r="AH969" s="156"/>
      <c r="AI969" s="156"/>
      <c r="AJ969" s="154"/>
      <c r="AK969" s="473"/>
      <c r="AL969" s="156"/>
      <c r="AM969" s="156"/>
      <c r="AN969" s="156"/>
      <c r="AO969" s="452"/>
      <c r="AP969" s="452"/>
      <c r="AQ969" s="452"/>
      <c r="AR969" s="452"/>
      <c r="AS969" s="452"/>
      <c r="AT969" s="452"/>
      <c r="AU969" s="452"/>
      <c r="AV969" s="452"/>
      <c r="AW969" s="452"/>
      <c r="AX969" s="452"/>
      <c r="AY969" s="154"/>
      <c r="AZ969" s="473"/>
      <c r="BA969" s="156"/>
      <c r="BB969" s="156"/>
      <c r="BC969" s="156"/>
      <c r="BD969" s="452"/>
      <c r="BE969" s="452"/>
      <c r="BF969" s="452"/>
      <c r="BG969" s="452"/>
      <c r="BH969" s="452"/>
    </row>
    <row r="970">
      <c r="A970" s="154"/>
      <c r="B970" s="473"/>
      <c r="C970" s="156"/>
      <c r="D970" s="156"/>
      <c r="E970" s="156"/>
      <c r="F970" s="154"/>
      <c r="G970" s="473"/>
      <c r="H970" s="156"/>
      <c r="I970" s="156"/>
      <c r="J970" s="156"/>
      <c r="K970" s="132"/>
      <c r="L970" s="473"/>
      <c r="M970" s="156"/>
      <c r="N970" s="156"/>
      <c r="O970" s="156"/>
      <c r="P970" s="132"/>
      <c r="Q970" s="487"/>
      <c r="R970" s="156"/>
      <c r="S970" s="156"/>
      <c r="T970" s="156"/>
      <c r="U970" s="154"/>
      <c r="V970" s="473"/>
      <c r="W970" s="156"/>
      <c r="X970" s="156"/>
      <c r="Y970" s="156"/>
      <c r="Z970" s="154"/>
      <c r="AA970" s="473"/>
      <c r="AB970" s="156"/>
      <c r="AC970" s="156"/>
      <c r="AD970" s="156"/>
      <c r="AE970" s="154"/>
      <c r="AF970" s="473"/>
      <c r="AG970" s="156"/>
      <c r="AH970" s="156"/>
      <c r="AI970" s="156"/>
      <c r="AJ970" s="154"/>
      <c r="AK970" s="473"/>
      <c r="AL970" s="156"/>
      <c r="AM970" s="156"/>
      <c r="AN970" s="156"/>
      <c r="AO970" s="452"/>
      <c r="AP970" s="452"/>
      <c r="AQ970" s="452"/>
      <c r="AR970" s="452"/>
      <c r="AS970" s="452"/>
      <c r="AT970" s="452"/>
      <c r="AU970" s="452"/>
      <c r="AV970" s="452"/>
      <c r="AW970" s="452"/>
      <c r="AX970" s="452"/>
      <c r="AY970" s="154"/>
      <c r="AZ970" s="473"/>
      <c r="BA970" s="156"/>
      <c r="BB970" s="156"/>
      <c r="BC970" s="156"/>
      <c r="BD970" s="452"/>
      <c r="BE970" s="452"/>
      <c r="BF970" s="452"/>
      <c r="BG970" s="452"/>
      <c r="BH970" s="452"/>
    </row>
    <row r="971">
      <c r="A971" s="154"/>
      <c r="B971" s="473"/>
      <c r="C971" s="156"/>
      <c r="D971" s="156"/>
      <c r="E971" s="156"/>
      <c r="F971" s="154"/>
      <c r="G971" s="473"/>
      <c r="H971" s="156"/>
      <c r="I971" s="156"/>
      <c r="J971" s="156"/>
      <c r="K971" s="132"/>
      <c r="L971" s="473"/>
      <c r="M971" s="156"/>
      <c r="N971" s="156"/>
      <c r="O971" s="156"/>
      <c r="P971" s="132"/>
      <c r="Q971" s="487"/>
      <c r="R971" s="156"/>
      <c r="S971" s="156"/>
      <c r="T971" s="156"/>
      <c r="U971" s="154"/>
      <c r="V971" s="473"/>
      <c r="W971" s="156"/>
      <c r="X971" s="156"/>
      <c r="Y971" s="156"/>
      <c r="Z971" s="154"/>
      <c r="AA971" s="473"/>
      <c r="AB971" s="156"/>
      <c r="AC971" s="156"/>
      <c r="AD971" s="156"/>
      <c r="AE971" s="154"/>
      <c r="AF971" s="473"/>
      <c r="AG971" s="156"/>
      <c r="AH971" s="156"/>
      <c r="AI971" s="156"/>
      <c r="AJ971" s="154"/>
      <c r="AK971" s="473"/>
      <c r="AL971" s="156"/>
      <c r="AM971" s="156"/>
      <c r="AN971" s="156"/>
      <c r="AO971" s="452"/>
      <c r="AP971" s="452"/>
      <c r="AQ971" s="452"/>
      <c r="AR971" s="452"/>
      <c r="AS971" s="452"/>
      <c r="AT971" s="452"/>
      <c r="AU971" s="452"/>
      <c r="AV971" s="452"/>
      <c r="AW971" s="452"/>
      <c r="AX971" s="452"/>
      <c r="AY971" s="154"/>
      <c r="AZ971" s="473"/>
      <c r="BA971" s="156"/>
      <c r="BB971" s="156"/>
      <c r="BC971" s="156"/>
      <c r="BD971" s="452"/>
      <c r="BE971" s="452"/>
      <c r="BF971" s="452"/>
      <c r="BG971" s="452"/>
      <c r="BH971" s="452"/>
    </row>
    <row r="972">
      <c r="A972" s="154"/>
      <c r="B972" s="473"/>
      <c r="C972" s="156"/>
      <c r="D972" s="156"/>
      <c r="E972" s="156"/>
      <c r="F972" s="154"/>
      <c r="G972" s="473"/>
      <c r="H972" s="156"/>
      <c r="I972" s="156"/>
      <c r="J972" s="156"/>
      <c r="K972" s="132"/>
      <c r="L972" s="473"/>
      <c r="M972" s="156"/>
      <c r="N972" s="156"/>
      <c r="O972" s="156"/>
      <c r="P972" s="132"/>
      <c r="Q972" s="487"/>
      <c r="R972" s="156"/>
      <c r="S972" s="156"/>
      <c r="T972" s="156"/>
      <c r="U972" s="154"/>
      <c r="V972" s="473"/>
      <c r="W972" s="156"/>
      <c r="X972" s="156"/>
      <c r="Y972" s="156"/>
      <c r="Z972" s="154"/>
      <c r="AA972" s="473"/>
      <c r="AB972" s="156"/>
      <c r="AC972" s="156"/>
      <c r="AD972" s="156"/>
      <c r="AE972" s="154"/>
      <c r="AF972" s="473"/>
      <c r="AG972" s="156"/>
      <c r="AH972" s="156"/>
      <c r="AI972" s="156"/>
      <c r="AJ972" s="154"/>
      <c r="AK972" s="473"/>
      <c r="AL972" s="156"/>
      <c r="AM972" s="156"/>
      <c r="AN972" s="156"/>
      <c r="AO972" s="452"/>
      <c r="AP972" s="452"/>
      <c r="AQ972" s="452"/>
      <c r="AR972" s="452"/>
      <c r="AS972" s="452"/>
      <c r="AT972" s="452"/>
      <c r="AU972" s="452"/>
      <c r="AV972" s="452"/>
      <c r="AW972" s="452"/>
      <c r="AX972" s="452"/>
      <c r="AY972" s="154"/>
      <c r="AZ972" s="473"/>
      <c r="BA972" s="156"/>
      <c r="BB972" s="156"/>
      <c r="BC972" s="156"/>
      <c r="BD972" s="452"/>
      <c r="BE972" s="452"/>
      <c r="BF972" s="452"/>
      <c r="BG972" s="452"/>
      <c r="BH972" s="452"/>
    </row>
    <row r="973">
      <c r="A973" s="154"/>
      <c r="B973" s="473"/>
      <c r="C973" s="156"/>
      <c r="D973" s="156"/>
      <c r="E973" s="156"/>
      <c r="F973" s="154"/>
      <c r="G973" s="473"/>
      <c r="H973" s="156"/>
      <c r="I973" s="156"/>
      <c r="J973" s="156"/>
      <c r="K973" s="132"/>
      <c r="L973" s="473"/>
      <c r="M973" s="156"/>
      <c r="N973" s="156"/>
      <c r="O973" s="156"/>
      <c r="P973" s="132"/>
      <c r="Q973" s="487"/>
      <c r="R973" s="156"/>
      <c r="S973" s="156"/>
      <c r="T973" s="156"/>
      <c r="U973" s="154"/>
      <c r="V973" s="473"/>
      <c r="W973" s="156"/>
      <c r="X973" s="156"/>
      <c r="Y973" s="156"/>
      <c r="Z973" s="154"/>
      <c r="AA973" s="473"/>
      <c r="AB973" s="156"/>
      <c r="AC973" s="156"/>
      <c r="AD973" s="156"/>
      <c r="AE973" s="154"/>
      <c r="AF973" s="473"/>
      <c r="AG973" s="156"/>
      <c r="AH973" s="156"/>
      <c r="AI973" s="156"/>
      <c r="AJ973" s="154"/>
      <c r="AK973" s="473"/>
      <c r="AL973" s="156"/>
      <c r="AM973" s="156"/>
      <c r="AN973" s="156"/>
      <c r="AO973" s="452"/>
      <c r="AP973" s="452"/>
      <c r="AQ973" s="452"/>
      <c r="AR973" s="452"/>
      <c r="AS973" s="452"/>
      <c r="AT973" s="452"/>
      <c r="AU973" s="452"/>
      <c r="AV973" s="452"/>
      <c r="AW973" s="452"/>
      <c r="AX973" s="452"/>
      <c r="AY973" s="154"/>
      <c r="AZ973" s="473"/>
      <c r="BA973" s="156"/>
      <c r="BB973" s="156"/>
      <c r="BC973" s="156"/>
      <c r="BD973" s="452"/>
      <c r="BE973" s="452"/>
      <c r="BF973" s="452"/>
      <c r="BG973" s="452"/>
      <c r="BH973" s="452"/>
    </row>
    <row r="974">
      <c r="A974" s="154"/>
      <c r="B974" s="473"/>
      <c r="C974" s="156"/>
      <c r="D974" s="156"/>
      <c r="E974" s="156"/>
      <c r="F974" s="154"/>
      <c r="G974" s="473"/>
      <c r="H974" s="156"/>
      <c r="I974" s="156"/>
      <c r="J974" s="156"/>
      <c r="K974" s="132"/>
      <c r="L974" s="473"/>
      <c r="M974" s="156"/>
      <c r="N974" s="156"/>
      <c r="O974" s="156"/>
      <c r="P974" s="132"/>
      <c r="Q974" s="487"/>
      <c r="R974" s="156"/>
      <c r="S974" s="156"/>
      <c r="T974" s="156"/>
      <c r="U974" s="154"/>
      <c r="V974" s="473"/>
      <c r="W974" s="156"/>
      <c r="X974" s="156"/>
      <c r="Y974" s="156"/>
      <c r="Z974" s="154"/>
      <c r="AA974" s="473"/>
      <c r="AB974" s="156"/>
      <c r="AC974" s="156"/>
      <c r="AD974" s="156"/>
      <c r="AE974" s="154"/>
      <c r="AF974" s="473"/>
      <c r="AG974" s="156"/>
      <c r="AH974" s="156"/>
      <c r="AI974" s="156"/>
      <c r="AJ974" s="154"/>
      <c r="AK974" s="473"/>
      <c r="AL974" s="156"/>
      <c r="AM974" s="156"/>
      <c r="AN974" s="156"/>
      <c r="AO974" s="452"/>
      <c r="AP974" s="452"/>
      <c r="AQ974" s="452"/>
      <c r="AR974" s="452"/>
      <c r="AS974" s="452"/>
      <c r="AT974" s="452"/>
      <c r="AU974" s="452"/>
      <c r="AV974" s="452"/>
      <c r="AW974" s="452"/>
      <c r="AX974" s="452"/>
      <c r="AY974" s="154"/>
      <c r="AZ974" s="473"/>
      <c r="BA974" s="156"/>
      <c r="BB974" s="156"/>
      <c r="BC974" s="156"/>
      <c r="BD974" s="452"/>
      <c r="BE974" s="452"/>
      <c r="BF974" s="452"/>
      <c r="BG974" s="452"/>
      <c r="BH974" s="452"/>
    </row>
    <row r="975">
      <c r="A975" s="154"/>
      <c r="B975" s="473"/>
      <c r="C975" s="156"/>
      <c r="D975" s="156"/>
      <c r="E975" s="156"/>
      <c r="F975" s="154"/>
      <c r="G975" s="473"/>
      <c r="H975" s="156"/>
      <c r="I975" s="156"/>
      <c r="J975" s="156"/>
      <c r="K975" s="132"/>
      <c r="L975" s="473"/>
      <c r="M975" s="156"/>
      <c r="N975" s="156"/>
      <c r="O975" s="156"/>
      <c r="P975" s="132"/>
      <c r="Q975" s="487"/>
      <c r="R975" s="156"/>
      <c r="S975" s="156"/>
      <c r="T975" s="156"/>
      <c r="U975" s="154"/>
      <c r="V975" s="473"/>
      <c r="W975" s="156"/>
      <c r="X975" s="156"/>
      <c r="Y975" s="156"/>
      <c r="Z975" s="154"/>
      <c r="AA975" s="473"/>
      <c r="AB975" s="156"/>
      <c r="AC975" s="156"/>
      <c r="AD975" s="156"/>
      <c r="AE975" s="154"/>
      <c r="AF975" s="473"/>
      <c r="AG975" s="156"/>
      <c r="AH975" s="156"/>
      <c r="AI975" s="156"/>
      <c r="AJ975" s="154"/>
      <c r="AK975" s="473"/>
      <c r="AL975" s="156"/>
      <c r="AM975" s="156"/>
      <c r="AN975" s="156"/>
      <c r="AO975" s="452"/>
      <c r="AP975" s="452"/>
      <c r="AQ975" s="452"/>
      <c r="AR975" s="452"/>
      <c r="AS975" s="452"/>
      <c r="AT975" s="452"/>
      <c r="AU975" s="452"/>
      <c r="AV975" s="452"/>
      <c r="AW975" s="452"/>
      <c r="AX975" s="452"/>
      <c r="AY975" s="154"/>
      <c r="AZ975" s="473"/>
      <c r="BA975" s="156"/>
      <c r="BB975" s="156"/>
      <c r="BC975" s="156"/>
      <c r="BD975" s="452"/>
      <c r="BE975" s="452"/>
      <c r="BF975" s="452"/>
      <c r="BG975" s="452"/>
      <c r="BH975" s="452"/>
    </row>
    <row r="976">
      <c r="A976" s="154"/>
      <c r="B976" s="473"/>
      <c r="C976" s="156"/>
      <c r="D976" s="156"/>
      <c r="E976" s="156"/>
      <c r="F976" s="154"/>
      <c r="G976" s="473"/>
      <c r="H976" s="156"/>
      <c r="I976" s="156"/>
      <c r="J976" s="156"/>
      <c r="K976" s="132"/>
      <c r="L976" s="473"/>
      <c r="M976" s="156"/>
      <c r="N976" s="156"/>
      <c r="O976" s="156"/>
      <c r="P976" s="132"/>
      <c r="Q976" s="487"/>
      <c r="R976" s="156"/>
      <c r="S976" s="156"/>
      <c r="T976" s="156"/>
      <c r="U976" s="154"/>
      <c r="V976" s="473"/>
      <c r="W976" s="156"/>
      <c r="X976" s="156"/>
      <c r="Y976" s="156"/>
      <c r="Z976" s="154"/>
      <c r="AA976" s="473"/>
      <c r="AB976" s="156"/>
      <c r="AC976" s="156"/>
      <c r="AD976" s="156"/>
      <c r="AE976" s="154"/>
      <c r="AF976" s="473"/>
      <c r="AG976" s="156"/>
      <c r="AH976" s="156"/>
      <c r="AI976" s="156"/>
      <c r="AJ976" s="154"/>
      <c r="AK976" s="473"/>
      <c r="AL976" s="156"/>
      <c r="AM976" s="156"/>
      <c r="AN976" s="156"/>
      <c r="AO976" s="452"/>
      <c r="AP976" s="452"/>
      <c r="AQ976" s="452"/>
      <c r="AR976" s="452"/>
      <c r="AS976" s="452"/>
      <c r="AT976" s="452"/>
      <c r="AU976" s="452"/>
      <c r="AV976" s="452"/>
      <c r="AW976" s="452"/>
      <c r="AX976" s="452"/>
      <c r="AY976" s="154"/>
      <c r="AZ976" s="473"/>
      <c r="BA976" s="156"/>
      <c r="BB976" s="156"/>
      <c r="BC976" s="156"/>
      <c r="BD976" s="452"/>
      <c r="BE976" s="452"/>
      <c r="BF976" s="452"/>
      <c r="BG976" s="452"/>
      <c r="BH976" s="452"/>
    </row>
    <row r="977">
      <c r="A977" s="154"/>
      <c r="B977" s="473"/>
      <c r="C977" s="156"/>
      <c r="D977" s="156"/>
      <c r="E977" s="156"/>
      <c r="F977" s="154"/>
      <c r="G977" s="473"/>
      <c r="H977" s="156"/>
      <c r="I977" s="156"/>
      <c r="J977" s="156"/>
      <c r="K977" s="132"/>
      <c r="L977" s="473"/>
      <c r="M977" s="156"/>
      <c r="N977" s="156"/>
      <c r="O977" s="156"/>
      <c r="P977" s="132"/>
      <c r="Q977" s="487"/>
      <c r="R977" s="156"/>
      <c r="S977" s="156"/>
      <c r="T977" s="156"/>
      <c r="U977" s="154"/>
      <c r="V977" s="473"/>
      <c r="W977" s="156"/>
      <c r="X977" s="156"/>
      <c r="Y977" s="156"/>
      <c r="Z977" s="154"/>
      <c r="AA977" s="473"/>
      <c r="AB977" s="156"/>
      <c r="AC977" s="156"/>
      <c r="AD977" s="156"/>
      <c r="AE977" s="154"/>
      <c r="AF977" s="473"/>
      <c r="AG977" s="156"/>
      <c r="AH977" s="156"/>
      <c r="AI977" s="156"/>
      <c r="AJ977" s="154"/>
      <c r="AK977" s="473"/>
      <c r="AL977" s="156"/>
      <c r="AM977" s="156"/>
      <c r="AN977" s="156"/>
      <c r="AO977" s="452"/>
      <c r="AP977" s="452"/>
      <c r="AQ977" s="452"/>
      <c r="AR977" s="452"/>
      <c r="AS977" s="452"/>
      <c r="AT977" s="452"/>
      <c r="AU977" s="452"/>
      <c r="AV977" s="452"/>
      <c r="AW977" s="452"/>
      <c r="AX977" s="452"/>
      <c r="AY977" s="154"/>
      <c r="AZ977" s="473"/>
      <c r="BA977" s="156"/>
      <c r="BB977" s="156"/>
      <c r="BC977" s="156"/>
      <c r="BD977" s="452"/>
      <c r="BE977" s="452"/>
      <c r="BF977" s="452"/>
      <c r="BG977" s="452"/>
      <c r="BH977" s="452"/>
    </row>
    <row r="978">
      <c r="A978" s="154"/>
      <c r="B978" s="473"/>
      <c r="C978" s="156"/>
      <c r="D978" s="156"/>
      <c r="E978" s="156"/>
      <c r="F978" s="154"/>
      <c r="G978" s="473"/>
      <c r="H978" s="156"/>
      <c r="I978" s="156"/>
      <c r="J978" s="156"/>
      <c r="K978" s="132"/>
      <c r="L978" s="473"/>
      <c r="M978" s="156"/>
      <c r="N978" s="156"/>
      <c r="O978" s="156"/>
      <c r="P978" s="132"/>
      <c r="Q978" s="487"/>
      <c r="R978" s="156"/>
      <c r="S978" s="156"/>
      <c r="T978" s="156"/>
      <c r="U978" s="154"/>
      <c r="V978" s="473"/>
      <c r="W978" s="156"/>
      <c r="X978" s="156"/>
      <c r="Y978" s="156"/>
      <c r="Z978" s="154"/>
      <c r="AA978" s="473"/>
      <c r="AB978" s="156"/>
      <c r="AC978" s="156"/>
      <c r="AD978" s="156"/>
      <c r="AE978" s="154"/>
      <c r="AF978" s="473"/>
      <c r="AG978" s="156"/>
      <c r="AH978" s="156"/>
      <c r="AI978" s="156"/>
      <c r="AJ978" s="154"/>
      <c r="AK978" s="473"/>
      <c r="AL978" s="156"/>
      <c r="AM978" s="156"/>
      <c r="AN978" s="156"/>
      <c r="AO978" s="452"/>
      <c r="AP978" s="452"/>
      <c r="AQ978" s="452"/>
      <c r="AR978" s="452"/>
      <c r="AS978" s="452"/>
      <c r="AT978" s="452"/>
      <c r="AU978" s="452"/>
      <c r="AV978" s="452"/>
      <c r="AW978" s="452"/>
      <c r="AX978" s="452"/>
      <c r="AY978" s="154"/>
      <c r="AZ978" s="473"/>
      <c r="BA978" s="156"/>
      <c r="BB978" s="156"/>
      <c r="BC978" s="156"/>
      <c r="BD978" s="452"/>
      <c r="BE978" s="452"/>
      <c r="BF978" s="452"/>
      <c r="BG978" s="452"/>
      <c r="BH978" s="452"/>
    </row>
    <row r="979">
      <c r="A979" s="154"/>
      <c r="B979" s="473"/>
      <c r="C979" s="156"/>
      <c r="D979" s="156"/>
      <c r="E979" s="156"/>
      <c r="F979" s="154"/>
      <c r="G979" s="473"/>
      <c r="H979" s="156"/>
      <c r="I979" s="156"/>
      <c r="J979" s="156"/>
      <c r="K979" s="132"/>
      <c r="L979" s="473"/>
      <c r="M979" s="156"/>
      <c r="N979" s="156"/>
      <c r="O979" s="156"/>
      <c r="P979" s="132"/>
      <c r="Q979" s="487"/>
      <c r="R979" s="156"/>
      <c r="S979" s="156"/>
      <c r="T979" s="156"/>
      <c r="U979" s="154"/>
      <c r="V979" s="473"/>
      <c r="W979" s="156"/>
      <c r="X979" s="156"/>
      <c r="Y979" s="156"/>
      <c r="Z979" s="154"/>
      <c r="AA979" s="473"/>
      <c r="AB979" s="156"/>
      <c r="AC979" s="156"/>
      <c r="AD979" s="156"/>
      <c r="AE979" s="154"/>
      <c r="AF979" s="473"/>
      <c r="AG979" s="156"/>
      <c r="AH979" s="156"/>
      <c r="AI979" s="156"/>
      <c r="AJ979" s="154"/>
      <c r="AK979" s="473"/>
      <c r="AL979" s="156"/>
      <c r="AM979" s="156"/>
      <c r="AN979" s="156"/>
      <c r="AO979" s="452"/>
      <c r="AP979" s="452"/>
      <c r="AQ979" s="452"/>
      <c r="AR979" s="452"/>
      <c r="AS979" s="452"/>
      <c r="AT979" s="452"/>
      <c r="AU979" s="452"/>
      <c r="AV979" s="452"/>
      <c r="AW979" s="452"/>
      <c r="AX979" s="452"/>
      <c r="AY979" s="154"/>
      <c r="AZ979" s="473"/>
      <c r="BA979" s="156"/>
      <c r="BB979" s="156"/>
      <c r="BC979" s="156"/>
      <c r="BD979" s="452"/>
      <c r="BE979" s="452"/>
      <c r="BF979" s="452"/>
      <c r="BG979" s="452"/>
      <c r="BH979" s="452"/>
    </row>
    <row r="980">
      <c r="A980" s="154"/>
      <c r="B980" s="473"/>
      <c r="C980" s="156"/>
      <c r="D980" s="156"/>
      <c r="E980" s="156"/>
      <c r="F980" s="154"/>
      <c r="G980" s="473"/>
      <c r="H980" s="156"/>
      <c r="I980" s="156"/>
      <c r="J980" s="156"/>
      <c r="K980" s="132"/>
      <c r="L980" s="473"/>
      <c r="M980" s="156"/>
      <c r="N980" s="156"/>
      <c r="O980" s="156"/>
      <c r="P980" s="132"/>
      <c r="Q980" s="487"/>
      <c r="R980" s="156"/>
      <c r="S980" s="156"/>
      <c r="T980" s="156"/>
      <c r="U980" s="154"/>
      <c r="V980" s="473"/>
      <c r="W980" s="156"/>
      <c r="X980" s="156"/>
      <c r="Y980" s="156"/>
      <c r="Z980" s="154"/>
      <c r="AA980" s="473"/>
      <c r="AB980" s="156"/>
      <c r="AC980" s="156"/>
      <c r="AD980" s="156"/>
      <c r="AE980" s="154"/>
      <c r="AF980" s="473"/>
      <c r="AG980" s="156"/>
      <c r="AH980" s="156"/>
      <c r="AI980" s="156"/>
      <c r="AJ980" s="154"/>
      <c r="AK980" s="473"/>
      <c r="AL980" s="156"/>
      <c r="AM980" s="156"/>
      <c r="AN980" s="156"/>
      <c r="AO980" s="452"/>
      <c r="AP980" s="452"/>
      <c r="AQ980" s="452"/>
      <c r="AR980" s="452"/>
      <c r="AS980" s="452"/>
      <c r="AT980" s="452"/>
      <c r="AU980" s="452"/>
      <c r="AV980" s="452"/>
      <c r="AW980" s="452"/>
      <c r="AX980" s="452"/>
      <c r="AY980" s="154"/>
      <c r="AZ980" s="473"/>
      <c r="BA980" s="156"/>
      <c r="BB980" s="156"/>
      <c r="BC980" s="156"/>
      <c r="BD980" s="452"/>
      <c r="BE980" s="452"/>
      <c r="BF980" s="452"/>
      <c r="BG980" s="452"/>
      <c r="BH980" s="452"/>
    </row>
    <row r="981">
      <c r="A981" s="154"/>
      <c r="B981" s="473"/>
      <c r="C981" s="156"/>
      <c r="D981" s="156"/>
      <c r="E981" s="156"/>
      <c r="F981" s="154"/>
      <c r="G981" s="473"/>
      <c r="H981" s="156"/>
      <c r="I981" s="156"/>
      <c r="J981" s="156"/>
      <c r="K981" s="132"/>
      <c r="L981" s="473"/>
      <c r="M981" s="156"/>
      <c r="N981" s="156"/>
      <c r="O981" s="156"/>
      <c r="P981" s="132"/>
      <c r="Q981" s="487"/>
      <c r="R981" s="156"/>
      <c r="S981" s="156"/>
      <c r="T981" s="156"/>
      <c r="U981" s="154"/>
      <c r="V981" s="473"/>
      <c r="W981" s="156"/>
      <c r="X981" s="156"/>
      <c r="Y981" s="156"/>
      <c r="Z981" s="154"/>
      <c r="AA981" s="473"/>
      <c r="AB981" s="156"/>
      <c r="AC981" s="156"/>
      <c r="AD981" s="156"/>
      <c r="AE981" s="154"/>
      <c r="AF981" s="473"/>
      <c r="AG981" s="156"/>
      <c r="AH981" s="156"/>
      <c r="AI981" s="156"/>
      <c r="AJ981" s="154"/>
      <c r="AK981" s="473"/>
      <c r="AL981" s="156"/>
      <c r="AM981" s="156"/>
      <c r="AN981" s="156"/>
      <c r="AO981" s="452"/>
      <c r="AP981" s="452"/>
      <c r="AQ981" s="452"/>
      <c r="AR981" s="452"/>
      <c r="AS981" s="452"/>
      <c r="AT981" s="452"/>
      <c r="AU981" s="452"/>
      <c r="AV981" s="452"/>
      <c r="AW981" s="452"/>
      <c r="AX981" s="452"/>
      <c r="AY981" s="154"/>
      <c r="AZ981" s="473"/>
      <c r="BA981" s="156"/>
      <c r="BB981" s="156"/>
      <c r="BC981" s="156"/>
      <c r="BD981" s="452"/>
      <c r="BE981" s="452"/>
      <c r="BF981" s="452"/>
      <c r="BG981" s="452"/>
      <c r="BH981" s="452"/>
    </row>
    <row r="982">
      <c r="A982" s="154"/>
      <c r="B982" s="473"/>
      <c r="C982" s="156"/>
      <c r="D982" s="156"/>
      <c r="E982" s="156"/>
      <c r="F982" s="154"/>
      <c r="G982" s="473"/>
      <c r="H982" s="156"/>
      <c r="I982" s="156"/>
      <c r="J982" s="156"/>
      <c r="K982" s="132"/>
      <c r="L982" s="473"/>
      <c r="M982" s="156"/>
      <c r="N982" s="156"/>
      <c r="O982" s="156"/>
      <c r="P982" s="132"/>
      <c r="Q982" s="487"/>
      <c r="R982" s="156"/>
      <c r="S982" s="156"/>
      <c r="T982" s="156"/>
      <c r="U982" s="154"/>
      <c r="V982" s="473"/>
      <c r="W982" s="156"/>
      <c r="X982" s="156"/>
      <c r="Y982" s="156"/>
      <c r="Z982" s="154"/>
      <c r="AA982" s="473"/>
      <c r="AB982" s="156"/>
      <c r="AC982" s="156"/>
      <c r="AD982" s="156"/>
      <c r="AE982" s="154"/>
      <c r="AF982" s="473"/>
      <c r="AG982" s="156"/>
      <c r="AH982" s="156"/>
      <c r="AI982" s="156"/>
      <c r="AJ982" s="154"/>
      <c r="AK982" s="473"/>
      <c r="AL982" s="156"/>
      <c r="AM982" s="156"/>
      <c r="AN982" s="156"/>
      <c r="AO982" s="452"/>
      <c r="AP982" s="452"/>
      <c r="AQ982" s="452"/>
      <c r="AR982" s="452"/>
      <c r="AS982" s="452"/>
      <c r="AT982" s="452"/>
      <c r="AU982" s="452"/>
      <c r="AV982" s="452"/>
      <c r="AW982" s="452"/>
      <c r="AX982" s="452"/>
      <c r="AY982" s="154"/>
      <c r="AZ982" s="473"/>
      <c r="BA982" s="156"/>
      <c r="BB982" s="156"/>
      <c r="BC982" s="156"/>
      <c r="BD982" s="452"/>
      <c r="BE982" s="452"/>
      <c r="BF982" s="452"/>
      <c r="BG982" s="452"/>
      <c r="BH982" s="452"/>
    </row>
    <row r="983">
      <c r="A983" s="154"/>
      <c r="B983" s="473"/>
      <c r="C983" s="156"/>
      <c r="D983" s="156"/>
      <c r="E983" s="156"/>
      <c r="F983" s="154"/>
      <c r="G983" s="473"/>
      <c r="H983" s="156"/>
      <c r="I983" s="156"/>
      <c r="J983" s="156"/>
      <c r="K983" s="132"/>
      <c r="L983" s="473"/>
      <c r="M983" s="156"/>
      <c r="N983" s="156"/>
      <c r="O983" s="156"/>
      <c r="P983" s="132"/>
      <c r="Q983" s="487"/>
      <c r="R983" s="156"/>
      <c r="S983" s="156"/>
      <c r="T983" s="156"/>
      <c r="U983" s="154"/>
      <c r="V983" s="473"/>
      <c r="W983" s="156"/>
      <c r="X983" s="156"/>
      <c r="Y983" s="156"/>
      <c r="Z983" s="154"/>
      <c r="AA983" s="473"/>
      <c r="AB983" s="156"/>
      <c r="AC983" s="156"/>
      <c r="AD983" s="156"/>
      <c r="AE983" s="154"/>
      <c r="AF983" s="473"/>
      <c r="AG983" s="156"/>
      <c r="AH983" s="156"/>
      <c r="AI983" s="156"/>
      <c r="AJ983" s="154"/>
      <c r="AK983" s="473"/>
      <c r="AL983" s="156"/>
      <c r="AM983" s="156"/>
      <c r="AN983" s="156"/>
      <c r="AO983" s="452"/>
      <c r="AP983" s="452"/>
      <c r="AQ983" s="452"/>
      <c r="AR983" s="452"/>
      <c r="AS983" s="452"/>
      <c r="AT983" s="452"/>
      <c r="AU983" s="452"/>
      <c r="AV983" s="452"/>
      <c r="AW983" s="452"/>
      <c r="AX983" s="452"/>
      <c r="AY983" s="154"/>
      <c r="AZ983" s="473"/>
      <c r="BA983" s="156"/>
      <c r="BB983" s="156"/>
      <c r="BC983" s="156"/>
      <c r="BD983" s="452"/>
      <c r="BE983" s="452"/>
      <c r="BF983" s="452"/>
      <c r="BG983" s="452"/>
      <c r="BH983" s="452"/>
    </row>
    <row r="984">
      <c r="A984" s="154"/>
      <c r="B984" s="473"/>
      <c r="C984" s="156"/>
      <c r="D984" s="156"/>
      <c r="E984" s="156"/>
      <c r="F984" s="154"/>
      <c r="G984" s="473"/>
      <c r="H984" s="156"/>
      <c r="I984" s="156"/>
      <c r="J984" s="156"/>
      <c r="K984" s="132"/>
      <c r="L984" s="473"/>
      <c r="M984" s="156"/>
      <c r="N984" s="156"/>
      <c r="O984" s="156"/>
      <c r="P984" s="132"/>
      <c r="Q984" s="487"/>
      <c r="R984" s="156"/>
      <c r="S984" s="156"/>
      <c r="T984" s="156"/>
      <c r="U984" s="154"/>
      <c r="V984" s="473"/>
      <c r="W984" s="156"/>
      <c r="X984" s="156"/>
      <c r="Y984" s="156"/>
      <c r="Z984" s="154"/>
      <c r="AA984" s="473"/>
      <c r="AB984" s="156"/>
      <c r="AC984" s="156"/>
      <c r="AD984" s="156"/>
      <c r="AE984" s="154"/>
      <c r="AF984" s="473"/>
      <c r="AG984" s="156"/>
      <c r="AH984" s="156"/>
      <c r="AI984" s="156"/>
      <c r="AJ984" s="154"/>
      <c r="AK984" s="473"/>
      <c r="AL984" s="156"/>
      <c r="AM984" s="156"/>
      <c r="AN984" s="156"/>
      <c r="AO984" s="452"/>
      <c r="AP984" s="452"/>
      <c r="AQ984" s="452"/>
      <c r="AR984" s="452"/>
      <c r="AS984" s="452"/>
      <c r="AT984" s="452"/>
      <c r="AU984" s="452"/>
      <c r="AV984" s="452"/>
      <c r="AW984" s="452"/>
      <c r="AX984" s="452"/>
      <c r="AY984" s="154"/>
      <c r="AZ984" s="473"/>
      <c r="BA984" s="156"/>
      <c r="BB984" s="156"/>
      <c r="BC984" s="156"/>
      <c r="BD984" s="452"/>
      <c r="BE984" s="452"/>
      <c r="BF984" s="452"/>
      <c r="BG984" s="452"/>
      <c r="BH984" s="452"/>
    </row>
    <row r="985">
      <c r="A985" s="154"/>
      <c r="B985" s="473"/>
      <c r="C985" s="156"/>
      <c r="D985" s="156"/>
      <c r="E985" s="156"/>
      <c r="F985" s="154"/>
      <c r="G985" s="473"/>
      <c r="H985" s="156"/>
      <c r="I985" s="156"/>
      <c r="J985" s="156"/>
      <c r="K985" s="132"/>
      <c r="L985" s="473"/>
      <c r="M985" s="156"/>
      <c r="N985" s="156"/>
      <c r="O985" s="156"/>
      <c r="P985" s="132"/>
      <c r="Q985" s="487"/>
      <c r="R985" s="156"/>
      <c r="S985" s="156"/>
      <c r="T985" s="156"/>
      <c r="U985" s="154"/>
      <c r="V985" s="473"/>
      <c r="W985" s="156"/>
      <c r="X985" s="156"/>
      <c r="Y985" s="156"/>
      <c r="Z985" s="154"/>
      <c r="AA985" s="473"/>
      <c r="AB985" s="156"/>
      <c r="AC985" s="156"/>
      <c r="AD985" s="156"/>
      <c r="AE985" s="154"/>
      <c r="AF985" s="473"/>
      <c r="AG985" s="156"/>
      <c r="AH985" s="156"/>
      <c r="AI985" s="156"/>
      <c r="AJ985" s="154"/>
      <c r="AK985" s="473"/>
      <c r="AL985" s="156"/>
      <c r="AM985" s="156"/>
      <c r="AN985" s="156"/>
      <c r="AO985" s="452"/>
      <c r="AP985" s="452"/>
      <c r="AQ985" s="452"/>
      <c r="AR985" s="452"/>
      <c r="AS985" s="452"/>
      <c r="AT985" s="452"/>
      <c r="AU985" s="452"/>
      <c r="AV985" s="452"/>
      <c r="AW985" s="452"/>
      <c r="AX985" s="452"/>
      <c r="AY985" s="154"/>
      <c r="AZ985" s="473"/>
      <c r="BA985" s="156"/>
      <c r="BB985" s="156"/>
      <c r="BC985" s="156"/>
      <c r="BD985" s="452"/>
      <c r="BE985" s="452"/>
      <c r="BF985" s="452"/>
      <c r="BG985" s="452"/>
      <c r="BH985" s="452"/>
    </row>
    <row r="986">
      <c r="A986" s="154"/>
      <c r="B986" s="473"/>
      <c r="C986" s="156"/>
      <c r="D986" s="156"/>
      <c r="E986" s="156"/>
      <c r="F986" s="154"/>
      <c r="G986" s="473"/>
      <c r="H986" s="156"/>
      <c r="I986" s="156"/>
      <c r="J986" s="156"/>
      <c r="K986" s="132"/>
      <c r="L986" s="473"/>
      <c r="M986" s="156"/>
      <c r="N986" s="156"/>
      <c r="O986" s="156"/>
      <c r="P986" s="132"/>
      <c r="Q986" s="487"/>
      <c r="R986" s="156"/>
      <c r="S986" s="156"/>
      <c r="T986" s="156"/>
      <c r="U986" s="154"/>
      <c r="V986" s="473"/>
      <c r="W986" s="156"/>
      <c r="X986" s="156"/>
      <c r="Y986" s="156"/>
      <c r="Z986" s="154"/>
      <c r="AA986" s="473"/>
      <c r="AB986" s="156"/>
      <c r="AC986" s="156"/>
      <c r="AD986" s="156"/>
      <c r="AE986" s="154"/>
      <c r="AF986" s="473"/>
      <c r="AG986" s="156"/>
      <c r="AH986" s="156"/>
      <c r="AI986" s="156"/>
      <c r="AJ986" s="154"/>
      <c r="AK986" s="473"/>
      <c r="AL986" s="156"/>
      <c r="AM986" s="156"/>
      <c r="AN986" s="156"/>
      <c r="AO986" s="452"/>
      <c r="AP986" s="452"/>
      <c r="AQ986" s="452"/>
      <c r="AR986" s="452"/>
      <c r="AS986" s="452"/>
      <c r="AT986" s="452"/>
      <c r="AU986" s="452"/>
      <c r="AV986" s="452"/>
      <c r="AW986" s="452"/>
      <c r="AX986" s="452"/>
      <c r="AY986" s="154"/>
      <c r="AZ986" s="473"/>
      <c r="BA986" s="156"/>
      <c r="BB986" s="156"/>
      <c r="BC986" s="156"/>
      <c r="BD986" s="452"/>
      <c r="BE986" s="452"/>
      <c r="BF986" s="452"/>
      <c r="BG986" s="452"/>
      <c r="BH986" s="452"/>
    </row>
    <row r="987">
      <c r="A987" s="154"/>
      <c r="B987" s="473"/>
      <c r="C987" s="156"/>
      <c r="D987" s="156"/>
      <c r="E987" s="156"/>
      <c r="F987" s="154"/>
      <c r="G987" s="473"/>
      <c r="H987" s="156"/>
      <c r="I987" s="156"/>
      <c r="J987" s="156"/>
      <c r="K987" s="132"/>
      <c r="L987" s="473"/>
      <c r="M987" s="156"/>
      <c r="N987" s="156"/>
      <c r="O987" s="156"/>
      <c r="P987" s="132"/>
      <c r="Q987" s="487"/>
      <c r="R987" s="156"/>
      <c r="S987" s="156"/>
      <c r="T987" s="156"/>
      <c r="U987" s="154"/>
      <c r="V987" s="473"/>
      <c r="W987" s="156"/>
      <c r="X987" s="156"/>
      <c r="Y987" s="156"/>
      <c r="Z987" s="154"/>
      <c r="AA987" s="473"/>
      <c r="AB987" s="156"/>
      <c r="AC987" s="156"/>
      <c r="AD987" s="156"/>
      <c r="AE987" s="154"/>
      <c r="AF987" s="473"/>
      <c r="AG987" s="156"/>
      <c r="AH987" s="156"/>
      <c r="AI987" s="156"/>
      <c r="AJ987" s="154"/>
      <c r="AK987" s="473"/>
      <c r="AL987" s="156"/>
      <c r="AM987" s="156"/>
      <c r="AN987" s="156"/>
      <c r="AO987" s="452"/>
      <c r="AP987" s="452"/>
      <c r="AQ987" s="452"/>
      <c r="AR987" s="452"/>
      <c r="AS987" s="452"/>
      <c r="AT987" s="452"/>
      <c r="AU987" s="452"/>
      <c r="AV987" s="452"/>
      <c r="AW987" s="452"/>
      <c r="AX987" s="452"/>
      <c r="AY987" s="154"/>
      <c r="AZ987" s="473"/>
      <c r="BA987" s="156"/>
      <c r="BB987" s="156"/>
      <c r="BC987" s="156"/>
      <c r="BD987" s="452"/>
      <c r="BE987" s="452"/>
      <c r="BF987" s="452"/>
      <c r="BG987" s="452"/>
      <c r="BH987" s="452"/>
    </row>
    <row r="988">
      <c r="A988" s="154"/>
      <c r="B988" s="473"/>
      <c r="C988" s="156"/>
      <c r="D988" s="156"/>
      <c r="E988" s="156"/>
      <c r="F988" s="154"/>
      <c r="G988" s="473"/>
      <c r="H988" s="156"/>
      <c r="I988" s="156"/>
      <c r="J988" s="156"/>
      <c r="K988" s="132"/>
      <c r="L988" s="473"/>
      <c r="M988" s="156"/>
      <c r="N988" s="156"/>
      <c r="O988" s="156"/>
      <c r="P988" s="132"/>
      <c r="Q988" s="487"/>
      <c r="R988" s="156"/>
      <c r="S988" s="156"/>
      <c r="T988" s="156"/>
      <c r="U988" s="154"/>
      <c r="V988" s="473"/>
      <c r="W988" s="156"/>
      <c r="X988" s="156"/>
      <c r="Y988" s="156"/>
      <c r="Z988" s="154"/>
      <c r="AA988" s="473"/>
      <c r="AB988" s="156"/>
      <c r="AC988" s="156"/>
      <c r="AD988" s="156"/>
      <c r="AE988" s="154"/>
      <c r="AF988" s="473"/>
      <c r="AG988" s="156"/>
      <c r="AH988" s="156"/>
      <c r="AI988" s="156"/>
      <c r="AJ988" s="154"/>
      <c r="AK988" s="473"/>
      <c r="AL988" s="156"/>
      <c r="AM988" s="156"/>
      <c r="AN988" s="156"/>
      <c r="AO988" s="452"/>
      <c r="AP988" s="452"/>
      <c r="AQ988" s="452"/>
      <c r="AR988" s="452"/>
      <c r="AS988" s="452"/>
      <c r="AT988" s="452"/>
      <c r="AU988" s="452"/>
      <c r="AV988" s="452"/>
      <c r="AW988" s="452"/>
      <c r="AX988" s="452"/>
      <c r="AY988" s="154"/>
      <c r="AZ988" s="473"/>
      <c r="BA988" s="156"/>
      <c r="BB988" s="156"/>
      <c r="BC988" s="156"/>
      <c r="BD988" s="452"/>
      <c r="BE988" s="452"/>
      <c r="BF988" s="452"/>
      <c r="BG988" s="452"/>
      <c r="BH988" s="452"/>
    </row>
    <row r="989">
      <c r="A989" s="154"/>
      <c r="B989" s="473"/>
      <c r="C989" s="156"/>
      <c r="D989" s="156"/>
      <c r="E989" s="156"/>
      <c r="F989" s="154"/>
      <c r="G989" s="473"/>
      <c r="H989" s="156"/>
      <c r="I989" s="156"/>
      <c r="J989" s="156"/>
      <c r="K989" s="132"/>
      <c r="L989" s="473"/>
      <c r="M989" s="156"/>
      <c r="N989" s="156"/>
      <c r="O989" s="156"/>
      <c r="P989" s="132"/>
      <c r="Q989" s="487"/>
      <c r="R989" s="156"/>
      <c r="S989" s="156"/>
      <c r="T989" s="156"/>
      <c r="U989" s="154"/>
      <c r="V989" s="473"/>
      <c r="W989" s="156"/>
      <c r="X989" s="156"/>
      <c r="Y989" s="156"/>
      <c r="Z989" s="154"/>
      <c r="AA989" s="473"/>
      <c r="AB989" s="156"/>
      <c r="AC989" s="156"/>
      <c r="AD989" s="156"/>
      <c r="AE989" s="154"/>
      <c r="AF989" s="473"/>
      <c r="AG989" s="156"/>
      <c r="AH989" s="156"/>
      <c r="AI989" s="156"/>
      <c r="AJ989" s="154"/>
      <c r="AK989" s="473"/>
      <c r="AL989" s="156"/>
      <c r="AM989" s="156"/>
      <c r="AN989" s="156"/>
      <c r="AO989" s="452"/>
      <c r="AP989" s="452"/>
      <c r="AQ989" s="452"/>
      <c r="AR989" s="452"/>
      <c r="AS989" s="452"/>
      <c r="AT989" s="452"/>
      <c r="AU989" s="452"/>
      <c r="AV989" s="452"/>
      <c r="AW989" s="452"/>
      <c r="AX989" s="452"/>
      <c r="AY989" s="154"/>
      <c r="AZ989" s="473"/>
      <c r="BA989" s="156"/>
      <c r="BB989" s="156"/>
      <c r="BC989" s="156"/>
      <c r="BD989" s="452"/>
      <c r="BE989" s="452"/>
      <c r="BF989" s="452"/>
      <c r="BG989" s="452"/>
      <c r="BH989" s="452"/>
    </row>
    <row r="990">
      <c r="A990" s="154"/>
      <c r="B990" s="473"/>
      <c r="C990" s="156"/>
      <c r="D990" s="156"/>
      <c r="E990" s="156"/>
      <c r="F990" s="154"/>
      <c r="G990" s="473"/>
      <c r="H990" s="156"/>
      <c r="I990" s="156"/>
      <c r="J990" s="156"/>
      <c r="K990" s="132"/>
      <c r="L990" s="473"/>
      <c r="M990" s="156"/>
      <c r="N990" s="156"/>
      <c r="O990" s="156"/>
      <c r="P990" s="132"/>
      <c r="Q990" s="487"/>
      <c r="R990" s="156"/>
      <c r="S990" s="156"/>
      <c r="T990" s="156"/>
      <c r="U990" s="154"/>
      <c r="V990" s="473"/>
      <c r="W990" s="156"/>
      <c r="X990" s="156"/>
      <c r="Y990" s="156"/>
      <c r="Z990" s="154"/>
      <c r="AA990" s="473"/>
      <c r="AB990" s="156"/>
      <c r="AC990" s="156"/>
      <c r="AD990" s="156"/>
      <c r="AE990" s="154"/>
      <c r="AF990" s="473"/>
      <c r="AG990" s="156"/>
      <c r="AH990" s="156"/>
      <c r="AI990" s="156"/>
      <c r="AJ990" s="154"/>
      <c r="AK990" s="473"/>
      <c r="AL990" s="156"/>
      <c r="AM990" s="156"/>
      <c r="AN990" s="156"/>
      <c r="AO990" s="452"/>
      <c r="AP990" s="452"/>
      <c r="AQ990" s="452"/>
      <c r="AR990" s="452"/>
      <c r="AS990" s="452"/>
      <c r="AT990" s="452"/>
      <c r="AU990" s="452"/>
      <c r="AV990" s="452"/>
      <c r="AW990" s="452"/>
      <c r="AX990" s="452"/>
      <c r="AY990" s="154"/>
      <c r="AZ990" s="473"/>
      <c r="BA990" s="156"/>
      <c r="BB990" s="156"/>
      <c r="BC990" s="156"/>
      <c r="BD990" s="452"/>
      <c r="BE990" s="452"/>
      <c r="BF990" s="452"/>
      <c r="BG990" s="452"/>
      <c r="BH990" s="452"/>
    </row>
    <row r="991">
      <c r="A991" s="154"/>
      <c r="B991" s="473"/>
      <c r="C991" s="156"/>
      <c r="D991" s="156"/>
      <c r="E991" s="156"/>
      <c r="F991" s="154"/>
      <c r="G991" s="473"/>
      <c r="H991" s="156"/>
      <c r="I991" s="156"/>
      <c r="J991" s="156"/>
      <c r="K991" s="132"/>
      <c r="L991" s="473"/>
      <c r="M991" s="156"/>
      <c r="N991" s="156"/>
      <c r="O991" s="156"/>
      <c r="P991" s="132"/>
      <c r="Q991" s="487"/>
      <c r="R991" s="156"/>
      <c r="S991" s="156"/>
      <c r="T991" s="156"/>
      <c r="U991" s="154"/>
      <c r="V991" s="473"/>
      <c r="W991" s="156"/>
      <c r="X991" s="156"/>
      <c r="Y991" s="156"/>
      <c r="Z991" s="154"/>
      <c r="AA991" s="473"/>
      <c r="AB991" s="156"/>
      <c r="AC991" s="156"/>
      <c r="AD991" s="156"/>
      <c r="AE991" s="154"/>
      <c r="AF991" s="473"/>
      <c r="AG991" s="156"/>
      <c r="AH991" s="156"/>
      <c r="AI991" s="156"/>
      <c r="AJ991" s="154"/>
      <c r="AK991" s="473"/>
      <c r="AL991" s="156"/>
      <c r="AM991" s="156"/>
      <c r="AN991" s="156"/>
      <c r="AO991" s="452"/>
      <c r="AP991" s="452"/>
      <c r="AQ991" s="452"/>
      <c r="AR991" s="452"/>
      <c r="AS991" s="452"/>
      <c r="AT991" s="452"/>
      <c r="AU991" s="452"/>
      <c r="AV991" s="452"/>
      <c r="AW991" s="452"/>
      <c r="AX991" s="452"/>
      <c r="AY991" s="154"/>
      <c r="AZ991" s="473"/>
      <c r="BA991" s="156"/>
      <c r="BB991" s="156"/>
      <c r="BC991" s="156"/>
      <c r="BD991" s="452"/>
      <c r="BE991" s="452"/>
      <c r="BF991" s="452"/>
      <c r="BG991" s="452"/>
      <c r="BH991" s="452"/>
    </row>
    <row r="992">
      <c r="A992" s="154"/>
      <c r="B992" s="473"/>
      <c r="C992" s="156"/>
      <c r="D992" s="156"/>
      <c r="E992" s="156"/>
      <c r="F992" s="154"/>
      <c r="G992" s="473"/>
      <c r="H992" s="156"/>
      <c r="I992" s="156"/>
      <c r="J992" s="156"/>
      <c r="K992" s="132"/>
      <c r="L992" s="473"/>
      <c r="M992" s="156"/>
      <c r="N992" s="156"/>
      <c r="O992" s="156"/>
      <c r="P992" s="132"/>
      <c r="Q992" s="487"/>
      <c r="R992" s="156"/>
      <c r="S992" s="156"/>
      <c r="T992" s="156"/>
      <c r="U992" s="154"/>
      <c r="V992" s="473"/>
      <c r="W992" s="156"/>
      <c r="X992" s="156"/>
      <c r="Y992" s="156"/>
      <c r="Z992" s="154"/>
      <c r="AA992" s="473"/>
      <c r="AB992" s="156"/>
      <c r="AC992" s="156"/>
      <c r="AD992" s="156"/>
      <c r="AE992" s="154"/>
      <c r="AF992" s="473"/>
      <c r="AG992" s="156"/>
      <c r="AH992" s="156"/>
      <c r="AI992" s="156"/>
      <c r="AJ992" s="154"/>
      <c r="AK992" s="473"/>
      <c r="AL992" s="156"/>
      <c r="AM992" s="156"/>
      <c r="AN992" s="156"/>
      <c r="AO992" s="452"/>
      <c r="AP992" s="452"/>
      <c r="AQ992" s="452"/>
      <c r="AR992" s="452"/>
      <c r="AS992" s="452"/>
      <c r="AT992" s="452"/>
      <c r="AU992" s="452"/>
      <c r="AV992" s="452"/>
      <c r="AW992" s="452"/>
      <c r="AX992" s="452"/>
      <c r="AY992" s="154"/>
      <c r="AZ992" s="473"/>
      <c r="BA992" s="156"/>
      <c r="BB992" s="156"/>
      <c r="BC992" s="156"/>
      <c r="BD992" s="452"/>
      <c r="BE992" s="452"/>
      <c r="BF992" s="452"/>
      <c r="BG992" s="452"/>
      <c r="BH992" s="452"/>
    </row>
    <row r="993">
      <c r="A993" s="154"/>
      <c r="B993" s="473"/>
      <c r="C993" s="156"/>
      <c r="D993" s="156"/>
      <c r="E993" s="156"/>
      <c r="F993" s="154"/>
      <c r="G993" s="473"/>
      <c r="H993" s="156"/>
      <c r="I993" s="156"/>
      <c r="J993" s="156"/>
      <c r="K993" s="132"/>
      <c r="L993" s="473"/>
      <c r="M993" s="156"/>
      <c r="N993" s="156"/>
      <c r="O993" s="156"/>
      <c r="P993" s="132"/>
      <c r="Q993" s="487"/>
      <c r="R993" s="156"/>
      <c r="S993" s="156"/>
      <c r="T993" s="156"/>
      <c r="U993" s="154"/>
      <c r="V993" s="473"/>
      <c r="W993" s="156"/>
      <c r="X993" s="156"/>
      <c r="Y993" s="156"/>
      <c r="Z993" s="154"/>
      <c r="AA993" s="473"/>
      <c r="AB993" s="156"/>
      <c r="AC993" s="156"/>
      <c r="AD993" s="156"/>
      <c r="AE993" s="154"/>
      <c r="AF993" s="473"/>
      <c r="AG993" s="156"/>
      <c r="AH993" s="156"/>
      <c r="AI993" s="156"/>
      <c r="AJ993" s="154"/>
      <c r="AK993" s="473"/>
      <c r="AL993" s="156"/>
      <c r="AM993" s="156"/>
      <c r="AN993" s="156"/>
      <c r="AO993" s="452"/>
      <c r="AP993" s="452"/>
      <c r="AQ993" s="452"/>
      <c r="AR993" s="452"/>
      <c r="AS993" s="452"/>
      <c r="AT993" s="452"/>
      <c r="AU993" s="452"/>
      <c r="AV993" s="452"/>
      <c r="AW993" s="452"/>
      <c r="AX993" s="452"/>
      <c r="AY993" s="154"/>
      <c r="AZ993" s="473"/>
      <c r="BA993" s="156"/>
      <c r="BB993" s="156"/>
      <c r="BC993" s="156"/>
      <c r="BD993" s="452"/>
      <c r="BE993" s="452"/>
      <c r="BF993" s="452"/>
      <c r="BG993" s="452"/>
      <c r="BH993" s="452"/>
    </row>
    <row r="994">
      <c r="A994" s="154"/>
      <c r="B994" s="473"/>
      <c r="C994" s="156"/>
      <c r="D994" s="156"/>
      <c r="E994" s="156"/>
      <c r="F994" s="154"/>
      <c r="G994" s="473"/>
      <c r="H994" s="156"/>
      <c r="I994" s="156"/>
      <c r="J994" s="156"/>
      <c r="K994" s="132"/>
      <c r="L994" s="473"/>
      <c r="M994" s="156"/>
      <c r="N994" s="156"/>
      <c r="O994" s="156"/>
      <c r="P994" s="132"/>
      <c r="Q994" s="487"/>
      <c r="R994" s="156"/>
      <c r="S994" s="156"/>
      <c r="T994" s="156"/>
      <c r="U994" s="154"/>
      <c r="V994" s="473"/>
      <c r="W994" s="156"/>
      <c r="X994" s="156"/>
      <c r="Y994" s="156"/>
      <c r="Z994" s="154"/>
      <c r="AA994" s="473"/>
      <c r="AB994" s="156"/>
      <c r="AC994" s="156"/>
      <c r="AD994" s="156"/>
      <c r="AE994" s="154"/>
      <c r="AF994" s="473"/>
      <c r="AG994" s="156"/>
      <c r="AH994" s="156"/>
      <c r="AI994" s="156"/>
      <c r="AJ994" s="154"/>
      <c r="AK994" s="473"/>
      <c r="AL994" s="156"/>
      <c r="AM994" s="156"/>
      <c r="AN994" s="156"/>
      <c r="AO994" s="452"/>
      <c r="AP994" s="452"/>
      <c r="AQ994" s="452"/>
      <c r="AR994" s="452"/>
      <c r="AS994" s="452"/>
      <c r="AT994" s="452"/>
      <c r="AU994" s="452"/>
      <c r="AV994" s="452"/>
      <c r="AW994" s="452"/>
      <c r="AX994" s="452"/>
      <c r="AY994" s="154"/>
      <c r="AZ994" s="473"/>
      <c r="BA994" s="156"/>
      <c r="BB994" s="156"/>
      <c r="BC994" s="156"/>
      <c r="BD994" s="452"/>
      <c r="BE994" s="452"/>
      <c r="BF994" s="452"/>
      <c r="BG994" s="452"/>
      <c r="BH994" s="452"/>
    </row>
    <row r="995">
      <c r="A995" s="154"/>
      <c r="B995" s="473"/>
      <c r="C995" s="156"/>
      <c r="D995" s="156"/>
      <c r="E995" s="156"/>
      <c r="F995" s="154"/>
      <c r="G995" s="473"/>
      <c r="H995" s="156"/>
      <c r="I995" s="156"/>
      <c r="J995" s="156"/>
      <c r="K995" s="132"/>
      <c r="L995" s="473"/>
      <c r="M995" s="156"/>
      <c r="N995" s="156"/>
      <c r="O995" s="156"/>
      <c r="P995" s="132"/>
      <c r="Q995" s="487"/>
      <c r="R995" s="156"/>
      <c r="S995" s="156"/>
      <c r="T995" s="156"/>
      <c r="U995" s="154"/>
      <c r="V995" s="473"/>
      <c r="W995" s="156"/>
      <c r="X995" s="156"/>
      <c r="Y995" s="156"/>
      <c r="Z995" s="154"/>
      <c r="AA995" s="473"/>
      <c r="AB995" s="156"/>
      <c r="AC995" s="156"/>
      <c r="AD995" s="156"/>
      <c r="AE995" s="154"/>
      <c r="AF995" s="473"/>
      <c r="AG995" s="156"/>
      <c r="AH995" s="156"/>
      <c r="AI995" s="156"/>
      <c r="AJ995" s="154"/>
      <c r="AK995" s="473"/>
      <c r="AL995" s="156"/>
      <c r="AM995" s="156"/>
      <c r="AN995" s="156"/>
      <c r="AO995" s="452"/>
      <c r="AP995" s="452"/>
      <c r="AQ995" s="452"/>
      <c r="AR995" s="452"/>
      <c r="AS995" s="452"/>
      <c r="AT995" s="452"/>
      <c r="AU995" s="452"/>
      <c r="AV995" s="452"/>
      <c r="AW995" s="452"/>
      <c r="AX995" s="452"/>
      <c r="AY995" s="154"/>
      <c r="AZ995" s="473"/>
      <c r="BA995" s="156"/>
      <c r="BB995" s="156"/>
      <c r="BC995" s="156"/>
      <c r="BD995" s="452"/>
      <c r="BE995" s="452"/>
      <c r="BF995" s="452"/>
      <c r="BG995" s="452"/>
      <c r="BH995" s="452"/>
    </row>
    <row r="996">
      <c r="A996" s="154"/>
      <c r="B996" s="473"/>
      <c r="C996" s="156"/>
      <c r="D996" s="156"/>
      <c r="E996" s="156"/>
      <c r="F996" s="154"/>
      <c r="G996" s="473"/>
      <c r="H996" s="156"/>
      <c r="I996" s="156"/>
      <c r="J996" s="156"/>
      <c r="K996" s="132"/>
      <c r="L996" s="473"/>
      <c r="M996" s="156"/>
      <c r="N996" s="156"/>
      <c r="O996" s="156"/>
      <c r="P996" s="132"/>
      <c r="Q996" s="487"/>
      <c r="R996" s="156"/>
      <c r="S996" s="156"/>
      <c r="T996" s="156"/>
      <c r="U996" s="154"/>
      <c r="V996" s="473"/>
      <c r="W996" s="156"/>
      <c r="X996" s="156"/>
      <c r="Y996" s="156"/>
      <c r="Z996" s="154"/>
      <c r="AA996" s="473"/>
      <c r="AB996" s="156"/>
      <c r="AC996" s="156"/>
      <c r="AD996" s="156"/>
      <c r="AE996" s="154"/>
      <c r="AF996" s="473"/>
      <c r="AG996" s="156"/>
      <c r="AH996" s="156"/>
      <c r="AI996" s="156"/>
      <c r="AJ996" s="154"/>
      <c r="AK996" s="473"/>
      <c r="AL996" s="156"/>
      <c r="AM996" s="156"/>
      <c r="AN996" s="156"/>
      <c r="AO996" s="452"/>
      <c r="AP996" s="452"/>
      <c r="AQ996" s="452"/>
      <c r="AR996" s="452"/>
      <c r="AS996" s="452"/>
      <c r="AT996" s="452"/>
      <c r="AU996" s="452"/>
      <c r="AV996" s="452"/>
      <c r="AW996" s="452"/>
      <c r="AX996" s="452"/>
      <c r="AY996" s="154"/>
      <c r="AZ996" s="473"/>
      <c r="BA996" s="156"/>
      <c r="BB996" s="156"/>
      <c r="BC996" s="156"/>
      <c r="BD996" s="452"/>
      <c r="BE996" s="452"/>
      <c r="BF996" s="452"/>
      <c r="BG996" s="452"/>
      <c r="BH996" s="452"/>
    </row>
    <row r="997">
      <c r="A997" s="154"/>
      <c r="B997" s="473"/>
      <c r="C997" s="156"/>
      <c r="D997" s="156"/>
      <c r="E997" s="156"/>
      <c r="F997" s="154"/>
      <c r="G997" s="473"/>
      <c r="H997" s="156"/>
      <c r="I997" s="156"/>
      <c r="J997" s="156"/>
      <c r="K997" s="132"/>
      <c r="L997" s="473"/>
      <c r="M997" s="156"/>
      <c r="N997" s="156"/>
      <c r="O997" s="156"/>
      <c r="P997" s="132"/>
      <c r="Q997" s="487"/>
      <c r="R997" s="156"/>
      <c r="S997" s="156"/>
      <c r="T997" s="156"/>
      <c r="U997" s="154"/>
      <c r="V997" s="473"/>
      <c r="W997" s="156"/>
      <c r="X997" s="156"/>
      <c r="Y997" s="156"/>
      <c r="Z997" s="154"/>
      <c r="AA997" s="473"/>
      <c r="AB997" s="156"/>
      <c r="AC997" s="156"/>
      <c r="AD997" s="156"/>
      <c r="AE997" s="154"/>
      <c r="AF997" s="473"/>
      <c r="AG997" s="156"/>
      <c r="AH997" s="156"/>
      <c r="AI997" s="156"/>
      <c r="AJ997" s="154"/>
      <c r="AK997" s="473"/>
      <c r="AL997" s="156"/>
      <c r="AM997" s="156"/>
      <c r="AN997" s="156"/>
      <c r="AO997" s="452"/>
      <c r="AP997" s="452"/>
      <c r="AQ997" s="452"/>
      <c r="AR997" s="452"/>
      <c r="AS997" s="452"/>
      <c r="AT997" s="452"/>
      <c r="AU997" s="452"/>
      <c r="AV997" s="452"/>
      <c r="AW997" s="452"/>
      <c r="AX997" s="452"/>
      <c r="AY997" s="154"/>
      <c r="AZ997" s="473"/>
      <c r="BA997" s="156"/>
      <c r="BB997" s="156"/>
      <c r="BC997" s="156"/>
      <c r="BD997" s="452"/>
      <c r="BE997" s="452"/>
      <c r="BF997" s="452"/>
      <c r="BG997" s="452"/>
      <c r="BH997" s="452"/>
    </row>
    <row r="998">
      <c r="A998" s="154"/>
      <c r="B998" s="473"/>
      <c r="C998" s="156"/>
      <c r="D998" s="156"/>
      <c r="E998" s="156"/>
      <c r="F998" s="154"/>
      <c r="G998" s="473"/>
      <c r="H998" s="156"/>
      <c r="I998" s="156"/>
      <c r="J998" s="156"/>
      <c r="K998" s="132"/>
      <c r="L998" s="473"/>
      <c r="M998" s="156"/>
      <c r="N998" s="156"/>
      <c r="O998" s="156"/>
      <c r="P998" s="132"/>
      <c r="Q998" s="487"/>
      <c r="R998" s="156"/>
      <c r="S998" s="156"/>
      <c r="T998" s="156"/>
      <c r="U998" s="154"/>
      <c r="V998" s="473"/>
      <c r="W998" s="156"/>
      <c r="X998" s="156"/>
      <c r="Y998" s="156"/>
      <c r="Z998" s="154"/>
      <c r="AA998" s="473"/>
      <c r="AB998" s="156"/>
      <c r="AC998" s="156"/>
      <c r="AD998" s="156"/>
      <c r="AE998" s="154"/>
      <c r="AF998" s="473"/>
      <c r="AG998" s="156"/>
      <c r="AH998" s="156"/>
      <c r="AI998" s="156"/>
      <c r="AJ998" s="154"/>
      <c r="AK998" s="473"/>
      <c r="AL998" s="156"/>
      <c r="AM998" s="156"/>
      <c r="AN998" s="156"/>
      <c r="AO998" s="452"/>
      <c r="AP998" s="452"/>
      <c r="AQ998" s="452"/>
      <c r="AR998" s="452"/>
      <c r="AS998" s="452"/>
      <c r="AT998" s="452"/>
      <c r="AU998" s="452"/>
      <c r="AV998" s="452"/>
      <c r="AW998" s="452"/>
      <c r="AX998" s="452"/>
      <c r="AY998" s="154"/>
      <c r="AZ998" s="473"/>
      <c r="BA998" s="156"/>
      <c r="BB998" s="156"/>
      <c r="BC998" s="156"/>
      <c r="BD998" s="452"/>
      <c r="BE998" s="452"/>
      <c r="BF998" s="452"/>
      <c r="BG998" s="452"/>
      <c r="BH998" s="452"/>
    </row>
    <row r="999">
      <c r="A999" s="154"/>
      <c r="B999" s="473"/>
      <c r="C999" s="156"/>
      <c r="D999" s="156"/>
      <c r="E999" s="156"/>
      <c r="F999" s="154"/>
      <c r="G999" s="473"/>
      <c r="H999" s="156"/>
      <c r="I999" s="156"/>
      <c r="J999" s="156"/>
      <c r="K999" s="132"/>
      <c r="L999" s="473"/>
      <c r="M999" s="156"/>
      <c r="N999" s="156"/>
      <c r="O999" s="156"/>
      <c r="P999" s="132"/>
      <c r="Q999" s="487"/>
      <c r="R999" s="156"/>
      <c r="S999" s="156"/>
      <c r="T999" s="156"/>
      <c r="U999" s="154"/>
      <c r="V999" s="473"/>
      <c r="W999" s="156"/>
      <c r="X999" s="156"/>
      <c r="Y999" s="156"/>
      <c r="Z999" s="154"/>
      <c r="AA999" s="473"/>
      <c r="AB999" s="156"/>
      <c r="AC999" s="156"/>
      <c r="AD999" s="156"/>
      <c r="AE999" s="154"/>
      <c r="AF999" s="473"/>
      <c r="AG999" s="156"/>
      <c r="AH999" s="156"/>
      <c r="AI999" s="156"/>
      <c r="AJ999" s="154"/>
      <c r="AK999" s="473"/>
      <c r="AL999" s="156"/>
      <c r="AM999" s="156"/>
      <c r="AN999" s="156"/>
      <c r="AO999" s="452"/>
      <c r="AP999" s="452"/>
      <c r="AQ999" s="452"/>
      <c r="AR999" s="452"/>
      <c r="AS999" s="452"/>
      <c r="AT999" s="452"/>
      <c r="AU999" s="452"/>
      <c r="AV999" s="452"/>
      <c r="AW999" s="452"/>
      <c r="AX999" s="452"/>
      <c r="AY999" s="154"/>
      <c r="AZ999" s="473"/>
      <c r="BA999" s="156"/>
      <c r="BB999" s="156"/>
      <c r="BC999" s="156"/>
      <c r="BD999" s="452"/>
      <c r="BE999" s="452"/>
      <c r="BF999" s="452"/>
      <c r="BG999" s="452"/>
      <c r="BH999" s="452"/>
    </row>
    <row r="1000">
      <c r="A1000" s="154"/>
      <c r="B1000" s="473"/>
      <c r="C1000" s="156"/>
      <c r="D1000" s="156"/>
      <c r="E1000" s="156"/>
      <c r="F1000" s="154"/>
      <c r="G1000" s="473"/>
      <c r="H1000" s="156"/>
      <c r="I1000" s="156"/>
      <c r="J1000" s="156"/>
      <c r="K1000" s="132"/>
      <c r="L1000" s="473"/>
      <c r="M1000" s="156"/>
      <c r="N1000" s="156"/>
      <c r="O1000" s="156"/>
      <c r="P1000" s="132"/>
      <c r="Q1000" s="487"/>
      <c r="R1000" s="156"/>
      <c r="S1000" s="156"/>
      <c r="T1000" s="156"/>
      <c r="U1000" s="154"/>
      <c r="V1000" s="473"/>
      <c r="W1000" s="156"/>
      <c r="X1000" s="156"/>
      <c r="Y1000" s="156"/>
      <c r="Z1000" s="154"/>
      <c r="AA1000" s="473"/>
      <c r="AB1000" s="156"/>
      <c r="AC1000" s="156"/>
      <c r="AD1000" s="156"/>
      <c r="AE1000" s="154"/>
      <c r="AF1000" s="473"/>
      <c r="AG1000" s="156"/>
      <c r="AH1000" s="156"/>
      <c r="AI1000" s="156"/>
      <c r="AJ1000" s="154"/>
      <c r="AK1000" s="473"/>
      <c r="AL1000" s="156"/>
      <c r="AM1000" s="156"/>
      <c r="AN1000" s="156"/>
      <c r="AO1000" s="452"/>
      <c r="AP1000" s="452"/>
      <c r="AQ1000" s="452"/>
      <c r="AR1000" s="452"/>
      <c r="AS1000" s="452"/>
      <c r="AT1000" s="452"/>
      <c r="AU1000" s="452"/>
      <c r="AV1000" s="452"/>
      <c r="AW1000" s="452"/>
      <c r="AX1000" s="452"/>
      <c r="AY1000" s="154"/>
      <c r="AZ1000" s="473"/>
      <c r="BA1000" s="156"/>
      <c r="BB1000" s="156"/>
      <c r="BC1000" s="156"/>
      <c r="BD1000" s="452"/>
      <c r="BE1000" s="452"/>
      <c r="BF1000" s="452"/>
      <c r="BG1000" s="452"/>
      <c r="BH1000" s="452"/>
    </row>
  </sheetData>
  <mergeCells count="18">
    <mergeCell ref="AL1:AN3"/>
    <mergeCell ref="AQ1:AS3"/>
    <mergeCell ref="AV1:AX3"/>
    <mergeCell ref="BA1:BC3"/>
    <mergeCell ref="C8:E8"/>
    <mergeCell ref="R8:T8"/>
    <mergeCell ref="W8:Y8"/>
    <mergeCell ref="AB8:AD8"/>
    <mergeCell ref="AG8:AI8"/>
    <mergeCell ref="AL8:AN8"/>
    <mergeCell ref="BA8:BC8"/>
    <mergeCell ref="C1:E3"/>
    <mergeCell ref="H1:J3"/>
    <mergeCell ref="M1:O3"/>
    <mergeCell ref="R1:T3"/>
    <mergeCell ref="W1:Y3"/>
    <mergeCell ref="AB1:AD3"/>
    <mergeCell ref="AG1:AI3"/>
  </mergeCell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46.63"/>
    <col customWidth="1" min="3" max="3" width="52.13"/>
    <col customWidth="1" min="4" max="8" width="46.63"/>
    <col customWidth="1" min="9" max="9" width="47.5"/>
    <col customWidth="1" min="10" max="10" width="43.38"/>
    <col customWidth="1" min="11" max="11" width="39.38"/>
    <col customWidth="1" min="12" max="12" width="43.38"/>
  </cols>
  <sheetData>
    <row r="1">
      <c r="A1" s="79" t="s">
        <v>10780</v>
      </c>
      <c r="B1" s="505" t="s">
        <v>10781</v>
      </c>
      <c r="C1" s="79" t="s">
        <v>10782</v>
      </c>
      <c r="D1" s="505" t="str">
        <f>IFERROR(__xludf.DUMMYFUNCTION("GOOGLETRANSLATE(A1,""zh-tw"",""zh"")"),"使用『6a1n60ld』密技，可以立即获得""10万金币""、""Ruika的万宝槌""(增加掉落率)
使用『healmeplz』密技，可以立即获得""Mio的急救箱""(每秒血量回复)
使用『unshatter』密技，可以立即获得""白湮的金手指""(武器无消耗)
使用『60dpat』密技，可以立即获得""爱神荡漾""道具(摸一次头可以增加一颗红心)
使用『muestacz』密技，可以立即获得""绝对领域""道具(武器/防具持有数量+99)
使用『1f0g0ty0u』，可以重新替妹妹取名，此操作不算使用"&amp;"作弊代码
使用『aut0update』，手机版本可以重新触发版本更新，此操作不算使用作弊代码
请注意：一旦使用作弊代码，会获得""杂鱼""的称号，此效果无法移除且永久存在，拥有此称号将在后续版本更新中，出现其他的影响。
例如开场的妹妹嘲讽语音、来自NPC的嘲讽等等，建议使用不同的存档。
于外出的RPG模式时，长按头像，会出现输入框。")</f>
        <v>使用『6a1n60ld』密技，可以立即获得"10万金币"、"Ruika的万宝槌"(增加掉落率)
使用『healmeplz』密技，可以立即获得"Mio的急救箱"(每秒血量回复)
使用『unshatter』密技，可以立即获得"白湮的金手指"(武器无消耗)
使用『60dpat』密技，可以立即获得"爱神荡漾"道具(摸一次头可以增加一颗红心)
使用『muestacz』密技，可以立即获得"绝对领域"道具(武器/防具持有数量+99)
使用『1f0g0ty0u』，可以重新替妹妹取名，此操作不算使用作弊代码
使用『aut0update』，手机版本可以重新触发版本更新，此操作不算使用作弊代码
请注意：一旦使用作弊代码，会获得"杂鱼"的称号，此效果无法移除且永久存在，拥有此称号将在后续版本更新中，出现其他的影响。
例如开场的妹妹嘲讽语音、来自NPC的嘲讽等等，建议使用不同的存档。
于外出的RPG模式时，长按头像，会出现输入框。</v>
      </c>
      <c r="E1" s="79" t="s">
        <v>10783</v>
      </c>
      <c r="F1" s="506" t="str">
        <f>IFERROR(__xludf.DUMMYFUNCTION("GOOGLETRANSLATE(A1,""zh-tw"",""KO"")"),"치트 코드 '6a1n60ld'를 사용하면 즉시 ""100,000 골드""와 ""루이카의 마법 망치""(드롭률 증가)를 획득합니다.
치트 코드 'healmeplz'를 사용하면 즉시 ""미오의 구급상자""(초당 체력 회복)를 획득합니다.
치트 코드 'unshatter'를 사용하면 즉시 ""화이트 어나이얼레이션의 황금 손가락""(무기 비용 무료)을 획득합니다.
치트 코드 '60dpat'를 사용하면 즉시 ""사랑의 파문""(머리를 쓰다듬을 때마다 하트 1"&amp;"개 증가)을 획득합니다.
치트 코드 'muestacz'를 사용하면 즉시 ""절대 영토""(무기/방어구 소지량 +99)를 획득합니다.
'1f0g0ty0u'를 사용하면 여동생의 이름을 변경할 수 있습니다. 이는 치트 코드 사용으로 간주되지 않습니다.
'aut0update'를 사용하면 모바일 기기에서 버전 업데이트가 다시 실행됩니다. 이는 치트 코드 사용으로 간주되지 않습니다.
주의: 치트 코드를 사용하면 ""미니언""이라는 칭호가 영구적으로 부여되며"&amp;" 제거할 수 없습니다. 이 칭호는 향후 업데이트에서 다른 영향을 미칠 수 있습니다. 예를 들어, 게임 초반에 여동생의 비꼬는 대사나 NPC의 조롱 등이 발생할 수 있으므로, 다른 저장 파일을 사용하는 것이 좋습니다.
RPG 모드에서 돌아다닐 때 아바타를 길게 누르면 입력 상자가 나타납니다.")</f>
        <v>치트 코드 '6a1n60ld'를 사용하면 즉시 "100,000 골드"와 "루이카의 마법 망치"(드롭률 증가)를 획득합니다.
치트 코드 'healmeplz'를 사용하면 즉시 "미오의 구급상자"(초당 체력 회복)를 획득합니다.
치트 코드 'unshatter'를 사용하면 즉시 "화이트 어나이얼레이션의 황금 손가락"(무기 비용 무료)을 획득합니다.
치트 코드 '60dpat'를 사용하면 즉시 "사랑의 파문"(머리를 쓰다듬을 때마다 하트 1개 증가)을 획득합니다.
치트 코드 'muestacz'를 사용하면 즉시 "절대 영토"(무기/방어구 소지량 +99)를 획득합니다.
'1f0g0ty0u'를 사용하면 여동생의 이름을 변경할 수 있습니다. 이는 치트 코드 사용으로 간주되지 않습니다.
'aut0update'를 사용하면 모바일 기기에서 버전 업데이트가 다시 실행됩니다. 이는 치트 코드 사용으로 간주되지 않습니다.
주의: 치트 코드를 사용하면 "미니언"이라는 칭호가 영구적으로 부여되며 제거할 수 없습니다. 이 칭호는 향후 업데이트에서 다른 영향을 미칠 수 있습니다. 예를 들어, 게임 초반에 여동생의 비꼬는 대사나 NPC의 조롱 등이 발생할 수 있으므로, 다른 저장 파일을 사용하는 것이 좋습니다.
RPG 모드에서 돌아다닐 때 아바타를 길게 누르면 입력 상자가 나타납니다.</v>
      </c>
      <c r="G1" s="140" t="s">
        <v>10784</v>
      </c>
      <c r="H1" s="505" t="s">
        <v>10785</v>
      </c>
      <c r="I1" s="146" t="s">
        <v>10786</v>
      </c>
      <c r="J1" s="506" t="s">
        <v>10787</v>
      </c>
      <c r="K1" s="79" t="s">
        <v>10788</v>
      </c>
      <c r="L1" s="506"/>
      <c r="M1" s="70"/>
      <c r="N1" s="70"/>
      <c r="O1" s="70"/>
      <c r="P1" s="70"/>
      <c r="Q1" s="70"/>
      <c r="R1" s="70"/>
      <c r="S1" s="70"/>
      <c r="T1" s="70"/>
      <c r="U1" s="70"/>
      <c r="V1" s="70"/>
      <c r="W1" s="70"/>
      <c r="X1" s="70"/>
      <c r="Y1" s="70"/>
    </row>
    <row r="2">
      <c r="A2" s="79" t="s">
        <v>10789</v>
      </c>
      <c r="B2" s="505" t="s">
        <v>10790</v>
      </c>
      <c r="C2" s="79" t="s">
        <v>10791</v>
      </c>
      <c r="D2" s="505" t="s">
        <v>10792</v>
      </c>
      <c r="E2" s="82" t="str">
        <f>IFERROR(__xludf.DUMMYFUNCTION("GOOGLETRANSLATE(A2,""zh-tw"",""es-MX"")"),"Para guardar tu partida en diferentes versiones, simplemente mueve los archivos de www-&gt;save a la misma ubicación en la nueva versión.")</f>
        <v>Para guardar tu partida en diferentes versiones, simplemente mueve los archivos de www-&gt;save a la misma ubicación en la nueva versión.</v>
      </c>
      <c r="F2" s="506" t="str">
        <f>IFERROR(__xludf.DUMMYFUNCTION("GOOGLETRANSLATE(A2,""zh-tw"",""KO"")"),"다른 버전에서 게임을 저장하려면 www-&gt;save 폴더에 있는 파일을 새 버전의 동일한 위치로 옮기기만 하면 됩니다.")</f>
        <v>다른 버전에서 게임을 저장하려면 www-&gt;save 폴더에 있는 파일을 새 버전의 동일한 위치로 옮기기만 하면 됩니다.</v>
      </c>
      <c r="G2" s="130" t="s">
        <v>10793</v>
      </c>
      <c r="H2" s="505" t="s">
        <v>10794</v>
      </c>
      <c r="I2" s="199" t="s">
        <v>10795</v>
      </c>
      <c r="J2" s="506" t="s">
        <v>10796</v>
      </c>
      <c r="K2" s="118" t="s">
        <v>10797</v>
      </c>
      <c r="L2" s="506"/>
      <c r="M2" s="70"/>
      <c r="N2" s="70"/>
      <c r="O2" s="70"/>
      <c r="P2" s="70"/>
      <c r="Q2" s="70"/>
      <c r="R2" s="70"/>
      <c r="S2" s="70"/>
      <c r="T2" s="70"/>
      <c r="U2" s="70"/>
      <c r="V2" s="70"/>
      <c r="W2" s="70"/>
      <c r="X2" s="70"/>
      <c r="Y2" s="70"/>
    </row>
    <row r="3">
      <c r="A3" s="79" t="s">
        <v>10798</v>
      </c>
      <c r="B3" s="505" t="s">
        <v>10799</v>
      </c>
      <c r="C3" s="79" t="s">
        <v>10800</v>
      </c>
      <c r="D3" s="505" t="str">
        <f>IFERROR(__xludf.DUMMYFUNCTION("GOOGLETRANSLATE(A3,""zh-tw"",""zh"")"),"ALT可加速动画与音乐变奏的演绎")</f>
        <v>ALT可加速动画与音乐变奏的演绎</v>
      </c>
      <c r="E3" s="82" t="str">
        <f>IFERROR(__xludf.DUMMYFUNCTION("GOOGLETRANSLATE(A3,""zh-tw"",""es-MX"")"),"ALT puede acelerar el rendimiento de las animaciones y las variaciones musicales.")</f>
        <v>ALT puede acelerar el rendimiento de las animaciones y las variaciones musicales.</v>
      </c>
      <c r="F3" s="506" t="str">
        <f>IFERROR(__xludf.DUMMYFUNCTION("GOOGLETRANSLATE(A3,""zh-tw"",""KO"")"),"ALT는 애니메이션 및 음악 변형의 성능을 향상시킬 수 있습니다.")</f>
        <v>ALT는 애니메이션 및 음악 변형의 성능을 향상시킬 수 있습니다.</v>
      </c>
      <c r="G3" s="156" t="s">
        <v>10801</v>
      </c>
      <c r="H3" s="507" t="s">
        <v>10802</v>
      </c>
      <c r="I3" s="146" t="s">
        <v>10803</v>
      </c>
      <c r="J3" s="506" t="s">
        <v>10804</v>
      </c>
      <c r="K3" s="118" t="s">
        <v>10805</v>
      </c>
      <c r="L3" s="506"/>
      <c r="M3" s="70"/>
      <c r="N3" s="70"/>
      <c r="O3" s="70"/>
      <c r="P3" s="70"/>
      <c r="Q3" s="70"/>
      <c r="R3" s="70"/>
      <c r="S3" s="70"/>
      <c r="T3" s="70"/>
      <c r="U3" s="70"/>
      <c r="V3" s="70"/>
      <c r="W3" s="70"/>
      <c r="X3" s="70"/>
      <c r="Y3" s="70"/>
    </row>
    <row r="4">
      <c r="A4" s="79" t="s">
        <v>10806</v>
      </c>
      <c r="B4" s="505" t="s">
        <v>10807</v>
      </c>
      <c r="C4" s="79" t="s">
        <v>10808</v>
      </c>
      <c r="D4" s="505" t="str">
        <f>IFERROR(__xludf.DUMMYFUNCTION("GOOGLETRANSLATE(A4,""zh-tw"",""zh"")"),"CTRL可加速对话")</f>
        <v>CTRL可加速对话</v>
      </c>
      <c r="E4" s="82" t="str">
        <f>IFERROR(__xludf.DUMMYFUNCTION("GOOGLETRANSLATE(A4,""zh-tw"",""es-MX"")"),"La tecla CTRL puede acelerar la conversación.")</f>
        <v>La tecla CTRL puede acelerar la conversación.</v>
      </c>
      <c r="F4" s="506" t="str">
        <f>IFERROR(__xludf.DUMMYFUNCTION("GOOGLETRANSLATE(A4,""zh-tw"",""KO"")"),"CTRL 키를 누르면 대화 속도가 빨라집니다.")</f>
        <v>CTRL 키를 누르면 대화 속도가 빨라집니다.</v>
      </c>
      <c r="G4" s="130" t="s">
        <v>10809</v>
      </c>
      <c r="H4" s="505" t="s">
        <v>10810</v>
      </c>
      <c r="I4" s="199" t="s">
        <v>10811</v>
      </c>
      <c r="J4" s="506" t="s">
        <v>10812</v>
      </c>
      <c r="K4" s="118" t="s">
        <v>10813</v>
      </c>
      <c r="L4" s="506"/>
      <c r="M4" s="70"/>
      <c r="N4" s="70"/>
      <c r="O4" s="70"/>
      <c r="P4" s="70"/>
      <c r="Q4" s="70"/>
      <c r="R4" s="70"/>
      <c r="S4" s="70"/>
      <c r="T4" s="70"/>
      <c r="U4" s="70"/>
      <c r="V4" s="70"/>
      <c r="W4" s="70"/>
      <c r="X4" s="70"/>
      <c r="Y4" s="70"/>
    </row>
    <row r="5">
      <c r="A5" s="79" t="s">
        <v>10814</v>
      </c>
      <c r="B5" s="505" t="s">
        <v>10815</v>
      </c>
      <c r="C5" s="79" t="s">
        <v>10816</v>
      </c>
      <c r="D5" s="505" t="str">
        <f>IFERROR(__xludf.DUMMYFUNCTION("GOOGLETRANSLATE(A5,""zh-tw"",""zh"")"),"Z键可以推进对话")</f>
        <v>Z键可以推进对话</v>
      </c>
      <c r="E5" s="82" t="str">
        <f>IFERROR(__xludf.DUMMYFUNCTION("GOOGLETRANSLATE(A5,""zh-tw"",""es-MX"")"),"La tecla Z hace avanzar el diálogo.")</f>
        <v>La tecla Z hace avanzar el diálogo.</v>
      </c>
      <c r="F5" s="506" t="str">
        <f>IFERROR(__xludf.DUMMYFUNCTION("GOOGLETRANSLATE(A5,""zh-tw"",""KO"")"),"Z 키를 누르면 대화가 진행됩니다.")</f>
        <v>Z 키를 누르면 대화가 진행됩니다.</v>
      </c>
      <c r="G5" s="156" t="s">
        <v>10817</v>
      </c>
      <c r="H5" s="505" t="s">
        <v>10818</v>
      </c>
      <c r="I5" s="199" t="s">
        <v>10819</v>
      </c>
      <c r="J5" s="506" t="s">
        <v>10820</v>
      </c>
      <c r="K5" s="118" t="s">
        <v>10821</v>
      </c>
      <c r="L5" s="506"/>
      <c r="M5" s="70"/>
      <c r="N5" s="70"/>
      <c r="O5" s="70"/>
      <c r="P5" s="70"/>
      <c r="Q5" s="70"/>
      <c r="R5" s="70"/>
      <c r="S5" s="70"/>
      <c r="T5" s="70"/>
      <c r="U5" s="70"/>
      <c r="V5" s="70"/>
      <c r="W5" s="70"/>
      <c r="X5" s="70"/>
      <c r="Y5" s="70"/>
    </row>
    <row r="6">
      <c r="A6" s="79" t="s">
        <v>10822</v>
      </c>
      <c r="B6" s="505" t="s">
        <v>10823</v>
      </c>
      <c r="C6" s="79" t="s">
        <v>10824</v>
      </c>
      <c r="D6" s="505" t="str">
        <f>IFERROR(__xludf.DUMMYFUNCTION("GOOGLETRANSLATE(A6,""zh-tw"",""zh"")"),"在取得相机后，F7可快速截图")</f>
        <v>在取得相机后，F7可快速截图</v>
      </c>
      <c r="E6" s="82" t="str">
        <f>IFERROR(__xludf.DUMMYFUNCTION("GOOGLETRANSLATE(A6,""zh-tw"",""es-MX"")"),"Tras obtener la cámara, el F7 puede tomar una captura de pantalla rápidamente.")</f>
        <v>Tras obtener la cámara, el F7 puede tomar una captura de pantalla rápidamente.</v>
      </c>
      <c r="F6" s="506" t="str">
        <f>IFERROR(__xludf.DUMMYFUNCTION("GOOGLETRANSLATE(A6,""zh-tw"",""KO"")"),"카메라를 획득한 후 F7은 빠르게 스크린샷을 찍을 수 있습니다.")</f>
        <v>카메라를 획득한 후 F7은 빠르게 스크린샷을 찍을 수 있습니다.</v>
      </c>
      <c r="G6" s="156" t="s">
        <v>10825</v>
      </c>
      <c r="H6" s="505" t="s">
        <v>10826</v>
      </c>
      <c r="I6" s="199" t="s">
        <v>10827</v>
      </c>
      <c r="J6" s="506" t="s">
        <v>10828</v>
      </c>
      <c r="K6" s="118" t="s">
        <v>10829</v>
      </c>
      <c r="L6" s="506"/>
      <c r="M6" s="70"/>
      <c r="N6" s="70"/>
      <c r="O6" s="70"/>
      <c r="P6" s="70"/>
      <c r="Q6" s="70"/>
      <c r="R6" s="70"/>
      <c r="S6" s="70"/>
      <c r="T6" s="70"/>
      <c r="U6" s="70"/>
      <c r="V6" s="70"/>
      <c r="W6" s="70"/>
      <c r="X6" s="70"/>
      <c r="Y6" s="70"/>
    </row>
    <row r="7">
      <c r="A7" s="79" t="s">
        <v>10830</v>
      </c>
      <c r="B7" s="505" t="s">
        <v>10831</v>
      </c>
      <c r="C7" s="79" t="s">
        <v>10832</v>
      </c>
      <c r="D7" s="505" t="str">
        <f>IFERROR(__xludf.DUMMYFUNCTION("GOOGLETRANSLATE(A7,""zh-tw"",""zh"")"),"F12可显示控制台")</f>
        <v>F12可显示控制台</v>
      </c>
      <c r="E7" s="82" t="str">
        <f>IFERROR(__xludf.DUMMYFUNCTION("GOOGLETRANSLATE(A7,""zh-tw"",""es-MX"")"),"Pulse F12 para mostrar la consola.")</f>
        <v>Pulse F12 para mostrar la consola.</v>
      </c>
      <c r="F7" s="506" t="str">
        <f>IFERROR(__xludf.DUMMYFUNCTION("GOOGLETRANSLATE(A7,""zh-tw"",""KO"")"),"F12 키를 눌러 콘솔을 표시하십시오.")</f>
        <v>F12 키를 눌러 콘솔을 표시하십시오.</v>
      </c>
      <c r="G7" s="156" t="s">
        <v>10833</v>
      </c>
      <c r="H7" s="505" t="s">
        <v>10834</v>
      </c>
      <c r="I7" s="199" t="s">
        <v>10835</v>
      </c>
      <c r="J7" s="506" t="s">
        <v>10836</v>
      </c>
      <c r="K7" s="118" t="s">
        <v>10837</v>
      </c>
      <c r="L7" s="506"/>
      <c r="M7" s="70"/>
      <c r="N7" s="70"/>
      <c r="O7" s="70"/>
      <c r="P7" s="70"/>
      <c r="Q7" s="70"/>
      <c r="R7" s="70"/>
      <c r="S7" s="70"/>
      <c r="T7" s="70"/>
      <c r="U7" s="70"/>
      <c r="V7" s="70"/>
      <c r="W7" s="70"/>
      <c r="X7" s="70"/>
      <c r="Y7" s="70"/>
    </row>
    <row r="8">
      <c r="A8" s="79" t="s">
        <v>10838</v>
      </c>
      <c r="B8" s="505" t="s">
        <v>10839</v>
      </c>
      <c r="C8" s="79" t="s">
        <v>10840</v>
      </c>
      <c r="D8" s="505" t="str">
        <f>IFERROR(__xludf.DUMMYFUNCTION("GOOGLETRANSLATE(A8,""zh-tw"",""zh"")"),"红色的进度条是好感度，累积满后会将一颗❤️，爱心最高7颗。
％是气氛值，也就是性欲值，当超过100％时，会将一颗❤️ 转化为💜，""不会""额外多给一个❤️， 在未来版本实装H事件后，💜是会作为消耗品使用的。
蓝色进度条是特定场景下妹妹的警戒值，例如：
1.在夜袭场景中，蓝条越低，反而表示妹妹睡得越沉，不容易醒来。
2.在使用蓝色糖果后，一起玩游戏的情境中，蓝条被清空代表妹妹无法集中精神，导致她的游戏落败。")</f>
        <v>红色的进度条是好感度，累积满后会将一颗❤️，爱心最高7颗。
％是气氛值，也就是性欲值，当超过100％时，会将一颗❤️ 转化为💜，"不会"额外多给一个❤️， 在未来版本实装H事件后，💜是会作为消耗品使用的。
蓝色进度条是特定场景下妹妹的警戒值，例如：
1.在夜袭场景中，蓝条越低，反而表示妹妹睡得越沉，不容易醒来。
2.在使用蓝色糖果后，一起玩游戏的情境中，蓝条被清空代表妹妹无法集中精神，导致她的游戏落败。</v>
      </c>
      <c r="E8" s="82" t="str">
        <f>IFERROR(__xludf.DUMMYFUNCTION("GOOGLETRANSLATE(A8,""zh-tw"",""es-MX"")"),"La barra de progreso roja representa el nivel de afecto. Se otorga un corazón (❤️) cuando está llena, con un máximo de 7 corazones.
El porcentaje representa el valor de ambiente, también conocido como libido. Cuando supera el 100%, un corazón se conviert"&amp;"e en un 💜. ""No"" otorga un corazón adicional. En futuras versiones, tras la implementación de los eventos H, los 💜 se usarán como consumibles.
La barra de progreso azul representa el nivel de alerta de la hermana en situaciones específicas. Por ejempl"&amp;"o:
1. En un escenario de incursión nocturna, una barra azul más baja indica que la hermana duerme más profundamente y es menos probable que se despierte.
2. Después de usar caramelos azules en una partida, una barra azul completamente vacía indica que l"&amp;"a hermana no puede concentrarse, lo que provoca que pierda la partida.")</f>
        <v>La barra de progreso roja representa el nivel de afecto. Se otorga un corazón (❤️) cuando está llena, con un máximo de 7 corazones.
El porcentaje representa el valor de ambiente, también conocido como libido. Cuando supera el 100%, un corazón se convierte en un 💜. "No" otorga un corazón adicional. En futuras versiones, tras la implementación de los eventos H, los 💜 se usarán como consumibles.
La barra de progreso azul representa el nivel de alerta de la hermana en situaciones específicas. Por ejemplo:
1. En un escenario de incursión nocturna, una barra azul más baja indica que la hermana duerme más profundamente y es menos probable que se despierte.
2. Después de usar caramelos azules en una partida, una barra azul completamente vacía indica que la hermana no puede concentrarse, lo que provoca que pierda la partida.</v>
      </c>
      <c r="F8" s="506" t="str">
        <f>IFERROR(__xludf.DUMMYFUNCTION("GOOGLETRANSLATE(A8,""zh-tw"",""KO"")"),"빨간색 진행 막대는 애정도를 나타냅니다. 막대가 가득 차면 하트(❤️)가 하나씩 추가되며, 최대 7개까지 모을 수 있습니다.
백분율은 분위기, 즉 성욕을 나타냅니다. 100%를 넘으면 하트 하나가 💜로 바뀝니다. ""아니오""를 선택하면 하트가 하나 더 추가됩니다. 향후 H 이벤트가 구현된 후에는 💜가 소모품으로 사용될 예정입니다.
파란색 진행 막대는 특정 상황에서 여동생의 경계 수준을 나타냅니다. 예를 들어:
1. 야간 습격 상황에서 파란색 "&amp;"막대가 낮을수록 여동생이 더 깊이 잠들어 깨어날 가능성이 낮다는 것을 의미합니다.
2. 함께 게임을 할 때 파란색 사탕을 사용한 후 파란색 막대가 완전히 비어 있으면 여동생이 집중력을 잃어 게임에서 졌다는 것을 의미합니다.")</f>
        <v>빨간색 진행 막대는 애정도를 나타냅니다. 막대가 가득 차면 하트(❤️)가 하나씩 추가되며, 최대 7개까지 모을 수 있습니다.
백분율은 분위기, 즉 성욕을 나타냅니다. 100%를 넘으면 하트 하나가 💜로 바뀝니다. "아니오"를 선택하면 하트가 하나 더 추가됩니다. 향후 H 이벤트가 구현된 후에는 💜가 소모품으로 사용될 예정입니다.
파란색 진행 막대는 특정 상황에서 여동생의 경계 수준을 나타냅니다. 예를 들어:
1. 야간 습격 상황에서 파란색 막대가 낮을수록 여동생이 더 깊이 잠들어 깨어날 가능성이 낮다는 것을 의미합니다.
2. 함께 게임을 할 때 파란색 사탕을 사용한 후 파란색 막대가 완전히 비어 있으면 여동생이 집중력을 잃어 게임에서 졌다는 것을 의미합니다.</v>
      </c>
      <c r="G8" s="130" t="s">
        <v>10841</v>
      </c>
      <c r="H8" s="505" t="s">
        <v>10842</v>
      </c>
      <c r="I8" s="199" t="s">
        <v>10843</v>
      </c>
      <c r="J8" s="506" t="s">
        <v>10844</v>
      </c>
      <c r="K8" s="79" t="s">
        <v>10845</v>
      </c>
      <c r="L8" s="506"/>
      <c r="M8" s="70"/>
      <c r="N8" s="70"/>
      <c r="O8" s="70"/>
      <c r="P8" s="70"/>
      <c r="Q8" s="70"/>
      <c r="R8" s="70"/>
      <c r="S8" s="70"/>
      <c r="T8" s="70"/>
      <c r="U8" s="70"/>
      <c r="V8" s="70"/>
      <c r="W8" s="70"/>
      <c r="X8" s="70"/>
      <c r="Y8" s="70"/>
    </row>
    <row r="9">
      <c r="A9" s="79" t="s">
        <v>10846</v>
      </c>
      <c r="B9" s="505" t="s">
        <v>10847</v>
      </c>
      <c r="C9" s="79" t="s">
        <v>10848</v>
      </c>
      <c r="D9" s="505" t="str">
        <f>IFERROR(__xludf.DUMMYFUNCTION("GOOGLETRANSLATE(A9,""zh-tw"",""zh"")"),"好感度7颗的数值是：100-200-300-400-500-600-700
0.6版本只要4星就可以完整体验完游戏，不用到达7颗")</f>
        <v>好感度7颗的数值是：100-200-300-400-500-600-700
0.6版本只要4星就可以完整体验完游戏，不用到达7颗</v>
      </c>
      <c r="E9" s="82" t="str">
        <f>IFERROR(__xludf.DUMMYFUNCTION("GOOGLETRANSLATE(A9,""zh-tw"",""es-MX"")"),"Los valores para 7 estrellas de afinidad son: 100-200-300-400-500-600-700. La versión 0.6 solo requiere 4 estrellas para disfrutar plenamente del juego; no es necesario alcanzar las 7 estrellas.")</f>
        <v>Los valores para 7 estrellas de afinidad son: 100-200-300-400-500-600-700. La versión 0.6 solo requiere 4 estrellas para disfrutar plenamente del juego; no es necesario alcanzar las 7 estrellas.</v>
      </c>
      <c r="F9" s="506" t="str">
        <f>IFERROR(__xludf.DUMMYFUNCTION("GOOGLETRANSLATE(A9,""zh-tw"",""KO"")"),"친밀도 별 7개에 대한 값은 100-200-300-400-500-600-700입니다. 버전 0.6에서는 게임을 완전히 경험하는 데 별 4개만 필요하며, 별 7개를 달성할 필요는 없습니다.")</f>
        <v>친밀도 별 7개에 대한 값은 100-200-300-400-500-600-700입니다. 버전 0.6에서는 게임을 완전히 경험하는 데 별 4개만 필요하며, 별 7개를 달성할 필요는 없습니다.</v>
      </c>
      <c r="G9" s="130" t="s">
        <v>10849</v>
      </c>
      <c r="H9" s="505" t="s">
        <v>10850</v>
      </c>
      <c r="I9" s="199" t="s">
        <v>10851</v>
      </c>
      <c r="J9" s="506" t="s">
        <v>10852</v>
      </c>
      <c r="K9" s="118" t="s">
        <v>10853</v>
      </c>
      <c r="L9" s="506"/>
      <c r="M9" s="70"/>
      <c r="N9" s="70"/>
      <c r="O9" s="70"/>
      <c r="P9" s="70"/>
      <c r="Q9" s="70"/>
      <c r="R9" s="70"/>
      <c r="S9" s="70"/>
      <c r="T9" s="70"/>
      <c r="U9" s="70"/>
      <c r="V9" s="70"/>
      <c r="W9" s="70"/>
      <c r="X9" s="70"/>
      <c r="Y9" s="70"/>
    </row>
    <row r="10">
      <c r="A10" s="79" t="s">
        <v>10854</v>
      </c>
      <c r="B10" s="505" t="s">
        <v>10855</v>
      </c>
      <c r="C10" s="79" t="s">
        <v>10856</v>
      </c>
      <c r="D10" s="505" t="str">
        <f>IFERROR(__xludf.DUMMYFUNCTION("GOOGLETRANSLATE(A10,""zh-tw"",""zh"")"),"目前版本想要快速满红心和紫心的作法就是和妹妹玩游戏以及夜袭")</f>
        <v>目前版本想要快速满红心和紫心的作法就是和妹妹玩游戏以及夜袭</v>
      </c>
      <c r="E10" s="82" t="str">
        <f>IFERROR(__xludf.DUMMYFUNCTION("GOOGLETRANSLATE(A10,""zh-tw"",""es-MX"")"),"El método actual para conseguir rápidamente el máximo de corazones rojos y morados es jugar partidas con tu hermana y hacer incursiones nocturnas.")</f>
        <v>El método actual para conseguir rápidamente el máximo de corazones rojos y morados es jugar partidas con tu hermana y hacer incursiones nocturnas.</v>
      </c>
      <c r="F10" s="506" t="str">
        <f>IFERROR(__xludf.DUMMYFUNCTION("GOOGLETRANSLATE(A10,""zh-tw"",""KO"")"),"현재 빨간색과 보라색 하트를 빠르게 최대치로 만드는 방법은 여동생과 함께 게임을 하거나 야간 레이드를 하는 것입니다.")</f>
        <v>현재 빨간색과 보라색 하트를 빠르게 최대치로 만드는 방법은 여동생과 함께 게임을 하거나 야간 레이드를 하는 것입니다.</v>
      </c>
      <c r="G10" s="156" t="s">
        <v>10857</v>
      </c>
      <c r="H10" s="505" t="s">
        <v>10858</v>
      </c>
      <c r="I10" s="199" t="s">
        <v>10859</v>
      </c>
      <c r="J10" s="506" t="s">
        <v>10860</v>
      </c>
      <c r="K10" s="79" t="s">
        <v>10861</v>
      </c>
      <c r="L10" s="506"/>
      <c r="M10" s="70"/>
      <c r="N10" s="70"/>
      <c r="O10" s="70"/>
      <c r="P10" s="70"/>
      <c r="Q10" s="70"/>
      <c r="R10" s="70"/>
      <c r="S10" s="70"/>
      <c r="T10" s="70"/>
      <c r="U10" s="70"/>
      <c r="V10" s="70"/>
      <c r="W10" s="70"/>
      <c r="X10" s="70"/>
      <c r="Y10" s="70"/>
    </row>
    <row r="11">
      <c r="A11" s="79" t="s">
        <v>10862</v>
      </c>
      <c r="B11" s="505" t="s">
        <v>10863</v>
      </c>
      <c r="C11" s="79" t="s">
        <v>10864</v>
      </c>
      <c r="D11" s="505" t="str">
        <f>IFERROR(__xludf.DUMMYFUNCTION("GOOGLETRANSLATE(A11,""zh-tw"",""zh"")"),"想和妹妹共浴吗? 请先到达2爱心")</f>
        <v>想和妹妹共浴吗? 请先到达2爱心</v>
      </c>
      <c r="E11" s="82" t="str">
        <f>IFERROR(__xludf.DUMMYFUNCTION("GOOGLETRANSLATE(A11,""zh-tw"",""es-MX"")"),"¿Quieres bañarte con tu hermana? Primero, consigue 2 corazones.")</f>
        <v>¿Quieres bañarte con tu hermana? Primero, consigue 2 corazones.</v>
      </c>
      <c r="F11" s="506" t="str">
        <f>IFERROR(__xludf.DUMMYFUNCTION("GOOGLETRANSLATE(A11,""zh-tw"",""KO"")"),"여동생과 함께 목욕하고 싶으세요? 먼저 하트 2개를 달성하세요.")</f>
        <v>여동생과 함께 목욕하고 싶으세요? 먼저 하트 2개를 달성하세요.</v>
      </c>
      <c r="G11" s="156" t="s">
        <v>10865</v>
      </c>
      <c r="H11" s="505" t="s">
        <v>10866</v>
      </c>
      <c r="I11" s="199" t="s">
        <v>10867</v>
      </c>
      <c r="J11" s="506" t="s">
        <v>10868</v>
      </c>
      <c r="K11" s="118" t="s">
        <v>10869</v>
      </c>
      <c r="L11" s="506"/>
      <c r="M11" s="70"/>
      <c r="N11" s="70"/>
      <c r="O11" s="70"/>
      <c r="P11" s="70"/>
      <c r="Q11" s="70"/>
      <c r="R11" s="70"/>
      <c r="S11" s="70"/>
      <c r="T11" s="70"/>
      <c r="U11" s="70"/>
      <c r="V11" s="70"/>
      <c r="W11" s="70"/>
      <c r="X11" s="70"/>
      <c r="Y11" s="70"/>
    </row>
    <row r="12">
      <c r="A12" s="79" t="s">
        <v>10870</v>
      </c>
      <c r="B12" s="505" t="s">
        <v>10871</v>
      </c>
      <c r="C12" s="79" t="s">
        <v>10872</v>
      </c>
      <c r="D12" s="505" t="str">
        <f>IFERROR(__xludf.DUMMYFUNCTION("GOOGLETRANSLATE(A12,""zh-tw"",""zh"")"),"假如很不幸地遇到遇到卡点，可以发呆到下午5点自动回家")</f>
        <v>假如很不幸地遇到遇到卡点，可以发呆到下午5点自动回家</v>
      </c>
      <c r="E12" s="82" t="str">
        <f>IFERROR(__xludf.DUMMYFUNCTION("GOOGLETRANSLATE(A12,""zh-tw"",""es-MX"")"),"Si, por desgracia, te encuentras con un puesto de control, simplemente puedes esperar hasta las 17:00 y regresarás automáticamente a casa.")</f>
        <v>Si, por desgracia, te encuentras con un puesto de control, simplemente puedes esperar hasta las 17:00 y regresarás automáticamente a casa.</v>
      </c>
      <c r="F12" s="506" t="str">
        <f>IFERROR(__xludf.DUMMYFUNCTION("GOOGLETRANSLATE(A12,""zh-tw"",""KO"")"),"만약 불행히도 검문소를 만나게 되더라도, 오후 5시까지 기다리면 자동으로 집으로 돌아갈 수 있습니다.")</f>
        <v>만약 불행히도 검문소를 만나게 되더라도, 오후 5시까지 기다리면 자동으로 집으로 돌아갈 수 있습니다.</v>
      </c>
      <c r="G12" s="130" t="s">
        <v>10873</v>
      </c>
      <c r="H12" s="505" t="s">
        <v>10874</v>
      </c>
      <c r="I12" s="199" t="s">
        <v>10875</v>
      </c>
      <c r="J12" s="506" t="s">
        <v>10876</v>
      </c>
      <c r="K12" s="118" t="s">
        <v>10877</v>
      </c>
      <c r="L12" s="506"/>
      <c r="M12" s="70"/>
      <c r="N12" s="70"/>
      <c r="O12" s="70"/>
      <c r="P12" s="70"/>
      <c r="Q12" s="70"/>
      <c r="R12" s="70"/>
      <c r="S12" s="70"/>
      <c r="T12" s="70"/>
      <c r="U12" s="70"/>
      <c r="V12" s="70"/>
      <c r="W12" s="70"/>
      <c r="X12" s="70"/>
      <c r="Y12" s="70"/>
    </row>
    <row r="13">
      <c r="A13" s="79" t="s">
        <v>10878</v>
      </c>
      <c r="B13" s="505" t="s">
        <v>10879</v>
      </c>
      <c r="C13" s="79" t="s">
        <v>10880</v>
      </c>
      <c r="D13" s="505" t="str">
        <f>IFERROR(__xludf.DUMMYFUNCTION("GOOGLETRANSLATE(A13,""zh-tw"",""zh"")"),"当哥哥性欲值高于一定数值才会触发夜袭")</f>
        <v>当哥哥性欲值高于一定数值才会触发夜袭</v>
      </c>
      <c r="E13" s="82" t="str">
        <f>IFERROR(__xludf.DUMMYFUNCTION("GOOGLETRANSLATE(A13,""zh-tw"",""es-MX"")"),"La incursión nocturna solo se activará cuando el deseo sexual del hermano mayor supere cierto valor.")</f>
        <v>La incursión nocturna solo se activará cuando el deseo sexual del hermano mayor supere cierto valor.</v>
      </c>
      <c r="F13" s="506" t="str">
        <f>IFERROR(__xludf.DUMMYFUNCTION("GOOGLETRANSLATE(A13,""zh-tw"",""KO"")"),"야간 습격은 형의 성욕이 특정 수치를 초과할 때만 발생합니다.")</f>
        <v>야간 습격은 형의 성욕이 특정 수치를 초과할 때만 발생합니다.</v>
      </c>
      <c r="G13" s="130" t="s">
        <v>10881</v>
      </c>
      <c r="H13" s="505" t="s">
        <v>10882</v>
      </c>
      <c r="I13" s="199" t="s">
        <v>10883</v>
      </c>
      <c r="J13" s="506" t="s">
        <v>10884</v>
      </c>
      <c r="K13" s="118" t="s">
        <v>10885</v>
      </c>
      <c r="L13" s="506"/>
      <c r="M13" s="70"/>
      <c r="N13" s="70"/>
      <c r="O13" s="70"/>
      <c r="P13" s="70"/>
      <c r="Q13" s="70"/>
      <c r="R13" s="70"/>
      <c r="S13" s="70"/>
      <c r="T13" s="70"/>
      <c r="U13" s="70"/>
      <c r="V13" s="70"/>
      <c r="W13" s="70"/>
      <c r="X13" s="70"/>
      <c r="Y13" s="70"/>
    </row>
    <row r="14">
      <c r="A14" s="79" t="s">
        <v>10886</v>
      </c>
      <c r="B14" s="505" t="s">
        <v>10887</v>
      </c>
      <c r="C14" s="79" t="s">
        <v>10888</v>
      </c>
      <c r="D14" s="505" t="str">
        <f>IFERROR(__xludf.DUMMYFUNCTION("GOOGLETRANSLATE(A14,""zh-tw"",""zh"")"),"若打爆了扭蛋机别担心，使用塔罗牌能随时再召唤")</f>
        <v>若打爆了扭蛋机别担心，使用塔罗牌能随时再召唤</v>
      </c>
      <c r="E14" s="82" t="str">
        <f>IFERROR(__xludf.DUMMYFUNCTION("GOOGLETRANSLATE(A14,""zh-tw"",""es-MX"")"),"No te preocupes si rompes la máquina de gashapon; puedes volver a invocarla en cualquier momento usando cartas del tarot.")</f>
        <v>No te preocupes si rompes la máquina de gashapon; puedes volver a invocarla en cualquier momento usando cartas del tarot.</v>
      </c>
      <c r="F14" s="506" t="str">
        <f>IFERROR(__xludf.DUMMYFUNCTION("GOOGLETRANSLATE(A14,""zh-tw"",""KO"")"),"가챠 기계가 고장나더라도 걱정하지 마세요. 타로 카드를 사용하면 언제든지 다시 소환할 수 있습니다.")</f>
        <v>가챠 기계가 고장나더라도 걱정하지 마세요. 타로 카드를 사용하면 언제든지 다시 소환할 수 있습니다.</v>
      </c>
      <c r="G14" s="130" t="s">
        <v>10889</v>
      </c>
      <c r="H14" s="505" t="s">
        <v>10890</v>
      </c>
      <c r="I14" s="146" t="s">
        <v>10891</v>
      </c>
      <c r="J14" s="506" t="s">
        <v>10892</v>
      </c>
      <c r="K14" s="118" t="s">
        <v>10893</v>
      </c>
      <c r="L14" s="506"/>
      <c r="M14" s="70"/>
      <c r="N14" s="70"/>
      <c r="O14" s="70"/>
      <c r="P14" s="70"/>
      <c r="Q14" s="70"/>
      <c r="R14" s="70"/>
      <c r="S14" s="70"/>
      <c r="T14" s="70"/>
      <c r="U14" s="70"/>
      <c r="V14" s="70"/>
      <c r="W14" s="70"/>
      <c r="X14" s="70"/>
      <c r="Y14" s="70"/>
    </row>
    <row r="15">
      <c r="A15" s="79" t="s">
        <v>10894</v>
      </c>
      <c r="B15" s="505" t="s">
        <v>10895</v>
      </c>
      <c r="C15" s="79" t="s">
        <v>10896</v>
      </c>
      <c r="D15" s="505" t="str">
        <f>IFERROR(__xludf.DUMMYFUNCTION("GOOGLETRANSLATE(A15,""zh-tw"",""zh"")"),"从后方接近扭蛋机，扭蛋机会跳起")</f>
        <v>从后方接近扭蛋机，扭蛋机会跳起</v>
      </c>
      <c r="E15" s="82" t="str">
        <f>IFERROR(__xludf.DUMMYFUNCTION("GOOGLETRANSLATE(A15,""zh-tw"",""es-MX"")"),"Acércate a la máquina de gashapon por detrás y aparecerá.")</f>
        <v>Acércate a la máquina de gashapon por detrás y aparecerá.</v>
      </c>
      <c r="F15" s="506" t="str">
        <f>IFERROR(__xludf.DUMMYFUNCTION("GOOGLETRANSLATE(A15,""zh-tw"",""KO"")"),"가챠 기계 뒤쪽으로 다가가면 팝업으로 나타납니다.")</f>
        <v>가챠 기계 뒤쪽으로 다가가면 팝업으로 나타납니다.</v>
      </c>
      <c r="G15" s="130" t="s">
        <v>10897</v>
      </c>
      <c r="H15" s="505" t="s">
        <v>10898</v>
      </c>
      <c r="I15" s="199" t="s">
        <v>10899</v>
      </c>
      <c r="J15" s="506" t="s">
        <v>10900</v>
      </c>
      <c r="K15" s="118" t="s">
        <v>10901</v>
      </c>
      <c r="L15" s="506"/>
      <c r="M15" s="70"/>
      <c r="N15" s="70"/>
      <c r="O15" s="70"/>
      <c r="P15" s="70"/>
      <c r="Q15" s="70"/>
      <c r="R15" s="70"/>
      <c r="S15" s="70"/>
      <c r="T15" s="70"/>
      <c r="U15" s="70"/>
      <c r="V15" s="70"/>
      <c r="W15" s="70"/>
      <c r="X15" s="70"/>
      <c r="Y15" s="70"/>
    </row>
    <row r="16">
      <c r="A16" s="79" t="s">
        <v>10902</v>
      </c>
      <c r="B16" s="505" t="s">
        <v>10903</v>
      </c>
      <c r="C16" s="79" t="s">
        <v>10904</v>
      </c>
      <c r="D16" s="505" t="str">
        <f>IFERROR(__xludf.DUMMYFUNCTION("GOOGLETRANSLATE(A16,""zh-tw"",""zh"")"),"扭蛋奖品可以使用远距离武器攻击，快速开启")</f>
        <v>扭蛋奖品可以使用远距离武器攻击，快速开启</v>
      </c>
      <c r="E16" s="82" t="str">
        <f>IFERROR(__xludf.DUMMYFUNCTION("GOOGLETRANSLATE(A16,""zh-tw"",""es-MX"")"),"Los premios de Gacha se pueden usar para atacar con armas a distancia y se pueden obtener rápidamente.")</f>
        <v>Los premios de Gacha se pueden usar para atacar con armas a distancia y se pueden obtener rápidamente.</v>
      </c>
      <c r="F16" s="506" t="str">
        <f>IFERROR(__xludf.DUMMYFUNCTION("GOOGLETRANSLATE(A16,""zh-tw"",""KO"")"),"가챠 상품은 원거리 무기 공격에 사용할 수 있으며 빠르게 열 수 있습니다.")</f>
        <v>가챠 상품은 원거리 무기 공격에 사용할 수 있으며 빠르게 열 수 있습니다.</v>
      </c>
      <c r="G16" s="130" t="s">
        <v>10905</v>
      </c>
      <c r="H16" s="505" t="s">
        <v>10906</v>
      </c>
      <c r="I16" s="199" t="s">
        <v>10907</v>
      </c>
      <c r="J16" s="506" t="s">
        <v>10908</v>
      </c>
      <c r="K16" s="118" t="s">
        <v>10909</v>
      </c>
      <c r="L16" s="506"/>
      <c r="M16" s="70"/>
      <c r="N16" s="70"/>
      <c r="O16" s="70"/>
      <c r="P16" s="70"/>
      <c r="Q16" s="70"/>
      <c r="R16" s="70"/>
      <c r="S16" s="70"/>
      <c r="T16" s="70"/>
      <c r="U16" s="70"/>
      <c r="V16" s="70"/>
      <c r="W16" s="70"/>
      <c r="X16" s="70"/>
      <c r="Y16" s="70"/>
    </row>
    <row r="17">
      <c r="A17" s="79" t="s">
        <v>10910</v>
      </c>
      <c r="B17" s="505" t="s">
        <v>10911</v>
      </c>
      <c r="C17" s="79" t="s">
        <v>10912</v>
      </c>
      <c r="D17" s="505" t="str">
        <f>IFERROR(__xludf.DUMMYFUNCTION("GOOGLETRANSLATE(A17,""zh-tw"",""zh"")"),"扭蛋机的金蛋只有2%概率出现")</f>
        <v>扭蛋机的金蛋只有2%概率出现</v>
      </c>
      <c r="E17" s="82" t="str">
        <f>IFERROR(__xludf.DUMMYFUNCTION("GOOGLETRANSLATE(A17,""zh-tw"",""es-MX"")"),"El huevo dorado en la máquina de gashapon solo tiene un 2% de probabilidad de aparecer.")</f>
        <v>El huevo dorado en la máquina de gashapon solo tiene un 2% de probabilidad de aparecer.</v>
      </c>
      <c r="F17" s="506" t="str">
        <f>IFERROR(__xludf.DUMMYFUNCTION("GOOGLETRANSLATE(A17,""zh-tw"",""KO"")"),"가샤폰 기계에서 황금알이 나올 확률은 단 2%입니다.")</f>
        <v>가샤폰 기계에서 황금알이 나올 확률은 단 2%입니다.</v>
      </c>
      <c r="G17" s="130" t="s">
        <v>10913</v>
      </c>
      <c r="H17" s="505" t="s">
        <v>10914</v>
      </c>
      <c r="I17" s="199" t="s">
        <v>10915</v>
      </c>
      <c r="J17" s="506" t="s">
        <v>10916</v>
      </c>
      <c r="K17" s="118" t="s">
        <v>10917</v>
      </c>
      <c r="L17" s="506"/>
      <c r="M17" s="70"/>
      <c r="N17" s="70"/>
      <c r="O17" s="70"/>
      <c r="P17" s="70"/>
      <c r="Q17" s="70"/>
      <c r="R17" s="70"/>
      <c r="S17" s="70"/>
      <c r="T17" s="70"/>
      <c r="U17" s="70"/>
      <c r="V17" s="70"/>
      <c r="W17" s="70"/>
      <c r="X17" s="70"/>
      <c r="Y17" s="70"/>
    </row>
    <row r="18">
      <c r="A18" s="79" t="s">
        <v>10918</v>
      </c>
      <c r="B18" s="505" t="s">
        <v>10919</v>
      </c>
      <c r="C18" s="79" t="s">
        <v>10920</v>
      </c>
      <c r="D18" s="505" t="str">
        <f>IFERROR(__xludf.DUMMYFUNCTION("GOOGLETRANSLATE(A18,""zh-tw"",""zh"")"),"扭蛋机的爱好与妹妹差不多")</f>
        <v>扭蛋机的爱好与妹妹差不多</v>
      </c>
      <c r="E18" s="82" t="str">
        <f>IFERROR(__xludf.DUMMYFUNCTION("GOOGLETRANSLATE(A18,""zh-tw"",""es-MX"")"),"Mi afición por las máquinas de gashapon es similar a la de mi hermana.")</f>
        <v>Mi afición por las máquinas de gashapon es similar a la de mi hermana.</v>
      </c>
      <c r="F18" s="506" t="str">
        <f>IFERROR(__xludf.DUMMYFUNCTION("GOOGLETRANSLATE(A18,""zh-tw"",""KO"")"),"저는 여동생처럼 가챠 기계를 정말 좋아해요.")</f>
        <v>저는 여동생처럼 가챠 기계를 정말 좋아해요.</v>
      </c>
      <c r="G18" s="130" t="s">
        <v>10921</v>
      </c>
      <c r="H18" s="505" t="s">
        <v>10922</v>
      </c>
      <c r="I18" s="199" t="s">
        <v>10923</v>
      </c>
      <c r="J18" s="506" t="s">
        <v>10924</v>
      </c>
      <c r="K18" s="79" t="s">
        <v>10925</v>
      </c>
      <c r="L18" s="506"/>
      <c r="M18" s="70"/>
      <c r="N18" s="70"/>
      <c r="O18" s="70"/>
      <c r="P18" s="70"/>
      <c r="Q18" s="70"/>
      <c r="R18" s="70"/>
      <c r="S18" s="70"/>
      <c r="T18" s="70"/>
      <c r="U18" s="70"/>
      <c r="V18" s="70"/>
      <c r="W18" s="70"/>
      <c r="X18" s="70"/>
      <c r="Y18" s="70"/>
    </row>
    <row r="19">
      <c r="A19" s="79" t="s">
        <v>10926</v>
      </c>
      <c r="B19" s="505" t="s">
        <v>10927</v>
      </c>
      <c r="C19" s="79" t="s">
        <v>10928</v>
      </c>
      <c r="D19" s="505" t="str">
        <f>IFERROR(__xludf.DUMMYFUNCTION("GOOGLETRANSLATE(A19,""zh-tw"",""zh"")"),"在投钱进入扭蛋机前，最好先保证机器完好无损，因为机器血量会影响扭蛋数量")</f>
        <v>在投钱进入扭蛋机前，最好先保证机器完好无损，因为机器血量会影响扭蛋数量</v>
      </c>
      <c r="E19" s="82" t="str">
        <f>IFERROR(__xludf.DUMMYFUNCTION("GOOGLETRANSLATE(A19,""zh-tw"",""es-MX"")"),"Antes de introducir dinero en la máquina de gashapon, es mejor asegurarse de que la máquina esté en buen estado de funcionamiento, ya que el estado de la máquina afectará a la cantidad de cápsulas de gashapon que se pueden obtener.")</f>
        <v>Antes de introducir dinero en la máquina de gashapon, es mejor asegurarse de que la máquina esté en buen estado de funcionamiento, ya que el estado de la máquina afectará a la cantidad de cápsulas de gashapon que se pueden obtener.</v>
      </c>
      <c r="F19" s="506" t="str">
        <f>IFERROR(__xludf.DUMMYFUNCTION("GOOGLETRANSLATE(A19,""zh-tw"",""KO"")"),"가샤폰 기계에 돈을 넣기 전에 기계가 제대로 작동하는지 확인하는 것이 좋습니다. 기계의 남은 상태가 획득할 수 있는 가샤폰 캡슐의 개수에 영향을 미치기 때문입니다.")</f>
        <v>가샤폰 기계에 돈을 넣기 전에 기계가 제대로 작동하는지 확인하는 것이 좋습니다. 기계의 남은 상태가 획득할 수 있는 가샤폰 캡슐의 개수에 영향을 미치기 때문입니다.</v>
      </c>
      <c r="G19" s="156" t="s">
        <v>10929</v>
      </c>
      <c r="H19" s="505" t="s">
        <v>10930</v>
      </c>
      <c r="I19" s="199" t="s">
        <v>10931</v>
      </c>
      <c r="J19" s="506" t="s">
        <v>10932</v>
      </c>
      <c r="K19" s="118" t="s">
        <v>10933</v>
      </c>
      <c r="L19" s="506"/>
      <c r="M19" s="70"/>
      <c r="N19" s="70"/>
      <c r="O19" s="70"/>
      <c r="P19" s="70"/>
      <c r="Q19" s="70"/>
      <c r="R19" s="70"/>
      <c r="S19" s="70"/>
      <c r="T19" s="70"/>
      <c r="U19" s="70"/>
      <c r="V19" s="70"/>
      <c r="W19" s="70"/>
      <c r="X19" s="70"/>
      <c r="Y19" s="70"/>
    </row>
    <row r="20">
      <c r="A20" s="79" t="s">
        <v>10934</v>
      </c>
      <c r="B20" s="505" t="s">
        <v>10935</v>
      </c>
      <c r="C20" s="79" t="s">
        <v>10936</v>
      </c>
      <c r="D20" s="505" t="str">
        <f>IFERROR(__xludf.DUMMYFUNCTION("GOOGLETRANSLATE(A20,""zh-tw"",""zh"")"),"召唤门若位置不好，可以破坏并重新召唤")</f>
        <v>召唤门若位置不好，可以破坏并重新召唤</v>
      </c>
      <c r="E20" s="82" t="str">
        <f>IFERROR(__xludf.DUMMYFUNCTION("GOOGLETRANSLATE(A20,""zh-tw"",""es-MX"")"),"Si el portal de invocación está mal ubicado, puede ser destruido y vuelto a invocar.")</f>
        <v>Si el portal de invocación está mal ubicado, puede ser destruido y vuelto a invocar.</v>
      </c>
      <c r="F20" s="506" t="str">
        <f>IFERROR(__xludf.DUMMYFUNCTION("GOOGLETRANSLATE(A20,""zh-tw"",""KO"")"),"소환 포털의 위치가 부적절하면 파괴한 후 다시 소환할 수 있습니다.")</f>
        <v>소환 포털의 위치가 부적절하면 파괴한 후 다시 소환할 수 있습니다.</v>
      </c>
      <c r="G20" s="156" t="s">
        <v>10937</v>
      </c>
      <c r="H20" s="505" t="s">
        <v>10938</v>
      </c>
      <c r="I20" s="146" t="s">
        <v>10939</v>
      </c>
      <c r="J20" s="506" t="s">
        <v>10940</v>
      </c>
      <c r="K20" s="118" t="s">
        <v>10941</v>
      </c>
      <c r="L20" s="506"/>
      <c r="M20" s="70"/>
      <c r="N20" s="70"/>
      <c r="O20" s="70"/>
      <c r="P20" s="70"/>
      <c r="Q20" s="70"/>
      <c r="R20" s="70"/>
      <c r="S20" s="70"/>
      <c r="T20" s="70"/>
      <c r="U20" s="70"/>
      <c r="V20" s="70"/>
      <c r="W20" s="70"/>
      <c r="X20" s="70"/>
      <c r="Y20" s="70"/>
    </row>
    <row r="21">
      <c r="A21" s="79" t="s">
        <v>10942</v>
      </c>
      <c r="B21" s="505" t="s">
        <v>10943</v>
      </c>
      <c r="C21" s="79" t="s">
        <v>10944</v>
      </c>
      <c r="D21" s="505" t="str">
        <f>IFERROR(__xludf.DUMMYFUNCTION("GOOGLETRANSLATE(A21,""zh-tw"",""zh"")"),"在洗面所的偷窥，会因为开门的多寡而影响被妹妹发现的机率")</f>
        <v>在洗面所的偷窥，会因为开门的多寡而影响被妹妹发现的机率</v>
      </c>
      <c r="E21" s="82" t="str">
        <f>IFERROR(__xludf.DUMMYFUNCTION("GOOGLETRANSLATE(A21,""zh-tw"",""es-MX"")"),"Las probabilidades de ser descubierto por la hermana menor mientras espías en una casa de baños dependen de la frecuencia con la que se abra la puerta.")</f>
        <v>Las probabilidades de ser descubierto por la hermana menor mientras espías en una casa de baños dependen de la frecuencia con la que se abra la puerta.</v>
      </c>
      <c r="F21" s="506" t="str">
        <f>IFERROR(__xludf.DUMMYFUNCTION("GOOGLETRANSLATE(A21,""zh-tw"",""KO"")"),"목욕탕에서 몰래 엿보는 동안 여동생에게 들킬 확률은 문이 얼마나 자주 열리는지에 따라 달라진다.")</f>
        <v>목욕탕에서 몰래 엿보는 동안 여동생에게 들킬 확률은 문이 얼마나 자주 열리는지에 따라 달라진다.</v>
      </c>
      <c r="G21" s="156" t="s">
        <v>10945</v>
      </c>
      <c r="H21" s="505" t="s">
        <v>10946</v>
      </c>
      <c r="I21" s="146" t="s">
        <v>10947</v>
      </c>
      <c r="J21" s="506" t="s">
        <v>10948</v>
      </c>
      <c r="K21" s="79" t="s">
        <v>10949</v>
      </c>
      <c r="L21" s="506"/>
      <c r="M21" s="70"/>
      <c r="N21" s="70"/>
      <c r="O21" s="70"/>
      <c r="P21" s="70"/>
      <c r="Q21" s="70"/>
      <c r="R21" s="70"/>
      <c r="S21" s="70"/>
      <c r="T21" s="70"/>
      <c r="U21" s="70"/>
      <c r="V21" s="70"/>
      <c r="W21" s="70"/>
      <c r="X21" s="70"/>
      <c r="Y21" s="70"/>
    </row>
    <row r="22">
      <c r="A22" s="79" t="s">
        <v>10950</v>
      </c>
      <c r="B22" s="505" t="s">
        <v>10951</v>
      </c>
      <c r="C22" s="79" t="s">
        <v>10952</v>
      </c>
      <c r="D22" s="505" t="str">
        <f>IFERROR(__xludf.DUMMYFUNCTION("GOOGLETRANSLATE(A22,""zh-tw"",""zh"")"),"机甲消失后，该地图名称会改变")</f>
        <v>机甲消失后，该地图名称会改变</v>
      </c>
      <c r="E22" s="82" t="str">
        <f>IFERROR(__xludf.DUMMYFUNCTION("GOOGLETRANSLATE(A22,""zh-tw"",""es-MX"")"),"El nombre del mapa cambiará después de que desaparezca el robot.")</f>
        <v>El nombre del mapa cambiará después de que desaparezca el robot.</v>
      </c>
      <c r="F22" s="506" t="str">
        <f>IFERROR(__xludf.DUMMYFUNCTION("GOOGLETRANSLATE(A22,""zh-tw"",""KO"")"),"메카닉이 사라지면 맵 이름이 바뀝니다.")</f>
        <v>메카닉이 사라지면 맵 이름이 바뀝니다.</v>
      </c>
      <c r="G22" s="156" t="s">
        <v>10953</v>
      </c>
      <c r="H22" s="505" t="s">
        <v>10954</v>
      </c>
      <c r="I22" s="146" t="s">
        <v>10955</v>
      </c>
      <c r="J22" s="506" t="s">
        <v>10956</v>
      </c>
      <c r="K22" s="79" t="s">
        <v>10957</v>
      </c>
      <c r="L22" s="506"/>
      <c r="M22" s="70"/>
      <c r="N22" s="70"/>
      <c r="O22" s="70"/>
      <c r="P22" s="70"/>
      <c r="Q22" s="70"/>
      <c r="R22" s="70"/>
      <c r="S22" s="70"/>
      <c r="T22" s="70"/>
      <c r="U22" s="70"/>
      <c r="V22" s="70"/>
      <c r="W22" s="70"/>
      <c r="X22" s="70"/>
      <c r="Y22" s="70"/>
    </row>
    <row r="23">
      <c r="A23" s="79" t="s">
        <v>10958</v>
      </c>
      <c r="B23" s="505" t="s">
        <v>10959</v>
      </c>
      <c r="C23" s="79" t="s">
        <v>10960</v>
      </c>
      <c r="D23" s="505" t="str">
        <f>IFERROR(__xludf.DUMMYFUNCTION("GOOGLETRANSLATE(A23,""zh-tw"",""zh"")"),"矿车行进中，可使用远距离武器攻击方向舵")</f>
        <v>矿车行进中，可使用远距离武器攻击方向舵</v>
      </c>
      <c r="E23" s="82" t="str">
        <f>IFERROR(__xludf.DUMMYFUNCTION("GOOGLETRANSLATE(A23,""zh-tw"",""es-MX"")"),"Mientras la vagoneta está en movimiento, el timón puede ser atacado con armas de largo alcance.")</f>
        <v>Mientras la vagoneta está en movimiento, el timón puede ser atacado con armas de largo alcance.</v>
      </c>
      <c r="F23" s="506" t="str">
        <f>IFERROR(__xludf.DUMMYFUNCTION("GOOGLETRANSLATE(A23,""zh-tw"",""KO"")"),"광산 수레가 움직이는 동안에는 장거리 무기로 키를 공격할 수 있습니다.")</f>
        <v>광산 수레가 움직이는 동안에는 장거리 무기로 키를 공격할 수 있습니다.</v>
      </c>
      <c r="G23" s="156" t="s">
        <v>10961</v>
      </c>
      <c r="H23" s="505" t="s">
        <v>10962</v>
      </c>
      <c r="I23" s="199" t="s">
        <v>10963</v>
      </c>
      <c r="J23" s="508" t="s">
        <v>10964</v>
      </c>
      <c r="K23" s="118" t="s">
        <v>10965</v>
      </c>
      <c r="L23" s="508"/>
      <c r="M23" s="70"/>
      <c r="N23" s="70"/>
      <c r="O23" s="70"/>
      <c r="P23" s="70"/>
      <c r="Q23" s="70"/>
      <c r="R23" s="70"/>
      <c r="S23" s="70"/>
      <c r="T23" s="70"/>
      <c r="U23" s="70"/>
      <c r="V23" s="70"/>
      <c r="W23" s="70"/>
      <c r="X23" s="70"/>
      <c r="Y23" s="70"/>
    </row>
    <row r="24">
      <c r="A24" s="79" t="s">
        <v>10966</v>
      </c>
      <c r="B24" s="505" t="s">
        <v>10967</v>
      </c>
      <c r="C24" s="79" t="s">
        <v>10968</v>
      </c>
      <c r="D24" s="505" t="str">
        <f>IFERROR(__xludf.DUMMYFUNCTION("GOOGLETRANSLATE(A24,""zh-tw"",""zh"")"),"电击类武器碰到水...你懂的~ 包含下雨天")</f>
        <v>电击类武器碰到水...你懂的~ 包含下雨天</v>
      </c>
      <c r="E24" s="82" t="str">
        <f>IFERROR(__xludf.DUMMYFUNCTION("GOOGLETRANSLATE(A24,""zh-tw"",""es-MX"")"),"Las armas de descarga eléctrica que entran en contacto con el agua... ya sabes lo que eso significa, incluso en días de lluvia.")</f>
        <v>Las armas de descarga eléctrica que entran en contacto con el agua... ya sabes lo que eso significa, incluso en días de lluvia.</v>
      </c>
      <c r="F24" s="506" t="str">
        <f>IFERROR(__xludf.DUMMYFUNCTION("GOOGLETRANSLATE(A24,""zh-tw"",""KO"")"),"전기 충격 무기가 물에 닿으면... 무슨 뜻인지 아시죠? 비 오는 날에도 마찬가지고요.")</f>
        <v>전기 충격 무기가 물에 닿으면... 무슨 뜻인지 아시죠? 비 오는 날에도 마찬가지고요.</v>
      </c>
      <c r="G24" s="156" t="s">
        <v>10969</v>
      </c>
      <c r="H24" s="505" t="s">
        <v>10970</v>
      </c>
      <c r="I24" s="199" t="s">
        <v>10971</v>
      </c>
      <c r="J24" s="506" t="s">
        <v>10972</v>
      </c>
      <c r="K24" s="118" t="s">
        <v>10973</v>
      </c>
      <c r="L24" s="506"/>
      <c r="M24" s="70"/>
      <c r="N24" s="70"/>
      <c r="O24" s="70"/>
      <c r="P24" s="70"/>
      <c r="Q24" s="70"/>
      <c r="R24" s="70"/>
      <c r="S24" s="70"/>
      <c r="T24" s="70"/>
      <c r="U24" s="70"/>
      <c r="V24" s="70"/>
      <c r="W24" s="70"/>
      <c r="X24" s="70"/>
      <c r="Y24" s="70"/>
    </row>
    <row r="25">
      <c r="A25" s="79" t="s">
        <v>10974</v>
      </c>
      <c r="B25" s="505" t="s">
        <v>10975</v>
      </c>
      <c r="C25" s="79" t="s">
        <v>10976</v>
      </c>
      <c r="D25" s="505" t="str">
        <f>IFERROR(__xludf.DUMMYFUNCTION("GOOGLETRANSLATE(A25,""zh-tw"",""zh"")"),"炸弹除了无视防御炸岩石、炸水面，还可以炸自己")</f>
        <v>炸弹除了无视防御炸岩石、炸水面，还可以炸自己</v>
      </c>
      <c r="E25" s="82" t="str">
        <f>IFERROR(__xludf.DUMMYFUNCTION("GOOGLETRANSLATE(A25,""zh-tw"",""es-MX"")"),"Además de ignorar las defensas y destruir rocas y agua, las bombas también pueden autodestruirse.")</f>
        <v>Además de ignorar las defensas y destruir rocas y agua, las bombas también pueden autodestruirse.</v>
      </c>
      <c r="F25" s="506" t="str">
        <f>IFERROR(__xludf.DUMMYFUNCTION("GOOGLETRANSLATE(A25,""zh-tw"",""KO"")"),"폭탄은 방어 시설을 무시하고 바위와 물을 폭파시키는 것 외에도 스스로 폭발할 수도 있습니다.")</f>
        <v>폭탄은 방어 시설을 무시하고 바위와 물을 폭파시키는 것 외에도 스스로 폭발할 수도 있습니다.</v>
      </c>
      <c r="G25" s="156" t="s">
        <v>10977</v>
      </c>
      <c r="H25" s="505" t="s">
        <v>10978</v>
      </c>
      <c r="I25" s="199" t="s">
        <v>10979</v>
      </c>
      <c r="J25" s="506" t="s">
        <v>10980</v>
      </c>
      <c r="K25" s="79" t="s">
        <v>10981</v>
      </c>
      <c r="L25" s="506"/>
      <c r="M25" s="70"/>
      <c r="N25" s="70"/>
      <c r="O25" s="70"/>
      <c r="P25" s="70"/>
      <c r="Q25" s="70"/>
      <c r="R25" s="70"/>
      <c r="S25" s="70"/>
      <c r="T25" s="70"/>
      <c r="U25" s="70"/>
      <c r="V25" s="70"/>
      <c r="W25" s="70"/>
      <c r="X25" s="70"/>
      <c r="Y25" s="70"/>
    </row>
    <row r="26">
      <c r="A26" s="79" t="s">
        <v>10982</v>
      </c>
      <c r="B26" s="505" t="s">
        <v>10983</v>
      </c>
      <c r="C26" s="79" t="s">
        <v>10984</v>
      </c>
      <c r="D26" s="505" t="s">
        <v>10985</v>
      </c>
      <c r="E26" s="82" t="str">
        <f>IFERROR(__xludf.DUMMYFUNCTION("GOOGLETRANSLATE(A26,""zh-tw"",""es-MX"")"),"He oído... que el Caballero huele muy bien, tal vez podamos tener buenas perspectivas de futuro.")</f>
        <v>He oído... que el Caballero huele muy bien, tal vez podamos tener buenas perspectivas de futuro.</v>
      </c>
      <c r="F26" s="506" t="str">
        <f>IFERROR(__xludf.DUMMYFUNCTION("GOOGLETRANSLATE(A26,""zh-tw"",""KO"")"),"기사에게서 정말 좋은 냄새가 난다고 들었어요. 어쩌면 미래를 기대할 수 있을지도 몰라요.")</f>
        <v>기사에게서 정말 좋은 냄새가 난다고 들었어요. 어쩌면 미래를 기대할 수 있을지도 몰라요.</v>
      </c>
      <c r="G26" s="156" t="s">
        <v>10986</v>
      </c>
      <c r="H26" s="505" t="s">
        <v>10987</v>
      </c>
      <c r="I26" s="199" t="s">
        <v>10988</v>
      </c>
      <c r="J26" s="506" t="s">
        <v>10989</v>
      </c>
      <c r="K26" s="118" t="s">
        <v>10990</v>
      </c>
      <c r="L26" s="506"/>
      <c r="M26" s="70"/>
      <c r="N26" s="70"/>
      <c r="O26" s="70"/>
      <c r="P26" s="70"/>
      <c r="Q26" s="70"/>
      <c r="R26" s="70"/>
      <c r="S26" s="70"/>
      <c r="T26" s="70"/>
      <c r="U26" s="70"/>
      <c r="V26" s="70"/>
      <c r="W26" s="70"/>
      <c r="X26" s="70"/>
      <c r="Y26" s="70"/>
    </row>
    <row r="27">
      <c r="A27" s="509" t="s">
        <v>10991</v>
      </c>
      <c r="B27" s="505" t="s">
        <v>10992</v>
      </c>
      <c r="C27" s="79" t="s">
        <v>10993</v>
      </c>
      <c r="D27" s="505" t="s">
        <v>10994</v>
      </c>
      <c r="E27" s="82" t="str">
        <f>IFERROR(__xludf.DUMMYFUNCTION("GOOGLETRANSLATE(A27,""zh-tw"",""es-MX"")"),"¿Qué talla de sujetador usa mi hermana? He oído que es G~H.")</f>
        <v>¿Qué talla de sujetador usa mi hermana? He oído que es G~H.</v>
      </c>
      <c r="F27" s="506" t="str">
        <f>IFERROR(__xludf.DUMMYFUNCTION("GOOGLETRANSLATE(A27,""zh-tw"",""KO"")"),"내 여동생 브라 사이즈가 어떻게 돼? G~H라고 들었어.")</f>
        <v>내 여동생 브라 사이즈가 어떻게 돼? G~H라고 들었어.</v>
      </c>
      <c r="G27" s="156" t="s">
        <v>10995</v>
      </c>
      <c r="H27" s="505" t="s">
        <v>10996</v>
      </c>
      <c r="I27" s="199" t="s">
        <v>10997</v>
      </c>
      <c r="J27" s="506" t="s">
        <v>10998</v>
      </c>
      <c r="K27" s="79" t="s">
        <v>10999</v>
      </c>
      <c r="L27" s="506"/>
      <c r="M27" s="70"/>
      <c r="N27" s="70"/>
      <c r="O27" s="70"/>
      <c r="P27" s="70"/>
      <c r="Q27" s="70"/>
      <c r="R27" s="70"/>
      <c r="S27" s="70"/>
      <c r="T27" s="70"/>
      <c r="U27" s="70"/>
      <c r="V27" s="70"/>
      <c r="W27" s="70"/>
      <c r="X27" s="70"/>
      <c r="Y27" s="70"/>
    </row>
    <row r="28">
      <c r="A28" s="79" t="s">
        <v>11000</v>
      </c>
      <c r="B28" s="505" t="s">
        <v>11001</v>
      </c>
      <c r="C28" s="79" t="s">
        <v>11002</v>
      </c>
      <c r="D28" s="505" t="str">
        <f>IFERROR(__xludf.DUMMYFUNCTION("GOOGLETRANSLATE(A28,""zh-tw"",""zh"")"),"当成为贤者的哥哥在胡思乱想时...")</f>
        <v>当成为贤者的哥哥在胡思乱想时...</v>
      </c>
      <c r="E28" s="82" t="str">
        <f>IFERROR(__xludf.DUMMYFUNCTION("GOOGLETRANSLATE(A28,""zh-tw"",""es-MX"")"),"Mientras tanto, el hermano mayor, ahora un sabio, estaba absorto en sus pensamientos...")</f>
        <v>Mientras tanto, el hermano mayor, ahora un sabio, estaba absorto en sus pensamientos...</v>
      </c>
      <c r="F28" s="506" t="str">
        <f>IFERROR(__xludf.DUMMYFUNCTION("GOOGLETRANSLATE(A28,""zh-tw"",""KO"")"),"이제 현자가 된 형은 깊은 생각에 잠겨 있었다...")</f>
        <v>이제 현자가 된 형은 깊은 생각에 잠겨 있었다...</v>
      </c>
      <c r="G28" s="156" t="s">
        <v>11003</v>
      </c>
      <c r="H28" s="505" t="s">
        <v>11004</v>
      </c>
      <c r="I28" s="199" t="s">
        <v>11005</v>
      </c>
      <c r="J28" s="506" t="s">
        <v>11006</v>
      </c>
      <c r="K28" s="118" t="s">
        <v>11007</v>
      </c>
      <c r="L28" s="506"/>
      <c r="M28" s="70"/>
      <c r="N28" s="70"/>
      <c r="O28" s="70"/>
      <c r="P28" s="70"/>
      <c r="Q28" s="70"/>
      <c r="R28" s="70"/>
      <c r="S28" s="70"/>
      <c r="T28" s="70"/>
      <c r="U28" s="70"/>
      <c r="V28" s="70"/>
      <c r="W28" s="70"/>
      <c r="X28" s="70"/>
      <c r="Y28" s="70"/>
    </row>
    <row r="29">
      <c r="A29" s="79" t="s">
        <v>11008</v>
      </c>
      <c r="B29" s="505" t="s">
        <v>11009</v>
      </c>
      <c r="C29" s="82" t="str">
        <f>IFERROR(__xludf.DUMMYFUNCTION("GOOGLETRANSLATE(A29,""zh-tw"",""en"")"),"When equipped with ""Girl's Smile"", the side effects of the Sage state will be ignored.")</f>
        <v>When equipped with "Girl's Smile", the side effects of the Sage state will be ignored.</v>
      </c>
      <c r="D29" s="505" t="str">
        <f>IFERROR(__xludf.DUMMYFUNCTION("GOOGLETRANSLATE(A29,""zh-tw"",""zh"")"),"当装备""少女的笑容""时，会无视贤者状态副作用")</f>
        <v>当装备"少女的笑容"时，会无视贤者状态副作用</v>
      </c>
      <c r="E29" s="82" t="str">
        <f>IFERROR(__xludf.DUMMYFUNCTION("GOOGLETRANSLATE(A29,""zh-tw"",""es-MX"")"),"Cuando se equipa con ""Sonrisa de chica"", los efectos secundarios del estado Sabio serán ignorados.")</f>
        <v>Cuando se equipa con "Sonrisa de chica", los efectos secundarios del estado Sabio serán ignorados.</v>
      </c>
      <c r="F29" s="506" t="str">
        <f>IFERROR(__xludf.DUMMYFUNCTION("GOOGLETRANSLATE(A29,""zh-tw"",""KO"")"),"""소녀의 미소""를 장착하면 현자 상태의 부작용이 무시됩니다.")</f>
        <v>"소녀의 미소"를 장착하면 현자 상태의 부작용이 무시됩니다.</v>
      </c>
      <c r="G29" s="156" t="s">
        <v>11010</v>
      </c>
      <c r="H29" s="505" t="s">
        <v>11011</v>
      </c>
      <c r="I29" s="199" t="s">
        <v>11012</v>
      </c>
      <c r="J29" s="506" t="s">
        <v>11013</v>
      </c>
      <c r="K29" s="118" t="s">
        <v>11014</v>
      </c>
      <c r="L29" s="506"/>
      <c r="M29" s="70"/>
      <c r="N29" s="70"/>
      <c r="O29" s="70"/>
      <c r="P29" s="70"/>
      <c r="Q29" s="70"/>
      <c r="R29" s="70"/>
      <c r="S29" s="70"/>
      <c r="T29" s="70"/>
      <c r="U29" s="70"/>
      <c r="V29" s="70"/>
      <c r="W29" s="70"/>
      <c r="X29" s="70"/>
      <c r="Y29" s="70"/>
    </row>
    <row r="30">
      <c r="A30" s="79" t="s">
        <v>11015</v>
      </c>
      <c r="B30" s="505" t="s">
        <v>11016</v>
      </c>
      <c r="C30" s="79" t="s">
        <v>11017</v>
      </c>
      <c r="D30" s="505" t="s">
        <v>11018</v>
      </c>
      <c r="E30" s="82" t="str">
        <f>IFERROR(__xludf.DUMMYFUNCTION("GOOGLETRANSLATE(A30,""zh-tw"",""es-MX"")"),"Las criaturas indescriptibles del inodoro tienen nombres diferentes en las distintas versiones lingüísticas.")</f>
        <v>Las criaturas indescriptibles del inodoro tienen nombres diferentes en las distintas versiones lingüísticas.</v>
      </c>
      <c r="F30" s="506" t="str">
        <f>IFERROR(__xludf.DUMMYFUNCTION("GOOGLETRANSLATE(A30,""zh-tw"",""KO"")"),"화장실에 있는 형언할 수 없는 생물들은 언어 버전에 따라 다른 이름으로 불립니다.")</f>
        <v>화장실에 있는 형언할 수 없는 생물들은 언어 버전에 따라 다른 이름으로 불립니다.</v>
      </c>
      <c r="G30" s="156" t="s">
        <v>11019</v>
      </c>
      <c r="H30" s="505" t="s">
        <v>11020</v>
      </c>
      <c r="I30" s="199" t="s">
        <v>11021</v>
      </c>
      <c r="J30" s="506" t="s">
        <v>11022</v>
      </c>
      <c r="K30" s="118" t="s">
        <v>11023</v>
      </c>
      <c r="L30" s="506"/>
      <c r="M30" s="70"/>
      <c r="N30" s="70"/>
      <c r="O30" s="70"/>
      <c r="P30" s="70"/>
      <c r="Q30" s="70"/>
      <c r="R30" s="70"/>
      <c r="S30" s="70"/>
      <c r="T30" s="70"/>
      <c r="U30" s="70"/>
      <c r="V30" s="70"/>
      <c r="W30" s="70"/>
      <c r="X30" s="70"/>
      <c r="Y30" s="70"/>
    </row>
    <row r="31">
      <c r="A31" s="79" t="s">
        <v>11024</v>
      </c>
      <c r="B31" s="505" t="s">
        <v>11025</v>
      </c>
      <c r="C31" s="79" t="s">
        <v>11026</v>
      </c>
      <c r="D31" s="505" t="str">
        <f>IFERROR(__xludf.DUMMYFUNCTION("GOOGLETRANSLATE(A31,""zh-tw"",""zh"")"),"在厕所的不可名状生物，其实是哥哥从深渊带回来的")</f>
        <v>在厕所的不可名状生物，其实是哥哥从深渊带回来的</v>
      </c>
      <c r="E31" s="82" t="str">
        <f>IFERROR(__xludf.DUMMYFUNCTION("GOOGLETRANSLATE(A31,""zh-tw"",""es-MX"")"),"La criatura indescriptible que encontré en el inodoro fue, en realidad, rescatada del abismo por mi hermano.")</f>
        <v>La criatura indescriptible que encontré en el inodoro fue, en realidad, rescatada del abismo por mi hermano.</v>
      </c>
      <c r="F31" s="506" t="str">
        <f>IFERROR(__xludf.DUMMYFUNCTION("GOOGLETRANSLATE(A31,""zh-tw"",""KO"")"),"화장실에 있던 형언할 수 없는 괴물은 사실 제 형이 심연에서 데려온 것입니다.")</f>
        <v>화장실에 있던 형언할 수 없는 괴물은 사실 제 형이 심연에서 데려온 것입니다.</v>
      </c>
      <c r="G31" s="156" t="s">
        <v>11027</v>
      </c>
      <c r="H31" s="505" t="s">
        <v>11028</v>
      </c>
      <c r="I31" s="199" t="s">
        <v>11029</v>
      </c>
      <c r="J31" s="506" t="s">
        <v>11030</v>
      </c>
      <c r="K31" s="118" t="s">
        <v>11031</v>
      </c>
      <c r="L31" s="506"/>
      <c r="M31" s="70"/>
      <c r="N31" s="70"/>
      <c r="O31" s="70"/>
      <c r="P31" s="70"/>
      <c r="Q31" s="70"/>
      <c r="R31" s="70"/>
      <c r="S31" s="70"/>
      <c r="T31" s="70"/>
      <c r="U31" s="70"/>
      <c r="V31" s="70"/>
      <c r="W31" s="70"/>
      <c r="X31" s="70"/>
      <c r="Y31" s="70"/>
    </row>
    <row r="32">
      <c r="A32" s="79" t="s">
        <v>11032</v>
      </c>
      <c r="B32" s="505" t="s">
        <v>11033</v>
      </c>
      <c r="C32" s="79" t="s">
        <v>11034</v>
      </c>
      <c r="D32" s="505" t="str">
        <f>IFERROR(__xludf.DUMMYFUNCTION("GOOGLETRANSLATE(A32,""zh-tw"",""zh"")"),"在雨天修理饮料贩卖机的人是谁呢?目前仍是个谜")</f>
        <v>在雨天修理饮料贩卖机的人是谁呢?目前仍是个谜</v>
      </c>
      <c r="E32" s="82" t="str">
        <f>IFERROR(__xludf.DUMMYFUNCTION("GOOGLETRANSLATE(A32,""zh-tw"",""es-MX"")"),"¿Quién reparó la máquina expendedora bajo la lluvia? Eso sigue siendo un misterio.")</f>
        <v>¿Quién reparó la máquina expendedora bajo la lluvia? Eso sigue siendo un misterio.</v>
      </c>
      <c r="F32" s="506" t="str">
        <f>IFERROR(__xludf.DUMMYFUNCTION("GOOGLETRANSLATE(A32,""zh-tw"",""KO"")"),"누가 빗속에서 자판기를 고쳤을까? 그건 여전히 미스터리다.")</f>
        <v>누가 빗속에서 자판기를 고쳤을까? 그건 여전히 미스터리다.</v>
      </c>
      <c r="G32" s="156" t="s">
        <v>11035</v>
      </c>
      <c r="H32" s="505" t="s">
        <v>11036</v>
      </c>
      <c r="I32" s="199" t="s">
        <v>11037</v>
      </c>
      <c r="J32" s="506" t="s">
        <v>11038</v>
      </c>
      <c r="K32" s="118" t="s">
        <v>11039</v>
      </c>
      <c r="L32" s="506"/>
      <c r="M32" s="70"/>
      <c r="N32" s="70"/>
      <c r="O32" s="70"/>
      <c r="P32" s="70"/>
      <c r="Q32" s="70"/>
      <c r="R32" s="70"/>
      <c r="S32" s="70"/>
      <c r="T32" s="70"/>
      <c r="U32" s="70"/>
      <c r="V32" s="70"/>
      <c r="W32" s="70"/>
      <c r="X32" s="70"/>
      <c r="Y32" s="70"/>
    </row>
    <row r="33">
      <c r="A33" s="79" t="s">
        <v>11040</v>
      </c>
      <c r="B33" s="505" t="s">
        <v>11041</v>
      </c>
      <c r="C33" s="79" t="s">
        <v>11042</v>
      </c>
      <c r="D33" s="505" t="str">
        <f>IFERROR(__xludf.DUMMYFUNCTION("GOOGLETRANSLATE(A33,""zh-tw"",""zh"")"),"早上可透过窗外状况，得知外出时的天气")</f>
        <v>早上可透过窗外状况，得知外出时的天气</v>
      </c>
      <c r="E33" s="82" t="str">
        <f>IFERROR(__xludf.DUMMYFUNCTION("GOOGLETRANSLATE(A33,""zh-tw"",""es-MX"")"),"Por la mañana, puedes consultar el pronóstico del tiempo fuera de la ventana para saber qué tiempo hará cuando salgas.")</f>
        <v>Por la mañana, puedes consultar el pronóstico del tiempo fuera de la ventana para saber qué tiempo hará cuando salgas.</v>
      </c>
      <c r="F33" s="506" t="str">
        <f>IFERROR(__xludf.DUMMYFUNCTION("GOOGLETRANSLATE(A33,""zh-tw"",""KO"")"),"아침에 창밖 날씨를 확인하면 외출할 때 날씨가 어떨지 알 수 있습니다.")</f>
        <v>아침에 창밖 날씨를 확인하면 외출할 때 날씨가 어떨지 알 수 있습니다.</v>
      </c>
      <c r="G33" s="156" t="s">
        <v>11043</v>
      </c>
      <c r="H33" s="505" t="s">
        <v>11044</v>
      </c>
      <c r="I33" s="199" t="s">
        <v>11045</v>
      </c>
      <c r="J33" s="506" t="s">
        <v>11046</v>
      </c>
      <c r="K33" s="118" t="s">
        <v>11047</v>
      </c>
      <c r="L33" s="506"/>
      <c r="M33" s="70"/>
      <c r="N33" s="70"/>
      <c r="O33" s="70"/>
      <c r="P33" s="70"/>
      <c r="Q33" s="70"/>
      <c r="R33" s="70"/>
      <c r="S33" s="70"/>
      <c r="T33" s="70"/>
      <c r="U33" s="70"/>
      <c r="V33" s="70"/>
      <c r="W33" s="70"/>
      <c r="X33" s="70"/>
      <c r="Y33" s="70"/>
    </row>
    <row r="34">
      <c r="A34" s="79" t="s">
        <v>11048</v>
      </c>
      <c r="B34" s="505" t="s">
        <v>11049</v>
      </c>
      <c r="C34" s="79" t="s">
        <v>11050</v>
      </c>
      <c r="D34" s="505" t="s">
        <v>11051</v>
      </c>
      <c r="E34" s="82" t="str">
        <f>IFERROR(__xludf.DUMMYFUNCTION("GOOGLETRANSLATE(A34,""zh-tw"",""es-MX"")"),"Cuanto más adorable sea la criatura, mayor suele ser su poder de ataque.")</f>
        <v>Cuanto más adorable sea la criatura, mayor suele ser su poder de ataque.</v>
      </c>
      <c r="F34" s="506" t="str">
        <f>IFERROR(__xludf.DUMMYFUNCTION("GOOGLETRANSLATE(A34,""zh-tw"",""KO"")"),"생물이 귀여울수록 공격력이 높은 경우가 많습니다.")</f>
        <v>생물이 귀여울수록 공격력이 높은 경우가 많습니다.</v>
      </c>
      <c r="G34" s="156" t="s">
        <v>11052</v>
      </c>
      <c r="H34" s="505" t="s">
        <v>11053</v>
      </c>
      <c r="I34" s="199" t="s">
        <v>11054</v>
      </c>
      <c r="J34" s="506" t="s">
        <v>11055</v>
      </c>
      <c r="K34" s="118" t="s">
        <v>11056</v>
      </c>
      <c r="L34" s="506"/>
      <c r="M34" s="70"/>
      <c r="N34" s="70"/>
      <c r="O34" s="70"/>
      <c r="P34" s="70"/>
      <c r="Q34" s="70"/>
      <c r="R34" s="70"/>
      <c r="S34" s="70"/>
      <c r="T34" s="70"/>
      <c r="U34" s="70"/>
      <c r="V34" s="70"/>
      <c r="W34" s="70"/>
      <c r="X34" s="70"/>
      <c r="Y34" s="70"/>
    </row>
    <row r="35">
      <c r="A35" s="79" t="s">
        <v>11057</v>
      </c>
      <c r="B35" s="505" t="s">
        <v>11058</v>
      </c>
      <c r="C35" s="79" t="s">
        <v>11059</v>
      </c>
      <c r="D35" s="505" t="str">
        <f>IFERROR(__xludf.DUMMYFUNCTION("GOOGLETRANSLATE(A35,""zh-tw"",""zh"")"),"厕所沉思中的&lt;42&gt;
出自道格拉斯·亚当斯所作的小说《银河系漫游指南》中「生命、宇宙以及任何事物的终极答案」的答案")</f>
        <v>厕所沉思中的&lt;42&gt;
出自道格拉斯·亚当斯所作的小说《银河系漫游指南》中「生命、宇宙以及任何事物的终极答案」的答案</v>
      </c>
      <c r="E35" s="82" t="str">
        <f>IFERROR(__xludf.DUMMYFUNCTION("GOOGLETRANSLATE(A35,""zh-tw"",""es-MX"")"),"&lt;42&gt;, un pensamiento en el baño, es la respuesta a la pregunta ""la respuesta definitiva a la vida, el universo y todo lo demás"" de la novela de Douglas Adams *La guía del autoestopista galáctico*.")</f>
        <v>&lt;42&gt;, un pensamiento en el baño, es la respuesta a la pregunta "la respuesta definitiva a la vida, el universo y todo lo demás" de la novela de Douglas Adams *La guía del autoestopista galáctico*.</v>
      </c>
      <c r="F35" s="506" t="str">
        <f>IFERROR(__xludf.DUMMYFUNCTION("GOOGLETRANSLATE(A35,""zh-tw"",""KO"")"),"&lt;42&gt;, 화장실에서의 생각은 더글러스 애덤스의 소설 *은하수를 여행하는 히치하이커를 위한 안내서*에 나오는 ""삶, 우주, 그리고 모든 것에 대한 궁극적인 답""이라는 질문에 대한 답입니다.")</f>
        <v>&lt;42&gt;, 화장실에서의 생각은 더글러스 애덤스의 소설 *은하수를 여행하는 히치하이커를 위한 안내서*에 나오는 "삶, 우주, 그리고 모든 것에 대한 궁극적인 답"이라는 질문에 대한 답입니다.</v>
      </c>
      <c r="G35" s="156" t="s">
        <v>11060</v>
      </c>
      <c r="H35" s="505" t="s">
        <v>11061</v>
      </c>
      <c r="I35" s="146" t="s">
        <v>11062</v>
      </c>
      <c r="J35" s="506" t="s">
        <v>11063</v>
      </c>
      <c r="K35" s="118" t="s">
        <v>11064</v>
      </c>
      <c r="L35" s="506"/>
      <c r="M35" s="70"/>
      <c r="N35" s="70"/>
      <c r="O35" s="70"/>
      <c r="P35" s="70"/>
      <c r="Q35" s="70"/>
      <c r="R35" s="70"/>
      <c r="S35" s="70"/>
      <c r="T35" s="70"/>
      <c r="U35" s="70"/>
      <c r="V35" s="70"/>
      <c r="W35" s="70"/>
      <c r="X35" s="70"/>
      <c r="Y35" s="70"/>
    </row>
    <row r="36">
      <c r="A36" s="79" t="s">
        <v>11065</v>
      </c>
      <c r="B36" s="505" t="s">
        <v>11066</v>
      </c>
      <c r="C36" s="79" t="s">
        <v>11067</v>
      </c>
      <c r="D36" s="505" t="str">
        <f>IFERROR(__xludf.DUMMYFUNCTION("GOOGLETRANSLATE(A36,""zh-tw"",""zh"")"),"一个水怪黏液大约等于两个史莱姆黏液")</f>
        <v>一个水怪黏液大约等于两个史莱姆黏液</v>
      </c>
      <c r="E36" s="82" t="str">
        <f>IFERROR(__xludf.DUMMYFUNCTION("GOOGLETRANSLATE(A36,""zh-tw"",""es-MX"")"),"Un monstruo de agua viscoso es aproximadamente equivalente a dos limos viscosos.")</f>
        <v>Un monstruo de agua viscoso es aproximadamente equivalente a dos limos viscosos.</v>
      </c>
      <c r="F36" s="506" t="str">
        <f>IFERROR(__xludf.DUMMYFUNCTION("GOOGLETRANSLATE(A36,""zh-tw"",""KO"")"),"물 괴물 슬라임 하나는 일반 슬라임 두 개와 거의 같습니다.")</f>
        <v>물 괴물 슬라임 하나는 일반 슬라임 두 개와 거의 같습니다.</v>
      </c>
      <c r="G36" s="156" t="s">
        <v>11068</v>
      </c>
      <c r="H36" s="505" t="s">
        <v>11069</v>
      </c>
      <c r="I36" s="199" t="s">
        <v>11070</v>
      </c>
      <c r="J36" s="506" t="s">
        <v>11071</v>
      </c>
      <c r="K36" s="118" t="s">
        <v>11072</v>
      </c>
      <c r="L36" s="506"/>
      <c r="M36" s="70"/>
      <c r="N36" s="70"/>
      <c r="O36" s="70"/>
      <c r="P36" s="70"/>
      <c r="Q36" s="70"/>
      <c r="R36" s="70"/>
      <c r="S36" s="70"/>
      <c r="T36" s="70"/>
      <c r="U36" s="70"/>
      <c r="V36" s="70"/>
      <c r="W36" s="70"/>
      <c r="X36" s="70"/>
      <c r="Y36" s="70"/>
    </row>
    <row r="37">
      <c r="A37" s="79" t="s">
        <v>11073</v>
      </c>
      <c r="B37" s="505" t="s">
        <v>11074</v>
      </c>
      <c r="C37" s="79" t="s">
        <v>11075</v>
      </c>
      <c r="D37" s="505" t="str">
        <f>IFERROR(__xludf.DUMMYFUNCTION("GOOGLETRANSLATE(A37,""zh-tw"",""zh"")"),"遗迹BOSS每七天会重生，而且每次重生会更强，也可以使用""世界""塔罗牌")</f>
        <v>遗迹BOSS每七天会重生，而且每次重生会更强，也可以使用"世界"塔罗牌</v>
      </c>
      <c r="E37" s="82" t="str">
        <f>IFERROR(__xludf.DUMMYFUNCTION("GOOGLETRANSLATE(A37,""zh-tw"",""es-MX"")"),"El jefe de las Ruinas reaparece cada siete días, volviéndose más fuerte con cada reaparición. También se puede usar la carta del Tarot ""El Mundo"".")</f>
        <v>El jefe de las Ruinas reaparece cada siete días, volviéndose más fuerte con cada reaparición. También se puede usar la carta del Tarot "El Mundo".</v>
      </c>
      <c r="F37" s="506" t="str">
        <f>IFERROR(__xludf.DUMMYFUNCTION("GOOGLETRANSLATE(A37,""zh-tw"",""KO"")"),"유적 보스는 7일마다 다시 나타나며, 나타날 때마다 더 강해집니다. ""세계"" 타로 카드도 사용할 수 있습니다.")</f>
        <v>유적 보스는 7일마다 다시 나타나며, 나타날 때마다 더 강해집니다. "세계" 타로 카드도 사용할 수 있습니다.</v>
      </c>
      <c r="G37" s="156" t="s">
        <v>11076</v>
      </c>
      <c r="H37" s="505" t="s">
        <v>11077</v>
      </c>
      <c r="I37" s="199" t="s">
        <v>11078</v>
      </c>
      <c r="J37" s="506" t="s">
        <v>11079</v>
      </c>
      <c r="K37" s="118" t="s">
        <v>11080</v>
      </c>
      <c r="L37" s="506"/>
      <c r="M37" s="70"/>
      <c r="N37" s="70"/>
      <c r="O37" s="70"/>
      <c r="P37" s="70"/>
      <c r="Q37" s="70"/>
      <c r="R37" s="70"/>
      <c r="S37" s="70"/>
      <c r="T37" s="70"/>
      <c r="U37" s="70"/>
      <c r="V37" s="70"/>
      <c r="W37" s="70"/>
      <c r="X37" s="70"/>
      <c r="Y37" s="70"/>
    </row>
    <row r="38">
      <c r="A38" s="79" t="s">
        <v>11081</v>
      </c>
      <c r="B38" s="505" t="s">
        <v>11082</v>
      </c>
      <c r="C38" s="79" t="s">
        <v>11083</v>
      </c>
      <c r="D38" s="505" t="s">
        <v>11084</v>
      </c>
      <c r="E38" s="82" t="str">
        <f>IFERROR(__xludf.DUMMYFUNCTION("GOOGLETRANSLATE(A38,""zh-tw"",""es-MX"")"),"¿Es demasiado difícil derrotar al jefe de las Ruinas? Podrías intentar pararte al borde de un precipicio y comportarte como un forastero despreciable.")</f>
        <v>¿Es demasiado difícil derrotar al jefe de las Ruinas? Podrías intentar pararte al borde de un precipicio y comportarte como un forastero despreciable.</v>
      </c>
      <c r="F38" s="506" t="str">
        <f>IFERROR(__xludf.DUMMYFUNCTION("GOOGLETRANSLATE(A38,""zh-tw"",""KO"")"),"유적 보스가 너무 어려워서 쓰러뜨리기 힘드신가요? 절벽 끝에 서서 비열한 외부인처럼 행동해 보세요.")</f>
        <v>유적 보스가 너무 어려워서 쓰러뜨리기 힘드신가요? 절벽 끝에 서서 비열한 외부인처럼 행동해 보세요.</v>
      </c>
      <c r="G38" s="156" t="s">
        <v>11085</v>
      </c>
      <c r="H38" s="505" t="s">
        <v>11086</v>
      </c>
      <c r="I38" s="199" t="s">
        <v>11087</v>
      </c>
      <c r="J38" s="506" t="s">
        <v>11088</v>
      </c>
      <c r="K38" s="118" t="s">
        <v>11089</v>
      </c>
      <c r="L38" s="506"/>
      <c r="M38" s="70"/>
      <c r="N38" s="70"/>
      <c r="O38" s="70"/>
      <c r="P38" s="70"/>
      <c r="Q38" s="70"/>
      <c r="R38" s="70"/>
      <c r="S38" s="70"/>
      <c r="T38" s="70"/>
      <c r="U38" s="70"/>
      <c r="V38" s="70"/>
      <c r="W38" s="70"/>
      <c r="X38" s="70"/>
      <c r="Y38" s="70"/>
    </row>
    <row r="39">
      <c r="A39" s="79" t="s">
        <v>11090</v>
      </c>
      <c r="B39" s="505" t="s">
        <v>11091</v>
      </c>
      <c r="C39" s="79" t="s">
        <v>11092</v>
      </c>
      <c r="D39" s="505" t="s">
        <v>11093</v>
      </c>
      <c r="E39" s="82" t="str">
        <f>IFERROR(__xludf.DUMMYFUNCTION("GOOGLETRANSLATE(A39,""zh-tw"",""es-MX"")"),"Los efectos que aumentan la velocidad de ataque (por ejemplo, los Guantes de Pata de Gato) también potenciarán los efectos mágicos.")</f>
        <v>Los efectos que aumentan la velocidad de ataque (por ejemplo, los Guantes de Pata de Gato) también potenciarán los efectos mágicos.</v>
      </c>
      <c r="F39" s="506" t="str">
        <f>IFERROR(__xludf.DUMMYFUNCTION("GOOGLETRANSLATE(A39,""zh-tw"",""KO"")"),"공격 속도를 증가시키는 효과(예: 고양이 발 장갑)는 마법 효과도 강화합니다.")</f>
        <v>공격 속도를 증가시키는 효과(예: 고양이 발 장갑)는 마법 효과도 강화합니다.</v>
      </c>
      <c r="G39" s="156" t="s">
        <v>11094</v>
      </c>
      <c r="H39" s="506" t="str">
        <f>IFERROR(__xludf.DUMMYFUNCTION("GOOGLETRANSLATE(A39,""zh-tw"",""de"")"),"Effekte, die die Angriffsgeschwindigkeit erhöhen (z. B. Katzenpfotenhandschuhe), verstärken auch magische Effekte.")</f>
        <v>Effekte, die die Angriffsgeschwindigkeit erhöhen (z. B. Katzenpfotenhandschuhe), verstärken auch magische Effekte.</v>
      </c>
      <c r="I39" s="199" t="s">
        <v>11095</v>
      </c>
      <c r="J39" s="506" t="s">
        <v>11096</v>
      </c>
      <c r="K39" s="118" t="s">
        <v>11097</v>
      </c>
      <c r="L39" s="506"/>
      <c r="M39" s="70"/>
      <c r="N39" s="70"/>
      <c r="O39" s="70"/>
      <c r="P39" s="70"/>
      <c r="Q39" s="70"/>
      <c r="R39" s="70"/>
      <c r="S39" s="70"/>
      <c r="T39" s="70"/>
      <c r="U39" s="70"/>
      <c r="V39" s="70"/>
      <c r="W39" s="70"/>
      <c r="X39" s="70"/>
      <c r="Y39" s="70"/>
    </row>
    <row r="40">
      <c r="A40" s="79" t="s">
        <v>11098</v>
      </c>
      <c r="B40" s="505" t="s">
        <v>11099</v>
      </c>
      <c r="C40" s="79" t="s">
        <v>11100</v>
      </c>
      <c r="D40" s="505" t="str">
        <f>IFERROR(__xludf.DUMMYFUNCTION("GOOGLETRANSLATE(A40,""zh-tw"",""zh"")"),"加强命中的效果(例如:堕落法师的手套)，以后也会使魔法获得效果，多穿几件还会增加更多")</f>
        <v>加强命中的效果(例如:堕落法师的手套)，以后也会使魔法获得效果，多穿几件还会增加更多</v>
      </c>
      <c r="E40" s="82" t="str">
        <f>IFERROR(__xludf.DUMMYFUNCTION("GOOGLETRANSLATE(A40,""zh-tw"",""es-MX"")"),"Mejorar la precisión (por ejemplo, con los Guantes del Mago Caído) también otorgará efectos adicionales a los hechizos; usar varias piezas aumentará aún más este efecto.")</f>
        <v>Mejorar la precisión (por ejemplo, con los Guantes del Mago Caído) también otorgará efectos adicionales a los hechizos; usar varias piezas aumentará aún más este efecto.</v>
      </c>
      <c r="F40" s="506" t="str">
        <f>IFERROR(__xludf.DUMMYFUNCTION("GOOGLETRANSLATE(A40,""zh-tw"",""KO"")"),"적중률을 높여주는 아이템(예: 타락한 마법사의 장갑)은 주문에 추가적인 효과를 부여하며, 여러 아이템을 착용하면 이 효과가 더욱 커집니다.")</f>
        <v>적중률을 높여주는 아이템(예: 타락한 마법사의 장갑)은 주문에 추가적인 효과를 부여하며, 여러 아이템을 착용하면 이 효과가 더욱 커집니다.</v>
      </c>
      <c r="G40" s="156" t="s">
        <v>11101</v>
      </c>
      <c r="H40" s="506" t="str">
        <f>IFERROR(__xludf.DUMMYFUNCTION("GOOGLETRANSLATE(A40,""zh-tw"",""de"")"),"Eine Erhöhung der Trefferquote (z. B. durch die Handschuhe des gefallenen Magiers) verleiht Zaubern auch zusätzliche Effekte; das Tragen mehrerer Ausrüstungsteile verstärkt diesen Effekt noch weiter.")</f>
        <v>Eine Erhöhung der Trefferquote (z. B. durch die Handschuhe des gefallenen Magiers) verleiht Zaubern auch zusätzliche Effekte; das Tragen mehrerer Ausrüstungsteile verstärkt diesen Effekt noch weiter.</v>
      </c>
      <c r="I40" s="199" t="s">
        <v>11102</v>
      </c>
      <c r="J40" s="506" t="s">
        <v>11103</v>
      </c>
      <c r="K40" s="118" t="s">
        <v>11104</v>
      </c>
      <c r="L40" s="506"/>
      <c r="M40" s="70"/>
      <c r="N40" s="70"/>
      <c r="O40" s="70"/>
      <c r="P40" s="70"/>
      <c r="Q40" s="70"/>
      <c r="R40" s="70"/>
      <c r="S40" s="70"/>
      <c r="T40" s="70"/>
      <c r="U40" s="70"/>
      <c r="V40" s="70"/>
      <c r="W40" s="70"/>
      <c r="X40" s="70"/>
      <c r="Y40" s="70"/>
    </row>
    <row r="41">
      <c r="A41" s="79" t="s">
        <v>11105</v>
      </c>
      <c r="B41" s="505" t="s">
        <v>11106</v>
      </c>
      <c r="C41" s="79" t="s">
        <v>11107</v>
      </c>
      <c r="D41" s="505" t="str">
        <f>IFERROR(__xludf.DUMMYFUNCTION("GOOGLETRANSLATE(A41,""zh-tw"",""zh"")"),"遗迹BOSS房间，底下悬崖有个秘密地点，想办法过去吧!
提示:移动型道具 / 加速型道具+技能")</f>
        <v>遗迹BOSS房间，底下悬崖有个秘密地点，想办法过去吧!
提示:移动型道具 / 加速型道具+技能</v>
      </c>
      <c r="E41" s="82" t="str">
        <f>IFERROR(__xludf.DUMMYFUNCTION("GOOGLETRANSLATE(A41,""zh-tw"",""es-MX"")"),"En la sala del JEFE de las Ruinas, hay un lugar secreto en el acantilado de abajo. ¡Descubre cómo llegar! Pista: Objetos de movimiento / Objetos de aceleración + Habilidades")</f>
        <v>En la sala del JEFE de las Ruinas, hay un lugar secreto en el acantilado de abajo. ¡Descubre cómo llegar! Pista: Objetos de movimiento / Objetos de aceleración + Habilidades</v>
      </c>
      <c r="F41" s="506" t="str">
        <f>IFERROR(__xludf.DUMMYFUNCTION("GOOGLETRANSLATE(A41,""zh-tw"",""KO"")"),"폐허 보스 방에는 아래 절벽에 비밀 장소가 있습니다. 그곳에 가는 방법을 알아내세요! 힌트: 이동 아이템/속도 증가 아이템 + 스킬")</f>
        <v>폐허 보스 방에는 아래 절벽에 비밀 장소가 있습니다. 그곳에 가는 방법을 알아내세요! 힌트: 이동 아이템/속도 증가 아이템 + 스킬</v>
      </c>
      <c r="G41" s="156" t="s">
        <v>11108</v>
      </c>
      <c r="H41" s="506" t="str">
        <f>IFERROR(__xludf.DUMMYFUNCTION("GOOGLETRANSLATE(A41,""zh-tw"",""de"")"),"Im Bossraum der Ruinen befindet sich ein geheimer Ort an der Klippe darunter. Finde heraus, wie du dorthin gelangst! Tipp: Bewegungsgegenstände/Gegenstände zur Beschleunigung + Fähigkeiten")</f>
        <v>Im Bossraum der Ruinen befindet sich ein geheimer Ort an der Klippe darunter. Finde heraus, wie du dorthin gelangst! Tipp: Bewegungsgegenstände/Gegenstände zur Beschleunigung + Fähigkeiten</v>
      </c>
      <c r="I41" s="199" t="s">
        <v>11109</v>
      </c>
      <c r="J41" s="506" t="s">
        <v>11110</v>
      </c>
      <c r="K41" s="118" t="s">
        <v>11111</v>
      </c>
      <c r="L41" s="506"/>
      <c r="M41" s="70"/>
      <c r="N41" s="70"/>
      <c r="O41" s="70"/>
      <c r="P41" s="70"/>
      <c r="Q41" s="70"/>
      <c r="R41" s="70"/>
      <c r="S41" s="70"/>
      <c r="T41" s="70"/>
      <c r="U41" s="70"/>
      <c r="V41" s="70"/>
      <c r="W41" s="70"/>
      <c r="X41" s="70"/>
      <c r="Y41" s="70"/>
    </row>
    <row r="42">
      <c r="A42" s="79" t="s">
        <v>11112</v>
      </c>
      <c r="B42" s="505" t="s">
        <v>11113</v>
      </c>
      <c r="C42" s="79" t="s">
        <v>11114</v>
      </c>
      <c r="D42" s="505" t="str">
        <f>IFERROR(__xludf.DUMMYFUNCTION("GOOGLETRANSLATE(A42,""zh-tw"",""zh"")"),"利用道具，不只能和怪物，也能使NPC交换位置")</f>
        <v>利用道具，不只能和怪物，也能使NPC交换位置</v>
      </c>
      <c r="E42" s="82" t="str">
        <f>IFERROR(__xludf.DUMMYFUNCTION("GOOGLETRANSLATE(A42,""zh-tw"",""es-MX"")"),"Mediante el uso de objetos, no solo puedes intercambiar posiciones con los monstruos, sino también con los PNJ (personajes no jugables).")</f>
        <v>Mediante el uso de objetos, no solo puedes intercambiar posiciones con los monstruos, sino también con los PNJ (personajes no jugables).</v>
      </c>
      <c r="F42" s="506" t="str">
        <f>IFERROR(__xludf.DUMMYFUNCTION("GOOGLETRANSLATE(A42,""zh-tw"",""KO"")"),"아이템을 사용하면 몬스터뿐만 아니라 NPC와도 위치를 바꿀 수 있습니다.")</f>
        <v>아이템을 사용하면 몬스터뿐만 아니라 NPC와도 위치를 바꿀 수 있습니다.</v>
      </c>
      <c r="G42" s="156" t="s">
        <v>11115</v>
      </c>
      <c r="H42" s="506" t="str">
        <f>IFERROR(__xludf.DUMMYFUNCTION("GOOGLETRANSLATE(A42,""zh-tw"",""de"")"),"Mithilfe von Gegenständen kann man nicht nur mit Monstern, sondern auch mit NPCs die Position tauschen.")</f>
        <v>Mithilfe von Gegenständen kann man nicht nur mit Monstern, sondern auch mit NPCs die Position tauschen.</v>
      </c>
      <c r="I42" s="199" t="s">
        <v>11116</v>
      </c>
      <c r="J42" s="506" t="s">
        <v>11117</v>
      </c>
      <c r="K42" s="118" t="s">
        <v>11118</v>
      </c>
      <c r="L42" s="506"/>
      <c r="M42" s="70"/>
      <c r="N42" s="70"/>
      <c r="O42" s="70"/>
      <c r="P42" s="70"/>
      <c r="Q42" s="70"/>
      <c r="R42" s="70"/>
      <c r="S42" s="70"/>
      <c r="T42" s="70"/>
      <c r="U42" s="70"/>
      <c r="V42" s="70"/>
      <c r="W42" s="70"/>
      <c r="X42" s="70"/>
      <c r="Y42" s="70"/>
    </row>
    <row r="43">
      <c r="A43" s="79" t="s">
        <v>11119</v>
      </c>
      <c r="B43" s="505" t="s">
        <v>11120</v>
      </c>
      <c r="C43" s="79" t="s">
        <v>11121</v>
      </c>
      <c r="D43" s="505" t="s">
        <v>11122</v>
      </c>
      <c r="E43" s="82" t="str">
        <f>IFERROR(__xludf.DUMMYFUNCTION("GOOGLETRANSLATE(A43,""zh-tw"",""es-MX"")"),"Los monstruos también tienen sentido del olfato, y algunos huyen ante un mal olor.")</f>
        <v>Los monstruos también tienen sentido del olfato, y algunos huyen ante un mal olor.</v>
      </c>
      <c r="F43" s="506" t="str">
        <f>IFERROR(__xludf.DUMMYFUNCTION("GOOGLETRANSLATE(A43,""zh-tw"",""KO"")"),"괴물들도 후각을 가지고 있으며, 일부 괴물들은 악취를 맡으면 도망칩니다.")</f>
        <v>괴물들도 후각을 가지고 있으며, 일부 괴물들은 악취를 맡으면 도망칩니다.</v>
      </c>
      <c r="G43" s="156" t="s">
        <v>11123</v>
      </c>
      <c r="H43" s="506" t="str">
        <f>IFERROR(__xludf.DUMMYFUNCTION("GOOGLETRANSLATE(A43,""zh-tw"",""de"")"),"Auch Monster besitzen einen Geruchssinn, und manche Monster fliehen vor einem üblen Geruch.")</f>
        <v>Auch Monster besitzen einen Geruchssinn, und manche Monster fliehen vor einem üblen Geruch.</v>
      </c>
      <c r="I43" s="199" t="s">
        <v>11124</v>
      </c>
      <c r="J43" s="506" t="s">
        <v>11125</v>
      </c>
      <c r="K43" s="118" t="s">
        <v>11126</v>
      </c>
      <c r="L43" s="506"/>
      <c r="M43" s="70"/>
      <c r="N43" s="70"/>
      <c r="O43" s="70"/>
      <c r="P43" s="70"/>
      <c r="Q43" s="70"/>
      <c r="R43" s="70"/>
      <c r="S43" s="70"/>
      <c r="T43" s="70"/>
      <c r="U43" s="70"/>
      <c r="V43" s="70"/>
      <c r="W43" s="70"/>
      <c r="X43" s="70"/>
      <c r="Y43" s="70"/>
    </row>
    <row r="44">
      <c r="A44" s="79" t="s">
        <v>11127</v>
      </c>
      <c r="B44" s="505" t="s">
        <v>11128</v>
      </c>
      <c r="C44" s="79" t="s">
        <v>11129</v>
      </c>
      <c r="D44" s="505" t="str">
        <f>IFERROR(__xludf.DUMMYFUNCTION("GOOGLETRANSLATE(A44,""zh-tw"",""zh"")"),"当妹妹玩游戏时，可以对妹妹恶作剧。
若要触发特殊的开腿选项，需要先完成DLC的任务")</f>
        <v>当妹妹玩游戏时，可以对妹妹恶作剧。
若要触发特殊的开腿选项，需要先完成DLC的任务</v>
      </c>
      <c r="E44" s="82" t="str">
        <f>IFERROR(__xludf.DUMMYFUNCTION("GOOGLETRANSLATE(A44,""zh-tw"",""es-MX"")"),"Puedes gastarle bromas a tu hermana mientras juega.
Para activar la opción especial de abrir las piernas, primero debes completar la misión del DLC.")</f>
        <v>Puedes gastarle bromas a tu hermana mientras juega.
Para activar la opción especial de abrir las piernas, primero debes completar la misión del DLC.</v>
      </c>
      <c r="F44" s="506" t="str">
        <f>IFERROR(__xludf.DUMMYFUNCTION("GOOGLETRANSLATE(A44,""zh-tw"",""KO"")"),"여동생이 게임하는 동안 장난을 칠 수 있습니다.
특별한 다리 벌리기 옵션을 사용하려면 먼저 DLC 미션을 완료해야 합니다.")</f>
        <v>여동생이 게임하는 동안 장난을 칠 수 있습니다.
특별한 다리 벌리기 옵션을 사용하려면 먼저 DLC 미션을 완료해야 합니다.</v>
      </c>
      <c r="G44" s="130" t="s">
        <v>11130</v>
      </c>
      <c r="H44" s="506" t="str">
        <f>IFERROR(__xludf.DUMMYFUNCTION("GOOGLETRANSLATE(A44,""zh-tw"",""de"")"),"Du kannst deiner Schwester Streiche spielen, während sie spielt.
Um die Option zum Spreizen der Beine freizuschalten, musst du zuerst die DLC-Mission abschließen.")</f>
        <v>Du kannst deiner Schwester Streiche spielen, während sie spielt.
Um die Option zum Spreizen der Beine freizuschalten, musst du zuerst die DLC-Mission abschließen.</v>
      </c>
      <c r="I44" s="199" t="s">
        <v>11131</v>
      </c>
      <c r="J44" s="506" t="s">
        <v>11132</v>
      </c>
      <c r="K44" s="118" t="s">
        <v>11133</v>
      </c>
      <c r="L44" s="506"/>
      <c r="M44" s="70"/>
      <c r="N44" s="70"/>
      <c r="O44" s="70"/>
      <c r="P44" s="70"/>
      <c r="Q44" s="70"/>
      <c r="R44" s="70"/>
      <c r="S44" s="70"/>
      <c r="T44" s="70"/>
      <c r="U44" s="70"/>
      <c r="V44" s="70"/>
      <c r="W44" s="70"/>
      <c r="X44" s="70"/>
      <c r="Y44" s="70"/>
    </row>
    <row r="45">
      <c r="A45" s="79" t="s">
        <v>11134</v>
      </c>
      <c r="B45" s="505" t="s">
        <v>11135</v>
      </c>
      <c r="C45" s="79" t="s">
        <v>11136</v>
      </c>
      <c r="D45" s="505" t="str">
        <f>IFERROR(__xludf.DUMMYFUNCTION("GOOGLETRANSLATE(A45,""zh-tw"",""zh"")"),"妹妹治愈后，除了早上起得来，睡眠时间也会变晚")</f>
        <v>妹妹治愈后，除了早上起得来，睡眠时间也会变晚</v>
      </c>
      <c r="E45" s="82" t="str">
        <f>IFERROR(__xludf.DUMMYFUNCTION("GOOGLETRANSLATE(A45,""zh-tw"",""es-MX"")"),"Después de que mi hermana se recuperó, pudo despertarse por la mañana y también empezó a acostarse más tarde.")</f>
        <v>Después de que mi hermana se recuperó, pudo despertarse por la mañana y también empezó a acostarse más tarde.</v>
      </c>
      <c r="F45" s="506" t="str">
        <f>IFERROR(__xludf.DUMMYFUNCTION("GOOGLETRANSLATE(A45,""zh-tw"",""KO"")"),"언니는 회복된 후 아침에 일어날 수 있게 되었고, 잠자리에 드는 시간도 늦어졌습니다.")</f>
        <v>언니는 회복된 후 아침에 일어날 수 있게 되었고, 잠자리에 드는 시간도 늦어졌습니다.</v>
      </c>
      <c r="G45" s="156" t="s">
        <v>11137</v>
      </c>
      <c r="H45" s="506" t="str">
        <f>IFERROR(__xludf.DUMMYFUNCTION("GOOGLETRANSLATE(A45,""zh-tw"",""de"")"),"Nach der Genesung meiner Schwester konnte sie morgens wieder aufwachen und auch ihre Schlafenszeit verschob sich nach hinten.")</f>
        <v>Nach der Genesung meiner Schwester konnte sie morgens wieder aufwachen und auch ihre Schlafenszeit verschob sich nach hinten.</v>
      </c>
      <c r="I45" s="199" t="s">
        <v>11138</v>
      </c>
      <c r="J45" s="506" t="s">
        <v>11139</v>
      </c>
      <c r="K45" s="118" t="s">
        <v>11140</v>
      </c>
      <c r="L45" s="506"/>
      <c r="M45" s="70"/>
      <c r="N45" s="70"/>
      <c r="O45" s="70"/>
      <c r="P45" s="70"/>
      <c r="Q45" s="70"/>
      <c r="R45" s="70"/>
      <c r="S45" s="70"/>
      <c r="T45" s="70"/>
      <c r="U45" s="70"/>
      <c r="V45" s="70"/>
      <c r="W45" s="70"/>
      <c r="X45" s="70"/>
      <c r="Y45" s="70"/>
    </row>
    <row r="46">
      <c r="A46" s="79" t="s">
        <v>11141</v>
      </c>
      <c r="B46" s="505" t="s">
        <v>11142</v>
      </c>
      <c r="C46" s="79" t="s">
        <v>11143</v>
      </c>
      <c r="D46" s="505" t="str">
        <f>IFERROR(__xludf.DUMMYFUNCTION("GOOGLETRANSLATE(A46,""zh-tw"",""zh"")"),"幸运值可以用来影响扭蛋、物品掉落(实装)
和妹妹相关的机率事件也会受到幸运值的影响(未实装)")</f>
        <v>幸运值可以用来影响扭蛋、物品掉落(实装)
和妹妹相关的机率事件也会受到幸运值的影响(未实装)</v>
      </c>
      <c r="E46" s="82" t="str">
        <f>IFERROR(__xludf.DUMMYFUNCTION("GOOGLETRANSLATE(A46,""zh-tw"",""es-MX"")"),"Las estadísticas de suerte pueden usarse para influir en las tiradas de gacha y la obtención de objetos (implementado). Las estadísticas de suerte también afectan a los eventos basados ​​en la probabilidad relacionados con la hermana (aún no implementado)"&amp;".")</f>
        <v>Las estadísticas de suerte pueden usarse para influir en las tiradas de gacha y la obtención de objetos (implementado). Las estadísticas de suerte también afectan a los eventos basados ​​en la probabilidad relacionados con la hermana (aún no implementado).</v>
      </c>
      <c r="F46" s="506" t="str">
        <f>IFERROR(__xludf.DUMMYFUNCTION("GOOGLETRANSLATE(A46,""zh-tw"",""KO"")"),"행운 스탯은 가챠 뽑기 및 아이템 드롭에 영향을 줄 수 있습니다(구현 완료). 또한 행운 스탯은 여동생과 관련된 확률 기반 이벤트에도 영향을 줍니다(미구현).")</f>
        <v>행운 스탯은 가챠 뽑기 및 아이템 드롭에 영향을 줄 수 있습니다(구현 완료). 또한 행운 스탯은 여동생과 관련된 확률 기반 이벤트에도 영향을 줍니다(미구현).</v>
      </c>
      <c r="G46" s="156" t="s">
        <v>11144</v>
      </c>
      <c r="H46" s="506" t="str">
        <f>IFERROR(__xludf.DUMMYFUNCTION("GOOGLETRANSLATE(A46,""zh-tw"",""de"")"),"Glückswerte können genutzt werden, um Gacha-Ziehungen und Gegenstands-Drops zu beeinflussen (implementiert). Glückswerte wirken sich auch auf zufallsbasierte Ereignisse im Zusammenhang mit der Schwester aus (noch nicht implementiert).")</f>
        <v>Glückswerte können genutzt werden, um Gacha-Ziehungen und Gegenstands-Drops zu beeinflussen (implementiert). Glückswerte wirken sich auch auf zufallsbasierte Ereignisse im Zusammenhang mit der Schwester aus (noch nicht implementiert).</v>
      </c>
      <c r="I46" s="199" t="s">
        <v>11145</v>
      </c>
      <c r="J46" s="506" t="s">
        <v>11146</v>
      </c>
      <c r="K46" s="79" t="s">
        <v>11147</v>
      </c>
      <c r="L46" s="506"/>
      <c r="M46" s="70"/>
      <c r="N46" s="70"/>
      <c r="O46" s="70"/>
      <c r="P46" s="70"/>
      <c r="Q46" s="70"/>
      <c r="R46" s="70"/>
      <c r="S46" s="70"/>
      <c r="T46" s="70"/>
      <c r="U46" s="70"/>
      <c r="V46" s="70"/>
      <c r="W46" s="70"/>
      <c r="X46" s="70"/>
      <c r="Y46" s="70"/>
    </row>
    <row r="47">
      <c r="A47" s="79" t="s">
        <v>11148</v>
      </c>
      <c r="B47" s="505" t="s">
        <v>11149</v>
      </c>
      <c r="C47" s="79" t="s">
        <v>11150</v>
      </c>
      <c r="D47" s="505" t="str">
        <f>IFERROR(__xludf.DUMMYFUNCTION("GOOGLETRANSLATE(A47,""zh-tw"",""zh"")"),"商店老板娘叫做aki，另外妹妹的声优也是aki")</f>
        <v>商店老板娘叫做aki，另外妹妹的声优也是aki</v>
      </c>
      <c r="E47" s="82" t="str">
        <f>IFERROR(__xludf.DUMMYFUNCTION("GOOGLETRANSLATE(A47,""zh-tw"",""es-MX"")"),"La dueña de la tienda se llama Aki, y la actriz de doblaje de la hermana menor también se llama Aki.")</f>
        <v>La dueña de la tienda se llama Aki, y la actriz de doblaje de la hermana menor también se llama Aki.</v>
      </c>
      <c r="F47" s="506" t="str">
        <f>IFERROR(__xludf.DUMMYFUNCTION("GOOGLETRANSLATE(A47,""zh-tw"",""KO"")"),"가게 주인의 이름은 아키이고, 여동생의 성우도 아키입니다.")</f>
        <v>가게 주인의 이름은 아키이고, 여동생의 성우도 아키입니다.</v>
      </c>
      <c r="G47" s="156" t="s">
        <v>11151</v>
      </c>
      <c r="H47" s="506" t="str">
        <f>IFERROR(__xludf.DUMMYFUNCTION("GOOGLETRANSLATE(A47,""zh-tw"",""de"")"),"Der Name der Ladenbesitzerin ist Aki, und die Synchronsprecherin der jüngeren Schwester heißt ebenfalls Aki.")</f>
        <v>Der Name der Ladenbesitzerin ist Aki, und die Synchronsprecherin der jüngeren Schwester heißt ebenfalls Aki.</v>
      </c>
      <c r="I47" s="199" t="s">
        <v>11152</v>
      </c>
      <c r="J47" s="506" t="s">
        <v>11153</v>
      </c>
      <c r="K47" s="79" t="s">
        <v>11154</v>
      </c>
      <c r="L47" s="506"/>
      <c r="M47" s="70"/>
      <c r="N47" s="70"/>
      <c r="O47" s="70"/>
      <c r="P47" s="70"/>
      <c r="Q47" s="70"/>
      <c r="R47" s="70"/>
      <c r="S47" s="70"/>
      <c r="T47" s="70"/>
      <c r="U47" s="70"/>
      <c r="V47" s="70"/>
      <c r="W47" s="70"/>
      <c r="X47" s="70"/>
      <c r="Y47" s="70"/>
    </row>
    <row r="48">
      <c r="A48" s="79" t="s">
        <v>11155</v>
      </c>
      <c r="B48" s="505" t="s">
        <v>11156</v>
      </c>
      <c r="C48" s="82" t="s">
        <v>11157</v>
      </c>
      <c r="D48" s="505" t="str">
        <f>IFERROR(__xludf.DUMMYFUNCTION("GOOGLETRANSLATE(A48,""zh-tw"",""zh"")"),"Ehwaz符文会在扔出去后和触碰到的敌人交换位置")</f>
        <v>Ehwaz符文会在扔出去后和触碰到的敌人交换位置</v>
      </c>
      <c r="E48" s="82" t="str">
        <f>IFERROR(__xludf.DUMMYFUNCTION("GOOGLETRANSLATE(A48,""zh-tw"",""es-MX"")"),"Tras ser lanzada, la runa Ehwaz intercambiará posiciones con cualquier enemigo que toque.")</f>
        <v>Tras ser lanzada, la runa Ehwaz intercambiará posiciones con cualquier enemigo que toque.</v>
      </c>
      <c r="F48" s="506" t="str">
        <f>IFERROR(__xludf.DUMMYFUNCTION("GOOGLETRANSLATE(A48,""zh-tw"",""KO"")"),"에흐와즈 룬은 던진 후 닿는 모든 적과 위치를 바꿉니다.")</f>
        <v>에흐와즈 룬은 던진 후 닿는 모든 적과 위치를 바꿉니다.</v>
      </c>
      <c r="G48" s="156" t="s">
        <v>11158</v>
      </c>
      <c r="H48" s="506" t="str">
        <f>IFERROR(__xludf.DUMMYFUNCTION("GOOGLETRANSLATE(A48,""zh-tw"",""de"")"),"Die Ehwaz-Rune tauscht nach dem Werfen mit jedem Gegner, den sie berührt, die Position.")</f>
        <v>Die Ehwaz-Rune tauscht nach dem Werfen mit jedem Gegner, den sie berührt, die Position.</v>
      </c>
      <c r="I48" s="199" t="s">
        <v>11159</v>
      </c>
      <c r="J48" s="506" t="s">
        <v>11160</v>
      </c>
      <c r="K48" s="118" t="s">
        <v>11161</v>
      </c>
      <c r="L48" s="506"/>
      <c r="M48" s="70"/>
      <c r="N48" s="70"/>
      <c r="O48" s="70"/>
      <c r="P48" s="70"/>
      <c r="Q48" s="70"/>
      <c r="R48" s="70"/>
      <c r="S48" s="70"/>
      <c r="T48" s="70"/>
      <c r="U48" s="70"/>
      <c r="V48" s="70"/>
      <c r="W48" s="70"/>
      <c r="X48" s="70"/>
      <c r="Y48" s="70"/>
    </row>
    <row r="49">
      <c r="A49" s="79" t="s">
        <v>11162</v>
      </c>
      <c r="B49" s="505" t="s">
        <v>11163</v>
      </c>
      <c r="C49" s="79" t="s">
        <v>11164</v>
      </c>
      <c r="D49" s="505" t="s">
        <v>11165</v>
      </c>
      <c r="E49" s="82" t="str">
        <f>IFERROR(__xludf.DUMMYFUNCTION("GOOGLETRANSLATE(A49,""zh-tw"",""es-MX"")"),"Las runas Raido se lanzan y dejan un marcador al aterrizar. Al hacer clic en este marcador, te teletransportarás instantáneamente a esa ubicación.")</f>
        <v>Las runas Raido se lanzan y dejan un marcador al aterrizar. Al hacer clic en este marcador, te teletransportarás instantáneamente a esa ubicación.</v>
      </c>
      <c r="F49" s="506" t="str">
        <f>IFERROR(__xludf.DUMMYFUNCTION("GOOGLETRANSLATE(A49,""zh-tw"",""KO"")"),"라이도 룬은 던져서 착지하면 표식을 남깁니다. 이 표식을 클릭하면 해당 위치로 즉시 순간 이동합니다.")</f>
        <v>라이도 룬은 던져서 착지하면 표식을 남깁니다. 이 표식을 클릭하면 해당 위치로 즉시 순간 이동합니다.</v>
      </c>
      <c r="G49" s="156" t="s">
        <v>11166</v>
      </c>
      <c r="H49" s="506" t="str">
        <f>IFERROR(__xludf.DUMMYFUNCTION("GOOGLETRANSLATE(A49,""zh-tw"",""de"")"),"Raido-Runen werden geworfen und hinterlassen beim Aufprall eine Markierung. Ein Klick auf diese Markierung teleportiert dich sofort zu diesem Ort.")</f>
        <v>Raido-Runen werden geworfen und hinterlassen beim Aufprall eine Markierung. Ein Klick auf diese Markierung teleportiert dich sofort zu diesem Ort.</v>
      </c>
      <c r="I49" s="199" t="s">
        <v>11167</v>
      </c>
      <c r="J49" s="506" t="s">
        <v>11168</v>
      </c>
      <c r="K49" s="79" t="s">
        <v>11169</v>
      </c>
      <c r="L49" s="506"/>
      <c r="M49" s="70"/>
      <c r="N49" s="70"/>
      <c r="O49" s="70"/>
      <c r="P49" s="70"/>
      <c r="Q49" s="70"/>
      <c r="R49" s="70"/>
      <c r="S49" s="70"/>
      <c r="T49" s="70"/>
      <c r="U49" s="70"/>
      <c r="V49" s="70"/>
      <c r="W49" s="70"/>
      <c r="X49" s="70"/>
      <c r="Y49" s="70"/>
    </row>
    <row r="50">
      <c r="A50" s="79" t="s">
        <v>11170</v>
      </c>
      <c r="B50" s="505" t="s">
        <v>11171</v>
      </c>
      <c r="C50" s="79" t="s">
        <v>11172</v>
      </c>
      <c r="D50" s="505" t="str">
        <f>IFERROR(__xludf.DUMMYFUNCTION("GOOGLETRANSLATE(A50,""zh-tw"",""zh"")"),"Jera符文，丢出去可以变换接触到的敌人或掉落物，也就是复制的作用(未实装)")</f>
        <v>Jera符文，丢出去可以变换接触到的敌人或掉落物，也就是复制的作用(未实装)</v>
      </c>
      <c r="E50" s="82" t="str">
        <f>IFERROR(__xludf.DUMMYFUNCTION("GOOGLETRANSLATE(A50,""zh-tw"",""es-MX"")"),"La runa Jera, al ser lanzada, puede transformar a cualquier enemigo u objeto que toque, creando esencialmente una copia (aún no implementado).")</f>
        <v>La runa Jera, al ser lanzada, puede transformar a cualquier enemigo u objeto que toque, creando esencialmente una copia (aún no implementado).</v>
      </c>
      <c r="F50" s="506" t="str">
        <f>IFERROR(__xludf.DUMMYFUNCTION("GOOGLETRANSLATE(A50,""zh-tw"",""KO"")"),"제라 룬은 던지면 닿는 모든 적이나 아이템을 변형시켜 복제본을 만들어낼 수 있습니다(아직 구현되지 않음).")</f>
        <v>제라 룬은 던지면 닿는 모든 적이나 아이템을 변형시켜 복제본을 만들어낼 수 있습니다(아직 구현되지 않음).</v>
      </c>
      <c r="G50" s="156" t="s">
        <v>11173</v>
      </c>
      <c r="H50" s="506" t="str">
        <f>IFERROR(__xludf.DUMMYFUNCTION("GOOGLETRANSLATE(A50,""zh-tw"",""de"")"),"Die Jera-Rune kann, wenn sie geworfen wird, jeden Feind oder Gegenstand, den sie berührt, verwandeln und so im Wesentlichen eine Kopie erzeugen (noch nicht implementiert).")</f>
        <v>Die Jera-Rune kann, wenn sie geworfen wird, jeden Feind oder Gegenstand, den sie berührt, verwandeln und so im Wesentlichen eine Kopie erzeugen (noch nicht implementiert).</v>
      </c>
      <c r="I50" s="199" t="s">
        <v>11174</v>
      </c>
      <c r="J50" s="506" t="s">
        <v>11175</v>
      </c>
      <c r="K50" s="118" t="s">
        <v>11176</v>
      </c>
      <c r="L50" s="506"/>
      <c r="M50" s="70"/>
      <c r="N50" s="70"/>
      <c r="O50" s="70"/>
      <c r="P50" s="70"/>
      <c r="Q50" s="70"/>
      <c r="R50" s="70"/>
      <c r="S50" s="70"/>
      <c r="T50" s="70"/>
      <c r="U50" s="70"/>
      <c r="V50" s="70"/>
      <c r="W50" s="70"/>
      <c r="X50" s="70"/>
      <c r="Y50" s="70"/>
    </row>
    <row r="51">
      <c r="A51" s="79" t="s">
        <v>11177</v>
      </c>
      <c r="B51" s="505" t="s">
        <v>11178</v>
      </c>
      <c r="C51" s="79" t="s">
        <v>11179</v>
      </c>
      <c r="D51" s="505" t="str">
        <f>IFERROR(__xludf.DUMMYFUNCTION("GOOGLETRANSLATE(A51,""zh-tw"",""zh"")"),"Perth符文，丢出去会造成范围影响，范围内的敌人或掉落物会被随机替换(未实装)")</f>
        <v>Perth符文，丢出去会造成范围影响，范围内的敌人或掉落物会被随机替换(未实装)</v>
      </c>
      <c r="E51" s="82" t="str">
        <f>IFERROR(__xludf.DUMMYFUNCTION("GOOGLETRANSLATE(A51,""zh-tw"",""es-MX"")"),"La runa Perth, al ser lanzada, crea un ataque de área de efecto que reemplaza aleatoriamente a los enemigos o los objetos caídos dentro de esa área (aún no implementado).")</f>
        <v>La runa Perth, al ser lanzada, crea un ataque de área de efecto que reemplaza aleatoriamente a los enemigos o los objetos caídos dentro de esa área (aún no implementado).</v>
      </c>
      <c r="F51" s="506" t="str">
        <f>IFERROR(__xludf.DUMMYFUNCTION("GOOGLETRANSLATE(A51,""zh-tw"",""KO"")"),"퍼스 룬을 던지면 해당 범위 내의 적이나 떨어진 아이템을 무작위로 교체하는 광역 공격이 발생합니다(아직 구현되지 않음).")</f>
        <v>퍼스 룬을 던지면 해당 범위 내의 적이나 떨어진 아이템을 무작위로 교체하는 광역 공격이 발생합니다(아직 구현되지 않음).</v>
      </c>
      <c r="G51" s="156" t="s">
        <v>11180</v>
      </c>
      <c r="H51" s="506" t="str">
        <f>IFERROR(__xludf.DUMMYFUNCTION("GOOGLETRANSLATE(A51,""zh-tw"",""de"")"),"Die Perth-Rune erzeugt beim Werfen einen Flächenangriff, bei dem zufällig Gegner oder fallengelassene Gegenstände innerhalb dieses Bereichs ersetzt werden (noch nicht implementiert).")</f>
        <v>Die Perth-Rune erzeugt beim Werfen einen Flächenangriff, bei dem zufällig Gegner oder fallengelassene Gegenstände innerhalb dieses Bereichs ersetzt werden (noch nicht implementiert).</v>
      </c>
      <c r="I51" s="199" t="s">
        <v>11181</v>
      </c>
      <c r="J51" s="506" t="s">
        <v>11182</v>
      </c>
      <c r="K51" s="118" t="s">
        <v>11183</v>
      </c>
      <c r="L51" s="506"/>
      <c r="M51" s="70"/>
      <c r="N51" s="70"/>
      <c r="O51" s="70"/>
      <c r="P51" s="70"/>
      <c r="Q51" s="70"/>
      <c r="R51" s="70"/>
      <c r="S51" s="70"/>
      <c r="T51" s="70"/>
      <c r="U51" s="70"/>
      <c r="V51" s="70"/>
      <c r="W51" s="70"/>
      <c r="X51" s="70"/>
      <c r="Y51" s="70"/>
    </row>
    <row r="52">
      <c r="A52" s="79" t="s">
        <v>11184</v>
      </c>
      <c r="B52" s="505" t="s">
        <v>11185</v>
      </c>
      <c r="C52" s="79" t="s">
        <v>11186</v>
      </c>
      <c r="D52" s="505" t="str">
        <f>IFERROR(__xludf.DUMMYFUNCTION("GOOGLETRANSLATE(A52,""zh-tw"",""zh"")"),"甜筒大剑的效果是喂食怪物，每次攻击有一定机率累积数值，当到达一定数量时怪物会吃太饱而死亡。 (BOSS未测试)")</f>
        <v>甜筒大剑的效果是喂食怪物，每次攻击有一定机率累积数值，当到达一定数量时怪物会吃太饱而死亡。 (BOSS未测试)</v>
      </c>
      <c r="E52" s="82" t="str">
        <f>IFERROR(__xludf.DUMMYFUNCTION("GOOGLETRANSLATE(A52,""zh-tw"",""es-MX"")"),"La Gran Espada Cono de Helado alimenta a los monstruos; cada ataque tiene una probabilidad de acumular cierta cantidad de comida. Cuando se alcanza una cantidad determinada, el monstruo se saciará demasiado y morirá. (No probado con jefes).")</f>
        <v>La Gran Espada Cono de Helado alimenta a los monstruos; cada ataque tiene una probabilidad de acumular cierta cantidad de comida. Cuando se alcanza una cantidad determinada, el monstruo se saciará demasiado y morirá. (No probado con jefes).</v>
      </c>
      <c r="F52" s="506" t="str">
        <f>IFERROR(__xludf.DUMMYFUNCTION("GOOGLETRANSLATE(A52,""zh-tw"",""KO"")"),"아이스크림 콘 대검은 몬스터에게 먹이를 제공합니다. 공격할 때마다 일정량의 먹이가 축적되며, 일정량에 도달하면 몬스터는 배가 너무 불러 죽게 됩니다. (보스전 테스트는 완료되지 않았습니다.)")</f>
        <v>아이스크림 콘 대검은 몬스터에게 먹이를 제공합니다. 공격할 때마다 일정량의 먹이가 축적되며, 일정량에 도달하면 몬스터는 배가 너무 불러 죽게 됩니다. (보스전 테스트는 완료되지 않았습니다.)</v>
      </c>
      <c r="G52" s="156" t="s">
        <v>11187</v>
      </c>
      <c r="H52" s="506" t="str">
        <f>IFERROR(__xludf.DUMMYFUNCTION("GOOGLETRANSLATE(A52,""zh-tw"",""de"")"),"Das Eiswaffel-Großschwert nährt Monster; jeder Angriff hat die Chance, eine bestimmte Menge Nahrung anzusammeln. Sobald eine bestimmte Menge erreicht ist, ist das Monster überfressen und stirbt. (Nicht an Bossen getestet)")</f>
        <v>Das Eiswaffel-Großschwert nährt Monster; jeder Angriff hat die Chance, eine bestimmte Menge Nahrung anzusammeln. Sobald eine bestimmte Menge erreicht ist, ist das Monster überfressen und stirbt. (Nicht an Bossen getestet)</v>
      </c>
      <c r="I52" s="199" t="s">
        <v>11188</v>
      </c>
      <c r="J52" s="506" t="s">
        <v>11189</v>
      </c>
      <c r="K52" s="118" t="s">
        <v>11190</v>
      </c>
      <c r="L52" s="506"/>
      <c r="M52" s="70"/>
      <c r="N52" s="70"/>
      <c r="O52" s="70"/>
      <c r="P52" s="70"/>
      <c r="Q52" s="70"/>
      <c r="R52" s="70"/>
      <c r="S52" s="70"/>
      <c r="T52" s="70"/>
      <c r="U52" s="70"/>
      <c r="V52" s="70"/>
      <c r="W52" s="70"/>
      <c r="X52" s="70"/>
      <c r="Y52" s="70"/>
    </row>
    <row r="53">
      <c r="A53" s="79" t="s">
        <v>11191</v>
      </c>
      <c r="B53" s="505" t="s">
        <v>11192</v>
      </c>
      <c r="C53" s="79" t="s">
        <v>11193</v>
      </c>
      <c r="D53" s="505" t="str">
        <f>IFERROR(__xludf.DUMMYFUNCTION("GOOGLETRANSLATE(A53,""zh-tw"",""zh"")"),"如果扭蛋掉到骑士的脚边，他会帮你捡起")</f>
        <v>如果扭蛋掉到骑士的脚边，他会帮你捡起</v>
      </c>
      <c r="E53" s="82" t="str">
        <f>IFERROR(__xludf.DUMMYFUNCTION("GOOGLETRANSLATE(A53,""zh-tw"",""es-MX"")"),"Si el gashapon cae cerca de los pies del caballero, él lo recogerá por ti.")</f>
        <v>Si el gashapon cae cerca de los pies del caballero, él lo recogerá por ti.</v>
      </c>
      <c r="F53" s="506" t="str">
        <f>IFERROR(__xludf.DUMMYFUNCTION("GOOGLETRANSLATE(A53,""zh-tw"",""KO"")"),"가샤폰이 기사의 발 근처에 떨어지면 기사가 주워줄 것입니다.")</f>
        <v>가샤폰이 기사의 발 근처에 떨어지면 기사가 주워줄 것입니다.</v>
      </c>
      <c r="G53" s="156" t="s">
        <v>11194</v>
      </c>
      <c r="H53" s="506" t="str">
        <f>IFERROR(__xludf.DUMMYFUNCTION("GOOGLETRANSLATE(A53,""zh-tw"",""de"")"),"Wenn der Gashapon in die Nähe der Füße des Ritters fällt, wird er ihn für dich aufheben.")</f>
        <v>Wenn der Gashapon in die Nähe der Füße des Ritters fällt, wird er ihn für dich aufheben.</v>
      </c>
      <c r="I53" s="199" t="s">
        <v>11195</v>
      </c>
      <c r="J53" s="506" t="s">
        <v>11196</v>
      </c>
      <c r="K53" s="118" t="s">
        <v>11197</v>
      </c>
      <c r="L53" s="506"/>
      <c r="M53" s="70"/>
      <c r="N53" s="70"/>
      <c r="O53" s="70"/>
      <c r="P53" s="70"/>
      <c r="Q53" s="70"/>
      <c r="R53" s="70"/>
      <c r="S53" s="70"/>
      <c r="T53" s="70"/>
      <c r="U53" s="70"/>
      <c r="V53" s="70"/>
      <c r="W53" s="70"/>
      <c r="X53" s="70"/>
      <c r="Y53" s="70"/>
    </row>
    <row r="54">
      <c r="A54" s="79" t="s">
        <v>11198</v>
      </c>
      <c r="B54" s="505" t="s">
        <v>11199</v>
      </c>
      <c r="C54" s="79" t="s">
        <v>11200</v>
      </c>
      <c r="D54" s="505" t="s">
        <v>11201</v>
      </c>
      <c r="E54" s="82" t="str">
        <f>IFERROR(__xludf.DUMMYFUNCTION("GOOGLETRANSLATE(A54,""zh-tw"",""es-MX"")"),"La durabilidad máxima predeterminada para todas las armas es de 114514, derivada de &lt;El sueño de una noche de verano&gt;.")</f>
        <v>La durabilidad máxima predeterminada para todas las armas es de 114514, derivada de &lt;El sueño de una noche de verano&gt;.</v>
      </c>
      <c r="F54" s="506" t="str">
        <f>IFERROR(__xludf.DUMMYFUNCTION("GOOGLETRANSLATE(A54,""zh-tw"",""KO"")"),"모든 무기의 기본 최대 내구도는 셰익스피어의 희곡 &lt;한여름 밤의 꿈&gt;에서 유래한 114514입니다.")</f>
        <v>모든 무기의 기본 최대 내구도는 셰익스피어의 희곡 &lt;한여름 밤의 꿈&gt;에서 유래한 114514입니다.</v>
      </c>
      <c r="G54" s="156" t="s">
        <v>11202</v>
      </c>
      <c r="H54" s="506" t="str">
        <f>IFERROR(__xludf.DUMMYFUNCTION("GOOGLETRANSLATE(A54,""zh-tw"",""de"")"),"Die standardmäßige maximale Haltbarkeit aller Waffen beträgt 114514 und ist dem Roman „Ein Sommernachtstraum“ entlehnt.")</f>
        <v>Die standardmäßige maximale Haltbarkeit aller Waffen beträgt 114514 und ist dem Roman „Ein Sommernachtstraum“ entlehnt.</v>
      </c>
      <c r="I54" s="199" t="s">
        <v>11203</v>
      </c>
      <c r="J54" s="506" t="s">
        <v>11204</v>
      </c>
      <c r="K54" s="118" t="s">
        <v>11205</v>
      </c>
      <c r="L54" s="506"/>
      <c r="M54" s="70"/>
      <c r="N54" s="70"/>
      <c r="O54" s="70"/>
      <c r="P54" s="70"/>
      <c r="Q54" s="70"/>
      <c r="R54" s="70"/>
      <c r="S54" s="70"/>
      <c r="T54" s="70"/>
      <c r="U54" s="70"/>
      <c r="V54" s="70"/>
      <c r="W54" s="70"/>
      <c r="X54" s="70"/>
      <c r="Y54" s="70"/>
    </row>
    <row r="55">
      <c r="A55" s="79" t="s">
        <v>11206</v>
      </c>
      <c r="B55" s="505" t="s">
        <v>11207</v>
      </c>
      <c r="C55" s="79" t="s">
        <v>11208</v>
      </c>
      <c r="D55" s="505" t="str">
        <f>IFERROR(__xludf.DUMMYFUNCTION("GOOGLETRANSLATE(A55,""zh-tw"",""zh"")"),"猫娘商店车会有以下的商品：
1.固定物品 2.猫娘们收集到的食材 3.随机的常规道具，品质随机分布。")</f>
        <v>猫娘商店车会有以下的商品：
1.固定物品 2.猫娘们收集到的食材 3.随机的常规道具，品质随机分布。</v>
      </c>
      <c r="E55" s="82" t="str">
        <f>IFERROR(__xludf.DUMMYFUNCTION("GOOGLETRANSLATE(A55,""zh-tw"",""es-MX"")"),"El carrito de la tienda de las chicas gato tendrá los siguientes artículos:
1. Artículos fijos
2. Ingredientes recolectados por las chicas gato
3. Artículos regulares aleatorios, con distribución de calidad aleatoria.")</f>
        <v>El carrito de la tienda de las chicas gato tendrá los siguientes artículos:
1. Artículos fijos
2. Ingredientes recolectados por las chicas gato
3. Artículos regulares aleatorios, con distribución de calidad aleatoria.</v>
      </c>
      <c r="F55" s="506" t="str">
        <f>IFERROR(__xludf.DUMMYFUNCTION("GOOGLETRANSLATE(A55,""zh-tw"",""KO"")"),"고양이소녀 상점 카트에는 다음과 같은 품목이 있습니다.
1. 고정 품목
2. 고양이소녀들이 모은 재료
3. 무작위로 품질이 분배되는 일반 품목")</f>
        <v>고양이소녀 상점 카트에는 다음과 같은 품목이 있습니다.
1. 고정 품목
2. 고양이소녀들이 모은 재료
3. 무작위로 품질이 분배되는 일반 품목</v>
      </c>
      <c r="G55" s="156" t="s">
        <v>11209</v>
      </c>
      <c r="H55" s="506" t="str">
        <f>IFERROR(__xludf.DUMMYFUNCTION("GOOGLETRANSLATE(A55,""zh-tw"",""de"")"),"Der Einkaufswagen der Katzenmädchen enthält folgende Artikel:
1. Feste Artikel
2. Von den Katzenmädchen gesammelte Zutaten
3. Zufällige Standardartikel mit zufälliger Qualitätsverteilung.")</f>
        <v>Der Einkaufswagen der Katzenmädchen enthält folgende Artikel:
1. Feste Artikel
2. Von den Katzenmädchen gesammelte Zutaten
3. Zufällige Standardartikel mit zufälliger Qualitätsverteilung.</v>
      </c>
      <c r="I55" s="199" t="s">
        <v>11210</v>
      </c>
      <c r="J55" s="506" t="s">
        <v>11211</v>
      </c>
      <c r="K55" s="118" t="s">
        <v>11212</v>
      </c>
      <c r="L55" s="506"/>
      <c r="M55" s="70"/>
      <c r="N55" s="70"/>
      <c r="O55" s="70"/>
      <c r="P55" s="70"/>
      <c r="Q55" s="70"/>
      <c r="R55" s="70"/>
      <c r="S55" s="70"/>
      <c r="T55" s="70"/>
      <c r="U55" s="70"/>
      <c r="V55" s="70"/>
      <c r="W55" s="70"/>
      <c r="X55" s="70"/>
      <c r="Y55" s="70"/>
    </row>
    <row r="56">
      <c r="A56" s="79" t="s">
        <v>11213</v>
      </c>
      <c r="B56" s="505" t="s">
        <v>11214</v>
      </c>
      <c r="C56" s="79" t="s">
        <v>11215</v>
      </c>
      <c r="D56" s="505" t="s">
        <v>11216</v>
      </c>
      <c r="E56" s="82" t="str">
        <f>IFERROR(__xludf.DUMMYFUNCTION("GOOGLETRANSLATE(A56,""zh-tw"",""es-MX"")"),"La chica gato Asaba posee la velocidad de ataque de seis patas de gato y puede lanzar armas aleatorias, lo que la hace extremadamente poderosa.
Además, su aggro se mantiene durante todo el día, la resurrección no elimina el aggro y puede perseguir enemig"&amp;"os por todo el mapa.
(Algunos efectos aún no están implementados).")</f>
        <v>La chica gato Asaba posee la velocidad de ataque de seis patas de gato y puede lanzar armas aleatorias, lo que la hace extremadamente poderosa.
Además, su aggro se mantiene durante todo el día, la resurrección no elimina el aggro y puede perseguir enemigos por todo el mapa.
(Algunos efectos aún no están implementados).</v>
      </c>
      <c r="F56" s="506" t="str">
        <f>IFERROR(__xludf.DUMMYFUNCTION("GOOGLETRANSLATE(A56,""zh-tw"",""KO"")"),"고양이 소녀 아사바는 고양이 발 여섯 개에 버금가는 공격 속도를 가지고 있으며, 무작위로 무기를 던질 수 있어 매우 강력합니다.
또한, 그녀의 어그로는 하루 종일 유지되며, 부활해도 어그로가 사라지지 않고, 맵 전체를 가로질러 적을 추격할 수 있습니다.
(일부 효과는 아직 구현되지 않았습니다.)")</f>
        <v>고양이 소녀 아사바는 고양이 발 여섯 개에 버금가는 공격 속도를 가지고 있으며, 무작위로 무기를 던질 수 있어 매우 강력합니다.
또한, 그녀의 어그로는 하루 종일 유지되며, 부활해도 어그로가 사라지지 않고, 맵 전체를 가로질러 적을 추격할 수 있습니다.
(일부 효과는 아직 구현되지 않았습니다.)</v>
      </c>
      <c r="G56" s="156" t="s">
        <v>11217</v>
      </c>
      <c r="H56" s="506" t="str">
        <f>IFERROR(__xludf.DUMMYFUNCTION("GOOGLETRANSLATE(A56,""zh-tw"",""de"")"),"Das Katzenmädchen Asaba besitzt die Angriffsgeschwindigkeit von sechs Katzenpfoten und kann zufällige Waffen werfen, was sie extrem mächtig macht.
Außerdem bleibt ihre Aggro einen ganzen Tag lang bestehen, eine Wiederbelebung entfernt die Aggro nicht, un"&amp;"d sie kann Gegner über die gesamte Karte verfolgen.
(Einige Effekte sind noch nicht implementiert.)")</f>
        <v>Das Katzenmädchen Asaba besitzt die Angriffsgeschwindigkeit von sechs Katzenpfoten und kann zufällige Waffen werfen, was sie extrem mächtig macht.
Außerdem bleibt ihre Aggro einen ganzen Tag lang bestehen, eine Wiederbelebung entfernt die Aggro nicht, und sie kann Gegner über die gesamte Karte verfolgen.
(Einige Effekte sind noch nicht implementiert.)</v>
      </c>
      <c r="I56" s="199" t="s">
        <v>11218</v>
      </c>
      <c r="J56" s="506" t="s">
        <v>11219</v>
      </c>
      <c r="K56" s="79" t="s">
        <v>11220</v>
      </c>
      <c r="L56" s="506"/>
      <c r="M56" s="70"/>
      <c r="N56" s="70"/>
      <c r="O56" s="70"/>
      <c r="P56" s="70"/>
      <c r="Q56" s="70"/>
      <c r="R56" s="70"/>
      <c r="S56" s="70"/>
      <c r="T56" s="70"/>
      <c r="U56" s="70"/>
      <c r="V56" s="70"/>
      <c r="W56" s="70"/>
      <c r="X56" s="70"/>
      <c r="Y56" s="70"/>
    </row>
    <row r="57">
      <c r="A57" s="79" t="s">
        <v>11221</v>
      </c>
      <c r="B57" s="505" t="s">
        <v>11222</v>
      </c>
      <c r="C57" s="79" t="s">
        <v>11223</v>
      </c>
      <c r="D57" s="505" t="str">
        <f>IFERROR(__xludf.DUMMYFUNCTION("GOOGLETRANSLATE(A57,""zh-tw"",""zh"")"),"可以对猫娘商店车使用时间暂停器，是个优秀的攻击方式
(P.S.对AKI商店无效)")</f>
        <v>可以对猫娘商店车使用时间暂停器，是个优秀的攻击方式
(P.S.对AKI商店无效)</v>
      </c>
      <c r="E57" s="82" t="str">
        <f>IFERROR(__xludf.DUMMYFUNCTION("GOOGLETRANSLATE(A57,""zh-tw"",""es-MX"")"),"El dispositivo para detener el tiempo se puede usar en el carrito de la tienda de la chica gato, lo que lo convierte en un excelente método de ataque.
(P.D.: Ineficaz contra la tienda AKI)")</f>
        <v>El dispositivo para detener el tiempo se puede usar en el carrito de la tienda de la chica gato, lo que lo convierte en un excelente método de ataque.
(P.D.: Ineficaz contra la tienda AKI)</v>
      </c>
      <c r="F57" s="506" t="str">
        <f>IFERROR(__xludf.DUMMYFUNCTION("GOOGLETRANSLATE(A57,""zh-tw"",""KO"")"),"시간을 멈추는 장치는 고양이 소녀 상점 카트에 사용할 수 있어 탁월한 공격 수단이 됩니다.
(추신: AKI 상점에는 효과가 없습니다.)")</f>
        <v>시간을 멈추는 장치는 고양이 소녀 상점 카트에 사용할 수 있어 탁월한 공격 수단이 됩니다.
(추신: AKI 상점에는 효과가 없습니다.)</v>
      </c>
      <c r="G57" s="156" t="s">
        <v>11224</v>
      </c>
      <c r="H57" s="506" t="str">
        <f>IFERROR(__xludf.DUMMYFUNCTION("GOOGLETRANSLATE(A57,""zh-tw"",""de"")"),"Die Zeitstoppvorrichtung kann am Einkaufswagen des Katzenmädchens angebracht werden und ist somit eine hervorragende Angriffsmethode.
(P.S.: Wirksam gegen den AKI-Laden.)")</f>
        <v>Die Zeitstoppvorrichtung kann am Einkaufswagen des Katzenmädchens angebracht werden und ist somit eine hervorragende Angriffsmethode.
(P.S.: Wirksam gegen den AKI-Laden.)</v>
      </c>
      <c r="I57" s="199" t="s">
        <v>11225</v>
      </c>
      <c r="J57" s="506" t="s">
        <v>11226</v>
      </c>
      <c r="K57" s="118" t="s">
        <v>11227</v>
      </c>
      <c r="L57" s="506"/>
      <c r="M57" s="70"/>
      <c r="N57" s="70"/>
      <c r="O57" s="70"/>
      <c r="P57" s="70"/>
      <c r="Q57" s="70"/>
      <c r="R57" s="70"/>
      <c r="S57" s="70"/>
      <c r="T57" s="70"/>
      <c r="U57" s="70"/>
      <c r="V57" s="70"/>
      <c r="W57" s="70"/>
      <c r="X57" s="70"/>
      <c r="Y57" s="70"/>
    </row>
    <row r="58">
      <c r="A58" s="79" t="s">
        <v>11228</v>
      </c>
      <c r="B58" s="505" t="s">
        <v>11229</v>
      </c>
      <c r="C58" s="79" t="s">
        <v>11230</v>
      </c>
      <c r="D58" s="505" t="s">
        <v>11231</v>
      </c>
      <c r="E58" s="82" t="str">
        <f>IFERROR(__xludf.DUMMYFUNCTION("GOOGLETRANSLATE(A58,""zh-tw"",""es-MX"")"),"Ya sea un carrito de tienda en movimiento o el daño infligido por la chica gato Asaba, ambos pueden dañar a los monstruos.
Ni siquiera el Jefe del Abismo puede resistir a la chica gato Asaba, aunque para ello tendrás que sacrificar tu propia vida.")</f>
        <v>Ya sea un carrito de tienda en movimiento o el daño infligido por la chica gato Asaba, ambos pueden dañar a los monstruos.
Ni siquiera el Jefe del Abismo puede resistir a la chica gato Asaba, aunque para ello tendrás que sacrificar tu propia vida.</v>
      </c>
      <c r="F58" s="506" t="str">
        <f>IFERROR(__xludf.DUMMYFUNCTION("GOOGLETRANSLATE(A58,""zh-tw"",""KO"")"),"움직이는 상점 카트든 고양이 소녀 아사바의 공격이든, 둘 다 몬스터에게 피해를 입힐 수 있습니다.
심연의 보스조차도 고양이 소녀 아사바의 공격을 견딜 수 없지만, 당신 역시 목숨을 바쳐야 할 것입니다.")</f>
        <v>움직이는 상점 카트든 고양이 소녀 아사바의 공격이든, 둘 다 몬스터에게 피해를 입힐 수 있습니다.
심연의 보스조차도 고양이 소녀 아사바의 공격을 견딜 수 없지만, 당신 역시 목숨을 바쳐야 할 것입니다.</v>
      </c>
      <c r="G58" s="156" t="s">
        <v>11232</v>
      </c>
      <c r="H58" s="506" t="str">
        <f>IFERROR(__xludf.DUMMYFUNCTION("GOOGLETRANSLATE(A58,""zh-tw"",""de"")"),"Ob ein fahrender Einkaufswagen oder der Angriff der Katzenfrau Asaba – beides kann Monstern Schaden zufügen.
Selbst der Abgrundboss kann der Katzenfrau Asaba nicht widerstehen, doch dafür musst du auch dein Leben opfern.")</f>
        <v>Ob ein fahrender Einkaufswagen oder der Angriff der Katzenfrau Asaba – beides kann Monstern Schaden zufügen.
Selbst der Abgrundboss kann der Katzenfrau Asaba nicht widerstehen, doch dafür musst du auch dein Leben opfern.</v>
      </c>
      <c r="I58" s="199" t="s">
        <v>11233</v>
      </c>
      <c r="J58" s="506" t="s">
        <v>11234</v>
      </c>
      <c r="K58" s="118" t="s">
        <v>11235</v>
      </c>
      <c r="L58" s="506"/>
      <c r="M58" s="70"/>
      <c r="N58" s="70"/>
      <c r="O58" s="70"/>
      <c r="P58" s="70"/>
      <c r="Q58" s="70"/>
      <c r="R58" s="70"/>
      <c r="S58" s="70"/>
      <c r="T58" s="70"/>
      <c r="U58" s="70"/>
      <c r="V58" s="70"/>
      <c r="W58" s="70"/>
      <c r="X58" s="70"/>
      <c r="Y58" s="70"/>
    </row>
    <row r="59">
      <c r="A59" s="79" t="s">
        <v>11236</v>
      </c>
      <c r="B59" s="505" t="s">
        <v>11237</v>
      </c>
      <c r="C59" s="79" t="s">
        <v>11238</v>
      </c>
      <c r="D59" s="505" t="str">
        <f>IFERROR(__xludf.DUMMYFUNCTION("GOOGLETRANSLATE(A59,""zh-tw"",""zh"")"),"机率100%不代表必定触发，因为还有敌人的抗性。有些装备还会依据溢出的机率来增强效果。")</f>
        <v>机率100%不代表必定触发，因为还有敌人的抗性。有些装备还会依据溢出的机率来增强效果。</v>
      </c>
      <c r="E59" s="82" t="str">
        <f>IFERROR(__xludf.DUMMYFUNCTION("GOOGLETRANSLATE(A59,""zh-tw"",""es-MX"")"),"Una probabilidad del 100 % no garantiza que se active, ya que la resistencia del enemigo también influye. Algunos equipos incluso potencian sus efectos en función de cualquier exceso de probabilidad.")</f>
        <v>Una probabilidad del 100 % no garantiza que se active, ya que la resistencia del enemigo también influye. Algunos equipos incluso potencian sus efectos en función de cualquier exceso de probabilidad.</v>
      </c>
      <c r="F59" s="506" t="str">
        <f>IFERROR(__xludf.DUMMYFUNCTION("GOOGLETRANSLATE(A59,""zh-tw"",""KO"")"),"100% 확률이 발동을 보장하는 것은 아닙니다. 적의 저항력 또한 중요한 역할을 하기 때문입니다. 일부 장비는 초과 확률에 따라 효과를 증폭시키기도 합니다.")</f>
        <v>100% 확률이 발동을 보장하는 것은 아닙니다. 적의 저항력 또한 중요한 역할을 하기 때문입니다. 일부 장비는 초과 확률에 따라 효과를 증폭시키기도 합니다.</v>
      </c>
      <c r="G59" s="156" t="s">
        <v>11239</v>
      </c>
      <c r="H59" s="506" t="str">
        <f>IFERROR(__xludf.DUMMYFUNCTION("GOOGLETRANSLATE(A59,""zh-tw"",""de"")"),"Eine 100%ige Wahrscheinlichkeit garantiert keine Auslösung, da auch der Widerstand des Gegners eine Rolle spielt. Manche Ausrüstung verstärkt ihre Wirkung sogar basierend auf einer überschüssigen Wahrscheinlichkeit.")</f>
        <v>Eine 100%ige Wahrscheinlichkeit garantiert keine Auslösung, da auch der Widerstand des Gegners eine Rolle spielt. Manche Ausrüstung verstärkt ihre Wirkung sogar basierend auf einer überschüssigen Wahrscheinlichkeit.</v>
      </c>
      <c r="I59" s="199" t="s">
        <v>11240</v>
      </c>
      <c r="J59" s="506" t="s">
        <v>11241</v>
      </c>
      <c r="K59" s="118" t="s">
        <v>11242</v>
      </c>
      <c r="L59" s="506"/>
      <c r="M59" s="70"/>
      <c r="N59" s="70"/>
      <c r="O59" s="70"/>
      <c r="P59" s="70"/>
      <c r="Q59" s="70"/>
      <c r="R59" s="70"/>
      <c r="S59" s="70"/>
      <c r="T59" s="70"/>
      <c r="U59" s="70"/>
      <c r="V59" s="70"/>
      <c r="W59" s="70"/>
      <c r="X59" s="70"/>
      <c r="Y59" s="70"/>
    </row>
    <row r="60">
      <c r="A60" s="79" t="s">
        <v>11243</v>
      </c>
      <c r="B60" s="505" t="s">
        <v>11244</v>
      </c>
      <c r="C60" s="79" t="s">
        <v>11245</v>
      </c>
      <c r="D60" s="505" t="str">
        <f>IFERROR(__xludf.DUMMYFUNCTION("GOOGLETRANSLATE(A60,""zh-tw"",""zh"")"),"不同天气时，妹妹会涂不同颜色的指甲油。")</f>
        <v>不同天气时，妹妹会涂不同颜色的指甲油。</v>
      </c>
      <c r="E60" s="82" t="str">
        <f>IFERROR(__xludf.DUMMYFUNCTION("GOOGLETRANSLATE(A60,""zh-tw"",""es-MX"")"),"Mi hermana se pinta las uñas de diferentes colores según el clima.")</f>
        <v>Mi hermana se pinta las uñas de diferentes colores según el clima.</v>
      </c>
      <c r="F60" s="506" t="str">
        <f>IFERROR(__xludf.DUMMYFUNCTION("GOOGLETRANSLATE(A60,""zh-tw"",""KO"")"),"내 여동생은 날씨에 따라 손톱에 다른 색깔을 칠해요.")</f>
        <v>내 여동생은 날씨에 따라 손톱에 다른 색깔을 칠해요.</v>
      </c>
      <c r="G60" s="156" t="s">
        <v>11246</v>
      </c>
      <c r="H60" s="506" t="str">
        <f>IFERROR(__xludf.DUMMYFUNCTION("GOOGLETRANSLATE(A60,""zh-tw"",""de"")"),"Meine Schwester lackiert ihre Nägel je nach Wetterlage in verschiedenen Farben.")</f>
        <v>Meine Schwester lackiert ihre Nägel je nach Wetterlage in verschiedenen Farben.</v>
      </c>
      <c r="I60" s="199" t="s">
        <v>11247</v>
      </c>
      <c r="J60" s="506" t="s">
        <v>11248</v>
      </c>
      <c r="K60" s="79" t="s">
        <v>11249</v>
      </c>
      <c r="L60" s="506"/>
      <c r="M60" s="70"/>
      <c r="N60" s="70"/>
      <c r="O60" s="70"/>
      <c r="P60" s="70"/>
      <c r="Q60" s="70"/>
      <c r="R60" s="70"/>
      <c r="S60" s="70"/>
      <c r="T60" s="70"/>
      <c r="U60" s="70"/>
      <c r="V60" s="70"/>
      <c r="W60" s="70"/>
      <c r="X60" s="70"/>
      <c r="Y60" s="70"/>
    </row>
    <row r="61">
      <c r="A61" s="79" t="s">
        <v>11250</v>
      </c>
      <c r="B61" s="505" t="s">
        <v>11251</v>
      </c>
      <c r="C61" s="79" t="s">
        <v>11252</v>
      </c>
      <c r="D61" s="505" t="str">
        <f>IFERROR(__xludf.DUMMYFUNCTION("GOOGLETRANSLATE(A61,""zh-tw"",""zh"")"),"星之门地图，丢弃在星之门中的物品不会遗失，可以当作临时仓库。
但数量过多可能会卡住，不建议丢太多。
上限数量约200~600左右(未完全实装)")</f>
        <v>星之门地图，丢弃在星之门中的物品不会遗失，可以当作临时仓库。
但数量过多可能会卡住，不建议丢太多。
上限数量约200~600左右(未完全实装)</v>
      </c>
      <c r="E61" s="82" t="str">
        <f>IFERROR(__xludf.DUMMYFUNCTION("GOOGLETRANSLATE(A61,""zh-tw"",""es-MX"")"),"En el mapa de la Puerta Estelar, los objetos que se dejen caer en ella no se perderán y podrán usarse como almacenamiento temporal.
Sin embargo, dejar caer demasiados objetos puede causar ralentizaciones, por lo que no se recomienda hacerlo.
El número m"&amp;"áximo de objetos que se pueden dejar caer es de aproximadamente 200 a 600 (esta función aún no está completamente implementada).")</f>
        <v>En el mapa de la Puerta Estelar, los objetos que se dejen caer en ella no se perderán y podrán usarse como almacenamiento temporal.
Sin embargo, dejar caer demasiados objetos puede causar ralentizaciones, por lo que no se recomienda hacerlo.
El número máximo de objetos que se pueden dejar caer es de aproximadamente 200 a 600 (esta función aún no está completamente implementada).</v>
      </c>
      <c r="F61" s="506" t="str">
        <f>IFERROR(__xludf.DUMMYFUNCTION("GOOGLETRANSLATE(A61,""zh-tw"",""KO"")"),"스타게이트 맵에서 스타게이트에 떨어뜨린 아이템은 사라지지 않고 임시 보관함으로 사용할 수 있습니다.
단, 너무 많은 아이템을 떨어뜨리면 렉이 발생할 수 있으므로 권장하지 않습니다.
최대 떨어뜨릴 수 있는 아이템 개수는 약 200~600개입니다(완전히 구현되지 않음).")</f>
        <v>스타게이트 맵에서 스타게이트에 떨어뜨린 아이템은 사라지지 않고 임시 보관함으로 사용할 수 있습니다.
단, 너무 많은 아이템을 떨어뜨리면 렉이 발생할 수 있으므로 권장하지 않습니다.
최대 떨어뜨릴 수 있는 아이템 개수는 약 200~600개입니다(완전히 구현되지 않음).</v>
      </c>
      <c r="G61" s="156" t="s">
        <v>11253</v>
      </c>
      <c r="H61" s="506" t="str">
        <f>IFERROR(__xludf.DUMMYFUNCTION("GOOGLETRANSLATE(A61,""zh-tw"",""de"")"),"Auf der Sternentor-Karte gehen Gegenstände, die in Sternentore geworfen werden, nicht verloren und können als temporärer Lagerplatz genutzt werden.
Das Werfen zu vieler Gegenstände kann jedoch zu Verzögerungen führen. Daher wird davon abgeraten, zu viele"&amp;" Gegenstände in Sternentore zu werfen.
Die maximale Anzahl an Gegenständen, die in Sternentore geworfen werden können, liegt bei etwa 200–600 (noch nicht vollständig implementiert).")</f>
        <v>Auf der Sternentor-Karte gehen Gegenstände, die in Sternentore geworfen werden, nicht verloren und können als temporärer Lagerplatz genutzt werden.
Das Werfen zu vieler Gegenstände kann jedoch zu Verzögerungen führen. Daher wird davon abgeraten, zu viele Gegenstände in Sternentore zu werfen.
Die maximale Anzahl an Gegenständen, die in Sternentore geworfen werden können, liegt bei etwa 200–600 (noch nicht vollständig implementiert).</v>
      </c>
      <c r="I61" s="146" t="s">
        <v>11254</v>
      </c>
      <c r="J61" s="506" t="s">
        <v>11255</v>
      </c>
      <c r="K61" s="118" t="s">
        <v>11256</v>
      </c>
      <c r="L61" s="506"/>
      <c r="M61" s="70"/>
      <c r="N61" s="70"/>
      <c r="O61" s="70"/>
      <c r="P61" s="70"/>
      <c r="Q61" s="70"/>
      <c r="R61" s="70"/>
      <c r="S61" s="70"/>
      <c r="T61" s="70"/>
      <c r="U61" s="70"/>
      <c r="V61" s="70"/>
      <c r="W61" s="70"/>
      <c r="X61" s="70"/>
      <c r="Y61" s="70"/>
    </row>
    <row r="62">
      <c r="A62" s="79" t="s">
        <v>11257</v>
      </c>
      <c r="B62" s="505" t="s">
        <v>11258</v>
      </c>
      <c r="C62" s="79" t="s">
        <v>11259</v>
      </c>
      <c r="D62" s="505" t="str">
        <f>IFERROR(__xludf.DUMMYFUNCTION("GOOGLETRANSLATE(A62,""zh-tw"",""zh"")"),"心情数值(0~100)是隐藏的，可以从妹妹平时的态度感受出来")</f>
        <v>心情数值(0~100)是隐藏的，可以从妹妹平时的态度感受出来</v>
      </c>
      <c r="E62" s="82" t="str">
        <f>IFERROR(__xludf.DUMMYFUNCTION("GOOGLETRANSLATE(A62,""zh-tw"",""es-MX"")"),"La puntuación del estado de ánimo (0~100) está oculta, pero se puede intuir por la actitud habitual de la hermana menor.")</f>
        <v>La puntuación del estado de ánimo (0~100) está oculta, pero se puede intuir por la actitud habitual de la hermana menor.</v>
      </c>
      <c r="F62" s="506" t="str">
        <f>IFERROR(__xludf.DUMMYFUNCTION("GOOGLETRANSLATE(A62,""zh-tw"",""KO"")"),"기분 점수(0~100)는 숨겨져 있지만, 여동생의 평소 태도를 통해 짐작할 수 있다.")</f>
        <v>기분 점수(0~100)는 숨겨져 있지만, 여동생의 평소 태도를 통해 짐작할 수 있다.</v>
      </c>
      <c r="G62" s="156" t="s">
        <v>11260</v>
      </c>
      <c r="H62" s="506" t="str">
        <f>IFERROR(__xludf.DUMMYFUNCTION("GOOGLETRANSLATE(A62,""zh-tw"",""de"")"),"Die Stimmungsbewertung (0~100) ist nicht sichtbar, kann aber an der üblichen Haltung der jüngeren Schwester abgeschätzt werden.")</f>
        <v>Die Stimmungsbewertung (0~100) ist nicht sichtbar, kann aber an der üblichen Haltung der jüngeren Schwester abgeschätzt werden.</v>
      </c>
      <c r="I62" s="199" t="s">
        <v>11261</v>
      </c>
      <c r="J62" s="506" t="s">
        <v>11262</v>
      </c>
      <c r="K62" s="118" t="s">
        <v>11263</v>
      </c>
      <c r="L62" s="506"/>
      <c r="M62" s="70"/>
      <c r="N62" s="70"/>
      <c r="O62" s="70"/>
      <c r="P62" s="70"/>
      <c r="Q62" s="70"/>
      <c r="R62" s="70"/>
      <c r="S62" s="70"/>
      <c r="T62" s="70"/>
      <c r="U62" s="70"/>
      <c r="V62" s="70"/>
      <c r="W62" s="70"/>
      <c r="X62" s="70"/>
      <c r="Y62" s="70"/>
    </row>
    <row r="63">
      <c r="A63" s="79" t="s">
        <v>11264</v>
      </c>
      <c r="B63" s="505" t="s">
        <v>11265</v>
      </c>
      <c r="C63" s="79" t="s">
        <v>11266</v>
      </c>
      <c r="D63" s="505" t="str">
        <f>IFERROR(__xludf.DUMMYFUNCTION("GOOGLETRANSLATE(A63,""zh-tw"",""zh"")"),"0.75版本后，使用新存档的玩家，能从一块墓碑上听到很细微的，发出奇怪的咕噜声")</f>
        <v>0.75版本后，使用新存档的玩家，能从一块墓碑上听到很细微的，发出奇怪的咕噜声</v>
      </c>
      <c r="E63" s="82" t="str">
        <f>IFERROR(__xludf.DUMMYFUNCTION("GOOGLETRANSLATE(A63,""zh-tw"",""es-MX"")"),"A partir de la versión 0.75, los jugadores que utilicen archivos de guardado nuevos podrán oír un gorgoteo muy débil y extraño procedente de una lápida.")</f>
        <v>A partir de la versión 0.75, los jugadores que utilicen archivos de guardado nuevos podrán oír un gorgoteo muy débil y extraño procedente de una lápida.</v>
      </c>
      <c r="F63" s="506" t="str">
        <f>IFERROR(__xludf.DUMMYFUNCTION("GOOGLETRANSLATE(A63,""zh-tw"",""KO"")"),"버전 0.75 이후, 새로운 저장 파일을 사용하는 플레이어는 묘비에서 아주 희미하고 이상한 꿀렁거리는 소리를 들을 수 있습니다.")</f>
        <v>버전 0.75 이후, 새로운 저장 파일을 사용하는 플레이어는 묘비에서 아주 희미하고 이상한 꿀렁거리는 소리를 들을 수 있습니다.</v>
      </c>
      <c r="G63" s="156" t="s">
        <v>11267</v>
      </c>
      <c r="H63" s="506" t="str">
        <f>IFERROR(__xludf.DUMMYFUNCTION("GOOGLETRANSLATE(A63,""zh-tw"",""de"")"),"Ab Version 0.75 können Spieler, die neue Speicherstände verwenden, ein sehr leises, seltsames Glucksen aus einem Grabstein hören.")</f>
        <v>Ab Version 0.75 können Spieler, die neue Speicherstände verwenden, ein sehr leises, seltsames Glucksen aus einem Grabstein hören.</v>
      </c>
      <c r="I63" s="199" t="s">
        <v>11268</v>
      </c>
      <c r="J63" s="506" t="s">
        <v>11269</v>
      </c>
      <c r="K63" s="118" t="s">
        <v>11270</v>
      </c>
      <c r="L63" s="506"/>
      <c r="M63" s="70"/>
      <c r="N63" s="70"/>
      <c r="O63" s="70"/>
      <c r="P63" s="70"/>
      <c r="Q63" s="70"/>
      <c r="R63" s="70"/>
      <c r="S63" s="70"/>
      <c r="T63" s="70"/>
      <c r="U63" s="70"/>
      <c r="V63" s="70"/>
      <c r="W63" s="70"/>
      <c r="X63" s="70"/>
      <c r="Y63" s="70"/>
    </row>
    <row r="64">
      <c r="A64" s="79" t="s">
        <v>11271</v>
      </c>
      <c r="B64" s="505" t="s">
        <v>11272</v>
      </c>
      <c r="C64" s="79" t="s">
        <v>11273</v>
      </c>
      <c r="D64" s="505" t="str">
        <f>IFERROR(__xludf.DUMMYFUNCTION("GOOGLETRANSLATE(A64,""zh-tw"",""zh"")"),"妹妹免疫毒素，因此有毒的食物不会使她中毒，但哥哥无法免疫。")</f>
        <v>妹妹免疫毒素，因此有毒的食物不会使她中毒，但哥哥无法免疫。</v>
      </c>
      <c r="E64" s="82" t="str">
        <f>IFERROR(__xludf.DUMMYFUNCTION("GOOGLETRANSLATE(A64,""zh-tw"",""es-MX"")"),"La hermana menor es inmune a las toxinas, por lo que los alimentos venenosos no la envenenarán, pero el hermano mayor no es inmune.")</f>
        <v>La hermana menor es inmune a las toxinas, por lo que los alimentos venenosos no la envenenarán, pero el hermano mayor no es inmune.</v>
      </c>
      <c r="F64" s="506" t="str">
        <f>IFERROR(__xludf.DUMMYFUNCTION("GOOGLETRANSLATE(A64,""zh-tw"",""KO"")"),"여동생은 독소에 면역력이 있어서 독이 든 음식을 먹어도 중독되지 않지만, 오빠는 그렇지 않다.")</f>
        <v>여동생은 독소에 면역력이 있어서 독이 든 음식을 먹어도 중독되지 않지만, 오빠는 그렇지 않다.</v>
      </c>
      <c r="G64" s="156" t="s">
        <v>11274</v>
      </c>
      <c r="H64" s="506" t="str">
        <f>IFERROR(__xludf.DUMMYFUNCTION("GOOGLETRANSLATE(A64,""zh-tw"",""de"")"),"Die jüngere Schwester ist immun gegen Giftstoffe, daher kann sie sich durch giftige Lebensmittel nicht vergiften, der ältere Bruder hingegen nicht.")</f>
        <v>Die jüngere Schwester ist immun gegen Giftstoffe, daher kann sie sich durch giftige Lebensmittel nicht vergiften, der ältere Bruder hingegen nicht.</v>
      </c>
      <c r="I64" s="146" t="s">
        <v>11275</v>
      </c>
      <c r="J64" s="506" t="s">
        <v>11276</v>
      </c>
      <c r="K64" s="118" t="s">
        <v>11277</v>
      </c>
      <c r="L64" s="506"/>
      <c r="M64" s="70"/>
      <c r="N64" s="70"/>
      <c r="O64" s="70"/>
      <c r="P64" s="70"/>
      <c r="Q64" s="70"/>
      <c r="R64" s="70"/>
      <c r="S64" s="70"/>
      <c r="T64" s="70"/>
      <c r="U64" s="70"/>
      <c r="V64" s="70"/>
      <c r="W64" s="70"/>
      <c r="X64" s="70"/>
      <c r="Y64" s="70"/>
    </row>
    <row r="65">
      <c r="A65" s="79" t="s">
        <v>11278</v>
      </c>
      <c r="B65" s="505" t="s">
        <v>11279</v>
      </c>
      <c r="C65" s="79" t="s">
        <v>11280</v>
      </c>
      <c r="D65" s="505" t="str">
        <f>IFERROR(__xludf.DUMMYFUNCTION("GOOGLETRANSLATE(A65,""zh-tw"",""zh"")"),"shift键可以切换走路/奔跑姿态")</f>
        <v>shift键可以切换走路/奔跑姿态</v>
      </c>
      <c r="E65" s="82" t="str">
        <f>IFERROR(__xludf.DUMMYFUNCTION("GOOGLETRANSLATE(A65,""zh-tw"",""es-MX"")"),"La tecla Mayús permite alternar entre las posturas de caminar y correr.")</f>
        <v>La tecla Mayús permite alternar entre las posturas de caminar y correr.</v>
      </c>
      <c r="F65" s="506" t="str">
        <f>IFERROR(__xludf.DUMMYFUNCTION("GOOGLETRANSLATE(A65,""zh-tw"",""KO"")"),"Shift 키를 누르면 걷기 자세와 달리기 자세를 전환할 수 있습니다.")</f>
        <v>Shift 키를 누르면 걷기 자세와 달리기 자세를 전환할 수 있습니다.</v>
      </c>
      <c r="G65" s="156" t="s">
        <v>11281</v>
      </c>
      <c r="H65" s="506" t="str">
        <f>IFERROR(__xludf.DUMMYFUNCTION("GOOGLETRANSLATE(A65,""zh-tw"",""de"")"),"Mit der Shift-Taste kann zwischen Geh- und Laufhaltung umgeschaltet werden.")</f>
        <v>Mit der Shift-Taste kann zwischen Geh- und Laufhaltung umgeschaltet werden.</v>
      </c>
      <c r="I65" s="199" t="s">
        <v>11282</v>
      </c>
      <c r="J65" s="506" t="s">
        <v>11283</v>
      </c>
      <c r="K65" s="118" t="s">
        <v>11284</v>
      </c>
      <c r="L65" s="506"/>
      <c r="M65" s="70"/>
      <c r="N65" s="70"/>
      <c r="O65" s="70"/>
      <c r="P65" s="70"/>
      <c r="Q65" s="70"/>
      <c r="R65" s="70"/>
      <c r="S65" s="70"/>
      <c r="T65" s="70"/>
      <c r="U65" s="70"/>
      <c r="V65" s="70"/>
      <c r="W65" s="70"/>
      <c r="X65" s="70"/>
      <c r="Y65" s="70"/>
    </row>
    <row r="66">
      <c r="A66" s="79" t="s">
        <v>11285</v>
      </c>
      <c r="B66" s="505" t="s">
        <v>11286</v>
      </c>
      <c r="C66" s="79" t="s">
        <v>11287</v>
      </c>
      <c r="D66" s="505" t="str">
        <f>IFERROR(__xludf.DUMMYFUNCTION("GOOGLETRANSLATE(A66,""zh-tw"",""zh"")"),"部分武器会因为习得忍者相关技能后而产生变化，例如匕首
近距离无敌人时，会自动切换为远距离的投掷，并且""标记""该敌人。
""旋风斩""被替换为""强袭""，对拥有""标记""的敌人能够瞬间移动到其身后并强化背刺伤害伤害。
""闪步太刀""技能被强制切换为短时间的隐身，隐身期间的第一次攻击会追加背刺判定
****匕首类型武器暂时未实装")</f>
        <v>部分武器会因为习得忍者相关技能后而产生变化，例如匕首
近距离无敌人时，会自动切换为远距离的投掷，并且"标记"该敌人。
"旋风斩"被替换为"强袭"，对拥有"标记"的敌人能够瞬间移动到其身后并强化背刺伤害伤害。
"闪步太刀"技能被强制切换为短时间的隐身，隐身期间的第一次攻击会追加背刺判定
****匕首类型武器暂时未实装</v>
      </c>
      <c r="E66" s="82" t="str">
        <f>IFERROR(__xludf.DUMMYFUNCTION("GOOGLETRANSLATE(A66,""zh-tw"",""es-MX"")"),"Algunas armas, como las dagas, cambian tras aprender habilidades ninja.
Cuando no hay enemigos cerca, se activa automáticamente un ataque arrojadizo de largo alcance que marca al enemigo.
""Corte Torbellino"" se ha sustituido por ""Asalto"", que permite"&amp;" teletransportarse instantáneamente detrás de un enemigo marcado y aumentar el daño de los ataques por la espalda.
La habilidad ""Katana Paso Relámpago"" activa un breve periodo de sigilo; el primer ataque durante el sigilo inflige daño adicional por la "&amp;"espalda.
****Las dagas aún no están implementadas.")</f>
        <v>Algunas armas, como las dagas, cambian tras aprender habilidades ninja.
Cuando no hay enemigos cerca, se activa automáticamente un ataque arrojadizo de largo alcance que marca al enemigo.
"Corte Torbellino" se ha sustituido por "Asalto", que permite teletransportarse instantáneamente detrás de un enemigo marcado y aumentar el daño de los ataques por la espalda.
La habilidad "Katana Paso Relámpago" activa un breve periodo de sigilo; el primer ataque durante el sigilo inflige daño adicional por la espalda.
****Las dagas aún no están implementadas.</v>
      </c>
      <c r="F66" s="506" t="str">
        <f>IFERROR(__xludf.DUMMYFUNCTION("GOOGLETRANSLATE(A66,""zh-tw"",""KO"")"),"일부 무기는 닌자 관련 기술을 습득하면 변경됩니다. 예를 들어 단검이 그렇습니다.
근거리에 적이 없을 경우 자동으로 원거리 투척 공격으로 전환되며 적에게 ""표식""을 남깁니다.
""회오리 베기""는 ""돌격""으로 대체되었으며, 표식을 남긴 적의 뒤로 순간 이동하여 배후 공격 피해를 증가시킵니다.
""섬광 도약 카타나"" 스킬은 짧은 시간 동안 은신 상태가 되며, 은신 중 첫 공격에 추가적인 배후 공격 효과가 부여됩니다.
****단검류 무기는 "&amp;"아직 구현되지 않았습니다.")</f>
        <v>일부 무기는 닌자 관련 기술을 습득하면 변경됩니다. 예를 들어 단검이 그렇습니다.
근거리에 적이 없을 경우 자동으로 원거리 투척 공격으로 전환되며 적에게 "표식"을 남깁니다.
"회오리 베기"는 "돌격"으로 대체되었으며, 표식을 남긴 적의 뒤로 순간 이동하여 배후 공격 피해를 증가시킵니다.
"섬광 도약 카타나" 스킬은 짧은 시간 동안 은신 상태가 되며, 은신 중 첫 공격에 추가적인 배후 공격 효과가 부여됩니다.
****단검류 무기는 아직 구현되지 않았습니다.</v>
      </c>
      <c r="G66" s="156" t="s">
        <v>11288</v>
      </c>
      <c r="H66" s="506" t="str">
        <f>IFERROR(__xludf.DUMMYFUNCTION("GOOGLETRANSLATE(A66,""zh-tw"",""de"")"),"Einige Waffen verändern sich nach dem Erlernen von Ninja-Fertigkeiten, wie z. B. Dolche.
Wenn sich keine Gegner in der Nähe befinden, wird automatisch auf einen Fernkampfangriff umgeschaltet und der Gegner markiert.
„Wirbelwindhieb“ wurde durch „Angriff"&amp;"“ ersetzt. Mit dieser Fähigkeit kann sich der Benutzer sofort hinter einen markierten Gegner teleportieren und den Schaden von Hinterhalten erhöhen.
Die Fertigkeit „Blitzschritt Katana“ wurde in einen kurzen Schleichmodus umgewandelt; der erste Angriff w"&amp;"ährend des Schleichmodus verursacht einen zusätzlichen Hinterhaltsschaden.
****Dolche sind noch nicht implementiert.")</f>
        <v>Einige Waffen verändern sich nach dem Erlernen von Ninja-Fertigkeiten, wie z. B. Dolche.
Wenn sich keine Gegner in der Nähe befinden, wird automatisch auf einen Fernkampfangriff umgeschaltet und der Gegner markiert.
„Wirbelwindhieb“ wurde durch „Angriff“ ersetzt. Mit dieser Fähigkeit kann sich der Benutzer sofort hinter einen markierten Gegner teleportieren und den Schaden von Hinterhalten erhöhen.
Die Fertigkeit „Blitzschritt Katana“ wurde in einen kurzen Schleichmodus umgewandelt; der erste Angriff während des Schleichmodus verursacht einen zusätzlichen Hinterhaltsschaden.
****Dolche sind noch nicht implementiert.</v>
      </c>
      <c r="I66" s="199" t="s">
        <v>11289</v>
      </c>
      <c r="J66" s="506" t="s">
        <v>11290</v>
      </c>
      <c r="K66" s="118" t="s">
        <v>11291</v>
      </c>
      <c r="L66" s="506"/>
      <c r="M66" s="70"/>
      <c r="N66" s="70"/>
      <c r="O66" s="70"/>
      <c r="P66" s="70"/>
      <c r="Q66" s="70"/>
      <c r="R66" s="70"/>
      <c r="S66" s="70"/>
      <c r="T66" s="70"/>
      <c r="U66" s="70"/>
      <c r="V66" s="70"/>
      <c r="W66" s="70"/>
      <c r="X66" s="70"/>
      <c r="Y66" s="70"/>
    </row>
    <row r="67">
      <c r="A67" s="79" t="s">
        <v>11292</v>
      </c>
      <c r="B67" s="505" t="s">
        <v>11293</v>
      </c>
      <c r="C67" s="79" t="s">
        <v>11294</v>
      </c>
      <c r="D67" s="505" t="str">
        <f>IFERROR(__xludf.DUMMYFUNCTION("GOOGLETRANSLATE(A67,""zh-tw"",""zh"")"),"「做坏事」会累积罪恶值，例如：对妹妹性骚扰、背刺敌人、破坏公物、使用炸弹到河里
(罪恶值目前未实装)")</f>
        <v>「做坏事」会累积罪恶值，例如：对妹妹性骚扰、背刺敌人、破坏公物、使用炸弹到河里
(罪恶值目前未实装)</v>
      </c>
      <c r="E67" s="82" t="str">
        <f>IFERROR(__xludf.DUMMYFUNCTION("GOOGLETRANSLATE(A67,""zh-tw"",""es-MX"")"),"Realizar malas acciones acumula puntos de pecado, como acosar sexualmente a tu hermana, traicionar a un enemigo, vandalizar propiedad pública y arrojar una bomba a un río.
(Los puntos de pecado aún no están implementados).")</f>
        <v>Realizar malas acciones acumula puntos de pecado, como acosar sexualmente a tu hermana, traicionar a un enemigo, vandalizar propiedad pública y arrojar una bomba a un río.
(Los puntos de pecado aún no están implementados).</v>
      </c>
      <c r="F67" s="506" t="str">
        <f>IFERROR(__xludf.DUMMYFUNCTION("GOOGLETRANSLATE(A67,""zh-tw"",""KO"")"),"나쁜 짓을 하면 죄악 점수가 쌓입니다. 예를 들어 여동생을 성희롱하거나, 적을 배신하거나, 공공기물을 파손하거나, 강에 폭탄을 던지는 것 등이 있습니다.
(죄악 점수 시스템은 아직 구현되지 않았습니다.)")</f>
        <v>나쁜 짓을 하면 죄악 점수가 쌓입니다. 예를 들어 여동생을 성희롱하거나, 적을 배신하거나, 공공기물을 파손하거나, 강에 폭탄을 던지는 것 등이 있습니다.
(죄악 점수 시스템은 아직 구현되지 않았습니다.)</v>
      </c>
      <c r="G67" s="156" t="s">
        <v>11295</v>
      </c>
      <c r="H67" s="506" t="str">
        <f>IFERROR(__xludf.DUMMYFUNCTION("GOOGLETRANSLATE(A67,""zh-tw"",""de"")"),"Schlechte Taten führen zu Sündenpunkten, zum Beispiel: die eigene Schwester sexuell belästigen, einen Feind hintergehen, öffentliches Eigentum beschädigen oder eine Bombe in einen Fluss werfen.
(Sündenpunkte sind noch nicht implementiert.)")</f>
        <v>Schlechte Taten führen zu Sündenpunkten, zum Beispiel: die eigene Schwester sexuell belästigen, einen Feind hintergehen, öffentliches Eigentum beschädigen oder eine Bombe in einen Fluss werfen.
(Sündenpunkte sind noch nicht implementiert.)</v>
      </c>
      <c r="I67" s="146" t="s">
        <v>11296</v>
      </c>
      <c r="J67" s="506" t="s">
        <v>11297</v>
      </c>
      <c r="K67" s="79" t="s">
        <v>11298</v>
      </c>
      <c r="L67" s="506"/>
      <c r="M67" s="70"/>
      <c r="N67" s="70"/>
      <c r="O67" s="70"/>
      <c r="P67" s="70"/>
      <c r="Q67" s="70"/>
      <c r="R67" s="70"/>
      <c r="S67" s="70"/>
      <c r="T67" s="70"/>
      <c r="U67" s="70"/>
      <c r="V67" s="70"/>
      <c r="W67" s="70"/>
      <c r="X67" s="70"/>
      <c r="Y67" s="70"/>
    </row>
    <row r="68">
      <c r="A68" s="79" t="s">
        <v>11299</v>
      </c>
      <c r="B68" s="505" t="s">
        <v>11300</v>
      </c>
      <c r="C68" s="79" t="s">
        <v>11301</v>
      </c>
      <c r="D68" s="505" t="str">
        <f>IFERROR(__xludf.DUMMYFUNCTION("GOOGLETRANSLATE(A68,""zh-tw"",""zh"")"),"背后刺杀的各阶段等级需求(次数)：
2级-&gt;5
3级-&gt;27
4级-&gt;60
5级-&gt;120
6级-&gt;256
7级-&gt;530
8级-&gt;960
9级-&gt;1587 
10级-&gt;2452 
11级-&gt;3600
背后刺杀的各阶段伤害倍率(%)：
等级=1 →200
等级=2 → 241
等级=2 → 241
等级=3 → 342
等级=4 → 495
等级=5→ 696
等级=6 → 940
等级=7 → 1228
等级=8 → 1557
等级=9 → 1926
等级=10 → 2333
等级=11 → 2778")</f>
        <v>背后刺杀的各阶段等级需求(次数)：
2级-&gt;5
3级-&gt;27
4级-&gt;60
5级-&gt;120
6级-&gt;256
7级-&gt;530
8级-&gt;960
9级-&gt;1587 
10级-&gt;2452 
11级-&gt;3600
背后刺杀的各阶段伤害倍率(%)：
等级=1 →200
等级=2 → 241
等级=2 → 241
等级=3 → 342
等级=4 → 495
等级=5→ 696
等级=6 → 940
等级=7 → 1228
等级=8 → 1557
等级=9 → 1926
等级=10 → 2333
等级=11 → 2778</v>
      </c>
      <c r="E68" s="82" t="str">
        <f>IFERROR(__xludf.DUMMYFUNCTION("GOOGLETRANSLATE(A68,""zh-tw"",""es-MX"")"),"Requisitos de nivel (número de intentos) para cada fase del Ataque por la espalda:
Nivel 2 -&gt; 5
Nivel 3 -&gt; 27
Nivel 4 -&gt; 60
Nivel 5 -&gt; 120
Nivel 6 -&gt; 256
Nivel 7 -&gt; 530
Nivel 8 -&gt; 960
Nivel 9 -&gt; 1587
Nivel 10 -&gt; 2452
Nivel 11 -&gt; 3600
Multiplica"&amp;"dor de daño (%) para cada fase del Ataque por la espalda:
Nivel=1 → 200
Nivel=2 → 241
Nivel=2 → 241
Nivel=3 → 342
Nivel=4 → 495
Nivel=5 → 696
Nivel=6 → 940
Nivel=7 → 1228
Nivel=8 → 1557
Nivel=9 → 1926
Nivel=10 → 2333
Nivel=11 → 2778")</f>
        <v>Requisitos de nivel (número de intentos) para cada fase del Ataque por la espalda:
Nivel 2 -&gt; 5
Nivel 3 -&gt; 27
Nivel 4 -&gt; 60
Nivel 5 -&gt; 120
Nivel 6 -&gt; 256
Nivel 7 -&gt; 530
Nivel 8 -&gt; 960
Nivel 9 -&gt; 1587
Nivel 10 -&gt; 2452
Nivel 11 -&gt; 3600
Multiplicador de daño (%) para cada fase del Ataque por la espalda:
Nivel=1 → 200
Nivel=2 → 241
Nivel=2 → 241
Nivel=3 → 342
Nivel=4 → 495
Nivel=5 → 696
Nivel=6 → 940
Nivel=7 → 1228
Nivel=8 → 1557
Nivel=9 → 1926
Nivel=10 → 2333
Nivel=11 → 2778</v>
      </c>
      <c r="F68" s="506" t="str">
        <f>IFERROR(__xludf.DUMMYFUNCTION("GOOGLETRANSLATE(A68,""zh-tw"",""KO"")"),"백스탭 각 단계별 레벨 요구 사항(시도 횟수):
레벨 2 -&gt; 5
레벨 3 -&gt; 27
레벨 4 -&gt; 60
레벨 5 -&gt; 120
레벨 6 -&gt; 256
레벨 7 -&gt; 530
레벨 8 -&gt; 960
레벨 9 -&gt; 1587
레벨 10 -&gt; 2452
레벨 11 -&gt; 3600
백스탭 각 단계별 피해 배율(%):
레벨 1 → 200
레벨 2 → 241
레벨 2 → 241
레벨 3 → 342
레벨 4 → 495
레벨 5 → 696
레벨 "&amp;"6 → 940
레벨 7 → 1228
레벨 8 → 1557
레벨=9 → 1926
레벨=10 → 2333
레벨=11 → 2778")</f>
        <v>백스탭 각 단계별 레벨 요구 사항(시도 횟수):
레벨 2 -&gt; 5
레벨 3 -&gt; 27
레벨 4 -&gt; 60
레벨 5 -&gt; 120
레벨 6 -&gt; 256
레벨 7 -&gt; 530
레벨 8 -&gt; 960
레벨 9 -&gt; 1587
레벨 10 -&gt; 2452
레벨 11 -&gt; 3600
백스탭 각 단계별 피해 배율(%):
레벨 1 → 200
레벨 2 → 241
레벨 2 → 241
레벨 3 → 342
레벨 4 → 495
레벨 5 → 696
레벨 6 → 940
레벨 7 → 1228
레벨 8 → 1557
레벨=9 → 1926
레벨=10 → 2333
레벨=11 → 2778</v>
      </c>
      <c r="G68" s="130" t="s">
        <v>11302</v>
      </c>
      <c r="H68" s="506" t="str">
        <f>IFERROR(__xludf.DUMMYFUNCTION("GOOGLETRANSLATE(A68,""zh-tw"",""de"")"),"Levelvoraussetzungen (Anzahl der Versuche) für jede Phase des Hinterhalts:
Level 2 -&gt; 5
Level 3 -&gt; 27
Level 4 -&gt; 60
Level 5 -&gt; 120
Level 6 -&gt; 256
Level 7 -&gt; 530
Level 8 -&gt; 960
Level 9 -&gt; 1587
Level 10 -&gt; 2452
Level 11 -&gt; 3600
Schadensmultiplika"&amp;"tor (%) für jede Phase des Hinterhalts:
Level 1 → 200
Level 2 → 241
Level 3 → 342
Level 4 → 495
Level 5 → 696
Level 6 → 940
Level 7 → 1228
Level 8 → 1557
Level=9 → 1926
Level=10 → 2333
Level=11 → 2778")</f>
        <v>Levelvoraussetzungen (Anzahl der Versuche) für jede Phase des Hinterhalts:
Level 2 -&gt; 5
Level 3 -&gt; 27
Level 4 -&gt; 60
Level 5 -&gt; 120
Level 6 -&gt; 256
Level 7 -&gt; 530
Level 8 -&gt; 960
Level 9 -&gt; 1587
Level 10 -&gt; 2452
Level 11 -&gt; 3600
Schadensmultiplikator (%) für jede Phase des Hinterhalts:
Level 1 → 200
Level 2 → 241
Level 3 → 342
Level 4 → 495
Level 5 → 696
Level 6 → 940
Level 7 → 1228
Level 8 → 1557
Level=9 → 1926
Level=10 → 2333
Level=11 → 2778</v>
      </c>
      <c r="I68" s="146" t="s">
        <v>11303</v>
      </c>
      <c r="J68" s="505" t="s">
        <v>11304</v>
      </c>
      <c r="K68" s="118" t="s">
        <v>11305</v>
      </c>
      <c r="L68" s="505"/>
      <c r="M68" s="70"/>
      <c r="N68" s="70"/>
      <c r="O68" s="70"/>
      <c r="P68" s="70"/>
      <c r="Q68" s="70"/>
      <c r="R68" s="70"/>
      <c r="S68" s="70"/>
      <c r="T68" s="70"/>
      <c r="U68" s="70"/>
      <c r="V68" s="70"/>
      <c r="W68" s="70"/>
      <c r="X68" s="70"/>
      <c r="Y68" s="70"/>
    </row>
    <row r="69">
      <c r="A69" s="79" t="s">
        <v>11306</v>
      </c>
      <c r="B69" s="505" t="s">
        <v>11307</v>
      </c>
      <c r="C69" s="79" t="s">
        <v>11308</v>
      </c>
      <c r="D69" s="505" t="str">
        <f>IFERROR(__xludf.DUMMYFUNCTION("GOOGLETRANSLATE(A69,""zh-tw"",""zh"")"),"背后刺杀，也可以对场景物件(例如树木、罐子)生效，可以轻松的提升熟练度。
(有些物件的方位要注意，例如：花朵、蘑菇)")</f>
        <v>背后刺杀，也可以对场景物件(例如树木、罐子)生效，可以轻松的提升熟练度。
(有些物件的方位要注意，例如：花朵、蘑菇)</v>
      </c>
      <c r="E69" s="82" t="str">
        <f>IFERROR(__xludf.DUMMYFUNCTION("GOOGLETRANSLATE(A69,""zh-tw"",""es-MX"")"),"También se pueden realizar ataques por la espalda a objetos del entorno (como árboles y jarrones), lo que aumenta fácilmente la habilidad.
(Observa la ubicación de algunos objetos, como flores y setas).")</f>
        <v>También se pueden realizar ataques por la espalda a objetos del entorno (como árboles y jarrones), lo que aumenta fácilmente la habilidad.
(Observa la ubicación de algunos objetos, como flores y setas).</v>
      </c>
      <c r="F69" s="506" t="str">
        <f>IFERROR(__xludf.DUMMYFUNCTION("GOOGLETRANSLATE(A69,""zh-tw"",""KO"")"),"뒤에서 공격하는 기술은 나무나 항아리 같은 주변 사물에도 사용할 수 있어 숙련도를 쉽게 높일 수 있습니다.
(꽃이나 버섯 같은 일부 사물의 위치를 ​​참고하세요.)")</f>
        <v>뒤에서 공격하는 기술은 나무나 항아리 같은 주변 사물에도 사용할 수 있어 숙련도를 쉽게 높일 수 있습니다.
(꽃이나 버섯 같은 일부 사물의 위치를 ​​참고하세요.)</v>
      </c>
      <c r="G69" s="156" t="s">
        <v>11309</v>
      </c>
      <c r="H69" s="506" t="str">
        <f>IFERROR(__xludf.DUMMYFUNCTION("GOOGLETRANSLATE(A69,""zh-tw"",""de"")"),"Hinterhältige Angriffe lassen sich auch an Objekten in der Umgebung (wie Bäumen und Krügen) ausführen, wodurch sich die Fertigkeit leicht steigern lässt.
(Beachte die Position einiger Objekte, wie z. B. Blumen und Pilze.)")</f>
        <v>Hinterhältige Angriffe lassen sich auch an Objekten in der Umgebung (wie Bäumen und Krügen) ausführen, wodurch sich die Fertigkeit leicht steigern lässt.
(Beachte die Position einiger Objekte, wie z. B. Blumen und Pilze.)</v>
      </c>
      <c r="I69" s="199" t="s">
        <v>11310</v>
      </c>
      <c r="J69" s="506" t="s">
        <v>11311</v>
      </c>
      <c r="K69" s="118" t="s">
        <v>11312</v>
      </c>
      <c r="L69" s="506"/>
      <c r="M69" s="70"/>
      <c r="N69" s="70"/>
      <c r="O69" s="70"/>
      <c r="P69" s="70"/>
      <c r="Q69" s="70"/>
      <c r="R69" s="70"/>
      <c r="S69" s="70"/>
      <c r="T69" s="70"/>
      <c r="U69" s="70"/>
      <c r="V69" s="70"/>
      <c r="W69" s="70"/>
      <c r="X69" s="70"/>
      <c r="Y69" s="70"/>
    </row>
    <row r="70">
      <c r="A70" s="79" t="s">
        <v>11313</v>
      </c>
      <c r="B70" s="505" t="s">
        <v>11314</v>
      </c>
      <c r="C70" s="79" t="s">
        <v>11315</v>
      </c>
      <c r="D70" s="505" t="str">
        <f>IFERROR(__xludf.DUMMYFUNCTION("GOOGLETRANSLATE(A70,""zh-tw"",""zh"")"),"技能""气息消除""
在敌人背后潜行和在洗面所跳舞都可以累积熟练度，熟练度看不到，请直接查看技能等级")</f>
        <v>技能"气息消除"
在敌人背后潜行和在洗面所跳舞都可以累积熟练度，熟练度看不到，请直接查看技能等级</v>
      </c>
      <c r="E70" s="82" t="str">
        <f>IFERROR(__xludf.DUMMYFUNCTION("GOOGLETRANSLATE(A70,""zh-tw"",""es-MX"")"),"La habilidad ""Eliminación de olores"" se puede dominar acercándose sigilosamente a los enemigos o bailando en el baño. El nivel de dominio no se muestra; por favor, compruebe el nivel de habilidad directamente.")</f>
        <v>La habilidad "Eliminación de olores" se puede dominar acercándose sigilosamente a los enemigos o bailando en el baño. El nivel de dominio no se muestra; por favor, compruebe el nivel de habilidad directamente.</v>
      </c>
      <c r="F70" s="506" t="str">
        <f>IFERROR(__xludf.DUMMYFUNCTION("GOOGLETRANSLATE(A70,""zh-tw"",""KO"")"),"'냄새 제거' 기술은 적 뒤로 몰래 다가가거나 화장실에서 춤을 추는 등의 방법으로 숙달할 수 있습니다. 숙달 레벨은 표시되지 않으므로, 직접 스킬 레벨을 확인하세요.")</f>
        <v>'냄새 제거' 기술은 적 뒤로 몰래 다가가거나 화장실에서 춤을 추는 등의 방법으로 숙달할 수 있습니다. 숙달 레벨은 표시되지 않으므로, 직접 스킬 레벨을 확인하세요.</v>
      </c>
      <c r="G70" s="156" t="s">
        <v>11316</v>
      </c>
      <c r="H70" s="505" t="s">
        <v>11317</v>
      </c>
      <c r="I70" s="199" t="s">
        <v>11318</v>
      </c>
      <c r="J70" s="506" t="s">
        <v>11319</v>
      </c>
      <c r="K70" s="118" t="s">
        <v>11320</v>
      </c>
      <c r="L70" s="506"/>
      <c r="M70" s="70"/>
      <c r="N70" s="70"/>
      <c r="O70" s="70"/>
      <c r="P70" s="70"/>
      <c r="Q70" s="70"/>
      <c r="R70" s="70"/>
      <c r="S70" s="70"/>
      <c r="T70" s="70"/>
      <c r="U70" s="70"/>
      <c r="V70" s="70"/>
      <c r="W70" s="70"/>
      <c r="X70" s="70"/>
      <c r="Y70" s="70"/>
    </row>
    <row r="71">
      <c r="A71" s="79" t="s">
        <v>11321</v>
      </c>
      <c r="B71" s="505" t="s">
        <v>11322</v>
      </c>
      <c r="C71" s="79" t="s">
        <v>11323</v>
      </c>
      <c r="D71" s="505" t="str">
        <f>IFERROR(__xludf.DUMMYFUNCTION("GOOGLETRANSLATE(A71,""zh-tw"",""zh"")"),"精英野怪：当一种怪物被击杀的数量达到某个程度后，就可能诞生被强化的野怪，拥有更强大的属性。
目前只有初步实装，后续会再加强各方面的特效以及宝物掉落。")</f>
        <v>精英野怪：当一种怪物被击杀的数量达到某个程度后，就可能诞生被强化的野怪，拥有更强大的属性。
目前只有初步实装，后续会再加强各方面的特效以及宝物掉落。</v>
      </c>
      <c r="E71" s="82" t="str">
        <f>IFERROR(__xludf.DUMMYFUNCTION("GOOGLETRANSLATE(A71,""zh-tw"",""es-MX"")"),"Monstruos de élite: Al derrotar a un cierto número de monstruos, pueden aparecer monstruos mejorados con atributos más fuertes.
Actualmente, esta función se encuentra en su fase inicial; se realizarán mejoras en diversos efectos y en los objetos que se o"&amp;"btienen.")</f>
        <v>Monstruos de élite: Al derrotar a un cierto número de monstruos, pueden aparecer monstruos mejorados con atributos más fuertes.
Actualmente, esta función se encuentra en su fase inicial; se realizarán mejoras en diversos efectos y en los objetos que se obtienen.</v>
      </c>
      <c r="F71" s="506" t="str">
        <f>IFERROR(__xludf.DUMMYFUNCTION("GOOGLETRANSLATE(A71,""zh-tw"",""KO"")"),"정예 몬스터: 일정 수의 몬스터를 처치하면 더욱 강력한 능력을 가진 강화 몬스터가 등장할 수 있습니다.
현재는 초기 구현 단계이며, 향후 다양한 효과와 아이템 드롭이 개선될 예정입니다.")</f>
        <v>정예 몬스터: 일정 수의 몬스터를 처치하면 더욱 강력한 능력을 가진 강화 몬스터가 등장할 수 있습니다.
현재는 초기 구현 단계이며, 향후 다양한 효과와 아이템 드롭이 개선될 예정입니다.</v>
      </c>
      <c r="G71" s="156" t="s">
        <v>11324</v>
      </c>
      <c r="H71" s="505" t="s">
        <v>11325</v>
      </c>
      <c r="I71" s="199" t="s">
        <v>11326</v>
      </c>
      <c r="J71" s="506" t="s">
        <v>11327</v>
      </c>
      <c r="K71" s="118" t="s">
        <v>11328</v>
      </c>
      <c r="L71" s="506"/>
      <c r="M71" s="70"/>
      <c r="N71" s="70"/>
      <c r="O71" s="70"/>
      <c r="P71" s="70"/>
      <c r="Q71" s="70"/>
      <c r="R71" s="70"/>
      <c r="S71" s="70"/>
      <c r="T71" s="70"/>
      <c r="U71" s="70"/>
      <c r="V71" s="70"/>
      <c r="W71" s="70"/>
      <c r="X71" s="70"/>
      <c r="Y71" s="70"/>
    </row>
    <row r="72">
      <c r="A72" s="79" t="s">
        <v>11329</v>
      </c>
      <c r="B72" s="505" t="s">
        <v>11330</v>
      </c>
      <c r="C72" s="79" t="s">
        <v>11331</v>
      </c>
      <c r="D72" s="505" t="str">
        <f>IFERROR(__xludf.DUMMYFUNCTION("GOOGLETRANSLATE(A72,""zh-tw"",""zh"")"),"同上，饮料贩卖机也有可能出现菁英饮料贩卖机")</f>
        <v>同上，饮料贩卖机也有可能出现菁英饮料贩卖机</v>
      </c>
      <c r="E72" s="82" t="str">
        <f>IFERROR(__xludf.DUMMYFUNCTION("GOOGLETRANSLATE(A72,""zh-tw"",""es-MX"")"),"Del mismo modo, también podrían aparecer máquinas expendedoras de bebidas de alta gama.")</f>
        <v>Del mismo modo, también podrían aparecer máquinas expendedoras de bebidas de alta gama.</v>
      </c>
      <c r="F72" s="506" t="str">
        <f>IFERROR(__xludf.DUMMYFUNCTION("GOOGLETRANSLATE(A72,""zh-tw"",""KO"")"),"마찬가지로 고급 음료 자판기도 등장할 수 있습니다.")</f>
        <v>마찬가지로 고급 음료 자판기도 등장할 수 있습니다.</v>
      </c>
      <c r="G72" s="156" t="s">
        <v>11332</v>
      </c>
      <c r="H72" s="505" t="s">
        <v>11333</v>
      </c>
      <c r="I72" s="199" t="s">
        <v>11334</v>
      </c>
      <c r="J72" s="506" t="s">
        <v>11335</v>
      </c>
      <c r="K72" s="118" t="s">
        <v>11336</v>
      </c>
      <c r="L72" s="506"/>
      <c r="M72" s="70"/>
      <c r="N72" s="70"/>
      <c r="O72" s="70"/>
      <c r="P72" s="70"/>
      <c r="Q72" s="70"/>
      <c r="R72" s="70"/>
      <c r="S72" s="70"/>
      <c r="T72" s="70"/>
      <c r="U72" s="70"/>
      <c r="V72" s="70"/>
      <c r="W72" s="70"/>
      <c r="X72" s="70"/>
      <c r="Y72" s="70"/>
    </row>
    <row r="73">
      <c r="A73" s="79" t="s">
        <v>11337</v>
      </c>
      <c r="B73" s="505" t="s">
        <v>11338</v>
      </c>
      <c r="C73" s="79" t="s">
        <v>11339</v>
      </c>
      <c r="D73" s="505" t="str">
        <f>IFERROR(__xludf.DUMMYFUNCTION("GOOGLETRANSLATE(A73,""zh-tw"",""zh"")"),"史莱姆猫咪其实不是喜欢哥哥，而是喜欢他身上沾到的妹妹香味。")</f>
        <v>史莱姆猫咪其实不是喜欢哥哥，而是喜欢他身上沾到的妹妹香味。</v>
      </c>
      <c r="E73" s="82" t="str">
        <f>IFERROR(__xludf.DUMMYFUNCTION("GOOGLETRANSLATE(A73,""zh-tw"",""es-MX"")"),"Al gato viscoso en realidad no le cae bien su hermano; simplemente le gusta el olor de su hermana que se le adhiere.")</f>
        <v>Al gato viscoso en realidad no le cae bien su hermano; simplemente le gusta el olor de su hermana que se le adhiere.</v>
      </c>
      <c r="F73" s="506" t="str">
        <f>IFERROR(__xludf.DUMMYFUNCTION("GOOGLETRANSLATE(A73,""zh-tw"",""KO"")"),"점액 고양이는 사실 오빠를 좋아하는 게 아니라, 오빠에게서 나는 여동생의 냄새를 좋아하는 것뿐이다.")</f>
        <v>점액 고양이는 사실 오빠를 좋아하는 게 아니라, 오빠에게서 나는 여동생의 냄새를 좋아하는 것뿐이다.</v>
      </c>
      <c r="G73" s="156" t="s">
        <v>11340</v>
      </c>
      <c r="H73" s="505" t="s">
        <v>11341</v>
      </c>
      <c r="I73" s="199" t="s">
        <v>11342</v>
      </c>
      <c r="J73" s="506" t="s">
        <v>11343</v>
      </c>
      <c r="K73" s="79" t="s">
        <v>11344</v>
      </c>
      <c r="L73" s="506"/>
      <c r="M73" s="70"/>
      <c r="N73" s="70"/>
      <c r="O73" s="70"/>
      <c r="P73" s="70"/>
      <c r="Q73" s="70"/>
      <c r="R73" s="70"/>
      <c r="S73" s="70"/>
      <c r="T73" s="70"/>
      <c r="U73" s="70"/>
      <c r="V73" s="70"/>
      <c r="W73" s="70"/>
      <c r="X73" s="70"/>
      <c r="Y73" s="70"/>
    </row>
    <row r="74">
      <c r="A74" s="79" t="s">
        <v>11345</v>
      </c>
      <c r="B74" s="505" t="s">
        <v>11346</v>
      </c>
      <c r="C74" s="79" t="s">
        <v>11347</v>
      </c>
      <c r="D74" s="505" t="str">
        <f>IFERROR(__xludf.DUMMYFUNCTION("GOOGLETRANSLATE(A74,""zh-tw"",""zh"")"),"打开的""星之门""可以吸收物体和子弹，阻挡的伤害有上限(被浅羽攻击大约2秒就爆了)")</f>
        <v>打开的"星之门"可以吸收物体和子弹，阻挡的伤害有上限(被浅羽攻击大约2秒就爆了)</v>
      </c>
      <c r="E74" s="82" t="str">
        <f>IFERROR(__xludf.DUMMYFUNCTION("GOOGLETRANSLATE(A74,""zh-tw"",""es-MX"")"),"La ""Puerta Estelar"" abierta puede absorber objetos y balas, pero hay un límite en el daño que puede bloquear (explota después de unos 2 segundos si es atacada por Asaba).")</f>
        <v>La "Puerta Estelar" abierta puede absorber objetos y balas, pero hay un límite en el daño que puede bloquear (explota después de unos 2 segundos si es atacada por Asaba).</v>
      </c>
      <c r="F74" s="506" t="str">
        <f>IFERROR(__xludf.DUMMYFUNCTION("GOOGLETRANSLATE(A74,""zh-tw"",""KO"")"),"열린 ""스타 게이트""는 물체와 총알을 흡수할 수 있지만, 막아낼 수 있는 피해에는 한계가 있습니다 (아사바의 공격을 받으면 약 2초 후에 폭발합니다).")</f>
        <v>열린 "스타 게이트"는 물체와 총알을 흡수할 수 있지만, 막아낼 수 있는 피해에는 한계가 있습니다 (아사바의 공격을 받으면 약 2초 후에 폭발합니다).</v>
      </c>
      <c r="G74" s="156" t="s">
        <v>11348</v>
      </c>
      <c r="H74" s="505" t="s">
        <v>11349</v>
      </c>
      <c r="I74" s="146" t="s">
        <v>11350</v>
      </c>
      <c r="J74" s="506" t="s">
        <v>11351</v>
      </c>
      <c r="K74" s="118" t="s">
        <v>11352</v>
      </c>
      <c r="L74" s="506"/>
      <c r="M74" s="70"/>
      <c r="N74" s="70"/>
      <c r="O74" s="70"/>
      <c r="P74" s="70"/>
      <c r="Q74" s="70"/>
      <c r="R74" s="70"/>
      <c r="S74" s="70"/>
      <c r="T74" s="70"/>
      <c r="U74" s="70"/>
      <c r="V74" s="70"/>
      <c r="W74" s="70"/>
      <c r="X74" s="70"/>
      <c r="Y74" s="70"/>
    </row>
    <row r="75">
      <c r="A75" s="79" t="s">
        <v>11353</v>
      </c>
      <c r="B75" s="505" t="s">
        <v>11354</v>
      </c>
      <c r="C75" s="79" t="s">
        <v>11355</v>
      </c>
      <c r="D75" s="505" t="str">
        <f>IFERROR(__xludf.DUMMYFUNCTION("GOOGLETRANSLATE(A75,""zh-tw"",""zh"")"),"亲密接触(洗澡后、各服装、各心情、各甜品状态，皆有可能有不同演出)
身体部位有以下内容：呆毛、头部、胸部、私处、耳朵、锁骨、乳头、肚皮
拖拽时特殊项目：呆毛、胸部、乳头")</f>
        <v>亲密接触(洗澡后、各服装、各心情、各甜品状态，皆有可能有不同演出)
身体部位有以下内容：呆毛、头部、胸部、私处、耳朵、锁骨、乳头、肚皮
拖拽时特殊项目：呆毛、胸部、乳头</v>
      </c>
      <c r="E75" s="82" t="str">
        <f>IFERROR(__xludf.DUMMYFUNCTION("GOOGLETRANSLATE(A75,""zh-tw"",""es-MX"")"),"Contacto íntimo (pueden darse diferentes actuaciones después del baño, con diferentes atuendos, estados de ánimo y mientras se disfrutan postres). Las partes del cuerpo incluyen: mechón de pelo (ahoge), cabeza, pecho, genitales, orejas, clavícula, pezones"&amp;" y vientre. Elementos especiales para arrastrar: mechón de pelo, pecho y pezones.")</f>
        <v>Contacto íntimo (pueden darse diferentes actuaciones después del baño, con diferentes atuendos, estados de ánimo y mientras se disfrutan postres). Las partes del cuerpo incluyen: mechón de pelo (ahoge), cabeza, pecho, genitales, orejas, clavícula, pezones y vientre. Elementos especiales para arrastrar: mechón de pelo, pecho y pezones.</v>
      </c>
      <c r="F75" s="506" t="str">
        <f>IFERROR(__xludf.DUMMYFUNCTION("GOOGLETRANSLATE(A75,""zh-tw"",""KO"")"),"친밀한 접촉 (목욕 후, 다른 의상, 분위기, 디저트를 즐기는 동안 등 다양한 상황에서 여러 가지 행위가 이루어질 수 있습니다). 신체 부위: 아호게(앞머리), 머리, 가슴, 생식기, 귀, 쇄골, 젖꼭지, 배. 끌어당기기 위한 특별 부위: 아호게, 가슴, 젖꼭지.")</f>
        <v>친밀한 접촉 (목욕 후, 다른 의상, 분위기, 디저트를 즐기는 동안 등 다양한 상황에서 여러 가지 행위가 이루어질 수 있습니다). 신체 부위: 아호게(앞머리), 머리, 가슴, 생식기, 귀, 쇄골, 젖꼭지, 배. 끌어당기기 위한 특별 부위: 아호게, 가슴, 젖꼭지.</v>
      </c>
      <c r="G75" s="156" t="s">
        <v>11356</v>
      </c>
      <c r="H75" s="505" t="s">
        <v>11357</v>
      </c>
      <c r="I75" s="199" t="s">
        <v>11358</v>
      </c>
      <c r="J75" s="506" t="s">
        <v>11359</v>
      </c>
      <c r="K75" s="118" t="s">
        <v>11360</v>
      </c>
      <c r="L75" s="506"/>
      <c r="M75" s="70"/>
      <c r="N75" s="70"/>
      <c r="O75" s="70"/>
      <c r="P75" s="70"/>
      <c r="Q75" s="70"/>
      <c r="R75" s="70"/>
      <c r="S75" s="70"/>
      <c r="T75" s="70"/>
      <c r="U75" s="70"/>
      <c r="V75" s="70"/>
      <c r="W75" s="70"/>
      <c r="X75" s="70"/>
      <c r="Y75" s="70"/>
    </row>
    <row r="76">
      <c r="A76" s="79" t="s">
        <v>11361</v>
      </c>
      <c r="B76" s="505" t="s">
        <v>11362</v>
      </c>
      <c r="C76" s="79" t="s">
        <v>11363</v>
      </c>
      <c r="D76" s="505" t="str">
        <f>IFERROR(__xludf.DUMMYFUNCTION("GOOGLETRANSLATE(A76,""zh-tw"",""zh"")"),"空手且背刺的情况下，可以使用隐藏的千年杀技能，可以击飞目标敌人
※伤害的数值受到背刺技能影响、不受剑术修行技能影响
※无法对免疫击飞的怪物使用、只能对敌人单位使用
※未来可能会实装对不同敌人有不同色情动作的延伸")</f>
        <v>空手且背刺的情况下，可以使用隐藏的千年杀技能，可以击飞目标敌人
※伤害的数值受到背刺技能影响、不受剑术修行技能影响
※无法对免疫击飞的怪物使用、只能对敌人单位使用
※未来可能会实装对不同敌人有不同色情动作的延伸</v>
      </c>
      <c r="E76" s="82" t="str">
        <f>IFERROR(__xludf.DUMMYFUNCTION("GOOGLETRANSLATE(A76,""zh-tw"",""es-MX"")"),"Al atacar por la espalda sin armas, se puede usar la habilidad oculta ""Mil Años de Muerte"", que lanza al enemigo por los aires.
※El daño se ve afectado por la habilidad de ataque por la espalda, pero no por las habilidades de entrenamiento con espadas."&amp;"
※No se puede usar contra monstruos inmunes al retroceso; solo contra unidades enemigas.
※En futuras actualizaciones, se podrían incluir variaciones con diferentes acciones eróticas contra distintos enemigos.")</f>
        <v>Al atacar por la espalda sin armas, se puede usar la habilidad oculta "Mil Años de Muerte", que lanza al enemigo por los aires.
※El daño se ve afectado por la habilidad de ataque por la espalda, pero no por las habilidades de entrenamiento con espadas.
※No se puede usar contra monstruos inmunes al retroceso; solo contra unidades enemigas.
※En futuras actualizaciones, se podrían incluir variaciones con diferentes acciones eróticas contra distintos enemigos.</v>
      </c>
      <c r="F76" s="506" t="str">
        <f>IFERROR(__xludf.DUMMYFUNCTION("GOOGLETRANSLATE(A76,""zh-tw"",""KO"")"),"무장하지 않은 상태에서 뒤에서 공격할 때, 숨겨진 스킬 ""천년의 죽음""을 사용하여 대상을 공중으로 날려버릴 수 있습니다.
※위장 공격 스킬의 피해량에는 영향을 받지만, 검술 수련 스킬의 영향은 받지 않습니다.
※밀어내기에 면역인 몬스터에게는 사용할 수 없으며, 적 유닛에게만 사용 가능합니다.
※향후 구현을 통해 적의 종류에 따라 다른 에로틱한 효과를 추가하는 변형 스킬이 포함될 수 있습니다.")</f>
        <v>무장하지 않은 상태에서 뒤에서 공격할 때, 숨겨진 스킬 "천년의 죽음"을 사용하여 대상을 공중으로 날려버릴 수 있습니다.
※위장 공격 스킬의 피해량에는 영향을 받지만, 검술 수련 스킬의 영향은 받지 않습니다.
※밀어내기에 면역인 몬스터에게는 사용할 수 없으며, 적 유닛에게만 사용 가능합니다.
※향후 구현을 통해 적의 종류에 따라 다른 에로틱한 효과를 추가하는 변형 스킬이 포함될 수 있습니다.</v>
      </c>
      <c r="G76" s="156" t="s">
        <v>11364</v>
      </c>
      <c r="H76" s="506" t="str">
        <f>IFERROR(__xludf.DUMMYFUNCTION("GOOGLETRANSLATE(A76,""zh-tw"",""de"")"),"Im unbewaffneten Zustand und beim Hinterhalt kann die verborgene Fähigkeit „Tausend Jahre des Todes“ eingesetzt werden, die den anvisierten Gegner in die Luft schleudert.
※Der Schaden wird durch den Hinterhalt beeinflusst, jedoch nicht durch Schwertkampf"&amp;"-Trainingsfähigkeiten.
※Kann nicht gegen Monster eingesetzt werden, die immun gegen Zurückstoßen sind; nur gegen feindliche Einheiten.
※Zukünftige Implementierungen könnten Variationen mit unterschiedlichen erotischen Aktionen gegen verschiedene Gegner "&amp;"beinhalten.")</f>
        <v>Im unbewaffneten Zustand und beim Hinterhalt kann die verborgene Fähigkeit „Tausend Jahre des Todes“ eingesetzt werden, die den anvisierten Gegner in die Luft schleudert.
※Der Schaden wird durch den Hinterhalt beeinflusst, jedoch nicht durch Schwertkampf-Trainingsfähigkeiten.
※Kann nicht gegen Monster eingesetzt werden, die immun gegen Zurückstoßen sind; nur gegen feindliche Einheiten.
※Zukünftige Implementierungen könnten Variationen mit unterschiedlichen erotischen Aktionen gegen verschiedene Gegner beinhalten.</v>
      </c>
      <c r="I76" s="199" t="s">
        <v>11365</v>
      </c>
      <c r="J76" s="506" t="s">
        <v>11366</v>
      </c>
      <c r="K76" s="118" t="s">
        <v>11367</v>
      </c>
      <c r="L76" s="506"/>
      <c r="M76" s="70"/>
      <c r="N76" s="70"/>
      <c r="O76" s="70"/>
      <c r="P76" s="70"/>
      <c r="Q76" s="70"/>
      <c r="R76" s="70"/>
      <c r="S76" s="70"/>
      <c r="T76" s="70"/>
      <c r="U76" s="70"/>
      <c r="V76" s="70"/>
      <c r="W76" s="70"/>
      <c r="X76" s="70"/>
      <c r="Y76" s="70"/>
    </row>
    <row r="77">
      <c r="A77" s="82" t="s">
        <v>11368</v>
      </c>
      <c r="B77" s="505" t="s">
        <v>11369</v>
      </c>
      <c r="C77" s="82" t="s">
        <v>11370</v>
      </c>
      <c r="D77" s="505" t="str">
        <f>IFERROR(__xludf.DUMMYFUNCTION("GOOGLETRANSLATE(A77,""zh-tw"",""zh"")"),"牛奶是最好的解辣饮品，能大幅缩短解除辣哭了的持续时间")</f>
        <v>牛奶是最好的解辣饮品，能大幅缩短解除辣哭了的持续时间</v>
      </c>
      <c r="E77" s="79" t="s">
        <v>11371</v>
      </c>
      <c r="F77" s="506" t="str">
        <f>IFERROR(__xludf.DUMMYFUNCTION("GOOGLETRANSLATE(A77,""zh-tw"",""KO"")"),"우유는 매운맛을 완화하는 데 가장 좋은 음료이며, 화끈거리는 느낌이 지속되는 시간을 상당히 줄여줍니다.")</f>
        <v>우유는 매운맛을 완화하는 데 가장 좋은 음료이며, 화끈거리는 느낌이 지속되는 시간을 상당히 줄여줍니다.</v>
      </c>
      <c r="G77" s="156" t="s">
        <v>11372</v>
      </c>
      <c r="H77" s="506" t="s">
        <v>11373</v>
      </c>
      <c r="I77" s="199" t="s">
        <v>11374</v>
      </c>
      <c r="J77" s="506" t="s">
        <v>11375</v>
      </c>
      <c r="K77" s="118" t="s">
        <v>11376</v>
      </c>
      <c r="L77" s="506"/>
      <c r="M77" s="70"/>
      <c r="N77" s="70"/>
      <c r="O77" s="70"/>
      <c r="P77" s="70"/>
      <c r="Q77" s="70"/>
      <c r="R77" s="70"/>
      <c r="S77" s="70"/>
      <c r="T77" s="70"/>
      <c r="U77" s="70"/>
      <c r="V77" s="70"/>
      <c r="W77" s="70"/>
      <c r="X77" s="70"/>
      <c r="Y77" s="70"/>
    </row>
    <row r="78">
      <c r="A78" s="82" t="s">
        <v>11377</v>
      </c>
      <c r="B78" s="506" t="s">
        <v>11378</v>
      </c>
      <c r="C78" s="82" t="s">
        <v>11379</v>
      </c>
      <c r="D78" s="505" t="str">
        <f>IFERROR(__xludf.DUMMYFUNCTION("GOOGLETRANSLATE(A78,""zh-tw"",""zh"")"),"客厅的电视，目前无实际用途，未来预计会依照不同的天数，每天做出不同的画面(例如：新闻、动画、食谱、黑暗料理、彩蛋等)")</f>
        <v>客厅的电视，目前无实际用途，未来预计会依照不同的天数，每天做出不同的画面(例如：新闻、动画、食谱、黑暗料理、彩蛋等)</v>
      </c>
      <c r="E78" s="79" t="s">
        <v>11380</v>
      </c>
      <c r="F78" s="506" t="str">
        <f>IFERROR(__xludf.DUMMYFUNCTION("GOOGLETRANSLATE(A78,""zh-tw"",""KO"")"),"거실의 텔레비전은 현재 사용하지 않고 있지만, 향후 며칠 동안 매일 다른 콘텐츠(예: 뉴스, 애니메이션, 요리 레시피, 특이한 요리, 부활절 달걀 등)를 보여줄 계획입니다.")</f>
        <v>거실의 텔레비전은 현재 사용하지 않고 있지만, 향후 며칠 동안 매일 다른 콘텐츠(예: 뉴스, 애니메이션, 요리 레시피, 특이한 요리, 부활절 달걀 등)를 보여줄 계획입니다.</v>
      </c>
      <c r="G78" s="156" t="s">
        <v>11381</v>
      </c>
      <c r="H78" s="506" t="s">
        <v>11382</v>
      </c>
      <c r="I78" s="199" t="s">
        <v>11383</v>
      </c>
      <c r="J78" s="506" t="s">
        <v>11384</v>
      </c>
      <c r="K78" s="118" t="s">
        <v>11385</v>
      </c>
      <c r="L78" s="506"/>
      <c r="M78" s="70"/>
      <c r="N78" s="70"/>
      <c r="O78" s="70"/>
      <c r="P78" s="70"/>
      <c r="Q78" s="70"/>
      <c r="R78" s="70"/>
      <c r="S78" s="70"/>
      <c r="T78" s="70"/>
      <c r="U78" s="70"/>
      <c r="V78" s="70"/>
      <c r="W78" s="70"/>
      <c r="X78" s="70"/>
      <c r="Y78" s="70"/>
    </row>
    <row r="79">
      <c r="A79" s="82" t="s">
        <v>11386</v>
      </c>
      <c r="B79" s="506" t="s">
        <v>11387</v>
      </c>
      <c r="C79" s="82" t="s">
        <v>11388</v>
      </c>
      <c r="D79" s="505" t="str">
        <f>IFERROR(__xludf.DUMMYFUNCTION("GOOGLETRANSLATE(A79,""zh-tw"",""zh"")"),"ASABA通常会出现在路边的草莓丛中")</f>
        <v>ASABA通常会出现在路边的草莓丛中</v>
      </c>
      <c r="E79" s="79" t="s">
        <v>11389</v>
      </c>
      <c r="F79" s="506" t="str">
        <f>IFERROR(__xludf.DUMMYFUNCTION("GOOGLETRANSLATE(A79,""zh-tw"",""KO"")"),"아사바는 보통 길가 딸기 덤불에서 발견됩니다.")</f>
        <v>아사바는 보통 길가 딸기 덤불에서 발견됩니다.</v>
      </c>
      <c r="G79" s="156" t="s">
        <v>11390</v>
      </c>
      <c r="H79" s="506" t="s">
        <v>11391</v>
      </c>
      <c r="I79" s="199" t="s">
        <v>11392</v>
      </c>
      <c r="J79" s="506" t="s">
        <v>11393</v>
      </c>
      <c r="K79" s="118" t="s">
        <v>11394</v>
      </c>
      <c r="L79" s="506"/>
      <c r="M79" s="70"/>
      <c r="N79" s="70"/>
      <c r="O79" s="70"/>
      <c r="P79" s="70"/>
      <c r="Q79" s="70"/>
      <c r="R79" s="70"/>
      <c r="S79" s="70"/>
      <c r="T79" s="70"/>
      <c r="U79" s="70"/>
      <c r="V79" s="70"/>
      <c r="W79" s="70"/>
      <c r="X79" s="70"/>
      <c r="Y79" s="70"/>
    </row>
    <row r="80">
      <c r="A80" s="82" t="s">
        <v>11395</v>
      </c>
      <c r="B80" s="506" t="s">
        <v>11396</v>
      </c>
      <c r="C80" s="82" t="s">
        <v>11397</v>
      </c>
      <c r="D80" s="505" t="str">
        <f>IFERROR(__xludf.DUMMYFUNCTION("GOOGLETRANSLATE(A80,""zh-tw"",""zh"")"),"""草莓""食材，目前无实际用途，等待未来更新")</f>
        <v>"草莓"食材，目前无实际用途，等待未来更新</v>
      </c>
      <c r="E80" s="79" t="s">
        <v>11398</v>
      </c>
      <c r="F80" s="506" t="str">
        <f>IFERROR(__xludf.DUMMYFUNCTION("GOOGLETRANSLATE(A80,""zh-tw"",""KO"")"),"""딸기""라는 재료는 현재 실용적인 용도가 없으며, 자세한 내용은 향후 업데이트에서 제공될 예정입니다.")</f>
        <v>"딸기"라는 재료는 현재 실용적인 용도가 없으며, 자세한 내용은 향후 업데이트에서 제공될 예정입니다.</v>
      </c>
      <c r="G80" s="156" t="s">
        <v>11399</v>
      </c>
      <c r="H80" s="506" t="s">
        <v>11400</v>
      </c>
      <c r="I80" s="199" t="s">
        <v>11401</v>
      </c>
      <c r="J80" s="506" t="s">
        <v>11402</v>
      </c>
      <c r="K80" s="118" t="s">
        <v>11403</v>
      </c>
      <c r="L80" s="506"/>
      <c r="M80" s="70"/>
      <c r="N80" s="70"/>
      <c r="O80" s="70"/>
      <c r="P80" s="70"/>
      <c r="Q80" s="70"/>
      <c r="R80" s="70"/>
      <c r="S80" s="70"/>
      <c r="T80" s="70"/>
      <c r="U80" s="70"/>
      <c r="V80" s="70"/>
      <c r="W80" s="70"/>
      <c r="X80" s="70"/>
      <c r="Y80" s="70"/>
    </row>
    <row r="81">
      <c r="A81" s="79" t="s">
        <v>11404</v>
      </c>
      <c r="B81" s="505" t="s">
        <v>11405</v>
      </c>
      <c r="C81" s="79" t="s">
        <v>11406</v>
      </c>
      <c r="D81" s="505" t="str">
        <f>IFERROR(__xludf.DUMMYFUNCTION("GOOGLETRANSLATE(A81,""zh-tw"",""zh"")"),"关于稻草人，目前版本开发出来的击杀方式有：死神塔罗牌与复活术、破颜拳套+猫爪手套、毒刀不断的累积伤害")</f>
        <v>关于稻草人，目前版本开发出来的击杀方式有：死神塔罗牌与复活术、破颜拳套+猫爪手套、毒刀不断的累积伤害</v>
      </c>
      <c r="E81" s="79" t="s">
        <v>11407</v>
      </c>
      <c r="F81" s="506" t="str">
        <f>IFERROR(__xludf.DUMMYFUNCTION("GOOGLETRANSLATE(A81,""zh-tw"",""KO"")"),"허수아비를 물리치기 위해 현재 개발된 방법으로는 죽음의 타로 카드와 부활 마법을 사용하는 것, 얼굴 파괴 장갑과 고양이 발톱 장갑을 사용하는 것, 그리고 독칼로 지속적으로 피해를 누적시키는 것이 있습니다.")</f>
        <v>허수아비를 물리치기 위해 현재 개발된 방법으로는 죽음의 타로 카드와 부활 마법을 사용하는 것, 얼굴 파괴 장갑과 고양이 발톱 장갑을 사용하는 것, 그리고 독칼로 지속적으로 피해를 누적시키는 것이 있습니다.</v>
      </c>
      <c r="G81" s="156" t="s">
        <v>11408</v>
      </c>
      <c r="H81" s="506" t="s">
        <v>11409</v>
      </c>
      <c r="I81" s="146" t="s">
        <v>11410</v>
      </c>
      <c r="J81" s="506" t="s">
        <v>11411</v>
      </c>
      <c r="K81" s="118" t="s">
        <v>11412</v>
      </c>
      <c r="L81" s="506"/>
      <c r="M81" s="70"/>
      <c r="N81" s="70"/>
      <c r="O81" s="70"/>
      <c r="P81" s="70"/>
      <c r="Q81" s="70"/>
      <c r="R81" s="70"/>
      <c r="S81" s="70"/>
      <c r="T81" s="70"/>
      <c r="U81" s="70"/>
      <c r="V81" s="70"/>
      <c r="W81" s="70"/>
      <c r="X81" s="70"/>
      <c r="Y81" s="70"/>
    </row>
    <row r="82">
      <c r="A82" s="79" t="s">
        <v>11413</v>
      </c>
      <c r="B82" s="505" t="s">
        <v>11414</v>
      </c>
      <c r="C82" s="79" t="s">
        <v>11415</v>
      </c>
      <c r="D82" s="505" t="str">
        <f>IFERROR(__xludf.DUMMYFUNCTION("GOOGLETRANSLATE(A82,""zh-tw"",""zh"")"),"在""冒险者小道:纪念碑""地图中，石碑可以查看到战败的次数了")</f>
        <v>在"冒险者小道:纪念碑"地图中，石碑可以查看到战败的次数了</v>
      </c>
      <c r="E82" s="82" t="str">
        <f>IFERROR(__xludf.DUMMYFUNCTION("GOOGLETRANSLATE(A82,""zh-tw"",""es-MX"")"),"En el mapa ""Sendero del Aventurero: Monumento"", el monumento de piedra muestra el número de veces que has sido derrotado.")</f>
        <v>En el mapa "Sendero del Aventurero: Monumento", el monumento de piedra muestra el número de veces que has sido derrotado.</v>
      </c>
      <c r="F82" s="506" t="str">
        <f>IFERROR(__xludf.DUMMYFUNCTION("GOOGLETRANSLATE(A82,""zh-tw"",""KO"")"),"""모험가의 길: 기념비"" 지도에서 돌 기념비는 당신이 패배한 횟수를 표시합니다.")</f>
        <v>"모험가의 길: 기념비" 지도에서 돌 기념비는 당신이 패배한 횟수를 표시합니다.</v>
      </c>
      <c r="G82" s="156" t="s">
        <v>11416</v>
      </c>
      <c r="H82" s="510" t="s">
        <v>11417</v>
      </c>
      <c r="I82" s="199" t="s">
        <v>11418</v>
      </c>
      <c r="J82" s="506" t="s">
        <v>11419</v>
      </c>
      <c r="K82" s="118" t="s">
        <v>11420</v>
      </c>
      <c r="L82" s="506"/>
      <c r="M82" s="70"/>
      <c r="N82" s="70"/>
      <c r="O82" s="70"/>
      <c r="P82" s="70"/>
      <c r="Q82" s="70"/>
      <c r="R82" s="70"/>
      <c r="S82" s="70"/>
      <c r="T82" s="70"/>
      <c r="U82" s="70"/>
      <c r="V82" s="70"/>
      <c r="W82" s="70"/>
      <c r="X82" s="70"/>
      <c r="Y82" s="70"/>
    </row>
    <row r="83">
      <c r="A83" s="79" t="s">
        <v>11421</v>
      </c>
      <c r="B83" s="505" t="s">
        <v>11422</v>
      </c>
      <c r="C83" s="79" t="s">
        <v>11423</v>
      </c>
      <c r="D83" s="505" t="str">
        <f>IFERROR(__xludf.DUMMYFUNCTION("GOOGLETRANSLATE(A83,""zh-tw"",""zh"")"),"取名补充：
取妹妹相关的名子时，游戏标题和游戏LOGO中的""彼女""将会变更为""妹""")</f>
        <v>取名补充：
取妹妹相关的名子时，游戏标题和游戏LOGO中的"彼女"将会变更为"妹"</v>
      </c>
      <c r="E83" s="82" t="str">
        <f>IFERROR(__xludf.DUMMYFUNCTION("GOOGLETRANSLATE(A83,""zh-tw"",""es-MX"")"),"Información adicional para la elección de nombres: Al elegir un nombre relacionado con tu hermana menor, ""彼女"" (Kanojo) en el título y el logotipo del juego se cambiará a ""妹"" (Imouto).")</f>
        <v>Información adicional para la elección de nombres: Al elegir un nombre relacionado con tu hermana menor, "彼女" (Kanojo) en el título y el logotipo del juego se cambiará a "妹" (Imouto).</v>
      </c>
      <c r="F83" s="506" t="str">
        <f>IFERROR(__xludf.DUMMYFUNCTION("GOOGLETRANSLATE(A83,""zh-tw"",""KO"")"),"이름 짓기에 대한 추가 정보: 여동생과 관련된 이름을 선택할 경우, 게임 제목과 로고에 나오는 ""彼女""(Kanojo)가 ""妹""(Imouto)로 변경됩니다.")</f>
        <v>이름 짓기에 대한 추가 정보: 여동생과 관련된 이름을 선택할 경우, 게임 제목과 로고에 나오는 "彼女"(Kanojo)가 "妹"(Imouto)로 변경됩니다.</v>
      </c>
      <c r="G83" s="156" t="s">
        <v>11424</v>
      </c>
      <c r="H83" s="505" t="s">
        <v>11425</v>
      </c>
      <c r="I83" s="146" t="s">
        <v>11426</v>
      </c>
      <c r="J83" s="506" t="s">
        <v>11427</v>
      </c>
      <c r="K83" s="118" t="s">
        <v>11428</v>
      </c>
      <c r="L83" s="506"/>
      <c r="M83" s="70"/>
      <c r="N83" s="70"/>
      <c r="O83" s="70"/>
      <c r="P83" s="70"/>
      <c r="Q83" s="70"/>
      <c r="R83" s="70"/>
      <c r="S83" s="70"/>
      <c r="T83" s="70"/>
      <c r="U83" s="70"/>
      <c r="V83" s="70"/>
      <c r="W83" s="70"/>
      <c r="X83" s="70"/>
      <c r="Y83" s="70"/>
    </row>
    <row r="84">
      <c r="A84" s="82" t="s">
        <v>11429</v>
      </c>
      <c r="B84" s="505" t="s">
        <v>11430</v>
      </c>
      <c r="C84" s="82" t="s">
        <v>11431</v>
      </c>
      <c r="D84" s="505" t="str">
        <f>IFERROR(__xludf.DUMMYFUNCTION("GOOGLETRANSLATE(A84,""zh-tw"",""zh"")"),"安卓版在RPG模式下，透过点击头像框，可以显示FPS；PC版本是F2按键。")</f>
        <v>安卓版在RPG模式下，透过点击头像框，可以显示FPS；PC版本是F2按键。</v>
      </c>
      <c r="E84" s="82" t="str">
        <f>IFERROR(__xludf.DUMMYFUNCTION("GOOGLETRANSLATE(A84,""zh-tw"",""es-MX"")"),"En la versión de Android, los FPS se muestran haciendo clic en el marco del avatar en el modo RPG; en la versión para PC, se muestran pulsando la tecla F2.")</f>
        <v>En la versión de Android, los FPS se muestran haciendo clic en el marco del avatar en el modo RPG; en la versión para PC, se muestran pulsando la tecla F2.</v>
      </c>
      <c r="F84" s="506" t="str">
        <f>IFERROR(__xludf.DUMMYFUNCTION("GOOGLETRANSLATE(A84,""zh-tw"",""KO"")"),"안드로이드 버전에서는 RPG 모드에서 아바타 프레임을 클릭하면 FPS가 표시되고, PC 버전에서는 F2 키를 누르면 표시됩니다.")</f>
        <v>안드로이드 버전에서는 RPG 모드에서 아바타 프레임을 클릭하면 FPS가 표시되고, PC 버전에서는 F2 키를 누르면 표시됩니다.</v>
      </c>
      <c r="G84" s="156" t="s">
        <v>11432</v>
      </c>
      <c r="H84" s="506" t="s">
        <v>11433</v>
      </c>
      <c r="I84" s="199" t="s">
        <v>11434</v>
      </c>
      <c r="J84" s="506" t="s">
        <v>11435</v>
      </c>
      <c r="K84" s="118" t="s">
        <v>11436</v>
      </c>
      <c r="L84" s="506"/>
      <c r="M84" s="70"/>
      <c r="N84" s="70"/>
      <c r="O84" s="70"/>
      <c r="P84" s="70"/>
      <c r="Q84" s="70"/>
      <c r="R84" s="70"/>
      <c r="S84" s="70"/>
      <c r="T84" s="70"/>
      <c r="U84" s="70"/>
      <c r="V84" s="70"/>
      <c r="W84" s="70"/>
      <c r="X84" s="70"/>
      <c r="Y84" s="70"/>
    </row>
    <row r="85" ht="53.25" customHeight="1">
      <c r="A85" s="82" t="s">
        <v>11437</v>
      </c>
      <c r="B85" s="505" t="s">
        <v>11438</v>
      </c>
      <c r="C85" s="82" t="s">
        <v>11439</v>
      </c>
      <c r="D85" s="505" t="str">
        <f>IFERROR(__xludf.DUMMYFUNCTION("GOOGLETRANSLATE(A85,""zh-tw"",""zh"")"),"安卓版在RPG模式下，透过长按头像框，可以显示作弊码的输入框")</f>
        <v>安卓版在RPG模式下，透过长按头像框，可以显示作弊码的输入框</v>
      </c>
      <c r="E85" s="82" t="str">
        <f>IFERROR(__xludf.DUMMYFUNCTION("GOOGLETRANSLATE(A85,""zh-tw"",""es-MX"")"),"En la versión de Android, en el modo RPG, al mantener pulsado el marco del avatar aparecerá un cuadro para introducir el código de trucos.")</f>
        <v>En la versión de Android, en el modo RPG, al mantener pulsado el marco del avatar aparecerá un cuadro para introducir el código de trucos.</v>
      </c>
      <c r="F85" s="506" t="str">
        <f>IFERROR(__xludf.DUMMYFUNCTION("GOOGLETRANSLATE(A85,""zh-tw"",""KO"")"),"안드로이드 버전에서는 RPG 모드에서 아바타 프레임을 길게 누르면 치트 코드 입력 상자가 나타납니다.")</f>
        <v>안드로이드 버전에서는 RPG 모드에서 아바타 프레임을 길게 누르면 치트 코드 입력 상자가 나타납니다.</v>
      </c>
      <c r="G85" s="156" t="s">
        <v>11440</v>
      </c>
      <c r="H85" s="506" t="s">
        <v>11441</v>
      </c>
      <c r="I85" s="199" t="s">
        <v>11442</v>
      </c>
      <c r="J85" s="506" t="s">
        <v>11443</v>
      </c>
      <c r="K85" s="118" t="s">
        <v>11444</v>
      </c>
      <c r="L85" s="506"/>
      <c r="M85" s="70"/>
      <c r="N85" s="70"/>
      <c r="O85" s="70"/>
      <c r="P85" s="70"/>
      <c r="Q85" s="70"/>
      <c r="R85" s="70"/>
      <c r="S85" s="70"/>
      <c r="T85" s="70"/>
      <c r="U85" s="70"/>
      <c r="V85" s="70"/>
      <c r="W85" s="70"/>
      <c r="X85" s="70"/>
      <c r="Y85" s="70"/>
    </row>
    <row r="86">
      <c r="A86" s="82" t="s">
        <v>11445</v>
      </c>
      <c r="B86" s="506" t="s">
        <v>11446</v>
      </c>
      <c r="C86" s="82" t="s">
        <v>11447</v>
      </c>
      <c r="D86" s="505" t="str">
        <f>IFERROR(__xludf.DUMMYFUNCTION("GOOGLETRANSLATE(A86,""zh-tw"",""zh"")"),"关于贿络系统
当你的红心、紫心数量不足以达到事件要求时，可以贿络妹妹，使用约定草莓牛奶、金币、什么都行券，来无视条件
妹妹发情等特殊状态会做独立判定")</f>
        <v>关于贿络系统
当你的红心、紫心数量不足以达到事件要求时，可以贿络妹妹，使用约定草莓牛奶、金币、什么都行券，来无视条件
妹妹发情等特殊状态会做独立判定</v>
      </c>
      <c r="E86" s="79" t="s">
        <v>11448</v>
      </c>
      <c r="F86" s="506" t="str">
        <f>IFERROR(__xludf.DUMMYFUNCTION("GOOGLETRANSLATE(A86,""zh-tw"",""KO"")"),"뇌물 시스템에 대해 설명드리겠습니다. 이벤트 조건을 충족할 만큼 빨간 하트나 보라색 하트가 부족할 경우, 딸기 우유, 코인, 쿠폰 등의 아이템을 사용하여 소녀에게 뇌물을 주고 조건을 무시할 수 있습니다. 소녀의 발정기 등의 특수 상태는 별도로 판단됩니다.")</f>
        <v>뇌물 시스템에 대해 설명드리겠습니다. 이벤트 조건을 충족할 만큼 빨간 하트나 보라색 하트가 부족할 경우, 딸기 우유, 코인, 쿠폰 등의 아이템을 사용하여 소녀에게 뇌물을 주고 조건을 무시할 수 있습니다. 소녀의 발정기 등의 특수 상태는 별도로 판단됩니다.</v>
      </c>
      <c r="G86" s="156" t="s">
        <v>11449</v>
      </c>
      <c r="H86" s="506" t="s">
        <v>11450</v>
      </c>
      <c r="I86" s="146" t="s">
        <v>11451</v>
      </c>
      <c r="J86" s="506" t="s">
        <v>11452</v>
      </c>
      <c r="K86" s="79" t="s">
        <v>11453</v>
      </c>
      <c r="L86" s="506"/>
      <c r="M86" s="70"/>
      <c r="N86" s="70"/>
      <c r="O86" s="70"/>
      <c r="P86" s="70"/>
      <c r="Q86" s="70"/>
      <c r="R86" s="70"/>
      <c r="S86" s="70"/>
      <c r="T86" s="70"/>
      <c r="U86" s="70"/>
      <c r="V86" s="70"/>
      <c r="W86" s="70"/>
      <c r="X86" s="70"/>
      <c r="Y86" s="70"/>
    </row>
    <row r="87">
      <c r="A87" s="82" t="s">
        <v>11454</v>
      </c>
      <c r="B87" s="506" t="s">
        <v>11455</v>
      </c>
      <c r="C87" s="82" t="s">
        <v>11456</v>
      </c>
      <c r="D87" s="505" t="str">
        <f>IFERROR(__xludf.DUMMYFUNCTION("GOOGLETRANSLATE(A87,""zh-tw"",""zh"")"),"传说，在某个地区的下方藏着天上之石碎片，而导致胡萝卜巨大化；而在这里就有个想要保护胡萝卜的BOSS")</f>
        <v>传说，在某个地区的下方藏着天上之石碎片，而导致胡萝卜巨大化；而在这里就有个想要保护胡萝卜的BOSS</v>
      </c>
      <c r="E87" s="82" t="str">
        <f>IFERROR(__xludf.DUMMYFUNCTION("GOOGLETRANSLATE(A87,""zh-tw"",""es-MX"")"),"Cuenta la leyenda que un fragmento de una piedra celestial yace oculto bajo cierta región, provocando que la zanahoria crezca hasta alcanzar un tamaño descomunal; y allí vive un jefe que quiere proteger a la zanahoria.")</f>
        <v>Cuenta la leyenda que un fragmento de una piedra celestial yace oculto bajo cierta región, provocando que la zanahoria crezca hasta alcanzar un tamaño descomunal; y allí vive un jefe que quiere proteger a la zanahoria.</v>
      </c>
      <c r="F87" s="506" t="str">
        <f>IFERROR(__xludf.DUMMYFUNCTION("GOOGLETRANSLATE(A87,""zh-tw"",""KO"")"),"전설에 따르면 천상의 돌 조각 하나가 특정 지역 지하에 숨겨져 있는데, 그로 인해 당근이 엄청나게 커졌다고 합니다. 그리고 그곳에는 그 당근을 지키려는 보스가 살고 있습니다.")</f>
        <v>전설에 따르면 천상의 돌 조각 하나가 특정 지역 지하에 숨겨져 있는데, 그로 인해 당근이 엄청나게 커졌다고 합니다. 그리고 그곳에는 그 당근을 지키려는 보스가 살고 있습니다.</v>
      </c>
      <c r="G87" s="156" t="s">
        <v>11457</v>
      </c>
      <c r="H87" s="506" t="s">
        <v>11458</v>
      </c>
      <c r="I87" s="199" t="s">
        <v>11459</v>
      </c>
      <c r="J87" s="506" t="s">
        <v>11460</v>
      </c>
      <c r="K87" s="118" t="s">
        <v>11461</v>
      </c>
      <c r="L87" s="506"/>
      <c r="M87" s="70"/>
      <c r="N87" s="70"/>
      <c r="O87" s="70"/>
      <c r="P87" s="70"/>
      <c r="Q87" s="70"/>
      <c r="R87" s="70"/>
      <c r="S87" s="70"/>
      <c r="T87" s="70"/>
      <c r="U87" s="70"/>
      <c r="V87" s="70"/>
      <c r="W87" s="70"/>
      <c r="X87" s="70"/>
      <c r="Y87" s="70"/>
    </row>
    <row r="88">
      <c r="A88" s="82" t="s">
        <v>11462</v>
      </c>
      <c r="B88" s="506" t="s">
        <v>11463</v>
      </c>
      <c r="C88" s="82" t="s">
        <v>11464</v>
      </c>
      <c r="D88" s="505" t="str">
        <f>IFERROR(__xludf.DUMMYFUNCTION("GOOGLETRANSLATE(A88,""zh-tw"",""zh"")"),"卢恩符文Kenaz，只要是能攻击的对象，都可以发生效果(地图物件、怪物、BOSS、兔子洞...等)")</f>
        <v>卢恩符文Kenaz，只要是能攻击的对象，都可以发生效果(地图物件、怪物、BOSS、兔子洞...等)</v>
      </c>
      <c r="E88" s="82" t="str">
        <f>IFERROR(__xludf.DUMMYFUNCTION("GOOGLETRANSLATE(A88,""zh-tw"",""es-MX"")"),"La runa Kenaz puede afectar a cualquier objetivo que pueda ser atacado (objetos del mapa, monstruos, jefes, madrigueras de conejo, etc.).")</f>
        <v>La runa Kenaz puede afectar a cualquier objetivo que pueda ser atacado (objetos del mapa, monstruos, jefes, madrigueras de conejo, etc.).</v>
      </c>
      <c r="F88" s="506" t="str">
        <f>IFERROR(__xludf.DUMMYFUNCTION("GOOGLETRANSLATE(A88,""zh-tw"",""KO"")"),"케나즈 룬은 공격 가능한 모든 대상(지도상의 오브젝트, 몬스터, 보스, 토끼굴 등)에 영향을 미칠 수 있습니다.")</f>
        <v>케나즈 룬은 공격 가능한 모든 대상(지도상의 오브젝트, 몬스터, 보스, 토끼굴 등)에 영향을 미칠 수 있습니다.</v>
      </c>
      <c r="G88" s="156" t="s">
        <v>11465</v>
      </c>
      <c r="H88" s="506" t="s">
        <v>11466</v>
      </c>
      <c r="I88" s="199" t="s">
        <v>11467</v>
      </c>
      <c r="J88" s="506" t="s">
        <v>11468</v>
      </c>
      <c r="K88" s="118" t="s">
        <v>11469</v>
      </c>
      <c r="L88" s="506"/>
      <c r="M88" s="70"/>
      <c r="N88" s="70"/>
      <c r="O88" s="70"/>
      <c r="P88" s="70"/>
      <c r="Q88" s="70"/>
      <c r="R88" s="70"/>
      <c r="S88" s="70"/>
      <c r="T88" s="70"/>
      <c r="U88" s="70"/>
      <c r="V88" s="70"/>
      <c r="W88" s="70"/>
      <c r="X88" s="70"/>
      <c r="Y88" s="70"/>
    </row>
    <row r="89">
      <c r="A89" s="79" t="s">
        <v>11470</v>
      </c>
      <c r="B89" s="505" t="s">
        <v>11471</v>
      </c>
      <c r="C89" s="79" t="s">
        <v>11472</v>
      </c>
      <c r="D89" s="505" t="str">
        <f>IFERROR(__xludf.DUMMYFUNCTION("GOOGLETRANSLATE(A89,""zh-tw"",""zh"")"),"不论是哥哥或妹妹，当食材全吃光后...将会触发在仓库中发现泡面的隐藏剧情")</f>
        <v>不论是哥哥或妹妹，当食材全吃光后...将会触发在仓库中发现泡面的隐藏剧情</v>
      </c>
      <c r="E89" s="82" t="str">
        <f>IFERROR(__xludf.DUMMYFUNCTION("GOOGLETRANSLATE(A89,""zh-tw"",""es-MX"")"),"Ya sea el hermano mayor o la hermana menor, una vez que se hayan consumido todos los ingredientes... se activará un evento oculto en el que se encontrarán fideos instantáneos en el almacén.")</f>
        <v>Ya sea el hermano mayor o la hermana menor, una vez que se hayan consumido todos los ingredientes... se activará un evento oculto en el que se encontrarán fideos instantáneos en el almacén.</v>
      </c>
      <c r="F89" s="506" t="str">
        <f>IFERROR(__xludf.DUMMYFUNCTION("GOOGLETRANSLATE(A89,""zh-tw"",""KO"")"),"오빠든 여동생이든, 모든 재료를 다 먹고 나면 창고에서 즉석라면을 발견하는 숨겨진 이벤트가 발생합니다.")</f>
        <v>오빠든 여동생이든, 모든 재료를 다 먹고 나면 창고에서 즉석라면을 발견하는 숨겨진 이벤트가 발생합니다.</v>
      </c>
      <c r="G89" s="156" t="s">
        <v>11473</v>
      </c>
      <c r="H89" s="506" t="str">
        <f>IFERROR(__xludf.DUMMYFUNCTION("GOOGLETRANSLATE(A89,""zh-tw"",""de"")"),"Egal ob älterer Bruder oder jüngere Schwester, sobald alle Zutaten aufgegessen sind, wird ein verstecktes Ereignis ausgelöst, bei dem im Lagerhaus Instantnudeln gefunden werden.")</f>
        <v>Egal ob älterer Bruder oder jüngere Schwester, sobald alle Zutaten aufgegessen sind, wird ein verstecktes Ereignis ausgelöst, bei dem im Lagerhaus Instantnudeln gefunden werden.</v>
      </c>
      <c r="I89" s="199" t="s">
        <v>11474</v>
      </c>
      <c r="J89" s="506" t="s">
        <v>11475</v>
      </c>
      <c r="K89" s="118" t="s">
        <v>11476</v>
      </c>
      <c r="L89" s="506"/>
      <c r="M89" s="70"/>
      <c r="N89" s="70"/>
      <c r="O89" s="70"/>
      <c r="P89" s="70"/>
      <c r="Q89" s="70"/>
      <c r="R89" s="70"/>
      <c r="S89" s="70"/>
      <c r="T89" s="70"/>
      <c r="U89" s="70"/>
      <c r="V89" s="70"/>
      <c r="W89" s="70"/>
      <c r="X89" s="70"/>
      <c r="Y89" s="70"/>
    </row>
    <row r="90">
      <c r="A90" s="82" t="s">
        <v>11477</v>
      </c>
      <c r="B90" s="506" t="s">
        <v>11478</v>
      </c>
      <c r="C90" s="82" t="s">
        <v>11479</v>
      </c>
      <c r="D90" s="505" t="str">
        <f>IFERROR(__xludf.DUMMYFUNCTION("GOOGLETRANSLATE(A90,""zh-tw"",""zh"")"),"矿车移动期间，可以提前跳车(部分效果演绎也会因此发生变化)")</f>
        <v>矿车移动期间，可以提前跳车(部分效果演绎也会因此发生变化)</v>
      </c>
      <c r="E90" s="82" t="str">
        <f>IFERROR(__xludf.DUMMYFUNCTION("GOOGLETRANSLATE(A90,""zh-tw"",""es-MX"")"),"Puedes saltar de la vagoneta antes de que empiece a moverse (esto modificará algunos de los efectos visuales).")</f>
        <v>Puedes saltar de la vagoneta antes de que empiece a moverse (esto modificará algunos de los efectos visuales).</v>
      </c>
      <c r="F90" s="506" t="str">
        <f>IFERROR(__xludf.DUMMYFUNCTION("GOOGLETRANSLATE(A90,""zh-tw"",""KO"")"),"광산 수레가 움직이기 시작하기 전에 뛰어내릴 수 있습니다 (이렇게 하면 일부 시각 효과가 바뀝니다).")</f>
        <v>광산 수레가 움직이기 시작하기 전에 뛰어내릴 수 있습니다 (이렇게 하면 일부 시각 효과가 바뀝니다).</v>
      </c>
      <c r="G90" s="156" t="s">
        <v>11480</v>
      </c>
      <c r="H90" s="506" t="s">
        <v>11481</v>
      </c>
      <c r="I90" s="199" t="s">
        <v>11482</v>
      </c>
      <c r="J90" s="506" t="s">
        <v>11483</v>
      </c>
      <c r="K90" s="118" t="s">
        <v>11484</v>
      </c>
      <c r="L90" s="506"/>
      <c r="M90" s="70"/>
      <c r="N90" s="70"/>
      <c r="O90" s="70"/>
      <c r="P90" s="70"/>
      <c r="Q90" s="70"/>
      <c r="R90" s="70"/>
      <c r="S90" s="70"/>
      <c r="T90" s="70"/>
      <c r="U90" s="70"/>
      <c r="V90" s="70"/>
      <c r="W90" s="70"/>
      <c r="X90" s="70"/>
      <c r="Y90" s="70"/>
    </row>
    <row r="91">
      <c r="A91" s="79" t="s">
        <v>11485</v>
      </c>
      <c r="B91" s="505" t="s">
        <v>11486</v>
      </c>
      <c r="C91" s="79" t="s">
        <v>11487</v>
      </c>
      <c r="D91" s="505" t="str">
        <f>IFERROR(__xludf.DUMMYFUNCTION("GOOGLETRANSLATE(A91,""zh-tw"",""zh"")"),"关于水面的气泡，气泡位置于水域场景随机产生，使用炸弹时，会比平常更容易出现食材。
另外，有可能炸出生物（未实装）")</f>
        <v>关于水面的气泡，气泡位置于水域场景随机产生，使用炸弹时，会比平常更容易出现食材。
另外，有可能炸出生物（未实装）</v>
      </c>
      <c r="E91" s="82" t="str">
        <f>IFERROR(__xludf.DUMMYFUNCTION("GOOGLETRANSLATE(A91,""zh-tw"",""es-MX"")"),"En cuanto a las burbujas en la superficie del agua, su ubicación se genera aleatoriamente. Usar bombas facilitará la aparición de alimentos.
Además, es posible generar criaturas (aún no implementado).")</f>
        <v>En cuanto a las burbujas en la superficie del agua, su ubicación se genera aleatoriamente. Usar bombas facilitará la aparición de alimentos.
Además, es posible generar criaturas (aún no implementado).</v>
      </c>
      <c r="F91" s="506" t="str">
        <f>IFERROR(__xludf.DUMMYFUNCTION("GOOGLETRANSLATE(A91,""zh-tw"",""KO"")"),"수면 위의 거품은 물 영역 내에서 무작위로 생성됩니다. 폭탄을 사용하면 평소보다 먹이 아이템을 더 쉽게 생성할 수 있습니다.
또한, 생물체를 생성하는 것도 가능합니다(아직 구현되지 않음).")</f>
        <v>수면 위의 거품은 물 영역 내에서 무작위로 생성됩니다. 폭탄을 사용하면 평소보다 먹이 아이템을 더 쉽게 생성할 수 있습니다.
또한, 생물체를 생성하는 것도 가능합니다(아직 구현되지 않음).</v>
      </c>
      <c r="G91" s="156" t="s">
        <v>11488</v>
      </c>
      <c r="H91" s="505" t="s">
        <v>11489</v>
      </c>
      <c r="I91" s="199" t="s">
        <v>11490</v>
      </c>
      <c r="J91" s="506" t="s">
        <v>11491</v>
      </c>
      <c r="K91" s="118" t="s">
        <v>11492</v>
      </c>
      <c r="L91" s="506"/>
      <c r="M91" s="70"/>
      <c r="N91" s="70"/>
      <c r="O91" s="70"/>
      <c r="P91" s="70"/>
      <c r="Q91" s="70"/>
      <c r="R91" s="70"/>
      <c r="S91" s="70"/>
      <c r="T91" s="70"/>
      <c r="U91" s="70"/>
      <c r="V91" s="70"/>
      <c r="W91" s="70"/>
      <c r="X91" s="70"/>
      <c r="Y91" s="70"/>
    </row>
    <row r="92">
      <c r="A92" s="82" t="s">
        <v>11493</v>
      </c>
      <c r="B92" s="505" t="s">
        <v>11494</v>
      </c>
      <c r="C92" s="82" t="s">
        <v>11495</v>
      </c>
      <c r="D92" s="505" t="str">
        <f>IFERROR(__xludf.DUMMYFUNCTION("GOOGLETRANSLATE(A92,""zh-tw"",""zh"")"),"箱庭的白兔-在兔子洞全部破坏后，会被迫弹到地面")</f>
        <v>箱庭的白兔-在兔子洞全部破坏后，会被迫弹到地面</v>
      </c>
      <c r="E92" s="82" t="str">
        <f>IFERROR(__xludf.DUMMYFUNCTION("GOOGLETRANSLATE(A92,""zh-tw"",""es-MX"")"),"El conejo blanco del pequeño jardín: después de que la madriguera del conejo sea destruida por completo, se verá obligado a rebotar contra el suelo.")</f>
        <v>El conejo blanco del pequeño jardín: después de que la madriguera del conejo sea destruida por completo, se verá obligado a rebotar contra el suelo.</v>
      </c>
      <c r="F92" s="506" t="str">
        <f>IFERROR(__xludf.DUMMYFUNCTION("GOOGLETRANSLATE(A92,""zh-tw"",""KO"")"),"작은 정원의 흰 토끼 - 토끼 굴이 완전히 파괴되면 토끼는 땅바닥으로 튕겨 나갈 수밖에 없습니다.")</f>
        <v>작은 정원의 흰 토끼 - 토끼 굴이 완전히 파괴되면 토끼는 땅바닥으로 튕겨 나갈 수밖에 없습니다.</v>
      </c>
      <c r="G92" s="156" t="s">
        <v>11496</v>
      </c>
      <c r="H92" s="506" t="s">
        <v>11497</v>
      </c>
      <c r="I92" s="199" t="s">
        <v>11498</v>
      </c>
      <c r="J92" s="506" t="s">
        <v>11499</v>
      </c>
      <c r="K92" s="118" t="s">
        <v>11500</v>
      </c>
      <c r="L92" s="506"/>
      <c r="M92" s="70"/>
      <c r="N92" s="70"/>
      <c r="O92" s="70"/>
      <c r="P92" s="70"/>
      <c r="Q92" s="70"/>
      <c r="R92" s="70"/>
      <c r="S92" s="70"/>
      <c r="T92" s="70"/>
      <c r="U92" s="70"/>
      <c r="V92" s="70"/>
      <c r="W92" s="70"/>
      <c r="X92" s="70"/>
      <c r="Y92" s="70"/>
    </row>
    <row r="93">
      <c r="A93" s="82" t="s">
        <v>11501</v>
      </c>
      <c r="B93" s="506" t="s">
        <v>11502</v>
      </c>
      <c r="C93" s="82" t="s">
        <v>11503</v>
      </c>
      <c r="D93" s="505" t="str">
        <f>IFERROR(__xludf.DUMMYFUNCTION("GOOGLETRANSLATE(A93,""zh-tw"",""zh"")"),"箱庭的白兔-会强制玩家无法逃离(星之门也会被吞噬)，但是塔罗牌不受影响。")</f>
        <v>箱庭的白兔-会强制玩家无法逃离(星之门也会被吞噬)，但是塔罗牌不受影响。</v>
      </c>
      <c r="E93" s="82" t="str">
        <f>IFERROR(__xludf.DUMMYFUNCTION("GOOGLETRANSLATE(A93,""zh-tw"",""es-MX"")"),"El Conejo Blanco del Jardín Pequeño impedirá que el jugador escape (la Puerta Estelar también será engullida), pero las cartas del Tarot no se verán afectadas.")</f>
        <v>El Conejo Blanco del Jardín Pequeño impedirá que el jugador escape (la Puerta Estelar también será engullida), pero las cartas del Tarot no se verán afectadas.</v>
      </c>
      <c r="F93" s="506" t="str">
        <f>IFERROR(__xludf.DUMMYFUNCTION("GOOGLETRANSLATE(A93,""zh-tw"",""KO"")"),"작은 정원의 흰 토끼는 플레이어의 탈출을 막지만(스타 게이트도 삼켜버립니다), 타로 카드는 영향을 받지 않습니다.")</f>
        <v>작은 정원의 흰 토끼는 플레이어의 탈출을 막지만(스타 게이트도 삼켜버립니다), 타로 카드는 영향을 받지 않습니다.</v>
      </c>
      <c r="G93" s="156" t="s">
        <v>11504</v>
      </c>
      <c r="H93" s="506" t="s">
        <v>11505</v>
      </c>
      <c r="I93" s="199" t="s">
        <v>11506</v>
      </c>
      <c r="J93" s="506" t="s">
        <v>11507</v>
      </c>
      <c r="K93" s="118" t="s">
        <v>11508</v>
      </c>
      <c r="L93" s="506"/>
      <c r="M93" s="70"/>
      <c r="N93" s="70"/>
      <c r="O93" s="70"/>
      <c r="P93" s="70"/>
      <c r="Q93" s="70"/>
      <c r="R93" s="70"/>
      <c r="S93" s="70"/>
      <c r="T93" s="70"/>
      <c r="U93" s="70"/>
      <c r="V93" s="70"/>
      <c r="W93" s="70"/>
      <c r="X93" s="70"/>
      <c r="Y93" s="70"/>
    </row>
    <row r="94">
      <c r="A94" s="82" t="s">
        <v>11509</v>
      </c>
      <c r="B94" s="506" t="s">
        <v>11510</v>
      </c>
      <c r="C94" s="82" t="s">
        <v>11511</v>
      </c>
      <c r="D94" s="505" t="str">
        <f>IFERROR(__xludf.DUMMYFUNCTION("GOOGLETRANSLATE(A94,""zh-tw"",""zh"")"),"箱庭的白兔-如果玩家战斗落败，身上的胡萝卜会被没收")</f>
        <v>箱庭的白兔-如果玩家战斗落败，身上的胡萝卜会被没收</v>
      </c>
      <c r="E94" s="82" t="str">
        <f>IFERROR(__xludf.DUMMYFUNCTION("GOOGLETRANSLATE(A94,""zh-tw"",""es-MX"")"),"El Conejo Blanco en el Jardín en Miniatura: Si el jugador pierde la batalla, las zanahorias que lleve consigo serán confiscadas.")</f>
        <v>El Conejo Blanco en el Jardín en Miniatura: Si el jugador pierde la batalla, las zanahorias que lleve consigo serán confiscadas.</v>
      </c>
      <c r="F94" s="506" t="str">
        <f>IFERROR(__xludf.DUMMYFUNCTION("GOOGLETRANSLATE(A94,""zh-tw"",""KO"")"),"미니어처 정원의 흰 토끼 - 플레이어가 전투에서 패배하면 소지하고 있던 당근을 압수당합니다.")</f>
        <v>미니어처 정원의 흰 토끼 - 플레이어가 전투에서 패배하면 소지하고 있던 당근을 압수당합니다.</v>
      </c>
      <c r="G94" s="156" t="s">
        <v>11512</v>
      </c>
      <c r="H94" s="506" t="s">
        <v>11513</v>
      </c>
      <c r="I94" s="199" t="s">
        <v>11514</v>
      </c>
      <c r="J94" s="506" t="s">
        <v>11515</v>
      </c>
      <c r="K94" s="118" t="s">
        <v>11516</v>
      </c>
      <c r="L94" s="506"/>
      <c r="M94" s="70"/>
      <c r="N94" s="70"/>
      <c r="O94" s="70"/>
      <c r="P94" s="70"/>
      <c r="Q94" s="70"/>
      <c r="R94" s="70"/>
      <c r="S94" s="70"/>
      <c r="T94" s="70"/>
      <c r="U94" s="70"/>
      <c r="V94" s="70"/>
      <c r="W94" s="70"/>
      <c r="X94" s="70"/>
      <c r="Y94" s="70"/>
    </row>
    <row r="95">
      <c r="A95" s="79" t="s">
        <v>11517</v>
      </c>
      <c r="B95" s="506" t="s">
        <v>11518</v>
      </c>
      <c r="C95" s="82" t="s">
        <v>11519</v>
      </c>
      <c r="D95" s="505" t="str">
        <f>IFERROR(__xludf.DUMMYFUNCTION("GOOGLETRANSLATE(A95,""zh-tw"",""zh"")"),"胡萝卜大剑-放在篝火上烤可以召唤女仆兔为你打开传送去其他篝火存取点的兔子洞(未实装)")</f>
        <v>胡萝卜大剑-放在篝火上烤可以召唤女仆兔为你打开传送去其他篝火存取点的兔子洞(未实装)</v>
      </c>
      <c r="E95" s="82" t="str">
        <f>IFERROR(__xludf.DUMMYFUNCTION("GOOGLETRANSLATE(A95,""zh-tw"",""es-MX"")"),"Gran espada de zanahoria: asarla sobre una fogata invocará a una conejita sirvienta que abrirá una madriguera que te teletransportará a otros puntos de guardado de fogatas (aún no implementado).")</f>
        <v>Gran espada de zanahoria: asarla sobre una fogata invocará a una conejita sirvienta que abrirá una madriguera que te teletransportará a otros puntos de guardado de fogatas (aún no implementado).</v>
      </c>
      <c r="F95" s="506" t="str">
        <f>IFERROR(__xludf.DUMMYFUNCTION("GOOGLETRANSLATE(A95,""zh-tw"",""KO"")"),"당근 대검 - 모닥불에 구우면 하녀 토끼가 나타나 토끼굴을 열어주는데, 이 굴을 통해 다른 모닥불 저장 지점으로 순간 이동할 수 있습니다(아직 구현되지 않음).")</f>
        <v>당근 대검 - 모닥불에 구우면 하녀 토끼가 나타나 토끼굴을 열어주는데, 이 굴을 통해 다른 모닥불 저장 지점으로 순간 이동할 수 있습니다(아직 구현되지 않음).</v>
      </c>
      <c r="G95" s="156" t="s">
        <v>11520</v>
      </c>
      <c r="H95" s="506" t="s">
        <v>11521</v>
      </c>
      <c r="I95" s="199" t="s">
        <v>11522</v>
      </c>
      <c r="J95" s="506" t="s">
        <v>11523</v>
      </c>
      <c r="K95" s="118" t="s">
        <v>11524</v>
      </c>
      <c r="L95" s="506"/>
      <c r="M95" s="70"/>
      <c r="N95" s="70"/>
      <c r="O95" s="70"/>
      <c r="P95" s="70"/>
      <c r="Q95" s="70"/>
      <c r="R95" s="70"/>
      <c r="S95" s="70"/>
      <c r="T95" s="70"/>
      <c r="U95" s="70"/>
      <c r="V95" s="70"/>
      <c r="W95" s="70"/>
      <c r="X95" s="70"/>
      <c r="Y95" s="70"/>
    </row>
    <row r="96">
      <c r="A96" s="79" t="s">
        <v>11525</v>
      </c>
      <c r="B96" s="506" t="s">
        <v>11526</v>
      </c>
      <c r="C96" s="82" t="s">
        <v>11527</v>
      </c>
      <c r="D96" s="505" t="str">
        <f>IFERROR(__xludf.DUMMYFUNCTION("GOOGLETRANSLATE(A96,""zh-tw"",""zh"")"),"ASABA的草莓/胡萝卜，目前对于妹妹与哥哥的饮食方面无特殊影响效果")</f>
        <v>ASABA的草莓/胡萝卜，目前对于妹妹与哥哥的饮食方面无特殊影响效果</v>
      </c>
      <c r="E96" s="82" t="str">
        <f>IFERROR(__xludf.DUMMYFUNCTION("GOOGLETRANSLATE(A96,""zh-tw"",""es-MX"")"),"Las fresas y zanahorias de ASABA aún no han tenido ningún efecto especial en la dieta de la hermana menor y el hermano mayor.")</f>
        <v>Las fresas y zanahorias de ASABA aún no han tenido ningún efecto especial en la dieta de la hermana menor y el hermano mayor.</v>
      </c>
      <c r="F96" s="506" t="str">
        <f>IFERROR(__xludf.DUMMYFUNCTION("GOOGLETRANSLATE(A96,""zh-tw"",""KO"")"),"아사바가 재배한 딸기와 당근은 아직까지 여동생과 오빠의 식단에 특별한 영향을 미치지 않았습니다.")</f>
        <v>아사바가 재배한 딸기와 당근은 아직까지 여동생과 오빠의 식단에 특별한 영향을 미치지 않았습니다.</v>
      </c>
      <c r="G96" s="156" t="s">
        <v>11528</v>
      </c>
      <c r="H96" s="506" t="s">
        <v>11529</v>
      </c>
      <c r="I96" s="199" t="s">
        <v>11530</v>
      </c>
      <c r="J96" s="506" t="s">
        <v>11531</v>
      </c>
      <c r="K96" s="118" t="s">
        <v>11532</v>
      </c>
      <c r="L96" s="506"/>
      <c r="M96" s="70"/>
      <c r="N96" s="70"/>
      <c r="O96" s="70"/>
      <c r="P96" s="70"/>
      <c r="Q96" s="70"/>
      <c r="R96" s="70"/>
      <c r="S96" s="70"/>
      <c r="T96" s="70"/>
      <c r="U96" s="70"/>
      <c r="V96" s="70"/>
      <c r="W96" s="70"/>
      <c r="X96" s="70"/>
      <c r="Y96" s="70"/>
    </row>
    <row r="97">
      <c r="A97" s="79" t="s">
        <v>11533</v>
      </c>
      <c r="B97" s="506" t="s">
        <v>11534</v>
      </c>
      <c r="C97" s="82" t="s">
        <v>11535</v>
      </c>
      <c r="D97" s="505" t="str">
        <f>IFERROR(__xludf.DUMMYFUNCTION("GOOGLETRANSLATE(A97,""zh-tw"",""zh"")"),"""ASABA的草莓""比普通草莓更好吃，如果拿这个食材喂ASABA，会激怒它，并触发BOSS战斗")</f>
        <v>"ASABA的草莓"比普通草莓更好吃，如果拿这个食材喂ASABA，会激怒它，并触发BOSS战斗</v>
      </c>
      <c r="E97" s="82" t="str">
        <f>IFERROR(__xludf.DUMMYFUNCTION("GOOGLETRANSLATE(A97,""zh-tw"",""es-MX"")"),"Las fresas de ASABA tienen mejor sabor que las fresas normales. Si alimentas a ASABA con este ingrediente, se enfurecerá y se desencadenará una batalla contra un jefe final.")</f>
        <v>Las fresas de ASABA tienen mejor sabor que las fresas normales. Si alimentas a ASABA con este ingrediente, se enfurecerá y se desencadenará una batalla contra un jefe final.</v>
      </c>
      <c r="F97" s="506" t="str">
        <f>IFERROR(__xludf.DUMMYFUNCTION("GOOGLETRANSLATE(A97,""zh-tw"",""KO"")"),"""아사바의 딸기""는 일반 딸기보다 맛이 더 좋습니다. 이 재료를 아사바에게 먹이면 아사바가 분노하여 보스전이 시작됩니다.")</f>
        <v>"아사바의 딸기"는 일반 딸기보다 맛이 더 좋습니다. 이 재료를 아사바에게 먹이면 아사바가 분노하여 보스전이 시작됩니다.</v>
      </c>
      <c r="G97" s="156" t="s">
        <v>11536</v>
      </c>
      <c r="H97" s="506" t="s">
        <v>11537</v>
      </c>
      <c r="I97" s="199" t="s">
        <v>11538</v>
      </c>
      <c r="J97" s="506" t="s">
        <v>11539</v>
      </c>
      <c r="K97" s="118" t="s">
        <v>11540</v>
      </c>
      <c r="L97" s="506"/>
      <c r="M97" s="70"/>
      <c r="N97" s="70"/>
      <c r="O97" s="70"/>
      <c r="P97" s="70"/>
      <c r="Q97" s="70"/>
      <c r="R97" s="70"/>
      <c r="S97" s="70"/>
      <c r="T97" s="70"/>
      <c r="U97" s="70"/>
      <c r="V97" s="70"/>
      <c r="W97" s="70"/>
      <c r="X97" s="70"/>
      <c r="Y97" s="70"/>
    </row>
    <row r="98">
      <c r="A98" s="79" t="s">
        <v>11541</v>
      </c>
      <c r="B98" s="505" t="s">
        <v>11542</v>
      </c>
      <c r="C98" s="79" t="s">
        <v>11543</v>
      </c>
      <c r="D98" s="505" t="str">
        <f>IFERROR(__xludf.DUMMYFUNCTION("GOOGLETRANSLATE(A98,""zh-tw"",""zh"")"),"关于""狂暴ASABA""
左右横跳状态会闪避所有的攻击
旋转状态会反弹绝大部分飞行弹幕
会找机会冲刺释放瞬狱杀秒杀玩家
被ASABA啃咬时，ASABA会趁机吃掉你的食材储备并恢复体力，如果吃到有毒食材，则会中毒")</f>
        <v>关于"狂暴ASABA"
左右横跳状态会闪避所有的攻击
旋转状态会反弹绝大部分飞行弹幕
会找机会冲刺释放瞬狱杀秒杀玩家
被ASABA啃咬时，ASABA会趁机吃掉你的食材储备并恢复体力，如果吃到有毒食材，则会中毒</v>
      </c>
      <c r="E98" s="82" t="str">
        <f>IFERROR(__xludf.DUMMYFUNCTION("GOOGLETRANSLATE(A98,""zh-tw"",""es-MX"")"),"Respecto a ""ASABA Furioso"": mientras salta a izquierda y derecha, esquivará todos los ataques. Mientras gira, desviará la mayoría de los proyectiles. Buscará una oportunidad para embestir y lanzar un ataque devastador que matará al jugador al instante. "&amp;"Al ser mordido por ASABA, consumirá tus reservas de comida para recuperar salud; si come comida venenosa, se envenenará.")</f>
        <v>Respecto a "ASABA Furioso": mientras salta a izquierda y derecha, esquivará todos los ataques. Mientras gira, desviará la mayoría de los proyectiles. Buscará una oportunidad para embestir y lanzar un ataque devastador que matará al jugador al instante. Al ser mordido por ASABA, consumirá tus reservas de comida para recuperar salud; si come comida venenosa, se envenenará.</v>
      </c>
      <c r="F98" s="506" t="str">
        <f>IFERROR(__xludf.DUMMYFUNCTION("GOOGLETRANSLATE(A98,""zh-tw"",""KO"")"),"""날뛰는 아사바""에 대해 설명드리자면, 좌우로 점프하면서 모든 공격을 회피합니다. 회전하면서는 대부분의 투사체를 튕겨냅니다. 기회를 엿보다가 돌진하여 플레이어를 즉사시키는 강력한 공격을 퍼붓습니다. 아사바에게 물리면 플레이어의 식량을 섭취하여 체력을 회복하며, 독이 있는 음식을 먹으면 중독됩니다.")</f>
        <v>"날뛰는 아사바"에 대해 설명드리자면, 좌우로 점프하면서 모든 공격을 회피합니다. 회전하면서는 대부분의 투사체를 튕겨냅니다. 기회를 엿보다가 돌진하여 플레이어를 즉사시키는 강력한 공격을 퍼붓습니다. 아사바에게 물리면 플레이어의 식량을 섭취하여 체력을 회복하며, 독이 있는 음식을 먹으면 중독됩니다.</v>
      </c>
      <c r="G98" s="156" t="s">
        <v>11544</v>
      </c>
      <c r="H98" s="505" t="s">
        <v>11545</v>
      </c>
      <c r="I98" s="146" t="s">
        <v>11546</v>
      </c>
      <c r="J98" s="506" t="s">
        <v>11547</v>
      </c>
      <c r="K98" s="118" t="s">
        <v>11548</v>
      </c>
      <c r="L98" s="506"/>
      <c r="M98" s="70"/>
      <c r="N98" s="70"/>
      <c r="O98" s="70"/>
      <c r="P98" s="70"/>
      <c r="Q98" s="70"/>
      <c r="R98" s="70"/>
      <c r="S98" s="70"/>
      <c r="T98" s="70"/>
      <c r="U98" s="70"/>
      <c r="V98" s="70"/>
      <c r="W98" s="70"/>
      <c r="X98" s="70"/>
      <c r="Y98" s="70"/>
    </row>
    <row r="99">
      <c r="A99" s="79" t="s">
        <v>11549</v>
      </c>
      <c r="B99" s="505" t="s">
        <v>11550</v>
      </c>
      <c r="C99" s="79" t="s">
        <v>11551</v>
      </c>
      <c r="D99" s="505" t="str">
        <f>IFERROR(__xludf.DUMMYFUNCTION("GOOGLETRANSLATE(A99,""zh-tw"",""zh"")"),"关于""铁砧""的说明
1.闪步会被替换，使用闪步会视为拿出铁砧开始打铁，同时主武器会自动卸除改为""锻造锤""
2.""锻造锤""无限耐久，但转移地图、收起铁砧时都会回收该武器
3.对铁砧进行攻击会视为打铁，每次敲打会提升武器的温度，武器温度越高，每次敲击获得耐久度奖励的机率和数值都会提升
4.当铁砧附近有敌人时，会获得额外奖励
5.武器过热时会冒烟，此时打铁无任何收益，只能等待自然冷却
6.锻造的耐久不会超过武器原本的初始耐久上限
7.只有在陆地上才能使用锻造
8.锻造中，主角死亡时会回收；转移地图需"&amp;"再次回到地图；复活时不会立即回收
9.目前无多个铁觇的设计
10.武器敲高温后，此时收回并且马上再次锻造，可以无视红色温度的冷却时间
11.锻造锤可以配合猫爪、武器放大等等的武器加成，来提升锻造效果
12.角色攻击力越高，锻造的效果越高
13.无武器的空手状态，无法召唤出铁觇
14.未来，可以进行打磨来提升武器效果、或者放上其他非武器的东西，敬请期待")</f>
        <v>关于"铁砧"的说明
1.闪步会被替换，使用闪步会视为拿出铁砧开始打铁，同时主武器会自动卸除改为"锻造锤"
2."锻造锤"无限耐久，但转移地图、收起铁砧时都会回收该武器
3.对铁砧进行攻击会视为打铁，每次敲打会提升武器的温度，武器温度越高，每次敲击获得耐久度奖励的机率和数值都会提升
4.当铁砧附近有敌人时，会获得额外奖励
5.武器过热时会冒烟，此时打铁无任何收益，只能等待自然冷却
6.锻造的耐久不会超过武器原本的初始耐久上限
7.只有在陆地上才能使用锻造
8.锻造中，主角死亡时会回收；转移地图需再次回到地图；复活时不会立即回收
9.目前无多个铁觇的设计
10.武器敲高温后，此时收回并且马上再次锻造，可以无视红色温度的冷却时间
11.锻造锤可以配合猫爪、武器放大等等的武器加成，来提升锻造效果
12.角色攻击力越高，锻造的效果越高
13.无武器的空手状态，无法召唤出铁觇
14.未来，可以进行打磨来提升武器效果、或者放上其他非武器的东西，敬请期待</v>
      </c>
      <c r="E99" s="82" t="str">
        <f>IFERROR(__xludf.DUMMYFUNCTION("GOOGLETRANSLATE(A99,""zh-tw"",""es-MX"")"),"Explicación del ""Yunque"":
1. La habilidad Parpadeo se reemplazará. Usar Parpadeo se considerará como sacar el yunque y comenzar a forjar, y el arma principal se desequipará automáticamente y se reemplazará por el ""Martillo de Forja"".
2. El ""Martill"&amp;"o de Forja"" tiene durabilidad infinita, pero se reciclará al cambiar de mapa o al guardar el yunque.
3. Atacar el yunque se considera forjar. Cada golpe aumenta la temperatura del arma. Cuanto mayor sea la temperatura del arma, mayor será la probabilida"&amp;"d y el valor de la bonificación de durabilidad obtenida por golpe.
4. Cuando haya enemigos cerca del yunque, se otorgará una bonificación adicional.
5. Cuando el arma se sobrecalienta, humea. Forjar en este momento no proporciona ningún beneficio; solo "&amp;"puedes esperar a que se enfríe naturalmente.
6. La durabilidad de la forja no excederá la durabilidad inicial original del arma. Limitado a:
7. La forja solo se puede usar en tierra.
8. Durante la forja, el arma se recuperará al morir el protagonista; "&amp;"si el jugador se mueve a otro mapa, deberá regresar a él; el arma no se recuperará inmediatamente al resucitar.
9. Actualmente, no existe un diseño para múltiples Golems de Hierro.
10. Después de que un arma alcance altas temperaturas, recuperarla y ref"&amp;"orjarla inmediatamente ignora el tiempo de enfriamiento de la temperatura roja.
11. El martillo de forja se puede usar junto con bonificaciones de armas como Garra de Gato y Amplificación de Arma para mejorar los efectos de forja.
12. Cuanto mayor sea e"&amp;"l poder de ataque del personaje, mejor será el efecto de forja.
13. No se puede invocar un Golem de Hierro cuando el personaje está desarmado.
14. En el futuro, será posible pulir para mejorar los efectos de las armas o añadir otros objetos que no sean "&amp;"armas. ¡Manténganse al tanto!")</f>
        <v>Explicación del "Yunque":
1. La habilidad Parpadeo se reemplazará. Usar Parpadeo se considerará como sacar el yunque y comenzar a forjar, y el arma principal se desequipará automáticamente y se reemplazará por el "Martillo de Forja".
2. El "Martillo de Forja" tiene durabilidad infinita, pero se reciclará al cambiar de mapa o al guardar el yunque.
3. Atacar el yunque se considera forjar. Cada golpe aumenta la temperatura del arma. Cuanto mayor sea la temperatura del arma, mayor será la probabilidad y el valor de la bonificación de durabilidad obtenida por golpe.
4. Cuando haya enemigos cerca del yunque, se otorgará una bonificación adicional.
5. Cuando el arma se sobrecalienta, humea. Forjar en este momento no proporciona ningún beneficio; solo puedes esperar a que se enfríe naturalmente.
6. La durabilidad de la forja no excederá la durabilidad inicial original del arma. Limitado a:
7. La forja solo se puede usar en tierra.
8. Durante la forja, el arma se recuperará al morir el protagonista; si el jugador se mueve a otro mapa, deberá regresar a él; el arma no se recuperará inmediatamente al resucitar.
9. Actualmente, no existe un diseño para múltiples Golems de Hierro.
10. Después de que un arma alcance altas temperaturas, recuperarla y reforjarla inmediatamente ignora el tiempo de enfriamiento de la temperatura roja.
11. El martillo de forja se puede usar junto con bonificaciones de armas como Garra de Gato y Amplificación de Arma para mejorar los efectos de forja.
12. Cuanto mayor sea el poder de ataque del personaje, mejor será el efecto de forja.
13. No se puede invocar un Golem de Hierro cuando el personaje está desarmado.
14. En el futuro, será posible pulir para mejorar los efectos de las armas o añadir otros objetos que no sean armas. ¡Manténganse al tanto!</v>
      </c>
      <c r="F99" s="506" t="str">
        <f>IFERROR(__xludf.DUMMYFUNCTION("GOOGLETRANSLATE(A99,""zh-tw"",""KO"")"),"""모루""에 대한 설명:
1. 순간 이동(Blink)이 대체됩니다. 순간 이동을 사용하면 모루를 꺼내 단조를 시작하는 것으로 간주되어 주 무기가 자동으로 해제되고 ""단조 망치""로 교체됩니다.
2. ""단조 망치""는 내구도가 무한하지만, 다른 맵으로 이동하거나 모루를 치우면 재사용 대기시간이 발생합니다.
3. 모루를 공격하면 단조가 진행됩니다. 공격할 때마다 무기의 온도가 상승하며, 온도가 높을수록 공격당 얻는 내구도 보너스의 확률과 값이 커"&amp;"집니다.
4. 모루 근처에 적이 있을 경우 추가 보너스가 부여됩니다.
5. 무기가 과열되면 연기가 발생합니다. 이때 단조를 해도 아무런 효과가 없으며, 자연적으로 식을 때까지 기다려야 합니다.
6. 단조로 얻는 내구도는 무기의 초기 내구도를 초과할 수 없습니다. 제한 사항:
7. 단조는 지상에서만 사용할 수 있습니다.
8. 단조 중 주인공이 사망하면 무기를 되찾을 수 있습니다. 다른 맵으로 이동한 후에는 해당 맵으로 돌아와야 하며, 부활 시 즉"&amp;"시 무기를 되찾을 수는 없습니다.
9. 현재로서는 여러 개의 철 골렘을 소환하는 기능은 설계되어 있지 않습니다.
10. 무기가 고온에 도달한 후, 무기를 회수하여 즉시 재단조하면 고온 경고 쿨다운이 적용되지 않습니다.
11. 단조 망치는 고양이 발톱이나 무기 증폭과 같은 무기 보너스와 함께 사용하여 단조 효과를 강화할 수 있습니다.
12. 캐릭터의 공격력이 높을수록 단조 효과가 좋아집니다.
13. 캐릭터가 무장하지 않은 상태에서는 철 골렘을 소"&amp;"환할 수 없습니다.
14. 향후 연마 기능을 통해 무기 효과를 향상시키거나 무기 이외의 아이템을 추가할 수 있게 될 예정입니다. 기대해 주세요!")</f>
        <v>"모루"에 대한 설명:
1. 순간 이동(Blink)이 대체됩니다. 순간 이동을 사용하면 모루를 꺼내 단조를 시작하는 것으로 간주되어 주 무기가 자동으로 해제되고 "단조 망치"로 교체됩니다.
2. "단조 망치"는 내구도가 무한하지만, 다른 맵으로 이동하거나 모루를 치우면 재사용 대기시간이 발생합니다.
3. 모루를 공격하면 단조가 진행됩니다. 공격할 때마다 무기의 온도가 상승하며, 온도가 높을수록 공격당 얻는 내구도 보너스의 확률과 값이 커집니다.
4. 모루 근처에 적이 있을 경우 추가 보너스가 부여됩니다.
5. 무기가 과열되면 연기가 발생합니다. 이때 단조를 해도 아무런 효과가 없으며, 자연적으로 식을 때까지 기다려야 합니다.
6. 단조로 얻는 내구도는 무기의 초기 내구도를 초과할 수 없습니다. 제한 사항:
7. 단조는 지상에서만 사용할 수 있습니다.
8. 단조 중 주인공이 사망하면 무기를 되찾을 수 있습니다. 다른 맵으로 이동한 후에는 해당 맵으로 돌아와야 하며, 부활 시 즉시 무기를 되찾을 수는 없습니다.
9. 현재로서는 여러 개의 철 골렘을 소환하는 기능은 설계되어 있지 않습니다.
10. 무기가 고온에 도달한 후, 무기를 회수하여 즉시 재단조하면 고온 경고 쿨다운이 적용되지 않습니다.
11. 단조 망치는 고양이 발톱이나 무기 증폭과 같은 무기 보너스와 함께 사용하여 단조 효과를 강화할 수 있습니다.
12. 캐릭터의 공격력이 높을수록 단조 효과가 좋아집니다.
13. 캐릭터가 무장하지 않은 상태에서는 철 골렘을 소환할 수 없습니다.
14. 향후 연마 기능을 통해 무기 효과를 향상시키거나 무기 이외의 아이템을 추가할 수 있게 될 예정입니다. 기대해 주세요!</v>
      </c>
      <c r="G99" s="156" t="s">
        <v>11552</v>
      </c>
      <c r="H99" s="506" t="str">
        <f>IFERROR(__xludf.DUMMYFUNCTION("GOOGLETRANSLATE(A99,""zh-tw"",""de"")"),"Erklärung des „Ambosses“:
1. Die Fähigkeit „Blinken“ wird ersetzt. Die Verwendung von „Blinken“ gilt als Entnahme des Ambosses und Beginn des Schmiedeprozesses. Die Primärwaffe wird automatisch abgelegt und durch den „Schmiedehammer“ ersetzt.
2. Der „Sc"&amp;"hmiedehammer“ ist unbegrenzt haltbar, wird aber beim Wechsel auf eine andere Karte oder beim Weglegen des Ambosses wiederverwendet.
3. Das Angreifen des Ambosses gilt als Schmieden. Jeder Schlag erhöht die Temperatur der Waffe. Je höher die Temperatur, d"&amp;"esto höher die Wahrscheinlichkeit und der Wert des Haltbarkeitsbonus pro Schlag.
4. Befinden sich Gegner in der Nähe des Ambosses, wird ein zusätzlicher Bonus gewährt.
5. Überhitzt die Waffe, beginnt sie zu rauchen. Schmieden bringt in diesem Zustand ke"&amp;"ine Vorteile; man muss warten, bis sie sich auf natürliche Weise abgekühlt hat.
6. Die Haltbarkeit durch das Schmieden überschreitet nicht die ursprüngliche Haltbarkeit der Waffe.
7. Schmieden ist nur an Land möglich.
8. Beim Schmieden wird die Waffe n"&amp;"ach dem Tod des Protagonisten geborgen. Wechselt der Spieler die Karte, muss er dorthin zurückkehren; die Waffe wird nach der Wiederbelebung nicht sofort geborgen.
9. Derzeit ist die Beschwörung mehrerer Eisengolems nicht vorgesehen.
10. Sobald eine Waf"&amp;"fe hohe Temperaturen erreicht hat, wird die Abklingzeit der roten Temperatur ignoriert, wenn sie geborgen und sofort neu geschmiedet wird.
11. Der Schmiedehammer kann in Kombination mit Waffenboni wie Katzenklaue und Waffenverstärkung verwendet werden, u"&amp;"m die Schmiedeeffekte zu verbessern.
12. Je höher die Angriffskraft des Charakters, desto besser der Schmiedeeffekt.
13. Ein Eisengolem kann nicht beschworen werden, wenn der Charakter unbewaffnet ist.
14. Zukünftig wird es möglich sein, Waffeneffekte "&amp;"durch Veredelung zu verbessern oder andere Gegenstände hinzuzufügen. Seid gespannt!")</f>
        <v>Erklärung des „Ambosses“:
1. Die Fähigkeit „Blinken“ wird ersetzt. Die Verwendung von „Blinken“ gilt als Entnahme des Ambosses und Beginn des Schmiedeprozesses. Die Primärwaffe wird automatisch abgelegt und durch den „Schmiedehammer“ ersetzt.
2. Der „Schmiedehammer“ ist unbegrenzt haltbar, wird aber beim Wechsel auf eine andere Karte oder beim Weglegen des Ambosses wiederverwendet.
3. Das Angreifen des Ambosses gilt als Schmieden. Jeder Schlag erhöht die Temperatur der Waffe. Je höher die Temperatur, desto höher die Wahrscheinlichkeit und der Wert des Haltbarkeitsbonus pro Schlag.
4. Befinden sich Gegner in der Nähe des Ambosses, wird ein zusätzlicher Bonus gewährt.
5. Überhitzt die Waffe, beginnt sie zu rauchen. Schmieden bringt in diesem Zustand keine Vorteile; man muss warten, bis sie sich auf natürliche Weise abgekühlt hat.
6. Die Haltbarkeit durch das Schmieden überschreitet nicht die ursprüngliche Haltbarkeit der Waffe.
7. Schmieden ist nur an Land möglich.
8. Beim Schmieden wird die Waffe nach dem Tod des Protagonisten geborgen. Wechselt der Spieler die Karte, muss er dorthin zurückkehren; die Waffe wird nach der Wiederbelebung nicht sofort geborgen.
9. Derzeit ist die Beschwörung mehrerer Eisengolems nicht vorgesehen.
10. Sobald eine Waffe hohe Temperaturen erreicht hat, wird die Abklingzeit der roten Temperatur ignoriert, wenn sie geborgen und sofort neu geschmiedet wird.
11. Der Schmiedehammer kann in Kombination mit Waffenboni wie Katzenklaue und Waffenverstärkung verwendet werden, um die Schmiedeeffekte zu verbessern.
12. Je höher die Angriffskraft des Charakters, desto besser der Schmiedeeffekt.
13. Ein Eisengolem kann nicht beschworen werden, wenn der Charakter unbewaffnet ist.
14. Zukünftig wird es möglich sein, Waffeneffekte durch Veredelung zu verbessern oder andere Gegenstände hinzuzufügen. Seid gespannt!</v>
      </c>
      <c r="I99" s="146" t="s">
        <v>11553</v>
      </c>
      <c r="J99" s="506" t="s">
        <v>11554</v>
      </c>
      <c r="K99" s="79" t="s">
        <v>11555</v>
      </c>
      <c r="L99" s="506"/>
      <c r="M99" s="70"/>
      <c r="N99" s="70"/>
      <c r="O99" s="70"/>
      <c r="P99" s="70"/>
      <c r="Q99" s="70"/>
      <c r="R99" s="70"/>
      <c r="S99" s="70"/>
      <c r="T99" s="70"/>
      <c r="U99" s="70"/>
      <c r="V99" s="70"/>
      <c r="W99" s="70"/>
      <c r="X99" s="70"/>
      <c r="Y99" s="70"/>
    </row>
    <row r="100">
      <c r="A100" s="79" t="s">
        <v>11556</v>
      </c>
      <c r="B100" s="505" t="s">
        <v>11557</v>
      </c>
      <c r="C100" s="79" t="s">
        <v>11558</v>
      </c>
      <c r="D100" s="505" t="str">
        <f>IFERROR(__xludf.DUMMYFUNCTION("GOOGLETRANSLATE(A100,""zh-tw"",""zh"")"),"怪鸟的羽毛、法杖的悬空等等，都属于漂浮状态，可以抵达特殊地区
羽毛不能接触水面或冰面")</f>
        <v>怪鸟的羽毛、法杖的悬空等等，都属于漂浮状态，可以抵达特殊地区
羽毛不能接触水面或冰面</v>
      </c>
      <c r="E100" s="82" t="str">
        <f>IFERROR(__xludf.DUMMYFUNCTION("GOOGLETRANSLATE(A100,""zh-tw"",""es-MX"")"),"Las extrañas plumas del pájaro, la levitación del bastón y otras características contribuyen a su capacidad para flotar y alcanzar zonas especiales. Sin embargo, las plumas no pueden tocar el agua ni el hielo.")</f>
        <v>Las extrañas plumas del pájaro, la levitación del bastón y otras características contribuyen a su capacidad para flotar y alcanzar zonas especiales. Sin embargo, las plumas no pueden tocar el agua ni el hielo.</v>
      </c>
      <c r="F100" s="506" t="str">
        <f>IFERROR(__xludf.DUMMYFUNCTION("GOOGLETRANSLATE(A100,""zh-tw"",""KO"")"),"이 기묘한 새의 깃털, 지팡이의 부양 능력, 그리고 기타 여러 특징들은 모두 지팡이가 공중에 떠서 특정한 장소에 도달할 수 있도록 해줍니다. 하지만 깃털은 물이나 얼음에 닿을 수 없습니다.")</f>
        <v>이 기묘한 새의 깃털, 지팡이의 부양 능력, 그리고 기타 여러 특징들은 모두 지팡이가 공중에 떠서 특정한 장소에 도달할 수 있도록 해줍니다. 하지만 깃털은 물이나 얼음에 닿을 수 없습니다.</v>
      </c>
      <c r="G100" s="156" t="s">
        <v>11559</v>
      </c>
      <c r="H100" s="506" t="str">
        <f>IFERROR(__xludf.DUMMYFUNCTION("GOOGLETRANSLATE(A100,""zh-tw"",""de"")"),"Die Federn des seltsamen Vogels, die Levitation des Stabs und andere Merkmale tragen alle dazu bei, dass er schweben und besondere Bereiche erreichen kann. Die Federn dürfen jedoch weder Wasser noch Eis berühren.")</f>
        <v>Die Federn des seltsamen Vogels, die Levitation des Stabs und andere Merkmale tragen alle dazu bei, dass er schweben und besondere Bereiche erreichen kann. Die Federn dürfen jedoch weder Wasser noch Eis berühren.</v>
      </c>
      <c r="I100" s="199" t="s">
        <v>11560</v>
      </c>
      <c r="J100" s="506" t="s">
        <v>11561</v>
      </c>
      <c r="K100" s="118" t="s">
        <v>11562</v>
      </c>
      <c r="L100" s="506"/>
      <c r="M100" s="70"/>
      <c r="N100" s="70"/>
      <c r="O100" s="70"/>
      <c r="P100" s="70"/>
      <c r="Q100" s="70"/>
      <c r="R100" s="70"/>
      <c r="S100" s="70"/>
      <c r="T100" s="70"/>
      <c r="U100" s="70"/>
      <c r="V100" s="70"/>
      <c r="W100" s="70"/>
      <c r="X100" s="70"/>
      <c r="Y100" s="70"/>
    </row>
    <row r="101">
      <c r="A101" s="79" t="s">
        <v>11563</v>
      </c>
      <c r="B101" s="505" t="s">
        <v>11564</v>
      </c>
      <c r="C101" s="79" t="s">
        <v>11565</v>
      </c>
      <c r="D101" s="505" t="str">
        <f>IFERROR(__xludf.DUMMYFUNCTION("GOOGLETRANSLATE(A101,""zh-tw"",""zh"")"),"兔子洞只能使用爆炸属性的伤害进行攻击，其他攻击或者从者攻击，皆无效果。")</f>
        <v>兔子洞只能使用爆炸属性的伤害进行攻击，其他攻击或者从者攻击，皆无效果。</v>
      </c>
      <c r="E101" s="82" t="str">
        <f>IFERROR(__xludf.DUMMYFUNCTION("GOOGLETRANSLATE(A101,""zh-tw"",""es-MX"")"),"Rabbit Hole solo puede ser atacado con daño explosivo; otros ataques o ataques de Servants no tienen efecto.")</f>
        <v>Rabbit Hole solo puede ser atacado con daño explosivo; otros ataques o ataques de Servants no tienen efecto.</v>
      </c>
      <c r="F101" s="506" t="str">
        <f>IFERROR(__xludf.DUMMYFUNCTION("GOOGLETRANSLATE(A101,""zh-tw"",""KO"")"),"토끼굴은 폭발 공격으로만 파괴할 수 있으며, 다른 공격이나 하수인의 공격은 효과가 없습니다.")</f>
        <v>토끼굴은 폭발 공격으로만 파괴할 수 있으며, 다른 공격이나 하수인의 공격은 효과가 없습니다.</v>
      </c>
      <c r="G101" s="156" t="s">
        <v>11566</v>
      </c>
      <c r="H101" s="505" t="s">
        <v>11567</v>
      </c>
      <c r="I101" s="199" t="s">
        <v>11568</v>
      </c>
      <c r="J101" s="506" t="s">
        <v>11569</v>
      </c>
      <c r="K101" s="118" t="s">
        <v>11570</v>
      </c>
      <c r="L101" s="506"/>
      <c r="M101" s="70"/>
      <c r="N101" s="70"/>
      <c r="O101" s="70"/>
      <c r="P101" s="70"/>
      <c r="Q101" s="70"/>
      <c r="R101" s="70"/>
      <c r="S101" s="70"/>
      <c r="T101" s="70"/>
      <c r="U101" s="70"/>
      <c r="V101" s="70"/>
      <c r="W101" s="70"/>
      <c r="X101" s="70"/>
      <c r="Y101" s="70"/>
    </row>
    <row r="102">
      <c r="A102" s="79" t="s">
        <v>11571</v>
      </c>
      <c r="B102" s="505" t="s">
        <v>11572</v>
      </c>
      <c r="C102" s="79" t="s">
        <v>11573</v>
      </c>
      <c r="D102" s="505" t="str">
        <f>IFERROR(__xludf.DUMMYFUNCTION("GOOGLETRANSLATE(A102,""zh-tw"",""zh"")"),"可以同时进行多重BOSS战斗，例如河之主与狂暴ASABA，或者浅羽与红兽等等。
超过更多的BOSS部分尚未优化，不建议尝试")</f>
        <v>可以同时进行多重BOSS战斗，例如河之主与狂暴ASABA，或者浅羽与红兽等等。
超过更多的BOSS部分尚未优化，不建议尝试</v>
      </c>
      <c r="E102" s="82" t="str">
        <f>IFERROR(__xludf.DUMMYFUNCTION("GOOGLETRANSLATE(A102,""zh-tw"",""es-MX"")"),"Se pueden librar varias batallas contra jefes simultáneamente, como contra el Señor del Río y la furiosa Asaba, o contra Asaba y la Bestia Roja, etc.
Las demás batallas contra jefes aún no están optimizadas y no se recomienda intentarlas.")</f>
        <v>Se pueden librar varias batallas contra jefes simultáneamente, como contra el Señor del Río y la furiosa Asaba, o contra Asaba y la Bestia Roja, etc.
Las demás batallas contra jefes aún no están optimizadas y no se recomienda intentarlas.</v>
      </c>
      <c r="F102" s="506" t="str">
        <f>IFERROR(__xludf.DUMMYFUNCTION("GOOGLETRANSLATE(A102,""zh-tw"",""KO"")"),"강 군주와 광폭화된 아사바, 또는 아사바와 붉은 짐승 등 여러 보스전을 동시에 진행할 수 있습니다.
더 많은 보스전은 아직 최적화되지 않았으므로 시도하지 않는 것을 권장합니다.")</f>
        <v>강 군주와 광폭화된 아사바, 또는 아사바와 붉은 짐승 등 여러 보스전을 동시에 진행할 수 있습니다.
더 많은 보스전은 아직 최적화되지 않았으므로 시도하지 않는 것을 권장합니다.</v>
      </c>
      <c r="G102" s="156" t="s">
        <v>11574</v>
      </c>
      <c r="H102" s="505" t="s">
        <v>11575</v>
      </c>
      <c r="I102" s="199" t="s">
        <v>11576</v>
      </c>
      <c r="J102" s="506" t="s">
        <v>11577</v>
      </c>
      <c r="K102" s="118" t="s">
        <v>11578</v>
      </c>
      <c r="L102" s="506"/>
      <c r="M102" s="70"/>
      <c r="N102" s="70"/>
      <c r="O102" s="70"/>
      <c r="P102" s="70"/>
      <c r="Q102" s="70"/>
      <c r="R102" s="70"/>
      <c r="S102" s="70"/>
      <c r="T102" s="70"/>
      <c r="U102" s="70"/>
      <c r="V102" s="70"/>
      <c r="W102" s="70"/>
      <c r="X102" s="70"/>
      <c r="Y102" s="70"/>
    </row>
    <row r="103">
      <c r="A103" s="79" t="s">
        <v>11579</v>
      </c>
      <c r="B103" s="505" t="s">
        <v>11580</v>
      </c>
      <c r="C103" s="79" t="s">
        <v>11581</v>
      </c>
      <c r="D103" s="505" t="str">
        <f>IFERROR(__xludf.DUMMYFUNCTION("GOOGLETRANSLATE(A103,""zh-tw"",""zh"")"),"初号核心可以使用二号机至七号机进行消耗，每一种皆可提升初号核心一个等级，最高可以升级至LV7
(于技能栏位进行强化)
二号机：侦查附近的敌人和遗物数量 (可于商店车购买)
三号机：-
四号机：-
五号机：-
六号机：-
七号机：-")</f>
        <v>初号核心可以使用二号机至七号机进行消耗，每一种皆可提升初号核心一个等级，最高可以升级至LV7
(于技能栏位进行强化)
二号机：侦查附近的敌人和遗物数量 (可于商店车购买)
三号机：-
四号机：-
五号机：-
六号机：-
七号机：-</v>
      </c>
      <c r="E103" s="82" t="str">
        <f>IFERROR(__xludf.DUMMYFUNCTION("GOOGLETRANSLATE(A103,""zh-tw"",""es-MX"")"),"El Núcleo Evangelion se puede consumir usando las Unidades 2 a 7. Cada unidad puede mejorar el Núcleo Evangelion un nivel, hasta un máximo de LV7.
(La mejora se realiza en la ranura de habilidades)
Unidad 2: Explora enemigos cercanos y la cantidad de rel"&amp;"iquias (Se puede comprar en la tienda)
Unidad 3: -
Unidad 4: -
Unidad 5: -
Unidad 6: -
Unidad 7: -")</f>
        <v>El Núcleo Evangelion se puede consumir usando las Unidades 2 a 7. Cada unidad puede mejorar el Núcleo Evangelion un nivel, hasta un máximo de LV7.
(La mejora se realiza en la ranura de habilidades)
Unidad 2: Explora enemigos cercanos y la cantidad de reliquias (Se puede comprar en la tienda)
Unidad 3: -
Unidad 4: -
Unidad 5: -
Unidad 6: -
Unidad 7: -</v>
      </c>
      <c r="F103" s="506" t="str">
        <f>IFERROR(__xludf.DUMMYFUNCTION("GOOGLETRANSLATE(A103,""zh-tw"",""KO"")"),"에반게리온 코어는 유닛 2부터 7까지를 사용하여 소모할 수 있습니다. 각 유닛은 에반게리온 코어를 1레벨씩, 최대 7레벨까지 강화할 수 있습니다.
(스킬 슬롯에서 강화 가능)
유닛 2: 주변 적과 유물 개수를 정찰합니다. (상점 카트에서 구매 가능)
유닛 3: -
유닛 4: -
유닛 5: -
유닛 6: -
유닛 7: -")</f>
        <v>에반게리온 코어는 유닛 2부터 7까지를 사용하여 소모할 수 있습니다. 각 유닛은 에반게리온 코어를 1레벨씩, 최대 7레벨까지 강화할 수 있습니다.
(스킬 슬롯에서 강화 가능)
유닛 2: 주변 적과 유물 개수를 정찰합니다. (상점 카트에서 구매 가능)
유닛 3: -
유닛 4: -
유닛 5: -
유닛 6: -
유닛 7: -</v>
      </c>
      <c r="G103" s="130" t="s">
        <v>11582</v>
      </c>
      <c r="H103" s="505" t="s">
        <v>11583</v>
      </c>
      <c r="I103" s="199" t="s">
        <v>11584</v>
      </c>
      <c r="J103" s="505" t="s">
        <v>11585</v>
      </c>
      <c r="K103" s="118" t="s">
        <v>11586</v>
      </c>
      <c r="L103" s="505"/>
      <c r="M103" s="70"/>
      <c r="N103" s="70"/>
      <c r="O103" s="70"/>
      <c r="P103" s="70"/>
      <c r="Q103" s="70"/>
      <c r="R103" s="70"/>
      <c r="S103" s="70"/>
      <c r="T103" s="70"/>
      <c r="U103" s="70"/>
      <c r="V103" s="70"/>
      <c r="W103" s="70"/>
      <c r="X103" s="70"/>
      <c r="Y103" s="70"/>
    </row>
    <row r="104">
      <c r="A104" s="79" t="s">
        <v>11587</v>
      </c>
      <c r="B104" s="505" t="s">
        <v>11588</v>
      </c>
      <c r="C104" s="79" t="s">
        <v>11589</v>
      </c>
      <c r="D104" s="505" t="str">
        <f>IFERROR(__xludf.DUMMYFUNCTION("GOOGLETRANSLATE(A104,""zh-tw"",""zh"")"),"关于水面炸鱼的详细说明(所有的项目，下雨皆会重置)：
炸弹丢进水中，炸出任何物体的只有5%，下雨天气会提升30~50%随机值
1.
河域掉落物数量有限制，河域越大数量越多，最高上限为50
2.
当扭蛋机或敌人掉进河里时，在坠落点形成小范围""诱饵""效果，会触发提升50%掉落率(坏掉的扭蛋机不会增加机率)；并且增加该河域的掉落物数量；并且增加邪恶值。
3.
哥哥的幸运值会加成机率，最高额外加成75%
4.
河里的鱼影，直接碰触鱼影或攻击鱼影都会产生鱼类掉落物，不会有鱼以外的掉落
5.
气泡，提"&amp;"示你这里有东西，炸弹或水法杖的攻击都可以触发它并生成掉落物，会以更高的概率生成水中的敌人或装备，小概率才是鱼类掉落
6.
直接攻击河面，有诱饵加成时才有较高机率出现掉落，物品池较为均衡
7.
往河里丢活物都会成为养分来增加新的掉落，包含放生的萨卡班甲鱼
8.
电视预报的加成仅仅改变掉落池，不一定会影响掉落率和次数
9.
以上诱饵加成皆可叠加，诱饵重叠范围也可叠加，若将触发率提升至100%以上，会额外出现新的​​掉落判定，例如河之主或特殊物品
10.
水域太小时，不会出现某些种类(例如BOSS)；"&amp;"陆地站立点太小，则BOSS会立即逃跑
----------------------
简单来说：
下雨天+幸运值+多个扭蛋机落水叠加范围+大型河水+桥面附近陆地足够地区，是最佳的特殊钓鱼理想条件")</f>
        <v>关于水面炸鱼的详细说明(所有的项目，下雨皆会重置)：
炸弹丢进水中，炸出任何物体的只有5%，下雨天气会提升30~50%随机值
1.
河域掉落物数量有限制，河域越大数量越多，最高上限为50
2.
当扭蛋机或敌人掉进河里时，在坠落点形成小范围"诱饵"效果，会触发提升50%掉落率(坏掉的扭蛋机不会增加机率)；并且增加该河域的掉落物数量；并且增加邪恶值。
3.
哥哥的幸运值会加成机率，最高额外加成75%
4.
河里的鱼影，直接碰触鱼影或攻击鱼影都会产生鱼类掉落物，不会有鱼以外的掉落
5.
气泡，提示你这里有东西，炸弹或水法杖的攻击都可以触发它并生成掉落物，会以更高的概率生成水中的敌人或装备，小概率才是鱼类掉落
6.
直接攻击河面，有诱饵加成时才有较高机率出现掉落，物品池较为均衡
7.
往河里丢活物都会成为养分来增加新的掉落，包含放生的萨卡班甲鱼
8.
电视预报的加成仅仅改变掉落池，不一定会影响掉落率和次数
9.
以上诱饵加成皆可叠加，诱饵重叠范围也可叠加，若将触发率提升至100%以上，会额外出现新的​​掉落判定，例如河之主或特殊物品
10.
水域太小时，不会出现某些种类(例如BOSS)；陆地站立点太小，则BOSS会立即逃跑
----------------------
简单来说：
下雨天+幸运值+多个扭蛋机落水叠加范围+大型河水+桥面附近陆地足够地区，是最佳的特殊钓鱼理想条件</v>
      </c>
      <c r="E104" s="82" t="str">
        <f>IFERROR(__xludf.DUMMYFUNCTION("GOOGLETRANSLATE(A104,""zh-tw"",""es-MX"")"),"Explicación detallada de la pesca acuática (todos los objetos se reinician con la lluvia):
Al lanzar una bomba al agua, solo el 5% de los objetos caerán. La lluvia aumenta esta probabilidad entre un 30% y un 50%.
1. Existe un límite en la cantidad de ob"&amp;"jetos que pueden caer en un río. Cuanto más grande sea el río, más objetos pueden caer, con un límite máximo de 50.
2. Cuando una máquina de gashapon o un enemigo cae al río, se crea un pequeño efecto de ""cebo"" en el punto de impacto, lo que aumenta la"&amp;" probabilidad de caída en un 50% (las máquinas de gashapon rotas no aumentan la probabilidad de caída); también aumenta la cantidad de objetos que pueden caer en esa zona del río y el valor de maldad.
3. La estadística de suerte del hermano mayor aumenta"&amp;" la probabilidad de caída, hasta un máximo de un 75% adicional.
4. Sombras de peces en el río: tocar o atacar directamente una sombra de pez generará peces como botín; no se obtendrán otros objetos.
5. Burbujas: Indican la presencia de algo. Atacarlas c"&amp;"on bombas o bastones de agua las activará y generará objetos. Tienen una mayor probabilidad de generar enemigos o equipo en el agua, y una menor probabilidad de generar peces.
6. Atacar directamente la superficie del río tiene una mayor probabilidad de g"&amp;"enerar objetos solo cuando hay cebo disponible. El conjunto de objetos está relativamente equilibrado.
7. Lanzar criaturas vivas al río las convertirá en nutrientes, aumentando la cantidad de objetos nuevos, incluyendo tortugas Sakaban liberadas.
8. Pro"&amp;"nósticos de TV... Cambiar el conjunto de objetos no afecta necesariamente la tasa de aparición ni el número de intentos.
9. Todas las bonificaciones de cebo mencionadas anteriormente son acumulables, y el rango de superposición de cebos también se acumul"&amp;"a. Si la tasa de activación aumenta a más del 100%, aparecerán nuevas condiciones de aparición, como el Señor del Río u objetos especiales.
10. Si el área de agua es demasiado pequeña, ciertos tipos de monstruos (como los jefes) no aparecerán. Si el área"&amp;" disponible es demasiado pequeña, el jefe huirá inmediatamente.
---------------------- En resumen: Días lluviosos + mucha suerte + múltiples acumulaciones de gotas de agua en la máquina de gashapon + río grande + área suficiente cerca del puente son las "&amp;"condiciones ideales para la pesca especial.")</f>
        <v>Explicación detallada de la pesca acuática (todos los objetos se reinician con la lluvia):
Al lanzar una bomba al agua, solo el 5% de los objetos caerán. La lluvia aumenta esta probabilidad entre un 30% y un 50%.
1. Existe un límite en la cantidad de objetos que pueden caer en un río. Cuanto más grande sea el río, más objetos pueden caer, con un límite máximo de 50.
2. Cuando una máquina de gashapon o un enemigo cae al río, se crea un pequeño efecto de "cebo" en el punto de impacto, lo que aumenta la probabilidad de caída en un 50% (las máquinas de gashapon rotas no aumentan la probabilidad de caída); también aumenta la cantidad de objetos que pueden caer en esa zona del río y el valor de maldad.
3. La estadística de suerte del hermano mayor aumenta la probabilidad de caída, hasta un máximo de un 75% adicional.
4. Sombras de peces en el río: tocar o atacar directamente una sombra de pez generará peces como botín; no se obtendrán otros objetos.
5. Burbujas: Indican la presencia de algo. Atacarlas con bombas o bastones de agua las activará y generará objetos. Tienen una mayor probabilidad de generar enemigos o equipo en el agua, y una menor probabilidad de generar peces.
6. Atacar directamente la superficie del río tiene una mayor probabilidad de generar objetos solo cuando hay cebo disponible. El conjunto de objetos está relativamente equilibrado.
7. Lanzar criaturas vivas al río las convertirá en nutrientes, aumentando la cantidad de objetos nuevos, incluyendo tortugas Sakaban liberadas.
8. Pronósticos de TV... Cambiar el conjunto de objetos no afecta necesariamente la tasa de aparición ni el número de intentos.
9. Todas las bonificaciones de cebo mencionadas anteriormente son acumulables, y el rango de superposición de cebos también se acumula. Si la tasa de activación aumenta a más del 100%, aparecerán nuevas condiciones de aparición, como el Señor del Río u objetos especiales.
10. Si el área de agua es demasiado pequeña, ciertos tipos de monstruos (como los jefes) no aparecerán. Si el área disponible es demasiado pequeña, el jefe huirá inmediatamente.
---------------------- En resumen: Días lluviosos + mucha suerte + múltiples acumulaciones de gotas de agua en la máquina de gashapon + río grande + área suficiente cerca del puente son las condiciones ideales para la pesca especial.</v>
      </c>
      <c r="F104" s="506" t="str">
        <f>IFERROR(__xludf.DUMMYFUNCTION("GOOGLETRANSLATE(A104,""zh-tw"",""KO"")"),"수중 낚시 상세 설명 (비가 오면 모든 아이템이 초기화됩니다):
폭탄을 물에 던지면 아이템이 떨어질 확률은 5%입니다. 비가 오면 이 확률 확률이 30~50% 증가합니다.
1. 강에서 떨어질 수 있는 아이템 개수에는 제한이 있습니다. 강이 클수록 더 많은 아이템이 떨어지며, 최대 50개까지 떨어집니다.
2. 가샤폰 기계나 적이 강에 떨어지면, 떨어진 지점에 작은 ""미끼"" 효과가 생겨 아이템 드롭률이 50% 증가합니다 (파괴된 가샤폰 기계는 드롭"&amp;"률 증가 효과가 없습니다). 또한, 해당 강 지역에서 아이템이 떨어질 수 있는 개수가 늘어나고, 악의 수치가 증가합니다.
3. 형의 행운 스탯이 높을수록 아이템 드롭률이 최대 75%까지 증가합니다.
4. 강에 있는 물고기 그림자: 물고기 그림자를 직접 건드리거나 공격하면 물고기 아이템이 드롭됩니다. 물고기 외에는 다른 아이템이 드롭되지 않습니다.
5. 거품: 거품은 무언가의 존재를 나타냅니다. 폭탄이나 물 지팡이로 공격하면 거품이 터지면서 아이템이"&amp;" 드롭됩니다. 거품 속에서는 적이나 장비가 나올 확률이 높고, 물고기가 나올 확률은 낮습니다.
6. 미끼가 있을 때 강 표면을 직접 공격하면 아이템 드롭 확률이 높아집니다. 아이템 종류는 비교적 균형 있게 구성되어 있습니다.
7. 살아있는 생물을 강에 던지면 영양분이 되어 새로운 아이템이 드롭되며, 사카반 거북이도 드롭됩니다.
8. TV 예보... 단순히 드롭 종류를 바꾸는 것만으로는 드롭률이나 시도 횟수에 영향을 미치지 않습니다.
9. 위의 모"&amp;"든 미끼 보너스는 중첩되며, 미끼의 중첩 범위도 중첩됩니다. 발동 확률이 100%를 넘으면 강 군주나 특수 아이템과 같은 새로운 드롭 조건이 나타납니다.
10. 수역이 너무 좁으면 특정 유형의 몬스터(예: 보스)가 나타나지 않습니다. 땅이 너무 좁으면 보스가 바로 도망쳐 버립니다.
---------------------- 요약: 비 오는 날 + 높은 운 + 여러 가챠 머신의 물방울 중첩 범위 + 큰 강 + 다리 근처의 충분한 땅이 특수 낚시에 이상적"&amp;"인 조건입니다.")</f>
        <v>수중 낚시 상세 설명 (비가 오면 모든 아이템이 초기화됩니다):
폭탄을 물에 던지면 아이템이 떨어질 확률은 5%입니다. 비가 오면 이 확률 확률이 30~50% 증가합니다.
1. 강에서 떨어질 수 있는 아이템 개수에는 제한이 있습니다. 강이 클수록 더 많은 아이템이 떨어지며, 최대 50개까지 떨어집니다.
2. 가샤폰 기계나 적이 강에 떨어지면, 떨어진 지점에 작은 "미끼" 효과가 생겨 아이템 드롭률이 50% 증가합니다 (파괴된 가샤폰 기계는 드롭률 증가 효과가 없습니다). 또한, 해당 강 지역에서 아이템이 떨어질 수 있는 개수가 늘어나고, 악의 수치가 증가합니다.
3. 형의 행운 스탯이 높을수록 아이템 드롭률이 최대 75%까지 증가합니다.
4. 강에 있는 물고기 그림자: 물고기 그림자를 직접 건드리거나 공격하면 물고기 아이템이 드롭됩니다. 물고기 외에는 다른 아이템이 드롭되지 않습니다.
5. 거품: 거품은 무언가의 존재를 나타냅니다. 폭탄이나 물 지팡이로 공격하면 거품이 터지면서 아이템이 드롭됩니다. 거품 속에서는 적이나 장비가 나올 확률이 높고, 물고기가 나올 확률은 낮습니다.
6. 미끼가 있을 때 강 표면을 직접 공격하면 아이템 드롭 확률이 높아집니다. 아이템 종류는 비교적 균형 있게 구성되어 있습니다.
7. 살아있는 생물을 강에 던지면 영양분이 되어 새로운 아이템이 드롭되며, 사카반 거북이도 드롭됩니다.
8. TV 예보... 단순히 드롭 종류를 바꾸는 것만으로는 드롭률이나 시도 횟수에 영향을 미치지 않습니다.
9. 위의 모든 미끼 보너스는 중첩되며, 미끼의 중첩 범위도 중첩됩니다. 발동 확률이 100%를 넘으면 강 군주나 특수 아이템과 같은 새로운 드롭 조건이 나타납니다.
10. 수역이 너무 좁으면 특정 유형의 몬스터(예: 보스)가 나타나지 않습니다. 땅이 너무 좁으면 보스가 바로 도망쳐 버립니다.
---------------------- 요약: 비 오는 날 + 높은 운 + 여러 가챠 머신의 물방울 중첩 범위 + 큰 강 + 다리 근처의 충분한 땅이 특수 낚시에 이상적인 조건입니다.</v>
      </c>
      <c r="G104" s="156" t="s">
        <v>11590</v>
      </c>
      <c r="H104" s="505" t="s">
        <v>11591</v>
      </c>
      <c r="I104" s="146" t="s">
        <v>11592</v>
      </c>
      <c r="J104" s="506" t="s">
        <v>11593</v>
      </c>
      <c r="K104" s="118" t="s">
        <v>11594</v>
      </c>
      <c r="L104" s="506"/>
      <c r="M104" s="70"/>
      <c r="N104" s="70"/>
      <c r="O104" s="70"/>
      <c r="P104" s="70"/>
      <c r="Q104" s="70"/>
      <c r="R104" s="70"/>
      <c r="S104" s="70"/>
      <c r="T104" s="70"/>
      <c r="U104" s="70"/>
      <c r="V104" s="70"/>
      <c r="W104" s="70"/>
      <c r="X104" s="70"/>
      <c r="Y104" s="70"/>
    </row>
    <row r="105">
      <c r="A105" s="79" t="s">
        <v>11595</v>
      </c>
      <c r="B105" s="505" t="s">
        <v>11596</v>
      </c>
      <c r="C105" s="79" t="s">
        <v>11597</v>
      </c>
      <c r="D105" s="505" t="str">
        <f>IFERROR(__xludf.DUMMYFUNCTION("GOOGLETRANSLATE(A105,""zh-tw"",""zh"")"),"萨卡班甲鱼王血量低于90%时，有机率睡眠回复血量，受到攻击会醒来
被击败时，如果半径8格范围内有水域，它就会脱战跳进水里逃跑，这个过程它的皇冠（王权征令）有概率掉落，如果是在""睡眠情况下""且""受控制状态""(麻痹、冻结、晕眩)的同时被击败，王权征令的掉落率会增加
如果它附近没有水域，它就会因为力竭且无法逃跑而原地退化成普通的萨卡班甲鱼同时变成从者掉落物(◉▽◉(粉色))，这个过程仍有概率掉落王权征令。")</f>
        <v>萨卡班甲鱼王血量低于90%时，有机率睡眠回复血量，受到攻击会醒来
被击败时，如果半径8格范围内有水域，它就会脱战跳进水里逃跑，这个过程它的皇冠（王权征令）有概率掉落，如果是在"睡眠情况下"且"受控制状态"(麻痹、冻结、晕眩)的同时被击败，王权征令的掉落率会增加
如果它附近没有水域，它就会因为力竭且无法逃跑而原地退化成普通的萨卡班甲鱼同时变成从者掉落物(◉▽◉(粉色))，这个过程仍有概率掉落王权征令。</v>
      </c>
      <c r="E105" s="82" t="str">
        <f>IFERROR(__xludf.DUMMYFUNCTION("GOOGLETRANSLATE(A105,""zh-tw"",""es-MX"")"),"Cuando los PV del Rey Tortuga Sakaban caen por debajo del 90%, tiene la posibilidad de dormirse y recuperar PV. Se despertará al ser atacado.
Al ser derrotado, si hay agua en un radio de 8 casillas, se retirará y saltará al agua para escapar. Durante est"&amp;"e proceso, tiene la posibilidad de soltar su corona (Decreto Real). Si es derrotado mientras está dormido y bajo control (paralizado, congelado o aturdido), la probabilidad de que suelte el Decreto Real aumentará.
Si no hay agua cerca, se convertirá en u"&amp;"na Tortuga Sakaban normal debido al agotamiento y la incapacidad de escapar, convirtiéndose en un objeto que suelta un Servant (◉▽◉ (rosa)). Durante este proceso, aún existe la posibilidad de que suelte el Decreto Real.")</f>
        <v>Cuando los PV del Rey Tortuga Sakaban caen por debajo del 90%, tiene la posibilidad de dormirse y recuperar PV. Se despertará al ser atacado.
Al ser derrotado, si hay agua en un radio de 8 casillas, se retirará y saltará al agua para escapar. Durante este proceso, tiene la posibilidad de soltar su corona (Decreto Real). Si es derrotado mientras está dormido y bajo control (paralizado, congelado o aturdido), la probabilidad de que suelte el Decreto Real aumentará.
Si no hay agua cerca, se convertirá en una Tortuga Sakaban normal debido al agotamiento y la incapacidad de escapar, convirtiéndose en un objeto que suelta un Servant (◉▽◉ (rosa)). Durante este proceso, aún existe la posibilidad de que suelte el Decreto Real.</v>
      </c>
      <c r="F105" s="506" t="str">
        <f>IFERROR(__xludf.DUMMYFUNCTION("GOOGLETRANSLATE(A105,""zh-tw"",""KO"")"),"사카반 거북왕의 HP가 90% 미만으로 떨어지면 일정 확률로 잠들어 HP를 회복합니다. 공격을 받으면 깨어납니다.
쓰러졌을 때, 반경 8칸 이내에 물이 있으면 전투에서 이탈하여 물속으로 뛰어들어 도망칩니다. 이때 왕관(왕명)을 일정 확률로 드롭합니다. ""잠든"" 상태에서 ""제압된""(마비, 빙결, 기절) 상태로 쓰러뜨리면 왕명 드롭 확률이 증가합니다.
주변에 물이 없으면, 탈진과 도주 불능으로 일반 사카반 거북으로 변하여 서번트 드롭(◉▽◉(분홍"&amp;"색))이 됩니다. 이 경우에도 왕명을 드롭할 확률이 있습니다.")</f>
        <v>사카반 거북왕의 HP가 90% 미만으로 떨어지면 일정 확률로 잠들어 HP를 회복합니다. 공격을 받으면 깨어납니다.
쓰러졌을 때, 반경 8칸 이내에 물이 있으면 전투에서 이탈하여 물속으로 뛰어들어 도망칩니다. 이때 왕관(왕명)을 일정 확률로 드롭합니다. "잠든" 상태에서 "제압된"(마비, 빙결, 기절) 상태로 쓰러뜨리면 왕명 드롭 확률이 증가합니다.
주변에 물이 없으면, 탈진과 도주 불능으로 일반 사카반 거북으로 변하여 서번트 드롭(◉▽◉(분홍색))이 됩니다. 이 경우에도 왕명을 드롭할 확률이 있습니다.</v>
      </c>
      <c r="G105" s="156" t="s">
        <v>11598</v>
      </c>
      <c r="H105" s="505" t="s">
        <v>11599</v>
      </c>
      <c r="I105" s="199" t="s">
        <v>11600</v>
      </c>
      <c r="J105" s="506" t="s">
        <v>11601</v>
      </c>
      <c r="K105" s="118" t="s">
        <v>11602</v>
      </c>
      <c r="L105" s="506"/>
      <c r="M105" s="70"/>
      <c r="N105" s="70"/>
      <c r="O105" s="70"/>
      <c r="P105" s="70"/>
      <c r="Q105" s="70"/>
      <c r="R105" s="70"/>
      <c r="S105" s="70"/>
      <c r="T105" s="70"/>
      <c r="U105" s="70"/>
      <c r="V105" s="70"/>
      <c r="W105" s="70"/>
      <c r="X105" s="70"/>
      <c r="Y105" s="70"/>
    </row>
    <row r="106">
      <c r="A106" s="79" t="s">
        <v>11603</v>
      </c>
      <c r="B106" s="505" t="s">
        <v>11604</v>
      </c>
      <c r="C106" s="79" t="s">
        <v>11605</v>
      </c>
      <c r="D106" s="505" t="str">
        <f>IFERROR(__xludf.DUMMYFUNCTION("GOOGLETRANSLATE(A106,""zh-tw"",""zh"")"),"毒雾遇上火属性攻击时，可以产生粉尘爆炸")</f>
        <v>毒雾遇上火属性攻击时，可以产生粉尘爆炸</v>
      </c>
      <c r="E106" s="82" t="str">
        <f>IFERROR(__xludf.DUMMYFUNCTION("GOOGLETRANSLATE(A106,""zh-tw"",""es-MX"")"),"Cuando la niebla venenosa se encuentra con un ataque de atributo fuego, puede provocar una explosión de polvo.")</f>
        <v>Cuando la niebla venenosa se encuentra con un ataque de atributo fuego, puede provocar una explosión de polvo.</v>
      </c>
      <c r="F106" s="506" t="str">
        <f>IFERROR(__xludf.DUMMYFUNCTION("GOOGLETRANSLATE(A106,""zh-tw"",""KO"")"),"독성 안개가 화염 속성 공격을 받으면 분진 폭발을 일으킬 수 있습니다.")</f>
        <v>독성 안개가 화염 속성 공격을 받으면 분진 폭발을 일으킬 수 있습니다.</v>
      </c>
      <c r="G106" s="156" t="s">
        <v>11606</v>
      </c>
      <c r="H106" s="505" t="s">
        <v>11607</v>
      </c>
      <c r="I106" s="199" t="s">
        <v>11608</v>
      </c>
      <c r="J106" s="506" t="s">
        <v>11609</v>
      </c>
      <c r="K106" s="118" t="s">
        <v>11610</v>
      </c>
      <c r="L106" s="506"/>
      <c r="M106" s="70"/>
      <c r="N106" s="70"/>
      <c r="O106" s="70"/>
      <c r="P106" s="70"/>
      <c r="Q106" s="70"/>
      <c r="R106" s="70"/>
      <c r="S106" s="70"/>
      <c r="T106" s="70"/>
      <c r="U106" s="70"/>
      <c r="V106" s="70"/>
      <c r="W106" s="70"/>
      <c r="X106" s="70"/>
      <c r="Y106" s="70"/>
    </row>
    <row r="107">
      <c r="A107" s="79" t="s">
        <v>11611</v>
      </c>
      <c r="B107" s="505" t="s">
        <v>11612</v>
      </c>
      <c r="C107" s="79" t="s">
        <v>11613</v>
      </c>
      <c r="D107" s="505" t="str">
        <f>IFERROR(__xludf.DUMMYFUNCTION("GOOGLETRANSLATE(A107,""zh-tw"",""zh"")"),"一些贪吃属性的怪物，容易受到美食武器的诱惑，例如：ASABA、兽人等等。更容易被强制击杀。")</f>
        <v>一些贪吃属性的怪物，容易受到美食武器的诱惑，例如：ASABA、兽人等等。更容易被强制击杀。</v>
      </c>
      <c r="E107" s="82" t="str">
        <f>IFERROR(__xludf.DUMMYFUNCTION("GOOGLETRANSLATE(A107,""zh-tw"",""es-MX"")"),"Algunos monstruos glotones se dejan tentar fácilmente por armas con forma de comida, como Asaba y los orcos. Es más probable que sean asesinados a la fuerza.")</f>
        <v>Algunos monstruos glotones se dejan tentar fácilmente por armas con forma de comida, como Asaba y los orcos. Es más probable que sean asesinados a la fuerza.</v>
      </c>
      <c r="F107" s="506" t="str">
        <f>IFERROR(__xludf.DUMMYFUNCTION("GOOGLETRANSLATE(A107,""zh-tw"",""KO"")"),"아사바나 오크처럼 식탐이 많은 괴물들은 음식 모양의 무기에 쉽게 유혹당합니다. 이런 괴물들은 강제로 죽임을 당할 가능성이 더 높습니다.")</f>
        <v>아사바나 오크처럼 식탐이 많은 괴물들은 음식 모양의 무기에 쉽게 유혹당합니다. 이런 괴물들은 강제로 죽임을 당할 가능성이 더 높습니다.</v>
      </c>
      <c r="G107" s="156" t="s">
        <v>11614</v>
      </c>
      <c r="H107" s="505" t="s">
        <v>11615</v>
      </c>
      <c r="I107" s="199" t="s">
        <v>11616</v>
      </c>
      <c r="J107" s="506" t="s">
        <v>11617</v>
      </c>
      <c r="K107" s="118" t="s">
        <v>11618</v>
      </c>
      <c r="L107" s="506"/>
      <c r="M107" s="70"/>
      <c r="N107" s="70"/>
      <c r="O107" s="70"/>
      <c r="P107" s="70"/>
      <c r="Q107" s="70"/>
      <c r="R107" s="70"/>
      <c r="S107" s="70"/>
      <c r="T107" s="70"/>
      <c r="U107" s="70"/>
      <c r="V107" s="70"/>
      <c r="W107" s="70"/>
      <c r="X107" s="70"/>
      <c r="Y107" s="70"/>
    </row>
    <row r="108">
      <c r="A108" s="79" t="s">
        <v>11619</v>
      </c>
      <c r="B108" s="505" t="s">
        <v>11620</v>
      </c>
      <c r="C108" s="79" t="s">
        <v>11621</v>
      </c>
      <c r="D108" s="505" t="str">
        <f>IFERROR(__xludf.DUMMYFUNCTION("GOOGLETRANSLATE(A108,""zh-tw"",""zh"")"),"下雨的天气提供30~50%钓鱼机率的加成，但仅限画面有雨水显示的时候(例如室内/地城等就无加成)；阴天提供15~25%的加成，但是可以全地图生效。")</f>
        <v>下雨的天气提供30~50%钓鱼机率的加成，但仅限画面有雨水显示的时候(例如室内/地城等就无加成)；阴天提供15~25%的加成，但是可以全地图生效。</v>
      </c>
      <c r="E108" s="82" t="str">
        <f>IFERROR(__xludf.DUMMYFUNCTION("GOOGLETRANSLATE(A108,""zh-tw"",""es-MX"")"),"El clima lluvioso proporciona una bonificación del 30-50% a las probabilidades de pesca, pero solo cuando la lluvia es visible en la pantalla (no hay bonificación en interiores/en mazmorras); el clima nublado proporciona una bonificación del 15-25%, pero "&amp;"se aplica a todo el mapa.")</f>
        <v>El clima lluvioso proporciona una bonificación del 30-50% a las probabilidades de pesca, pero solo cuando la lluvia es visible en la pantalla (no hay bonificación en interiores/en mazmorras); el clima nublado proporciona una bonificación del 15-25%, pero se aplica a todo el mapa.</v>
      </c>
      <c r="F108" s="506" t="str">
        <f>IFERROR(__xludf.DUMMYFUNCTION("GOOGLETRANSLATE(A108,""zh-tw"",""KO"")"),"비 오는 날씨는 낚시 성공률을 30~50% 증가시키지만, 화면에 비가 내리는 모습이 보일 때만 적용됩니다 (실내나 던전에서는 보너스가 없습니다). 흐린 날씨는 15~25%의 보너스를 제공하며, 이는 맵 전체에 적용됩니다.")</f>
        <v>비 오는 날씨는 낚시 성공률을 30~50% 증가시키지만, 화면에 비가 내리는 모습이 보일 때만 적용됩니다 (실내나 던전에서는 보너스가 없습니다). 흐린 날씨는 15~25%의 보너스를 제공하며, 이는 맵 전체에 적용됩니다.</v>
      </c>
      <c r="G108" s="156" t="s">
        <v>11622</v>
      </c>
      <c r="H108" s="505" t="s">
        <v>11623</v>
      </c>
      <c r="I108" s="199" t="s">
        <v>11624</v>
      </c>
      <c r="J108" s="506" t="s">
        <v>11625</v>
      </c>
      <c r="K108" s="118" t="s">
        <v>11626</v>
      </c>
      <c r="L108" s="506"/>
      <c r="M108" s="70"/>
      <c r="N108" s="70"/>
      <c r="O108" s="70"/>
      <c r="P108" s="70"/>
      <c r="Q108" s="70"/>
      <c r="R108" s="70"/>
      <c r="S108" s="70"/>
      <c r="T108" s="70"/>
      <c r="U108" s="70"/>
      <c r="V108" s="70"/>
      <c r="W108" s="70"/>
      <c r="X108" s="70"/>
      <c r="Y108" s="70"/>
    </row>
    <row r="109">
      <c r="A109" s="79" t="s">
        <v>11627</v>
      </c>
      <c r="B109" s="505" t="s">
        <v>11628</v>
      </c>
      <c r="C109" s="79" t="s">
        <v>11629</v>
      </c>
      <c r="D109" s="505" t="str">
        <f>IFERROR(__xludf.DUMMYFUNCTION("GOOGLETRANSLATE(A109,""zh-tw"",""zh"")"),"地图上每株草莓树有10%机率刷新出ASABA
哥哥持有的草莓越多，刷新ASABA的概率越高，每一颗草莓可以增加0.5%，最多能生效100颗草莓(增加50%机率)。")</f>
        <v>地图上每株草莓树有10%机率刷新出ASABA
哥哥持有的草莓越多，刷新ASABA的概率越高，每一颗草莓可以增加0.5%，最多能生效100颗草莓(增加50%机率)。</v>
      </c>
      <c r="E109" s="82" t="str">
        <f>IFERROR(__xludf.DUMMYFUNCTION("GOOGLETRANSLATE(A109,""zh-tw"",""es-MX"")"),"Cada fresa del mapa tiene un 10 % de probabilidad de generar ASABA. Cuantas más fresas tenga el hermano mayor, mayor será la probabilidad de que aparezca ASABA. Cada fresa aumenta la probabilidad en un 0,5 %, y se puede usar un máximo de 100 fresas (lo qu"&amp;"e aumenta la probabilidad en un 50 %).")</f>
        <v>Cada fresa del mapa tiene un 10 % de probabilidad de generar ASABA. Cuantas más fresas tenga el hermano mayor, mayor será la probabilidad de que aparezca ASABA. Cada fresa aumenta la probabilidad en un 0,5 %, y se puede usar un máximo de 100 fresas (lo que aumenta la probabilidad en un 50 %).</v>
      </c>
      <c r="F109" s="506" t="str">
        <f>IFERROR(__xludf.DUMMYFUNCTION("GOOGLETRANSLATE(A109,""zh-tw"",""KO"")"),"지도상의 각 딸기나무는 10% 확률로 아사바를 소환합니다. 형이 들고 있는 딸기가 많을수록 아사바 소환 확률이 높아집니다. 딸기 하나당 확률이 0.5%씩 증가하며, 최대 100개의 딸기를 사용하면 확률이 50%까지 증가합니다.")</f>
        <v>지도상의 각 딸기나무는 10% 확률로 아사바를 소환합니다. 형이 들고 있는 딸기가 많을수록 아사바 소환 확률이 높아집니다. 딸기 하나당 확률이 0.5%씩 증가하며, 최대 100개의 딸기를 사용하면 확률이 50%까지 증가합니다.</v>
      </c>
      <c r="G109" s="156" t="s">
        <v>11630</v>
      </c>
      <c r="H109" s="506" t="str">
        <f>IFERROR(__xludf.DUMMYFUNCTION("GOOGLETRANSLATE(A109,""zh-tw"",""de"")"),"Jeder Erdbeerbaum auf der Karte hat eine 10%ige Chance, ASABA erscheinen zu lassen. Je mehr Erdbeeren der ältere Bruder trägt, desto höher ist die Wahrscheinlichkeit für ASABAs Erscheinen. Jede Erdbeere erhöht die Wahrscheinlichkeit um 0,5 %, und es könne"&amp;"n maximal 100 Erdbeeren verwendet werden (wodurch sich die Wahrscheinlichkeit um 50 % erhöht).")</f>
        <v>Jeder Erdbeerbaum auf der Karte hat eine 10%ige Chance, ASABA erscheinen zu lassen. Je mehr Erdbeeren der ältere Bruder trägt, desto höher ist die Wahrscheinlichkeit für ASABAs Erscheinen. Jede Erdbeere erhöht die Wahrscheinlichkeit um 0,5 %, und es können maximal 100 Erdbeeren verwendet werden (wodurch sich die Wahrscheinlichkeit um 50 % erhöht).</v>
      </c>
      <c r="I109" s="146" t="s">
        <v>11631</v>
      </c>
      <c r="J109" s="506" t="s">
        <v>11632</v>
      </c>
      <c r="K109" s="118" t="s">
        <v>11633</v>
      </c>
      <c r="L109" s="506"/>
      <c r="M109" s="70"/>
      <c r="N109" s="70"/>
      <c r="O109" s="70"/>
      <c r="P109" s="70"/>
      <c r="Q109" s="70"/>
      <c r="R109" s="70"/>
      <c r="S109" s="70"/>
      <c r="T109" s="70"/>
      <c r="U109" s="70"/>
      <c r="V109" s="70"/>
      <c r="W109" s="70"/>
      <c r="X109" s="70"/>
      <c r="Y109" s="70"/>
    </row>
    <row r="110">
      <c r="A110" s="79" t="s">
        <v>11634</v>
      </c>
      <c r="B110" s="505" t="s">
        <v>11635</v>
      </c>
      <c r="C110" s="79" t="s">
        <v>11636</v>
      </c>
      <c r="D110" s="505" t="s">
        <v>11637</v>
      </c>
      <c r="E110" s="82" t="str">
        <f>IFERROR(__xludf.DUMMYFUNCTION("GOOGLETRANSLATE(A110,""zh-tw"",""es-MX"")"),"Puedes ver la televisión en la sala de estar en horario habitual.
18:00-19:00: Ver Rabbit News
19:00-20:00: Ver el pronóstico del tiempo
20:00-21:00: Ver programas de cocina (algunos días, se emitirá anime de chicas mágicas)
21:00-22:00: No hay progra"&amp;"mación disponible
22:00-23:00: No hay programación disponible (pero se permiten cintas de vídeo).
En el futuro, se prevé que se muestren diferentes contenidos visuales cada día (por ejemplo, noticias, recetas, platos curiosos, sorpresas, etc.).")</f>
        <v>Puedes ver la televisión en la sala de estar en horario habitual.
18:00-19:00: Ver Rabbit News
19:00-20:00: Ver el pronóstico del tiempo
20:00-21:00: Ver programas de cocina (algunos días, se emitirá anime de chicas mágicas)
21:00-22:00: No hay programación disponible
22:00-23:00: No hay programación disponible (pero se permiten cintas de vídeo).
En el futuro, se prevé que se muestren diferentes contenidos visuales cada día (por ejemplo, noticias, recetas, platos curiosos, sorpresas, etc.).</v>
      </c>
      <c r="F110" s="506" t="str">
        <f>IFERROR(__xludf.DUMMYFUNCTION("GOOGLETRANSLATE(A110,""zh-tw"",""KO"")"),"평소에는 거실에서 TV를 시청하실 수 있습니다.
18:00-19:00: 래빗 뉴스 시청
19:00-20:00: 일기예보 시청
20:00-21:00: 요리 프로그램 시청 (특정 요일에는 마법소녀 애니메이션으로 변경됩니다)
21:00-22:00: 방송 프로그램 없음
22:00-23:00: 방송 프로그램 없음 (단, 비디오테이프는 허용됩니다)
향후에는 매일 다른 영상(예: 뉴스, 레시피, 특이한 요리, 이스터 에그 등)이 방송될 예정입니다.")</f>
        <v>평소에는 거실에서 TV를 시청하실 수 있습니다.
18:00-19:00: 래빗 뉴스 시청
19:00-20:00: 일기예보 시청
20:00-21:00: 요리 프로그램 시청 (특정 요일에는 마법소녀 애니메이션으로 변경됩니다)
21:00-22:00: 방송 프로그램 없음
22:00-23:00: 방송 프로그램 없음 (단, 비디오테이프는 허용됩니다)
향후에는 매일 다른 영상(예: 뉴스, 레시피, 특이한 요리, 이스터 에그 등)이 방송될 예정입니다.</v>
      </c>
      <c r="G110" s="156" t="s">
        <v>11638</v>
      </c>
      <c r="H110" s="507" t="s">
        <v>11639</v>
      </c>
      <c r="I110" s="259" t="s">
        <v>11640</v>
      </c>
      <c r="J110" s="506" t="s">
        <v>11641</v>
      </c>
      <c r="K110" s="118" t="s">
        <v>11642</v>
      </c>
      <c r="L110" s="506"/>
      <c r="M110" s="70"/>
      <c r="N110" s="70"/>
      <c r="O110" s="70"/>
      <c r="P110" s="70"/>
      <c r="Q110" s="70"/>
      <c r="R110" s="70"/>
      <c r="S110" s="70"/>
      <c r="T110" s="70"/>
      <c r="U110" s="70"/>
      <c r="V110" s="70"/>
      <c r="W110" s="70"/>
      <c r="X110" s="70"/>
      <c r="Y110" s="70"/>
    </row>
    <row r="111">
      <c r="A111" s="79" t="s">
        <v>11643</v>
      </c>
      <c r="B111" s="505" t="s">
        <v>11644</v>
      </c>
      <c r="C111" s="79" t="s">
        <v>11645</v>
      </c>
      <c r="D111" s="505" t="s">
        <v>11646</v>
      </c>
      <c r="E111" s="79" t="s">
        <v>11647</v>
      </c>
      <c r="F111" s="506" t="str">
        <f>IFERROR(__xludf.DUMMYFUNCTION("GOOGLETRANSLATE(A111,""zh-tw"",""KO"")"),"❤️빨간 하트: 여동생의 애정도
💜보라색 하트: 여동생의 성적 욕망 (향후 소모 예정)
💛노란 하트: 여동생에게 준 돈의 양. 매일 초기화됩니다. 현재로서는 실질적인 용도가 없으며, 노란 하트 하나는 빨간 하트 하나와 동일합니다. (빨간색이나 보라색 하트가 이미 있는 경우 금색 테두리로 표시됩니다.)
🤍하얀 하트: 여동생의 몸에 저장된 돈의 양. 현재로서는 아무런 효과가 없습니다.
🖤검은 하트: 여동생의 나쁜 기분을 나타냅니다. 여동생을 "&amp;"화나게 하거나 약속을 지키지 못했을 때 나타납니다. 현재 구현되지 않았습니다.")</f>
        <v>❤️빨간 하트: 여동생의 애정도
💜보라색 하트: 여동생의 성적 욕망 (향후 소모 예정)
💛노란 하트: 여동생에게 준 돈의 양. 매일 초기화됩니다. 현재로서는 실질적인 용도가 없으며, 노란 하트 하나는 빨간 하트 하나와 동일합니다. (빨간색이나 보라색 하트가 이미 있는 경우 금색 테두리로 표시됩니다.)
🤍하얀 하트: 여동생의 몸에 저장된 돈의 양. 현재로서는 아무런 효과가 없습니다.
🖤검은 하트: 여동생의 나쁜 기분을 나타냅니다. 여동생을 화나게 하거나 약속을 지키지 못했을 때 나타납니다. 현재 구현되지 않았습니다.</v>
      </c>
      <c r="G111" s="156" t="s">
        <v>11648</v>
      </c>
      <c r="H111" s="505" t="s">
        <v>11649</v>
      </c>
      <c r="I111" s="259" t="s">
        <v>11650</v>
      </c>
      <c r="J111" s="505" t="s">
        <v>11651</v>
      </c>
      <c r="K111" s="118" t="s">
        <v>11652</v>
      </c>
      <c r="L111" s="505"/>
      <c r="M111" s="227"/>
      <c r="N111" s="70"/>
      <c r="O111" s="70"/>
      <c r="P111" s="70"/>
      <c r="Q111" s="70"/>
      <c r="R111" s="70"/>
      <c r="S111" s="70"/>
      <c r="T111" s="70"/>
      <c r="U111" s="70"/>
      <c r="V111" s="70"/>
      <c r="W111" s="70"/>
      <c r="X111" s="70"/>
      <c r="Y111" s="70"/>
    </row>
    <row r="112">
      <c r="A112" s="82" t="s">
        <v>11653</v>
      </c>
      <c r="B112" s="506" t="s">
        <v>11654</v>
      </c>
      <c r="C112" s="79" t="s">
        <v>11655</v>
      </c>
      <c r="D112" s="506" t="s">
        <v>11656</v>
      </c>
      <c r="E112" s="82" t="str">
        <f>IFERROR(__xludf.DUMMYFUNCTION("GOOGLETRANSLATE(A112,""zh-tw"",""es-MX"")"),"Los boletos no se pueden descartar y se acumulan, aumentando tu saldo de multas.
Las multas se deducen únicamente en el momento de la compra; no se volverán negativas si no tienes suficientes monedas.
Tener varios boletos no genera multas.
Las multas equ"&amp;"ivalen a la mitad del precio normal del artículo (1/4 del precio del carrito).
Por ejemplo: si un artículo cuesta 500 y el carrito se vende por 1000, la multa sería de 250.")</f>
        <v>Los boletos no se pueden descartar y se acumulan, aumentando tu saldo de multas.
Las multas se deducen únicamente en el momento de la compra; no se volverán negativas si no tienes suficientes monedas.
Tener varios boletos no genera multas.
Las multas equivalen a la mitad del precio normal del artículo (1/4 del precio del carrito).
Por ejemplo: si un artículo cuesta 500 y el carrito se vende por 1000, la multa sería de 250.</v>
      </c>
      <c r="F112" s="506" t="str">
        <f>IFERROR(__xludf.DUMMYFUNCTION("GOOGLETRANSLATE(A112,""zh-tw"",""KO"")"),"티켓은 버릴 수 없으며 누적되어 죄악 수치를 증가시킵니다.
벌금은 구매 시점에만 차감되며, 동전이 부족하더라도 마이너스가 되지 않습니다.
티켓을 여러 장 보유하더라도 벌금은 누적되지 않습니다.
벌금은 아이템 정상 가격의 절반(상점 카트 가격의 1/4)입니다.
예를 들어, 아이템 가격이 500이고 상점 카트 가격이 1000인 경우, 벌금은 250입니다.")</f>
        <v>티켓은 버릴 수 없으며 누적되어 죄악 수치를 증가시킵니다.
벌금은 구매 시점에만 차감되며, 동전이 부족하더라도 마이너스가 되지 않습니다.
티켓을 여러 장 보유하더라도 벌금은 누적되지 않습니다.
벌금은 아이템 정상 가격의 절반(상점 카트 가격의 1/4)입니다.
예를 들어, 아이템 가격이 500이고 상점 카트 가격이 1000인 경우, 벌금은 250입니다.</v>
      </c>
      <c r="G112" s="156" t="s">
        <v>11657</v>
      </c>
      <c r="H112" s="506" t="s">
        <v>11658</v>
      </c>
      <c r="I112" s="511" t="s">
        <v>11659</v>
      </c>
      <c r="J112" s="506" t="s">
        <v>11660</v>
      </c>
      <c r="K112" s="82" t="s">
        <v>11661</v>
      </c>
      <c r="L112" s="506"/>
      <c r="M112" s="70"/>
      <c r="N112" s="70"/>
      <c r="O112" s="70"/>
      <c r="P112" s="70"/>
      <c r="Q112" s="70"/>
      <c r="R112" s="70"/>
      <c r="S112" s="70"/>
      <c r="T112" s="70"/>
      <c r="U112" s="70"/>
      <c r="V112" s="70"/>
      <c r="W112" s="70"/>
      <c r="X112" s="70"/>
      <c r="Y112" s="70"/>
    </row>
    <row r="113">
      <c r="A113" s="79" t="s">
        <v>11662</v>
      </c>
      <c r="B113" s="505" t="s">
        <v>11663</v>
      </c>
      <c r="C113" s="79" t="s">
        <v>11664</v>
      </c>
      <c r="D113" s="505" t="s">
        <v>11665</v>
      </c>
      <c r="E113" s="82" t="str">
        <f>IFERROR(__xludf.DUMMYFUNCTION("GOOGLETRANSLATE(A113,""zh-tw"",""es-MX"")"),"Actualmente, los jugadores no tienen forma de controlar la ""Concentración de Aura Abisal"".
Al derrotar monstruos en la mazmorra, se acumula Aura Abisal, la cual disminuye un porcentaje fijo diariamente o desaparece cuando aparece un Pilar Sellado.
Con"&amp;"sejo: Aprovechar la aversión de los monstruos a los malos olores puede hacer que el combate sea más efectivo.")</f>
        <v>Actualmente, los jugadores no tienen forma de controlar la "Concentración de Aura Abisal".
Al derrotar monstruos en la mazmorra, se acumula Aura Abisal, la cual disminuye un porcentaje fijo diariamente o desaparece cuando aparece un Pilar Sellado.
Consejo: Aprovechar la aversión de los monstruos a los malos olores puede hacer que el combate sea más efectivo.</v>
      </c>
      <c r="F113" s="506" t="str">
        <f>IFERROR(__xludf.DUMMYFUNCTION("GOOGLETRANSLATE(A113,""zh-tw"",""KO"")"),"현재 플레이어는 ""심연의 기운 농도""를 확인할 방법이 없습니다.
던전에서 몬스터를 처치하면 심연의 기운이 축적되며, 이는 매일 일정 비율로 감소하거나 봉인된 기둥이 나타나면 완전히 사라집니다.
팁: 몬스터가 악취를 싫어한다는 점을 이용하면 전투 효율을 높일 수 있습니다.")</f>
        <v>현재 플레이어는 "심연의 기운 농도"를 확인할 방법이 없습니다.
던전에서 몬스터를 처치하면 심연의 기운이 축적되며, 이는 매일 일정 비율로 감소하거나 봉인된 기둥이 나타나면 완전히 사라집니다.
팁: 몬스터가 악취를 싫어한다는 점을 이용하면 전투 효율을 높일 수 있습니다.</v>
      </c>
      <c r="G113" s="156" t="s">
        <v>11666</v>
      </c>
      <c r="H113" s="506" t="s">
        <v>11667</v>
      </c>
      <c r="I113" s="158" t="s">
        <v>11668</v>
      </c>
      <c r="J113" s="506" t="s">
        <v>11669</v>
      </c>
      <c r="K113" s="82" t="s">
        <v>11670</v>
      </c>
      <c r="L113" s="506"/>
      <c r="M113" s="70"/>
      <c r="N113" s="70"/>
      <c r="O113" s="70"/>
      <c r="P113" s="70"/>
      <c r="Q113" s="70"/>
      <c r="R113" s="70"/>
      <c r="S113" s="70"/>
      <c r="T113" s="70"/>
      <c r="U113" s="70"/>
      <c r="V113" s="70"/>
      <c r="W113" s="70"/>
      <c r="X113" s="70"/>
      <c r="Y113" s="70"/>
    </row>
    <row r="114">
      <c r="A114" s="82" t="s">
        <v>11671</v>
      </c>
      <c r="B114" s="506" t="s">
        <v>11672</v>
      </c>
      <c r="C114" s="82" t="s">
        <v>11673</v>
      </c>
      <c r="D114" s="506" t="s">
        <v>11674</v>
      </c>
      <c r="E114" s="82" t="s">
        <v>11675</v>
      </c>
      <c r="F114" s="506" t="s">
        <v>11676</v>
      </c>
      <c r="G114" s="156" t="s">
        <v>11677</v>
      </c>
      <c r="H114" s="506" t="s">
        <v>11678</v>
      </c>
      <c r="I114" s="511" t="s">
        <v>11679</v>
      </c>
      <c r="J114" s="506" t="s">
        <v>11680</v>
      </c>
      <c r="K114" s="82" t="s">
        <v>11681</v>
      </c>
      <c r="L114" s="506"/>
      <c r="M114" s="70"/>
      <c r="N114" s="70"/>
      <c r="O114" s="70"/>
      <c r="P114" s="70"/>
      <c r="Q114" s="70"/>
      <c r="R114" s="70"/>
      <c r="S114" s="70"/>
      <c r="T114" s="70"/>
      <c r="U114" s="70"/>
      <c r="V114" s="70"/>
      <c r="W114" s="70"/>
      <c r="X114" s="70"/>
      <c r="Y114" s="70"/>
    </row>
    <row r="115">
      <c r="A115" s="82" t="s">
        <v>11682</v>
      </c>
      <c r="B115" s="506" t="s">
        <v>11683</v>
      </c>
      <c r="C115" s="82" t="s">
        <v>11684</v>
      </c>
      <c r="D115" s="506" t="s">
        <v>11685</v>
      </c>
      <c r="E115" s="82" t="s">
        <v>11686</v>
      </c>
      <c r="F115" s="506" t="s">
        <v>11687</v>
      </c>
      <c r="G115" s="156" t="s">
        <v>11688</v>
      </c>
      <c r="H115" s="506" t="s">
        <v>11689</v>
      </c>
      <c r="I115" s="511" t="s">
        <v>11690</v>
      </c>
      <c r="J115" s="506" t="s">
        <v>11691</v>
      </c>
      <c r="K115" s="82" t="s">
        <v>11692</v>
      </c>
      <c r="L115" s="506"/>
      <c r="M115" s="70"/>
      <c r="N115" s="70"/>
      <c r="O115" s="70"/>
      <c r="P115" s="70"/>
      <c r="Q115" s="70"/>
      <c r="R115" s="70"/>
      <c r="S115" s="70"/>
      <c r="T115" s="70"/>
      <c r="U115" s="70"/>
      <c r="V115" s="70"/>
      <c r="W115" s="70"/>
      <c r="X115" s="70"/>
      <c r="Y115" s="70"/>
    </row>
    <row r="116">
      <c r="A116" s="82" t="s">
        <v>11693</v>
      </c>
      <c r="B116" s="506" t="s">
        <v>11694</v>
      </c>
      <c r="C116" s="82" t="s">
        <v>11695</v>
      </c>
      <c r="D116" s="506" t="s">
        <v>11696</v>
      </c>
      <c r="E116" s="82" t="s">
        <v>11697</v>
      </c>
      <c r="F116" s="506" t="s">
        <v>11698</v>
      </c>
      <c r="G116" s="156" t="s">
        <v>11699</v>
      </c>
      <c r="H116" s="506" t="s">
        <v>11700</v>
      </c>
      <c r="I116" s="158" t="s">
        <v>11701</v>
      </c>
      <c r="J116" s="506" t="s">
        <v>11702</v>
      </c>
      <c r="K116" s="82" t="s">
        <v>11695</v>
      </c>
      <c r="L116" s="506"/>
      <c r="M116" s="70"/>
      <c r="N116" s="70"/>
      <c r="O116" s="70"/>
      <c r="P116" s="70"/>
      <c r="Q116" s="70"/>
      <c r="R116" s="70"/>
      <c r="S116" s="70"/>
      <c r="T116" s="70"/>
      <c r="U116" s="70"/>
      <c r="V116" s="70"/>
      <c r="W116" s="70"/>
      <c r="X116" s="70"/>
      <c r="Y116" s="70"/>
    </row>
    <row r="117">
      <c r="A117" s="82" t="s">
        <v>11703</v>
      </c>
      <c r="B117" s="506" t="s">
        <v>11704</v>
      </c>
      <c r="C117" s="82" t="s">
        <v>11705</v>
      </c>
      <c r="D117" s="506" t="s">
        <v>11706</v>
      </c>
      <c r="E117" s="82" t="s">
        <v>11707</v>
      </c>
      <c r="F117" s="506" t="s">
        <v>11708</v>
      </c>
      <c r="G117" s="156" t="s">
        <v>11709</v>
      </c>
      <c r="H117" s="506" t="s">
        <v>11710</v>
      </c>
      <c r="I117" s="158" t="s">
        <v>11711</v>
      </c>
      <c r="J117" s="506" t="s">
        <v>11712</v>
      </c>
      <c r="K117" s="82" t="s">
        <v>11705</v>
      </c>
      <c r="L117" s="506"/>
      <c r="M117" s="70"/>
      <c r="N117" s="70"/>
      <c r="O117" s="70"/>
      <c r="P117" s="70"/>
      <c r="Q117" s="70"/>
      <c r="R117" s="70"/>
      <c r="S117" s="70"/>
      <c r="T117" s="70"/>
      <c r="U117" s="70"/>
      <c r="V117" s="70"/>
      <c r="W117" s="70"/>
      <c r="X117" s="70"/>
      <c r="Y117" s="70"/>
    </row>
    <row r="118">
      <c r="A118" s="79" t="s">
        <v>11713</v>
      </c>
      <c r="B118" s="505" t="s">
        <v>11714</v>
      </c>
      <c r="C118" s="79" t="s">
        <v>11715</v>
      </c>
      <c r="D118" s="505" t="s">
        <v>11716</v>
      </c>
      <c r="E118" s="82"/>
      <c r="F118" s="506"/>
      <c r="G118" s="79" t="s">
        <v>11717</v>
      </c>
      <c r="H118" s="506"/>
      <c r="I118" s="146" t="s">
        <v>11718</v>
      </c>
      <c r="J118" s="505" t="s">
        <v>11719</v>
      </c>
      <c r="K118" s="82"/>
      <c r="L118" s="505"/>
      <c r="M118" s="70"/>
      <c r="N118" s="70"/>
      <c r="O118" s="70"/>
      <c r="P118" s="70"/>
      <c r="Q118" s="70"/>
      <c r="R118" s="70"/>
      <c r="S118" s="70"/>
      <c r="T118" s="70"/>
      <c r="U118" s="70"/>
      <c r="V118" s="70"/>
      <c r="W118" s="70"/>
      <c r="X118" s="70"/>
      <c r="Y118" s="70"/>
    </row>
    <row r="119">
      <c r="A119" s="79" t="s">
        <v>11720</v>
      </c>
      <c r="B119" s="505" t="s">
        <v>11721</v>
      </c>
      <c r="C119" s="79" t="s">
        <v>11722</v>
      </c>
      <c r="D119" s="505" t="s">
        <v>11723</v>
      </c>
      <c r="E119" s="82"/>
      <c r="F119" s="506"/>
      <c r="G119" s="79" t="s">
        <v>11724</v>
      </c>
      <c r="H119" s="506"/>
      <c r="I119" s="146" t="s">
        <v>11725</v>
      </c>
      <c r="J119" s="505" t="s">
        <v>11726</v>
      </c>
      <c r="K119" s="82"/>
      <c r="L119" s="505"/>
      <c r="M119" s="70"/>
      <c r="N119" s="70"/>
      <c r="O119" s="70"/>
      <c r="P119" s="70"/>
      <c r="Q119" s="70"/>
      <c r="R119" s="70"/>
      <c r="S119" s="70"/>
      <c r="T119" s="70"/>
      <c r="U119" s="70"/>
      <c r="V119" s="70"/>
      <c r="W119" s="70"/>
      <c r="X119" s="70"/>
      <c r="Y119" s="70"/>
    </row>
    <row r="120">
      <c r="A120" s="79" t="s">
        <v>11727</v>
      </c>
      <c r="B120" s="505" t="s">
        <v>11728</v>
      </c>
      <c r="C120" s="79" t="s">
        <v>11729</v>
      </c>
      <c r="D120" s="505" t="s">
        <v>11730</v>
      </c>
      <c r="E120" s="82"/>
      <c r="F120" s="506"/>
      <c r="G120" s="79" t="s">
        <v>11731</v>
      </c>
      <c r="H120" s="506"/>
      <c r="I120" s="146" t="s">
        <v>11732</v>
      </c>
      <c r="J120" s="505" t="s">
        <v>11733</v>
      </c>
      <c r="K120" s="82"/>
      <c r="L120" s="505"/>
      <c r="M120" s="70"/>
      <c r="N120" s="70"/>
      <c r="O120" s="70"/>
      <c r="P120" s="70"/>
      <c r="Q120" s="70"/>
      <c r="R120" s="70"/>
      <c r="S120" s="70"/>
      <c r="T120" s="70"/>
      <c r="U120" s="70"/>
      <c r="V120" s="70"/>
      <c r="W120" s="70"/>
      <c r="X120" s="70"/>
      <c r="Y120" s="70"/>
    </row>
    <row r="121">
      <c r="A121" s="79" t="s">
        <v>11734</v>
      </c>
      <c r="B121" s="506"/>
      <c r="C121" s="79" t="s">
        <v>11735</v>
      </c>
      <c r="D121" s="505" t="s">
        <v>11736</v>
      </c>
      <c r="E121" s="82"/>
      <c r="F121" s="506"/>
      <c r="G121" s="79" t="s">
        <v>11737</v>
      </c>
      <c r="H121" s="506"/>
      <c r="I121" s="146" t="s">
        <v>11738</v>
      </c>
      <c r="J121" s="505" t="s">
        <v>11739</v>
      </c>
      <c r="K121" s="82"/>
      <c r="L121" s="505"/>
      <c r="M121" s="70"/>
      <c r="N121" s="70"/>
      <c r="O121" s="70"/>
      <c r="P121" s="70"/>
      <c r="Q121" s="70"/>
      <c r="R121" s="70"/>
      <c r="S121" s="70"/>
      <c r="T121" s="70"/>
      <c r="U121" s="70"/>
      <c r="V121" s="70"/>
      <c r="W121" s="70"/>
      <c r="X121" s="70"/>
      <c r="Y121" s="70"/>
    </row>
    <row r="122">
      <c r="A122" s="79" t="s">
        <v>11740</v>
      </c>
      <c r="B122" s="506"/>
      <c r="C122" s="79" t="s">
        <v>11741</v>
      </c>
      <c r="D122" s="505" t="s">
        <v>11742</v>
      </c>
      <c r="E122" s="82"/>
      <c r="F122" s="506"/>
      <c r="G122" s="79" t="s">
        <v>11743</v>
      </c>
      <c r="H122" s="506"/>
      <c r="I122" s="146" t="s">
        <v>11744</v>
      </c>
      <c r="J122" s="505" t="s">
        <v>11745</v>
      </c>
      <c r="K122" s="82"/>
      <c r="L122" s="505"/>
      <c r="M122" s="70"/>
      <c r="N122" s="70"/>
      <c r="O122" s="70"/>
      <c r="P122" s="70"/>
      <c r="Q122" s="70"/>
      <c r="R122" s="70"/>
      <c r="S122" s="70"/>
      <c r="T122" s="70"/>
      <c r="U122" s="70"/>
      <c r="V122" s="70"/>
      <c r="W122" s="70"/>
      <c r="X122" s="70"/>
      <c r="Y122" s="70"/>
    </row>
    <row r="123">
      <c r="A123" s="82"/>
      <c r="B123" s="506"/>
      <c r="C123" s="82"/>
      <c r="D123" s="506"/>
      <c r="E123" s="82"/>
      <c r="F123" s="506"/>
      <c r="G123" s="222"/>
      <c r="H123" s="506"/>
      <c r="I123" s="199"/>
      <c r="J123" s="506"/>
      <c r="K123" s="82"/>
      <c r="L123" s="506"/>
      <c r="M123" s="70"/>
      <c r="N123" s="70"/>
      <c r="O123" s="70"/>
      <c r="P123" s="70"/>
      <c r="Q123" s="70"/>
      <c r="R123" s="70"/>
      <c r="S123" s="70"/>
      <c r="T123" s="70"/>
      <c r="U123" s="70"/>
      <c r="V123" s="70"/>
      <c r="W123" s="70"/>
      <c r="X123" s="70"/>
      <c r="Y123" s="70"/>
    </row>
    <row r="124">
      <c r="A124" s="82"/>
      <c r="B124" s="506"/>
      <c r="C124" s="82"/>
      <c r="D124" s="506"/>
      <c r="E124" s="82"/>
      <c r="F124" s="506"/>
      <c r="G124" s="222"/>
      <c r="H124" s="506"/>
      <c r="I124" s="199"/>
      <c r="J124" s="506"/>
      <c r="K124" s="82"/>
      <c r="L124" s="506"/>
      <c r="M124" s="70"/>
      <c r="N124" s="70"/>
      <c r="O124" s="70"/>
      <c r="P124" s="70"/>
      <c r="Q124" s="70"/>
      <c r="R124" s="70"/>
      <c r="S124" s="70"/>
      <c r="T124" s="70"/>
      <c r="U124" s="70"/>
      <c r="V124" s="70"/>
      <c r="W124" s="70"/>
      <c r="X124" s="70"/>
      <c r="Y124" s="70"/>
    </row>
    <row r="125">
      <c r="A125" s="82"/>
      <c r="B125" s="506"/>
      <c r="C125" s="82"/>
      <c r="D125" s="506"/>
      <c r="E125" s="82"/>
      <c r="F125" s="506"/>
      <c r="G125" s="222"/>
      <c r="H125" s="506"/>
      <c r="I125" s="199"/>
      <c r="J125" s="506"/>
      <c r="K125" s="82"/>
      <c r="L125" s="506"/>
      <c r="M125" s="70"/>
      <c r="N125" s="70"/>
      <c r="O125" s="70"/>
      <c r="P125" s="70"/>
      <c r="Q125" s="70"/>
      <c r="R125" s="70"/>
      <c r="S125" s="70"/>
      <c r="T125" s="70"/>
      <c r="U125" s="70"/>
      <c r="V125" s="70"/>
      <c r="W125" s="70"/>
      <c r="X125" s="70"/>
      <c r="Y125" s="70"/>
    </row>
    <row r="126">
      <c r="A126" s="82"/>
      <c r="B126" s="506"/>
      <c r="C126" s="82"/>
      <c r="D126" s="506"/>
      <c r="E126" s="82"/>
      <c r="F126" s="506"/>
      <c r="G126" s="222"/>
      <c r="H126" s="506"/>
      <c r="I126" s="199"/>
      <c r="J126" s="506"/>
      <c r="K126" s="82"/>
      <c r="L126" s="506"/>
      <c r="M126" s="70"/>
      <c r="N126" s="70"/>
      <c r="O126" s="70"/>
      <c r="P126" s="70"/>
      <c r="Q126" s="70"/>
      <c r="R126" s="70"/>
      <c r="S126" s="70"/>
      <c r="T126" s="70"/>
      <c r="U126" s="70"/>
      <c r="V126" s="70"/>
      <c r="W126" s="70"/>
      <c r="X126" s="70"/>
      <c r="Y126" s="70"/>
    </row>
    <row r="127">
      <c r="A127" s="82"/>
      <c r="B127" s="506"/>
      <c r="C127" s="82"/>
      <c r="D127" s="506"/>
      <c r="E127" s="82"/>
      <c r="F127" s="506"/>
      <c r="G127" s="222"/>
      <c r="H127" s="506"/>
      <c r="I127" s="199"/>
      <c r="J127" s="506"/>
      <c r="K127" s="82"/>
      <c r="L127" s="506"/>
      <c r="M127" s="70"/>
      <c r="N127" s="70"/>
      <c r="O127" s="70"/>
      <c r="P127" s="70"/>
      <c r="Q127" s="70"/>
      <c r="R127" s="70"/>
      <c r="S127" s="70"/>
      <c r="T127" s="70"/>
      <c r="U127" s="70"/>
      <c r="V127" s="70"/>
      <c r="W127" s="70"/>
      <c r="X127" s="70"/>
      <c r="Y127" s="70"/>
    </row>
    <row r="128">
      <c r="A128" s="82"/>
      <c r="B128" s="506"/>
      <c r="C128" s="82"/>
      <c r="D128" s="506"/>
      <c r="E128" s="82"/>
      <c r="F128" s="506"/>
      <c r="G128" s="222"/>
      <c r="H128" s="506"/>
      <c r="I128" s="199"/>
      <c r="J128" s="506"/>
      <c r="K128" s="82"/>
      <c r="L128" s="506"/>
      <c r="M128" s="70"/>
      <c r="N128" s="70"/>
      <c r="O128" s="70"/>
      <c r="P128" s="70"/>
      <c r="Q128" s="70"/>
      <c r="R128" s="70"/>
      <c r="S128" s="70"/>
      <c r="T128" s="70"/>
      <c r="U128" s="70"/>
      <c r="V128" s="70"/>
      <c r="W128" s="70"/>
      <c r="X128" s="70"/>
      <c r="Y128" s="70"/>
    </row>
    <row r="129">
      <c r="A129" s="82"/>
      <c r="B129" s="506"/>
      <c r="C129" s="82"/>
      <c r="D129" s="506"/>
      <c r="E129" s="82"/>
      <c r="F129" s="506"/>
      <c r="G129" s="222"/>
      <c r="H129" s="506"/>
      <c r="I129" s="199"/>
      <c r="J129" s="506"/>
      <c r="K129" s="82"/>
      <c r="L129" s="506"/>
      <c r="M129" s="70"/>
      <c r="N129" s="70"/>
      <c r="O129" s="70"/>
      <c r="P129" s="70"/>
      <c r="Q129" s="70"/>
      <c r="R129" s="70"/>
      <c r="S129" s="70"/>
      <c r="T129" s="70"/>
      <c r="U129" s="70"/>
      <c r="V129" s="70"/>
      <c r="W129" s="70"/>
      <c r="X129" s="70"/>
      <c r="Y129" s="70"/>
    </row>
    <row r="130">
      <c r="A130" s="82"/>
      <c r="B130" s="506"/>
      <c r="C130" s="82"/>
      <c r="D130" s="506"/>
      <c r="E130" s="82"/>
      <c r="F130" s="506"/>
      <c r="G130" s="222"/>
      <c r="H130" s="506"/>
      <c r="I130" s="199"/>
      <c r="J130" s="506"/>
      <c r="K130" s="82"/>
      <c r="L130" s="506"/>
      <c r="M130" s="70"/>
      <c r="N130" s="70"/>
      <c r="O130" s="70"/>
      <c r="P130" s="70"/>
      <c r="Q130" s="70"/>
      <c r="R130" s="70"/>
      <c r="S130" s="70"/>
      <c r="T130" s="70"/>
      <c r="U130" s="70"/>
      <c r="V130" s="70"/>
      <c r="W130" s="70"/>
      <c r="X130" s="70"/>
      <c r="Y130" s="70"/>
    </row>
    <row r="131">
      <c r="A131" s="82"/>
      <c r="B131" s="506"/>
      <c r="C131" s="82"/>
      <c r="D131" s="506"/>
      <c r="E131" s="82"/>
      <c r="F131" s="506"/>
      <c r="G131" s="222"/>
      <c r="H131" s="506"/>
      <c r="I131" s="199"/>
      <c r="J131" s="506"/>
      <c r="K131" s="82"/>
      <c r="L131" s="506"/>
      <c r="M131" s="70"/>
      <c r="N131" s="70"/>
      <c r="O131" s="70"/>
      <c r="P131" s="70"/>
      <c r="Q131" s="70"/>
      <c r="R131" s="70"/>
      <c r="S131" s="70"/>
      <c r="T131" s="70"/>
      <c r="U131" s="70"/>
      <c r="V131" s="70"/>
      <c r="W131" s="70"/>
      <c r="X131" s="70"/>
      <c r="Y131" s="70"/>
    </row>
    <row r="132">
      <c r="A132" s="82"/>
      <c r="B132" s="506"/>
      <c r="C132" s="82"/>
      <c r="D132" s="506"/>
      <c r="E132" s="82"/>
      <c r="F132" s="506"/>
      <c r="G132" s="222"/>
      <c r="H132" s="506"/>
      <c r="I132" s="199"/>
      <c r="J132" s="506"/>
      <c r="K132" s="82"/>
      <c r="L132" s="506"/>
      <c r="M132" s="70"/>
      <c r="N132" s="70"/>
      <c r="O132" s="70"/>
      <c r="P132" s="70"/>
      <c r="Q132" s="70"/>
      <c r="R132" s="70"/>
      <c r="S132" s="70"/>
      <c r="T132" s="70"/>
      <c r="U132" s="70"/>
      <c r="V132" s="70"/>
      <c r="W132" s="70"/>
      <c r="X132" s="70"/>
      <c r="Y132" s="70"/>
    </row>
    <row r="133">
      <c r="A133" s="82"/>
      <c r="B133" s="506"/>
      <c r="C133" s="82"/>
      <c r="D133" s="506"/>
      <c r="E133" s="82"/>
      <c r="F133" s="506"/>
      <c r="G133" s="222"/>
      <c r="H133" s="506"/>
      <c r="I133" s="199"/>
      <c r="J133" s="506"/>
      <c r="K133" s="82"/>
      <c r="L133" s="506"/>
      <c r="M133" s="70"/>
      <c r="N133" s="70"/>
      <c r="O133" s="70"/>
      <c r="P133" s="70"/>
      <c r="Q133" s="70"/>
      <c r="R133" s="70"/>
      <c r="S133" s="70"/>
      <c r="T133" s="70"/>
      <c r="U133" s="70"/>
      <c r="V133" s="70"/>
      <c r="W133" s="70"/>
      <c r="X133" s="70"/>
      <c r="Y133" s="70"/>
    </row>
    <row r="134">
      <c r="A134" s="82"/>
      <c r="B134" s="506"/>
      <c r="C134" s="82"/>
      <c r="D134" s="506"/>
      <c r="E134" s="82"/>
      <c r="F134" s="506"/>
      <c r="G134" s="222"/>
      <c r="H134" s="506"/>
      <c r="I134" s="199"/>
      <c r="J134" s="506"/>
      <c r="K134" s="82"/>
      <c r="L134" s="506"/>
      <c r="M134" s="70"/>
      <c r="N134" s="70"/>
      <c r="O134" s="70"/>
      <c r="P134" s="70"/>
      <c r="Q134" s="70"/>
      <c r="R134" s="70"/>
      <c r="S134" s="70"/>
      <c r="T134" s="70"/>
      <c r="U134" s="70"/>
      <c r="V134" s="70"/>
      <c r="W134" s="70"/>
      <c r="X134" s="70"/>
      <c r="Y134" s="70"/>
    </row>
    <row r="135">
      <c r="A135" s="82"/>
      <c r="B135" s="506"/>
      <c r="C135" s="82"/>
      <c r="D135" s="506"/>
      <c r="E135" s="82"/>
      <c r="F135" s="506"/>
      <c r="G135" s="222"/>
      <c r="H135" s="506"/>
      <c r="I135" s="199"/>
      <c r="J135" s="506"/>
      <c r="K135" s="82"/>
      <c r="L135" s="506"/>
      <c r="M135" s="70"/>
      <c r="N135" s="70"/>
      <c r="O135" s="70"/>
      <c r="P135" s="70"/>
      <c r="Q135" s="70"/>
      <c r="R135" s="70"/>
      <c r="S135" s="70"/>
      <c r="T135" s="70"/>
      <c r="U135" s="70"/>
      <c r="V135" s="70"/>
      <c r="W135" s="70"/>
      <c r="X135" s="70"/>
      <c r="Y135" s="70"/>
    </row>
    <row r="136">
      <c r="A136" s="82"/>
      <c r="B136" s="506"/>
      <c r="C136" s="82"/>
      <c r="D136" s="506"/>
      <c r="E136" s="82"/>
      <c r="F136" s="506"/>
      <c r="G136" s="222"/>
      <c r="H136" s="506"/>
      <c r="I136" s="199"/>
      <c r="J136" s="506"/>
      <c r="K136" s="82"/>
      <c r="L136" s="506"/>
      <c r="M136" s="70"/>
      <c r="N136" s="70"/>
      <c r="O136" s="70"/>
      <c r="P136" s="70"/>
      <c r="Q136" s="70"/>
      <c r="R136" s="70"/>
      <c r="S136" s="70"/>
      <c r="T136" s="70"/>
      <c r="U136" s="70"/>
      <c r="V136" s="70"/>
      <c r="W136" s="70"/>
      <c r="X136" s="70"/>
      <c r="Y136" s="70"/>
    </row>
    <row r="137">
      <c r="A137" s="82"/>
      <c r="B137" s="506"/>
      <c r="C137" s="82"/>
      <c r="D137" s="506"/>
      <c r="E137" s="82"/>
      <c r="F137" s="506"/>
      <c r="G137" s="222"/>
      <c r="H137" s="506"/>
      <c r="I137" s="199"/>
      <c r="J137" s="506"/>
      <c r="K137" s="82"/>
      <c r="L137" s="506"/>
      <c r="M137" s="70"/>
      <c r="N137" s="70"/>
      <c r="O137" s="70"/>
      <c r="P137" s="70"/>
      <c r="Q137" s="70"/>
      <c r="R137" s="70"/>
      <c r="S137" s="70"/>
      <c r="T137" s="70"/>
      <c r="U137" s="70"/>
      <c r="V137" s="70"/>
      <c r="W137" s="70"/>
      <c r="X137" s="70"/>
      <c r="Y137" s="70"/>
    </row>
    <row r="138">
      <c r="A138" s="82"/>
      <c r="B138" s="506"/>
      <c r="C138" s="82"/>
      <c r="D138" s="506"/>
      <c r="E138" s="82"/>
      <c r="F138" s="506"/>
      <c r="G138" s="222"/>
      <c r="H138" s="506"/>
      <c r="I138" s="199"/>
      <c r="J138" s="506"/>
      <c r="K138" s="82"/>
      <c r="L138" s="506"/>
      <c r="M138" s="70"/>
      <c r="N138" s="70"/>
      <c r="O138" s="70"/>
      <c r="P138" s="70"/>
      <c r="Q138" s="70"/>
      <c r="R138" s="70"/>
      <c r="S138" s="70"/>
      <c r="T138" s="70"/>
      <c r="U138" s="70"/>
      <c r="V138" s="70"/>
      <c r="W138" s="70"/>
      <c r="X138" s="70"/>
      <c r="Y138" s="70"/>
    </row>
    <row r="139">
      <c r="A139" s="82"/>
      <c r="B139" s="506"/>
      <c r="C139" s="82"/>
      <c r="D139" s="506"/>
      <c r="E139" s="82"/>
      <c r="F139" s="506"/>
      <c r="G139" s="222"/>
      <c r="H139" s="506"/>
      <c r="I139" s="199"/>
      <c r="J139" s="506"/>
      <c r="K139" s="82"/>
      <c r="L139" s="506"/>
      <c r="M139" s="70"/>
      <c r="N139" s="70"/>
      <c r="O139" s="70"/>
      <c r="P139" s="70"/>
      <c r="Q139" s="70"/>
      <c r="R139" s="70"/>
      <c r="S139" s="70"/>
      <c r="T139" s="70"/>
      <c r="U139" s="70"/>
      <c r="V139" s="70"/>
      <c r="W139" s="70"/>
      <c r="X139" s="70"/>
      <c r="Y139" s="70"/>
    </row>
    <row r="140">
      <c r="A140" s="82"/>
      <c r="B140" s="506"/>
      <c r="C140" s="82"/>
      <c r="D140" s="506"/>
      <c r="E140" s="82"/>
      <c r="F140" s="506"/>
      <c r="G140" s="222"/>
      <c r="H140" s="506"/>
      <c r="I140" s="199"/>
      <c r="J140" s="506"/>
      <c r="K140" s="82"/>
      <c r="L140" s="506"/>
      <c r="M140" s="70"/>
      <c r="N140" s="70"/>
      <c r="O140" s="70"/>
      <c r="P140" s="70"/>
      <c r="Q140" s="70"/>
      <c r="R140" s="70"/>
      <c r="S140" s="70"/>
      <c r="T140" s="70"/>
      <c r="U140" s="70"/>
      <c r="V140" s="70"/>
      <c r="W140" s="70"/>
      <c r="X140" s="70"/>
      <c r="Y140" s="70"/>
    </row>
    <row r="141">
      <c r="A141" s="82"/>
      <c r="B141" s="506"/>
      <c r="C141" s="82"/>
      <c r="D141" s="506"/>
      <c r="E141" s="82"/>
      <c r="F141" s="506"/>
      <c r="G141" s="222"/>
      <c r="H141" s="506"/>
      <c r="I141" s="199"/>
      <c r="J141" s="506"/>
      <c r="K141" s="82"/>
      <c r="L141" s="506"/>
      <c r="M141" s="70"/>
      <c r="N141" s="70"/>
      <c r="O141" s="70"/>
      <c r="P141" s="70"/>
      <c r="Q141" s="70"/>
      <c r="R141" s="70"/>
      <c r="S141" s="70"/>
      <c r="T141" s="70"/>
      <c r="U141" s="70"/>
      <c r="V141" s="70"/>
      <c r="W141" s="70"/>
      <c r="X141" s="70"/>
      <c r="Y141" s="70"/>
    </row>
    <row r="142">
      <c r="A142" s="82"/>
      <c r="B142" s="506"/>
      <c r="C142" s="82"/>
      <c r="D142" s="506"/>
      <c r="E142" s="82"/>
      <c r="F142" s="506"/>
      <c r="G142" s="222"/>
      <c r="H142" s="506"/>
      <c r="I142" s="199"/>
      <c r="J142" s="506"/>
      <c r="K142" s="82"/>
      <c r="L142" s="506"/>
      <c r="M142" s="70"/>
      <c r="N142" s="70"/>
      <c r="O142" s="70"/>
      <c r="P142" s="70"/>
      <c r="Q142" s="70"/>
      <c r="R142" s="70"/>
      <c r="S142" s="70"/>
      <c r="T142" s="70"/>
      <c r="U142" s="70"/>
      <c r="V142" s="70"/>
      <c r="W142" s="70"/>
      <c r="X142" s="70"/>
      <c r="Y142" s="70"/>
    </row>
    <row r="143">
      <c r="A143" s="82"/>
      <c r="B143" s="506"/>
      <c r="C143" s="82"/>
      <c r="D143" s="506"/>
      <c r="E143" s="82"/>
      <c r="F143" s="506"/>
      <c r="G143" s="222"/>
      <c r="H143" s="506"/>
      <c r="I143" s="199"/>
      <c r="J143" s="506"/>
      <c r="K143" s="82"/>
      <c r="L143" s="506"/>
      <c r="M143" s="70"/>
      <c r="N143" s="70"/>
      <c r="O143" s="70"/>
      <c r="P143" s="70"/>
      <c r="Q143" s="70"/>
      <c r="R143" s="70"/>
      <c r="S143" s="70"/>
      <c r="T143" s="70"/>
      <c r="U143" s="70"/>
      <c r="V143" s="70"/>
      <c r="W143" s="70"/>
      <c r="X143" s="70"/>
      <c r="Y143" s="70"/>
    </row>
    <row r="144">
      <c r="A144" s="82"/>
      <c r="B144" s="506"/>
      <c r="C144" s="82"/>
      <c r="D144" s="506"/>
      <c r="E144" s="82"/>
      <c r="F144" s="506"/>
      <c r="G144" s="222"/>
      <c r="H144" s="506"/>
      <c r="I144" s="199"/>
      <c r="J144" s="506"/>
      <c r="K144" s="82"/>
      <c r="L144" s="506"/>
      <c r="M144" s="70"/>
      <c r="N144" s="70"/>
      <c r="O144" s="70"/>
      <c r="P144" s="70"/>
      <c r="Q144" s="70"/>
      <c r="R144" s="70"/>
      <c r="S144" s="70"/>
      <c r="T144" s="70"/>
      <c r="U144" s="70"/>
      <c r="V144" s="70"/>
      <c r="W144" s="70"/>
      <c r="X144" s="70"/>
      <c r="Y144" s="70"/>
    </row>
    <row r="145">
      <c r="A145" s="82"/>
      <c r="B145" s="506"/>
      <c r="C145" s="82"/>
      <c r="D145" s="506"/>
      <c r="E145" s="82"/>
      <c r="F145" s="506"/>
      <c r="G145" s="222"/>
      <c r="H145" s="506"/>
      <c r="I145" s="199"/>
      <c r="J145" s="506"/>
      <c r="K145" s="82"/>
      <c r="L145" s="506"/>
      <c r="M145" s="70"/>
      <c r="N145" s="70"/>
      <c r="O145" s="70"/>
      <c r="P145" s="70"/>
      <c r="Q145" s="70"/>
      <c r="R145" s="70"/>
      <c r="S145" s="70"/>
      <c r="T145" s="70"/>
      <c r="U145" s="70"/>
      <c r="V145" s="70"/>
      <c r="W145" s="70"/>
      <c r="X145" s="70"/>
      <c r="Y145" s="70"/>
    </row>
    <row r="146">
      <c r="A146" s="82"/>
      <c r="B146" s="506"/>
      <c r="C146" s="82"/>
      <c r="D146" s="506"/>
      <c r="E146" s="82"/>
      <c r="F146" s="506"/>
      <c r="G146" s="222"/>
      <c r="H146" s="506"/>
      <c r="I146" s="199"/>
      <c r="J146" s="506"/>
      <c r="K146" s="82"/>
      <c r="L146" s="506"/>
      <c r="M146" s="70"/>
      <c r="N146" s="70"/>
      <c r="O146" s="70"/>
      <c r="P146" s="70"/>
      <c r="Q146" s="70"/>
      <c r="R146" s="70"/>
      <c r="S146" s="70"/>
      <c r="T146" s="70"/>
      <c r="U146" s="70"/>
      <c r="V146" s="70"/>
      <c r="W146" s="70"/>
      <c r="X146" s="70"/>
      <c r="Y146" s="70"/>
    </row>
    <row r="147">
      <c r="A147" s="82"/>
      <c r="B147" s="506"/>
      <c r="C147" s="82"/>
      <c r="D147" s="506"/>
      <c r="E147" s="82"/>
      <c r="F147" s="506"/>
      <c r="G147" s="222"/>
      <c r="H147" s="506"/>
      <c r="I147" s="199"/>
      <c r="J147" s="506"/>
      <c r="K147" s="82"/>
      <c r="L147" s="506"/>
      <c r="M147" s="70"/>
      <c r="N147" s="70"/>
      <c r="O147" s="70"/>
      <c r="P147" s="70"/>
      <c r="Q147" s="70"/>
      <c r="R147" s="70"/>
      <c r="S147" s="70"/>
      <c r="T147" s="70"/>
      <c r="U147" s="70"/>
      <c r="V147" s="70"/>
      <c r="W147" s="70"/>
      <c r="X147" s="70"/>
      <c r="Y147" s="70"/>
    </row>
    <row r="148">
      <c r="A148" s="82"/>
      <c r="B148" s="506"/>
      <c r="C148" s="82"/>
      <c r="D148" s="506"/>
      <c r="E148" s="82"/>
      <c r="F148" s="506"/>
      <c r="G148" s="222"/>
      <c r="H148" s="506"/>
      <c r="I148" s="199"/>
      <c r="J148" s="506"/>
      <c r="K148" s="82"/>
      <c r="L148" s="506"/>
      <c r="M148" s="70"/>
      <c r="N148" s="70"/>
      <c r="O148" s="70"/>
      <c r="P148" s="70"/>
      <c r="Q148" s="70"/>
      <c r="R148" s="70"/>
      <c r="S148" s="70"/>
      <c r="T148" s="70"/>
      <c r="U148" s="70"/>
      <c r="V148" s="70"/>
      <c r="W148" s="70"/>
      <c r="X148" s="70"/>
      <c r="Y148" s="70"/>
    </row>
    <row r="149">
      <c r="A149" s="82"/>
      <c r="B149" s="506"/>
      <c r="C149" s="82"/>
      <c r="D149" s="506"/>
      <c r="E149" s="82"/>
      <c r="F149" s="506"/>
      <c r="G149" s="222"/>
      <c r="H149" s="506"/>
      <c r="I149" s="199"/>
      <c r="J149" s="506"/>
      <c r="K149" s="82"/>
      <c r="L149" s="506"/>
      <c r="M149" s="70"/>
      <c r="N149" s="70"/>
      <c r="O149" s="70"/>
      <c r="P149" s="70"/>
      <c r="Q149" s="70"/>
      <c r="R149" s="70"/>
      <c r="S149" s="70"/>
      <c r="T149" s="70"/>
      <c r="U149" s="70"/>
      <c r="V149" s="70"/>
      <c r="W149" s="70"/>
      <c r="X149" s="70"/>
      <c r="Y149" s="70"/>
    </row>
    <row r="150">
      <c r="A150" s="82"/>
      <c r="B150" s="506"/>
      <c r="C150" s="82"/>
      <c r="D150" s="506"/>
      <c r="E150" s="82"/>
      <c r="F150" s="506"/>
      <c r="G150" s="222"/>
      <c r="H150" s="506"/>
      <c r="I150" s="199"/>
      <c r="J150" s="506"/>
      <c r="K150" s="82"/>
      <c r="L150" s="506"/>
      <c r="M150" s="70"/>
      <c r="N150" s="70"/>
      <c r="O150" s="70"/>
      <c r="P150" s="70"/>
      <c r="Q150" s="70"/>
      <c r="R150" s="70"/>
      <c r="S150" s="70"/>
      <c r="T150" s="70"/>
      <c r="U150" s="70"/>
      <c r="V150" s="70"/>
      <c r="W150" s="70"/>
      <c r="X150" s="70"/>
      <c r="Y150" s="70"/>
    </row>
    <row r="151">
      <c r="A151" s="82"/>
      <c r="B151" s="506"/>
      <c r="C151" s="82"/>
      <c r="D151" s="506"/>
      <c r="E151" s="82"/>
      <c r="F151" s="506"/>
      <c r="G151" s="222"/>
      <c r="H151" s="506"/>
      <c r="I151" s="199"/>
      <c r="J151" s="506"/>
      <c r="K151" s="82"/>
      <c r="L151" s="506"/>
      <c r="M151" s="70"/>
      <c r="N151" s="70"/>
      <c r="O151" s="70"/>
      <c r="P151" s="70"/>
      <c r="Q151" s="70"/>
      <c r="R151" s="70"/>
      <c r="S151" s="70"/>
      <c r="T151" s="70"/>
      <c r="U151" s="70"/>
      <c r="V151" s="70"/>
      <c r="W151" s="70"/>
      <c r="X151" s="70"/>
      <c r="Y151" s="70"/>
    </row>
    <row r="152">
      <c r="A152" s="82"/>
      <c r="B152" s="506"/>
      <c r="C152" s="82"/>
      <c r="D152" s="506"/>
      <c r="E152" s="82"/>
      <c r="F152" s="506"/>
      <c r="G152" s="222"/>
      <c r="H152" s="506"/>
      <c r="I152" s="199"/>
      <c r="J152" s="506"/>
      <c r="K152" s="82"/>
      <c r="L152" s="506"/>
      <c r="M152" s="70"/>
      <c r="N152" s="70"/>
      <c r="O152" s="70"/>
      <c r="P152" s="70"/>
      <c r="Q152" s="70"/>
      <c r="R152" s="70"/>
      <c r="S152" s="70"/>
      <c r="T152" s="70"/>
      <c r="U152" s="70"/>
      <c r="V152" s="70"/>
      <c r="W152" s="70"/>
      <c r="X152" s="70"/>
      <c r="Y152" s="70"/>
    </row>
    <row r="153">
      <c r="A153" s="82"/>
      <c r="B153" s="506"/>
      <c r="C153" s="82"/>
      <c r="D153" s="506"/>
      <c r="E153" s="82"/>
      <c r="F153" s="506"/>
      <c r="G153" s="222"/>
      <c r="H153" s="506"/>
      <c r="I153" s="199"/>
      <c r="J153" s="506"/>
      <c r="K153" s="82"/>
      <c r="L153" s="506"/>
      <c r="M153" s="70"/>
      <c r="N153" s="70"/>
      <c r="O153" s="70"/>
      <c r="P153" s="70"/>
      <c r="Q153" s="70"/>
      <c r="R153" s="70"/>
      <c r="S153" s="70"/>
      <c r="T153" s="70"/>
      <c r="U153" s="70"/>
      <c r="V153" s="70"/>
      <c r="W153" s="70"/>
      <c r="X153" s="70"/>
      <c r="Y153" s="70"/>
    </row>
    <row r="154">
      <c r="A154" s="82"/>
      <c r="B154" s="506"/>
      <c r="C154" s="82"/>
      <c r="D154" s="506"/>
      <c r="E154" s="82"/>
      <c r="F154" s="506"/>
      <c r="G154" s="222"/>
      <c r="H154" s="506"/>
      <c r="I154" s="199"/>
      <c r="J154" s="506"/>
      <c r="K154" s="82"/>
      <c r="L154" s="506"/>
      <c r="M154" s="70"/>
      <c r="N154" s="70"/>
      <c r="O154" s="70"/>
      <c r="P154" s="70"/>
      <c r="Q154" s="70"/>
      <c r="R154" s="70"/>
      <c r="S154" s="70"/>
      <c r="T154" s="70"/>
      <c r="U154" s="70"/>
      <c r="V154" s="70"/>
      <c r="W154" s="70"/>
      <c r="X154" s="70"/>
      <c r="Y154" s="70"/>
    </row>
    <row r="155">
      <c r="A155" s="82"/>
      <c r="B155" s="506"/>
      <c r="C155" s="82"/>
      <c r="D155" s="506"/>
      <c r="E155" s="82"/>
      <c r="F155" s="506"/>
      <c r="G155" s="222"/>
      <c r="H155" s="506"/>
      <c r="I155" s="199"/>
      <c r="J155" s="506"/>
      <c r="K155" s="82"/>
      <c r="L155" s="506"/>
      <c r="M155" s="70"/>
      <c r="N155" s="70"/>
      <c r="O155" s="70"/>
      <c r="P155" s="70"/>
      <c r="Q155" s="70"/>
      <c r="R155" s="70"/>
      <c r="S155" s="70"/>
      <c r="T155" s="70"/>
      <c r="U155" s="70"/>
      <c r="V155" s="70"/>
      <c r="W155" s="70"/>
      <c r="X155" s="70"/>
      <c r="Y155" s="70"/>
    </row>
    <row r="156">
      <c r="A156" s="82"/>
      <c r="B156" s="506"/>
      <c r="C156" s="82"/>
      <c r="D156" s="506"/>
      <c r="E156" s="82"/>
      <c r="F156" s="506"/>
      <c r="G156" s="222"/>
      <c r="H156" s="506"/>
      <c r="I156" s="199"/>
      <c r="J156" s="506"/>
      <c r="K156" s="82"/>
      <c r="L156" s="506"/>
      <c r="M156" s="70"/>
      <c r="N156" s="70"/>
      <c r="O156" s="70"/>
      <c r="P156" s="70"/>
      <c r="Q156" s="70"/>
      <c r="R156" s="70"/>
      <c r="S156" s="70"/>
      <c r="T156" s="70"/>
      <c r="U156" s="70"/>
      <c r="V156" s="70"/>
      <c r="W156" s="70"/>
      <c r="X156" s="70"/>
      <c r="Y156" s="70"/>
    </row>
    <row r="157">
      <c r="A157" s="82"/>
      <c r="B157" s="506"/>
      <c r="C157" s="82"/>
      <c r="D157" s="506"/>
      <c r="E157" s="82"/>
      <c r="F157" s="506"/>
      <c r="G157" s="222"/>
      <c r="H157" s="506"/>
      <c r="I157" s="199"/>
      <c r="J157" s="506"/>
      <c r="K157" s="82"/>
      <c r="L157" s="506"/>
      <c r="M157" s="70"/>
      <c r="N157" s="70"/>
      <c r="O157" s="70"/>
      <c r="P157" s="70"/>
      <c r="Q157" s="70"/>
      <c r="R157" s="70"/>
      <c r="S157" s="70"/>
      <c r="T157" s="70"/>
      <c r="U157" s="70"/>
      <c r="V157" s="70"/>
      <c r="W157" s="70"/>
      <c r="X157" s="70"/>
      <c r="Y157" s="70"/>
    </row>
    <row r="158">
      <c r="A158" s="82"/>
      <c r="B158" s="506"/>
      <c r="C158" s="82"/>
      <c r="D158" s="506"/>
      <c r="E158" s="82"/>
      <c r="F158" s="506"/>
      <c r="G158" s="222"/>
      <c r="H158" s="506"/>
      <c r="I158" s="199"/>
      <c r="J158" s="506"/>
      <c r="K158" s="82"/>
      <c r="L158" s="506"/>
      <c r="M158" s="70"/>
      <c r="N158" s="70"/>
      <c r="O158" s="70"/>
      <c r="P158" s="70"/>
      <c r="Q158" s="70"/>
      <c r="R158" s="70"/>
      <c r="S158" s="70"/>
      <c r="T158" s="70"/>
      <c r="U158" s="70"/>
      <c r="V158" s="70"/>
      <c r="W158" s="70"/>
      <c r="X158" s="70"/>
      <c r="Y158" s="70"/>
    </row>
    <row r="159">
      <c r="A159" s="82"/>
      <c r="B159" s="506"/>
      <c r="C159" s="82"/>
      <c r="D159" s="506"/>
      <c r="E159" s="82"/>
      <c r="F159" s="506"/>
      <c r="G159" s="222"/>
      <c r="H159" s="506"/>
      <c r="I159" s="199"/>
      <c r="J159" s="506"/>
      <c r="K159" s="82"/>
      <c r="L159" s="506"/>
      <c r="M159" s="70"/>
      <c r="N159" s="70"/>
      <c r="O159" s="70"/>
      <c r="P159" s="70"/>
      <c r="Q159" s="70"/>
      <c r="R159" s="70"/>
      <c r="S159" s="70"/>
      <c r="T159" s="70"/>
      <c r="U159" s="70"/>
      <c r="V159" s="70"/>
      <c r="W159" s="70"/>
      <c r="X159" s="70"/>
      <c r="Y159" s="70"/>
    </row>
    <row r="160">
      <c r="A160" s="82"/>
      <c r="B160" s="506"/>
      <c r="C160" s="82"/>
      <c r="D160" s="506"/>
      <c r="E160" s="82"/>
      <c r="F160" s="506"/>
      <c r="G160" s="222"/>
      <c r="H160" s="506"/>
      <c r="I160" s="199"/>
      <c r="J160" s="506"/>
      <c r="K160" s="82"/>
      <c r="L160" s="506"/>
      <c r="M160" s="70"/>
      <c r="N160" s="70"/>
      <c r="O160" s="70"/>
      <c r="P160" s="70"/>
      <c r="Q160" s="70"/>
      <c r="R160" s="70"/>
      <c r="S160" s="70"/>
      <c r="T160" s="70"/>
      <c r="U160" s="70"/>
      <c r="V160" s="70"/>
      <c r="W160" s="70"/>
      <c r="X160" s="70"/>
      <c r="Y160" s="70"/>
    </row>
    <row r="161">
      <c r="A161" s="82"/>
      <c r="B161" s="506"/>
      <c r="C161" s="82"/>
      <c r="D161" s="506"/>
      <c r="E161" s="82"/>
      <c r="F161" s="506"/>
      <c r="G161" s="222"/>
      <c r="H161" s="506"/>
      <c r="I161" s="199"/>
      <c r="J161" s="506"/>
      <c r="K161" s="82"/>
      <c r="L161" s="506"/>
      <c r="M161" s="70"/>
      <c r="N161" s="70"/>
      <c r="O161" s="70"/>
      <c r="P161" s="70"/>
      <c r="Q161" s="70"/>
      <c r="R161" s="70"/>
      <c r="S161" s="70"/>
      <c r="T161" s="70"/>
      <c r="U161" s="70"/>
      <c r="V161" s="70"/>
      <c r="W161" s="70"/>
      <c r="X161" s="70"/>
      <c r="Y161" s="70"/>
    </row>
    <row r="162">
      <c r="A162" s="82"/>
      <c r="B162" s="506"/>
      <c r="C162" s="82"/>
      <c r="D162" s="506"/>
      <c r="E162" s="82"/>
      <c r="F162" s="506"/>
      <c r="G162" s="222"/>
      <c r="H162" s="506"/>
      <c r="I162" s="199"/>
      <c r="J162" s="506"/>
      <c r="K162" s="82"/>
      <c r="L162" s="506"/>
      <c r="M162" s="70"/>
      <c r="N162" s="70"/>
      <c r="O162" s="70"/>
      <c r="P162" s="70"/>
      <c r="Q162" s="70"/>
      <c r="R162" s="70"/>
      <c r="S162" s="70"/>
      <c r="T162" s="70"/>
      <c r="U162" s="70"/>
      <c r="V162" s="70"/>
      <c r="W162" s="70"/>
      <c r="X162" s="70"/>
      <c r="Y162" s="70"/>
    </row>
    <row r="163">
      <c r="A163" s="82"/>
      <c r="B163" s="506"/>
      <c r="C163" s="82"/>
      <c r="D163" s="506"/>
      <c r="E163" s="82"/>
      <c r="F163" s="506"/>
      <c r="G163" s="222"/>
      <c r="H163" s="506"/>
      <c r="I163" s="199"/>
      <c r="J163" s="506"/>
      <c r="K163" s="82"/>
      <c r="L163" s="506"/>
      <c r="M163" s="70"/>
      <c r="N163" s="70"/>
      <c r="O163" s="70"/>
      <c r="P163" s="70"/>
      <c r="Q163" s="70"/>
      <c r="R163" s="70"/>
      <c r="S163" s="70"/>
      <c r="T163" s="70"/>
      <c r="U163" s="70"/>
      <c r="V163" s="70"/>
      <c r="W163" s="70"/>
      <c r="X163" s="70"/>
      <c r="Y163" s="70"/>
    </row>
    <row r="164">
      <c r="A164" s="82"/>
      <c r="B164" s="506"/>
      <c r="C164" s="82"/>
      <c r="D164" s="506"/>
      <c r="E164" s="82"/>
      <c r="F164" s="506"/>
      <c r="G164" s="222"/>
      <c r="H164" s="506"/>
      <c r="I164" s="199"/>
      <c r="J164" s="506"/>
      <c r="K164" s="82"/>
      <c r="L164" s="506"/>
      <c r="M164" s="70"/>
      <c r="N164" s="70"/>
      <c r="O164" s="70"/>
      <c r="P164" s="70"/>
      <c r="Q164" s="70"/>
      <c r="R164" s="70"/>
      <c r="S164" s="70"/>
      <c r="T164" s="70"/>
      <c r="U164" s="70"/>
      <c r="V164" s="70"/>
      <c r="W164" s="70"/>
      <c r="X164" s="70"/>
      <c r="Y164" s="70"/>
    </row>
    <row r="165">
      <c r="A165" s="82"/>
      <c r="B165" s="506"/>
      <c r="C165" s="82"/>
      <c r="D165" s="506"/>
      <c r="E165" s="82"/>
      <c r="F165" s="506"/>
      <c r="G165" s="222"/>
      <c r="H165" s="506"/>
      <c r="I165" s="199"/>
      <c r="J165" s="506"/>
      <c r="K165" s="82"/>
      <c r="L165" s="506"/>
      <c r="M165" s="70"/>
      <c r="N165" s="70"/>
      <c r="O165" s="70"/>
      <c r="P165" s="70"/>
      <c r="Q165" s="70"/>
      <c r="R165" s="70"/>
      <c r="S165" s="70"/>
      <c r="T165" s="70"/>
      <c r="U165" s="70"/>
      <c r="V165" s="70"/>
      <c r="W165" s="70"/>
      <c r="X165" s="70"/>
      <c r="Y165" s="70"/>
    </row>
    <row r="166">
      <c r="A166" s="82"/>
      <c r="B166" s="506"/>
      <c r="C166" s="82"/>
      <c r="D166" s="506"/>
      <c r="E166" s="82"/>
      <c r="F166" s="506"/>
      <c r="G166" s="222"/>
      <c r="H166" s="506"/>
      <c r="I166" s="199"/>
      <c r="J166" s="506"/>
      <c r="K166" s="82"/>
      <c r="L166" s="506"/>
      <c r="M166" s="70"/>
      <c r="N166" s="70"/>
      <c r="O166" s="70"/>
      <c r="P166" s="70"/>
      <c r="Q166" s="70"/>
      <c r="R166" s="70"/>
      <c r="S166" s="70"/>
      <c r="T166" s="70"/>
      <c r="U166" s="70"/>
      <c r="V166" s="70"/>
      <c r="W166" s="70"/>
      <c r="X166" s="70"/>
      <c r="Y166" s="70"/>
    </row>
    <row r="167">
      <c r="A167" s="82"/>
      <c r="B167" s="506"/>
      <c r="C167" s="82"/>
      <c r="D167" s="506"/>
      <c r="E167" s="82"/>
      <c r="F167" s="506"/>
      <c r="G167" s="222"/>
      <c r="H167" s="506"/>
      <c r="I167" s="199"/>
      <c r="J167" s="506"/>
      <c r="K167" s="82"/>
      <c r="L167" s="506"/>
      <c r="M167" s="70"/>
      <c r="N167" s="70"/>
      <c r="O167" s="70"/>
      <c r="P167" s="70"/>
      <c r="Q167" s="70"/>
      <c r="R167" s="70"/>
      <c r="S167" s="70"/>
      <c r="T167" s="70"/>
      <c r="U167" s="70"/>
      <c r="V167" s="70"/>
      <c r="W167" s="70"/>
      <c r="X167" s="70"/>
      <c r="Y167" s="70"/>
    </row>
    <row r="168">
      <c r="A168" s="82"/>
      <c r="B168" s="506"/>
      <c r="C168" s="82"/>
      <c r="D168" s="506"/>
      <c r="E168" s="82"/>
      <c r="F168" s="506"/>
      <c r="G168" s="222"/>
      <c r="H168" s="506"/>
      <c r="I168" s="199"/>
      <c r="J168" s="506"/>
      <c r="K168" s="82"/>
      <c r="L168" s="506"/>
      <c r="M168" s="70"/>
      <c r="N168" s="70"/>
      <c r="O168" s="70"/>
      <c r="P168" s="70"/>
      <c r="Q168" s="70"/>
      <c r="R168" s="70"/>
      <c r="S168" s="70"/>
      <c r="T168" s="70"/>
      <c r="U168" s="70"/>
      <c r="V168" s="70"/>
      <c r="W168" s="70"/>
      <c r="X168" s="70"/>
      <c r="Y168" s="70"/>
    </row>
    <row r="169">
      <c r="A169" s="82"/>
      <c r="B169" s="506"/>
      <c r="C169" s="82"/>
      <c r="D169" s="506"/>
      <c r="E169" s="82"/>
      <c r="F169" s="506"/>
      <c r="G169" s="222"/>
      <c r="H169" s="506"/>
      <c r="I169" s="199"/>
      <c r="J169" s="506"/>
      <c r="K169" s="82"/>
      <c r="L169" s="506"/>
      <c r="M169" s="70"/>
      <c r="N169" s="70"/>
      <c r="O169" s="70"/>
      <c r="P169" s="70"/>
      <c r="Q169" s="70"/>
      <c r="R169" s="70"/>
      <c r="S169" s="70"/>
      <c r="T169" s="70"/>
      <c r="U169" s="70"/>
      <c r="V169" s="70"/>
      <c r="W169" s="70"/>
      <c r="X169" s="70"/>
      <c r="Y169" s="70"/>
    </row>
    <row r="170">
      <c r="A170" s="82"/>
      <c r="B170" s="506"/>
      <c r="C170" s="82"/>
      <c r="D170" s="506"/>
      <c r="E170" s="82"/>
      <c r="F170" s="506"/>
      <c r="G170" s="222"/>
      <c r="H170" s="506"/>
      <c r="I170" s="199"/>
      <c r="J170" s="506"/>
      <c r="K170" s="82"/>
      <c r="L170" s="506"/>
      <c r="M170" s="70"/>
      <c r="N170" s="70"/>
      <c r="O170" s="70"/>
      <c r="P170" s="70"/>
      <c r="Q170" s="70"/>
      <c r="R170" s="70"/>
      <c r="S170" s="70"/>
      <c r="T170" s="70"/>
      <c r="U170" s="70"/>
      <c r="V170" s="70"/>
      <c r="W170" s="70"/>
      <c r="X170" s="70"/>
      <c r="Y170" s="70"/>
    </row>
    <row r="171">
      <c r="A171" s="82"/>
      <c r="B171" s="506"/>
      <c r="C171" s="82"/>
      <c r="D171" s="506"/>
      <c r="E171" s="82"/>
      <c r="F171" s="506"/>
      <c r="G171" s="222"/>
      <c r="H171" s="506"/>
      <c r="I171" s="199"/>
      <c r="J171" s="506"/>
      <c r="K171" s="82"/>
      <c r="L171" s="506"/>
      <c r="M171" s="70"/>
      <c r="N171" s="70"/>
      <c r="O171" s="70"/>
      <c r="P171" s="70"/>
      <c r="Q171" s="70"/>
      <c r="R171" s="70"/>
      <c r="S171" s="70"/>
      <c r="T171" s="70"/>
      <c r="U171" s="70"/>
      <c r="V171" s="70"/>
      <c r="W171" s="70"/>
      <c r="X171" s="70"/>
      <c r="Y171" s="70"/>
    </row>
    <row r="172">
      <c r="A172" s="82"/>
      <c r="B172" s="506"/>
      <c r="C172" s="82"/>
      <c r="D172" s="506"/>
      <c r="E172" s="82"/>
      <c r="F172" s="506"/>
      <c r="G172" s="222"/>
      <c r="H172" s="506"/>
      <c r="I172" s="199"/>
      <c r="J172" s="506"/>
      <c r="K172" s="82"/>
      <c r="L172" s="506"/>
      <c r="M172" s="70"/>
      <c r="N172" s="70"/>
      <c r="O172" s="70"/>
      <c r="P172" s="70"/>
      <c r="Q172" s="70"/>
      <c r="R172" s="70"/>
      <c r="S172" s="70"/>
      <c r="T172" s="70"/>
      <c r="U172" s="70"/>
      <c r="V172" s="70"/>
      <c r="W172" s="70"/>
      <c r="X172" s="70"/>
      <c r="Y172" s="70"/>
    </row>
    <row r="173">
      <c r="A173" s="82"/>
      <c r="B173" s="506"/>
      <c r="C173" s="82"/>
      <c r="D173" s="506"/>
      <c r="E173" s="82"/>
      <c r="F173" s="506"/>
      <c r="G173" s="222"/>
      <c r="H173" s="506"/>
      <c r="I173" s="199"/>
      <c r="J173" s="506"/>
      <c r="K173" s="82"/>
      <c r="L173" s="506"/>
      <c r="M173" s="70"/>
      <c r="N173" s="70"/>
      <c r="O173" s="70"/>
      <c r="P173" s="70"/>
      <c r="Q173" s="70"/>
      <c r="R173" s="70"/>
      <c r="S173" s="70"/>
      <c r="T173" s="70"/>
      <c r="U173" s="70"/>
      <c r="V173" s="70"/>
      <c r="W173" s="70"/>
      <c r="X173" s="70"/>
      <c r="Y173" s="70"/>
    </row>
    <row r="174">
      <c r="A174" s="82"/>
      <c r="B174" s="506"/>
      <c r="C174" s="82"/>
      <c r="D174" s="506"/>
      <c r="E174" s="82"/>
      <c r="F174" s="506"/>
      <c r="G174" s="222"/>
      <c r="H174" s="506"/>
      <c r="I174" s="199"/>
      <c r="J174" s="506"/>
      <c r="K174" s="82"/>
      <c r="L174" s="506"/>
      <c r="M174" s="70"/>
      <c r="N174" s="70"/>
      <c r="O174" s="70"/>
      <c r="P174" s="70"/>
      <c r="Q174" s="70"/>
      <c r="R174" s="70"/>
      <c r="S174" s="70"/>
      <c r="T174" s="70"/>
      <c r="U174" s="70"/>
      <c r="V174" s="70"/>
      <c r="W174" s="70"/>
      <c r="X174" s="70"/>
      <c r="Y174" s="70"/>
    </row>
    <row r="175">
      <c r="A175" s="82"/>
      <c r="B175" s="506"/>
      <c r="C175" s="82"/>
      <c r="D175" s="506"/>
      <c r="E175" s="82"/>
      <c r="F175" s="506"/>
      <c r="G175" s="222"/>
      <c r="H175" s="506"/>
      <c r="I175" s="199"/>
      <c r="J175" s="506"/>
      <c r="K175" s="82"/>
      <c r="L175" s="506"/>
      <c r="M175" s="70"/>
      <c r="N175" s="70"/>
      <c r="O175" s="70"/>
      <c r="P175" s="70"/>
      <c r="Q175" s="70"/>
      <c r="R175" s="70"/>
      <c r="S175" s="70"/>
      <c r="T175" s="70"/>
      <c r="U175" s="70"/>
      <c r="V175" s="70"/>
      <c r="W175" s="70"/>
      <c r="X175" s="70"/>
      <c r="Y175" s="70"/>
    </row>
    <row r="176">
      <c r="A176" s="82"/>
      <c r="B176" s="506"/>
      <c r="C176" s="82"/>
      <c r="D176" s="506"/>
      <c r="E176" s="82"/>
      <c r="F176" s="506"/>
      <c r="G176" s="222"/>
      <c r="H176" s="506"/>
      <c r="I176" s="199"/>
      <c r="J176" s="506"/>
      <c r="K176" s="82"/>
      <c r="L176" s="506"/>
      <c r="M176" s="70"/>
      <c r="N176" s="70"/>
      <c r="O176" s="70"/>
      <c r="P176" s="70"/>
      <c r="Q176" s="70"/>
      <c r="R176" s="70"/>
      <c r="S176" s="70"/>
      <c r="T176" s="70"/>
      <c r="U176" s="70"/>
      <c r="V176" s="70"/>
      <c r="W176" s="70"/>
      <c r="X176" s="70"/>
      <c r="Y176" s="70"/>
    </row>
    <row r="177">
      <c r="A177" s="82"/>
      <c r="B177" s="506"/>
      <c r="C177" s="82"/>
      <c r="D177" s="506"/>
      <c r="E177" s="82"/>
      <c r="F177" s="506"/>
      <c r="G177" s="222"/>
      <c r="H177" s="506"/>
      <c r="I177" s="199"/>
      <c r="J177" s="506"/>
      <c r="K177" s="82"/>
      <c r="L177" s="506"/>
      <c r="M177" s="70"/>
      <c r="N177" s="70"/>
      <c r="O177" s="70"/>
      <c r="P177" s="70"/>
      <c r="Q177" s="70"/>
      <c r="R177" s="70"/>
      <c r="S177" s="70"/>
      <c r="T177" s="70"/>
      <c r="U177" s="70"/>
      <c r="V177" s="70"/>
      <c r="W177" s="70"/>
      <c r="X177" s="70"/>
      <c r="Y177" s="70"/>
    </row>
    <row r="178">
      <c r="A178" s="82"/>
      <c r="B178" s="506"/>
      <c r="C178" s="82"/>
      <c r="D178" s="506"/>
      <c r="E178" s="82"/>
      <c r="F178" s="506"/>
      <c r="G178" s="222"/>
      <c r="H178" s="506"/>
      <c r="I178" s="199"/>
      <c r="J178" s="506"/>
      <c r="K178" s="82"/>
      <c r="L178" s="506"/>
      <c r="M178" s="70"/>
      <c r="N178" s="70"/>
      <c r="O178" s="70"/>
      <c r="P178" s="70"/>
      <c r="Q178" s="70"/>
      <c r="R178" s="70"/>
      <c r="S178" s="70"/>
      <c r="T178" s="70"/>
      <c r="U178" s="70"/>
      <c r="V178" s="70"/>
      <c r="W178" s="70"/>
      <c r="X178" s="70"/>
      <c r="Y178" s="70"/>
    </row>
    <row r="179">
      <c r="A179" s="82"/>
      <c r="B179" s="506"/>
      <c r="C179" s="82"/>
      <c r="D179" s="506"/>
      <c r="E179" s="82"/>
      <c r="F179" s="506"/>
      <c r="G179" s="222"/>
      <c r="H179" s="506"/>
      <c r="I179" s="199"/>
      <c r="J179" s="506"/>
      <c r="K179" s="82"/>
      <c r="L179" s="506"/>
      <c r="M179" s="70"/>
      <c r="N179" s="70"/>
      <c r="O179" s="70"/>
      <c r="P179" s="70"/>
      <c r="Q179" s="70"/>
      <c r="R179" s="70"/>
      <c r="S179" s="70"/>
      <c r="T179" s="70"/>
      <c r="U179" s="70"/>
      <c r="V179" s="70"/>
      <c r="W179" s="70"/>
      <c r="X179" s="70"/>
      <c r="Y179" s="70"/>
    </row>
    <row r="180">
      <c r="A180" s="82"/>
      <c r="B180" s="506"/>
      <c r="C180" s="82"/>
      <c r="D180" s="506"/>
      <c r="E180" s="82"/>
      <c r="F180" s="506"/>
      <c r="G180" s="222"/>
      <c r="H180" s="506"/>
      <c r="I180" s="199"/>
      <c r="J180" s="506"/>
      <c r="K180" s="82"/>
      <c r="L180" s="506"/>
      <c r="M180" s="70"/>
      <c r="N180" s="70"/>
      <c r="O180" s="70"/>
      <c r="P180" s="70"/>
      <c r="Q180" s="70"/>
      <c r="R180" s="70"/>
      <c r="S180" s="70"/>
      <c r="T180" s="70"/>
      <c r="U180" s="70"/>
      <c r="V180" s="70"/>
      <c r="W180" s="70"/>
      <c r="X180" s="70"/>
      <c r="Y180" s="70"/>
    </row>
    <row r="181">
      <c r="A181" s="82"/>
      <c r="B181" s="506"/>
      <c r="C181" s="82"/>
      <c r="D181" s="506"/>
      <c r="E181" s="82"/>
      <c r="F181" s="506"/>
      <c r="G181" s="222"/>
      <c r="H181" s="506"/>
      <c r="I181" s="199"/>
      <c r="J181" s="506"/>
      <c r="K181" s="82"/>
      <c r="L181" s="506"/>
      <c r="M181" s="70"/>
      <c r="N181" s="70"/>
      <c r="O181" s="70"/>
      <c r="P181" s="70"/>
      <c r="Q181" s="70"/>
      <c r="R181" s="70"/>
      <c r="S181" s="70"/>
      <c r="T181" s="70"/>
      <c r="U181" s="70"/>
      <c r="V181" s="70"/>
      <c r="W181" s="70"/>
      <c r="X181" s="70"/>
      <c r="Y181" s="70"/>
    </row>
    <row r="182">
      <c r="A182" s="82"/>
      <c r="B182" s="506"/>
      <c r="C182" s="82"/>
      <c r="D182" s="506"/>
      <c r="E182" s="82"/>
      <c r="F182" s="506"/>
      <c r="G182" s="222"/>
      <c r="H182" s="506"/>
      <c r="I182" s="199"/>
      <c r="J182" s="506"/>
      <c r="K182" s="82"/>
      <c r="L182" s="506"/>
      <c r="M182" s="70"/>
      <c r="N182" s="70"/>
      <c r="O182" s="70"/>
      <c r="P182" s="70"/>
      <c r="Q182" s="70"/>
      <c r="R182" s="70"/>
      <c r="S182" s="70"/>
      <c r="T182" s="70"/>
      <c r="U182" s="70"/>
      <c r="V182" s="70"/>
      <c r="W182" s="70"/>
      <c r="X182" s="70"/>
      <c r="Y182" s="70"/>
    </row>
    <row r="183">
      <c r="A183" s="82"/>
      <c r="B183" s="506"/>
      <c r="C183" s="82"/>
      <c r="D183" s="506"/>
      <c r="E183" s="82"/>
      <c r="F183" s="506"/>
      <c r="G183" s="222"/>
      <c r="H183" s="506"/>
      <c r="I183" s="199"/>
      <c r="J183" s="506"/>
      <c r="K183" s="82"/>
      <c r="L183" s="506"/>
      <c r="M183" s="70"/>
      <c r="N183" s="70"/>
      <c r="O183" s="70"/>
      <c r="P183" s="70"/>
      <c r="Q183" s="70"/>
      <c r="R183" s="70"/>
      <c r="S183" s="70"/>
      <c r="T183" s="70"/>
      <c r="U183" s="70"/>
      <c r="V183" s="70"/>
      <c r="W183" s="70"/>
      <c r="X183" s="70"/>
      <c r="Y183" s="70"/>
    </row>
    <row r="184">
      <c r="A184" s="82"/>
      <c r="B184" s="506"/>
      <c r="C184" s="82"/>
      <c r="D184" s="506"/>
      <c r="E184" s="82"/>
      <c r="F184" s="506"/>
      <c r="G184" s="222"/>
      <c r="H184" s="506"/>
      <c r="I184" s="199"/>
      <c r="J184" s="506"/>
      <c r="K184" s="82"/>
      <c r="L184" s="506"/>
      <c r="M184" s="70"/>
      <c r="N184" s="70"/>
      <c r="O184" s="70"/>
      <c r="P184" s="70"/>
      <c r="Q184" s="70"/>
      <c r="R184" s="70"/>
      <c r="S184" s="70"/>
      <c r="T184" s="70"/>
      <c r="U184" s="70"/>
      <c r="V184" s="70"/>
      <c r="W184" s="70"/>
      <c r="X184" s="70"/>
      <c r="Y184" s="70"/>
    </row>
    <row r="185">
      <c r="A185" s="82"/>
      <c r="B185" s="506"/>
      <c r="C185" s="82"/>
      <c r="D185" s="506"/>
      <c r="E185" s="82"/>
      <c r="F185" s="506"/>
      <c r="G185" s="222"/>
      <c r="H185" s="506"/>
      <c r="I185" s="199"/>
      <c r="J185" s="506"/>
      <c r="K185" s="82"/>
      <c r="L185" s="506"/>
      <c r="M185" s="70"/>
      <c r="N185" s="70"/>
      <c r="O185" s="70"/>
      <c r="P185" s="70"/>
      <c r="Q185" s="70"/>
      <c r="R185" s="70"/>
      <c r="S185" s="70"/>
      <c r="T185" s="70"/>
      <c r="U185" s="70"/>
      <c r="V185" s="70"/>
      <c r="W185" s="70"/>
      <c r="X185" s="70"/>
      <c r="Y185" s="70"/>
    </row>
    <row r="186">
      <c r="A186" s="82"/>
      <c r="B186" s="506"/>
      <c r="C186" s="82"/>
      <c r="D186" s="506"/>
      <c r="E186" s="82"/>
      <c r="F186" s="506"/>
      <c r="G186" s="222"/>
      <c r="H186" s="506"/>
      <c r="I186" s="199"/>
      <c r="J186" s="506"/>
      <c r="K186" s="82"/>
      <c r="L186" s="506"/>
      <c r="M186" s="70"/>
      <c r="N186" s="70"/>
      <c r="O186" s="70"/>
      <c r="P186" s="70"/>
      <c r="Q186" s="70"/>
      <c r="R186" s="70"/>
      <c r="S186" s="70"/>
      <c r="T186" s="70"/>
      <c r="U186" s="70"/>
      <c r="V186" s="70"/>
      <c r="W186" s="70"/>
      <c r="X186" s="70"/>
      <c r="Y186" s="70"/>
    </row>
    <row r="187">
      <c r="A187" s="82"/>
      <c r="B187" s="506"/>
      <c r="C187" s="82"/>
      <c r="D187" s="506"/>
      <c r="E187" s="82"/>
      <c r="F187" s="506"/>
      <c r="G187" s="222"/>
      <c r="H187" s="506"/>
      <c r="I187" s="199"/>
      <c r="J187" s="506"/>
      <c r="K187" s="82"/>
      <c r="L187" s="506"/>
      <c r="M187" s="70"/>
      <c r="N187" s="70"/>
      <c r="O187" s="70"/>
      <c r="P187" s="70"/>
      <c r="Q187" s="70"/>
      <c r="R187" s="70"/>
      <c r="S187" s="70"/>
      <c r="T187" s="70"/>
      <c r="U187" s="70"/>
      <c r="V187" s="70"/>
      <c r="W187" s="70"/>
      <c r="X187" s="70"/>
      <c r="Y187" s="70"/>
    </row>
    <row r="188">
      <c r="A188" s="82"/>
      <c r="B188" s="506"/>
      <c r="C188" s="82"/>
      <c r="D188" s="506"/>
      <c r="E188" s="82"/>
      <c r="F188" s="506"/>
      <c r="G188" s="222"/>
      <c r="H188" s="506"/>
      <c r="I188" s="199"/>
      <c r="J188" s="506"/>
      <c r="K188" s="82"/>
      <c r="L188" s="506"/>
      <c r="M188" s="70"/>
      <c r="N188" s="70"/>
      <c r="O188" s="70"/>
      <c r="P188" s="70"/>
      <c r="Q188" s="70"/>
      <c r="R188" s="70"/>
      <c r="S188" s="70"/>
      <c r="T188" s="70"/>
      <c r="U188" s="70"/>
      <c r="V188" s="70"/>
      <c r="W188" s="70"/>
      <c r="X188" s="70"/>
      <c r="Y188" s="70"/>
    </row>
    <row r="189">
      <c r="A189" s="82"/>
      <c r="B189" s="506"/>
      <c r="C189" s="82"/>
      <c r="D189" s="506"/>
      <c r="E189" s="82"/>
      <c r="F189" s="506"/>
      <c r="G189" s="222"/>
      <c r="H189" s="506"/>
      <c r="I189" s="199"/>
      <c r="J189" s="506"/>
      <c r="K189" s="82"/>
      <c r="L189" s="506"/>
      <c r="M189" s="70"/>
      <c r="N189" s="70"/>
      <c r="O189" s="70"/>
      <c r="P189" s="70"/>
      <c r="Q189" s="70"/>
      <c r="R189" s="70"/>
      <c r="S189" s="70"/>
      <c r="T189" s="70"/>
      <c r="U189" s="70"/>
      <c r="V189" s="70"/>
      <c r="W189" s="70"/>
      <c r="X189" s="70"/>
      <c r="Y189" s="70"/>
    </row>
    <row r="190">
      <c r="A190" s="82"/>
      <c r="B190" s="506"/>
      <c r="C190" s="82"/>
      <c r="D190" s="506"/>
      <c r="E190" s="82"/>
      <c r="F190" s="506"/>
      <c r="G190" s="222"/>
      <c r="H190" s="506"/>
      <c r="I190" s="199"/>
      <c r="J190" s="506"/>
      <c r="K190" s="82"/>
      <c r="L190" s="506"/>
      <c r="M190" s="70"/>
      <c r="N190" s="70"/>
      <c r="O190" s="70"/>
      <c r="P190" s="70"/>
      <c r="Q190" s="70"/>
      <c r="R190" s="70"/>
      <c r="S190" s="70"/>
      <c r="T190" s="70"/>
      <c r="U190" s="70"/>
      <c r="V190" s="70"/>
      <c r="W190" s="70"/>
      <c r="X190" s="70"/>
      <c r="Y190" s="70"/>
    </row>
    <row r="191">
      <c r="A191" s="82"/>
      <c r="B191" s="506"/>
      <c r="C191" s="82"/>
      <c r="D191" s="506"/>
      <c r="E191" s="82"/>
      <c r="F191" s="506"/>
      <c r="G191" s="222"/>
      <c r="H191" s="506"/>
      <c r="I191" s="199"/>
      <c r="J191" s="506"/>
      <c r="K191" s="82"/>
      <c r="L191" s="506"/>
      <c r="M191" s="70"/>
      <c r="N191" s="70"/>
      <c r="O191" s="70"/>
      <c r="P191" s="70"/>
      <c r="Q191" s="70"/>
      <c r="R191" s="70"/>
      <c r="S191" s="70"/>
      <c r="T191" s="70"/>
      <c r="U191" s="70"/>
      <c r="V191" s="70"/>
      <c r="W191" s="70"/>
      <c r="X191" s="70"/>
      <c r="Y191" s="70"/>
    </row>
    <row r="192">
      <c r="A192" s="82"/>
      <c r="B192" s="506"/>
      <c r="C192" s="82"/>
      <c r="D192" s="506"/>
      <c r="E192" s="82"/>
      <c r="F192" s="506"/>
      <c r="G192" s="222"/>
      <c r="H192" s="506"/>
      <c r="I192" s="199"/>
      <c r="J192" s="506"/>
      <c r="K192" s="82"/>
      <c r="L192" s="506"/>
      <c r="M192" s="70"/>
      <c r="N192" s="70"/>
      <c r="O192" s="70"/>
      <c r="P192" s="70"/>
      <c r="Q192" s="70"/>
      <c r="R192" s="70"/>
      <c r="S192" s="70"/>
      <c r="T192" s="70"/>
      <c r="U192" s="70"/>
      <c r="V192" s="70"/>
      <c r="W192" s="70"/>
      <c r="X192" s="70"/>
      <c r="Y192" s="70"/>
    </row>
    <row r="193">
      <c r="A193" s="82"/>
      <c r="B193" s="506"/>
      <c r="C193" s="82"/>
      <c r="D193" s="506"/>
      <c r="E193" s="82"/>
      <c r="F193" s="506"/>
      <c r="G193" s="222"/>
      <c r="H193" s="506"/>
      <c r="I193" s="199"/>
      <c r="J193" s="506"/>
      <c r="K193" s="82"/>
      <c r="L193" s="506"/>
      <c r="M193" s="70"/>
      <c r="N193" s="70"/>
      <c r="O193" s="70"/>
      <c r="P193" s="70"/>
      <c r="Q193" s="70"/>
      <c r="R193" s="70"/>
      <c r="S193" s="70"/>
      <c r="T193" s="70"/>
      <c r="U193" s="70"/>
      <c r="V193" s="70"/>
      <c r="W193" s="70"/>
      <c r="X193" s="70"/>
      <c r="Y193" s="70"/>
    </row>
    <row r="194">
      <c r="A194" s="82"/>
      <c r="B194" s="506"/>
      <c r="C194" s="82"/>
      <c r="D194" s="506"/>
      <c r="E194" s="82"/>
      <c r="F194" s="506"/>
      <c r="G194" s="222"/>
      <c r="H194" s="506"/>
      <c r="I194" s="199"/>
      <c r="J194" s="506"/>
      <c r="K194" s="82"/>
      <c r="L194" s="506"/>
      <c r="M194" s="70"/>
      <c r="N194" s="70"/>
      <c r="O194" s="70"/>
      <c r="P194" s="70"/>
      <c r="Q194" s="70"/>
      <c r="R194" s="70"/>
      <c r="S194" s="70"/>
      <c r="T194" s="70"/>
      <c r="U194" s="70"/>
      <c r="V194" s="70"/>
      <c r="W194" s="70"/>
      <c r="X194" s="70"/>
      <c r="Y194" s="70"/>
    </row>
    <row r="195">
      <c r="A195" s="82"/>
      <c r="B195" s="506"/>
      <c r="C195" s="82"/>
      <c r="D195" s="506"/>
      <c r="E195" s="82"/>
      <c r="F195" s="506"/>
      <c r="G195" s="222"/>
      <c r="H195" s="506"/>
      <c r="I195" s="199"/>
      <c r="J195" s="506"/>
      <c r="K195" s="82"/>
      <c r="L195" s="506"/>
      <c r="M195" s="70"/>
      <c r="N195" s="70"/>
      <c r="O195" s="70"/>
      <c r="P195" s="70"/>
      <c r="Q195" s="70"/>
      <c r="R195" s="70"/>
      <c r="S195" s="70"/>
      <c r="T195" s="70"/>
      <c r="U195" s="70"/>
      <c r="V195" s="70"/>
      <c r="W195" s="70"/>
      <c r="X195" s="70"/>
      <c r="Y195" s="70"/>
    </row>
    <row r="196">
      <c r="A196" s="82"/>
      <c r="B196" s="506"/>
      <c r="C196" s="82"/>
      <c r="D196" s="506"/>
      <c r="E196" s="82"/>
      <c r="F196" s="506"/>
      <c r="G196" s="222"/>
      <c r="H196" s="506"/>
      <c r="I196" s="199"/>
      <c r="J196" s="506"/>
      <c r="K196" s="82"/>
      <c r="L196" s="506"/>
      <c r="M196" s="70"/>
      <c r="N196" s="70"/>
      <c r="O196" s="70"/>
      <c r="P196" s="70"/>
      <c r="Q196" s="70"/>
      <c r="R196" s="70"/>
      <c r="S196" s="70"/>
      <c r="T196" s="70"/>
      <c r="U196" s="70"/>
      <c r="V196" s="70"/>
      <c r="W196" s="70"/>
      <c r="X196" s="70"/>
      <c r="Y196" s="70"/>
    </row>
    <row r="197">
      <c r="A197" s="82"/>
      <c r="B197" s="506"/>
      <c r="C197" s="82"/>
      <c r="D197" s="506"/>
      <c r="E197" s="82"/>
      <c r="F197" s="506"/>
      <c r="G197" s="222"/>
      <c r="H197" s="506"/>
      <c r="I197" s="199"/>
      <c r="J197" s="506"/>
      <c r="K197" s="82"/>
      <c r="L197" s="506"/>
      <c r="M197" s="70"/>
      <c r="N197" s="70"/>
      <c r="O197" s="70"/>
      <c r="P197" s="70"/>
      <c r="Q197" s="70"/>
      <c r="R197" s="70"/>
      <c r="S197" s="70"/>
      <c r="T197" s="70"/>
      <c r="U197" s="70"/>
      <c r="V197" s="70"/>
      <c r="W197" s="70"/>
      <c r="X197" s="70"/>
      <c r="Y197" s="70"/>
    </row>
    <row r="198">
      <c r="A198" s="82"/>
      <c r="B198" s="506"/>
      <c r="C198" s="82"/>
      <c r="D198" s="506"/>
      <c r="E198" s="82"/>
      <c r="F198" s="506"/>
      <c r="G198" s="222"/>
      <c r="H198" s="506"/>
      <c r="I198" s="199"/>
      <c r="J198" s="506"/>
      <c r="K198" s="82"/>
      <c r="L198" s="506"/>
      <c r="M198" s="70"/>
      <c r="N198" s="70"/>
      <c r="O198" s="70"/>
      <c r="P198" s="70"/>
      <c r="Q198" s="70"/>
      <c r="R198" s="70"/>
      <c r="S198" s="70"/>
      <c r="T198" s="70"/>
      <c r="U198" s="70"/>
      <c r="V198" s="70"/>
      <c r="W198" s="70"/>
      <c r="X198" s="70"/>
      <c r="Y198" s="70"/>
    </row>
    <row r="199">
      <c r="A199" s="82"/>
      <c r="B199" s="506"/>
      <c r="C199" s="82"/>
      <c r="D199" s="506"/>
      <c r="E199" s="82"/>
      <c r="F199" s="506"/>
      <c r="G199" s="222"/>
      <c r="H199" s="506"/>
      <c r="I199" s="199"/>
      <c r="J199" s="506"/>
      <c r="K199" s="82"/>
      <c r="L199" s="506"/>
      <c r="M199" s="70"/>
      <c r="N199" s="70"/>
      <c r="O199" s="70"/>
      <c r="P199" s="70"/>
      <c r="Q199" s="70"/>
      <c r="R199" s="70"/>
      <c r="S199" s="70"/>
      <c r="T199" s="70"/>
      <c r="U199" s="70"/>
      <c r="V199" s="70"/>
      <c r="W199" s="70"/>
      <c r="X199" s="70"/>
      <c r="Y199" s="70"/>
    </row>
    <row r="200">
      <c r="A200" s="82"/>
      <c r="B200" s="506"/>
      <c r="C200" s="82"/>
      <c r="D200" s="506"/>
      <c r="E200" s="82"/>
      <c r="F200" s="506"/>
      <c r="G200" s="222"/>
      <c r="H200" s="506"/>
      <c r="I200" s="199"/>
      <c r="J200" s="506"/>
      <c r="K200" s="82"/>
      <c r="L200" s="506"/>
      <c r="M200" s="70"/>
      <c r="N200" s="70"/>
      <c r="O200" s="70"/>
      <c r="P200" s="70"/>
      <c r="Q200" s="70"/>
      <c r="R200" s="70"/>
      <c r="S200" s="70"/>
      <c r="T200" s="70"/>
      <c r="U200" s="70"/>
      <c r="V200" s="70"/>
      <c r="W200" s="70"/>
      <c r="X200" s="70"/>
      <c r="Y200" s="70"/>
    </row>
    <row r="201">
      <c r="A201" s="82"/>
      <c r="B201" s="506"/>
      <c r="C201" s="82"/>
      <c r="D201" s="506"/>
      <c r="E201" s="82"/>
      <c r="F201" s="506"/>
      <c r="G201" s="222"/>
      <c r="H201" s="506"/>
      <c r="I201" s="199"/>
      <c r="J201" s="506"/>
      <c r="K201" s="82"/>
      <c r="L201" s="506"/>
      <c r="M201" s="70"/>
      <c r="N201" s="70"/>
      <c r="O201" s="70"/>
      <c r="P201" s="70"/>
      <c r="Q201" s="70"/>
      <c r="R201" s="70"/>
      <c r="S201" s="70"/>
      <c r="T201" s="70"/>
      <c r="U201" s="70"/>
      <c r="V201" s="70"/>
      <c r="W201" s="70"/>
      <c r="X201" s="70"/>
      <c r="Y201" s="70"/>
    </row>
    <row r="202">
      <c r="A202" s="82"/>
      <c r="B202" s="506"/>
      <c r="C202" s="82"/>
      <c r="D202" s="506"/>
      <c r="E202" s="82"/>
      <c r="F202" s="506"/>
      <c r="G202" s="222"/>
      <c r="H202" s="506"/>
      <c r="I202" s="199"/>
      <c r="J202" s="506"/>
      <c r="K202" s="82"/>
      <c r="L202" s="506"/>
      <c r="M202" s="70"/>
      <c r="N202" s="70"/>
      <c r="O202" s="70"/>
      <c r="P202" s="70"/>
      <c r="Q202" s="70"/>
      <c r="R202" s="70"/>
      <c r="S202" s="70"/>
      <c r="T202" s="70"/>
      <c r="U202" s="70"/>
      <c r="V202" s="70"/>
      <c r="W202" s="70"/>
      <c r="X202" s="70"/>
      <c r="Y202" s="70"/>
    </row>
    <row r="203">
      <c r="A203" s="82"/>
      <c r="B203" s="506"/>
      <c r="C203" s="82"/>
      <c r="D203" s="506"/>
      <c r="E203" s="82"/>
      <c r="F203" s="506"/>
      <c r="G203" s="222"/>
      <c r="H203" s="506"/>
      <c r="I203" s="199"/>
      <c r="J203" s="506"/>
      <c r="K203" s="82"/>
      <c r="L203" s="506"/>
      <c r="M203" s="70"/>
      <c r="N203" s="70"/>
      <c r="O203" s="70"/>
      <c r="P203" s="70"/>
      <c r="Q203" s="70"/>
      <c r="R203" s="70"/>
      <c r="S203" s="70"/>
      <c r="T203" s="70"/>
      <c r="U203" s="70"/>
      <c r="V203" s="70"/>
      <c r="W203" s="70"/>
      <c r="X203" s="70"/>
      <c r="Y203" s="70"/>
    </row>
    <row r="204">
      <c r="A204" s="82"/>
      <c r="B204" s="506"/>
      <c r="C204" s="82"/>
      <c r="D204" s="506"/>
      <c r="E204" s="82"/>
      <c r="F204" s="506"/>
      <c r="G204" s="222"/>
      <c r="H204" s="506"/>
      <c r="I204" s="199"/>
      <c r="J204" s="506"/>
      <c r="K204" s="82"/>
      <c r="L204" s="506"/>
      <c r="M204" s="70"/>
      <c r="N204" s="70"/>
      <c r="O204" s="70"/>
      <c r="P204" s="70"/>
      <c r="Q204" s="70"/>
      <c r="R204" s="70"/>
      <c r="S204" s="70"/>
      <c r="T204" s="70"/>
      <c r="U204" s="70"/>
      <c r="V204" s="70"/>
      <c r="W204" s="70"/>
      <c r="X204" s="70"/>
      <c r="Y204" s="70"/>
    </row>
    <row r="205">
      <c r="A205" s="82"/>
      <c r="B205" s="506"/>
      <c r="C205" s="82"/>
      <c r="D205" s="506"/>
      <c r="E205" s="82"/>
      <c r="F205" s="506"/>
      <c r="G205" s="222"/>
      <c r="H205" s="506"/>
      <c r="I205" s="199"/>
      <c r="J205" s="506"/>
      <c r="K205" s="82"/>
      <c r="L205" s="506"/>
      <c r="M205" s="70"/>
      <c r="N205" s="70"/>
      <c r="O205" s="70"/>
      <c r="P205" s="70"/>
      <c r="Q205" s="70"/>
      <c r="R205" s="70"/>
      <c r="S205" s="70"/>
      <c r="T205" s="70"/>
      <c r="U205" s="70"/>
      <c r="V205" s="70"/>
      <c r="W205" s="70"/>
      <c r="X205" s="70"/>
      <c r="Y205" s="70"/>
    </row>
    <row r="206">
      <c r="A206" s="82"/>
      <c r="B206" s="506"/>
      <c r="C206" s="82"/>
      <c r="D206" s="506"/>
      <c r="E206" s="82"/>
      <c r="F206" s="506"/>
      <c r="G206" s="222"/>
      <c r="H206" s="506"/>
      <c r="I206" s="199"/>
      <c r="J206" s="506"/>
      <c r="K206" s="82"/>
      <c r="L206" s="506"/>
      <c r="M206" s="70"/>
      <c r="N206" s="70"/>
      <c r="O206" s="70"/>
      <c r="P206" s="70"/>
      <c r="Q206" s="70"/>
      <c r="R206" s="70"/>
      <c r="S206" s="70"/>
      <c r="T206" s="70"/>
      <c r="U206" s="70"/>
      <c r="V206" s="70"/>
      <c r="W206" s="70"/>
      <c r="X206" s="70"/>
      <c r="Y206" s="70"/>
    </row>
    <row r="207">
      <c r="A207" s="82"/>
      <c r="B207" s="506"/>
      <c r="C207" s="82"/>
      <c r="D207" s="506"/>
      <c r="E207" s="82"/>
      <c r="F207" s="506"/>
      <c r="G207" s="222"/>
      <c r="H207" s="506"/>
      <c r="I207" s="199"/>
      <c r="J207" s="506"/>
      <c r="K207" s="82"/>
      <c r="L207" s="506"/>
      <c r="M207" s="70"/>
      <c r="N207" s="70"/>
      <c r="O207" s="70"/>
      <c r="P207" s="70"/>
      <c r="Q207" s="70"/>
      <c r="R207" s="70"/>
      <c r="S207" s="70"/>
      <c r="T207" s="70"/>
      <c r="U207" s="70"/>
      <c r="V207" s="70"/>
      <c r="W207" s="70"/>
      <c r="X207" s="70"/>
      <c r="Y207" s="70"/>
    </row>
    <row r="208">
      <c r="A208" s="82"/>
      <c r="B208" s="506"/>
      <c r="C208" s="82"/>
      <c r="D208" s="506"/>
      <c r="E208" s="82"/>
      <c r="F208" s="506"/>
      <c r="G208" s="222"/>
      <c r="H208" s="506"/>
      <c r="I208" s="199"/>
      <c r="J208" s="506"/>
      <c r="K208" s="82"/>
      <c r="L208" s="506"/>
      <c r="M208" s="70"/>
      <c r="N208" s="70"/>
      <c r="O208" s="70"/>
      <c r="P208" s="70"/>
      <c r="Q208" s="70"/>
      <c r="R208" s="70"/>
      <c r="S208" s="70"/>
      <c r="T208" s="70"/>
      <c r="U208" s="70"/>
      <c r="V208" s="70"/>
      <c r="W208" s="70"/>
      <c r="X208" s="70"/>
      <c r="Y208" s="70"/>
    </row>
    <row r="209">
      <c r="A209" s="82"/>
      <c r="B209" s="506"/>
      <c r="C209" s="82"/>
      <c r="D209" s="506"/>
      <c r="E209" s="82"/>
      <c r="F209" s="506"/>
      <c r="G209" s="222"/>
      <c r="H209" s="506"/>
      <c r="I209" s="199"/>
      <c r="J209" s="506"/>
      <c r="K209" s="82"/>
      <c r="L209" s="506"/>
      <c r="M209" s="70"/>
      <c r="N209" s="70"/>
      <c r="O209" s="70"/>
      <c r="P209" s="70"/>
      <c r="Q209" s="70"/>
      <c r="R209" s="70"/>
      <c r="S209" s="70"/>
      <c r="T209" s="70"/>
      <c r="U209" s="70"/>
      <c r="V209" s="70"/>
      <c r="W209" s="70"/>
      <c r="X209" s="70"/>
      <c r="Y209" s="70"/>
    </row>
    <row r="210">
      <c r="A210" s="82"/>
      <c r="B210" s="506"/>
      <c r="C210" s="82"/>
      <c r="D210" s="506"/>
      <c r="E210" s="82"/>
      <c r="F210" s="506"/>
      <c r="G210" s="222"/>
      <c r="H210" s="506"/>
      <c r="I210" s="199"/>
      <c r="J210" s="506"/>
      <c r="K210" s="82"/>
      <c r="L210" s="506"/>
      <c r="M210" s="70"/>
      <c r="N210" s="70"/>
      <c r="O210" s="70"/>
      <c r="P210" s="70"/>
      <c r="Q210" s="70"/>
      <c r="R210" s="70"/>
      <c r="S210" s="70"/>
      <c r="T210" s="70"/>
      <c r="U210" s="70"/>
      <c r="V210" s="70"/>
      <c r="W210" s="70"/>
      <c r="X210" s="70"/>
      <c r="Y210" s="70"/>
    </row>
    <row r="211">
      <c r="A211" s="82"/>
      <c r="B211" s="506"/>
      <c r="C211" s="82"/>
      <c r="D211" s="506"/>
      <c r="E211" s="82"/>
      <c r="F211" s="506"/>
      <c r="G211" s="222"/>
      <c r="H211" s="506"/>
      <c r="I211" s="199"/>
      <c r="J211" s="506"/>
      <c r="K211" s="82"/>
      <c r="L211" s="506"/>
      <c r="M211" s="70"/>
      <c r="N211" s="70"/>
      <c r="O211" s="70"/>
      <c r="P211" s="70"/>
      <c r="Q211" s="70"/>
      <c r="R211" s="70"/>
      <c r="S211" s="70"/>
      <c r="T211" s="70"/>
      <c r="U211" s="70"/>
      <c r="V211" s="70"/>
      <c r="W211" s="70"/>
      <c r="X211" s="70"/>
      <c r="Y211" s="70"/>
    </row>
    <row r="212">
      <c r="A212" s="82"/>
      <c r="B212" s="506"/>
      <c r="C212" s="82"/>
      <c r="D212" s="506"/>
      <c r="E212" s="82"/>
      <c r="F212" s="506"/>
      <c r="G212" s="222"/>
      <c r="H212" s="506"/>
      <c r="I212" s="199"/>
      <c r="J212" s="506"/>
      <c r="K212" s="82"/>
      <c r="L212" s="506"/>
      <c r="M212" s="70"/>
      <c r="N212" s="70"/>
      <c r="O212" s="70"/>
      <c r="P212" s="70"/>
      <c r="Q212" s="70"/>
      <c r="R212" s="70"/>
      <c r="S212" s="70"/>
      <c r="T212" s="70"/>
      <c r="U212" s="70"/>
      <c r="V212" s="70"/>
      <c r="W212" s="70"/>
      <c r="X212" s="70"/>
      <c r="Y212" s="70"/>
    </row>
    <row r="213">
      <c r="A213" s="82"/>
      <c r="B213" s="506"/>
      <c r="C213" s="82"/>
      <c r="D213" s="506"/>
      <c r="E213" s="82"/>
      <c r="F213" s="506"/>
      <c r="G213" s="222"/>
      <c r="H213" s="506"/>
      <c r="I213" s="199"/>
      <c r="J213" s="506"/>
      <c r="K213" s="82"/>
      <c r="L213" s="506"/>
      <c r="M213" s="70"/>
      <c r="N213" s="70"/>
      <c r="O213" s="70"/>
      <c r="P213" s="70"/>
      <c r="Q213" s="70"/>
      <c r="R213" s="70"/>
      <c r="S213" s="70"/>
      <c r="T213" s="70"/>
      <c r="U213" s="70"/>
      <c r="V213" s="70"/>
      <c r="W213" s="70"/>
      <c r="X213" s="70"/>
      <c r="Y213" s="70"/>
    </row>
    <row r="214">
      <c r="A214" s="82"/>
      <c r="B214" s="506"/>
      <c r="C214" s="82"/>
      <c r="D214" s="506"/>
      <c r="E214" s="82"/>
      <c r="F214" s="506"/>
      <c r="G214" s="222"/>
      <c r="H214" s="506"/>
      <c r="I214" s="199"/>
      <c r="J214" s="506"/>
      <c r="K214" s="82"/>
      <c r="L214" s="506"/>
      <c r="M214" s="70"/>
      <c r="N214" s="70"/>
      <c r="O214" s="70"/>
      <c r="P214" s="70"/>
      <c r="Q214" s="70"/>
      <c r="R214" s="70"/>
      <c r="S214" s="70"/>
      <c r="T214" s="70"/>
      <c r="U214" s="70"/>
      <c r="V214" s="70"/>
      <c r="W214" s="70"/>
      <c r="X214" s="70"/>
      <c r="Y214" s="70"/>
    </row>
    <row r="215">
      <c r="A215" s="82"/>
      <c r="B215" s="506"/>
      <c r="C215" s="82"/>
      <c r="D215" s="506"/>
      <c r="E215" s="82"/>
      <c r="F215" s="506"/>
      <c r="G215" s="222"/>
      <c r="H215" s="506"/>
      <c r="I215" s="199"/>
      <c r="J215" s="506"/>
      <c r="K215" s="82"/>
      <c r="L215" s="506"/>
      <c r="M215" s="70"/>
      <c r="N215" s="70"/>
      <c r="O215" s="70"/>
      <c r="P215" s="70"/>
      <c r="Q215" s="70"/>
      <c r="R215" s="70"/>
      <c r="S215" s="70"/>
      <c r="T215" s="70"/>
      <c r="U215" s="70"/>
      <c r="V215" s="70"/>
      <c r="W215" s="70"/>
      <c r="X215" s="70"/>
      <c r="Y215" s="70"/>
    </row>
    <row r="216">
      <c r="A216" s="82"/>
      <c r="B216" s="506"/>
      <c r="C216" s="82"/>
      <c r="D216" s="506"/>
      <c r="E216" s="82"/>
      <c r="F216" s="506"/>
      <c r="G216" s="222"/>
      <c r="H216" s="506"/>
      <c r="I216" s="199"/>
      <c r="J216" s="506"/>
      <c r="K216" s="82"/>
      <c r="L216" s="506"/>
      <c r="M216" s="70"/>
      <c r="N216" s="70"/>
      <c r="O216" s="70"/>
      <c r="P216" s="70"/>
      <c r="Q216" s="70"/>
      <c r="R216" s="70"/>
      <c r="S216" s="70"/>
      <c r="T216" s="70"/>
      <c r="U216" s="70"/>
      <c r="V216" s="70"/>
      <c r="W216" s="70"/>
      <c r="X216" s="70"/>
      <c r="Y216" s="70"/>
    </row>
    <row r="217">
      <c r="A217" s="82"/>
      <c r="B217" s="506"/>
      <c r="C217" s="82"/>
      <c r="D217" s="506"/>
      <c r="E217" s="82"/>
      <c r="F217" s="506"/>
      <c r="G217" s="222"/>
      <c r="H217" s="506"/>
      <c r="I217" s="199"/>
      <c r="J217" s="506"/>
      <c r="K217" s="82"/>
      <c r="L217" s="506"/>
      <c r="M217" s="70"/>
      <c r="N217" s="70"/>
      <c r="O217" s="70"/>
      <c r="P217" s="70"/>
      <c r="Q217" s="70"/>
      <c r="R217" s="70"/>
      <c r="S217" s="70"/>
      <c r="T217" s="70"/>
      <c r="U217" s="70"/>
      <c r="V217" s="70"/>
      <c r="W217" s="70"/>
      <c r="X217" s="70"/>
      <c r="Y217" s="70"/>
    </row>
    <row r="218">
      <c r="A218" s="82"/>
      <c r="B218" s="506"/>
      <c r="C218" s="82"/>
      <c r="D218" s="506"/>
      <c r="E218" s="82"/>
      <c r="F218" s="506"/>
      <c r="G218" s="222"/>
      <c r="H218" s="506"/>
      <c r="I218" s="199"/>
      <c r="J218" s="506"/>
      <c r="K218" s="82"/>
      <c r="L218" s="506"/>
      <c r="M218" s="70"/>
      <c r="N218" s="70"/>
      <c r="O218" s="70"/>
      <c r="P218" s="70"/>
      <c r="Q218" s="70"/>
      <c r="R218" s="70"/>
      <c r="S218" s="70"/>
      <c r="T218" s="70"/>
      <c r="U218" s="70"/>
      <c r="V218" s="70"/>
      <c r="W218" s="70"/>
      <c r="X218" s="70"/>
      <c r="Y218" s="70"/>
    </row>
    <row r="219">
      <c r="A219" s="82"/>
      <c r="B219" s="506"/>
      <c r="C219" s="82"/>
      <c r="D219" s="506"/>
      <c r="E219" s="82"/>
      <c r="F219" s="506"/>
      <c r="G219" s="222"/>
      <c r="H219" s="506"/>
      <c r="I219" s="199"/>
      <c r="J219" s="506"/>
      <c r="K219" s="82"/>
      <c r="L219" s="506"/>
      <c r="M219" s="70"/>
      <c r="N219" s="70"/>
      <c r="O219" s="70"/>
      <c r="P219" s="70"/>
      <c r="Q219" s="70"/>
      <c r="R219" s="70"/>
      <c r="S219" s="70"/>
      <c r="T219" s="70"/>
      <c r="U219" s="70"/>
      <c r="V219" s="70"/>
      <c r="W219" s="70"/>
      <c r="X219" s="70"/>
      <c r="Y219" s="70"/>
    </row>
    <row r="220">
      <c r="A220" s="82"/>
      <c r="B220" s="506"/>
      <c r="C220" s="82"/>
      <c r="D220" s="506"/>
      <c r="E220" s="82"/>
      <c r="F220" s="506"/>
      <c r="G220" s="222"/>
      <c r="H220" s="506"/>
      <c r="I220" s="199"/>
      <c r="J220" s="506"/>
      <c r="K220" s="82"/>
      <c r="L220" s="506"/>
      <c r="M220" s="70"/>
      <c r="N220" s="70"/>
      <c r="O220" s="70"/>
      <c r="P220" s="70"/>
      <c r="Q220" s="70"/>
      <c r="R220" s="70"/>
      <c r="S220" s="70"/>
      <c r="T220" s="70"/>
      <c r="U220" s="70"/>
      <c r="V220" s="70"/>
      <c r="W220" s="70"/>
      <c r="X220" s="70"/>
      <c r="Y220" s="70"/>
    </row>
    <row r="221">
      <c r="A221" s="82"/>
      <c r="B221" s="506"/>
      <c r="C221" s="82"/>
      <c r="D221" s="506"/>
      <c r="E221" s="82"/>
      <c r="F221" s="506"/>
      <c r="G221" s="222"/>
      <c r="H221" s="506"/>
      <c r="I221" s="199"/>
      <c r="J221" s="506"/>
      <c r="K221" s="82"/>
      <c r="L221" s="506"/>
      <c r="M221" s="70"/>
      <c r="N221" s="70"/>
      <c r="O221" s="70"/>
      <c r="P221" s="70"/>
      <c r="Q221" s="70"/>
      <c r="R221" s="70"/>
      <c r="S221" s="70"/>
      <c r="T221" s="70"/>
      <c r="U221" s="70"/>
      <c r="V221" s="70"/>
      <c r="W221" s="70"/>
      <c r="X221" s="70"/>
      <c r="Y221" s="70"/>
    </row>
    <row r="222">
      <c r="A222" s="82"/>
      <c r="B222" s="506"/>
      <c r="C222" s="82"/>
      <c r="D222" s="506"/>
      <c r="E222" s="82"/>
      <c r="F222" s="506"/>
      <c r="G222" s="222"/>
      <c r="H222" s="506"/>
      <c r="I222" s="199"/>
      <c r="J222" s="506"/>
      <c r="K222" s="82"/>
      <c r="L222" s="506"/>
      <c r="M222" s="70"/>
      <c r="N222" s="70"/>
      <c r="O222" s="70"/>
      <c r="P222" s="70"/>
      <c r="Q222" s="70"/>
      <c r="R222" s="70"/>
      <c r="S222" s="70"/>
      <c r="T222" s="70"/>
      <c r="U222" s="70"/>
      <c r="V222" s="70"/>
      <c r="W222" s="70"/>
      <c r="X222" s="70"/>
      <c r="Y222" s="70"/>
    </row>
    <row r="223">
      <c r="A223" s="82"/>
      <c r="B223" s="506"/>
      <c r="C223" s="82"/>
      <c r="D223" s="506"/>
      <c r="E223" s="82"/>
      <c r="F223" s="506"/>
      <c r="G223" s="222"/>
      <c r="H223" s="506"/>
      <c r="I223" s="199"/>
      <c r="J223" s="506"/>
      <c r="K223" s="82"/>
      <c r="L223" s="506"/>
      <c r="M223" s="70"/>
      <c r="N223" s="70"/>
      <c r="O223" s="70"/>
      <c r="P223" s="70"/>
      <c r="Q223" s="70"/>
      <c r="R223" s="70"/>
      <c r="S223" s="70"/>
      <c r="T223" s="70"/>
      <c r="U223" s="70"/>
      <c r="V223" s="70"/>
      <c r="W223" s="70"/>
      <c r="X223" s="70"/>
      <c r="Y223" s="70"/>
    </row>
    <row r="224">
      <c r="A224" s="82"/>
      <c r="B224" s="506"/>
      <c r="C224" s="82"/>
      <c r="D224" s="506"/>
      <c r="E224" s="82"/>
      <c r="F224" s="506"/>
      <c r="G224" s="222"/>
      <c r="H224" s="506"/>
      <c r="I224" s="199"/>
      <c r="J224" s="506"/>
      <c r="K224" s="82"/>
      <c r="L224" s="506"/>
      <c r="M224" s="70"/>
      <c r="N224" s="70"/>
      <c r="O224" s="70"/>
      <c r="P224" s="70"/>
      <c r="Q224" s="70"/>
      <c r="R224" s="70"/>
      <c r="S224" s="70"/>
      <c r="T224" s="70"/>
      <c r="U224" s="70"/>
      <c r="V224" s="70"/>
      <c r="W224" s="70"/>
      <c r="X224" s="70"/>
      <c r="Y224" s="70"/>
    </row>
    <row r="225">
      <c r="A225" s="82"/>
      <c r="B225" s="506"/>
      <c r="C225" s="82"/>
      <c r="D225" s="506"/>
      <c r="E225" s="82"/>
      <c r="F225" s="506"/>
      <c r="G225" s="222"/>
      <c r="H225" s="506"/>
      <c r="I225" s="199"/>
      <c r="J225" s="506"/>
      <c r="K225" s="82"/>
      <c r="L225" s="506"/>
      <c r="M225" s="70"/>
      <c r="N225" s="70"/>
      <c r="O225" s="70"/>
      <c r="P225" s="70"/>
      <c r="Q225" s="70"/>
      <c r="R225" s="70"/>
      <c r="S225" s="70"/>
      <c r="T225" s="70"/>
      <c r="U225" s="70"/>
      <c r="V225" s="70"/>
      <c r="W225" s="70"/>
      <c r="X225" s="70"/>
      <c r="Y225" s="70"/>
    </row>
    <row r="226">
      <c r="A226" s="82"/>
      <c r="B226" s="506"/>
      <c r="C226" s="82"/>
      <c r="D226" s="506"/>
      <c r="E226" s="82"/>
      <c r="F226" s="506"/>
      <c r="G226" s="222"/>
      <c r="H226" s="506"/>
      <c r="I226" s="199"/>
      <c r="J226" s="506"/>
      <c r="K226" s="82"/>
      <c r="L226" s="506"/>
      <c r="M226" s="70"/>
      <c r="N226" s="70"/>
      <c r="O226" s="70"/>
      <c r="P226" s="70"/>
      <c r="Q226" s="70"/>
      <c r="R226" s="70"/>
      <c r="S226" s="70"/>
      <c r="T226" s="70"/>
      <c r="U226" s="70"/>
      <c r="V226" s="70"/>
      <c r="W226" s="70"/>
      <c r="X226" s="70"/>
      <c r="Y226" s="70"/>
    </row>
    <row r="227">
      <c r="A227" s="82"/>
      <c r="B227" s="506"/>
      <c r="C227" s="82"/>
      <c r="D227" s="506"/>
      <c r="E227" s="82"/>
      <c r="F227" s="506"/>
      <c r="G227" s="222"/>
      <c r="H227" s="506"/>
      <c r="I227" s="199"/>
      <c r="J227" s="506"/>
      <c r="K227" s="82"/>
      <c r="L227" s="506"/>
      <c r="M227" s="70"/>
      <c r="N227" s="70"/>
      <c r="O227" s="70"/>
      <c r="P227" s="70"/>
      <c r="Q227" s="70"/>
      <c r="R227" s="70"/>
      <c r="S227" s="70"/>
      <c r="T227" s="70"/>
      <c r="U227" s="70"/>
      <c r="V227" s="70"/>
      <c r="W227" s="70"/>
      <c r="X227" s="70"/>
      <c r="Y227" s="70"/>
    </row>
    <row r="228">
      <c r="A228" s="82"/>
      <c r="B228" s="506"/>
      <c r="C228" s="82"/>
      <c r="D228" s="506"/>
      <c r="E228" s="82"/>
      <c r="F228" s="506"/>
      <c r="G228" s="222"/>
      <c r="H228" s="506"/>
      <c r="I228" s="199"/>
      <c r="J228" s="506"/>
      <c r="K228" s="82"/>
      <c r="L228" s="506"/>
      <c r="M228" s="70"/>
      <c r="N228" s="70"/>
      <c r="O228" s="70"/>
      <c r="P228" s="70"/>
      <c r="Q228" s="70"/>
      <c r="R228" s="70"/>
      <c r="S228" s="70"/>
      <c r="T228" s="70"/>
      <c r="U228" s="70"/>
      <c r="V228" s="70"/>
      <c r="W228" s="70"/>
      <c r="X228" s="70"/>
      <c r="Y228" s="70"/>
    </row>
    <row r="229">
      <c r="A229" s="82"/>
      <c r="B229" s="506"/>
      <c r="C229" s="82"/>
      <c r="D229" s="506"/>
      <c r="E229" s="82"/>
      <c r="F229" s="506"/>
      <c r="G229" s="222"/>
      <c r="H229" s="506"/>
      <c r="I229" s="199"/>
      <c r="J229" s="506"/>
      <c r="K229" s="82"/>
      <c r="L229" s="506"/>
      <c r="M229" s="70"/>
      <c r="N229" s="70"/>
      <c r="O229" s="70"/>
      <c r="P229" s="70"/>
      <c r="Q229" s="70"/>
      <c r="R229" s="70"/>
      <c r="S229" s="70"/>
      <c r="T229" s="70"/>
      <c r="U229" s="70"/>
      <c r="V229" s="70"/>
      <c r="W229" s="70"/>
      <c r="X229" s="70"/>
      <c r="Y229" s="70"/>
    </row>
    <row r="230">
      <c r="A230" s="82"/>
      <c r="B230" s="506"/>
      <c r="C230" s="82"/>
      <c r="D230" s="506"/>
      <c r="E230" s="82"/>
      <c r="F230" s="506"/>
      <c r="G230" s="222"/>
      <c r="H230" s="506"/>
      <c r="I230" s="199"/>
      <c r="J230" s="506"/>
      <c r="K230" s="82"/>
      <c r="L230" s="506"/>
      <c r="M230" s="70"/>
      <c r="N230" s="70"/>
      <c r="O230" s="70"/>
      <c r="P230" s="70"/>
      <c r="Q230" s="70"/>
      <c r="R230" s="70"/>
      <c r="S230" s="70"/>
      <c r="T230" s="70"/>
      <c r="U230" s="70"/>
      <c r="V230" s="70"/>
      <c r="W230" s="70"/>
      <c r="X230" s="70"/>
      <c r="Y230" s="70"/>
    </row>
    <row r="231">
      <c r="A231" s="82"/>
      <c r="B231" s="506"/>
      <c r="C231" s="82"/>
      <c r="D231" s="506"/>
      <c r="E231" s="82"/>
      <c r="F231" s="506"/>
      <c r="G231" s="222"/>
      <c r="H231" s="506"/>
      <c r="I231" s="199"/>
      <c r="J231" s="506"/>
      <c r="K231" s="82"/>
      <c r="L231" s="506"/>
      <c r="M231" s="70"/>
      <c r="N231" s="70"/>
      <c r="O231" s="70"/>
      <c r="P231" s="70"/>
      <c r="Q231" s="70"/>
      <c r="R231" s="70"/>
      <c r="S231" s="70"/>
      <c r="T231" s="70"/>
      <c r="U231" s="70"/>
      <c r="V231" s="70"/>
      <c r="W231" s="70"/>
      <c r="X231" s="70"/>
      <c r="Y231" s="70"/>
    </row>
    <row r="232">
      <c r="A232" s="82"/>
      <c r="B232" s="506"/>
      <c r="C232" s="82"/>
      <c r="D232" s="506"/>
      <c r="E232" s="82"/>
      <c r="F232" s="506"/>
      <c r="G232" s="222"/>
      <c r="H232" s="506"/>
      <c r="I232" s="199"/>
      <c r="J232" s="506"/>
      <c r="K232" s="82"/>
      <c r="L232" s="506"/>
      <c r="M232" s="70"/>
      <c r="N232" s="70"/>
      <c r="O232" s="70"/>
      <c r="P232" s="70"/>
      <c r="Q232" s="70"/>
      <c r="R232" s="70"/>
      <c r="S232" s="70"/>
      <c r="T232" s="70"/>
      <c r="U232" s="70"/>
      <c r="V232" s="70"/>
      <c r="W232" s="70"/>
      <c r="X232" s="70"/>
      <c r="Y232" s="70"/>
    </row>
    <row r="233">
      <c r="A233" s="82"/>
      <c r="B233" s="506"/>
      <c r="C233" s="82"/>
      <c r="D233" s="506"/>
      <c r="E233" s="82"/>
      <c r="F233" s="506"/>
      <c r="G233" s="222"/>
      <c r="H233" s="506"/>
      <c r="I233" s="199"/>
      <c r="J233" s="506"/>
      <c r="K233" s="82"/>
      <c r="L233" s="506"/>
      <c r="M233" s="70"/>
      <c r="N233" s="70"/>
      <c r="O233" s="70"/>
      <c r="P233" s="70"/>
      <c r="Q233" s="70"/>
      <c r="R233" s="70"/>
      <c r="S233" s="70"/>
      <c r="T233" s="70"/>
      <c r="U233" s="70"/>
      <c r="V233" s="70"/>
      <c r="W233" s="70"/>
      <c r="X233" s="70"/>
      <c r="Y233" s="70"/>
    </row>
    <row r="234">
      <c r="A234" s="82"/>
      <c r="B234" s="506"/>
      <c r="C234" s="82"/>
      <c r="D234" s="506"/>
      <c r="E234" s="82"/>
      <c r="F234" s="506"/>
      <c r="G234" s="222"/>
      <c r="H234" s="506"/>
      <c r="I234" s="199"/>
      <c r="J234" s="506"/>
      <c r="K234" s="82"/>
      <c r="L234" s="506"/>
      <c r="M234" s="70"/>
      <c r="N234" s="70"/>
      <c r="O234" s="70"/>
      <c r="P234" s="70"/>
      <c r="Q234" s="70"/>
      <c r="R234" s="70"/>
      <c r="S234" s="70"/>
      <c r="T234" s="70"/>
      <c r="U234" s="70"/>
      <c r="V234" s="70"/>
      <c r="W234" s="70"/>
      <c r="X234" s="70"/>
      <c r="Y234" s="70"/>
    </row>
    <row r="235">
      <c r="A235" s="82"/>
      <c r="B235" s="506"/>
      <c r="C235" s="82"/>
      <c r="D235" s="506"/>
      <c r="E235" s="82"/>
      <c r="F235" s="506"/>
      <c r="G235" s="222"/>
      <c r="H235" s="506"/>
      <c r="I235" s="199"/>
      <c r="J235" s="506"/>
      <c r="K235" s="82"/>
      <c r="L235" s="506"/>
      <c r="M235" s="70"/>
      <c r="N235" s="70"/>
      <c r="O235" s="70"/>
      <c r="P235" s="70"/>
      <c r="Q235" s="70"/>
      <c r="R235" s="70"/>
      <c r="S235" s="70"/>
      <c r="T235" s="70"/>
      <c r="U235" s="70"/>
      <c r="V235" s="70"/>
      <c r="W235" s="70"/>
      <c r="X235" s="70"/>
      <c r="Y235" s="70"/>
    </row>
    <row r="236">
      <c r="A236" s="82"/>
      <c r="B236" s="506"/>
      <c r="C236" s="82"/>
      <c r="D236" s="506"/>
      <c r="E236" s="82"/>
      <c r="F236" s="506"/>
      <c r="G236" s="222"/>
      <c r="H236" s="506"/>
      <c r="I236" s="199"/>
      <c r="J236" s="506"/>
      <c r="K236" s="82"/>
      <c r="L236" s="506"/>
      <c r="M236" s="70"/>
      <c r="N236" s="70"/>
      <c r="O236" s="70"/>
      <c r="P236" s="70"/>
      <c r="Q236" s="70"/>
      <c r="R236" s="70"/>
      <c r="S236" s="70"/>
      <c r="T236" s="70"/>
      <c r="U236" s="70"/>
      <c r="V236" s="70"/>
      <c r="W236" s="70"/>
      <c r="X236" s="70"/>
      <c r="Y236" s="70"/>
    </row>
    <row r="237">
      <c r="A237" s="82"/>
      <c r="B237" s="506"/>
      <c r="C237" s="82"/>
      <c r="D237" s="506"/>
      <c r="E237" s="82"/>
      <c r="F237" s="506"/>
      <c r="G237" s="222"/>
      <c r="H237" s="506"/>
      <c r="I237" s="199"/>
      <c r="J237" s="506"/>
      <c r="K237" s="82"/>
      <c r="L237" s="506"/>
      <c r="M237" s="70"/>
      <c r="N237" s="70"/>
      <c r="O237" s="70"/>
      <c r="P237" s="70"/>
      <c r="Q237" s="70"/>
      <c r="R237" s="70"/>
      <c r="S237" s="70"/>
      <c r="T237" s="70"/>
      <c r="U237" s="70"/>
      <c r="V237" s="70"/>
      <c r="W237" s="70"/>
      <c r="X237" s="70"/>
      <c r="Y237" s="70"/>
    </row>
    <row r="238">
      <c r="A238" s="82"/>
      <c r="B238" s="506"/>
      <c r="C238" s="82"/>
      <c r="D238" s="506"/>
      <c r="E238" s="82"/>
      <c r="F238" s="506"/>
      <c r="G238" s="222"/>
      <c r="H238" s="506"/>
      <c r="I238" s="199"/>
      <c r="J238" s="506"/>
      <c r="K238" s="82"/>
      <c r="L238" s="506"/>
      <c r="M238" s="70"/>
      <c r="N238" s="70"/>
      <c r="O238" s="70"/>
      <c r="P238" s="70"/>
      <c r="Q238" s="70"/>
      <c r="R238" s="70"/>
      <c r="S238" s="70"/>
      <c r="T238" s="70"/>
      <c r="U238" s="70"/>
      <c r="V238" s="70"/>
      <c r="W238" s="70"/>
      <c r="X238" s="70"/>
      <c r="Y238" s="70"/>
    </row>
    <row r="239">
      <c r="A239" s="82"/>
      <c r="B239" s="506"/>
      <c r="C239" s="82"/>
      <c r="D239" s="506"/>
      <c r="E239" s="82"/>
      <c r="F239" s="506"/>
      <c r="G239" s="222"/>
      <c r="H239" s="506"/>
      <c r="I239" s="199"/>
      <c r="J239" s="506"/>
      <c r="K239" s="82"/>
      <c r="L239" s="506"/>
      <c r="M239" s="70"/>
      <c r="N239" s="70"/>
      <c r="O239" s="70"/>
      <c r="P239" s="70"/>
      <c r="Q239" s="70"/>
      <c r="R239" s="70"/>
      <c r="S239" s="70"/>
      <c r="T239" s="70"/>
      <c r="U239" s="70"/>
      <c r="V239" s="70"/>
      <c r="W239" s="70"/>
      <c r="X239" s="70"/>
      <c r="Y239" s="70"/>
    </row>
    <row r="240">
      <c r="A240" s="82"/>
      <c r="B240" s="506"/>
      <c r="C240" s="82"/>
      <c r="D240" s="506"/>
      <c r="E240" s="82"/>
      <c r="F240" s="506"/>
      <c r="G240" s="222"/>
      <c r="H240" s="506"/>
      <c r="I240" s="199"/>
      <c r="J240" s="506"/>
      <c r="K240" s="82"/>
      <c r="L240" s="506"/>
      <c r="M240" s="70"/>
      <c r="N240" s="70"/>
      <c r="O240" s="70"/>
      <c r="P240" s="70"/>
      <c r="Q240" s="70"/>
      <c r="R240" s="70"/>
      <c r="S240" s="70"/>
      <c r="T240" s="70"/>
      <c r="U240" s="70"/>
      <c r="V240" s="70"/>
      <c r="W240" s="70"/>
      <c r="X240" s="70"/>
      <c r="Y240" s="70"/>
    </row>
    <row r="241">
      <c r="A241" s="82"/>
      <c r="B241" s="506"/>
      <c r="C241" s="82"/>
      <c r="D241" s="506"/>
      <c r="E241" s="82"/>
      <c r="F241" s="506"/>
      <c r="G241" s="222"/>
      <c r="H241" s="506"/>
      <c r="I241" s="199"/>
      <c r="J241" s="506"/>
      <c r="K241" s="82"/>
      <c r="L241" s="506"/>
      <c r="M241" s="70"/>
      <c r="N241" s="70"/>
      <c r="O241" s="70"/>
      <c r="P241" s="70"/>
      <c r="Q241" s="70"/>
      <c r="R241" s="70"/>
      <c r="S241" s="70"/>
      <c r="T241" s="70"/>
      <c r="U241" s="70"/>
      <c r="V241" s="70"/>
      <c r="W241" s="70"/>
      <c r="X241" s="70"/>
      <c r="Y241" s="70"/>
    </row>
    <row r="242">
      <c r="A242" s="82"/>
      <c r="B242" s="506"/>
      <c r="C242" s="82"/>
      <c r="D242" s="506"/>
      <c r="E242" s="82"/>
      <c r="F242" s="506"/>
      <c r="G242" s="222"/>
      <c r="H242" s="506"/>
      <c r="I242" s="199"/>
      <c r="J242" s="506"/>
      <c r="K242" s="82"/>
      <c r="L242" s="506"/>
      <c r="M242" s="70"/>
      <c r="N242" s="70"/>
      <c r="O242" s="70"/>
      <c r="P242" s="70"/>
      <c r="Q242" s="70"/>
      <c r="R242" s="70"/>
      <c r="S242" s="70"/>
      <c r="T242" s="70"/>
      <c r="U242" s="70"/>
      <c r="V242" s="70"/>
      <c r="W242" s="70"/>
      <c r="X242" s="70"/>
      <c r="Y242" s="70"/>
    </row>
    <row r="243">
      <c r="A243" s="82"/>
      <c r="B243" s="506"/>
      <c r="C243" s="82"/>
      <c r="D243" s="506"/>
      <c r="E243" s="82"/>
      <c r="F243" s="506"/>
      <c r="G243" s="222"/>
      <c r="H243" s="506"/>
      <c r="I243" s="199"/>
      <c r="J243" s="506"/>
      <c r="K243" s="82"/>
      <c r="L243" s="506"/>
      <c r="M243" s="70"/>
      <c r="N243" s="70"/>
      <c r="O243" s="70"/>
      <c r="P243" s="70"/>
      <c r="Q243" s="70"/>
      <c r="R243" s="70"/>
      <c r="S243" s="70"/>
      <c r="T243" s="70"/>
      <c r="U243" s="70"/>
      <c r="V243" s="70"/>
      <c r="W243" s="70"/>
      <c r="X243" s="70"/>
      <c r="Y243" s="70"/>
    </row>
    <row r="244">
      <c r="A244" s="82"/>
      <c r="B244" s="506"/>
      <c r="C244" s="82"/>
      <c r="D244" s="506"/>
      <c r="E244" s="82"/>
      <c r="F244" s="506"/>
      <c r="G244" s="222"/>
      <c r="H244" s="506"/>
      <c r="I244" s="199"/>
      <c r="J244" s="506"/>
      <c r="K244" s="82"/>
      <c r="L244" s="506"/>
      <c r="M244" s="70"/>
      <c r="N244" s="70"/>
      <c r="O244" s="70"/>
      <c r="P244" s="70"/>
      <c r="Q244" s="70"/>
      <c r="R244" s="70"/>
      <c r="S244" s="70"/>
      <c r="T244" s="70"/>
      <c r="U244" s="70"/>
      <c r="V244" s="70"/>
      <c r="W244" s="70"/>
      <c r="X244" s="70"/>
      <c r="Y244" s="70"/>
    </row>
    <row r="245">
      <c r="A245" s="82"/>
      <c r="B245" s="506"/>
      <c r="C245" s="82"/>
      <c r="D245" s="506"/>
      <c r="E245" s="82"/>
      <c r="F245" s="506"/>
      <c r="G245" s="222"/>
      <c r="H245" s="506"/>
      <c r="I245" s="199"/>
      <c r="J245" s="506"/>
      <c r="K245" s="82"/>
      <c r="L245" s="506"/>
      <c r="M245" s="70"/>
      <c r="N245" s="70"/>
      <c r="O245" s="70"/>
      <c r="P245" s="70"/>
      <c r="Q245" s="70"/>
      <c r="R245" s="70"/>
      <c r="S245" s="70"/>
      <c r="T245" s="70"/>
      <c r="U245" s="70"/>
      <c r="V245" s="70"/>
      <c r="W245" s="70"/>
      <c r="X245" s="70"/>
      <c r="Y245" s="70"/>
    </row>
    <row r="246">
      <c r="A246" s="82"/>
      <c r="B246" s="506"/>
      <c r="C246" s="82"/>
      <c r="D246" s="506"/>
      <c r="E246" s="82"/>
      <c r="F246" s="506"/>
      <c r="G246" s="222"/>
      <c r="H246" s="506"/>
      <c r="I246" s="199"/>
      <c r="J246" s="506"/>
      <c r="K246" s="82"/>
      <c r="L246" s="506"/>
      <c r="M246" s="70"/>
      <c r="N246" s="70"/>
      <c r="O246" s="70"/>
      <c r="P246" s="70"/>
      <c r="Q246" s="70"/>
      <c r="R246" s="70"/>
      <c r="S246" s="70"/>
      <c r="T246" s="70"/>
      <c r="U246" s="70"/>
      <c r="V246" s="70"/>
      <c r="W246" s="70"/>
      <c r="X246" s="70"/>
      <c r="Y246" s="70"/>
    </row>
    <row r="247">
      <c r="A247" s="82"/>
      <c r="B247" s="506"/>
      <c r="C247" s="82"/>
      <c r="D247" s="506"/>
      <c r="E247" s="82"/>
      <c r="F247" s="506"/>
      <c r="G247" s="222"/>
      <c r="H247" s="506"/>
      <c r="I247" s="199"/>
      <c r="J247" s="506"/>
      <c r="K247" s="82"/>
      <c r="L247" s="506"/>
      <c r="M247" s="70"/>
      <c r="N247" s="70"/>
      <c r="O247" s="70"/>
      <c r="P247" s="70"/>
      <c r="Q247" s="70"/>
      <c r="R247" s="70"/>
      <c r="S247" s="70"/>
      <c r="T247" s="70"/>
      <c r="U247" s="70"/>
      <c r="V247" s="70"/>
      <c r="W247" s="70"/>
      <c r="X247" s="70"/>
      <c r="Y247" s="70"/>
    </row>
    <row r="248">
      <c r="A248" s="82"/>
      <c r="B248" s="506"/>
      <c r="C248" s="82"/>
      <c r="D248" s="506"/>
      <c r="E248" s="82"/>
      <c r="F248" s="506"/>
      <c r="G248" s="222"/>
      <c r="H248" s="506"/>
      <c r="I248" s="199"/>
      <c r="J248" s="506"/>
      <c r="K248" s="82"/>
      <c r="L248" s="506"/>
      <c r="M248" s="70"/>
      <c r="N248" s="70"/>
      <c r="O248" s="70"/>
      <c r="P248" s="70"/>
      <c r="Q248" s="70"/>
      <c r="R248" s="70"/>
      <c r="S248" s="70"/>
      <c r="T248" s="70"/>
      <c r="U248" s="70"/>
      <c r="V248" s="70"/>
      <c r="W248" s="70"/>
      <c r="X248" s="70"/>
      <c r="Y248" s="70"/>
    </row>
    <row r="249">
      <c r="A249" s="82"/>
      <c r="B249" s="506"/>
      <c r="C249" s="82"/>
      <c r="D249" s="506"/>
      <c r="E249" s="82"/>
      <c r="F249" s="506"/>
      <c r="G249" s="222"/>
      <c r="H249" s="506"/>
      <c r="I249" s="199"/>
      <c r="J249" s="506"/>
      <c r="K249" s="82"/>
      <c r="L249" s="506"/>
      <c r="M249" s="70"/>
      <c r="N249" s="70"/>
      <c r="O249" s="70"/>
      <c r="P249" s="70"/>
      <c r="Q249" s="70"/>
      <c r="R249" s="70"/>
      <c r="S249" s="70"/>
      <c r="T249" s="70"/>
      <c r="U249" s="70"/>
      <c r="V249" s="70"/>
      <c r="W249" s="70"/>
      <c r="X249" s="70"/>
      <c r="Y249" s="70"/>
    </row>
    <row r="250">
      <c r="A250" s="82"/>
      <c r="B250" s="506"/>
      <c r="C250" s="82"/>
      <c r="D250" s="506"/>
      <c r="E250" s="82"/>
      <c r="F250" s="506"/>
      <c r="G250" s="222"/>
      <c r="H250" s="506"/>
      <c r="I250" s="199"/>
      <c r="J250" s="506"/>
      <c r="K250" s="82"/>
      <c r="L250" s="506"/>
      <c r="M250" s="70"/>
      <c r="N250" s="70"/>
      <c r="O250" s="70"/>
      <c r="P250" s="70"/>
      <c r="Q250" s="70"/>
      <c r="R250" s="70"/>
      <c r="S250" s="70"/>
      <c r="T250" s="70"/>
      <c r="U250" s="70"/>
      <c r="V250" s="70"/>
      <c r="W250" s="70"/>
      <c r="X250" s="70"/>
      <c r="Y250" s="70"/>
    </row>
    <row r="251">
      <c r="A251" s="82"/>
      <c r="B251" s="506"/>
      <c r="C251" s="82"/>
      <c r="D251" s="506"/>
      <c r="E251" s="82"/>
      <c r="F251" s="506"/>
      <c r="G251" s="222"/>
      <c r="H251" s="506"/>
      <c r="I251" s="199"/>
      <c r="J251" s="506"/>
      <c r="K251" s="82"/>
      <c r="L251" s="506"/>
      <c r="M251" s="70"/>
      <c r="N251" s="70"/>
      <c r="O251" s="70"/>
      <c r="P251" s="70"/>
      <c r="Q251" s="70"/>
      <c r="R251" s="70"/>
      <c r="S251" s="70"/>
      <c r="T251" s="70"/>
      <c r="U251" s="70"/>
      <c r="V251" s="70"/>
      <c r="W251" s="70"/>
      <c r="X251" s="70"/>
      <c r="Y251" s="70"/>
    </row>
    <row r="252">
      <c r="A252" s="82"/>
      <c r="B252" s="506"/>
      <c r="C252" s="82"/>
      <c r="D252" s="506"/>
      <c r="E252" s="82"/>
      <c r="F252" s="506"/>
      <c r="G252" s="222"/>
      <c r="H252" s="506"/>
      <c r="I252" s="199"/>
      <c r="J252" s="506"/>
      <c r="K252" s="82"/>
      <c r="L252" s="506"/>
      <c r="M252" s="70"/>
      <c r="N252" s="70"/>
      <c r="O252" s="70"/>
      <c r="P252" s="70"/>
      <c r="Q252" s="70"/>
      <c r="R252" s="70"/>
      <c r="S252" s="70"/>
      <c r="T252" s="70"/>
      <c r="U252" s="70"/>
      <c r="V252" s="70"/>
      <c r="W252" s="70"/>
      <c r="X252" s="70"/>
      <c r="Y252" s="70"/>
    </row>
    <row r="253">
      <c r="A253" s="82"/>
      <c r="B253" s="506"/>
      <c r="C253" s="82"/>
      <c r="D253" s="506"/>
      <c r="E253" s="82"/>
      <c r="F253" s="506"/>
      <c r="G253" s="222"/>
      <c r="H253" s="506"/>
      <c r="I253" s="199"/>
      <c r="J253" s="506"/>
      <c r="K253" s="82"/>
      <c r="L253" s="506"/>
      <c r="M253" s="70"/>
      <c r="N253" s="70"/>
      <c r="O253" s="70"/>
      <c r="P253" s="70"/>
      <c r="Q253" s="70"/>
      <c r="R253" s="70"/>
      <c r="S253" s="70"/>
      <c r="T253" s="70"/>
      <c r="U253" s="70"/>
      <c r="V253" s="70"/>
      <c r="W253" s="70"/>
      <c r="X253" s="70"/>
      <c r="Y253" s="70"/>
    </row>
    <row r="254">
      <c r="A254" s="82"/>
      <c r="B254" s="506"/>
      <c r="C254" s="82"/>
      <c r="D254" s="506"/>
      <c r="E254" s="82"/>
      <c r="F254" s="506"/>
      <c r="G254" s="222"/>
      <c r="H254" s="506"/>
      <c r="I254" s="199"/>
      <c r="J254" s="506"/>
      <c r="K254" s="82"/>
      <c r="L254" s="506"/>
      <c r="M254" s="70"/>
      <c r="N254" s="70"/>
      <c r="O254" s="70"/>
      <c r="P254" s="70"/>
      <c r="Q254" s="70"/>
      <c r="R254" s="70"/>
      <c r="S254" s="70"/>
      <c r="T254" s="70"/>
      <c r="U254" s="70"/>
      <c r="V254" s="70"/>
      <c r="W254" s="70"/>
      <c r="X254" s="70"/>
      <c r="Y254" s="70"/>
    </row>
    <row r="255">
      <c r="A255" s="82"/>
      <c r="B255" s="506"/>
      <c r="C255" s="82"/>
      <c r="D255" s="506"/>
      <c r="E255" s="82"/>
      <c r="F255" s="506"/>
      <c r="G255" s="222"/>
      <c r="H255" s="506"/>
      <c r="I255" s="199"/>
      <c r="J255" s="506"/>
      <c r="K255" s="82"/>
      <c r="L255" s="506"/>
      <c r="M255" s="70"/>
      <c r="N255" s="70"/>
      <c r="O255" s="70"/>
      <c r="P255" s="70"/>
      <c r="Q255" s="70"/>
      <c r="R255" s="70"/>
      <c r="S255" s="70"/>
      <c r="T255" s="70"/>
      <c r="U255" s="70"/>
      <c r="V255" s="70"/>
      <c r="W255" s="70"/>
      <c r="X255" s="70"/>
      <c r="Y255" s="70"/>
    </row>
    <row r="256">
      <c r="A256" s="82"/>
      <c r="B256" s="506"/>
      <c r="C256" s="82"/>
      <c r="D256" s="506"/>
      <c r="E256" s="82"/>
      <c r="F256" s="506"/>
      <c r="G256" s="222"/>
      <c r="H256" s="506"/>
      <c r="I256" s="199"/>
      <c r="J256" s="506"/>
      <c r="K256" s="82"/>
      <c r="L256" s="506"/>
      <c r="M256" s="70"/>
      <c r="N256" s="70"/>
      <c r="O256" s="70"/>
      <c r="P256" s="70"/>
      <c r="Q256" s="70"/>
      <c r="R256" s="70"/>
      <c r="S256" s="70"/>
      <c r="T256" s="70"/>
      <c r="U256" s="70"/>
      <c r="V256" s="70"/>
      <c r="W256" s="70"/>
      <c r="X256" s="70"/>
      <c r="Y256" s="70"/>
    </row>
    <row r="257">
      <c r="A257" s="82"/>
      <c r="B257" s="506"/>
      <c r="C257" s="82"/>
      <c r="D257" s="506"/>
      <c r="E257" s="82"/>
      <c r="F257" s="506"/>
      <c r="G257" s="222"/>
      <c r="H257" s="506"/>
      <c r="I257" s="199"/>
      <c r="J257" s="506"/>
      <c r="K257" s="82"/>
      <c r="L257" s="506"/>
      <c r="M257" s="70"/>
      <c r="N257" s="70"/>
      <c r="O257" s="70"/>
      <c r="P257" s="70"/>
      <c r="Q257" s="70"/>
      <c r="R257" s="70"/>
      <c r="S257" s="70"/>
      <c r="T257" s="70"/>
      <c r="U257" s="70"/>
      <c r="V257" s="70"/>
      <c r="W257" s="70"/>
      <c r="X257" s="70"/>
      <c r="Y257" s="70"/>
    </row>
    <row r="258">
      <c r="A258" s="82"/>
      <c r="B258" s="506"/>
      <c r="C258" s="82"/>
      <c r="D258" s="506"/>
      <c r="E258" s="82"/>
      <c r="F258" s="506"/>
      <c r="G258" s="222"/>
      <c r="H258" s="506"/>
      <c r="I258" s="199"/>
      <c r="J258" s="506"/>
      <c r="K258" s="82"/>
      <c r="L258" s="506"/>
      <c r="M258" s="70"/>
      <c r="N258" s="70"/>
      <c r="O258" s="70"/>
      <c r="P258" s="70"/>
      <c r="Q258" s="70"/>
      <c r="R258" s="70"/>
      <c r="S258" s="70"/>
      <c r="T258" s="70"/>
      <c r="U258" s="70"/>
      <c r="V258" s="70"/>
      <c r="W258" s="70"/>
      <c r="X258" s="70"/>
      <c r="Y258" s="70"/>
    </row>
    <row r="259">
      <c r="A259" s="82"/>
      <c r="B259" s="506"/>
      <c r="C259" s="82"/>
      <c r="D259" s="506"/>
      <c r="E259" s="82"/>
      <c r="F259" s="506"/>
      <c r="G259" s="222"/>
      <c r="H259" s="506"/>
      <c r="I259" s="199"/>
      <c r="J259" s="506"/>
      <c r="K259" s="82"/>
      <c r="L259" s="506"/>
      <c r="M259" s="70"/>
      <c r="N259" s="70"/>
      <c r="O259" s="70"/>
      <c r="P259" s="70"/>
      <c r="Q259" s="70"/>
      <c r="R259" s="70"/>
      <c r="S259" s="70"/>
      <c r="T259" s="70"/>
      <c r="U259" s="70"/>
      <c r="V259" s="70"/>
      <c r="W259" s="70"/>
      <c r="X259" s="70"/>
      <c r="Y259" s="70"/>
    </row>
    <row r="260">
      <c r="A260" s="82"/>
      <c r="B260" s="506"/>
      <c r="C260" s="82"/>
      <c r="D260" s="506"/>
      <c r="E260" s="82"/>
      <c r="F260" s="506"/>
      <c r="G260" s="222"/>
      <c r="H260" s="506"/>
      <c r="I260" s="199"/>
      <c r="J260" s="506"/>
      <c r="K260" s="82"/>
      <c r="L260" s="506"/>
      <c r="M260" s="70"/>
      <c r="N260" s="70"/>
      <c r="O260" s="70"/>
      <c r="P260" s="70"/>
      <c r="Q260" s="70"/>
      <c r="R260" s="70"/>
      <c r="S260" s="70"/>
      <c r="T260" s="70"/>
      <c r="U260" s="70"/>
      <c r="V260" s="70"/>
      <c r="W260" s="70"/>
      <c r="X260" s="70"/>
      <c r="Y260" s="70"/>
    </row>
    <row r="261">
      <c r="A261" s="82"/>
      <c r="B261" s="506"/>
      <c r="C261" s="82"/>
      <c r="D261" s="506"/>
      <c r="E261" s="82"/>
      <c r="F261" s="506"/>
      <c r="G261" s="222"/>
      <c r="H261" s="506"/>
      <c r="I261" s="199"/>
      <c r="J261" s="506"/>
      <c r="K261" s="82"/>
      <c r="L261" s="506"/>
      <c r="M261" s="70"/>
      <c r="N261" s="70"/>
      <c r="O261" s="70"/>
      <c r="P261" s="70"/>
      <c r="Q261" s="70"/>
      <c r="R261" s="70"/>
      <c r="S261" s="70"/>
      <c r="T261" s="70"/>
      <c r="U261" s="70"/>
      <c r="V261" s="70"/>
      <c r="W261" s="70"/>
      <c r="X261" s="70"/>
      <c r="Y261" s="70"/>
    </row>
    <row r="262">
      <c r="A262" s="82"/>
      <c r="B262" s="506"/>
      <c r="C262" s="82"/>
      <c r="D262" s="506"/>
      <c r="E262" s="82"/>
      <c r="F262" s="506"/>
      <c r="G262" s="222"/>
      <c r="H262" s="506"/>
      <c r="I262" s="199"/>
      <c r="J262" s="506"/>
      <c r="K262" s="82"/>
      <c r="L262" s="506"/>
      <c r="M262" s="70"/>
      <c r="N262" s="70"/>
      <c r="O262" s="70"/>
      <c r="P262" s="70"/>
      <c r="Q262" s="70"/>
      <c r="R262" s="70"/>
      <c r="S262" s="70"/>
      <c r="T262" s="70"/>
      <c r="U262" s="70"/>
      <c r="V262" s="70"/>
      <c r="W262" s="70"/>
      <c r="X262" s="70"/>
      <c r="Y262" s="70"/>
    </row>
    <row r="263">
      <c r="A263" s="82"/>
      <c r="B263" s="506"/>
      <c r="C263" s="82"/>
      <c r="D263" s="506"/>
      <c r="E263" s="82"/>
      <c r="F263" s="506"/>
      <c r="G263" s="222"/>
      <c r="H263" s="506"/>
      <c r="I263" s="199"/>
      <c r="J263" s="506"/>
      <c r="K263" s="82"/>
      <c r="L263" s="506"/>
      <c r="M263" s="70"/>
      <c r="N263" s="70"/>
      <c r="O263" s="70"/>
      <c r="P263" s="70"/>
      <c r="Q263" s="70"/>
      <c r="R263" s="70"/>
      <c r="S263" s="70"/>
      <c r="T263" s="70"/>
      <c r="U263" s="70"/>
      <c r="V263" s="70"/>
      <c r="W263" s="70"/>
      <c r="X263" s="70"/>
      <c r="Y263" s="70"/>
    </row>
    <row r="264">
      <c r="A264" s="82"/>
      <c r="B264" s="506"/>
      <c r="C264" s="82"/>
      <c r="D264" s="506"/>
      <c r="E264" s="82"/>
      <c r="F264" s="506"/>
      <c r="G264" s="222"/>
      <c r="H264" s="506"/>
      <c r="I264" s="199"/>
      <c r="J264" s="506"/>
      <c r="K264" s="82"/>
      <c r="L264" s="506"/>
      <c r="M264" s="70"/>
      <c r="N264" s="70"/>
      <c r="O264" s="70"/>
      <c r="P264" s="70"/>
      <c r="Q264" s="70"/>
      <c r="R264" s="70"/>
      <c r="S264" s="70"/>
      <c r="T264" s="70"/>
      <c r="U264" s="70"/>
      <c r="V264" s="70"/>
      <c r="W264" s="70"/>
      <c r="X264" s="70"/>
      <c r="Y264" s="70"/>
    </row>
    <row r="265">
      <c r="A265" s="82"/>
      <c r="B265" s="506"/>
      <c r="C265" s="82"/>
      <c r="D265" s="506"/>
      <c r="E265" s="82"/>
      <c r="F265" s="506"/>
      <c r="G265" s="222"/>
      <c r="H265" s="506"/>
      <c r="I265" s="199"/>
      <c r="J265" s="506"/>
      <c r="K265" s="82"/>
      <c r="L265" s="506"/>
      <c r="M265" s="70"/>
      <c r="N265" s="70"/>
      <c r="O265" s="70"/>
      <c r="P265" s="70"/>
      <c r="Q265" s="70"/>
      <c r="R265" s="70"/>
      <c r="S265" s="70"/>
      <c r="T265" s="70"/>
      <c r="U265" s="70"/>
      <c r="V265" s="70"/>
      <c r="W265" s="70"/>
      <c r="X265" s="70"/>
      <c r="Y265" s="70"/>
    </row>
    <row r="266">
      <c r="A266" s="82"/>
      <c r="B266" s="506"/>
      <c r="C266" s="82"/>
      <c r="D266" s="506"/>
      <c r="E266" s="82"/>
      <c r="F266" s="506"/>
      <c r="G266" s="222"/>
      <c r="H266" s="506"/>
      <c r="I266" s="199"/>
      <c r="J266" s="506"/>
      <c r="K266" s="82"/>
      <c r="L266" s="506"/>
      <c r="M266" s="70"/>
      <c r="N266" s="70"/>
      <c r="O266" s="70"/>
      <c r="P266" s="70"/>
      <c r="Q266" s="70"/>
      <c r="R266" s="70"/>
      <c r="S266" s="70"/>
      <c r="T266" s="70"/>
      <c r="U266" s="70"/>
      <c r="V266" s="70"/>
      <c r="W266" s="70"/>
      <c r="X266" s="70"/>
      <c r="Y266" s="70"/>
    </row>
    <row r="267">
      <c r="A267" s="82"/>
      <c r="B267" s="506"/>
      <c r="C267" s="82"/>
      <c r="D267" s="506"/>
      <c r="E267" s="82"/>
      <c r="F267" s="506"/>
      <c r="G267" s="222"/>
      <c r="H267" s="506"/>
      <c r="I267" s="199"/>
      <c r="J267" s="506"/>
      <c r="K267" s="82"/>
      <c r="L267" s="506"/>
      <c r="M267" s="70"/>
      <c r="N267" s="70"/>
      <c r="O267" s="70"/>
      <c r="P267" s="70"/>
      <c r="Q267" s="70"/>
      <c r="R267" s="70"/>
      <c r="S267" s="70"/>
      <c r="T267" s="70"/>
      <c r="U267" s="70"/>
      <c r="V267" s="70"/>
      <c r="W267" s="70"/>
      <c r="X267" s="70"/>
      <c r="Y267" s="70"/>
    </row>
    <row r="268">
      <c r="A268" s="82"/>
      <c r="B268" s="506"/>
      <c r="C268" s="82"/>
      <c r="D268" s="506"/>
      <c r="E268" s="82"/>
      <c r="F268" s="506"/>
      <c r="G268" s="222"/>
      <c r="H268" s="506"/>
      <c r="I268" s="199"/>
      <c r="J268" s="506"/>
      <c r="K268" s="82"/>
      <c r="L268" s="506"/>
      <c r="M268" s="70"/>
      <c r="N268" s="70"/>
      <c r="O268" s="70"/>
      <c r="P268" s="70"/>
      <c r="Q268" s="70"/>
      <c r="R268" s="70"/>
      <c r="S268" s="70"/>
      <c r="T268" s="70"/>
      <c r="U268" s="70"/>
      <c r="V268" s="70"/>
      <c r="W268" s="70"/>
      <c r="X268" s="70"/>
      <c r="Y268" s="70"/>
    </row>
    <row r="269">
      <c r="A269" s="82"/>
      <c r="B269" s="506"/>
      <c r="C269" s="82"/>
      <c r="D269" s="506"/>
      <c r="E269" s="82"/>
      <c r="F269" s="506"/>
      <c r="G269" s="222"/>
      <c r="H269" s="506"/>
      <c r="I269" s="199"/>
      <c r="J269" s="506"/>
      <c r="K269" s="82"/>
      <c r="L269" s="506"/>
      <c r="M269" s="70"/>
      <c r="N269" s="70"/>
      <c r="O269" s="70"/>
      <c r="P269" s="70"/>
      <c r="Q269" s="70"/>
      <c r="R269" s="70"/>
      <c r="S269" s="70"/>
      <c r="T269" s="70"/>
      <c r="U269" s="70"/>
      <c r="V269" s="70"/>
      <c r="W269" s="70"/>
      <c r="X269" s="70"/>
      <c r="Y269" s="70"/>
    </row>
    <row r="270">
      <c r="A270" s="82"/>
      <c r="B270" s="506"/>
      <c r="C270" s="82"/>
      <c r="D270" s="506"/>
      <c r="E270" s="82"/>
      <c r="F270" s="506"/>
      <c r="G270" s="222"/>
      <c r="H270" s="506"/>
      <c r="I270" s="199"/>
      <c r="J270" s="506"/>
      <c r="K270" s="82"/>
      <c r="L270" s="506"/>
      <c r="M270" s="70"/>
      <c r="N270" s="70"/>
      <c r="O270" s="70"/>
      <c r="P270" s="70"/>
      <c r="Q270" s="70"/>
      <c r="R270" s="70"/>
      <c r="S270" s="70"/>
      <c r="T270" s="70"/>
      <c r="U270" s="70"/>
      <c r="V270" s="70"/>
      <c r="W270" s="70"/>
      <c r="X270" s="70"/>
      <c r="Y270" s="70"/>
    </row>
    <row r="271">
      <c r="A271" s="82"/>
      <c r="B271" s="506"/>
      <c r="C271" s="82"/>
      <c r="D271" s="506"/>
      <c r="E271" s="82"/>
      <c r="F271" s="506"/>
      <c r="G271" s="222"/>
      <c r="H271" s="506"/>
      <c r="I271" s="199"/>
      <c r="J271" s="506"/>
      <c r="K271" s="82"/>
      <c r="L271" s="506"/>
      <c r="M271" s="70"/>
      <c r="N271" s="70"/>
      <c r="O271" s="70"/>
      <c r="P271" s="70"/>
      <c r="Q271" s="70"/>
      <c r="R271" s="70"/>
      <c r="S271" s="70"/>
      <c r="T271" s="70"/>
      <c r="U271" s="70"/>
      <c r="V271" s="70"/>
      <c r="W271" s="70"/>
      <c r="X271" s="70"/>
      <c r="Y271" s="70"/>
    </row>
    <row r="272">
      <c r="A272" s="82"/>
      <c r="B272" s="506"/>
      <c r="C272" s="82"/>
      <c r="D272" s="506"/>
      <c r="E272" s="82"/>
      <c r="F272" s="506"/>
      <c r="G272" s="222"/>
      <c r="H272" s="506"/>
      <c r="I272" s="199"/>
      <c r="J272" s="506"/>
      <c r="K272" s="82"/>
      <c r="L272" s="506"/>
      <c r="M272" s="70"/>
      <c r="N272" s="70"/>
      <c r="O272" s="70"/>
      <c r="P272" s="70"/>
      <c r="Q272" s="70"/>
      <c r="R272" s="70"/>
      <c r="S272" s="70"/>
      <c r="T272" s="70"/>
      <c r="U272" s="70"/>
      <c r="V272" s="70"/>
      <c r="W272" s="70"/>
      <c r="X272" s="70"/>
      <c r="Y272" s="70"/>
    </row>
    <row r="273">
      <c r="A273" s="82"/>
      <c r="B273" s="506"/>
      <c r="C273" s="82"/>
      <c r="D273" s="506"/>
      <c r="E273" s="82"/>
      <c r="F273" s="506"/>
      <c r="G273" s="222"/>
      <c r="H273" s="506"/>
      <c r="I273" s="199"/>
      <c r="J273" s="506"/>
      <c r="K273" s="82"/>
      <c r="L273" s="506"/>
      <c r="M273" s="70"/>
      <c r="N273" s="70"/>
      <c r="O273" s="70"/>
      <c r="P273" s="70"/>
      <c r="Q273" s="70"/>
      <c r="R273" s="70"/>
      <c r="S273" s="70"/>
      <c r="T273" s="70"/>
      <c r="U273" s="70"/>
      <c r="V273" s="70"/>
      <c r="W273" s="70"/>
      <c r="X273" s="70"/>
      <c r="Y273" s="70"/>
    </row>
    <row r="274">
      <c r="A274" s="82"/>
      <c r="B274" s="506"/>
      <c r="C274" s="82"/>
      <c r="D274" s="506"/>
      <c r="E274" s="82"/>
      <c r="F274" s="506"/>
      <c r="G274" s="222"/>
      <c r="H274" s="506"/>
      <c r="I274" s="199"/>
      <c r="J274" s="506"/>
      <c r="K274" s="82"/>
      <c r="L274" s="506"/>
      <c r="M274" s="70"/>
      <c r="N274" s="70"/>
      <c r="O274" s="70"/>
      <c r="P274" s="70"/>
      <c r="Q274" s="70"/>
      <c r="R274" s="70"/>
      <c r="S274" s="70"/>
      <c r="T274" s="70"/>
      <c r="U274" s="70"/>
      <c r="V274" s="70"/>
      <c r="W274" s="70"/>
      <c r="X274" s="70"/>
      <c r="Y274" s="70"/>
    </row>
    <row r="275">
      <c r="A275" s="82"/>
      <c r="B275" s="506"/>
      <c r="C275" s="82"/>
      <c r="D275" s="506"/>
      <c r="E275" s="82"/>
      <c r="F275" s="506"/>
      <c r="G275" s="222"/>
      <c r="H275" s="506"/>
      <c r="I275" s="199"/>
      <c r="J275" s="506"/>
      <c r="K275" s="82"/>
      <c r="L275" s="506"/>
      <c r="M275" s="70"/>
      <c r="N275" s="70"/>
      <c r="O275" s="70"/>
      <c r="P275" s="70"/>
      <c r="Q275" s="70"/>
      <c r="R275" s="70"/>
      <c r="S275" s="70"/>
      <c r="T275" s="70"/>
      <c r="U275" s="70"/>
      <c r="V275" s="70"/>
      <c r="W275" s="70"/>
      <c r="X275" s="70"/>
      <c r="Y275" s="70"/>
    </row>
    <row r="276">
      <c r="A276" s="82"/>
      <c r="B276" s="506"/>
      <c r="C276" s="82"/>
      <c r="D276" s="506"/>
      <c r="E276" s="82"/>
      <c r="F276" s="506"/>
      <c r="G276" s="222"/>
      <c r="H276" s="506"/>
      <c r="I276" s="199"/>
      <c r="J276" s="506"/>
      <c r="K276" s="82"/>
      <c r="L276" s="506"/>
      <c r="M276" s="70"/>
      <c r="N276" s="70"/>
      <c r="O276" s="70"/>
      <c r="P276" s="70"/>
      <c r="Q276" s="70"/>
      <c r="R276" s="70"/>
      <c r="S276" s="70"/>
      <c r="T276" s="70"/>
      <c r="U276" s="70"/>
      <c r="V276" s="70"/>
      <c r="W276" s="70"/>
      <c r="X276" s="70"/>
      <c r="Y276" s="70"/>
    </row>
    <row r="277">
      <c r="A277" s="82"/>
      <c r="B277" s="506"/>
      <c r="C277" s="82"/>
      <c r="D277" s="506"/>
      <c r="E277" s="82"/>
      <c r="F277" s="506"/>
      <c r="G277" s="222"/>
      <c r="H277" s="506"/>
      <c r="I277" s="199"/>
      <c r="J277" s="506"/>
      <c r="K277" s="82"/>
      <c r="L277" s="506"/>
      <c r="M277" s="70"/>
      <c r="N277" s="70"/>
      <c r="O277" s="70"/>
      <c r="P277" s="70"/>
      <c r="Q277" s="70"/>
      <c r="R277" s="70"/>
      <c r="S277" s="70"/>
      <c r="T277" s="70"/>
      <c r="U277" s="70"/>
      <c r="V277" s="70"/>
      <c r="W277" s="70"/>
      <c r="X277" s="70"/>
      <c r="Y277" s="70"/>
    </row>
    <row r="278">
      <c r="A278" s="82"/>
      <c r="B278" s="506"/>
      <c r="C278" s="82"/>
      <c r="D278" s="506"/>
      <c r="E278" s="82"/>
      <c r="F278" s="506"/>
      <c r="G278" s="222"/>
      <c r="H278" s="506"/>
      <c r="I278" s="199"/>
      <c r="J278" s="506"/>
      <c r="K278" s="82"/>
      <c r="L278" s="506"/>
      <c r="M278" s="70"/>
      <c r="N278" s="70"/>
      <c r="O278" s="70"/>
      <c r="P278" s="70"/>
      <c r="Q278" s="70"/>
      <c r="R278" s="70"/>
      <c r="S278" s="70"/>
      <c r="T278" s="70"/>
      <c r="U278" s="70"/>
      <c r="V278" s="70"/>
      <c r="W278" s="70"/>
      <c r="X278" s="70"/>
      <c r="Y278" s="70"/>
    </row>
    <row r="279">
      <c r="A279" s="82"/>
      <c r="B279" s="506"/>
      <c r="C279" s="82"/>
      <c r="D279" s="506"/>
      <c r="E279" s="82"/>
      <c r="F279" s="506"/>
      <c r="G279" s="222"/>
      <c r="H279" s="506"/>
      <c r="I279" s="199"/>
      <c r="J279" s="506"/>
      <c r="K279" s="82"/>
      <c r="L279" s="506"/>
      <c r="M279" s="70"/>
      <c r="N279" s="70"/>
      <c r="O279" s="70"/>
      <c r="P279" s="70"/>
      <c r="Q279" s="70"/>
      <c r="R279" s="70"/>
      <c r="S279" s="70"/>
      <c r="T279" s="70"/>
      <c r="U279" s="70"/>
      <c r="V279" s="70"/>
      <c r="W279" s="70"/>
      <c r="X279" s="70"/>
      <c r="Y279" s="70"/>
    </row>
    <row r="280">
      <c r="A280" s="82"/>
      <c r="B280" s="506"/>
      <c r="C280" s="82"/>
      <c r="D280" s="506"/>
      <c r="E280" s="82"/>
      <c r="F280" s="506"/>
      <c r="G280" s="222"/>
      <c r="H280" s="506"/>
      <c r="I280" s="199"/>
      <c r="J280" s="506"/>
      <c r="K280" s="82"/>
      <c r="L280" s="506"/>
      <c r="M280" s="70"/>
      <c r="N280" s="70"/>
      <c r="O280" s="70"/>
      <c r="P280" s="70"/>
      <c r="Q280" s="70"/>
      <c r="R280" s="70"/>
      <c r="S280" s="70"/>
      <c r="T280" s="70"/>
      <c r="U280" s="70"/>
      <c r="V280" s="70"/>
      <c r="W280" s="70"/>
      <c r="X280" s="70"/>
      <c r="Y280" s="70"/>
    </row>
    <row r="281">
      <c r="A281" s="82"/>
      <c r="B281" s="506"/>
      <c r="C281" s="82"/>
      <c r="D281" s="506"/>
      <c r="E281" s="82"/>
      <c r="F281" s="506"/>
      <c r="G281" s="222"/>
      <c r="H281" s="506"/>
      <c r="I281" s="199"/>
      <c r="J281" s="506"/>
      <c r="K281" s="82"/>
      <c r="L281" s="506"/>
      <c r="M281" s="70"/>
      <c r="N281" s="70"/>
      <c r="O281" s="70"/>
      <c r="P281" s="70"/>
      <c r="Q281" s="70"/>
      <c r="R281" s="70"/>
      <c r="S281" s="70"/>
      <c r="T281" s="70"/>
      <c r="U281" s="70"/>
      <c r="V281" s="70"/>
      <c r="W281" s="70"/>
      <c r="X281" s="70"/>
      <c r="Y281" s="70"/>
    </row>
    <row r="282">
      <c r="A282" s="82"/>
      <c r="B282" s="506"/>
      <c r="C282" s="82"/>
      <c r="D282" s="506"/>
      <c r="E282" s="82"/>
      <c r="F282" s="506"/>
      <c r="G282" s="222"/>
      <c r="H282" s="506"/>
      <c r="I282" s="199"/>
      <c r="J282" s="506"/>
      <c r="K282" s="82"/>
      <c r="L282" s="506"/>
      <c r="M282" s="70"/>
      <c r="N282" s="70"/>
      <c r="O282" s="70"/>
      <c r="P282" s="70"/>
      <c r="Q282" s="70"/>
      <c r="R282" s="70"/>
      <c r="S282" s="70"/>
      <c r="T282" s="70"/>
      <c r="U282" s="70"/>
      <c r="V282" s="70"/>
      <c r="W282" s="70"/>
      <c r="X282" s="70"/>
      <c r="Y282" s="70"/>
    </row>
    <row r="283">
      <c r="A283" s="82"/>
      <c r="B283" s="506"/>
      <c r="C283" s="82"/>
      <c r="D283" s="506"/>
      <c r="E283" s="82"/>
      <c r="F283" s="506"/>
      <c r="G283" s="222"/>
      <c r="H283" s="506"/>
      <c r="I283" s="199"/>
      <c r="J283" s="506"/>
      <c r="K283" s="82"/>
      <c r="L283" s="506"/>
      <c r="M283" s="70"/>
      <c r="N283" s="70"/>
      <c r="O283" s="70"/>
      <c r="P283" s="70"/>
      <c r="Q283" s="70"/>
      <c r="R283" s="70"/>
      <c r="S283" s="70"/>
      <c r="T283" s="70"/>
      <c r="U283" s="70"/>
      <c r="V283" s="70"/>
      <c r="W283" s="70"/>
      <c r="X283" s="70"/>
      <c r="Y283" s="70"/>
    </row>
    <row r="284">
      <c r="A284" s="82"/>
      <c r="B284" s="506"/>
      <c r="C284" s="82"/>
      <c r="D284" s="506"/>
      <c r="E284" s="82"/>
      <c r="F284" s="506"/>
      <c r="G284" s="222"/>
      <c r="H284" s="506"/>
      <c r="I284" s="199"/>
      <c r="J284" s="506"/>
      <c r="K284" s="82"/>
      <c r="L284" s="506"/>
      <c r="M284" s="70"/>
      <c r="N284" s="70"/>
      <c r="O284" s="70"/>
      <c r="P284" s="70"/>
      <c r="Q284" s="70"/>
      <c r="R284" s="70"/>
      <c r="S284" s="70"/>
      <c r="T284" s="70"/>
      <c r="U284" s="70"/>
      <c r="V284" s="70"/>
      <c r="W284" s="70"/>
      <c r="X284" s="70"/>
      <c r="Y284" s="70"/>
    </row>
    <row r="285">
      <c r="A285" s="82"/>
      <c r="B285" s="506"/>
      <c r="C285" s="82"/>
      <c r="D285" s="506"/>
      <c r="E285" s="82"/>
      <c r="F285" s="506"/>
      <c r="G285" s="222"/>
      <c r="H285" s="506"/>
      <c r="I285" s="199"/>
      <c r="J285" s="506"/>
      <c r="K285" s="82"/>
      <c r="L285" s="506"/>
      <c r="M285" s="70"/>
      <c r="N285" s="70"/>
      <c r="O285" s="70"/>
      <c r="P285" s="70"/>
      <c r="Q285" s="70"/>
      <c r="R285" s="70"/>
      <c r="S285" s="70"/>
      <c r="T285" s="70"/>
      <c r="U285" s="70"/>
      <c r="V285" s="70"/>
      <c r="W285" s="70"/>
      <c r="X285" s="70"/>
      <c r="Y285" s="70"/>
    </row>
    <row r="286">
      <c r="A286" s="82"/>
      <c r="B286" s="506"/>
      <c r="C286" s="82"/>
      <c r="D286" s="506"/>
      <c r="E286" s="82"/>
      <c r="F286" s="506"/>
      <c r="G286" s="222"/>
      <c r="H286" s="506"/>
      <c r="I286" s="199"/>
      <c r="J286" s="506"/>
      <c r="K286" s="82"/>
      <c r="L286" s="506"/>
      <c r="M286" s="70"/>
      <c r="N286" s="70"/>
      <c r="O286" s="70"/>
      <c r="P286" s="70"/>
      <c r="Q286" s="70"/>
      <c r="R286" s="70"/>
      <c r="S286" s="70"/>
      <c r="T286" s="70"/>
      <c r="U286" s="70"/>
      <c r="V286" s="70"/>
      <c r="W286" s="70"/>
      <c r="X286" s="70"/>
      <c r="Y286" s="70"/>
    </row>
    <row r="287">
      <c r="A287" s="82"/>
      <c r="B287" s="506"/>
      <c r="C287" s="82"/>
      <c r="D287" s="506"/>
      <c r="E287" s="82"/>
      <c r="F287" s="506"/>
      <c r="G287" s="222"/>
      <c r="H287" s="506"/>
      <c r="I287" s="199"/>
      <c r="J287" s="506"/>
      <c r="K287" s="82"/>
      <c r="L287" s="506"/>
      <c r="M287" s="70"/>
      <c r="N287" s="70"/>
      <c r="O287" s="70"/>
      <c r="P287" s="70"/>
      <c r="Q287" s="70"/>
      <c r="R287" s="70"/>
      <c r="S287" s="70"/>
      <c r="T287" s="70"/>
      <c r="U287" s="70"/>
      <c r="V287" s="70"/>
      <c r="W287" s="70"/>
      <c r="X287" s="70"/>
      <c r="Y287" s="70"/>
    </row>
    <row r="288">
      <c r="A288" s="82"/>
      <c r="B288" s="506"/>
      <c r="C288" s="82"/>
      <c r="D288" s="506"/>
      <c r="E288" s="82"/>
      <c r="F288" s="506"/>
      <c r="G288" s="222"/>
      <c r="H288" s="506"/>
      <c r="I288" s="199"/>
      <c r="J288" s="506"/>
      <c r="K288" s="82"/>
      <c r="L288" s="506"/>
      <c r="M288" s="70"/>
      <c r="N288" s="70"/>
      <c r="O288" s="70"/>
      <c r="P288" s="70"/>
      <c r="Q288" s="70"/>
      <c r="R288" s="70"/>
      <c r="S288" s="70"/>
      <c r="T288" s="70"/>
      <c r="U288" s="70"/>
      <c r="V288" s="70"/>
      <c r="W288" s="70"/>
      <c r="X288" s="70"/>
      <c r="Y288" s="70"/>
    </row>
    <row r="289">
      <c r="A289" s="82"/>
      <c r="B289" s="506"/>
      <c r="C289" s="82"/>
      <c r="D289" s="506"/>
      <c r="E289" s="82"/>
      <c r="F289" s="506"/>
      <c r="G289" s="222"/>
      <c r="H289" s="506"/>
      <c r="I289" s="199"/>
      <c r="J289" s="506"/>
      <c r="K289" s="82"/>
      <c r="L289" s="506"/>
      <c r="M289" s="70"/>
      <c r="N289" s="70"/>
      <c r="O289" s="70"/>
      <c r="P289" s="70"/>
      <c r="Q289" s="70"/>
      <c r="R289" s="70"/>
      <c r="S289" s="70"/>
      <c r="T289" s="70"/>
      <c r="U289" s="70"/>
      <c r="V289" s="70"/>
      <c r="W289" s="70"/>
      <c r="X289" s="70"/>
      <c r="Y289" s="70"/>
    </row>
    <row r="290">
      <c r="A290" s="82"/>
      <c r="B290" s="506"/>
      <c r="C290" s="82"/>
      <c r="D290" s="506"/>
      <c r="E290" s="82"/>
      <c r="F290" s="506"/>
      <c r="G290" s="222"/>
      <c r="H290" s="506"/>
      <c r="I290" s="199"/>
      <c r="J290" s="506"/>
      <c r="K290" s="82"/>
      <c r="L290" s="506"/>
      <c r="M290" s="70"/>
      <c r="N290" s="70"/>
      <c r="O290" s="70"/>
      <c r="P290" s="70"/>
      <c r="Q290" s="70"/>
      <c r="R290" s="70"/>
      <c r="S290" s="70"/>
      <c r="T290" s="70"/>
      <c r="U290" s="70"/>
      <c r="V290" s="70"/>
      <c r="W290" s="70"/>
      <c r="X290" s="70"/>
      <c r="Y290" s="70"/>
    </row>
    <row r="291">
      <c r="A291" s="82"/>
      <c r="B291" s="506"/>
      <c r="C291" s="82"/>
      <c r="D291" s="506"/>
      <c r="E291" s="82"/>
      <c r="F291" s="506"/>
      <c r="G291" s="222"/>
      <c r="H291" s="506"/>
      <c r="I291" s="199"/>
      <c r="J291" s="506"/>
      <c r="K291" s="82"/>
      <c r="L291" s="506"/>
      <c r="M291" s="70"/>
      <c r="N291" s="70"/>
      <c r="O291" s="70"/>
      <c r="P291" s="70"/>
      <c r="Q291" s="70"/>
      <c r="R291" s="70"/>
      <c r="S291" s="70"/>
      <c r="T291" s="70"/>
      <c r="U291" s="70"/>
      <c r="V291" s="70"/>
      <c r="W291" s="70"/>
      <c r="X291" s="70"/>
      <c r="Y291" s="70"/>
    </row>
    <row r="292">
      <c r="A292" s="82"/>
      <c r="B292" s="506"/>
      <c r="C292" s="82"/>
      <c r="D292" s="506"/>
      <c r="E292" s="82"/>
      <c r="F292" s="506"/>
      <c r="G292" s="222"/>
      <c r="H292" s="506"/>
      <c r="I292" s="199"/>
      <c r="J292" s="506"/>
      <c r="K292" s="82"/>
      <c r="L292" s="506"/>
      <c r="M292" s="70"/>
      <c r="N292" s="70"/>
      <c r="O292" s="70"/>
      <c r="P292" s="70"/>
      <c r="Q292" s="70"/>
      <c r="R292" s="70"/>
      <c r="S292" s="70"/>
      <c r="T292" s="70"/>
      <c r="U292" s="70"/>
      <c r="V292" s="70"/>
      <c r="W292" s="70"/>
      <c r="X292" s="70"/>
      <c r="Y292" s="70"/>
    </row>
    <row r="293">
      <c r="A293" s="82"/>
      <c r="B293" s="506"/>
      <c r="C293" s="82"/>
      <c r="D293" s="506"/>
      <c r="E293" s="82"/>
      <c r="F293" s="506"/>
      <c r="G293" s="222"/>
      <c r="H293" s="506"/>
      <c r="I293" s="199"/>
      <c r="J293" s="506"/>
      <c r="K293" s="82"/>
      <c r="L293" s="506"/>
      <c r="M293" s="70"/>
      <c r="N293" s="70"/>
      <c r="O293" s="70"/>
      <c r="P293" s="70"/>
      <c r="Q293" s="70"/>
      <c r="R293" s="70"/>
      <c r="S293" s="70"/>
      <c r="T293" s="70"/>
      <c r="U293" s="70"/>
      <c r="V293" s="70"/>
      <c r="W293" s="70"/>
      <c r="X293" s="70"/>
      <c r="Y293" s="70"/>
    </row>
    <row r="294">
      <c r="A294" s="82"/>
      <c r="B294" s="506"/>
      <c r="C294" s="82"/>
      <c r="D294" s="506"/>
      <c r="E294" s="82"/>
      <c r="F294" s="506"/>
      <c r="G294" s="222"/>
      <c r="H294" s="506"/>
      <c r="I294" s="199"/>
      <c r="J294" s="506"/>
      <c r="K294" s="82"/>
      <c r="L294" s="506"/>
      <c r="M294" s="70"/>
      <c r="N294" s="70"/>
      <c r="O294" s="70"/>
      <c r="P294" s="70"/>
      <c r="Q294" s="70"/>
      <c r="R294" s="70"/>
      <c r="S294" s="70"/>
      <c r="T294" s="70"/>
      <c r="U294" s="70"/>
      <c r="V294" s="70"/>
      <c r="W294" s="70"/>
      <c r="X294" s="70"/>
      <c r="Y294" s="70"/>
    </row>
    <row r="295">
      <c r="A295" s="82"/>
      <c r="B295" s="506"/>
      <c r="C295" s="82"/>
      <c r="D295" s="506"/>
      <c r="E295" s="82"/>
      <c r="F295" s="506"/>
      <c r="G295" s="222"/>
      <c r="H295" s="506"/>
      <c r="I295" s="199"/>
      <c r="J295" s="506"/>
      <c r="K295" s="82"/>
      <c r="L295" s="506"/>
      <c r="M295" s="70"/>
      <c r="N295" s="70"/>
      <c r="O295" s="70"/>
      <c r="P295" s="70"/>
      <c r="Q295" s="70"/>
      <c r="R295" s="70"/>
      <c r="S295" s="70"/>
      <c r="T295" s="70"/>
      <c r="U295" s="70"/>
      <c r="V295" s="70"/>
      <c r="W295" s="70"/>
      <c r="X295" s="70"/>
      <c r="Y295" s="70"/>
    </row>
    <row r="296">
      <c r="A296" s="82"/>
      <c r="B296" s="506"/>
      <c r="C296" s="82"/>
      <c r="D296" s="506"/>
      <c r="E296" s="82"/>
      <c r="F296" s="506"/>
      <c r="G296" s="222"/>
      <c r="H296" s="506"/>
      <c r="I296" s="199"/>
      <c r="J296" s="506"/>
      <c r="K296" s="82"/>
      <c r="L296" s="506"/>
      <c r="M296" s="70"/>
      <c r="N296" s="70"/>
      <c r="O296" s="70"/>
      <c r="P296" s="70"/>
      <c r="Q296" s="70"/>
      <c r="R296" s="70"/>
      <c r="S296" s="70"/>
      <c r="T296" s="70"/>
      <c r="U296" s="70"/>
      <c r="V296" s="70"/>
      <c r="W296" s="70"/>
      <c r="X296" s="70"/>
      <c r="Y296" s="70"/>
    </row>
    <row r="297">
      <c r="A297" s="82"/>
      <c r="B297" s="506"/>
      <c r="C297" s="82"/>
      <c r="D297" s="506"/>
      <c r="E297" s="82"/>
      <c r="F297" s="506"/>
      <c r="G297" s="222"/>
      <c r="H297" s="506"/>
      <c r="I297" s="199"/>
      <c r="J297" s="506"/>
      <c r="K297" s="82"/>
      <c r="L297" s="506"/>
      <c r="M297" s="70"/>
      <c r="N297" s="70"/>
      <c r="O297" s="70"/>
      <c r="P297" s="70"/>
      <c r="Q297" s="70"/>
      <c r="R297" s="70"/>
      <c r="S297" s="70"/>
      <c r="T297" s="70"/>
      <c r="U297" s="70"/>
      <c r="V297" s="70"/>
      <c r="W297" s="70"/>
      <c r="X297" s="70"/>
      <c r="Y297" s="70"/>
    </row>
    <row r="298">
      <c r="A298" s="82"/>
      <c r="B298" s="506"/>
      <c r="C298" s="82"/>
      <c r="D298" s="506"/>
      <c r="E298" s="82"/>
      <c r="F298" s="506"/>
      <c r="G298" s="222"/>
      <c r="H298" s="506"/>
      <c r="I298" s="199"/>
      <c r="J298" s="506"/>
      <c r="K298" s="82"/>
      <c r="L298" s="506"/>
      <c r="M298" s="70"/>
      <c r="N298" s="70"/>
      <c r="O298" s="70"/>
      <c r="P298" s="70"/>
      <c r="Q298" s="70"/>
      <c r="R298" s="70"/>
      <c r="S298" s="70"/>
      <c r="T298" s="70"/>
      <c r="U298" s="70"/>
      <c r="V298" s="70"/>
      <c r="W298" s="70"/>
      <c r="X298" s="70"/>
      <c r="Y298" s="70"/>
    </row>
    <row r="299">
      <c r="A299" s="82"/>
      <c r="B299" s="506"/>
      <c r="C299" s="82"/>
      <c r="D299" s="506"/>
      <c r="E299" s="82"/>
      <c r="F299" s="506"/>
      <c r="G299" s="222"/>
      <c r="H299" s="506"/>
      <c r="I299" s="199"/>
      <c r="J299" s="506"/>
      <c r="K299" s="82"/>
      <c r="L299" s="506"/>
      <c r="M299" s="70"/>
      <c r="N299" s="70"/>
      <c r="O299" s="70"/>
      <c r="P299" s="70"/>
      <c r="Q299" s="70"/>
      <c r="R299" s="70"/>
      <c r="S299" s="70"/>
      <c r="T299" s="70"/>
      <c r="U299" s="70"/>
      <c r="V299" s="70"/>
      <c r="W299" s="70"/>
      <c r="X299" s="70"/>
      <c r="Y299" s="70"/>
    </row>
    <row r="300">
      <c r="A300" s="82"/>
      <c r="B300" s="506"/>
      <c r="C300" s="82"/>
      <c r="D300" s="506"/>
      <c r="E300" s="82"/>
      <c r="F300" s="506"/>
      <c r="G300" s="222"/>
      <c r="H300" s="506"/>
      <c r="I300" s="199"/>
      <c r="J300" s="506"/>
      <c r="K300" s="82"/>
      <c r="L300" s="506"/>
      <c r="M300" s="70"/>
      <c r="N300" s="70"/>
      <c r="O300" s="70"/>
      <c r="P300" s="70"/>
      <c r="Q300" s="70"/>
      <c r="R300" s="70"/>
      <c r="S300" s="70"/>
      <c r="T300" s="70"/>
      <c r="U300" s="70"/>
      <c r="V300" s="70"/>
      <c r="W300" s="70"/>
      <c r="X300" s="70"/>
      <c r="Y300" s="70"/>
    </row>
    <row r="301">
      <c r="A301" s="82"/>
      <c r="B301" s="506"/>
      <c r="C301" s="82"/>
      <c r="D301" s="506"/>
      <c r="E301" s="82"/>
      <c r="F301" s="506"/>
      <c r="G301" s="222"/>
      <c r="H301" s="506"/>
      <c r="I301" s="199"/>
      <c r="J301" s="506"/>
      <c r="K301" s="82"/>
      <c r="L301" s="506"/>
      <c r="M301" s="70"/>
      <c r="N301" s="70"/>
      <c r="O301" s="70"/>
      <c r="P301" s="70"/>
      <c r="Q301" s="70"/>
      <c r="R301" s="70"/>
      <c r="S301" s="70"/>
      <c r="T301" s="70"/>
      <c r="U301" s="70"/>
      <c r="V301" s="70"/>
      <c r="W301" s="70"/>
      <c r="X301" s="70"/>
      <c r="Y301" s="70"/>
    </row>
    <row r="302">
      <c r="A302" s="82"/>
      <c r="B302" s="506"/>
      <c r="C302" s="82"/>
      <c r="D302" s="506"/>
      <c r="E302" s="82"/>
      <c r="F302" s="506"/>
      <c r="G302" s="222"/>
      <c r="H302" s="506"/>
      <c r="I302" s="199"/>
      <c r="J302" s="506"/>
      <c r="K302" s="82"/>
      <c r="L302" s="506"/>
      <c r="M302" s="70"/>
      <c r="N302" s="70"/>
      <c r="O302" s="70"/>
      <c r="P302" s="70"/>
      <c r="Q302" s="70"/>
      <c r="R302" s="70"/>
      <c r="S302" s="70"/>
      <c r="T302" s="70"/>
      <c r="U302" s="70"/>
      <c r="V302" s="70"/>
      <c r="W302" s="70"/>
      <c r="X302" s="70"/>
      <c r="Y302" s="70"/>
    </row>
    <row r="303">
      <c r="A303" s="82"/>
      <c r="B303" s="506"/>
      <c r="C303" s="82"/>
      <c r="D303" s="506"/>
      <c r="E303" s="82"/>
      <c r="F303" s="506"/>
      <c r="G303" s="222"/>
      <c r="H303" s="506"/>
      <c r="I303" s="199"/>
      <c r="J303" s="506"/>
      <c r="K303" s="82"/>
      <c r="L303" s="506"/>
      <c r="M303" s="70"/>
      <c r="N303" s="70"/>
      <c r="O303" s="70"/>
      <c r="P303" s="70"/>
      <c r="Q303" s="70"/>
      <c r="R303" s="70"/>
      <c r="S303" s="70"/>
      <c r="T303" s="70"/>
      <c r="U303" s="70"/>
      <c r="V303" s="70"/>
      <c r="W303" s="70"/>
      <c r="X303" s="70"/>
      <c r="Y303" s="70"/>
    </row>
    <row r="304">
      <c r="A304" s="82"/>
      <c r="B304" s="506"/>
      <c r="C304" s="82"/>
      <c r="D304" s="506"/>
      <c r="E304" s="82"/>
      <c r="F304" s="506"/>
      <c r="G304" s="222"/>
      <c r="H304" s="506"/>
      <c r="I304" s="199"/>
      <c r="J304" s="506"/>
      <c r="K304" s="82"/>
      <c r="L304" s="506"/>
      <c r="M304" s="70"/>
      <c r="N304" s="70"/>
      <c r="O304" s="70"/>
      <c r="P304" s="70"/>
      <c r="Q304" s="70"/>
      <c r="R304" s="70"/>
      <c r="S304" s="70"/>
      <c r="T304" s="70"/>
      <c r="U304" s="70"/>
      <c r="V304" s="70"/>
      <c r="W304" s="70"/>
      <c r="X304" s="70"/>
      <c r="Y304" s="70"/>
    </row>
    <row r="305">
      <c r="A305" s="82"/>
      <c r="B305" s="506"/>
      <c r="C305" s="82"/>
      <c r="D305" s="506"/>
      <c r="E305" s="82"/>
      <c r="F305" s="506"/>
      <c r="G305" s="222"/>
      <c r="H305" s="506"/>
      <c r="I305" s="199"/>
      <c r="J305" s="506"/>
      <c r="K305" s="82"/>
      <c r="L305" s="506"/>
      <c r="M305" s="70"/>
      <c r="N305" s="70"/>
      <c r="O305" s="70"/>
      <c r="P305" s="70"/>
      <c r="Q305" s="70"/>
      <c r="R305" s="70"/>
      <c r="S305" s="70"/>
      <c r="T305" s="70"/>
      <c r="U305" s="70"/>
      <c r="V305" s="70"/>
      <c r="W305" s="70"/>
      <c r="X305" s="70"/>
      <c r="Y305" s="70"/>
    </row>
    <row r="306">
      <c r="A306" s="82"/>
      <c r="B306" s="506"/>
      <c r="C306" s="82"/>
      <c r="D306" s="506"/>
      <c r="E306" s="82"/>
      <c r="F306" s="506"/>
      <c r="G306" s="222"/>
      <c r="H306" s="506"/>
      <c r="I306" s="199"/>
      <c r="J306" s="506"/>
      <c r="K306" s="82"/>
      <c r="L306" s="506"/>
      <c r="M306" s="70"/>
      <c r="N306" s="70"/>
      <c r="O306" s="70"/>
      <c r="P306" s="70"/>
      <c r="Q306" s="70"/>
      <c r="R306" s="70"/>
      <c r="S306" s="70"/>
      <c r="T306" s="70"/>
      <c r="U306" s="70"/>
      <c r="V306" s="70"/>
      <c r="W306" s="70"/>
      <c r="X306" s="70"/>
      <c r="Y306" s="70"/>
    </row>
    <row r="307">
      <c r="A307" s="82"/>
      <c r="B307" s="506"/>
      <c r="C307" s="82"/>
      <c r="D307" s="506"/>
      <c r="E307" s="82"/>
      <c r="F307" s="506"/>
      <c r="G307" s="222"/>
      <c r="H307" s="506"/>
      <c r="I307" s="199"/>
      <c r="J307" s="506"/>
      <c r="K307" s="82"/>
      <c r="L307" s="506"/>
      <c r="M307" s="70"/>
      <c r="N307" s="70"/>
      <c r="O307" s="70"/>
      <c r="P307" s="70"/>
      <c r="Q307" s="70"/>
      <c r="R307" s="70"/>
      <c r="S307" s="70"/>
      <c r="T307" s="70"/>
      <c r="U307" s="70"/>
      <c r="V307" s="70"/>
      <c r="W307" s="70"/>
      <c r="X307" s="70"/>
      <c r="Y307" s="70"/>
    </row>
    <row r="308">
      <c r="A308" s="82"/>
      <c r="B308" s="506"/>
      <c r="C308" s="82"/>
      <c r="D308" s="506"/>
      <c r="E308" s="82"/>
      <c r="F308" s="506"/>
      <c r="G308" s="222"/>
      <c r="H308" s="506"/>
      <c r="I308" s="199"/>
      <c r="J308" s="506"/>
      <c r="K308" s="82"/>
      <c r="L308" s="506"/>
      <c r="M308" s="70"/>
      <c r="N308" s="70"/>
      <c r="O308" s="70"/>
      <c r="P308" s="70"/>
      <c r="Q308" s="70"/>
      <c r="R308" s="70"/>
      <c r="S308" s="70"/>
      <c r="T308" s="70"/>
      <c r="U308" s="70"/>
      <c r="V308" s="70"/>
      <c r="W308" s="70"/>
      <c r="X308" s="70"/>
      <c r="Y308" s="70"/>
    </row>
    <row r="309">
      <c r="A309" s="82"/>
      <c r="B309" s="506"/>
      <c r="C309" s="82"/>
      <c r="D309" s="506"/>
      <c r="E309" s="82"/>
      <c r="F309" s="506"/>
      <c r="G309" s="222"/>
      <c r="H309" s="506"/>
      <c r="I309" s="199"/>
      <c r="J309" s="506"/>
      <c r="K309" s="82"/>
      <c r="L309" s="506"/>
      <c r="M309" s="70"/>
      <c r="N309" s="70"/>
      <c r="O309" s="70"/>
      <c r="P309" s="70"/>
      <c r="Q309" s="70"/>
      <c r="R309" s="70"/>
      <c r="S309" s="70"/>
      <c r="T309" s="70"/>
      <c r="U309" s="70"/>
      <c r="V309" s="70"/>
      <c r="W309" s="70"/>
      <c r="X309" s="70"/>
      <c r="Y309" s="70"/>
    </row>
    <row r="310">
      <c r="A310" s="82"/>
      <c r="B310" s="506"/>
      <c r="C310" s="82"/>
      <c r="D310" s="506"/>
      <c r="E310" s="82"/>
      <c r="F310" s="506"/>
      <c r="G310" s="222"/>
      <c r="H310" s="506"/>
      <c r="I310" s="199"/>
      <c r="J310" s="506"/>
      <c r="K310" s="82"/>
      <c r="L310" s="506"/>
      <c r="M310" s="70"/>
      <c r="N310" s="70"/>
      <c r="O310" s="70"/>
      <c r="P310" s="70"/>
      <c r="Q310" s="70"/>
      <c r="R310" s="70"/>
      <c r="S310" s="70"/>
      <c r="T310" s="70"/>
      <c r="U310" s="70"/>
      <c r="V310" s="70"/>
      <c r="W310" s="70"/>
      <c r="X310" s="70"/>
      <c r="Y310" s="70"/>
    </row>
    <row r="311">
      <c r="A311" s="82"/>
      <c r="B311" s="506"/>
      <c r="C311" s="82"/>
      <c r="D311" s="506"/>
      <c r="E311" s="82"/>
      <c r="F311" s="506"/>
      <c r="G311" s="222"/>
      <c r="H311" s="506"/>
      <c r="I311" s="199"/>
      <c r="J311" s="506"/>
      <c r="K311" s="82"/>
      <c r="L311" s="506"/>
      <c r="M311" s="70"/>
      <c r="N311" s="70"/>
      <c r="O311" s="70"/>
      <c r="P311" s="70"/>
      <c r="Q311" s="70"/>
      <c r="R311" s="70"/>
      <c r="S311" s="70"/>
      <c r="T311" s="70"/>
      <c r="U311" s="70"/>
      <c r="V311" s="70"/>
      <c r="W311" s="70"/>
      <c r="X311" s="70"/>
      <c r="Y311" s="70"/>
    </row>
    <row r="312">
      <c r="A312" s="82"/>
      <c r="B312" s="506"/>
      <c r="C312" s="82"/>
      <c r="D312" s="506"/>
      <c r="E312" s="82"/>
      <c r="F312" s="506"/>
      <c r="G312" s="222"/>
      <c r="H312" s="506"/>
      <c r="I312" s="199"/>
      <c r="J312" s="506"/>
      <c r="K312" s="82"/>
      <c r="L312" s="506"/>
      <c r="M312" s="70"/>
      <c r="N312" s="70"/>
      <c r="O312" s="70"/>
      <c r="P312" s="70"/>
      <c r="Q312" s="70"/>
      <c r="R312" s="70"/>
      <c r="S312" s="70"/>
      <c r="T312" s="70"/>
      <c r="U312" s="70"/>
      <c r="V312" s="70"/>
      <c r="W312" s="70"/>
      <c r="X312" s="70"/>
      <c r="Y312" s="70"/>
    </row>
    <row r="313">
      <c r="A313" s="82"/>
      <c r="B313" s="506"/>
      <c r="C313" s="82"/>
      <c r="D313" s="506"/>
      <c r="E313" s="82"/>
      <c r="F313" s="506"/>
      <c r="G313" s="222"/>
      <c r="H313" s="506"/>
      <c r="I313" s="199"/>
      <c r="J313" s="506"/>
      <c r="K313" s="82"/>
      <c r="L313" s="506"/>
      <c r="M313" s="70"/>
      <c r="N313" s="70"/>
      <c r="O313" s="70"/>
      <c r="P313" s="70"/>
      <c r="Q313" s="70"/>
      <c r="R313" s="70"/>
      <c r="S313" s="70"/>
      <c r="T313" s="70"/>
      <c r="U313" s="70"/>
      <c r="V313" s="70"/>
      <c r="W313" s="70"/>
      <c r="X313" s="70"/>
      <c r="Y313" s="70"/>
    </row>
    <row r="314">
      <c r="A314" s="82"/>
      <c r="B314" s="506"/>
      <c r="C314" s="82"/>
      <c r="D314" s="506"/>
      <c r="E314" s="82"/>
      <c r="F314" s="506"/>
      <c r="G314" s="222"/>
      <c r="H314" s="506"/>
      <c r="I314" s="199"/>
      <c r="J314" s="506"/>
      <c r="K314" s="82"/>
      <c r="L314" s="506"/>
      <c r="M314" s="70"/>
      <c r="N314" s="70"/>
      <c r="O314" s="70"/>
      <c r="P314" s="70"/>
      <c r="Q314" s="70"/>
      <c r="R314" s="70"/>
      <c r="S314" s="70"/>
      <c r="T314" s="70"/>
      <c r="U314" s="70"/>
      <c r="V314" s="70"/>
      <c r="W314" s="70"/>
      <c r="X314" s="70"/>
      <c r="Y314" s="70"/>
    </row>
    <row r="315">
      <c r="A315" s="82"/>
      <c r="B315" s="506"/>
      <c r="C315" s="82"/>
      <c r="D315" s="506"/>
      <c r="E315" s="82"/>
      <c r="F315" s="506"/>
      <c r="G315" s="222"/>
      <c r="H315" s="506"/>
      <c r="I315" s="199"/>
      <c r="J315" s="506"/>
      <c r="K315" s="82"/>
      <c r="L315" s="506"/>
      <c r="M315" s="70"/>
      <c r="N315" s="70"/>
      <c r="O315" s="70"/>
      <c r="P315" s="70"/>
      <c r="Q315" s="70"/>
      <c r="R315" s="70"/>
      <c r="S315" s="70"/>
      <c r="T315" s="70"/>
      <c r="U315" s="70"/>
      <c r="V315" s="70"/>
      <c r="W315" s="70"/>
      <c r="X315" s="70"/>
      <c r="Y315" s="70"/>
    </row>
    <row r="316">
      <c r="A316" s="82"/>
      <c r="B316" s="506"/>
      <c r="C316" s="82"/>
      <c r="D316" s="506"/>
      <c r="E316" s="82"/>
      <c r="F316" s="506"/>
      <c r="G316" s="222"/>
      <c r="H316" s="506"/>
      <c r="I316" s="199"/>
      <c r="J316" s="506"/>
      <c r="K316" s="82"/>
      <c r="L316" s="506"/>
      <c r="M316" s="70"/>
      <c r="N316" s="70"/>
      <c r="O316" s="70"/>
      <c r="P316" s="70"/>
      <c r="Q316" s="70"/>
      <c r="R316" s="70"/>
      <c r="S316" s="70"/>
      <c r="T316" s="70"/>
      <c r="U316" s="70"/>
      <c r="V316" s="70"/>
      <c r="W316" s="70"/>
      <c r="X316" s="70"/>
      <c r="Y316" s="70"/>
    </row>
    <row r="317">
      <c r="A317" s="82"/>
      <c r="B317" s="506"/>
      <c r="C317" s="82"/>
      <c r="D317" s="506"/>
      <c r="E317" s="82"/>
      <c r="F317" s="506"/>
      <c r="G317" s="222"/>
      <c r="H317" s="506"/>
      <c r="I317" s="199"/>
      <c r="J317" s="506"/>
      <c r="K317" s="82"/>
      <c r="L317" s="506"/>
      <c r="M317" s="70"/>
      <c r="N317" s="70"/>
      <c r="O317" s="70"/>
      <c r="P317" s="70"/>
      <c r="Q317" s="70"/>
      <c r="R317" s="70"/>
      <c r="S317" s="70"/>
      <c r="T317" s="70"/>
      <c r="U317" s="70"/>
      <c r="V317" s="70"/>
      <c r="W317" s="70"/>
      <c r="X317" s="70"/>
      <c r="Y317" s="70"/>
    </row>
    <row r="318">
      <c r="A318" s="82"/>
      <c r="B318" s="506"/>
      <c r="C318" s="82"/>
      <c r="D318" s="506"/>
      <c r="E318" s="82"/>
      <c r="F318" s="506"/>
      <c r="G318" s="222"/>
      <c r="H318" s="506"/>
      <c r="I318" s="199"/>
      <c r="J318" s="506"/>
      <c r="K318" s="82"/>
      <c r="L318" s="506"/>
      <c r="M318" s="70"/>
      <c r="N318" s="70"/>
      <c r="O318" s="70"/>
      <c r="P318" s="70"/>
      <c r="Q318" s="70"/>
      <c r="R318" s="70"/>
      <c r="S318" s="70"/>
      <c r="T318" s="70"/>
      <c r="U318" s="70"/>
      <c r="V318" s="70"/>
      <c r="W318" s="70"/>
      <c r="X318" s="70"/>
      <c r="Y318" s="70"/>
    </row>
    <row r="319">
      <c r="A319" s="82"/>
      <c r="B319" s="506"/>
      <c r="C319" s="82"/>
      <c r="D319" s="506"/>
      <c r="E319" s="82"/>
      <c r="F319" s="506"/>
      <c r="G319" s="222"/>
      <c r="H319" s="506"/>
      <c r="I319" s="199"/>
      <c r="J319" s="506"/>
      <c r="K319" s="82"/>
      <c r="L319" s="506"/>
      <c r="M319" s="70"/>
      <c r="N319" s="70"/>
      <c r="O319" s="70"/>
      <c r="P319" s="70"/>
      <c r="Q319" s="70"/>
      <c r="R319" s="70"/>
      <c r="S319" s="70"/>
      <c r="T319" s="70"/>
      <c r="U319" s="70"/>
      <c r="V319" s="70"/>
      <c r="W319" s="70"/>
      <c r="X319" s="70"/>
      <c r="Y319" s="70"/>
    </row>
    <row r="320">
      <c r="A320" s="82"/>
      <c r="B320" s="506"/>
      <c r="C320" s="82"/>
      <c r="D320" s="506"/>
      <c r="E320" s="82"/>
      <c r="F320" s="506"/>
      <c r="G320" s="222"/>
      <c r="H320" s="506"/>
      <c r="I320" s="199"/>
      <c r="J320" s="506"/>
      <c r="K320" s="82"/>
      <c r="L320" s="506"/>
      <c r="M320" s="70"/>
      <c r="N320" s="70"/>
      <c r="O320" s="70"/>
      <c r="P320" s="70"/>
      <c r="Q320" s="70"/>
      <c r="R320" s="70"/>
      <c r="S320" s="70"/>
      <c r="T320" s="70"/>
      <c r="U320" s="70"/>
      <c r="V320" s="70"/>
      <c r="W320" s="70"/>
      <c r="X320" s="70"/>
      <c r="Y320" s="70"/>
    </row>
    <row r="321">
      <c r="A321" s="82"/>
      <c r="B321" s="506"/>
      <c r="C321" s="82"/>
      <c r="D321" s="506"/>
      <c r="E321" s="82"/>
      <c r="F321" s="506"/>
      <c r="G321" s="222"/>
      <c r="H321" s="506"/>
      <c r="I321" s="199"/>
      <c r="J321" s="506"/>
      <c r="K321" s="82"/>
      <c r="L321" s="506"/>
      <c r="M321" s="70"/>
      <c r="N321" s="70"/>
      <c r="O321" s="70"/>
      <c r="P321" s="70"/>
      <c r="Q321" s="70"/>
      <c r="R321" s="70"/>
      <c r="S321" s="70"/>
      <c r="T321" s="70"/>
      <c r="U321" s="70"/>
      <c r="V321" s="70"/>
      <c r="W321" s="70"/>
      <c r="X321" s="70"/>
      <c r="Y321" s="70"/>
    </row>
    <row r="322">
      <c r="A322" s="82"/>
      <c r="B322" s="506"/>
      <c r="C322" s="82"/>
      <c r="D322" s="506"/>
      <c r="E322" s="82"/>
      <c r="F322" s="506"/>
      <c r="G322" s="222"/>
      <c r="H322" s="506"/>
      <c r="I322" s="199"/>
      <c r="J322" s="506"/>
      <c r="K322" s="82"/>
      <c r="L322" s="506"/>
      <c r="M322" s="70"/>
      <c r="N322" s="70"/>
      <c r="O322" s="70"/>
      <c r="P322" s="70"/>
      <c r="Q322" s="70"/>
      <c r="R322" s="70"/>
      <c r="S322" s="70"/>
      <c r="T322" s="70"/>
      <c r="U322" s="70"/>
      <c r="V322" s="70"/>
      <c r="W322" s="70"/>
      <c r="X322" s="70"/>
      <c r="Y322" s="70"/>
    </row>
    <row r="323">
      <c r="A323" s="82"/>
      <c r="B323" s="506"/>
      <c r="C323" s="82"/>
      <c r="D323" s="506"/>
      <c r="E323" s="82"/>
      <c r="F323" s="506"/>
      <c r="G323" s="222"/>
      <c r="H323" s="506"/>
      <c r="I323" s="199"/>
      <c r="J323" s="506"/>
      <c r="K323" s="82"/>
      <c r="L323" s="506"/>
      <c r="M323" s="70"/>
      <c r="N323" s="70"/>
      <c r="O323" s="70"/>
      <c r="P323" s="70"/>
      <c r="Q323" s="70"/>
      <c r="R323" s="70"/>
      <c r="S323" s="70"/>
      <c r="T323" s="70"/>
      <c r="U323" s="70"/>
      <c r="V323" s="70"/>
      <c r="W323" s="70"/>
      <c r="X323" s="70"/>
      <c r="Y323" s="70"/>
    </row>
    <row r="324">
      <c r="A324" s="82"/>
      <c r="B324" s="506"/>
      <c r="C324" s="82"/>
      <c r="D324" s="506"/>
      <c r="E324" s="82"/>
      <c r="F324" s="506"/>
      <c r="G324" s="222"/>
      <c r="H324" s="506"/>
      <c r="I324" s="199"/>
      <c r="J324" s="506"/>
      <c r="K324" s="82"/>
      <c r="L324" s="506"/>
      <c r="M324" s="70"/>
      <c r="N324" s="70"/>
      <c r="O324" s="70"/>
      <c r="P324" s="70"/>
      <c r="Q324" s="70"/>
      <c r="R324" s="70"/>
      <c r="S324" s="70"/>
      <c r="T324" s="70"/>
      <c r="U324" s="70"/>
      <c r="V324" s="70"/>
      <c r="W324" s="70"/>
      <c r="X324" s="70"/>
      <c r="Y324" s="70"/>
    </row>
    <row r="325">
      <c r="A325" s="82"/>
      <c r="B325" s="506"/>
      <c r="C325" s="82"/>
      <c r="D325" s="506"/>
      <c r="E325" s="82"/>
      <c r="F325" s="506"/>
      <c r="G325" s="222"/>
      <c r="H325" s="506"/>
      <c r="I325" s="199"/>
      <c r="J325" s="506"/>
      <c r="K325" s="82"/>
      <c r="L325" s="506"/>
      <c r="M325" s="70"/>
      <c r="N325" s="70"/>
      <c r="O325" s="70"/>
      <c r="P325" s="70"/>
      <c r="Q325" s="70"/>
      <c r="R325" s="70"/>
      <c r="S325" s="70"/>
      <c r="T325" s="70"/>
      <c r="U325" s="70"/>
      <c r="V325" s="70"/>
      <c r="W325" s="70"/>
      <c r="X325" s="70"/>
      <c r="Y325" s="70"/>
    </row>
    <row r="326">
      <c r="A326" s="82"/>
      <c r="B326" s="506"/>
      <c r="C326" s="82"/>
      <c r="D326" s="506"/>
      <c r="E326" s="82"/>
      <c r="F326" s="506"/>
      <c r="G326" s="222"/>
      <c r="H326" s="506"/>
      <c r="I326" s="199"/>
      <c r="J326" s="506"/>
      <c r="K326" s="82"/>
      <c r="L326" s="506"/>
      <c r="M326" s="70"/>
      <c r="N326" s="70"/>
      <c r="O326" s="70"/>
      <c r="P326" s="70"/>
      <c r="Q326" s="70"/>
      <c r="R326" s="70"/>
      <c r="S326" s="70"/>
      <c r="T326" s="70"/>
      <c r="U326" s="70"/>
      <c r="V326" s="70"/>
      <c r="W326" s="70"/>
      <c r="X326" s="70"/>
      <c r="Y326" s="70"/>
    </row>
    <row r="327">
      <c r="A327" s="82"/>
      <c r="B327" s="506"/>
      <c r="C327" s="82"/>
      <c r="D327" s="506"/>
      <c r="E327" s="82"/>
      <c r="F327" s="506"/>
      <c r="G327" s="222"/>
      <c r="H327" s="506"/>
      <c r="I327" s="199"/>
      <c r="J327" s="506"/>
      <c r="K327" s="82"/>
      <c r="L327" s="506"/>
      <c r="M327" s="70"/>
      <c r="N327" s="70"/>
      <c r="O327" s="70"/>
      <c r="P327" s="70"/>
      <c r="Q327" s="70"/>
      <c r="R327" s="70"/>
      <c r="S327" s="70"/>
      <c r="T327" s="70"/>
      <c r="U327" s="70"/>
      <c r="V327" s="70"/>
      <c r="W327" s="70"/>
      <c r="X327" s="70"/>
      <c r="Y327" s="70"/>
    </row>
    <row r="328">
      <c r="A328" s="82"/>
      <c r="B328" s="506"/>
      <c r="C328" s="82"/>
      <c r="D328" s="506"/>
      <c r="E328" s="82"/>
      <c r="F328" s="506"/>
      <c r="G328" s="222"/>
      <c r="H328" s="506"/>
      <c r="I328" s="199"/>
      <c r="J328" s="506"/>
      <c r="K328" s="82"/>
      <c r="L328" s="506"/>
      <c r="M328" s="70"/>
      <c r="N328" s="70"/>
      <c r="O328" s="70"/>
      <c r="P328" s="70"/>
      <c r="Q328" s="70"/>
      <c r="R328" s="70"/>
      <c r="S328" s="70"/>
      <c r="T328" s="70"/>
      <c r="U328" s="70"/>
      <c r="V328" s="70"/>
      <c r="W328" s="70"/>
      <c r="X328" s="70"/>
      <c r="Y328" s="70"/>
    </row>
    <row r="329">
      <c r="A329" s="82"/>
      <c r="B329" s="506"/>
      <c r="C329" s="82"/>
      <c r="D329" s="506"/>
      <c r="E329" s="82"/>
      <c r="F329" s="506"/>
      <c r="G329" s="222"/>
      <c r="H329" s="506"/>
      <c r="I329" s="199"/>
      <c r="J329" s="506"/>
      <c r="K329" s="82"/>
      <c r="L329" s="506"/>
      <c r="M329" s="70"/>
      <c r="N329" s="70"/>
      <c r="O329" s="70"/>
      <c r="P329" s="70"/>
      <c r="Q329" s="70"/>
      <c r="R329" s="70"/>
      <c r="S329" s="70"/>
      <c r="T329" s="70"/>
      <c r="U329" s="70"/>
      <c r="V329" s="70"/>
      <c r="W329" s="70"/>
      <c r="X329" s="70"/>
      <c r="Y329" s="70"/>
    </row>
    <row r="330">
      <c r="A330" s="82"/>
      <c r="B330" s="506"/>
      <c r="C330" s="82"/>
      <c r="D330" s="506"/>
      <c r="E330" s="82"/>
      <c r="F330" s="506"/>
      <c r="G330" s="222"/>
      <c r="H330" s="506"/>
      <c r="I330" s="199"/>
      <c r="J330" s="506"/>
      <c r="K330" s="82"/>
      <c r="L330" s="506"/>
      <c r="M330" s="70"/>
      <c r="N330" s="70"/>
      <c r="O330" s="70"/>
      <c r="P330" s="70"/>
      <c r="Q330" s="70"/>
      <c r="R330" s="70"/>
      <c r="S330" s="70"/>
      <c r="T330" s="70"/>
      <c r="U330" s="70"/>
      <c r="V330" s="70"/>
      <c r="W330" s="70"/>
      <c r="X330" s="70"/>
      <c r="Y330" s="70"/>
    </row>
    <row r="331">
      <c r="A331" s="82"/>
      <c r="B331" s="506"/>
      <c r="C331" s="82"/>
      <c r="D331" s="506"/>
      <c r="E331" s="82"/>
      <c r="F331" s="506"/>
      <c r="G331" s="222"/>
      <c r="H331" s="506"/>
      <c r="I331" s="199"/>
      <c r="J331" s="506"/>
      <c r="K331" s="82"/>
      <c r="L331" s="506"/>
      <c r="M331" s="70"/>
      <c r="N331" s="70"/>
      <c r="O331" s="70"/>
      <c r="P331" s="70"/>
      <c r="Q331" s="70"/>
      <c r="R331" s="70"/>
      <c r="S331" s="70"/>
      <c r="T331" s="70"/>
      <c r="U331" s="70"/>
      <c r="V331" s="70"/>
      <c r="W331" s="70"/>
      <c r="X331" s="70"/>
      <c r="Y331" s="70"/>
    </row>
    <row r="332">
      <c r="A332" s="82"/>
      <c r="B332" s="506"/>
      <c r="C332" s="82"/>
      <c r="D332" s="506"/>
      <c r="E332" s="82"/>
      <c r="F332" s="506"/>
      <c r="G332" s="222"/>
      <c r="H332" s="506"/>
      <c r="I332" s="199"/>
      <c r="J332" s="506"/>
      <c r="K332" s="82"/>
      <c r="L332" s="506"/>
      <c r="M332" s="70"/>
      <c r="N332" s="70"/>
      <c r="O332" s="70"/>
      <c r="P332" s="70"/>
      <c r="Q332" s="70"/>
      <c r="R332" s="70"/>
      <c r="S332" s="70"/>
      <c r="T332" s="70"/>
      <c r="U332" s="70"/>
      <c r="V332" s="70"/>
      <c r="W332" s="70"/>
      <c r="X332" s="70"/>
      <c r="Y332" s="70"/>
    </row>
    <row r="333">
      <c r="A333" s="82"/>
      <c r="B333" s="506"/>
      <c r="C333" s="82"/>
      <c r="D333" s="506"/>
      <c r="E333" s="82"/>
      <c r="F333" s="506"/>
      <c r="G333" s="222"/>
      <c r="H333" s="506"/>
      <c r="I333" s="199"/>
      <c r="J333" s="506"/>
      <c r="K333" s="82"/>
      <c r="L333" s="506"/>
      <c r="M333" s="70"/>
      <c r="N333" s="70"/>
      <c r="O333" s="70"/>
      <c r="P333" s="70"/>
      <c r="Q333" s="70"/>
      <c r="R333" s="70"/>
      <c r="S333" s="70"/>
      <c r="T333" s="70"/>
      <c r="U333" s="70"/>
      <c r="V333" s="70"/>
      <c r="W333" s="70"/>
      <c r="X333" s="70"/>
      <c r="Y333" s="70"/>
    </row>
    <row r="334">
      <c r="A334" s="82"/>
      <c r="B334" s="506"/>
      <c r="C334" s="82"/>
      <c r="D334" s="506"/>
      <c r="E334" s="82"/>
      <c r="F334" s="506"/>
      <c r="G334" s="222"/>
      <c r="H334" s="506"/>
      <c r="I334" s="199"/>
      <c r="J334" s="506"/>
      <c r="K334" s="82"/>
      <c r="L334" s="506"/>
      <c r="M334" s="70"/>
      <c r="N334" s="70"/>
      <c r="O334" s="70"/>
      <c r="P334" s="70"/>
      <c r="Q334" s="70"/>
      <c r="R334" s="70"/>
      <c r="S334" s="70"/>
      <c r="T334" s="70"/>
      <c r="U334" s="70"/>
      <c r="V334" s="70"/>
      <c r="W334" s="70"/>
      <c r="X334" s="70"/>
      <c r="Y334" s="70"/>
    </row>
    <row r="335">
      <c r="A335" s="82"/>
      <c r="B335" s="506"/>
      <c r="C335" s="82"/>
      <c r="D335" s="506"/>
      <c r="E335" s="82"/>
      <c r="F335" s="506"/>
      <c r="G335" s="222"/>
      <c r="H335" s="506"/>
      <c r="I335" s="199"/>
      <c r="J335" s="506"/>
      <c r="K335" s="82"/>
      <c r="L335" s="506"/>
      <c r="M335" s="70"/>
      <c r="N335" s="70"/>
      <c r="O335" s="70"/>
      <c r="P335" s="70"/>
      <c r="Q335" s="70"/>
      <c r="R335" s="70"/>
      <c r="S335" s="70"/>
      <c r="T335" s="70"/>
      <c r="U335" s="70"/>
      <c r="V335" s="70"/>
      <c r="W335" s="70"/>
      <c r="X335" s="70"/>
      <c r="Y335" s="70"/>
    </row>
    <row r="336">
      <c r="A336" s="82"/>
      <c r="B336" s="506"/>
      <c r="C336" s="82"/>
      <c r="D336" s="506"/>
      <c r="E336" s="82"/>
      <c r="F336" s="506"/>
      <c r="G336" s="222"/>
      <c r="H336" s="506"/>
      <c r="I336" s="199"/>
      <c r="J336" s="506"/>
      <c r="K336" s="82"/>
      <c r="L336" s="506"/>
      <c r="M336" s="70"/>
      <c r="N336" s="70"/>
      <c r="O336" s="70"/>
      <c r="P336" s="70"/>
      <c r="Q336" s="70"/>
      <c r="R336" s="70"/>
      <c r="S336" s="70"/>
      <c r="T336" s="70"/>
      <c r="U336" s="70"/>
      <c r="V336" s="70"/>
      <c r="W336" s="70"/>
      <c r="X336" s="70"/>
      <c r="Y336" s="70"/>
    </row>
    <row r="337">
      <c r="A337" s="82"/>
      <c r="B337" s="506"/>
      <c r="C337" s="82"/>
      <c r="D337" s="506"/>
      <c r="E337" s="82"/>
      <c r="F337" s="506"/>
      <c r="G337" s="222"/>
      <c r="H337" s="506"/>
      <c r="I337" s="199"/>
      <c r="J337" s="506"/>
      <c r="K337" s="82"/>
      <c r="L337" s="506"/>
      <c r="M337" s="70"/>
      <c r="N337" s="70"/>
      <c r="O337" s="70"/>
      <c r="P337" s="70"/>
      <c r="Q337" s="70"/>
      <c r="R337" s="70"/>
      <c r="S337" s="70"/>
      <c r="T337" s="70"/>
      <c r="U337" s="70"/>
      <c r="V337" s="70"/>
      <c r="W337" s="70"/>
      <c r="X337" s="70"/>
      <c r="Y337" s="70"/>
    </row>
    <row r="338">
      <c r="A338" s="82"/>
      <c r="B338" s="506"/>
      <c r="C338" s="82"/>
      <c r="D338" s="506"/>
      <c r="E338" s="82"/>
      <c r="F338" s="506"/>
      <c r="G338" s="222"/>
      <c r="H338" s="506"/>
      <c r="I338" s="199"/>
      <c r="J338" s="506"/>
      <c r="K338" s="82"/>
      <c r="L338" s="506"/>
      <c r="M338" s="70"/>
      <c r="N338" s="70"/>
      <c r="O338" s="70"/>
      <c r="P338" s="70"/>
      <c r="Q338" s="70"/>
      <c r="R338" s="70"/>
      <c r="S338" s="70"/>
      <c r="T338" s="70"/>
      <c r="U338" s="70"/>
      <c r="V338" s="70"/>
      <c r="W338" s="70"/>
      <c r="X338" s="70"/>
      <c r="Y338" s="70"/>
    </row>
    <row r="339">
      <c r="A339" s="82"/>
      <c r="B339" s="506"/>
      <c r="C339" s="82"/>
      <c r="D339" s="506"/>
      <c r="E339" s="82"/>
      <c r="F339" s="506"/>
      <c r="G339" s="222"/>
      <c r="H339" s="506"/>
      <c r="I339" s="199"/>
      <c r="J339" s="506"/>
      <c r="K339" s="82"/>
      <c r="L339" s="506"/>
      <c r="M339" s="70"/>
      <c r="N339" s="70"/>
      <c r="O339" s="70"/>
      <c r="P339" s="70"/>
      <c r="Q339" s="70"/>
      <c r="R339" s="70"/>
      <c r="S339" s="70"/>
      <c r="T339" s="70"/>
      <c r="U339" s="70"/>
      <c r="V339" s="70"/>
      <c r="W339" s="70"/>
      <c r="X339" s="70"/>
      <c r="Y339" s="70"/>
    </row>
    <row r="340">
      <c r="A340" s="82"/>
      <c r="B340" s="506"/>
      <c r="C340" s="82"/>
      <c r="D340" s="506"/>
      <c r="E340" s="82"/>
      <c r="F340" s="506"/>
      <c r="G340" s="222"/>
      <c r="H340" s="506"/>
      <c r="I340" s="199"/>
      <c r="J340" s="506"/>
      <c r="K340" s="82"/>
      <c r="L340" s="506"/>
      <c r="M340" s="70"/>
      <c r="N340" s="70"/>
      <c r="O340" s="70"/>
      <c r="P340" s="70"/>
      <c r="Q340" s="70"/>
      <c r="R340" s="70"/>
      <c r="S340" s="70"/>
      <c r="T340" s="70"/>
      <c r="U340" s="70"/>
      <c r="V340" s="70"/>
      <c r="W340" s="70"/>
      <c r="X340" s="70"/>
      <c r="Y340" s="70"/>
    </row>
    <row r="341">
      <c r="A341" s="82"/>
      <c r="B341" s="506"/>
      <c r="C341" s="82"/>
      <c r="D341" s="506"/>
      <c r="E341" s="82"/>
      <c r="F341" s="506"/>
      <c r="G341" s="222"/>
      <c r="H341" s="506"/>
      <c r="I341" s="199"/>
      <c r="J341" s="506"/>
      <c r="K341" s="82"/>
      <c r="L341" s="506"/>
      <c r="M341" s="70"/>
      <c r="N341" s="70"/>
      <c r="O341" s="70"/>
      <c r="P341" s="70"/>
      <c r="Q341" s="70"/>
      <c r="R341" s="70"/>
      <c r="S341" s="70"/>
      <c r="T341" s="70"/>
      <c r="U341" s="70"/>
      <c r="V341" s="70"/>
      <c r="W341" s="70"/>
      <c r="X341" s="70"/>
      <c r="Y341" s="70"/>
    </row>
    <row r="342">
      <c r="A342" s="82"/>
      <c r="B342" s="506"/>
      <c r="C342" s="82"/>
      <c r="D342" s="506"/>
      <c r="E342" s="82"/>
      <c r="F342" s="506"/>
      <c r="G342" s="222"/>
      <c r="H342" s="506"/>
      <c r="I342" s="199"/>
      <c r="J342" s="506"/>
      <c r="K342" s="82"/>
      <c r="L342" s="506"/>
      <c r="M342" s="70"/>
      <c r="N342" s="70"/>
      <c r="O342" s="70"/>
      <c r="P342" s="70"/>
      <c r="Q342" s="70"/>
      <c r="R342" s="70"/>
      <c r="S342" s="70"/>
      <c r="T342" s="70"/>
      <c r="U342" s="70"/>
      <c r="V342" s="70"/>
      <c r="W342" s="70"/>
      <c r="X342" s="70"/>
      <c r="Y342" s="70"/>
    </row>
    <row r="343">
      <c r="A343" s="82"/>
      <c r="B343" s="506"/>
      <c r="C343" s="82"/>
      <c r="D343" s="506"/>
      <c r="E343" s="82"/>
      <c r="F343" s="506"/>
      <c r="G343" s="222"/>
      <c r="H343" s="506"/>
      <c r="I343" s="199"/>
      <c r="J343" s="506"/>
      <c r="K343" s="82"/>
      <c r="L343" s="506"/>
      <c r="M343" s="70"/>
      <c r="N343" s="70"/>
      <c r="O343" s="70"/>
      <c r="P343" s="70"/>
      <c r="Q343" s="70"/>
      <c r="R343" s="70"/>
      <c r="S343" s="70"/>
      <c r="T343" s="70"/>
      <c r="U343" s="70"/>
      <c r="V343" s="70"/>
      <c r="W343" s="70"/>
      <c r="X343" s="70"/>
      <c r="Y343" s="70"/>
    </row>
    <row r="344">
      <c r="A344" s="82"/>
      <c r="B344" s="506"/>
      <c r="C344" s="82"/>
      <c r="D344" s="506"/>
      <c r="E344" s="82"/>
      <c r="F344" s="506"/>
      <c r="G344" s="222"/>
      <c r="H344" s="506"/>
      <c r="I344" s="199"/>
      <c r="J344" s="506"/>
      <c r="K344" s="82"/>
      <c r="L344" s="506"/>
      <c r="M344" s="70"/>
      <c r="N344" s="70"/>
      <c r="O344" s="70"/>
      <c r="P344" s="70"/>
      <c r="Q344" s="70"/>
      <c r="R344" s="70"/>
      <c r="S344" s="70"/>
      <c r="T344" s="70"/>
      <c r="U344" s="70"/>
      <c r="V344" s="70"/>
      <c r="W344" s="70"/>
      <c r="X344" s="70"/>
      <c r="Y344" s="70"/>
    </row>
    <row r="345">
      <c r="A345" s="82"/>
      <c r="B345" s="506"/>
      <c r="C345" s="82"/>
      <c r="D345" s="506"/>
      <c r="E345" s="82"/>
      <c r="F345" s="506"/>
      <c r="G345" s="222"/>
      <c r="H345" s="506"/>
      <c r="I345" s="199"/>
      <c r="J345" s="506"/>
      <c r="K345" s="82"/>
      <c r="L345" s="506"/>
      <c r="M345" s="70"/>
      <c r="N345" s="70"/>
      <c r="O345" s="70"/>
      <c r="P345" s="70"/>
      <c r="Q345" s="70"/>
      <c r="R345" s="70"/>
      <c r="S345" s="70"/>
      <c r="T345" s="70"/>
      <c r="U345" s="70"/>
      <c r="V345" s="70"/>
      <c r="W345" s="70"/>
      <c r="X345" s="70"/>
      <c r="Y345" s="70"/>
    </row>
    <row r="346">
      <c r="A346" s="82"/>
      <c r="B346" s="506"/>
      <c r="C346" s="82"/>
      <c r="D346" s="506"/>
      <c r="E346" s="82"/>
      <c r="F346" s="506"/>
      <c r="G346" s="222"/>
      <c r="H346" s="506"/>
      <c r="I346" s="199"/>
      <c r="J346" s="506"/>
      <c r="K346" s="82"/>
      <c r="L346" s="506"/>
      <c r="M346" s="70"/>
      <c r="N346" s="70"/>
      <c r="O346" s="70"/>
      <c r="P346" s="70"/>
      <c r="Q346" s="70"/>
      <c r="R346" s="70"/>
      <c r="S346" s="70"/>
      <c r="T346" s="70"/>
      <c r="U346" s="70"/>
      <c r="V346" s="70"/>
      <c r="W346" s="70"/>
      <c r="X346" s="70"/>
      <c r="Y346" s="70"/>
    </row>
    <row r="347">
      <c r="A347" s="82"/>
      <c r="B347" s="506"/>
      <c r="C347" s="82"/>
      <c r="D347" s="506"/>
      <c r="E347" s="82"/>
      <c r="F347" s="506"/>
      <c r="G347" s="222"/>
      <c r="H347" s="506"/>
      <c r="I347" s="199"/>
      <c r="J347" s="506"/>
      <c r="K347" s="82"/>
      <c r="L347" s="506"/>
      <c r="M347" s="70"/>
      <c r="N347" s="70"/>
      <c r="O347" s="70"/>
      <c r="P347" s="70"/>
      <c r="Q347" s="70"/>
      <c r="R347" s="70"/>
      <c r="S347" s="70"/>
      <c r="T347" s="70"/>
      <c r="U347" s="70"/>
      <c r="V347" s="70"/>
      <c r="W347" s="70"/>
      <c r="X347" s="70"/>
      <c r="Y347" s="70"/>
    </row>
    <row r="348">
      <c r="A348" s="82"/>
      <c r="B348" s="506"/>
      <c r="C348" s="82"/>
      <c r="D348" s="506"/>
      <c r="E348" s="82"/>
      <c r="F348" s="506"/>
      <c r="G348" s="222"/>
      <c r="H348" s="506"/>
      <c r="I348" s="199"/>
      <c r="J348" s="506"/>
      <c r="K348" s="82"/>
      <c r="L348" s="506"/>
      <c r="M348" s="70"/>
      <c r="N348" s="70"/>
      <c r="O348" s="70"/>
      <c r="P348" s="70"/>
      <c r="Q348" s="70"/>
      <c r="R348" s="70"/>
      <c r="S348" s="70"/>
      <c r="T348" s="70"/>
      <c r="U348" s="70"/>
      <c r="V348" s="70"/>
      <c r="W348" s="70"/>
      <c r="X348" s="70"/>
      <c r="Y348" s="70"/>
    </row>
    <row r="349">
      <c r="A349" s="82"/>
      <c r="B349" s="506"/>
      <c r="C349" s="82"/>
      <c r="D349" s="506"/>
      <c r="E349" s="82"/>
      <c r="F349" s="506"/>
      <c r="G349" s="222"/>
      <c r="H349" s="506"/>
      <c r="I349" s="199"/>
      <c r="J349" s="506"/>
      <c r="K349" s="82"/>
      <c r="L349" s="506"/>
      <c r="M349" s="70"/>
      <c r="N349" s="70"/>
      <c r="O349" s="70"/>
      <c r="P349" s="70"/>
      <c r="Q349" s="70"/>
      <c r="R349" s="70"/>
      <c r="S349" s="70"/>
      <c r="T349" s="70"/>
      <c r="U349" s="70"/>
      <c r="V349" s="70"/>
      <c r="W349" s="70"/>
      <c r="X349" s="70"/>
      <c r="Y349" s="70"/>
    </row>
    <row r="350">
      <c r="A350" s="82"/>
      <c r="B350" s="506"/>
      <c r="C350" s="82"/>
      <c r="D350" s="506"/>
      <c r="E350" s="82"/>
      <c r="F350" s="506"/>
      <c r="G350" s="222"/>
      <c r="H350" s="506"/>
      <c r="I350" s="199"/>
      <c r="J350" s="506"/>
      <c r="K350" s="82"/>
      <c r="L350" s="506"/>
      <c r="M350" s="70"/>
      <c r="N350" s="70"/>
      <c r="O350" s="70"/>
      <c r="P350" s="70"/>
      <c r="Q350" s="70"/>
      <c r="R350" s="70"/>
      <c r="S350" s="70"/>
      <c r="T350" s="70"/>
      <c r="U350" s="70"/>
      <c r="V350" s="70"/>
      <c r="W350" s="70"/>
      <c r="X350" s="70"/>
      <c r="Y350" s="70"/>
    </row>
    <row r="351">
      <c r="A351" s="82"/>
      <c r="B351" s="506"/>
      <c r="C351" s="82"/>
      <c r="D351" s="506"/>
      <c r="E351" s="82"/>
      <c r="F351" s="506"/>
      <c r="G351" s="222"/>
      <c r="H351" s="506"/>
      <c r="I351" s="199"/>
      <c r="J351" s="506"/>
      <c r="K351" s="82"/>
      <c r="L351" s="506"/>
      <c r="M351" s="70"/>
      <c r="N351" s="70"/>
      <c r="O351" s="70"/>
      <c r="P351" s="70"/>
      <c r="Q351" s="70"/>
      <c r="R351" s="70"/>
      <c r="S351" s="70"/>
      <c r="T351" s="70"/>
      <c r="U351" s="70"/>
      <c r="V351" s="70"/>
      <c r="W351" s="70"/>
      <c r="X351" s="70"/>
      <c r="Y351" s="70"/>
    </row>
    <row r="352">
      <c r="A352" s="82"/>
      <c r="B352" s="506"/>
      <c r="C352" s="82"/>
      <c r="D352" s="506"/>
      <c r="E352" s="82"/>
      <c r="F352" s="506"/>
      <c r="G352" s="222"/>
      <c r="H352" s="506"/>
      <c r="I352" s="199"/>
      <c r="J352" s="506"/>
      <c r="K352" s="82"/>
      <c r="L352" s="506"/>
      <c r="M352" s="70"/>
      <c r="N352" s="70"/>
      <c r="O352" s="70"/>
      <c r="P352" s="70"/>
      <c r="Q352" s="70"/>
      <c r="R352" s="70"/>
      <c r="S352" s="70"/>
      <c r="T352" s="70"/>
      <c r="U352" s="70"/>
      <c r="V352" s="70"/>
      <c r="W352" s="70"/>
      <c r="X352" s="70"/>
      <c r="Y352" s="70"/>
    </row>
    <row r="353">
      <c r="A353" s="82"/>
      <c r="B353" s="506"/>
      <c r="C353" s="82"/>
      <c r="D353" s="506"/>
      <c r="E353" s="82"/>
      <c r="F353" s="506"/>
      <c r="G353" s="222"/>
      <c r="H353" s="506"/>
      <c r="I353" s="199"/>
      <c r="J353" s="506"/>
      <c r="K353" s="82"/>
      <c r="L353" s="506"/>
      <c r="M353" s="70"/>
      <c r="N353" s="70"/>
      <c r="O353" s="70"/>
      <c r="P353" s="70"/>
      <c r="Q353" s="70"/>
      <c r="R353" s="70"/>
      <c r="S353" s="70"/>
      <c r="T353" s="70"/>
      <c r="U353" s="70"/>
      <c r="V353" s="70"/>
      <c r="W353" s="70"/>
      <c r="X353" s="70"/>
      <c r="Y353" s="70"/>
    </row>
    <row r="354">
      <c r="A354" s="82"/>
      <c r="B354" s="506"/>
      <c r="C354" s="82"/>
      <c r="D354" s="506"/>
      <c r="E354" s="82"/>
      <c r="F354" s="506"/>
      <c r="G354" s="222"/>
      <c r="H354" s="506"/>
      <c r="I354" s="199"/>
      <c r="J354" s="506"/>
      <c r="K354" s="82"/>
      <c r="L354" s="506"/>
      <c r="M354" s="70"/>
      <c r="N354" s="70"/>
      <c r="O354" s="70"/>
      <c r="P354" s="70"/>
      <c r="Q354" s="70"/>
      <c r="R354" s="70"/>
      <c r="S354" s="70"/>
      <c r="T354" s="70"/>
      <c r="U354" s="70"/>
      <c r="V354" s="70"/>
      <c r="W354" s="70"/>
      <c r="X354" s="70"/>
      <c r="Y354" s="70"/>
    </row>
    <row r="355">
      <c r="A355" s="82"/>
      <c r="B355" s="506"/>
      <c r="C355" s="82"/>
      <c r="D355" s="506"/>
      <c r="E355" s="82"/>
      <c r="F355" s="506"/>
      <c r="G355" s="222"/>
      <c r="H355" s="506"/>
      <c r="I355" s="199"/>
      <c r="J355" s="506"/>
      <c r="K355" s="82"/>
      <c r="L355" s="506"/>
      <c r="M355" s="70"/>
      <c r="N355" s="70"/>
      <c r="O355" s="70"/>
      <c r="P355" s="70"/>
      <c r="Q355" s="70"/>
      <c r="R355" s="70"/>
      <c r="S355" s="70"/>
      <c r="T355" s="70"/>
      <c r="U355" s="70"/>
      <c r="V355" s="70"/>
      <c r="W355" s="70"/>
      <c r="X355" s="70"/>
      <c r="Y355" s="70"/>
    </row>
    <row r="356">
      <c r="A356" s="82"/>
      <c r="B356" s="506"/>
      <c r="C356" s="82"/>
      <c r="D356" s="506"/>
      <c r="E356" s="82"/>
      <c r="F356" s="506"/>
      <c r="G356" s="222"/>
      <c r="H356" s="506"/>
      <c r="I356" s="199"/>
      <c r="J356" s="506"/>
      <c r="K356" s="82"/>
      <c r="L356" s="506"/>
      <c r="M356" s="70"/>
      <c r="N356" s="70"/>
      <c r="O356" s="70"/>
      <c r="P356" s="70"/>
      <c r="Q356" s="70"/>
      <c r="R356" s="70"/>
      <c r="S356" s="70"/>
      <c r="T356" s="70"/>
      <c r="U356" s="70"/>
      <c r="V356" s="70"/>
      <c r="W356" s="70"/>
      <c r="X356" s="70"/>
      <c r="Y356" s="70"/>
    </row>
    <row r="357">
      <c r="A357" s="82"/>
      <c r="B357" s="506"/>
      <c r="C357" s="82"/>
      <c r="D357" s="506"/>
      <c r="E357" s="82"/>
      <c r="F357" s="506"/>
      <c r="G357" s="222"/>
      <c r="H357" s="506"/>
      <c r="I357" s="199"/>
      <c r="J357" s="506"/>
      <c r="K357" s="82"/>
      <c r="L357" s="506"/>
      <c r="M357" s="70"/>
      <c r="N357" s="70"/>
      <c r="O357" s="70"/>
      <c r="P357" s="70"/>
      <c r="Q357" s="70"/>
      <c r="R357" s="70"/>
      <c r="S357" s="70"/>
      <c r="T357" s="70"/>
      <c r="U357" s="70"/>
      <c r="V357" s="70"/>
      <c r="W357" s="70"/>
      <c r="X357" s="70"/>
      <c r="Y357" s="70"/>
    </row>
    <row r="358">
      <c r="A358" s="82"/>
      <c r="B358" s="506"/>
      <c r="C358" s="82"/>
      <c r="D358" s="506"/>
      <c r="E358" s="82"/>
      <c r="F358" s="506"/>
      <c r="G358" s="222"/>
      <c r="H358" s="506"/>
      <c r="I358" s="199"/>
      <c r="J358" s="506"/>
      <c r="K358" s="82"/>
      <c r="L358" s="506"/>
      <c r="M358" s="70"/>
      <c r="N358" s="70"/>
      <c r="O358" s="70"/>
      <c r="P358" s="70"/>
      <c r="Q358" s="70"/>
      <c r="R358" s="70"/>
      <c r="S358" s="70"/>
      <c r="T358" s="70"/>
      <c r="U358" s="70"/>
      <c r="V358" s="70"/>
      <c r="W358" s="70"/>
      <c r="X358" s="70"/>
      <c r="Y358" s="70"/>
    </row>
    <row r="359">
      <c r="A359" s="82"/>
      <c r="B359" s="506"/>
      <c r="C359" s="82"/>
      <c r="D359" s="506"/>
      <c r="E359" s="82"/>
      <c r="F359" s="506"/>
      <c r="G359" s="222"/>
      <c r="H359" s="506"/>
      <c r="I359" s="199"/>
      <c r="J359" s="506"/>
      <c r="K359" s="82"/>
      <c r="L359" s="506"/>
      <c r="M359" s="70"/>
      <c r="N359" s="70"/>
      <c r="O359" s="70"/>
      <c r="P359" s="70"/>
      <c r="Q359" s="70"/>
      <c r="R359" s="70"/>
      <c r="S359" s="70"/>
      <c r="T359" s="70"/>
      <c r="U359" s="70"/>
      <c r="V359" s="70"/>
      <c r="W359" s="70"/>
      <c r="X359" s="70"/>
      <c r="Y359" s="70"/>
    </row>
    <row r="360">
      <c r="A360" s="82"/>
      <c r="B360" s="506"/>
      <c r="C360" s="82"/>
      <c r="D360" s="506"/>
      <c r="E360" s="82"/>
      <c r="F360" s="506"/>
      <c r="G360" s="222"/>
      <c r="H360" s="506"/>
      <c r="I360" s="199"/>
      <c r="J360" s="506"/>
      <c r="K360" s="82"/>
      <c r="L360" s="506"/>
      <c r="M360" s="70"/>
      <c r="N360" s="70"/>
      <c r="O360" s="70"/>
      <c r="P360" s="70"/>
      <c r="Q360" s="70"/>
      <c r="R360" s="70"/>
      <c r="S360" s="70"/>
      <c r="T360" s="70"/>
      <c r="U360" s="70"/>
      <c r="V360" s="70"/>
      <c r="W360" s="70"/>
      <c r="X360" s="70"/>
      <c r="Y360" s="70"/>
    </row>
    <row r="361">
      <c r="A361" s="82"/>
      <c r="B361" s="506"/>
      <c r="C361" s="82"/>
      <c r="D361" s="506"/>
      <c r="E361" s="82"/>
      <c r="F361" s="506"/>
      <c r="G361" s="222"/>
      <c r="H361" s="506"/>
      <c r="I361" s="199"/>
      <c r="J361" s="506"/>
      <c r="K361" s="82"/>
      <c r="L361" s="506"/>
      <c r="M361" s="70"/>
      <c r="N361" s="70"/>
      <c r="O361" s="70"/>
      <c r="P361" s="70"/>
      <c r="Q361" s="70"/>
      <c r="R361" s="70"/>
      <c r="S361" s="70"/>
      <c r="T361" s="70"/>
      <c r="U361" s="70"/>
      <c r="V361" s="70"/>
      <c r="W361" s="70"/>
      <c r="X361" s="70"/>
      <c r="Y361" s="70"/>
    </row>
    <row r="362">
      <c r="A362" s="82"/>
      <c r="B362" s="506"/>
      <c r="C362" s="82"/>
      <c r="D362" s="506"/>
      <c r="E362" s="82"/>
      <c r="F362" s="506"/>
      <c r="G362" s="222"/>
      <c r="H362" s="506"/>
      <c r="I362" s="199"/>
      <c r="J362" s="506"/>
      <c r="K362" s="82"/>
      <c r="L362" s="506"/>
      <c r="M362" s="70"/>
      <c r="N362" s="70"/>
      <c r="O362" s="70"/>
      <c r="P362" s="70"/>
      <c r="Q362" s="70"/>
      <c r="R362" s="70"/>
      <c r="S362" s="70"/>
      <c r="T362" s="70"/>
      <c r="U362" s="70"/>
      <c r="V362" s="70"/>
      <c r="W362" s="70"/>
      <c r="X362" s="70"/>
      <c r="Y362" s="70"/>
    </row>
    <row r="363">
      <c r="A363" s="82"/>
      <c r="B363" s="506"/>
      <c r="C363" s="82"/>
      <c r="D363" s="506"/>
      <c r="E363" s="82"/>
      <c r="F363" s="506"/>
      <c r="G363" s="222"/>
      <c r="H363" s="506"/>
      <c r="I363" s="199"/>
      <c r="J363" s="506"/>
      <c r="K363" s="82"/>
      <c r="L363" s="506"/>
      <c r="M363" s="70"/>
      <c r="N363" s="70"/>
      <c r="O363" s="70"/>
      <c r="P363" s="70"/>
      <c r="Q363" s="70"/>
      <c r="R363" s="70"/>
      <c r="S363" s="70"/>
      <c r="T363" s="70"/>
      <c r="U363" s="70"/>
      <c r="V363" s="70"/>
      <c r="W363" s="70"/>
      <c r="X363" s="70"/>
      <c r="Y363" s="70"/>
    </row>
    <row r="364">
      <c r="A364" s="82"/>
      <c r="B364" s="506"/>
      <c r="C364" s="82"/>
      <c r="D364" s="506"/>
      <c r="E364" s="82"/>
      <c r="F364" s="506"/>
      <c r="G364" s="222"/>
      <c r="H364" s="506"/>
      <c r="I364" s="199"/>
      <c r="J364" s="506"/>
      <c r="K364" s="82"/>
      <c r="L364" s="506"/>
      <c r="M364" s="70"/>
      <c r="N364" s="70"/>
      <c r="O364" s="70"/>
      <c r="P364" s="70"/>
      <c r="Q364" s="70"/>
      <c r="R364" s="70"/>
      <c r="S364" s="70"/>
      <c r="T364" s="70"/>
      <c r="U364" s="70"/>
      <c r="V364" s="70"/>
      <c r="W364" s="70"/>
      <c r="X364" s="70"/>
      <c r="Y364" s="70"/>
    </row>
    <row r="365">
      <c r="A365" s="82"/>
      <c r="B365" s="506"/>
      <c r="C365" s="82"/>
      <c r="D365" s="506"/>
      <c r="E365" s="82"/>
      <c r="F365" s="506"/>
      <c r="G365" s="222"/>
      <c r="H365" s="506"/>
      <c r="I365" s="199"/>
      <c r="J365" s="506"/>
      <c r="K365" s="82"/>
      <c r="L365" s="506"/>
      <c r="M365" s="70"/>
      <c r="N365" s="70"/>
      <c r="O365" s="70"/>
      <c r="P365" s="70"/>
      <c r="Q365" s="70"/>
      <c r="R365" s="70"/>
      <c r="S365" s="70"/>
      <c r="T365" s="70"/>
      <c r="U365" s="70"/>
      <c r="V365" s="70"/>
      <c r="W365" s="70"/>
      <c r="X365" s="70"/>
      <c r="Y365" s="70"/>
    </row>
    <row r="366">
      <c r="A366" s="82"/>
      <c r="B366" s="506"/>
      <c r="C366" s="82"/>
      <c r="D366" s="506"/>
      <c r="E366" s="82"/>
      <c r="F366" s="506"/>
      <c r="G366" s="222"/>
      <c r="H366" s="506"/>
      <c r="I366" s="199"/>
      <c r="J366" s="506"/>
      <c r="K366" s="82"/>
      <c r="L366" s="506"/>
      <c r="M366" s="70"/>
      <c r="N366" s="70"/>
      <c r="O366" s="70"/>
      <c r="P366" s="70"/>
      <c r="Q366" s="70"/>
      <c r="R366" s="70"/>
      <c r="S366" s="70"/>
      <c r="T366" s="70"/>
      <c r="U366" s="70"/>
      <c r="V366" s="70"/>
      <c r="W366" s="70"/>
      <c r="X366" s="70"/>
      <c r="Y366" s="70"/>
    </row>
    <row r="367">
      <c r="A367" s="82"/>
      <c r="B367" s="506"/>
      <c r="C367" s="82"/>
      <c r="D367" s="506"/>
      <c r="E367" s="82"/>
      <c r="F367" s="506"/>
      <c r="G367" s="222"/>
      <c r="H367" s="506"/>
      <c r="I367" s="199"/>
      <c r="J367" s="506"/>
      <c r="K367" s="82"/>
      <c r="L367" s="506"/>
      <c r="M367" s="70"/>
      <c r="N367" s="70"/>
      <c r="O367" s="70"/>
      <c r="P367" s="70"/>
      <c r="Q367" s="70"/>
      <c r="R367" s="70"/>
      <c r="S367" s="70"/>
      <c r="T367" s="70"/>
      <c r="U367" s="70"/>
      <c r="V367" s="70"/>
      <c r="W367" s="70"/>
      <c r="X367" s="70"/>
      <c r="Y367" s="70"/>
    </row>
    <row r="368">
      <c r="A368" s="82"/>
      <c r="B368" s="506"/>
      <c r="C368" s="82"/>
      <c r="D368" s="506"/>
      <c r="E368" s="82"/>
      <c r="F368" s="506"/>
      <c r="G368" s="222"/>
      <c r="H368" s="506"/>
      <c r="I368" s="199"/>
      <c r="J368" s="506"/>
      <c r="K368" s="82"/>
      <c r="L368" s="506"/>
      <c r="M368" s="70"/>
      <c r="N368" s="70"/>
      <c r="O368" s="70"/>
      <c r="P368" s="70"/>
      <c r="Q368" s="70"/>
      <c r="R368" s="70"/>
      <c r="S368" s="70"/>
      <c r="T368" s="70"/>
      <c r="U368" s="70"/>
      <c r="V368" s="70"/>
      <c r="W368" s="70"/>
      <c r="X368" s="70"/>
      <c r="Y368" s="70"/>
    </row>
    <row r="369">
      <c r="A369" s="82"/>
      <c r="B369" s="506"/>
      <c r="C369" s="82"/>
      <c r="D369" s="506"/>
      <c r="E369" s="82"/>
      <c r="F369" s="506"/>
      <c r="G369" s="222"/>
      <c r="H369" s="506"/>
      <c r="I369" s="199"/>
      <c r="J369" s="506"/>
      <c r="K369" s="82"/>
      <c r="L369" s="506"/>
      <c r="M369" s="70"/>
      <c r="N369" s="70"/>
      <c r="O369" s="70"/>
      <c r="P369" s="70"/>
      <c r="Q369" s="70"/>
      <c r="R369" s="70"/>
      <c r="S369" s="70"/>
      <c r="T369" s="70"/>
      <c r="U369" s="70"/>
      <c r="V369" s="70"/>
      <c r="W369" s="70"/>
      <c r="X369" s="70"/>
      <c r="Y369" s="70"/>
    </row>
    <row r="370">
      <c r="A370" s="82"/>
      <c r="B370" s="506"/>
      <c r="C370" s="82"/>
      <c r="D370" s="506"/>
      <c r="E370" s="82"/>
      <c r="F370" s="506"/>
      <c r="G370" s="222"/>
      <c r="H370" s="506"/>
      <c r="I370" s="199"/>
      <c r="J370" s="506"/>
      <c r="K370" s="82"/>
      <c r="L370" s="506"/>
      <c r="M370" s="70"/>
      <c r="N370" s="70"/>
      <c r="O370" s="70"/>
      <c r="P370" s="70"/>
      <c r="Q370" s="70"/>
      <c r="R370" s="70"/>
      <c r="S370" s="70"/>
      <c r="T370" s="70"/>
      <c r="U370" s="70"/>
      <c r="V370" s="70"/>
      <c r="W370" s="70"/>
      <c r="X370" s="70"/>
      <c r="Y370" s="70"/>
    </row>
    <row r="371">
      <c r="A371" s="82"/>
      <c r="B371" s="506"/>
      <c r="C371" s="82"/>
      <c r="D371" s="506"/>
      <c r="E371" s="82"/>
      <c r="F371" s="506"/>
      <c r="G371" s="222"/>
      <c r="H371" s="506"/>
      <c r="I371" s="199"/>
      <c r="J371" s="506"/>
      <c r="K371" s="82"/>
      <c r="L371" s="506"/>
      <c r="M371" s="70"/>
      <c r="N371" s="70"/>
      <c r="O371" s="70"/>
      <c r="P371" s="70"/>
      <c r="Q371" s="70"/>
      <c r="R371" s="70"/>
      <c r="S371" s="70"/>
      <c r="T371" s="70"/>
      <c r="U371" s="70"/>
      <c r="V371" s="70"/>
      <c r="W371" s="70"/>
      <c r="X371" s="70"/>
      <c r="Y371" s="70"/>
    </row>
    <row r="372">
      <c r="A372" s="82"/>
      <c r="B372" s="506"/>
      <c r="C372" s="82"/>
      <c r="D372" s="506"/>
      <c r="E372" s="82"/>
      <c r="F372" s="506"/>
      <c r="G372" s="222"/>
      <c r="H372" s="506"/>
      <c r="I372" s="199"/>
      <c r="J372" s="506"/>
      <c r="K372" s="82"/>
      <c r="L372" s="506"/>
      <c r="M372" s="70"/>
      <c r="N372" s="70"/>
      <c r="O372" s="70"/>
      <c r="P372" s="70"/>
      <c r="Q372" s="70"/>
      <c r="R372" s="70"/>
      <c r="S372" s="70"/>
      <c r="T372" s="70"/>
      <c r="U372" s="70"/>
      <c r="V372" s="70"/>
      <c r="W372" s="70"/>
      <c r="X372" s="70"/>
      <c r="Y372" s="70"/>
    </row>
    <row r="373">
      <c r="A373" s="82"/>
      <c r="B373" s="506"/>
      <c r="C373" s="82"/>
      <c r="D373" s="506"/>
      <c r="E373" s="82"/>
      <c r="F373" s="506"/>
      <c r="G373" s="222"/>
      <c r="H373" s="506"/>
      <c r="I373" s="199"/>
      <c r="J373" s="506"/>
      <c r="K373" s="82"/>
      <c r="L373" s="506"/>
      <c r="M373" s="70"/>
      <c r="N373" s="70"/>
      <c r="O373" s="70"/>
      <c r="P373" s="70"/>
      <c r="Q373" s="70"/>
      <c r="R373" s="70"/>
      <c r="S373" s="70"/>
      <c r="T373" s="70"/>
      <c r="U373" s="70"/>
      <c r="V373" s="70"/>
      <c r="W373" s="70"/>
      <c r="X373" s="70"/>
      <c r="Y373" s="70"/>
    </row>
    <row r="374">
      <c r="A374" s="82"/>
      <c r="B374" s="506"/>
      <c r="C374" s="82"/>
      <c r="D374" s="506"/>
      <c r="E374" s="82"/>
      <c r="F374" s="506"/>
      <c r="G374" s="222"/>
      <c r="H374" s="506"/>
      <c r="I374" s="199"/>
      <c r="J374" s="506"/>
      <c r="K374" s="82"/>
      <c r="L374" s="506"/>
      <c r="M374" s="70"/>
      <c r="N374" s="70"/>
      <c r="O374" s="70"/>
      <c r="P374" s="70"/>
      <c r="Q374" s="70"/>
      <c r="R374" s="70"/>
      <c r="S374" s="70"/>
      <c r="T374" s="70"/>
      <c r="U374" s="70"/>
      <c r="V374" s="70"/>
      <c r="W374" s="70"/>
      <c r="X374" s="70"/>
      <c r="Y374" s="70"/>
    </row>
    <row r="375">
      <c r="A375" s="82"/>
      <c r="B375" s="506"/>
      <c r="C375" s="82"/>
      <c r="D375" s="506"/>
      <c r="E375" s="82"/>
      <c r="F375" s="506"/>
      <c r="G375" s="222"/>
      <c r="H375" s="506"/>
      <c r="I375" s="199"/>
      <c r="J375" s="506"/>
      <c r="K375" s="82"/>
      <c r="L375" s="506"/>
      <c r="M375" s="70"/>
      <c r="N375" s="70"/>
      <c r="O375" s="70"/>
      <c r="P375" s="70"/>
      <c r="Q375" s="70"/>
      <c r="R375" s="70"/>
      <c r="S375" s="70"/>
      <c r="T375" s="70"/>
      <c r="U375" s="70"/>
      <c r="V375" s="70"/>
      <c r="W375" s="70"/>
      <c r="X375" s="70"/>
      <c r="Y375" s="70"/>
    </row>
    <row r="376">
      <c r="A376" s="82"/>
      <c r="B376" s="506"/>
      <c r="C376" s="82"/>
      <c r="D376" s="506"/>
      <c r="E376" s="82"/>
      <c r="F376" s="506"/>
      <c r="G376" s="222"/>
      <c r="H376" s="506"/>
      <c r="I376" s="199"/>
      <c r="J376" s="506"/>
      <c r="K376" s="82"/>
      <c r="L376" s="506"/>
      <c r="M376" s="70"/>
      <c r="N376" s="70"/>
      <c r="O376" s="70"/>
      <c r="P376" s="70"/>
      <c r="Q376" s="70"/>
      <c r="R376" s="70"/>
      <c r="S376" s="70"/>
      <c r="T376" s="70"/>
      <c r="U376" s="70"/>
      <c r="V376" s="70"/>
      <c r="W376" s="70"/>
      <c r="X376" s="70"/>
      <c r="Y376" s="70"/>
    </row>
    <row r="377">
      <c r="A377" s="82"/>
      <c r="B377" s="506"/>
      <c r="C377" s="82"/>
      <c r="D377" s="506"/>
      <c r="E377" s="82"/>
      <c r="F377" s="506"/>
      <c r="G377" s="222"/>
      <c r="H377" s="506"/>
      <c r="I377" s="199"/>
      <c r="J377" s="506"/>
      <c r="K377" s="82"/>
      <c r="L377" s="506"/>
      <c r="M377" s="70"/>
      <c r="N377" s="70"/>
      <c r="O377" s="70"/>
      <c r="P377" s="70"/>
      <c r="Q377" s="70"/>
      <c r="R377" s="70"/>
      <c r="S377" s="70"/>
      <c r="T377" s="70"/>
      <c r="U377" s="70"/>
      <c r="V377" s="70"/>
      <c r="W377" s="70"/>
      <c r="X377" s="70"/>
      <c r="Y377" s="70"/>
    </row>
    <row r="378">
      <c r="A378" s="82"/>
      <c r="B378" s="506"/>
      <c r="C378" s="82"/>
      <c r="D378" s="506"/>
      <c r="E378" s="82"/>
      <c r="F378" s="506"/>
      <c r="G378" s="222"/>
      <c r="H378" s="506"/>
      <c r="I378" s="199"/>
      <c r="J378" s="506"/>
      <c r="K378" s="82"/>
      <c r="L378" s="506"/>
      <c r="M378" s="70"/>
      <c r="N378" s="70"/>
      <c r="O378" s="70"/>
      <c r="P378" s="70"/>
      <c r="Q378" s="70"/>
      <c r="R378" s="70"/>
      <c r="S378" s="70"/>
      <c r="T378" s="70"/>
      <c r="U378" s="70"/>
      <c r="V378" s="70"/>
      <c r="W378" s="70"/>
      <c r="X378" s="70"/>
      <c r="Y378" s="70"/>
    </row>
    <row r="379">
      <c r="A379" s="82"/>
      <c r="B379" s="506"/>
      <c r="C379" s="82"/>
      <c r="D379" s="506"/>
      <c r="E379" s="82"/>
      <c r="F379" s="506"/>
      <c r="G379" s="222"/>
      <c r="H379" s="506"/>
      <c r="I379" s="199"/>
      <c r="J379" s="506"/>
      <c r="K379" s="82"/>
      <c r="L379" s="506"/>
      <c r="M379" s="70"/>
      <c r="N379" s="70"/>
      <c r="O379" s="70"/>
      <c r="P379" s="70"/>
      <c r="Q379" s="70"/>
      <c r="R379" s="70"/>
      <c r="S379" s="70"/>
      <c r="T379" s="70"/>
      <c r="U379" s="70"/>
      <c r="V379" s="70"/>
      <c r="W379" s="70"/>
      <c r="X379" s="70"/>
      <c r="Y379" s="70"/>
    </row>
    <row r="380">
      <c r="A380" s="82"/>
      <c r="B380" s="506"/>
      <c r="C380" s="82"/>
      <c r="D380" s="506"/>
      <c r="E380" s="82"/>
      <c r="F380" s="506"/>
      <c r="G380" s="222"/>
      <c r="H380" s="506"/>
      <c r="I380" s="199"/>
      <c r="J380" s="506"/>
      <c r="K380" s="82"/>
      <c r="L380" s="506"/>
      <c r="M380" s="70"/>
      <c r="N380" s="70"/>
      <c r="O380" s="70"/>
      <c r="P380" s="70"/>
      <c r="Q380" s="70"/>
      <c r="R380" s="70"/>
      <c r="S380" s="70"/>
      <c r="T380" s="70"/>
      <c r="U380" s="70"/>
      <c r="V380" s="70"/>
      <c r="W380" s="70"/>
      <c r="X380" s="70"/>
      <c r="Y380" s="70"/>
    </row>
    <row r="381">
      <c r="A381" s="82"/>
      <c r="B381" s="506"/>
      <c r="C381" s="82"/>
      <c r="D381" s="506"/>
      <c r="E381" s="82"/>
      <c r="F381" s="506"/>
      <c r="G381" s="222"/>
      <c r="H381" s="506"/>
      <c r="I381" s="199"/>
      <c r="J381" s="506"/>
      <c r="K381" s="82"/>
      <c r="L381" s="506"/>
      <c r="M381" s="70"/>
      <c r="N381" s="70"/>
      <c r="O381" s="70"/>
      <c r="P381" s="70"/>
      <c r="Q381" s="70"/>
      <c r="R381" s="70"/>
      <c r="S381" s="70"/>
      <c r="T381" s="70"/>
      <c r="U381" s="70"/>
      <c r="V381" s="70"/>
      <c r="W381" s="70"/>
      <c r="X381" s="70"/>
      <c r="Y381" s="70"/>
    </row>
    <row r="382">
      <c r="A382" s="82"/>
      <c r="B382" s="506"/>
      <c r="C382" s="82"/>
      <c r="D382" s="506"/>
      <c r="E382" s="82"/>
      <c r="F382" s="506"/>
      <c r="G382" s="222"/>
      <c r="H382" s="506"/>
      <c r="I382" s="199"/>
      <c r="J382" s="506"/>
      <c r="K382" s="82"/>
      <c r="L382" s="506"/>
      <c r="M382" s="70"/>
      <c r="N382" s="70"/>
      <c r="O382" s="70"/>
      <c r="P382" s="70"/>
      <c r="Q382" s="70"/>
      <c r="R382" s="70"/>
      <c r="S382" s="70"/>
      <c r="T382" s="70"/>
      <c r="U382" s="70"/>
      <c r="V382" s="70"/>
      <c r="W382" s="70"/>
      <c r="X382" s="70"/>
      <c r="Y382" s="70"/>
    </row>
    <row r="383">
      <c r="A383" s="82"/>
      <c r="B383" s="506"/>
      <c r="C383" s="82"/>
      <c r="D383" s="506"/>
      <c r="E383" s="82"/>
      <c r="F383" s="506"/>
      <c r="G383" s="222"/>
      <c r="H383" s="506"/>
      <c r="I383" s="199"/>
      <c r="J383" s="506"/>
      <c r="K383" s="82"/>
      <c r="L383" s="506"/>
      <c r="M383" s="70"/>
      <c r="N383" s="70"/>
      <c r="O383" s="70"/>
      <c r="P383" s="70"/>
      <c r="Q383" s="70"/>
      <c r="R383" s="70"/>
      <c r="S383" s="70"/>
      <c r="T383" s="70"/>
      <c r="U383" s="70"/>
      <c r="V383" s="70"/>
      <c r="W383" s="70"/>
      <c r="X383" s="70"/>
      <c r="Y383" s="70"/>
    </row>
    <row r="384">
      <c r="A384" s="82"/>
      <c r="B384" s="506"/>
      <c r="C384" s="82"/>
      <c r="D384" s="506"/>
      <c r="E384" s="82"/>
      <c r="F384" s="506"/>
      <c r="G384" s="222"/>
      <c r="H384" s="506"/>
      <c r="I384" s="199"/>
      <c r="J384" s="506"/>
      <c r="K384" s="82"/>
      <c r="L384" s="506"/>
      <c r="M384" s="70"/>
      <c r="N384" s="70"/>
      <c r="O384" s="70"/>
      <c r="P384" s="70"/>
      <c r="Q384" s="70"/>
      <c r="R384" s="70"/>
      <c r="S384" s="70"/>
      <c r="T384" s="70"/>
      <c r="U384" s="70"/>
      <c r="V384" s="70"/>
      <c r="W384" s="70"/>
      <c r="X384" s="70"/>
      <c r="Y384" s="70"/>
    </row>
    <row r="385">
      <c r="A385" s="82"/>
      <c r="B385" s="506"/>
      <c r="C385" s="82"/>
      <c r="D385" s="506"/>
      <c r="E385" s="82"/>
      <c r="F385" s="506"/>
      <c r="G385" s="222"/>
      <c r="H385" s="506"/>
      <c r="I385" s="199"/>
      <c r="J385" s="506"/>
      <c r="K385" s="82"/>
      <c r="L385" s="506"/>
      <c r="M385" s="70"/>
      <c r="N385" s="70"/>
      <c r="O385" s="70"/>
      <c r="P385" s="70"/>
      <c r="Q385" s="70"/>
      <c r="R385" s="70"/>
      <c r="S385" s="70"/>
      <c r="T385" s="70"/>
      <c r="U385" s="70"/>
      <c r="V385" s="70"/>
      <c r="W385" s="70"/>
      <c r="X385" s="70"/>
      <c r="Y385" s="70"/>
    </row>
    <row r="386">
      <c r="A386" s="82"/>
      <c r="B386" s="506"/>
      <c r="C386" s="82"/>
      <c r="D386" s="506"/>
      <c r="E386" s="82"/>
      <c r="F386" s="506"/>
      <c r="G386" s="222"/>
      <c r="H386" s="506"/>
      <c r="I386" s="199"/>
      <c r="J386" s="506"/>
      <c r="K386" s="82"/>
      <c r="L386" s="506"/>
      <c r="M386" s="70"/>
      <c r="N386" s="70"/>
      <c r="O386" s="70"/>
      <c r="P386" s="70"/>
      <c r="Q386" s="70"/>
      <c r="R386" s="70"/>
      <c r="S386" s="70"/>
      <c r="T386" s="70"/>
      <c r="U386" s="70"/>
      <c r="V386" s="70"/>
      <c r="W386" s="70"/>
      <c r="X386" s="70"/>
      <c r="Y386" s="70"/>
    </row>
    <row r="387">
      <c r="A387" s="82"/>
      <c r="B387" s="506"/>
      <c r="C387" s="82"/>
      <c r="D387" s="506"/>
      <c r="E387" s="82"/>
      <c r="F387" s="506"/>
      <c r="G387" s="222"/>
      <c r="H387" s="506"/>
      <c r="I387" s="199"/>
      <c r="J387" s="506"/>
      <c r="K387" s="82"/>
      <c r="L387" s="506"/>
      <c r="M387" s="70"/>
      <c r="N387" s="70"/>
      <c r="O387" s="70"/>
      <c r="P387" s="70"/>
      <c r="Q387" s="70"/>
      <c r="R387" s="70"/>
      <c r="S387" s="70"/>
      <c r="T387" s="70"/>
      <c r="U387" s="70"/>
      <c r="V387" s="70"/>
      <c r="W387" s="70"/>
      <c r="X387" s="70"/>
      <c r="Y387" s="70"/>
    </row>
    <row r="388">
      <c r="A388" s="82"/>
      <c r="B388" s="506"/>
      <c r="C388" s="82"/>
      <c r="D388" s="506"/>
      <c r="E388" s="82"/>
      <c r="F388" s="506"/>
      <c r="G388" s="222"/>
      <c r="H388" s="506"/>
      <c r="I388" s="199"/>
      <c r="J388" s="506"/>
      <c r="K388" s="82"/>
      <c r="L388" s="506"/>
      <c r="M388" s="70"/>
      <c r="N388" s="70"/>
      <c r="O388" s="70"/>
      <c r="P388" s="70"/>
      <c r="Q388" s="70"/>
      <c r="R388" s="70"/>
      <c r="S388" s="70"/>
      <c r="T388" s="70"/>
      <c r="U388" s="70"/>
      <c r="V388" s="70"/>
      <c r="W388" s="70"/>
      <c r="X388" s="70"/>
      <c r="Y388" s="70"/>
    </row>
    <row r="389">
      <c r="A389" s="82"/>
      <c r="B389" s="506"/>
      <c r="C389" s="82"/>
      <c r="D389" s="506"/>
      <c r="E389" s="82"/>
      <c r="F389" s="506"/>
      <c r="G389" s="222"/>
      <c r="H389" s="506"/>
      <c r="I389" s="199"/>
      <c r="J389" s="506"/>
      <c r="K389" s="82"/>
      <c r="L389" s="506"/>
      <c r="M389" s="70"/>
      <c r="N389" s="70"/>
      <c r="O389" s="70"/>
      <c r="P389" s="70"/>
      <c r="Q389" s="70"/>
      <c r="R389" s="70"/>
      <c r="S389" s="70"/>
      <c r="T389" s="70"/>
      <c r="U389" s="70"/>
      <c r="V389" s="70"/>
      <c r="W389" s="70"/>
      <c r="X389" s="70"/>
      <c r="Y389" s="70"/>
    </row>
    <row r="390">
      <c r="A390" s="82"/>
      <c r="B390" s="506"/>
      <c r="C390" s="82"/>
      <c r="D390" s="506"/>
      <c r="E390" s="82"/>
      <c r="F390" s="506"/>
      <c r="G390" s="222"/>
      <c r="H390" s="506"/>
      <c r="I390" s="199"/>
      <c r="J390" s="506"/>
      <c r="K390" s="82"/>
      <c r="L390" s="506"/>
      <c r="M390" s="70"/>
      <c r="N390" s="70"/>
      <c r="O390" s="70"/>
      <c r="P390" s="70"/>
      <c r="Q390" s="70"/>
      <c r="R390" s="70"/>
      <c r="S390" s="70"/>
      <c r="T390" s="70"/>
      <c r="U390" s="70"/>
      <c r="V390" s="70"/>
      <c r="W390" s="70"/>
      <c r="X390" s="70"/>
      <c r="Y390" s="70"/>
    </row>
    <row r="391">
      <c r="A391" s="82"/>
      <c r="B391" s="506"/>
      <c r="C391" s="82"/>
      <c r="D391" s="506"/>
      <c r="E391" s="82"/>
      <c r="F391" s="506"/>
      <c r="G391" s="222"/>
      <c r="H391" s="506"/>
      <c r="I391" s="199"/>
      <c r="J391" s="506"/>
      <c r="K391" s="82"/>
      <c r="L391" s="506"/>
      <c r="M391" s="70"/>
      <c r="N391" s="70"/>
      <c r="O391" s="70"/>
      <c r="P391" s="70"/>
      <c r="Q391" s="70"/>
      <c r="R391" s="70"/>
      <c r="S391" s="70"/>
      <c r="T391" s="70"/>
      <c r="U391" s="70"/>
      <c r="V391" s="70"/>
      <c r="W391" s="70"/>
      <c r="X391" s="70"/>
      <c r="Y391" s="70"/>
    </row>
    <row r="392">
      <c r="A392" s="82"/>
      <c r="B392" s="506"/>
      <c r="C392" s="82"/>
      <c r="D392" s="506"/>
      <c r="E392" s="82"/>
      <c r="F392" s="506"/>
      <c r="G392" s="222"/>
      <c r="H392" s="506"/>
      <c r="I392" s="199"/>
      <c r="J392" s="506"/>
      <c r="K392" s="82"/>
      <c r="L392" s="506"/>
      <c r="M392" s="70"/>
      <c r="N392" s="70"/>
      <c r="O392" s="70"/>
      <c r="P392" s="70"/>
      <c r="Q392" s="70"/>
      <c r="R392" s="70"/>
      <c r="S392" s="70"/>
      <c r="T392" s="70"/>
      <c r="U392" s="70"/>
      <c r="V392" s="70"/>
      <c r="W392" s="70"/>
      <c r="X392" s="70"/>
      <c r="Y392" s="70"/>
    </row>
    <row r="393">
      <c r="A393" s="82"/>
      <c r="B393" s="506"/>
      <c r="C393" s="82"/>
      <c r="D393" s="506"/>
      <c r="E393" s="82"/>
      <c r="F393" s="506"/>
      <c r="G393" s="222"/>
      <c r="H393" s="506"/>
      <c r="I393" s="199"/>
      <c r="J393" s="506"/>
      <c r="K393" s="82"/>
      <c r="L393" s="506"/>
      <c r="M393" s="70"/>
      <c r="N393" s="70"/>
      <c r="O393" s="70"/>
      <c r="P393" s="70"/>
      <c r="Q393" s="70"/>
      <c r="R393" s="70"/>
      <c r="S393" s="70"/>
      <c r="T393" s="70"/>
      <c r="U393" s="70"/>
      <c r="V393" s="70"/>
      <c r="W393" s="70"/>
      <c r="X393" s="70"/>
      <c r="Y393" s="70"/>
    </row>
    <row r="394">
      <c r="A394" s="82"/>
      <c r="B394" s="506"/>
      <c r="C394" s="82"/>
      <c r="D394" s="506"/>
      <c r="E394" s="82"/>
      <c r="F394" s="506"/>
      <c r="G394" s="222"/>
      <c r="H394" s="506"/>
      <c r="I394" s="199"/>
      <c r="J394" s="506"/>
      <c r="K394" s="82"/>
      <c r="L394" s="506"/>
      <c r="M394" s="70"/>
      <c r="N394" s="70"/>
      <c r="O394" s="70"/>
      <c r="P394" s="70"/>
      <c r="Q394" s="70"/>
      <c r="R394" s="70"/>
      <c r="S394" s="70"/>
      <c r="T394" s="70"/>
      <c r="U394" s="70"/>
      <c r="V394" s="70"/>
      <c r="W394" s="70"/>
      <c r="X394" s="70"/>
      <c r="Y394" s="70"/>
    </row>
    <row r="395">
      <c r="A395" s="82"/>
      <c r="B395" s="506"/>
      <c r="C395" s="82"/>
      <c r="D395" s="506"/>
      <c r="E395" s="82"/>
      <c r="F395" s="506"/>
      <c r="G395" s="222"/>
      <c r="H395" s="506"/>
      <c r="I395" s="199"/>
      <c r="J395" s="506"/>
      <c r="K395" s="82"/>
      <c r="L395" s="506"/>
      <c r="M395" s="70"/>
      <c r="N395" s="70"/>
      <c r="O395" s="70"/>
      <c r="P395" s="70"/>
      <c r="Q395" s="70"/>
      <c r="R395" s="70"/>
      <c r="S395" s="70"/>
      <c r="T395" s="70"/>
      <c r="U395" s="70"/>
      <c r="V395" s="70"/>
      <c r="W395" s="70"/>
      <c r="X395" s="70"/>
      <c r="Y395" s="70"/>
    </row>
    <row r="396">
      <c r="A396" s="82"/>
      <c r="B396" s="506"/>
      <c r="C396" s="82"/>
      <c r="D396" s="506"/>
      <c r="E396" s="82"/>
      <c r="F396" s="506"/>
      <c r="G396" s="222"/>
      <c r="H396" s="506"/>
      <c r="I396" s="199"/>
      <c r="J396" s="506"/>
      <c r="K396" s="82"/>
      <c r="L396" s="506"/>
      <c r="M396" s="70"/>
      <c r="N396" s="70"/>
      <c r="O396" s="70"/>
      <c r="P396" s="70"/>
      <c r="Q396" s="70"/>
      <c r="R396" s="70"/>
      <c r="S396" s="70"/>
      <c r="T396" s="70"/>
      <c r="U396" s="70"/>
      <c r="V396" s="70"/>
      <c r="W396" s="70"/>
      <c r="X396" s="70"/>
      <c r="Y396" s="70"/>
    </row>
    <row r="397">
      <c r="A397" s="82"/>
      <c r="B397" s="506"/>
      <c r="C397" s="82"/>
      <c r="D397" s="506"/>
      <c r="E397" s="82"/>
      <c r="F397" s="506"/>
      <c r="G397" s="222"/>
      <c r="H397" s="506"/>
      <c r="I397" s="199"/>
      <c r="J397" s="506"/>
      <c r="K397" s="82"/>
      <c r="L397" s="506"/>
      <c r="M397" s="70"/>
      <c r="N397" s="70"/>
      <c r="O397" s="70"/>
      <c r="P397" s="70"/>
      <c r="Q397" s="70"/>
      <c r="R397" s="70"/>
      <c r="S397" s="70"/>
      <c r="T397" s="70"/>
      <c r="U397" s="70"/>
      <c r="V397" s="70"/>
      <c r="W397" s="70"/>
      <c r="X397" s="70"/>
      <c r="Y397" s="70"/>
    </row>
    <row r="398">
      <c r="A398" s="82"/>
      <c r="B398" s="506"/>
      <c r="C398" s="82"/>
      <c r="D398" s="506"/>
      <c r="E398" s="82"/>
      <c r="F398" s="506"/>
      <c r="G398" s="222"/>
      <c r="H398" s="506"/>
      <c r="I398" s="199"/>
      <c r="J398" s="506"/>
      <c r="K398" s="82"/>
      <c r="L398" s="506"/>
      <c r="M398" s="70"/>
      <c r="N398" s="70"/>
      <c r="O398" s="70"/>
      <c r="P398" s="70"/>
      <c r="Q398" s="70"/>
      <c r="R398" s="70"/>
      <c r="S398" s="70"/>
      <c r="T398" s="70"/>
      <c r="U398" s="70"/>
      <c r="V398" s="70"/>
      <c r="W398" s="70"/>
      <c r="X398" s="70"/>
      <c r="Y398" s="70"/>
    </row>
    <row r="399">
      <c r="A399" s="82"/>
      <c r="B399" s="506"/>
      <c r="C399" s="82"/>
      <c r="D399" s="506"/>
      <c r="E399" s="82"/>
      <c r="F399" s="506"/>
      <c r="G399" s="222"/>
      <c r="H399" s="506"/>
      <c r="I399" s="199"/>
      <c r="J399" s="506"/>
      <c r="K399" s="82"/>
      <c r="L399" s="506"/>
      <c r="M399" s="70"/>
      <c r="N399" s="70"/>
      <c r="O399" s="70"/>
      <c r="P399" s="70"/>
      <c r="Q399" s="70"/>
      <c r="R399" s="70"/>
      <c r="S399" s="70"/>
      <c r="T399" s="70"/>
      <c r="U399" s="70"/>
      <c r="V399" s="70"/>
      <c r="W399" s="70"/>
      <c r="X399" s="70"/>
      <c r="Y399" s="70"/>
    </row>
    <row r="400">
      <c r="A400" s="82"/>
      <c r="B400" s="506"/>
      <c r="C400" s="82"/>
      <c r="D400" s="506"/>
      <c r="E400" s="82"/>
      <c r="F400" s="506"/>
      <c r="G400" s="222"/>
      <c r="H400" s="506"/>
      <c r="I400" s="199"/>
      <c r="J400" s="506"/>
      <c r="K400" s="82"/>
      <c r="L400" s="506"/>
      <c r="M400" s="70"/>
      <c r="N400" s="70"/>
      <c r="O400" s="70"/>
      <c r="P400" s="70"/>
      <c r="Q400" s="70"/>
      <c r="R400" s="70"/>
      <c r="S400" s="70"/>
      <c r="T400" s="70"/>
      <c r="U400" s="70"/>
      <c r="V400" s="70"/>
      <c r="W400" s="70"/>
      <c r="X400" s="70"/>
      <c r="Y400" s="70"/>
    </row>
    <row r="401">
      <c r="A401" s="82"/>
      <c r="B401" s="506"/>
      <c r="C401" s="82"/>
      <c r="D401" s="506"/>
      <c r="E401" s="82"/>
      <c r="F401" s="506"/>
      <c r="G401" s="222"/>
      <c r="H401" s="506"/>
      <c r="I401" s="199"/>
      <c r="J401" s="506"/>
      <c r="K401" s="82"/>
      <c r="L401" s="506"/>
      <c r="M401" s="70"/>
      <c r="N401" s="70"/>
      <c r="O401" s="70"/>
      <c r="P401" s="70"/>
      <c r="Q401" s="70"/>
      <c r="R401" s="70"/>
      <c r="S401" s="70"/>
      <c r="T401" s="70"/>
      <c r="U401" s="70"/>
      <c r="V401" s="70"/>
      <c r="W401" s="70"/>
      <c r="X401" s="70"/>
      <c r="Y401" s="70"/>
    </row>
    <row r="402">
      <c r="A402" s="82"/>
      <c r="B402" s="506"/>
      <c r="C402" s="82"/>
      <c r="D402" s="506"/>
      <c r="E402" s="82"/>
      <c r="F402" s="506"/>
      <c r="G402" s="222"/>
      <c r="H402" s="506"/>
      <c r="I402" s="199"/>
      <c r="J402" s="506"/>
      <c r="K402" s="82"/>
      <c r="L402" s="506"/>
      <c r="M402" s="70"/>
      <c r="N402" s="70"/>
      <c r="O402" s="70"/>
      <c r="P402" s="70"/>
      <c r="Q402" s="70"/>
      <c r="R402" s="70"/>
      <c r="S402" s="70"/>
      <c r="T402" s="70"/>
      <c r="U402" s="70"/>
      <c r="V402" s="70"/>
      <c r="W402" s="70"/>
      <c r="X402" s="70"/>
      <c r="Y402" s="70"/>
    </row>
    <row r="403">
      <c r="A403" s="82"/>
      <c r="B403" s="506"/>
      <c r="C403" s="82"/>
      <c r="D403" s="506"/>
      <c r="E403" s="82"/>
      <c r="F403" s="506"/>
      <c r="G403" s="222"/>
      <c r="H403" s="506"/>
      <c r="I403" s="199"/>
      <c r="J403" s="506"/>
      <c r="K403" s="82"/>
      <c r="L403" s="506"/>
      <c r="M403" s="70"/>
      <c r="N403" s="70"/>
      <c r="O403" s="70"/>
      <c r="P403" s="70"/>
      <c r="Q403" s="70"/>
      <c r="R403" s="70"/>
      <c r="S403" s="70"/>
      <c r="T403" s="70"/>
      <c r="U403" s="70"/>
      <c r="V403" s="70"/>
      <c r="W403" s="70"/>
      <c r="X403" s="70"/>
      <c r="Y403" s="70"/>
    </row>
    <row r="404">
      <c r="A404" s="82"/>
      <c r="B404" s="506"/>
      <c r="C404" s="82"/>
      <c r="D404" s="506"/>
      <c r="E404" s="82"/>
      <c r="F404" s="506"/>
      <c r="G404" s="222"/>
      <c r="H404" s="506"/>
      <c r="I404" s="199"/>
      <c r="J404" s="506"/>
      <c r="K404" s="82"/>
      <c r="L404" s="506"/>
      <c r="M404" s="70"/>
      <c r="N404" s="70"/>
      <c r="O404" s="70"/>
      <c r="P404" s="70"/>
      <c r="Q404" s="70"/>
      <c r="R404" s="70"/>
      <c r="S404" s="70"/>
      <c r="T404" s="70"/>
      <c r="U404" s="70"/>
      <c r="V404" s="70"/>
      <c r="W404" s="70"/>
      <c r="X404" s="70"/>
      <c r="Y404" s="70"/>
    </row>
    <row r="405">
      <c r="A405" s="82"/>
      <c r="B405" s="506"/>
      <c r="C405" s="82"/>
      <c r="D405" s="506"/>
      <c r="E405" s="82"/>
      <c r="F405" s="506"/>
      <c r="G405" s="222"/>
      <c r="H405" s="506"/>
      <c r="I405" s="199"/>
      <c r="J405" s="506"/>
      <c r="K405" s="82"/>
      <c r="L405" s="506"/>
      <c r="M405" s="70"/>
      <c r="N405" s="70"/>
      <c r="O405" s="70"/>
      <c r="P405" s="70"/>
      <c r="Q405" s="70"/>
      <c r="R405" s="70"/>
      <c r="S405" s="70"/>
      <c r="T405" s="70"/>
      <c r="U405" s="70"/>
      <c r="V405" s="70"/>
      <c r="W405" s="70"/>
      <c r="X405" s="70"/>
      <c r="Y405" s="70"/>
    </row>
    <row r="406">
      <c r="A406" s="82"/>
      <c r="B406" s="506"/>
      <c r="C406" s="82"/>
      <c r="D406" s="506"/>
      <c r="E406" s="82"/>
      <c r="F406" s="506"/>
      <c r="G406" s="222"/>
      <c r="H406" s="506"/>
      <c r="I406" s="199"/>
      <c r="J406" s="506"/>
      <c r="K406" s="82"/>
      <c r="L406" s="506"/>
      <c r="M406" s="70"/>
      <c r="N406" s="70"/>
      <c r="O406" s="70"/>
      <c r="P406" s="70"/>
      <c r="Q406" s="70"/>
      <c r="R406" s="70"/>
      <c r="S406" s="70"/>
      <c r="T406" s="70"/>
      <c r="U406" s="70"/>
      <c r="V406" s="70"/>
      <c r="W406" s="70"/>
      <c r="X406" s="70"/>
      <c r="Y406" s="70"/>
    </row>
    <row r="407">
      <c r="A407" s="82"/>
      <c r="B407" s="506"/>
      <c r="C407" s="82"/>
      <c r="D407" s="506"/>
      <c r="E407" s="82"/>
      <c r="F407" s="506"/>
      <c r="G407" s="222"/>
      <c r="H407" s="506"/>
      <c r="I407" s="199"/>
      <c r="J407" s="506"/>
      <c r="K407" s="82"/>
      <c r="L407" s="506"/>
      <c r="M407" s="70"/>
      <c r="N407" s="70"/>
      <c r="O407" s="70"/>
      <c r="P407" s="70"/>
      <c r="Q407" s="70"/>
      <c r="R407" s="70"/>
      <c r="S407" s="70"/>
      <c r="T407" s="70"/>
      <c r="U407" s="70"/>
      <c r="V407" s="70"/>
      <c r="W407" s="70"/>
      <c r="X407" s="70"/>
      <c r="Y407" s="70"/>
    </row>
    <row r="408">
      <c r="A408" s="82"/>
      <c r="B408" s="506"/>
      <c r="C408" s="82"/>
      <c r="D408" s="506"/>
      <c r="E408" s="82"/>
      <c r="F408" s="506"/>
      <c r="G408" s="222"/>
      <c r="H408" s="506"/>
      <c r="I408" s="199"/>
      <c r="J408" s="506"/>
      <c r="K408" s="82"/>
      <c r="L408" s="506"/>
      <c r="M408" s="70"/>
      <c r="N408" s="70"/>
      <c r="O408" s="70"/>
      <c r="P408" s="70"/>
      <c r="Q408" s="70"/>
      <c r="R408" s="70"/>
      <c r="S408" s="70"/>
      <c r="T408" s="70"/>
      <c r="U408" s="70"/>
      <c r="V408" s="70"/>
      <c r="W408" s="70"/>
      <c r="X408" s="70"/>
      <c r="Y408" s="70"/>
    </row>
    <row r="409">
      <c r="A409" s="82"/>
      <c r="B409" s="506"/>
      <c r="C409" s="82"/>
      <c r="D409" s="506"/>
      <c r="E409" s="82"/>
      <c r="F409" s="506"/>
      <c r="G409" s="222"/>
      <c r="H409" s="506"/>
      <c r="I409" s="199"/>
      <c r="J409" s="506"/>
      <c r="K409" s="82"/>
      <c r="L409" s="506"/>
      <c r="M409" s="70"/>
      <c r="N409" s="70"/>
      <c r="O409" s="70"/>
      <c r="P409" s="70"/>
      <c r="Q409" s="70"/>
      <c r="R409" s="70"/>
      <c r="S409" s="70"/>
      <c r="T409" s="70"/>
      <c r="U409" s="70"/>
      <c r="V409" s="70"/>
      <c r="W409" s="70"/>
      <c r="X409" s="70"/>
      <c r="Y409" s="70"/>
    </row>
    <row r="410">
      <c r="A410" s="82"/>
      <c r="B410" s="506"/>
      <c r="C410" s="82"/>
      <c r="D410" s="506"/>
      <c r="E410" s="82"/>
      <c r="F410" s="506"/>
      <c r="G410" s="222"/>
      <c r="H410" s="506"/>
      <c r="I410" s="199"/>
      <c r="J410" s="506"/>
      <c r="K410" s="82"/>
      <c r="L410" s="506"/>
      <c r="M410" s="70"/>
      <c r="N410" s="70"/>
      <c r="O410" s="70"/>
      <c r="P410" s="70"/>
      <c r="Q410" s="70"/>
      <c r="R410" s="70"/>
      <c r="S410" s="70"/>
      <c r="T410" s="70"/>
      <c r="U410" s="70"/>
      <c r="V410" s="70"/>
      <c r="W410" s="70"/>
      <c r="X410" s="70"/>
      <c r="Y410" s="70"/>
    </row>
    <row r="411">
      <c r="A411" s="82"/>
      <c r="B411" s="506"/>
      <c r="C411" s="82"/>
      <c r="D411" s="506"/>
      <c r="E411" s="82"/>
      <c r="F411" s="506"/>
      <c r="G411" s="222"/>
      <c r="H411" s="506"/>
      <c r="I411" s="199"/>
      <c r="J411" s="506"/>
      <c r="K411" s="82"/>
      <c r="L411" s="506"/>
      <c r="M411" s="70"/>
      <c r="N411" s="70"/>
      <c r="O411" s="70"/>
      <c r="P411" s="70"/>
      <c r="Q411" s="70"/>
      <c r="R411" s="70"/>
      <c r="S411" s="70"/>
      <c r="T411" s="70"/>
      <c r="U411" s="70"/>
      <c r="V411" s="70"/>
      <c r="W411" s="70"/>
      <c r="X411" s="70"/>
      <c r="Y411" s="70"/>
    </row>
    <row r="412">
      <c r="A412" s="82"/>
      <c r="B412" s="506"/>
      <c r="C412" s="82"/>
      <c r="D412" s="506"/>
      <c r="E412" s="82"/>
      <c r="F412" s="506"/>
      <c r="G412" s="222"/>
      <c r="H412" s="506"/>
      <c r="I412" s="199"/>
      <c r="J412" s="506"/>
      <c r="K412" s="82"/>
      <c r="L412" s="506"/>
      <c r="M412" s="70"/>
      <c r="N412" s="70"/>
      <c r="O412" s="70"/>
      <c r="P412" s="70"/>
      <c r="Q412" s="70"/>
      <c r="R412" s="70"/>
      <c r="S412" s="70"/>
      <c r="T412" s="70"/>
      <c r="U412" s="70"/>
      <c r="V412" s="70"/>
      <c r="W412" s="70"/>
      <c r="X412" s="70"/>
      <c r="Y412" s="70"/>
    </row>
    <row r="413">
      <c r="A413" s="82"/>
      <c r="B413" s="506"/>
      <c r="C413" s="82"/>
      <c r="D413" s="506"/>
      <c r="E413" s="82"/>
      <c r="F413" s="506"/>
      <c r="G413" s="222"/>
      <c r="H413" s="506"/>
      <c r="I413" s="199"/>
      <c r="J413" s="506"/>
      <c r="K413" s="82"/>
      <c r="L413" s="506"/>
      <c r="M413" s="70"/>
      <c r="N413" s="70"/>
      <c r="O413" s="70"/>
      <c r="P413" s="70"/>
      <c r="Q413" s="70"/>
      <c r="R413" s="70"/>
      <c r="S413" s="70"/>
      <c r="T413" s="70"/>
      <c r="U413" s="70"/>
      <c r="V413" s="70"/>
      <c r="W413" s="70"/>
      <c r="X413" s="70"/>
      <c r="Y413" s="70"/>
    </row>
    <row r="414">
      <c r="A414" s="82"/>
      <c r="B414" s="506"/>
      <c r="C414" s="82"/>
      <c r="D414" s="506"/>
      <c r="E414" s="82"/>
      <c r="F414" s="506"/>
      <c r="G414" s="222"/>
      <c r="H414" s="506"/>
      <c r="I414" s="199"/>
      <c r="J414" s="506"/>
      <c r="K414" s="82"/>
      <c r="L414" s="506"/>
      <c r="M414" s="70"/>
      <c r="N414" s="70"/>
      <c r="O414" s="70"/>
      <c r="P414" s="70"/>
      <c r="Q414" s="70"/>
      <c r="R414" s="70"/>
      <c r="S414" s="70"/>
      <c r="T414" s="70"/>
      <c r="U414" s="70"/>
      <c r="V414" s="70"/>
      <c r="W414" s="70"/>
      <c r="X414" s="70"/>
      <c r="Y414" s="70"/>
    </row>
    <row r="415">
      <c r="A415" s="82"/>
      <c r="B415" s="506"/>
      <c r="C415" s="82"/>
      <c r="D415" s="506"/>
      <c r="E415" s="82"/>
      <c r="F415" s="506"/>
      <c r="G415" s="222"/>
      <c r="H415" s="506"/>
      <c r="I415" s="199"/>
      <c r="J415" s="506"/>
      <c r="K415" s="82"/>
      <c r="L415" s="506"/>
      <c r="M415" s="70"/>
      <c r="N415" s="70"/>
      <c r="O415" s="70"/>
      <c r="P415" s="70"/>
      <c r="Q415" s="70"/>
      <c r="R415" s="70"/>
      <c r="S415" s="70"/>
      <c r="T415" s="70"/>
      <c r="U415" s="70"/>
      <c r="V415" s="70"/>
      <c r="W415" s="70"/>
      <c r="X415" s="70"/>
      <c r="Y415" s="70"/>
    </row>
    <row r="416">
      <c r="A416" s="82"/>
      <c r="B416" s="506"/>
      <c r="C416" s="82"/>
      <c r="D416" s="506"/>
      <c r="E416" s="82"/>
      <c r="F416" s="506"/>
      <c r="G416" s="222"/>
      <c r="H416" s="506"/>
      <c r="I416" s="199"/>
      <c r="J416" s="506"/>
      <c r="K416" s="82"/>
      <c r="L416" s="506"/>
      <c r="M416" s="70"/>
      <c r="N416" s="70"/>
      <c r="O416" s="70"/>
      <c r="P416" s="70"/>
      <c r="Q416" s="70"/>
      <c r="R416" s="70"/>
      <c r="S416" s="70"/>
      <c r="T416" s="70"/>
      <c r="U416" s="70"/>
      <c r="V416" s="70"/>
      <c r="W416" s="70"/>
      <c r="X416" s="70"/>
      <c r="Y416" s="70"/>
    </row>
    <row r="417">
      <c r="A417" s="82"/>
      <c r="B417" s="506"/>
      <c r="C417" s="82"/>
      <c r="D417" s="506"/>
      <c r="E417" s="82"/>
      <c r="F417" s="506"/>
      <c r="G417" s="222"/>
      <c r="H417" s="506"/>
      <c r="I417" s="199"/>
      <c r="J417" s="506"/>
      <c r="K417" s="82"/>
      <c r="L417" s="506"/>
      <c r="M417" s="70"/>
      <c r="N417" s="70"/>
      <c r="O417" s="70"/>
      <c r="P417" s="70"/>
      <c r="Q417" s="70"/>
      <c r="R417" s="70"/>
      <c r="S417" s="70"/>
      <c r="T417" s="70"/>
      <c r="U417" s="70"/>
      <c r="V417" s="70"/>
      <c r="W417" s="70"/>
      <c r="X417" s="70"/>
      <c r="Y417" s="70"/>
    </row>
    <row r="418">
      <c r="A418" s="82"/>
      <c r="B418" s="506"/>
      <c r="C418" s="82"/>
      <c r="D418" s="506"/>
      <c r="E418" s="82"/>
      <c r="F418" s="506"/>
      <c r="G418" s="222"/>
      <c r="H418" s="506"/>
      <c r="I418" s="199"/>
      <c r="J418" s="506"/>
      <c r="K418" s="82"/>
      <c r="L418" s="506"/>
      <c r="M418" s="70"/>
      <c r="N418" s="70"/>
      <c r="O418" s="70"/>
      <c r="P418" s="70"/>
      <c r="Q418" s="70"/>
      <c r="R418" s="70"/>
      <c r="S418" s="70"/>
      <c r="T418" s="70"/>
      <c r="U418" s="70"/>
      <c r="V418" s="70"/>
      <c r="W418" s="70"/>
      <c r="X418" s="70"/>
      <c r="Y418" s="70"/>
    </row>
    <row r="419">
      <c r="A419" s="82"/>
      <c r="B419" s="506"/>
      <c r="C419" s="82"/>
      <c r="D419" s="506"/>
      <c r="E419" s="82"/>
      <c r="F419" s="506"/>
      <c r="G419" s="222"/>
      <c r="H419" s="506"/>
      <c r="I419" s="199"/>
      <c r="J419" s="506"/>
      <c r="K419" s="82"/>
      <c r="L419" s="506"/>
      <c r="M419" s="70"/>
      <c r="N419" s="70"/>
      <c r="O419" s="70"/>
      <c r="P419" s="70"/>
      <c r="Q419" s="70"/>
      <c r="R419" s="70"/>
      <c r="S419" s="70"/>
      <c r="T419" s="70"/>
      <c r="U419" s="70"/>
      <c r="V419" s="70"/>
      <c r="W419" s="70"/>
      <c r="X419" s="70"/>
      <c r="Y419" s="70"/>
    </row>
    <row r="420">
      <c r="A420" s="82"/>
      <c r="B420" s="506"/>
      <c r="C420" s="82"/>
      <c r="D420" s="506"/>
      <c r="E420" s="82"/>
      <c r="F420" s="506"/>
      <c r="G420" s="222"/>
      <c r="H420" s="506"/>
      <c r="I420" s="199"/>
      <c r="J420" s="506"/>
      <c r="K420" s="82"/>
      <c r="L420" s="506"/>
      <c r="M420" s="70"/>
      <c r="N420" s="70"/>
      <c r="O420" s="70"/>
      <c r="P420" s="70"/>
      <c r="Q420" s="70"/>
      <c r="R420" s="70"/>
      <c r="S420" s="70"/>
      <c r="T420" s="70"/>
      <c r="U420" s="70"/>
      <c r="V420" s="70"/>
      <c r="W420" s="70"/>
      <c r="X420" s="70"/>
      <c r="Y420" s="70"/>
    </row>
    <row r="421">
      <c r="A421" s="82"/>
      <c r="B421" s="506"/>
      <c r="C421" s="82"/>
      <c r="D421" s="506"/>
      <c r="E421" s="82"/>
      <c r="F421" s="506"/>
      <c r="G421" s="222"/>
      <c r="H421" s="506"/>
      <c r="I421" s="199"/>
      <c r="J421" s="506"/>
      <c r="K421" s="82"/>
      <c r="L421" s="506"/>
      <c r="M421" s="70"/>
      <c r="N421" s="70"/>
      <c r="O421" s="70"/>
      <c r="P421" s="70"/>
      <c r="Q421" s="70"/>
      <c r="R421" s="70"/>
      <c r="S421" s="70"/>
      <c r="T421" s="70"/>
      <c r="U421" s="70"/>
      <c r="V421" s="70"/>
      <c r="W421" s="70"/>
      <c r="X421" s="70"/>
      <c r="Y421" s="70"/>
    </row>
    <row r="422">
      <c r="A422" s="82"/>
      <c r="B422" s="506"/>
      <c r="C422" s="82"/>
      <c r="D422" s="506"/>
      <c r="E422" s="82"/>
      <c r="F422" s="506"/>
      <c r="G422" s="222"/>
      <c r="H422" s="506"/>
      <c r="I422" s="199"/>
      <c r="J422" s="506"/>
      <c r="K422" s="82"/>
      <c r="L422" s="506"/>
      <c r="M422" s="70"/>
      <c r="N422" s="70"/>
      <c r="O422" s="70"/>
      <c r="P422" s="70"/>
      <c r="Q422" s="70"/>
      <c r="R422" s="70"/>
      <c r="S422" s="70"/>
      <c r="T422" s="70"/>
      <c r="U422" s="70"/>
      <c r="V422" s="70"/>
      <c r="W422" s="70"/>
      <c r="X422" s="70"/>
      <c r="Y422" s="70"/>
    </row>
    <row r="423">
      <c r="A423" s="82"/>
      <c r="B423" s="506"/>
      <c r="C423" s="82"/>
      <c r="D423" s="506"/>
      <c r="E423" s="82"/>
      <c r="F423" s="506"/>
      <c r="G423" s="222"/>
      <c r="H423" s="506"/>
      <c r="I423" s="199"/>
      <c r="J423" s="506"/>
      <c r="K423" s="82"/>
      <c r="L423" s="506"/>
      <c r="M423" s="70"/>
      <c r="N423" s="70"/>
      <c r="O423" s="70"/>
      <c r="P423" s="70"/>
      <c r="Q423" s="70"/>
      <c r="R423" s="70"/>
      <c r="S423" s="70"/>
      <c r="T423" s="70"/>
      <c r="U423" s="70"/>
      <c r="V423" s="70"/>
      <c r="W423" s="70"/>
      <c r="X423" s="70"/>
      <c r="Y423" s="70"/>
    </row>
    <row r="424">
      <c r="A424" s="82"/>
      <c r="B424" s="506"/>
      <c r="C424" s="82"/>
      <c r="D424" s="506"/>
      <c r="E424" s="82"/>
      <c r="F424" s="506"/>
      <c r="G424" s="222"/>
      <c r="H424" s="506"/>
      <c r="I424" s="199"/>
      <c r="J424" s="506"/>
      <c r="K424" s="82"/>
      <c r="L424" s="506"/>
      <c r="M424" s="70"/>
      <c r="N424" s="70"/>
      <c r="O424" s="70"/>
      <c r="P424" s="70"/>
      <c r="Q424" s="70"/>
      <c r="R424" s="70"/>
      <c r="S424" s="70"/>
      <c r="T424" s="70"/>
      <c r="U424" s="70"/>
      <c r="V424" s="70"/>
      <c r="W424" s="70"/>
      <c r="X424" s="70"/>
      <c r="Y424" s="70"/>
    </row>
    <row r="425">
      <c r="A425" s="82"/>
      <c r="B425" s="506"/>
      <c r="C425" s="82"/>
      <c r="D425" s="506"/>
      <c r="E425" s="82"/>
      <c r="F425" s="506"/>
      <c r="G425" s="222"/>
      <c r="H425" s="506"/>
      <c r="I425" s="199"/>
      <c r="J425" s="506"/>
      <c r="K425" s="82"/>
      <c r="L425" s="506"/>
      <c r="M425" s="70"/>
      <c r="N425" s="70"/>
      <c r="O425" s="70"/>
      <c r="P425" s="70"/>
      <c r="Q425" s="70"/>
      <c r="R425" s="70"/>
      <c r="S425" s="70"/>
      <c r="T425" s="70"/>
      <c r="U425" s="70"/>
      <c r="V425" s="70"/>
      <c r="W425" s="70"/>
      <c r="X425" s="70"/>
      <c r="Y425" s="70"/>
    </row>
    <row r="426">
      <c r="A426" s="82"/>
      <c r="B426" s="506"/>
      <c r="C426" s="82"/>
      <c r="D426" s="506"/>
      <c r="E426" s="82"/>
      <c r="F426" s="506"/>
      <c r="G426" s="222"/>
      <c r="H426" s="506"/>
      <c r="I426" s="199"/>
      <c r="J426" s="506"/>
      <c r="K426" s="82"/>
      <c r="L426" s="506"/>
      <c r="M426" s="70"/>
      <c r="N426" s="70"/>
      <c r="O426" s="70"/>
      <c r="P426" s="70"/>
      <c r="Q426" s="70"/>
      <c r="R426" s="70"/>
      <c r="S426" s="70"/>
      <c r="T426" s="70"/>
      <c r="U426" s="70"/>
      <c r="V426" s="70"/>
      <c r="W426" s="70"/>
      <c r="X426" s="70"/>
      <c r="Y426" s="70"/>
    </row>
    <row r="427">
      <c r="A427" s="82"/>
      <c r="B427" s="506"/>
      <c r="C427" s="82"/>
      <c r="D427" s="506"/>
      <c r="E427" s="82"/>
      <c r="F427" s="506"/>
      <c r="G427" s="222"/>
      <c r="H427" s="506"/>
      <c r="I427" s="199"/>
      <c r="J427" s="506"/>
      <c r="K427" s="82"/>
      <c r="L427" s="506"/>
      <c r="M427" s="70"/>
      <c r="N427" s="70"/>
      <c r="O427" s="70"/>
      <c r="P427" s="70"/>
      <c r="Q427" s="70"/>
      <c r="R427" s="70"/>
      <c r="S427" s="70"/>
      <c r="T427" s="70"/>
      <c r="U427" s="70"/>
      <c r="V427" s="70"/>
      <c r="W427" s="70"/>
      <c r="X427" s="70"/>
      <c r="Y427" s="70"/>
    </row>
    <row r="428">
      <c r="A428" s="82"/>
      <c r="B428" s="506"/>
      <c r="C428" s="82"/>
      <c r="D428" s="506"/>
      <c r="E428" s="82"/>
      <c r="F428" s="506"/>
      <c r="G428" s="222"/>
      <c r="H428" s="506"/>
      <c r="I428" s="199"/>
      <c r="J428" s="506"/>
      <c r="K428" s="82"/>
      <c r="L428" s="506"/>
      <c r="M428" s="70"/>
      <c r="N428" s="70"/>
      <c r="O428" s="70"/>
      <c r="P428" s="70"/>
      <c r="Q428" s="70"/>
      <c r="R428" s="70"/>
      <c r="S428" s="70"/>
      <c r="T428" s="70"/>
      <c r="U428" s="70"/>
      <c r="V428" s="70"/>
      <c r="W428" s="70"/>
      <c r="X428" s="70"/>
      <c r="Y428" s="70"/>
    </row>
    <row r="429">
      <c r="A429" s="82"/>
      <c r="B429" s="506"/>
      <c r="C429" s="82"/>
      <c r="D429" s="506"/>
      <c r="E429" s="82"/>
      <c r="F429" s="506"/>
      <c r="G429" s="222"/>
      <c r="H429" s="506"/>
      <c r="I429" s="199"/>
      <c r="J429" s="506"/>
      <c r="K429" s="82"/>
      <c r="L429" s="506"/>
      <c r="M429" s="70"/>
      <c r="N429" s="70"/>
      <c r="O429" s="70"/>
      <c r="P429" s="70"/>
      <c r="Q429" s="70"/>
      <c r="R429" s="70"/>
      <c r="S429" s="70"/>
      <c r="T429" s="70"/>
      <c r="U429" s="70"/>
      <c r="V429" s="70"/>
      <c r="W429" s="70"/>
      <c r="X429" s="70"/>
      <c r="Y429" s="70"/>
    </row>
    <row r="430">
      <c r="A430" s="82"/>
      <c r="B430" s="506"/>
      <c r="C430" s="82"/>
      <c r="D430" s="506"/>
      <c r="E430" s="82"/>
      <c r="F430" s="506"/>
      <c r="G430" s="222"/>
      <c r="H430" s="506"/>
      <c r="I430" s="199"/>
      <c r="J430" s="506"/>
      <c r="K430" s="82"/>
      <c r="L430" s="506"/>
      <c r="M430" s="70"/>
      <c r="N430" s="70"/>
      <c r="O430" s="70"/>
      <c r="P430" s="70"/>
      <c r="Q430" s="70"/>
      <c r="R430" s="70"/>
      <c r="S430" s="70"/>
      <c r="T430" s="70"/>
      <c r="U430" s="70"/>
      <c r="V430" s="70"/>
      <c r="W430" s="70"/>
      <c r="X430" s="70"/>
      <c r="Y430" s="70"/>
    </row>
    <row r="431">
      <c r="A431" s="82"/>
      <c r="B431" s="506"/>
      <c r="C431" s="82"/>
      <c r="D431" s="506"/>
      <c r="E431" s="82"/>
      <c r="F431" s="506"/>
      <c r="G431" s="222"/>
      <c r="H431" s="506"/>
      <c r="I431" s="199"/>
      <c r="J431" s="506"/>
      <c r="K431" s="82"/>
      <c r="L431" s="506"/>
      <c r="M431" s="70"/>
      <c r="N431" s="70"/>
      <c r="O431" s="70"/>
      <c r="P431" s="70"/>
      <c r="Q431" s="70"/>
      <c r="R431" s="70"/>
      <c r="S431" s="70"/>
      <c r="T431" s="70"/>
      <c r="U431" s="70"/>
      <c r="V431" s="70"/>
      <c r="W431" s="70"/>
      <c r="X431" s="70"/>
      <c r="Y431" s="70"/>
    </row>
    <row r="432">
      <c r="A432" s="82"/>
      <c r="B432" s="506"/>
      <c r="C432" s="82"/>
      <c r="D432" s="506"/>
      <c r="E432" s="82"/>
      <c r="F432" s="506"/>
      <c r="G432" s="222"/>
      <c r="H432" s="506"/>
      <c r="I432" s="199"/>
      <c r="J432" s="506"/>
      <c r="K432" s="82"/>
      <c r="L432" s="506"/>
      <c r="M432" s="70"/>
      <c r="N432" s="70"/>
      <c r="O432" s="70"/>
      <c r="P432" s="70"/>
      <c r="Q432" s="70"/>
      <c r="R432" s="70"/>
      <c r="S432" s="70"/>
      <c r="T432" s="70"/>
      <c r="U432" s="70"/>
      <c r="V432" s="70"/>
      <c r="W432" s="70"/>
      <c r="X432" s="70"/>
      <c r="Y432" s="70"/>
    </row>
    <row r="433">
      <c r="A433" s="82"/>
      <c r="B433" s="506"/>
      <c r="C433" s="82"/>
      <c r="D433" s="506"/>
      <c r="E433" s="82"/>
      <c r="F433" s="506"/>
      <c r="G433" s="222"/>
      <c r="H433" s="506"/>
      <c r="I433" s="199"/>
      <c r="J433" s="506"/>
      <c r="K433" s="82"/>
      <c r="L433" s="506"/>
      <c r="M433" s="70"/>
      <c r="N433" s="70"/>
      <c r="O433" s="70"/>
      <c r="P433" s="70"/>
      <c r="Q433" s="70"/>
      <c r="R433" s="70"/>
      <c r="S433" s="70"/>
      <c r="T433" s="70"/>
      <c r="U433" s="70"/>
      <c r="V433" s="70"/>
      <c r="W433" s="70"/>
      <c r="X433" s="70"/>
      <c r="Y433" s="70"/>
    </row>
    <row r="434">
      <c r="A434" s="82"/>
      <c r="B434" s="506"/>
      <c r="C434" s="82"/>
      <c r="D434" s="506"/>
      <c r="E434" s="82"/>
      <c r="F434" s="506"/>
      <c r="G434" s="222"/>
      <c r="H434" s="506"/>
      <c r="I434" s="199"/>
      <c r="J434" s="506"/>
      <c r="K434" s="82"/>
      <c r="L434" s="506"/>
      <c r="M434" s="70"/>
      <c r="N434" s="70"/>
      <c r="O434" s="70"/>
      <c r="P434" s="70"/>
      <c r="Q434" s="70"/>
      <c r="R434" s="70"/>
      <c r="S434" s="70"/>
      <c r="T434" s="70"/>
      <c r="U434" s="70"/>
      <c r="V434" s="70"/>
      <c r="W434" s="70"/>
      <c r="X434" s="70"/>
      <c r="Y434" s="70"/>
    </row>
    <row r="435">
      <c r="A435" s="82"/>
      <c r="B435" s="506"/>
      <c r="C435" s="82"/>
      <c r="D435" s="506"/>
      <c r="E435" s="82"/>
      <c r="F435" s="506"/>
      <c r="G435" s="222"/>
      <c r="H435" s="506"/>
      <c r="I435" s="199"/>
      <c r="J435" s="506"/>
      <c r="K435" s="82"/>
      <c r="L435" s="506"/>
      <c r="M435" s="70"/>
      <c r="N435" s="70"/>
      <c r="O435" s="70"/>
      <c r="P435" s="70"/>
      <c r="Q435" s="70"/>
      <c r="R435" s="70"/>
      <c r="S435" s="70"/>
      <c r="T435" s="70"/>
      <c r="U435" s="70"/>
      <c r="V435" s="70"/>
      <c r="W435" s="70"/>
      <c r="X435" s="70"/>
      <c r="Y435" s="70"/>
    </row>
    <row r="436">
      <c r="A436" s="82"/>
      <c r="B436" s="506"/>
      <c r="C436" s="82"/>
      <c r="D436" s="506"/>
      <c r="E436" s="82"/>
      <c r="F436" s="506"/>
      <c r="G436" s="222"/>
      <c r="H436" s="506"/>
      <c r="I436" s="199"/>
      <c r="J436" s="506"/>
      <c r="K436" s="82"/>
      <c r="L436" s="506"/>
      <c r="M436" s="70"/>
      <c r="N436" s="70"/>
      <c r="O436" s="70"/>
      <c r="P436" s="70"/>
      <c r="Q436" s="70"/>
      <c r="R436" s="70"/>
      <c r="S436" s="70"/>
      <c r="T436" s="70"/>
      <c r="U436" s="70"/>
      <c r="V436" s="70"/>
      <c r="W436" s="70"/>
      <c r="X436" s="70"/>
      <c r="Y436" s="70"/>
    </row>
    <row r="437">
      <c r="A437" s="82"/>
      <c r="B437" s="506"/>
      <c r="C437" s="82"/>
      <c r="D437" s="506"/>
      <c r="E437" s="82"/>
      <c r="F437" s="506"/>
      <c r="G437" s="222"/>
      <c r="H437" s="506"/>
      <c r="I437" s="199"/>
      <c r="J437" s="506"/>
      <c r="K437" s="82"/>
      <c r="L437" s="506"/>
      <c r="M437" s="70"/>
      <c r="N437" s="70"/>
      <c r="O437" s="70"/>
      <c r="P437" s="70"/>
      <c r="Q437" s="70"/>
      <c r="R437" s="70"/>
      <c r="S437" s="70"/>
      <c r="T437" s="70"/>
      <c r="U437" s="70"/>
      <c r="V437" s="70"/>
      <c r="W437" s="70"/>
      <c r="X437" s="70"/>
      <c r="Y437" s="70"/>
    </row>
    <row r="438">
      <c r="A438" s="82"/>
      <c r="B438" s="506"/>
      <c r="C438" s="82"/>
      <c r="D438" s="506"/>
      <c r="E438" s="82"/>
      <c r="F438" s="506"/>
      <c r="G438" s="222"/>
      <c r="H438" s="506"/>
      <c r="I438" s="199"/>
      <c r="J438" s="506"/>
      <c r="K438" s="82"/>
      <c r="L438" s="506"/>
      <c r="M438" s="70"/>
      <c r="N438" s="70"/>
      <c r="O438" s="70"/>
      <c r="P438" s="70"/>
      <c r="Q438" s="70"/>
      <c r="R438" s="70"/>
      <c r="S438" s="70"/>
      <c r="T438" s="70"/>
      <c r="U438" s="70"/>
      <c r="V438" s="70"/>
      <c r="W438" s="70"/>
      <c r="X438" s="70"/>
      <c r="Y438" s="70"/>
    </row>
    <row r="439">
      <c r="A439" s="82"/>
      <c r="B439" s="506"/>
      <c r="C439" s="82"/>
      <c r="D439" s="506"/>
      <c r="E439" s="82"/>
      <c r="F439" s="506"/>
      <c r="G439" s="222"/>
      <c r="H439" s="506"/>
      <c r="I439" s="199"/>
      <c r="J439" s="506"/>
      <c r="K439" s="82"/>
      <c r="L439" s="506"/>
      <c r="M439" s="70"/>
      <c r="N439" s="70"/>
      <c r="O439" s="70"/>
      <c r="P439" s="70"/>
      <c r="Q439" s="70"/>
      <c r="R439" s="70"/>
      <c r="S439" s="70"/>
      <c r="T439" s="70"/>
      <c r="U439" s="70"/>
      <c r="V439" s="70"/>
      <c r="W439" s="70"/>
      <c r="X439" s="70"/>
      <c r="Y439" s="70"/>
    </row>
    <row r="440">
      <c r="A440" s="82"/>
      <c r="B440" s="506"/>
      <c r="C440" s="82"/>
      <c r="D440" s="506"/>
      <c r="E440" s="82"/>
      <c r="F440" s="506"/>
      <c r="G440" s="222"/>
      <c r="H440" s="506"/>
      <c r="I440" s="199"/>
      <c r="J440" s="506"/>
      <c r="K440" s="82"/>
      <c r="L440" s="506"/>
      <c r="M440" s="70"/>
      <c r="N440" s="70"/>
      <c r="O440" s="70"/>
      <c r="P440" s="70"/>
      <c r="Q440" s="70"/>
      <c r="R440" s="70"/>
      <c r="S440" s="70"/>
      <c r="T440" s="70"/>
      <c r="U440" s="70"/>
      <c r="V440" s="70"/>
      <c r="W440" s="70"/>
      <c r="X440" s="70"/>
      <c r="Y440" s="70"/>
    </row>
    <row r="441">
      <c r="A441" s="82"/>
      <c r="B441" s="506"/>
      <c r="C441" s="82"/>
      <c r="D441" s="506"/>
      <c r="E441" s="82"/>
      <c r="F441" s="506"/>
      <c r="G441" s="222"/>
      <c r="H441" s="506"/>
      <c r="I441" s="199"/>
      <c r="J441" s="506"/>
      <c r="K441" s="82"/>
      <c r="L441" s="506"/>
      <c r="M441" s="70"/>
      <c r="N441" s="70"/>
      <c r="O441" s="70"/>
      <c r="P441" s="70"/>
      <c r="Q441" s="70"/>
      <c r="R441" s="70"/>
      <c r="S441" s="70"/>
      <c r="T441" s="70"/>
      <c r="U441" s="70"/>
      <c r="V441" s="70"/>
      <c r="W441" s="70"/>
      <c r="X441" s="70"/>
      <c r="Y441" s="70"/>
    </row>
    <row r="442">
      <c r="A442" s="82"/>
      <c r="B442" s="506"/>
      <c r="C442" s="82"/>
      <c r="D442" s="506"/>
      <c r="E442" s="82"/>
      <c r="F442" s="506"/>
      <c r="G442" s="222"/>
      <c r="H442" s="506"/>
      <c r="I442" s="199"/>
      <c r="J442" s="506"/>
      <c r="K442" s="82"/>
      <c r="L442" s="506"/>
      <c r="M442" s="70"/>
      <c r="N442" s="70"/>
      <c r="O442" s="70"/>
      <c r="P442" s="70"/>
      <c r="Q442" s="70"/>
      <c r="R442" s="70"/>
      <c r="S442" s="70"/>
      <c r="T442" s="70"/>
      <c r="U442" s="70"/>
      <c r="V442" s="70"/>
      <c r="W442" s="70"/>
      <c r="X442" s="70"/>
      <c r="Y442" s="70"/>
    </row>
    <row r="443">
      <c r="A443" s="82"/>
      <c r="B443" s="506"/>
      <c r="C443" s="82"/>
      <c r="D443" s="506"/>
      <c r="E443" s="82"/>
      <c r="F443" s="506"/>
      <c r="G443" s="222"/>
      <c r="H443" s="506"/>
      <c r="I443" s="199"/>
      <c r="J443" s="506"/>
      <c r="K443" s="82"/>
      <c r="L443" s="506"/>
      <c r="M443" s="70"/>
      <c r="N443" s="70"/>
      <c r="O443" s="70"/>
      <c r="P443" s="70"/>
      <c r="Q443" s="70"/>
      <c r="R443" s="70"/>
      <c r="S443" s="70"/>
      <c r="T443" s="70"/>
      <c r="U443" s="70"/>
      <c r="V443" s="70"/>
      <c r="W443" s="70"/>
      <c r="X443" s="70"/>
      <c r="Y443" s="70"/>
    </row>
    <row r="444">
      <c r="A444" s="82"/>
      <c r="B444" s="506"/>
      <c r="C444" s="82"/>
      <c r="D444" s="506"/>
      <c r="E444" s="82"/>
      <c r="F444" s="506"/>
      <c r="G444" s="222"/>
      <c r="H444" s="506"/>
      <c r="I444" s="199"/>
      <c r="J444" s="506"/>
      <c r="K444" s="82"/>
      <c r="L444" s="506"/>
      <c r="M444" s="70"/>
      <c r="N444" s="70"/>
      <c r="O444" s="70"/>
      <c r="P444" s="70"/>
      <c r="Q444" s="70"/>
      <c r="R444" s="70"/>
      <c r="S444" s="70"/>
      <c r="T444" s="70"/>
      <c r="U444" s="70"/>
      <c r="V444" s="70"/>
      <c r="W444" s="70"/>
      <c r="X444" s="70"/>
      <c r="Y444" s="70"/>
    </row>
    <row r="445">
      <c r="A445" s="82"/>
      <c r="B445" s="506"/>
      <c r="C445" s="82"/>
      <c r="D445" s="506"/>
      <c r="E445" s="82"/>
      <c r="F445" s="506"/>
      <c r="G445" s="222"/>
      <c r="H445" s="506"/>
      <c r="I445" s="199"/>
      <c r="J445" s="506"/>
      <c r="K445" s="82"/>
      <c r="L445" s="506"/>
      <c r="M445" s="70"/>
      <c r="N445" s="70"/>
      <c r="O445" s="70"/>
      <c r="P445" s="70"/>
      <c r="Q445" s="70"/>
      <c r="R445" s="70"/>
      <c r="S445" s="70"/>
      <c r="T445" s="70"/>
      <c r="U445" s="70"/>
      <c r="V445" s="70"/>
      <c r="W445" s="70"/>
      <c r="X445" s="70"/>
      <c r="Y445" s="70"/>
    </row>
    <row r="446">
      <c r="A446" s="82"/>
      <c r="B446" s="506"/>
      <c r="C446" s="82"/>
      <c r="D446" s="506"/>
      <c r="E446" s="82"/>
      <c r="F446" s="506"/>
      <c r="G446" s="222"/>
      <c r="H446" s="506"/>
      <c r="I446" s="199"/>
      <c r="J446" s="506"/>
      <c r="K446" s="82"/>
      <c r="L446" s="506"/>
      <c r="M446" s="70"/>
      <c r="N446" s="70"/>
      <c r="O446" s="70"/>
      <c r="P446" s="70"/>
      <c r="Q446" s="70"/>
      <c r="R446" s="70"/>
      <c r="S446" s="70"/>
      <c r="T446" s="70"/>
      <c r="U446" s="70"/>
      <c r="V446" s="70"/>
      <c r="W446" s="70"/>
      <c r="X446" s="70"/>
      <c r="Y446" s="70"/>
    </row>
    <row r="447">
      <c r="A447" s="82"/>
      <c r="B447" s="506"/>
      <c r="C447" s="82"/>
      <c r="D447" s="506"/>
      <c r="E447" s="82"/>
      <c r="F447" s="506"/>
      <c r="G447" s="222"/>
      <c r="H447" s="506"/>
      <c r="I447" s="199"/>
      <c r="J447" s="506"/>
      <c r="K447" s="82"/>
      <c r="L447" s="506"/>
      <c r="M447" s="70"/>
      <c r="N447" s="70"/>
      <c r="O447" s="70"/>
      <c r="P447" s="70"/>
      <c r="Q447" s="70"/>
      <c r="R447" s="70"/>
      <c r="S447" s="70"/>
      <c r="T447" s="70"/>
      <c r="U447" s="70"/>
      <c r="V447" s="70"/>
      <c r="W447" s="70"/>
      <c r="X447" s="70"/>
      <c r="Y447" s="70"/>
    </row>
    <row r="448">
      <c r="A448" s="82"/>
      <c r="B448" s="506"/>
      <c r="C448" s="82"/>
      <c r="D448" s="506"/>
      <c r="E448" s="82"/>
      <c r="F448" s="506"/>
      <c r="G448" s="222"/>
      <c r="H448" s="506"/>
      <c r="I448" s="199"/>
      <c r="J448" s="506"/>
      <c r="K448" s="82"/>
      <c r="L448" s="506"/>
      <c r="M448" s="70"/>
      <c r="N448" s="70"/>
      <c r="O448" s="70"/>
      <c r="P448" s="70"/>
      <c r="Q448" s="70"/>
      <c r="R448" s="70"/>
      <c r="S448" s="70"/>
      <c r="T448" s="70"/>
      <c r="U448" s="70"/>
      <c r="V448" s="70"/>
      <c r="W448" s="70"/>
      <c r="X448" s="70"/>
      <c r="Y448" s="70"/>
    </row>
    <row r="449">
      <c r="A449" s="82"/>
      <c r="B449" s="506"/>
      <c r="C449" s="82"/>
      <c r="D449" s="506"/>
      <c r="E449" s="82"/>
      <c r="F449" s="506"/>
      <c r="G449" s="222"/>
      <c r="H449" s="506"/>
      <c r="I449" s="199"/>
      <c r="J449" s="506"/>
      <c r="K449" s="82"/>
      <c r="L449" s="506"/>
      <c r="M449" s="70"/>
      <c r="N449" s="70"/>
      <c r="O449" s="70"/>
      <c r="P449" s="70"/>
      <c r="Q449" s="70"/>
      <c r="R449" s="70"/>
      <c r="S449" s="70"/>
      <c r="T449" s="70"/>
      <c r="U449" s="70"/>
      <c r="V449" s="70"/>
      <c r="W449" s="70"/>
      <c r="X449" s="70"/>
      <c r="Y449" s="70"/>
    </row>
    <row r="450">
      <c r="A450" s="82"/>
      <c r="B450" s="506"/>
      <c r="C450" s="82"/>
      <c r="D450" s="506"/>
      <c r="E450" s="82"/>
      <c r="F450" s="506"/>
      <c r="G450" s="222"/>
      <c r="H450" s="506"/>
      <c r="I450" s="199"/>
      <c r="J450" s="506"/>
      <c r="K450" s="82"/>
      <c r="L450" s="506"/>
      <c r="M450" s="70"/>
      <c r="N450" s="70"/>
      <c r="O450" s="70"/>
      <c r="P450" s="70"/>
      <c r="Q450" s="70"/>
      <c r="R450" s="70"/>
      <c r="S450" s="70"/>
      <c r="T450" s="70"/>
      <c r="U450" s="70"/>
      <c r="V450" s="70"/>
      <c r="W450" s="70"/>
      <c r="X450" s="70"/>
      <c r="Y450" s="70"/>
    </row>
    <row r="451">
      <c r="A451" s="82"/>
      <c r="B451" s="506"/>
      <c r="C451" s="82"/>
      <c r="D451" s="506"/>
      <c r="E451" s="82"/>
      <c r="F451" s="506"/>
      <c r="G451" s="222"/>
      <c r="H451" s="506"/>
      <c r="I451" s="199"/>
      <c r="J451" s="506"/>
      <c r="K451" s="82"/>
      <c r="L451" s="506"/>
      <c r="M451" s="70"/>
      <c r="N451" s="70"/>
      <c r="O451" s="70"/>
      <c r="P451" s="70"/>
      <c r="Q451" s="70"/>
      <c r="R451" s="70"/>
      <c r="S451" s="70"/>
      <c r="T451" s="70"/>
      <c r="U451" s="70"/>
      <c r="V451" s="70"/>
      <c r="W451" s="70"/>
      <c r="X451" s="70"/>
      <c r="Y451" s="70"/>
    </row>
    <row r="452">
      <c r="A452" s="82"/>
      <c r="B452" s="506"/>
      <c r="C452" s="82"/>
      <c r="D452" s="506"/>
      <c r="E452" s="82"/>
      <c r="F452" s="506"/>
      <c r="G452" s="222"/>
      <c r="H452" s="506"/>
      <c r="I452" s="199"/>
      <c r="J452" s="506"/>
      <c r="K452" s="82"/>
      <c r="L452" s="506"/>
      <c r="M452" s="70"/>
      <c r="N452" s="70"/>
      <c r="O452" s="70"/>
      <c r="P452" s="70"/>
      <c r="Q452" s="70"/>
      <c r="R452" s="70"/>
      <c r="S452" s="70"/>
      <c r="T452" s="70"/>
      <c r="U452" s="70"/>
      <c r="V452" s="70"/>
      <c r="W452" s="70"/>
      <c r="X452" s="70"/>
      <c r="Y452" s="70"/>
    </row>
    <row r="453">
      <c r="A453" s="82"/>
      <c r="B453" s="506"/>
      <c r="C453" s="82"/>
      <c r="D453" s="506"/>
      <c r="E453" s="82"/>
      <c r="F453" s="506"/>
      <c r="G453" s="222"/>
      <c r="H453" s="506"/>
      <c r="I453" s="199"/>
      <c r="J453" s="506"/>
      <c r="K453" s="82"/>
      <c r="L453" s="506"/>
      <c r="M453" s="70"/>
      <c r="N453" s="70"/>
      <c r="O453" s="70"/>
      <c r="P453" s="70"/>
      <c r="Q453" s="70"/>
      <c r="R453" s="70"/>
      <c r="S453" s="70"/>
      <c r="T453" s="70"/>
      <c r="U453" s="70"/>
      <c r="V453" s="70"/>
      <c r="W453" s="70"/>
      <c r="X453" s="70"/>
      <c r="Y453" s="70"/>
    </row>
    <row r="454">
      <c r="A454" s="82"/>
      <c r="B454" s="506"/>
      <c r="C454" s="82"/>
      <c r="D454" s="506"/>
      <c r="E454" s="82"/>
      <c r="F454" s="506"/>
      <c r="G454" s="222"/>
      <c r="H454" s="506"/>
      <c r="I454" s="199"/>
      <c r="J454" s="506"/>
      <c r="K454" s="82"/>
      <c r="L454" s="506"/>
      <c r="M454" s="70"/>
      <c r="N454" s="70"/>
      <c r="O454" s="70"/>
      <c r="P454" s="70"/>
      <c r="Q454" s="70"/>
      <c r="R454" s="70"/>
      <c r="S454" s="70"/>
      <c r="T454" s="70"/>
      <c r="U454" s="70"/>
      <c r="V454" s="70"/>
      <c r="W454" s="70"/>
      <c r="X454" s="70"/>
      <c r="Y454" s="70"/>
    </row>
    <row r="455">
      <c r="A455" s="82"/>
      <c r="B455" s="506"/>
      <c r="C455" s="82"/>
      <c r="D455" s="506"/>
      <c r="E455" s="82"/>
      <c r="F455" s="506"/>
      <c r="G455" s="222"/>
      <c r="H455" s="506"/>
      <c r="I455" s="199"/>
      <c r="J455" s="506"/>
      <c r="K455" s="82"/>
      <c r="L455" s="506"/>
      <c r="M455" s="70"/>
      <c r="N455" s="70"/>
      <c r="O455" s="70"/>
      <c r="P455" s="70"/>
      <c r="Q455" s="70"/>
      <c r="R455" s="70"/>
      <c r="S455" s="70"/>
      <c r="T455" s="70"/>
      <c r="U455" s="70"/>
      <c r="V455" s="70"/>
      <c r="W455" s="70"/>
      <c r="X455" s="70"/>
      <c r="Y455" s="70"/>
    </row>
    <row r="456">
      <c r="A456" s="82"/>
      <c r="B456" s="506"/>
      <c r="C456" s="82"/>
      <c r="D456" s="506"/>
      <c r="E456" s="82"/>
      <c r="F456" s="506"/>
      <c r="G456" s="222"/>
      <c r="H456" s="506"/>
      <c r="I456" s="199"/>
      <c r="J456" s="506"/>
      <c r="K456" s="82"/>
      <c r="L456" s="506"/>
      <c r="M456" s="70"/>
      <c r="N456" s="70"/>
      <c r="O456" s="70"/>
      <c r="P456" s="70"/>
      <c r="Q456" s="70"/>
      <c r="R456" s="70"/>
      <c r="S456" s="70"/>
      <c r="T456" s="70"/>
      <c r="U456" s="70"/>
      <c r="V456" s="70"/>
      <c r="W456" s="70"/>
      <c r="X456" s="70"/>
      <c r="Y456" s="70"/>
    </row>
    <row r="457">
      <c r="A457" s="82"/>
      <c r="B457" s="506"/>
      <c r="C457" s="82"/>
      <c r="D457" s="506"/>
      <c r="E457" s="82"/>
      <c r="F457" s="506"/>
      <c r="G457" s="222"/>
      <c r="H457" s="506"/>
      <c r="I457" s="199"/>
      <c r="J457" s="506"/>
      <c r="K457" s="82"/>
      <c r="L457" s="506"/>
      <c r="M457" s="70"/>
      <c r="N457" s="70"/>
      <c r="O457" s="70"/>
      <c r="P457" s="70"/>
      <c r="Q457" s="70"/>
      <c r="R457" s="70"/>
      <c r="S457" s="70"/>
      <c r="T457" s="70"/>
      <c r="U457" s="70"/>
      <c r="V457" s="70"/>
      <c r="W457" s="70"/>
      <c r="X457" s="70"/>
      <c r="Y457" s="70"/>
    </row>
    <row r="458">
      <c r="A458" s="82"/>
      <c r="B458" s="506"/>
      <c r="C458" s="82"/>
      <c r="D458" s="506"/>
      <c r="E458" s="82"/>
      <c r="F458" s="506"/>
      <c r="G458" s="222"/>
      <c r="H458" s="506"/>
      <c r="I458" s="199"/>
      <c r="J458" s="506"/>
      <c r="K458" s="82"/>
      <c r="L458" s="506"/>
      <c r="M458" s="70"/>
      <c r="N458" s="70"/>
      <c r="O458" s="70"/>
      <c r="P458" s="70"/>
      <c r="Q458" s="70"/>
      <c r="R458" s="70"/>
      <c r="S458" s="70"/>
      <c r="T458" s="70"/>
      <c r="U458" s="70"/>
      <c r="V458" s="70"/>
      <c r="W458" s="70"/>
      <c r="X458" s="70"/>
      <c r="Y458" s="70"/>
    </row>
    <row r="459">
      <c r="A459" s="82"/>
      <c r="B459" s="506"/>
      <c r="C459" s="82"/>
      <c r="D459" s="506"/>
      <c r="E459" s="82"/>
      <c r="F459" s="506"/>
      <c r="G459" s="222"/>
      <c r="H459" s="506"/>
      <c r="I459" s="199"/>
      <c r="J459" s="506"/>
      <c r="K459" s="82"/>
      <c r="L459" s="506"/>
      <c r="M459" s="70"/>
      <c r="N459" s="70"/>
      <c r="O459" s="70"/>
      <c r="P459" s="70"/>
      <c r="Q459" s="70"/>
      <c r="R459" s="70"/>
      <c r="S459" s="70"/>
      <c r="T459" s="70"/>
      <c r="U459" s="70"/>
      <c r="V459" s="70"/>
      <c r="W459" s="70"/>
      <c r="X459" s="70"/>
      <c r="Y459" s="70"/>
    </row>
    <row r="460">
      <c r="A460" s="82"/>
      <c r="B460" s="506"/>
      <c r="C460" s="82"/>
      <c r="D460" s="506"/>
      <c r="E460" s="82"/>
      <c r="F460" s="506"/>
      <c r="G460" s="222"/>
      <c r="H460" s="506"/>
      <c r="I460" s="199"/>
      <c r="J460" s="506"/>
      <c r="K460" s="82"/>
      <c r="L460" s="506"/>
      <c r="M460" s="70"/>
      <c r="N460" s="70"/>
      <c r="O460" s="70"/>
      <c r="P460" s="70"/>
      <c r="Q460" s="70"/>
      <c r="R460" s="70"/>
      <c r="S460" s="70"/>
      <c r="T460" s="70"/>
      <c r="U460" s="70"/>
      <c r="V460" s="70"/>
      <c r="W460" s="70"/>
      <c r="X460" s="70"/>
      <c r="Y460" s="70"/>
    </row>
    <row r="461">
      <c r="A461" s="82"/>
      <c r="B461" s="506"/>
      <c r="C461" s="82"/>
      <c r="D461" s="506"/>
      <c r="E461" s="82"/>
      <c r="F461" s="506"/>
      <c r="G461" s="222"/>
      <c r="H461" s="506"/>
      <c r="I461" s="199"/>
      <c r="J461" s="506"/>
      <c r="K461" s="82"/>
      <c r="L461" s="506"/>
      <c r="M461" s="70"/>
      <c r="N461" s="70"/>
      <c r="O461" s="70"/>
      <c r="P461" s="70"/>
      <c r="Q461" s="70"/>
      <c r="R461" s="70"/>
      <c r="S461" s="70"/>
      <c r="T461" s="70"/>
      <c r="U461" s="70"/>
      <c r="V461" s="70"/>
      <c r="W461" s="70"/>
      <c r="X461" s="70"/>
      <c r="Y461" s="70"/>
    </row>
    <row r="462">
      <c r="A462" s="82"/>
      <c r="B462" s="506"/>
      <c r="C462" s="82"/>
      <c r="D462" s="506"/>
      <c r="E462" s="82"/>
      <c r="F462" s="506"/>
      <c r="G462" s="222"/>
      <c r="H462" s="506"/>
      <c r="I462" s="199"/>
      <c r="J462" s="506"/>
      <c r="K462" s="82"/>
      <c r="L462" s="506"/>
      <c r="M462" s="70"/>
      <c r="N462" s="70"/>
      <c r="O462" s="70"/>
      <c r="P462" s="70"/>
      <c r="Q462" s="70"/>
      <c r="R462" s="70"/>
      <c r="S462" s="70"/>
      <c r="T462" s="70"/>
      <c r="U462" s="70"/>
      <c r="V462" s="70"/>
      <c r="W462" s="70"/>
      <c r="X462" s="70"/>
      <c r="Y462" s="70"/>
    </row>
    <row r="463">
      <c r="A463" s="82"/>
      <c r="B463" s="506"/>
      <c r="C463" s="82"/>
      <c r="D463" s="506"/>
      <c r="E463" s="82"/>
      <c r="F463" s="506"/>
      <c r="G463" s="222"/>
      <c r="H463" s="506"/>
      <c r="I463" s="199"/>
      <c r="J463" s="506"/>
      <c r="K463" s="82"/>
      <c r="L463" s="506"/>
      <c r="M463" s="70"/>
      <c r="N463" s="70"/>
      <c r="O463" s="70"/>
      <c r="P463" s="70"/>
      <c r="Q463" s="70"/>
      <c r="R463" s="70"/>
      <c r="S463" s="70"/>
      <c r="T463" s="70"/>
      <c r="U463" s="70"/>
      <c r="V463" s="70"/>
      <c r="W463" s="70"/>
      <c r="X463" s="70"/>
      <c r="Y463" s="70"/>
    </row>
    <row r="464">
      <c r="A464" s="82"/>
      <c r="B464" s="506"/>
      <c r="C464" s="82"/>
      <c r="D464" s="506"/>
      <c r="E464" s="82"/>
      <c r="F464" s="506"/>
      <c r="G464" s="222"/>
      <c r="H464" s="506"/>
      <c r="I464" s="199"/>
      <c r="J464" s="506"/>
      <c r="K464" s="82"/>
      <c r="L464" s="506"/>
      <c r="M464" s="70"/>
      <c r="N464" s="70"/>
      <c r="O464" s="70"/>
      <c r="P464" s="70"/>
      <c r="Q464" s="70"/>
      <c r="R464" s="70"/>
      <c r="S464" s="70"/>
      <c r="T464" s="70"/>
      <c r="U464" s="70"/>
      <c r="V464" s="70"/>
      <c r="W464" s="70"/>
      <c r="X464" s="70"/>
      <c r="Y464" s="70"/>
    </row>
    <row r="465">
      <c r="A465" s="82"/>
      <c r="B465" s="506"/>
      <c r="C465" s="82"/>
      <c r="D465" s="506"/>
      <c r="E465" s="82"/>
      <c r="F465" s="506"/>
      <c r="G465" s="222"/>
      <c r="H465" s="506"/>
      <c r="I465" s="199"/>
      <c r="J465" s="506"/>
      <c r="K465" s="82"/>
      <c r="L465" s="506"/>
      <c r="M465" s="70"/>
      <c r="N465" s="70"/>
      <c r="O465" s="70"/>
      <c r="P465" s="70"/>
      <c r="Q465" s="70"/>
      <c r="R465" s="70"/>
      <c r="S465" s="70"/>
      <c r="T465" s="70"/>
      <c r="U465" s="70"/>
      <c r="V465" s="70"/>
      <c r="W465" s="70"/>
      <c r="X465" s="70"/>
      <c r="Y465" s="70"/>
    </row>
    <row r="466">
      <c r="A466" s="82"/>
      <c r="B466" s="506"/>
      <c r="C466" s="82"/>
      <c r="D466" s="506"/>
      <c r="E466" s="82"/>
      <c r="F466" s="506"/>
      <c r="G466" s="222"/>
      <c r="H466" s="506"/>
      <c r="I466" s="199"/>
      <c r="J466" s="506"/>
      <c r="K466" s="82"/>
      <c r="L466" s="506"/>
      <c r="M466" s="70"/>
      <c r="N466" s="70"/>
      <c r="O466" s="70"/>
      <c r="P466" s="70"/>
      <c r="Q466" s="70"/>
      <c r="R466" s="70"/>
      <c r="S466" s="70"/>
      <c r="T466" s="70"/>
      <c r="U466" s="70"/>
      <c r="V466" s="70"/>
      <c r="W466" s="70"/>
      <c r="X466" s="70"/>
      <c r="Y466" s="70"/>
    </row>
    <row r="467">
      <c r="A467" s="82"/>
      <c r="B467" s="506"/>
      <c r="C467" s="82"/>
      <c r="D467" s="506"/>
      <c r="E467" s="82"/>
      <c r="F467" s="506"/>
      <c r="G467" s="222"/>
      <c r="H467" s="506"/>
      <c r="I467" s="199"/>
      <c r="J467" s="506"/>
      <c r="K467" s="82"/>
      <c r="L467" s="506"/>
      <c r="M467" s="70"/>
      <c r="N467" s="70"/>
      <c r="O467" s="70"/>
      <c r="P467" s="70"/>
      <c r="Q467" s="70"/>
      <c r="R467" s="70"/>
      <c r="S467" s="70"/>
      <c r="T467" s="70"/>
      <c r="U467" s="70"/>
      <c r="V467" s="70"/>
      <c r="W467" s="70"/>
      <c r="X467" s="70"/>
      <c r="Y467" s="70"/>
    </row>
    <row r="468">
      <c r="A468" s="82"/>
      <c r="B468" s="506"/>
      <c r="C468" s="82"/>
      <c r="D468" s="506"/>
      <c r="E468" s="82"/>
      <c r="F468" s="506"/>
      <c r="G468" s="222"/>
      <c r="H468" s="506"/>
      <c r="I468" s="199"/>
      <c r="J468" s="506"/>
      <c r="K468" s="82"/>
      <c r="L468" s="506"/>
      <c r="M468" s="70"/>
      <c r="N468" s="70"/>
      <c r="O468" s="70"/>
      <c r="P468" s="70"/>
      <c r="Q468" s="70"/>
      <c r="R468" s="70"/>
      <c r="S468" s="70"/>
      <c r="T468" s="70"/>
      <c r="U468" s="70"/>
      <c r="V468" s="70"/>
      <c r="W468" s="70"/>
      <c r="X468" s="70"/>
      <c r="Y468" s="70"/>
    </row>
    <row r="469">
      <c r="A469" s="82"/>
      <c r="B469" s="506"/>
      <c r="C469" s="82"/>
      <c r="D469" s="506"/>
      <c r="E469" s="82"/>
      <c r="F469" s="506"/>
      <c r="G469" s="222"/>
      <c r="H469" s="506"/>
      <c r="I469" s="199"/>
      <c r="J469" s="506"/>
      <c r="K469" s="82"/>
      <c r="L469" s="506"/>
      <c r="M469" s="70"/>
      <c r="N469" s="70"/>
      <c r="O469" s="70"/>
      <c r="P469" s="70"/>
      <c r="Q469" s="70"/>
      <c r="R469" s="70"/>
      <c r="S469" s="70"/>
      <c r="T469" s="70"/>
      <c r="U469" s="70"/>
      <c r="V469" s="70"/>
      <c r="W469" s="70"/>
      <c r="X469" s="70"/>
      <c r="Y469" s="70"/>
    </row>
    <row r="470">
      <c r="A470" s="82"/>
      <c r="B470" s="506"/>
      <c r="C470" s="82"/>
      <c r="D470" s="506"/>
      <c r="E470" s="82"/>
      <c r="F470" s="506"/>
      <c r="G470" s="222"/>
      <c r="H470" s="506"/>
      <c r="I470" s="199"/>
      <c r="J470" s="506"/>
      <c r="K470" s="82"/>
      <c r="L470" s="506"/>
      <c r="M470" s="70"/>
      <c r="N470" s="70"/>
      <c r="O470" s="70"/>
      <c r="P470" s="70"/>
      <c r="Q470" s="70"/>
      <c r="R470" s="70"/>
      <c r="S470" s="70"/>
      <c r="T470" s="70"/>
      <c r="U470" s="70"/>
      <c r="V470" s="70"/>
      <c r="W470" s="70"/>
      <c r="X470" s="70"/>
      <c r="Y470" s="70"/>
    </row>
    <row r="471">
      <c r="A471" s="82"/>
      <c r="B471" s="506"/>
      <c r="C471" s="82"/>
      <c r="D471" s="506"/>
      <c r="E471" s="82"/>
      <c r="F471" s="506"/>
      <c r="G471" s="222"/>
      <c r="H471" s="506"/>
      <c r="I471" s="199"/>
      <c r="J471" s="506"/>
      <c r="K471" s="82"/>
      <c r="L471" s="506"/>
      <c r="M471" s="70"/>
      <c r="N471" s="70"/>
      <c r="O471" s="70"/>
      <c r="P471" s="70"/>
      <c r="Q471" s="70"/>
      <c r="R471" s="70"/>
      <c r="S471" s="70"/>
      <c r="T471" s="70"/>
      <c r="U471" s="70"/>
      <c r="V471" s="70"/>
      <c r="W471" s="70"/>
      <c r="X471" s="70"/>
      <c r="Y471" s="70"/>
    </row>
    <row r="472">
      <c r="A472" s="82"/>
      <c r="B472" s="506"/>
      <c r="C472" s="82"/>
      <c r="D472" s="506"/>
      <c r="E472" s="82"/>
      <c r="F472" s="506"/>
      <c r="G472" s="222"/>
      <c r="H472" s="506"/>
      <c r="I472" s="199"/>
      <c r="J472" s="506"/>
      <c r="K472" s="82"/>
      <c r="L472" s="506"/>
      <c r="M472" s="70"/>
      <c r="N472" s="70"/>
      <c r="O472" s="70"/>
      <c r="P472" s="70"/>
      <c r="Q472" s="70"/>
      <c r="R472" s="70"/>
      <c r="S472" s="70"/>
      <c r="T472" s="70"/>
      <c r="U472" s="70"/>
      <c r="V472" s="70"/>
      <c r="W472" s="70"/>
      <c r="X472" s="70"/>
      <c r="Y472" s="70"/>
    </row>
    <row r="473">
      <c r="A473" s="82"/>
      <c r="B473" s="506"/>
      <c r="C473" s="82"/>
      <c r="D473" s="506"/>
      <c r="E473" s="82"/>
      <c r="F473" s="506"/>
      <c r="G473" s="222"/>
      <c r="H473" s="506"/>
      <c r="I473" s="199"/>
      <c r="J473" s="506"/>
      <c r="K473" s="82"/>
      <c r="L473" s="506"/>
      <c r="M473" s="70"/>
      <c r="N473" s="70"/>
      <c r="O473" s="70"/>
      <c r="P473" s="70"/>
      <c r="Q473" s="70"/>
      <c r="R473" s="70"/>
      <c r="S473" s="70"/>
      <c r="T473" s="70"/>
      <c r="U473" s="70"/>
      <c r="V473" s="70"/>
      <c r="W473" s="70"/>
      <c r="X473" s="70"/>
      <c r="Y473" s="70"/>
    </row>
    <row r="474">
      <c r="A474" s="82"/>
      <c r="B474" s="506"/>
      <c r="C474" s="82"/>
      <c r="D474" s="506"/>
      <c r="E474" s="82"/>
      <c r="F474" s="506"/>
      <c r="G474" s="222"/>
      <c r="H474" s="506"/>
      <c r="I474" s="199"/>
      <c r="J474" s="506"/>
      <c r="K474" s="82"/>
      <c r="L474" s="506"/>
      <c r="M474" s="70"/>
      <c r="N474" s="70"/>
      <c r="O474" s="70"/>
      <c r="P474" s="70"/>
      <c r="Q474" s="70"/>
      <c r="R474" s="70"/>
      <c r="S474" s="70"/>
      <c r="T474" s="70"/>
      <c r="U474" s="70"/>
      <c r="V474" s="70"/>
      <c r="W474" s="70"/>
      <c r="X474" s="70"/>
      <c r="Y474" s="70"/>
    </row>
    <row r="475">
      <c r="A475" s="82"/>
      <c r="B475" s="506"/>
      <c r="C475" s="82"/>
      <c r="D475" s="506"/>
      <c r="E475" s="82"/>
      <c r="F475" s="506"/>
      <c r="G475" s="222"/>
      <c r="H475" s="506"/>
      <c r="I475" s="199"/>
      <c r="J475" s="506"/>
      <c r="K475" s="82"/>
      <c r="L475" s="506"/>
      <c r="M475" s="70"/>
      <c r="N475" s="70"/>
      <c r="O475" s="70"/>
      <c r="P475" s="70"/>
      <c r="Q475" s="70"/>
      <c r="R475" s="70"/>
      <c r="S475" s="70"/>
      <c r="T475" s="70"/>
      <c r="U475" s="70"/>
      <c r="V475" s="70"/>
      <c r="W475" s="70"/>
      <c r="X475" s="70"/>
      <c r="Y475" s="70"/>
    </row>
    <row r="476">
      <c r="A476" s="82"/>
      <c r="B476" s="506"/>
      <c r="C476" s="82"/>
      <c r="D476" s="506"/>
      <c r="E476" s="82"/>
      <c r="F476" s="506"/>
      <c r="G476" s="222"/>
      <c r="H476" s="506"/>
      <c r="I476" s="199"/>
      <c r="J476" s="506"/>
      <c r="K476" s="82"/>
      <c r="L476" s="506"/>
      <c r="M476" s="70"/>
      <c r="N476" s="70"/>
      <c r="O476" s="70"/>
      <c r="P476" s="70"/>
      <c r="Q476" s="70"/>
      <c r="R476" s="70"/>
      <c r="S476" s="70"/>
      <c r="T476" s="70"/>
      <c r="U476" s="70"/>
      <c r="V476" s="70"/>
      <c r="W476" s="70"/>
      <c r="X476" s="70"/>
      <c r="Y476" s="70"/>
    </row>
    <row r="477">
      <c r="A477" s="82"/>
      <c r="B477" s="506"/>
      <c r="C477" s="82"/>
      <c r="D477" s="506"/>
      <c r="E477" s="82"/>
      <c r="F477" s="506"/>
      <c r="G477" s="222"/>
      <c r="H477" s="506"/>
      <c r="I477" s="199"/>
      <c r="J477" s="506"/>
      <c r="K477" s="82"/>
      <c r="L477" s="506"/>
      <c r="M477" s="70"/>
      <c r="N477" s="70"/>
      <c r="O477" s="70"/>
      <c r="P477" s="70"/>
      <c r="Q477" s="70"/>
      <c r="R477" s="70"/>
      <c r="S477" s="70"/>
      <c r="T477" s="70"/>
      <c r="U477" s="70"/>
      <c r="V477" s="70"/>
      <c r="W477" s="70"/>
      <c r="X477" s="70"/>
      <c r="Y477" s="70"/>
    </row>
    <row r="478">
      <c r="A478" s="82"/>
      <c r="B478" s="506"/>
      <c r="C478" s="82"/>
      <c r="D478" s="506"/>
      <c r="E478" s="82"/>
      <c r="F478" s="506"/>
      <c r="G478" s="222"/>
      <c r="H478" s="506"/>
      <c r="I478" s="199"/>
      <c r="J478" s="506"/>
      <c r="K478" s="82"/>
      <c r="L478" s="506"/>
      <c r="M478" s="70"/>
      <c r="N478" s="70"/>
      <c r="O478" s="70"/>
      <c r="P478" s="70"/>
      <c r="Q478" s="70"/>
      <c r="R478" s="70"/>
      <c r="S478" s="70"/>
      <c r="T478" s="70"/>
      <c r="U478" s="70"/>
      <c r="V478" s="70"/>
      <c r="W478" s="70"/>
      <c r="X478" s="70"/>
      <c r="Y478" s="70"/>
    </row>
    <row r="479">
      <c r="A479" s="82"/>
      <c r="B479" s="506"/>
      <c r="C479" s="82"/>
      <c r="D479" s="506"/>
      <c r="E479" s="82"/>
      <c r="F479" s="506"/>
      <c r="G479" s="222"/>
      <c r="H479" s="506"/>
      <c r="I479" s="199"/>
      <c r="J479" s="506"/>
      <c r="K479" s="82"/>
      <c r="L479" s="506"/>
      <c r="M479" s="70"/>
      <c r="N479" s="70"/>
      <c r="O479" s="70"/>
      <c r="P479" s="70"/>
      <c r="Q479" s="70"/>
      <c r="R479" s="70"/>
      <c r="S479" s="70"/>
      <c r="T479" s="70"/>
      <c r="U479" s="70"/>
      <c r="V479" s="70"/>
      <c r="W479" s="70"/>
      <c r="X479" s="70"/>
      <c r="Y479" s="70"/>
    </row>
    <row r="480">
      <c r="A480" s="82"/>
      <c r="B480" s="506"/>
      <c r="C480" s="82"/>
      <c r="D480" s="506"/>
      <c r="E480" s="82"/>
      <c r="F480" s="506"/>
      <c r="G480" s="222"/>
      <c r="H480" s="506"/>
      <c r="I480" s="199"/>
      <c r="J480" s="506"/>
      <c r="K480" s="82"/>
      <c r="L480" s="506"/>
      <c r="M480" s="70"/>
      <c r="N480" s="70"/>
      <c r="O480" s="70"/>
      <c r="P480" s="70"/>
      <c r="Q480" s="70"/>
      <c r="R480" s="70"/>
      <c r="S480" s="70"/>
      <c r="T480" s="70"/>
      <c r="U480" s="70"/>
      <c r="V480" s="70"/>
      <c r="W480" s="70"/>
      <c r="X480" s="70"/>
      <c r="Y480" s="70"/>
    </row>
    <row r="481">
      <c r="A481" s="82"/>
      <c r="B481" s="506"/>
      <c r="C481" s="82"/>
      <c r="D481" s="506"/>
      <c r="E481" s="82"/>
      <c r="F481" s="506"/>
      <c r="G481" s="222"/>
      <c r="H481" s="506"/>
      <c r="I481" s="199"/>
      <c r="J481" s="506"/>
      <c r="K481" s="82"/>
      <c r="L481" s="506"/>
      <c r="M481" s="70"/>
      <c r="N481" s="70"/>
      <c r="O481" s="70"/>
      <c r="P481" s="70"/>
      <c r="Q481" s="70"/>
      <c r="R481" s="70"/>
      <c r="S481" s="70"/>
      <c r="T481" s="70"/>
      <c r="U481" s="70"/>
      <c r="V481" s="70"/>
      <c r="W481" s="70"/>
      <c r="X481" s="70"/>
      <c r="Y481" s="70"/>
    </row>
    <row r="482">
      <c r="A482" s="82"/>
      <c r="B482" s="506"/>
      <c r="C482" s="82"/>
      <c r="D482" s="506"/>
      <c r="E482" s="82"/>
      <c r="F482" s="506"/>
      <c r="G482" s="222"/>
      <c r="H482" s="506"/>
      <c r="I482" s="199"/>
      <c r="J482" s="506"/>
      <c r="K482" s="82"/>
      <c r="L482" s="506"/>
      <c r="M482" s="70"/>
      <c r="N482" s="70"/>
      <c r="O482" s="70"/>
      <c r="P482" s="70"/>
      <c r="Q482" s="70"/>
      <c r="R482" s="70"/>
      <c r="S482" s="70"/>
      <c r="T482" s="70"/>
      <c r="U482" s="70"/>
      <c r="V482" s="70"/>
      <c r="W482" s="70"/>
      <c r="X482" s="70"/>
      <c r="Y482" s="70"/>
    </row>
    <row r="483">
      <c r="A483" s="82"/>
      <c r="B483" s="506"/>
      <c r="C483" s="82"/>
      <c r="D483" s="506"/>
      <c r="E483" s="82"/>
      <c r="F483" s="506"/>
      <c r="G483" s="222"/>
      <c r="H483" s="506"/>
      <c r="I483" s="199"/>
      <c r="J483" s="506"/>
      <c r="K483" s="82"/>
      <c r="L483" s="506"/>
      <c r="M483" s="70"/>
      <c r="N483" s="70"/>
      <c r="O483" s="70"/>
      <c r="P483" s="70"/>
      <c r="Q483" s="70"/>
      <c r="R483" s="70"/>
      <c r="S483" s="70"/>
      <c r="T483" s="70"/>
      <c r="U483" s="70"/>
      <c r="V483" s="70"/>
      <c r="W483" s="70"/>
      <c r="X483" s="70"/>
      <c r="Y483" s="70"/>
    </row>
    <row r="484">
      <c r="A484" s="82"/>
      <c r="B484" s="506"/>
      <c r="C484" s="82"/>
      <c r="D484" s="506"/>
      <c r="E484" s="82"/>
      <c r="F484" s="506"/>
      <c r="G484" s="222"/>
      <c r="H484" s="506"/>
      <c r="I484" s="199"/>
      <c r="J484" s="506"/>
      <c r="K484" s="82"/>
      <c r="L484" s="506"/>
      <c r="M484" s="70"/>
      <c r="N484" s="70"/>
      <c r="O484" s="70"/>
      <c r="P484" s="70"/>
      <c r="Q484" s="70"/>
      <c r="R484" s="70"/>
      <c r="S484" s="70"/>
      <c r="T484" s="70"/>
      <c r="U484" s="70"/>
      <c r="V484" s="70"/>
      <c r="W484" s="70"/>
      <c r="X484" s="70"/>
      <c r="Y484" s="70"/>
    </row>
    <row r="485">
      <c r="A485" s="82"/>
      <c r="B485" s="506"/>
      <c r="C485" s="82"/>
      <c r="D485" s="506"/>
      <c r="E485" s="82"/>
      <c r="F485" s="506"/>
      <c r="G485" s="222"/>
      <c r="H485" s="506"/>
      <c r="I485" s="199"/>
      <c r="J485" s="506"/>
      <c r="K485" s="82"/>
      <c r="L485" s="506"/>
      <c r="M485" s="70"/>
      <c r="N485" s="70"/>
      <c r="O485" s="70"/>
      <c r="P485" s="70"/>
      <c r="Q485" s="70"/>
      <c r="R485" s="70"/>
      <c r="S485" s="70"/>
      <c r="T485" s="70"/>
      <c r="U485" s="70"/>
      <c r="V485" s="70"/>
      <c r="W485" s="70"/>
      <c r="X485" s="70"/>
      <c r="Y485" s="70"/>
    </row>
    <row r="486">
      <c r="A486" s="82"/>
      <c r="B486" s="506"/>
      <c r="C486" s="82"/>
      <c r="D486" s="506"/>
      <c r="E486" s="82"/>
      <c r="F486" s="506"/>
      <c r="G486" s="222"/>
      <c r="H486" s="506"/>
      <c r="I486" s="199"/>
      <c r="J486" s="506"/>
      <c r="K486" s="82"/>
      <c r="L486" s="506"/>
      <c r="M486" s="70"/>
      <c r="N486" s="70"/>
      <c r="O486" s="70"/>
      <c r="P486" s="70"/>
      <c r="Q486" s="70"/>
      <c r="R486" s="70"/>
      <c r="S486" s="70"/>
      <c r="T486" s="70"/>
      <c r="U486" s="70"/>
      <c r="V486" s="70"/>
      <c r="W486" s="70"/>
      <c r="X486" s="70"/>
      <c r="Y486" s="70"/>
    </row>
    <row r="487">
      <c r="A487" s="82"/>
      <c r="B487" s="506"/>
      <c r="C487" s="82"/>
      <c r="D487" s="506"/>
      <c r="E487" s="82"/>
      <c r="F487" s="506"/>
      <c r="G487" s="222"/>
      <c r="H487" s="506"/>
      <c r="I487" s="199"/>
      <c r="J487" s="506"/>
      <c r="K487" s="82"/>
      <c r="L487" s="506"/>
      <c r="M487" s="70"/>
      <c r="N487" s="70"/>
      <c r="O487" s="70"/>
      <c r="P487" s="70"/>
      <c r="Q487" s="70"/>
      <c r="R487" s="70"/>
      <c r="S487" s="70"/>
      <c r="T487" s="70"/>
      <c r="U487" s="70"/>
      <c r="V487" s="70"/>
      <c r="W487" s="70"/>
      <c r="X487" s="70"/>
      <c r="Y487" s="70"/>
    </row>
    <row r="488">
      <c r="A488" s="82"/>
      <c r="B488" s="506"/>
      <c r="C488" s="82"/>
      <c r="D488" s="506"/>
      <c r="E488" s="82"/>
      <c r="F488" s="506"/>
      <c r="G488" s="222"/>
      <c r="H488" s="506"/>
      <c r="I488" s="199"/>
      <c r="J488" s="506"/>
      <c r="K488" s="82"/>
      <c r="L488" s="506"/>
      <c r="M488" s="70"/>
      <c r="N488" s="70"/>
      <c r="O488" s="70"/>
      <c r="P488" s="70"/>
      <c r="Q488" s="70"/>
      <c r="R488" s="70"/>
      <c r="S488" s="70"/>
      <c r="T488" s="70"/>
      <c r="U488" s="70"/>
      <c r="V488" s="70"/>
      <c r="W488" s="70"/>
      <c r="X488" s="70"/>
      <c r="Y488" s="70"/>
    </row>
    <row r="489">
      <c r="A489" s="82"/>
      <c r="B489" s="506"/>
      <c r="C489" s="82"/>
      <c r="D489" s="506"/>
      <c r="E489" s="82"/>
      <c r="F489" s="506"/>
      <c r="G489" s="222"/>
      <c r="H489" s="506"/>
      <c r="I489" s="199"/>
      <c r="J489" s="506"/>
      <c r="K489" s="82"/>
      <c r="L489" s="506"/>
      <c r="M489" s="70"/>
      <c r="N489" s="70"/>
      <c r="O489" s="70"/>
      <c r="P489" s="70"/>
      <c r="Q489" s="70"/>
      <c r="R489" s="70"/>
      <c r="S489" s="70"/>
      <c r="T489" s="70"/>
      <c r="U489" s="70"/>
      <c r="V489" s="70"/>
      <c r="W489" s="70"/>
      <c r="X489" s="70"/>
      <c r="Y489" s="70"/>
    </row>
    <row r="490">
      <c r="A490" s="82"/>
      <c r="B490" s="506"/>
      <c r="C490" s="82"/>
      <c r="D490" s="506"/>
      <c r="E490" s="82"/>
      <c r="F490" s="506"/>
      <c r="G490" s="222"/>
      <c r="H490" s="506"/>
      <c r="I490" s="199"/>
      <c r="J490" s="506"/>
      <c r="K490" s="82"/>
      <c r="L490" s="506"/>
      <c r="M490" s="70"/>
      <c r="N490" s="70"/>
      <c r="O490" s="70"/>
      <c r="P490" s="70"/>
      <c r="Q490" s="70"/>
      <c r="R490" s="70"/>
      <c r="S490" s="70"/>
      <c r="T490" s="70"/>
      <c r="U490" s="70"/>
      <c r="V490" s="70"/>
      <c r="W490" s="70"/>
      <c r="X490" s="70"/>
      <c r="Y490" s="70"/>
    </row>
    <row r="491">
      <c r="A491" s="82"/>
      <c r="B491" s="506"/>
      <c r="C491" s="82"/>
      <c r="D491" s="506"/>
      <c r="E491" s="82"/>
      <c r="F491" s="506"/>
      <c r="G491" s="222"/>
      <c r="H491" s="506"/>
      <c r="I491" s="199"/>
      <c r="J491" s="506"/>
      <c r="K491" s="82"/>
      <c r="L491" s="506"/>
      <c r="M491" s="70"/>
      <c r="N491" s="70"/>
      <c r="O491" s="70"/>
      <c r="P491" s="70"/>
      <c r="Q491" s="70"/>
      <c r="R491" s="70"/>
      <c r="S491" s="70"/>
      <c r="T491" s="70"/>
      <c r="U491" s="70"/>
      <c r="V491" s="70"/>
      <c r="W491" s="70"/>
      <c r="X491" s="70"/>
      <c r="Y491" s="70"/>
    </row>
    <row r="492">
      <c r="A492" s="82"/>
      <c r="B492" s="506"/>
      <c r="C492" s="82"/>
      <c r="D492" s="506"/>
      <c r="E492" s="82"/>
      <c r="F492" s="506"/>
      <c r="G492" s="222"/>
      <c r="H492" s="506"/>
      <c r="I492" s="199"/>
      <c r="J492" s="506"/>
      <c r="K492" s="82"/>
      <c r="L492" s="506"/>
      <c r="M492" s="70"/>
      <c r="N492" s="70"/>
      <c r="O492" s="70"/>
      <c r="P492" s="70"/>
      <c r="Q492" s="70"/>
      <c r="R492" s="70"/>
      <c r="S492" s="70"/>
      <c r="T492" s="70"/>
      <c r="U492" s="70"/>
      <c r="V492" s="70"/>
      <c r="W492" s="70"/>
      <c r="X492" s="70"/>
      <c r="Y492" s="70"/>
    </row>
    <row r="493">
      <c r="A493" s="82"/>
      <c r="B493" s="506"/>
      <c r="C493" s="82"/>
      <c r="D493" s="506"/>
      <c r="E493" s="82"/>
      <c r="F493" s="506"/>
      <c r="G493" s="222"/>
      <c r="H493" s="506"/>
      <c r="I493" s="199"/>
      <c r="J493" s="506"/>
      <c r="K493" s="82"/>
      <c r="L493" s="506"/>
      <c r="M493" s="70"/>
      <c r="N493" s="70"/>
      <c r="O493" s="70"/>
      <c r="P493" s="70"/>
      <c r="Q493" s="70"/>
      <c r="R493" s="70"/>
      <c r="S493" s="70"/>
      <c r="T493" s="70"/>
      <c r="U493" s="70"/>
      <c r="V493" s="70"/>
      <c r="W493" s="70"/>
      <c r="X493" s="70"/>
      <c r="Y493" s="70"/>
    </row>
    <row r="494">
      <c r="A494" s="82"/>
      <c r="B494" s="506"/>
      <c r="C494" s="82"/>
      <c r="D494" s="506"/>
      <c r="E494" s="82"/>
      <c r="F494" s="506"/>
      <c r="G494" s="222"/>
      <c r="H494" s="506"/>
      <c r="I494" s="199"/>
      <c r="J494" s="506"/>
      <c r="K494" s="82"/>
      <c r="L494" s="506"/>
      <c r="M494" s="70"/>
      <c r="N494" s="70"/>
      <c r="O494" s="70"/>
      <c r="P494" s="70"/>
      <c r="Q494" s="70"/>
      <c r="R494" s="70"/>
      <c r="S494" s="70"/>
      <c r="T494" s="70"/>
      <c r="U494" s="70"/>
      <c r="V494" s="70"/>
      <c r="W494" s="70"/>
      <c r="X494" s="70"/>
      <c r="Y494" s="70"/>
    </row>
    <row r="495">
      <c r="A495" s="82"/>
      <c r="B495" s="506"/>
      <c r="C495" s="82"/>
      <c r="D495" s="506"/>
      <c r="E495" s="82"/>
      <c r="F495" s="506"/>
      <c r="G495" s="222"/>
      <c r="H495" s="506"/>
      <c r="I495" s="199"/>
      <c r="J495" s="506"/>
      <c r="K495" s="82"/>
      <c r="L495" s="506"/>
      <c r="M495" s="70"/>
      <c r="N495" s="70"/>
      <c r="O495" s="70"/>
      <c r="P495" s="70"/>
      <c r="Q495" s="70"/>
      <c r="R495" s="70"/>
      <c r="S495" s="70"/>
      <c r="T495" s="70"/>
      <c r="U495" s="70"/>
      <c r="V495" s="70"/>
      <c r="W495" s="70"/>
      <c r="X495" s="70"/>
      <c r="Y495" s="70"/>
    </row>
    <row r="496">
      <c r="A496" s="82"/>
      <c r="B496" s="506"/>
      <c r="C496" s="82"/>
      <c r="D496" s="506"/>
      <c r="E496" s="82"/>
      <c r="F496" s="506"/>
      <c r="G496" s="222"/>
      <c r="H496" s="506"/>
      <c r="I496" s="199"/>
      <c r="J496" s="506"/>
      <c r="K496" s="82"/>
      <c r="L496" s="506"/>
      <c r="M496" s="70"/>
      <c r="N496" s="70"/>
      <c r="O496" s="70"/>
      <c r="P496" s="70"/>
      <c r="Q496" s="70"/>
      <c r="R496" s="70"/>
      <c r="S496" s="70"/>
      <c r="T496" s="70"/>
      <c r="U496" s="70"/>
      <c r="V496" s="70"/>
      <c r="W496" s="70"/>
      <c r="X496" s="70"/>
      <c r="Y496" s="70"/>
    </row>
    <row r="497">
      <c r="A497" s="82"/>
      <c r="B497" s="506"/>
      <c r="C497" s="82"/>
      <c r="D497" s="506"/>
      <c r="E497" s="82"/>
      <c r="F497" s="506"/>
      <c r="G497" s="222"/>
      <c r="H497" s="506"/>
      <c r="I497" s="199"/>
      <c r="J497" s="506"/>
      <c r="K497" s="82"/>
      <c r="L497" s="506"/>
      <c r="M497" s="70"/>
      <c r="N497" s="70"/>
      <c r="O497" s="70"/>
      <c r="P497" s="70"/>
      <c r="Q497" s="70"/>
      <c r="R497" s="70"/>
      <c r="S497" s="70"/>
      <c r="T497" s="70"/>
      <c r="U497" s="70"/>
      <c r="V497" s="70"/>
      <c r="W497" s="70"/>
      <c r="X497" s="70"/>
      <c r="Y497" s="70"/>
    </row>
    <row r="498">
      <c r="A498" s="82"/>
      <c r="B498" s="506"/>
      <c r="C498" s="82"/>
      <c r="D498" s="506"/>
      <c r="E498" s="82"/>
      <c r="F498" s="506"/>
      <c r="G498" s="222"/>
      <c r="H498" s="506"/>
      <c r="I498" s="199"/>
      <c r="J498" s="506"/>
      <c r="K498" s="82"/>
      <c r="L498" s="506"/>
      <c r="M498" s="70"/>
      <c r="N498" s="70"/>
      <c r="O498" s="70"/>
      <c r="P498" s="70"/>
      <c r="Q498" s="70"/>
      <c r="R498" s="70"/>
      <c r="S498" s="70"/>
      <c r="T498" s="70"/>
      <c r="U498" s="70"/>
      <c r="V498" s="70"/>
      <c r="W498" s="70"/>
      <c r="X498" s="70"/>
      <c r="Y498" s="70"/>
    </row>
    <row r="499">
      <c r="A499" s="82"/>
      <c r="B499" s="506"/>
      <c r="C499" s="82"/>
      <c r="D499" s="506"/>
      <c r="E499" s="82"/>
      <c r="F499" s="506"/>
      <c r="G499" s="222"/>
      <c r="H499" s="506"/>
      <c r="I499" s="199"/>
      <c r="J499" s="506"/>
      <c r="K499" s="82"/>
      <c r="L499" s="506"/>
      <c r="M499" s="70"/>
      <c r="N499" s="70"/>
      <c r="O499" s="70"/>
      <c r="P499" s="70"/>
      <c r="Q499" s="70"/>
      <c r="R499" s="70"/>
      <c r="S499" s="70"/>
      <c r="T499" s="70"/>
      <c r="U499" s="70"/>
      <c r="V499" s="70"/>
      <c r="W499" s="70"/>
      <c r="X499" s="70"/>
      <c r="Y499" s="70"/>
    </row>
    <row r="500">
      <c r="A500" s="82"/>
      <c r="B500" s="506"/>
      <c r="C500" s="82"/>
      <c r="D500" s="506"/>
      <c r="E500" s="82"/>
      <c r="F500" s="506"/>
      <c r="G500" s="222"/>
      <c r="H500" s="506"/>
      <c r="I500" s="199"/>
      <c r="J500" s="506"/>
      <c r="K500" s="82"/>
      <c r="L500" s="506"/>
      <c r="M500" s="70"/>
      <c r="N500" s="70"/>
      <c r="O500" s="70"/>
      <c r="P500" s="70"/>
      <c r="Q500" s="70"/>
      <c r="R500" s="70"/>
      <c r="S500" s="70"/>
      <c r="T500" s="70"/>
      <c r="U500" s="70"/>
      <c r="V500" s="70"/>
      <c r="W500" s="70"/>
      <c r="X500" s="70"/>
      <c r="Y500" s="70"/>
    </row>
    <row r="501">
      <c r="A501" s="82"/>
      <c r="B501" s="506"/>
      <c r="C501" s="82"/>
      <c r="D501" s="506"/>
      <c r="E501" s="82"/>
      <c r="F501" s="506"/>
      <c r="G501" s="222"/>
      <c r="H501" s="506"/>
      <c r="I501" s="199"/>
      <c r="J501" s="506"/>
      <c r="K501" s="82"/>
      <c r="L501" s="506"/>
      <c r="M501" s="70"/>
      <c r="N501" s="70"/>
      <c r="O501" s="70"/>
      <c r="P501" s="70"/>
      <c r="Q501" s="70"/>
      <c r="R501" s="70"/>
      <c r="S501" s="70"/>
      <c r="T501" s="70"/>
      <c r="U501" s="70"/>
      <c r="V501" s="70"/>
      <c r="W501" s="70"/>
      <c r="X501" s="70"/>
      <c r="Y501" s="70"/>
    </row>
    <row r="502">
      <c r="A502" s="82"/>
      <c r="B502" s="506"/>
      <c r="C502" s="82"/>
      <c r="D502" s="506"/>
      <c r="E502" s="82"/>
      <c r="F502" s="506"/>
      <c r="G502" s="222"/>
      <c r="H502" s="506"/>
      <c r="I502" s="199"/>
      <c r="J502" s="506"/>
      <c r="K502" s="82"/>
      <c r="L502" s="506"/>
      <c r="M502" s="70"/>
      <c r="N502" s="70"/>
      <c r="O502" s="70"/>
      <c r="P502" s="70"/>
      <c r="Q502" s="70"/>
      <c r="R502" s="70"/>
      <c r="S502" s="70"/>
      <c r="T502" s="70"/>
      <c r="U502" s="70"/>
      <c r="V502" s="70"/>
      <c r="W502" s="70"/>
      <c r="X502" s="70"/>
      <c r="Y502" s="70"/>
    </row>
    <row r="503">
      <c r="A503" s="82"/>
      <c r="B503" s="506"/>
      <c r="C503" s="82"/>
      <c r="D503" s="506"/>
      <c r="E503" s="82"/>
      <c r="F503" s="506"/>
      <c r="G503" s="222"/>
      <c r="H503" s="506"/>
      <c r="I503" s="199"/>
      <c r="J503" s="506"/>
      <c r="K503" s="82"/>
      <c r="L503" s="506"/>
      <c r="M503" s="70"/>
      <c r="N503" s="70"/>
      <c r="O503" s="70"/>
      <c r="P503" s="70"/>
      <c r="Q503" s="70"/>
      <c r="R503" s="70"/>
      <c r="S503" s="70"/>
      <c r="T503" s="70"/>
      <c r="U503" s="70"/>
      <c r="V503" s="70"/>
      <c r="W503" s="70"/>
      <c r="X503" s="70"/>
      <c r="Y503" s="70"/>
    </row>
    <row r="504">
      <c r="A504" s="82"/>
      <c r="B504" s="506"/>
      <c r="C504" s="82"/>
      <c r="D504" s="506"/>
      <c r="E504" s="82"/>
      <c r="F504" s="506"/>
      <c r="G504" s="222"/>
      <c r="H504" s="506"/>
      <c r="I504" s="199"/>
      <c r="J504" s="506"/>
      <c r="K504" s="82"/>
      <c r="L504" s="506"/>
      <c r="M504" s="70"/>
      <c r="N504" s="70"/>
      <c r="O504" s="70"/>
      <c r="P504" s="70"/>
      <c r="Q504" s="70"/>
      <c r="R504" s="70"/>
      <c r="S504" s="70"/>
      <c r="T504" s="70"/>
      <c r="U504" s="70"/>
      <c r="V504" s="70"/>
      <c r="W504" s="70"/>
      <c r="X504" s="70"/>
      <c r="Y504" s="70"/>
    </row>
    <row r="505">
      <c r="A505" s="82"/>
      <c r="B505" s="506"/>
      <c r="C505" s="82"/>
      <c r="D505" s="506"/>
      <c r="E505" s="82"/>
      <c r="F505" s="506"/>
      <c r="G505" s="222"/>
      <c r="H505" s="506"/>
      <c r="I505" s="199"/>
      <c r="J505" s="506"/>
      <c r="K505" s="82"/>
      <c r="L505" s="506"/>
      <c r="M505" s="70"/>
      <c r="N505" s="70"/>
      <c r="O505" s="70"/>
      <c r="P505" s="70"/>
      <c r="Q505" s="70"/>
      <c r="R505" s="70"/>
      <c r="S505" s="70"/>
      <c r="T505" s="70"/>
      <c r="U505" s="70"/>
      <c r="V505" s="70"/>
      <c r="W505" s="70"/>
      <c r="X505" s="70"/>
      <c r="Y505" s="70"/>
    </row>
    <row r="506">
      <c r="A506" s="82"/>
      <c r="B506" s="506"/>
      <c r="C506" s="82"/>
      <c r="D506" s="506"/>
      <c r="E506" s="82"/>
      <c r="F506" s="506"/>
      <c r="G506" s="222"/>
      <c r="H506" s="506"/>
      <c r="I506" s="199"/>
      <c r="J506" s="506"/>
      <c r="K506" s="82"/>
      <c r="L506" s="506"/>
      <c r="M506" s="70"/>
      <c r="N506" s="70"/>
      <c r="O506" s="70"/>
      <c r="P506" s="70"/>
      <c r="Q506" s="70"/>
      <c r="R506" s="70"/>
      <c r="S506" s="70"/>
      <c r="T506" s="70"/>
      <c r="U506" s="70"/>
      <c r="V506" s="70"/>
      <c r="W506" s="70"/>
      <c r="X506" s="70"/>
      <c r="Y506" s="70"/>
    </row>
    <row r="507">
      <c r="A507" s="82"/>
      <c r="B507" s="506"/>
      <c r="C507" s="82"/>
      <c r="D507" s="506"/>
      <c r="E507" s="82"/>
      <c r="F507" s="506"/>
      <c r="G507" s="222"/>
      <c r="H507" s="506"/>
      <c r="I507" s="199"/>
      <c r="J507" s="506"/>
      <c r="K507" s="82"/>
      <c r="L507" s="506"/>
      <c r="M507" s="70"/>
      <c r="N507" s="70"/>
      <c r="O507" s="70"/>
      <c r="P507" s="70"/>
      <c r="Q507" s="70"/>
      <c r="R507" s="70"/>
      <c r="S507" s="70"/>
      <c r="T507" s="70"/>
      <c r="U507" s="70"/>
      <c r="V507" s="70"/>
      <c r="W507" s="70"/>
      <c r="X507" s="70"/>
      <c r="Y507" s="70"/>
    </row>
    <row r="508">
      <c r="A508" s="82"/>
      <c r="B508" s="506"/>
      <c r="C508" s="82"/>
      <c r="D508" s="506"/>
      <c r="E508" s="82"/>
      <c r="F508" s="506"/>
      <c r="G508" s="222"/>
      <c r="H508" s="506"/>
      <c r="I508" s="199"/>
      <c r="J508" s="506"/>
      <c r="K508" s="82"/>
      <c r="L508" s="506"/>
      <c r="M508" s="70"/>
      <c r="N508" s="70"/>
      <c r="O508" s="70"/>
      <c r="P508" s="70"/>
      <c r="Q508" s="70"/>
      <c r="R508" s="70"/>
      <c r="S508" s="70"/>
      <c r="T508" s="70"/>
      <c r="U508" s="70"/>
      <c r="V508" s="70"/>
      <c r="W508" s="70"/>
      <c r="X508" s="70"/>
      <c r="Y508" s="70"/>
    </row>
    <row r="509">
      <c r="A509" s="82"/>
      <c r="B509" s="506"/>
      <c r="C509" s="82"/>
      <c r="D509" s="506"/>
      <c r="E509" s="82"/>
      <c r="F509" s="506"/>
      <c r="G509" s="222"/>
      <c r="H509" s="506"/>
      <c r="I509" s="199"/>
      <c r="J509" s="506"/>
      <c r="K509" s="82"/>
      <c r="L509" s="506"/>
      <c r="M509" s="70"/>
      <c r="N509" s="70"/>
      <c r="O509" s="70"/>
      <c r="P509" s="70"/>
      <c r="Q509" s="70"/>
      <c r="R509" s="70"/>
      <c r="S509" s="70"/>
      <c r="T509" s="70"/>
      <c r="U509" s="70"/>
      <c r="V509" s="70"/>
      <c r="W509" s="70"/>
      <c r="X509" s="70"/>
      <c r="Y509" s="70"/>
    </row>
    <row r="510">
      <c r="A510" s="82"/>
      <c r="B510" s="506"/>
      <c r="C510" s="82"/>
      <c r="D510" s="506"/>
      <c r="E510" s="82"/>
      <c r="F510" s="506"/>
      <c r="G510" s="222"/>
      <c r="H510" s="506"/>
      <c r="I510" s="199"/>
      <c r="J510" s="506"/>
      <c r="K510" s="82"/>
      <c r="L510" s="506"/>
      <c r="M510" s="70"/>
      <c r="N510" s="70"/>
      <c r="O510" s="70"/>
      <c r="P510" s="70"/>
      <c r="Q510" s="70"/>
      <c r="R510" s="70"/>
      <c r="S510" s="70"/>
      <c r="T510" s="70"/>
      <c r="U510" s="70"/>
      <c r="V510" s="70"/>
      <c r="W510" s="70"/>
      <c r="X510" s="70"/>
      <c r="Y510" s="70"/>
    </row>
    <row r="511">
      <c r="A511" s="82"/>
      <c r="B511" s="506"/>
      <c r="C511" s="82"/>
      <c r="D511" s="506"/>
      <c r="E511" s="82"/>
      <c r="F511" s="506"/>
      <c r="G511" s="222"/>
      <c r="H511" s="506"/>
      <c r="I511" s="199"/>
      <c r="J511" s="506"/>
      <c r="K511" s="82"/>
      <c r="L511" s="506"/>
      <c r="M511" s="70"/>
      <c r="N511" s="70"/>
      <c r="O511" s="70"/>
      <c r="P511" s="70"/>
      <c r="Q511" s="70"/>
      <c r="R511" s="70"/>
      <c r="S511" s="70"/>
      <c r="T511" s="70"/>
      <c r="U511" s="70"/>
      <c r="V511" s="70"/>
      <c r="W511" s="70"/>
      <c r="X511" s="70"/>
      <c r="Y511" s="70"/>
    </row>
    <row r="512">
      <c r="A512" s="82"/>
      <c r="B512" s="506"/>
      <c r="C512" s="82"/>
      <c r="D512" s="506"/>
      <c r="E512" s="82"/>
      <c r="F512" s="506"/>
      <c r="G512" s="222"/>
      <c r="H512" s="506"/>
      <c r="I512" s="199"/>
      <c r="J512" s="506"/>
      <c r="K512" s="82"/>
      <c r="L512" s="506"/>
      <c r="M512" s="70"/>
      <c r="N512" s="70"/>
      <c r="O512" s="70"/>
      <c r="P512" s="70"/>
      <c r="Q512" s="70"/>
      <c r="R512" s="70"/>
      <c r="S512" s="70"/>
      <c r="T512" s="70"/>
      <c r="U512" s="70"/>
      <c r="V512" s="70"/>
      <c r="W512" s="70"/>
      <c r="X512" s="70"/>
      <c r="Y512" s="70"/>
    </row>
    <row r="513">
      <c r="A513" s="82"/>
      <c r="B513" s="506"/>
      <c r="C513" s="82"/>
      <c r="D513" s="506"/>
      <c r="E513" s="82"/>
      <c r="F513" s="506"/>
      <c r="G513" s="222"/>
      <c r="H513" s="506"/>
      <c r="I513" s="199"/>
      <c r="J513" s="506"/>
      <c r="K513" s="82"/>
      <c r="L513" s="506"/>
      <c r="M513" s="70"/>
      <c r="N513" s="70"/>
      <c r="O513" s="70"/>
      <c r="P513" s="70"/>
      <c r="Q513" s="70"/>
      <c r="R513" s="70"/>
      <c r="S513" s="70"/>
      <c r="T513" s="70"/>
      <c r="U513" s="70"/>
      <c r="V513" s="70"/>
      <c r="W513" s="70"/>
      <c r="X513" s="70"/>
      <c r="Y513" s="70"/>
    </row>
    <row r="514">
      <c r="A514" s="82"/>
      <c r="B514" s="506"/>
      <c r="C514" s="82"/>
      <c r="D514" s="506"/>
      <c r="E514" s="82"/>
      <c r="F514" s="506"/>
      <c r="G514" s="222"/>
      <c r="H514" s="506"/>
      <c r="I514" s="199"/>
      <c r="J514" s="506"/>
      <c r="K514" s="82"/>
      <c r="L514" s="506"/>
      <c r="M514" s="70"/>
      <c r="N514" s="70"/>
      <c r="O514" s="70"/>
      <c r="P514" s="70"/>
      <c r="Q514" s="70"/>
      <c r="R514" s="70"/>
      <c r="S514" s="70"/>
      <c r="T514" s="70"/>
      <c r="U514" s="70"/>
      <c r="V514" s="70"/>
      <c r="W514" s="70"/>
      <c r="X514" s="70"/>
      <c r="Y514" s="70"/>
    </row>
    <row r="515">
      <c r="A515" s="82"/>
      <c r="B515" s="506"/>
      <c r="C515" s="82"/>
      <c r="D515" s="506"/>
      <c r="E515" s="82"/>
      <c r="F515" s="506"/>
      <c r="G515" s="222"/>
      <c r="H515" s="506"/>
      <c r="I515" s="199"/>
      <c r="J515" s="506"/>
      <c r="K515" s="82"/>
      <c r="L515" s="506"/>
      <c r="M515" s="70"/>
      <c r="N515" s="70"/>
      <c r="O515" s="70"/>
      <c r="P515" s="70"/>
      <c r="Q515" s="70"/>
      <c r="R515" s="70"/>
      <c r="S515" s="70"/>
      <c r="T515" s="70"/>
      <c r="U515" s="70"/>
      <c r="V515" s="70"/>
      <c r="W515" s="70"/>
      <c r="X515" s="70"/>
      <c r="Y515" s="70"/>
    </row>
    <row r="516">
      <c r="A516" s="82"/>
      <c r="B516" s="506"/>
      <c r="C516" s="82"/>
      <c r="D516" s="506"/>
      <c r="E516" s="82"/>
      <c r="F516" s="506"/>
      <c r="G516" s="222"/>
      <c r="H516" s="506"/>
      <c r="I516" s="199"/>
      <c r="J516" s="506"/>
      <c r="K516" s="82"/>
      <c r="L516" s="506"/>
      <c r="M516" s="70"/>
      <c r="N516" s="70"/>
      <c r="O516" s="70"/>
      <c r="P516" s="70"/>
      <c r="Q516" s="70"/>
      <c r="R516" s="70"/>
      <c r="S516" s="70"/>
      <c r="T516" s="70"/>
      <c r="U516" s="70"/>
      <c r="V516" s="70"/>
      <c r="W516" s="70"/>
      <c r="X516" s="70"/>
      <c r="Y516" s="70"/>
    </row>
    <row r="517">
      <c r="A517" s="82"/>
      <c r="B517" s="506"/>
      <c r="C517" s="82"/>
      <c r="D517" s="506"/>
      <c r="E517" s="82"/>
      <c r="F517" s="506"/>
      <c r="G517" s="222"/>
      <c r="H517" s="506"/>
      <c r="I517" s="199"/>
      <c r="J517" s="506"/>
      <c r="K517" s="82"/>
      <c r="L517" s="506"/>
      <c r="M517" s="70"/>
      <c r="N517" s="70"/>
      <c r="O517" s="70"/>
      <c r="P517" s="70"/>
      <c r="Q517" s="70"/>
      <c r="R517" s="70"/>
      <c r="S517" s="70"/>
      <c r="T517" s="70"/>
      <c r="U517" s="70"/>
      <c r="V517" s="70"/>
      <c r="W517" s="70"/>
      <c r="X517" s="70"/>
      <c r="Y517" s="70"/>
    </row>
    <row r="518">
      <c r="A518" s="82"/>
      <c r="B518" s="506"/>
      <c r="C518" s="82"/>
      <c r="D518" s="506"/>
      <c r="E518" s="82"/>
      <c r="F518" s="506"/>
      <c r="G518" s="222"/>
      <c r="H518" s="506"/>
      <c r="I518" s="199"/>
      <c r="J518" s="506"/>
      <c r="K518" s="82"/>
      <c r="L518" s="506"/>
      <c r="M518" s="70"/>
      <c r="N518" s="70"/>
      <c r="O518" s="70"/>
      <c r="P518" s="70"/>
      <c r="Q518" s="70"/>
      <c r="R518" s="70"/>
      <c r="S518" s="70"/>
      <c r="T518" s="70"/>
      <c r="U518" s="70"/>
      <c r="V518" s="70"/>
      <c r="W518" s="70"/>
      <c r="X518" s="70"/>
      <c r="Y518" s="70"/>
    </row>
    <row r="519">
      <c r="A519" s="82"/>
      <c r="B519" s="506"/>
      <c r="C519" s="82"/>
      <c r="D519" s="506"/>
      <c r="E519" s="82"/>
      <c r="F519" s="506"/>
      <c r="G519" s="222"/>
      <c r="H519" s="506"/>
      <c r="I519" s="199"/>
      <c r="J519" s="506"/>
      <c r="K519" s="82"/>
      <c r="L519" s="506"/>
      <c r="M519" s="70"/>
      <c r="N519" s="70"/>
      <c r="O519" s="70"/>
      <c r="P519" s="70"/>
      <c r="Q519" s="70"/>
      <c r="R519" s="70"/>
      <c r="S519" s="70"/>
      <c r="T519" s="70"/>
      <c r="U519" s="70"/>
      <c r="V519" s="70"/>
      <c r="W519" s="70"/>
      <c r="X519" s="70"/>
      <c r="Y519" s="70"/>
    </row>
    <row r="520">
      <c r="A520" s="82"/>
      <c r="B520" s="506"/>
      <c r="C520" s="82"/>
      <c r="D520" s="506"/>
      <c r="E520" s="82"/>
      <c r="F520" s="506"/>
      <c r="G520" s="222"/>
      <c r="H520" s="506"/>
      <c r="I520" s="199"/>
      <c r="J520" s="506"/>
      <c r="K520" s="82"/>
      <c r="L520" s="506"/>
      <c r="M520" s="70"/>
      <c r="N520" s="70"/>
      <c r="O520" s="70"/>
      <c r="P520" s="70"/>
      <c r="Q520" s="70"/>
      <c r="R520" s="70"/>
      <c r="S520" s="70"/>
      <c r="T520" s="70"/>
      <c r="U520" s="70"/>
      <c r="V520" s="70"/>
      <c r="W520" s="70"/>
      <c r="X520" s="70"/>
      <c r="Y520" s="70"/>
    </row>
    <row r="521">
      <c r="A521" s="82"/>
      <c r="B521" s="506"/>
      <c r="C521" s="82"/>
      <c r="D521" s="506"/>
      <c r="E521" s="82"/>
      <c r="F521" s="506"/>
      <c r="G521" s="222"/>
      <c r="H521" s="506"/>
      <c r="I521" s="199"/>
      <c r="J521" s="506"/>
      <c r="K521" s="82"/>
      <c r="L521" s="506"/>
      <c r="M521" s="70"/>
      <c r="N521" s="70"/>
      <c r="O521" s="70"/>
      <c r="P521" s="70"/>
      <c r="Q521" s="70"/>
      <c r="R521" s="70"/>
      <c r="S521" s="70"/>
      <c r="T521" s="70"/>
      <c r="U521" s="70"/>
      <c r="V521" s="70"/>
      <c r="W521" s="70"/>
      <c r="X521" s="70"/>
      <c r="Y521" s="70"/>
    </row>
    <row r="522">
      <c r="A522" s="82"/>
      <c r="B522" s="506"/>
      <c r="C522" s="82"/>
      <c r="D522" s="506"/>
      <c r="E522" s="82"/>
      <c r="F522" s="506"/>
      <c r="G522" s="222"/>
      <c r="H522" s="506"/>
      <c r="I522" s="199"/>
      <c r="J522" s="506"/>
      <c r="K522" s="82"/>
      <c r="L522" s="506"/>
      <c r="M522" s="70"/>
      <c r="N522" s="70"/>
      <c r="O522" s="70"/>
      <c r="P522" s="70"/>
      <c r="Q522" s="70"/>
      <c r="R522" s="70"/>
      <c r="S522" s="70"/>
      <c r="T522" s="70"/>
      <c r="U522" s="70"/>
      <c r="V522" s="70"/>
      <c r="W522" s="70"/>
      <c r="X522" s="70"/>
      <c r="Y522" s="70"/>
    </row>
    <row r="523">
      <c r="A523" s="82"/>
      <c r="B523" s="506"/>
      <c r="C523" s="82"/>
      <c r="D523" s="506"/>
      <c r="E523" s="82"/>
      <c r="F523" s="506"/>
      <c r="G523" s="222"/>
      <c r="H523" s="506"/>
      <c r="I523" s="199"/>
      <c r="J523" s="506"/>
      <c r="K523" s="82"/>
      <c r="L523" s="506"/>
      <c r="M523" s="70"/>
      <c r="N523" s="70"/>
      <c r="O523" s="70"/>
      <c r="P523" s="70"/>
      <c r="Q523" s="70"/>
      <c r="R523" s="70"/>
      <c r="S523" s="70"/>
      <c r="T523" s="70"/>
      <c r="U523" s="70"/>
      <c r="V523" s="70"/>
      <c r="W523" s="70"/>
      <c r="X523" s="70"/>
      <c r="Y523" s="70"/>
    </row>
    <row r="524">
      <c r="A524" s="82"/>
      <c r="B524" s="506"/>
      <c r="C524" s="82"/>
      <c r="D524" s="506"/>
      <c r="E524" s="82"/>
      <c r="F524" s="506"/>
      <c r="G524" s="222"/>
      <c r="H524" s="506"/>
      <c r="I524" s="199"/>
      <c r="J524" s="506"/>
      <c r="K524" s="82"/>
      <c r="L524" s="506"/>
      <c r="M524" s="70"/>
      <c r="N524" s="70"/>
      <c r="O524" s="70"/>
      <c r="P524" s="70"/>
      <c r="Q524" s="70"/>
      <c r="R524" s="70"/>
      <c r="S524" s="70"/>
      <c r="T524" s="70"/>
      <c r="U524" s="70"/>
      <c r="V524" s="70"/>
      <c r="W524" s="70"/>
      <c r="X524" s="70"/>
      <c r="Y524" s="70"/>
    </row>
    <row r="525">
      <c r="A525" s="82"/>
      <c r="B525" s="506"/>
      <c r="C525" s="82"/>
      <c r="D525" s="506"/>
      <c r="E525" s="82"/>
      <c r="F525" s="506"/>
      <c r="G525" s="222"/>
      <c r="H525" s="506"/>
      <c r="I525" s="199"/>
      <c r="J525" s="506"/>
      <c r="K525" s="82"/>
      <c r="L525" s="506"/>
      <c r="M525" s="70"/>
      <c r="N525" s="70"/>
      <c r="O525" s="70"/>
      <c r="P525" s="70"/>
      <c r="Q525" s="70"/>
      <c r="R525" s="70"/>
      <c r="S525" s="70"/>
      <c r="T525" s="70"/>
      <c r="U525" s="70"/>
      <c r="V525" s="70"/>
      <c r="W525" s="70"/>
      <c r="X525" s="70"/>
      <c r="Y525" s="70"/>
    </row>
    <row r="526">
      <c r="A526" s="82"/>
      <c r="B526" s="506"/>
      <c r="C526" s="82"/>
      <c r="D526" s="506"/>
      <c r="E526" s="82"/>
      <c r="F526" s="506"/>
      <c r="G526" s="222"/>
      <c r="H526" s="506"/>
      <c r="I526" s="199"/>
      <c r="J526" s="506"/>
      <c r="K526" s="82"/>
      <c r="L526" s="506"/>
      <c r="M526" s="70"/>
      <c r="N526" s="70"/>
      <c r="O526" s="70"/>
      <c r="P526" s="70"/>
      <c r="Q526" s="70"/>
      <c r="R526" s="70"/>
      <c r="S526" s="70"/>
      <c r="T526" s="70"/>
      <c r="U526" s="70"/>
      <c r="V526" s="70"/>
      <c r="W526" s="70"/>
      <c r="X526" s="70"/>
      <c r="Y526" s="70"/>
    </row>
    <row r="527">
      <c r="A527" s="82"/>
      <c r="B527" s="506"/>
      <c r="C527" s="82"/>
      <c r="D527" s="506"/>
      <c r="E527" s="82"/>
      <c r="F527" s="506"/>
      <c r="G527" s="222"/>
      <c r="H527" s="506"/>
      <c r="I527" s="199"/>
      <c r="J527" s="506"/>
      <c r="K527" s="82"/>
      <c r="L527" s="506"/>
      <c r="M527" s="70"/>
      <c r="N527" s="70"/>
      <c r="O527" s="70"/>
      <c r="P527" s="70"/>
      <c r="Q527" s="70"/>
      <c r="R527" s="70"/>
      <c r="S527" s="70"/>
      <c r="T527" s="70"/>
      <c r="U527" s="70"/>
      <c r="V527" s="70"/>
      <c r="W527" s="70"/>
      <c r="X527" s="70"/>
      <c r="Y527" s="70"/>
    </row>
    <row r="528">
      <c r="A528" s="82"/>
      <c r="B528" s="506"/>
      <c r="C528" s="82"/>
      <c r="D528" s="506"/>
      <c r="E528" s="82"/>
      <c r="F528" s="506"/>
      <c r="G528" s="222"/>
      <c r="H528" s="506"/>
      <c r="I528" s="199"/>
      <c r="J528" s="506"/>
      <c r="K528" s="82"/>
      <c r="L528" s="506"/>
      <c r="M528" s="70"/>
      <c r="N528" s="70"/>
      <c r="O528" s="70"/>
      <c r="P528" s="70"/>
      <c r="Q528" s="70"/>
      <c r="R528" s="70"/>
      <c r="S528" s="70"/>
      <c r="T528" s="70"/>
      <c r="U528" s="70"/>
      <c r="V528" s="70"/>
      <c r="W528" s="70"/>
      <c r="X528" s="70"/>
      <c r="Y528" s="70"/>
    </row>
    <row r="529">
      <c r="A529" s="82"/>
      <c r="B529" s="506"/>
      <c r="C529" s="82"/>
      <c r="D529" s="506"/>
      <c r="E529" s="82"/>
      <c r="F529" s="506"/>
      <c r="G529" s="222"/>
      <c r="H529" s="506"/>
      <c r="I529" s="199"/>
      <c r="J529" s="506"/>
      <c r="K529" s="82"/>
      <c r="L529" s="506"/>
      <c r="M529" s="70"/>
      <c r="N529" s="70"/>
      <c r="O529" s="70"/>
      <c r="P529" s="70"/>
      <c r="Q529" s="70"/>
      <c r="R529" s="70"/>
      <c r="S529" s="70"/>
      <c r="T529" s="70"/>
      <c r="U529" s="70"/>
      <c r="V529" s="70"/>
      <c r="W529" s="70"/>
      <c r="X529" s="70"/>
      <c r="Y529" s="70"/>
    </row>
    <row r="530">
      <c r="A530" s="82"/>
      <c r="B530" s="506"/>
      <c r="C530" s="82"/>
      <c r="D530" s="506"/>
      <c r="E530" s="82"/>
      <c r="F530" s="506"/>
      <c r="G530" s="222"/>
      <c r="H530" s="506"/>
      <c r="I530" s="199"/>
      <c r="J530" s="506"/>
      <c r="K530" s="82"/>
      <c r="L530" s="506"/>
      <c r="M530" s="70"/>
      <c r="N530" s="70"/>
      <c r="O530" s="70"/>
      <c r="P530" s="70"/>
      <c r="Q530" s="70"/>
      <c r="R530" s="70"/>
      <c r="S530" s="70"/>
      <c r="T530" s="70"/>
      <c r="U530" s="70"/>
      <c r="V530" s="70"/>
      <c r="W530" s="70"/>
      <c r="X530" s="70"/>
      <c r="Y530" s="70"/>
    </row>
    <row r="531">
      <c r="A531" s="82"/>
      <c r="B531" s="506"/>
      <c r="C531" s="82"/>
      <c r="D531" s="506"/>
      <c r="E531" s="82"/>
      <c r="F531" s="506"/>
      <c r="G531" s="222"/>
      <c r="H531" s="506"/>
      <c r="I531" s="199"/>
      <c r="J531" s="506"/>
      <c r="K531" s="82"/>
      <c r="L531" s="506"/>
      <c r="M531" s="70"/>
      <c r="N531" s="70"/>
      <c r="O531" s="70"/>
      <c r="P531" s="70"/>
      <c r="Q531" s="70"/>
      <c r="R531" s="70"/>
      <c r="S531" s="70"/>
      <c r="T531" s="70"/>
      <c r="U531" s="70"/>
      <c r="V531" s="70"/>
      <c r="W531" s="70"/>
      <c r="X531" s="70"/>
      <c r="Y531" s="70"/>
    </row>
    <row r="532">
      <c r="A532" s="82"/>
      <c r="B532" s="506"/>
      <c r="C532" s="82"/>
      <c r="D532" s="506"/>
      <c r="E532" s="82"/>
      <c r="F532" s="506"/>
      <c r="G532" s="222"/>
      <c r="H532" s="506"/>
      <c r="I532" s="199"/>
      <c r="J532" s="506"/>
      <c r="K532" s="82"/>
      <c r="L532" s="506"/>
      <c r="M532" s="70"/>
      <c r="N532" s="70"/>
      <c r="O532" s="70"/>
      <c r="P532" s="70"/>
      <c r="Q532" s="70"/>
      <c r="R532" s="70"/>
      <c r="S532" s="70"/>
      <c r="T532" s="70"/>
      <c r="U532" s="70"/>
      <c r="V532" s="70"/>
      <c r="W532" s="70"/>
      <c r="X532" s="70"/>
      <c r="Y532" s="70"/>
    </row>
    <row r="533">
      <c r="A533" s="82"/>
      <c r="B533" s="506"/>
      <c r="C533" s="82"/>
      <c r="D533" s="506"/>
      <c r="E533" s="82"/>
      <c r="F533" s="506"/>
      <c r="G533" s="222"/>
      <c r="H533" s="506"/>
      <c r="I533" s="199"/>
      <c r="J533" s="506"/>
      <c r="K533" s="82"/>
      <c r="L533" s="506"/>
      <c r="M533" s="70"/>
      <c r="N533" s="70"/>
      <c r="O533" s="70"/>
      <c r="P533" s="70"/>
      <c r="Q533" s="70"/>
      <c r="R533" s="70"/>
      <c r="S533" s="70"/>
      <c r="T533" s="70"/>
      <c r="U533" s="70"/>
      <c r="V533" s="70"/>
      <c r="W533" s="70"/>
      <c r="X533" s="70"/>
      <c r="Y533" s="70"/>
    </row>
    <row r="534">
      <c r="A534" s="82"/>
      <c r="B534" s="506"/>
      <c r="C534" s="82"/>
      <c r="D534" s="506"/>
      <c r="E534" s="82"/>
      <c r="F534" s="506"/>
      <c r="G534" s="222"/>
      <c r="H534" s="506"/>
      <c r="I534" s="199"/>
      <c r="J534" s="506"/>
      <c r="K534" s="82"/>
      <c r="L534" s="506"/>
      <c r="M534" s="70"/>
      <c r="N534" s="70"/>
      <c r="O534" s="70"/>
      <c r="P534" s="70"/>
      <c r="Q534" s="70"/>
      <c r="R534" s="70"/>
      <c r="S534" s="70"/>
      <c r="T534" s="70"/>
      <c r="U534" s="70"/>
      <c r="V534" s="70"/>
      <c r="W534" s="70"/>
      <c r="X534" s="70"/>
      <c r="Y534" s="70"/>
    </row>
    <row r="535">
      <c r="A535" s="82"/>
      <c r="B535" s="506"/>
      <c r="C535" s="82"/>
      <c r="D535" s="506"/>
      <c r="E535" s="82"/>
      <c r="F535" s="506"/>
      <c r="G535" s="222"/>
      <c r="H535" s="506"/>
      <c r="I535" s="199"/>
      <c r="J535" s="506"/>
      <c r="K535" s="82"/>
      <c r="L535" s="506"/>
      <c r="M535" s="70"/>
      <c r="N535" s="70"/>
      <c r="O535" s="70"/>
      <c r="P535" s="70"/>
      <c r="Q535" s="70"/>
      <c r="R535" s="70"/>
      <c r="S535" s="70"/>
      <c r="T535" s="70"/>
      <c r="U535" s="70"/>
      <c r="V535" s="70"/>
      <c r="W535" s="70"/>
      <c r="X535" s="70"/>
      <c r="Y535" s="70"/>
    </row>
    <row r="536">
      <c r="A536" s="82"/>
      <c r="B536" s="506"/>
      <c r="C536" s="82"/>
      <c r="D536" s="506"/>
      <c r="E536" s="82"/>
      <c r="F536" s="506"/>
      <c r="G536" s="222"/>
      <c r="H536" s="506"/>
      <c r="I536" s="199"/>
      <c r="J536" s="506"/>
      <c r="K536" s="82"/>
      <c r="L536" s="506"/>
      <c r="M536" s="70"/>
      <c r="N536" s="70"/>
      <c r="O536" s="70"/>
      <c r="P536" s="70"/>
      <c r="Q536" s="70"/>
      <c r="R536" s="70"/>
      <c r="S536" s="70"/>
      <c r="T536" s="70"/>
      <c r="U536" s="70"/>
      <c r="V536" s="70"/>
      <c r="W536" s="70"/>
      <c r="X536" s="70"/>
      <c r="Y536" s="70"/>
    </row>
    <row r="537">
      <c r="A537" s="82"/>
      <c r="B537" s="506"/>
      <c r="C537" s="82"/>
      <c r="D537" s="506"/>
      <c r="E537" s="82"/>
      <c r="F537" s="506"/>
      <c r="G537" s="222"/>
      <c r="H537" s="506"/>
      <c r="I537" s="199"/>
      <c r="J537" s="506"/>
      <c r="K537" s="82"/>
      <c r="L537" s="506"/>
      <c r="M537" s="70"/>
      <c r="N537" s="70"/>
      <c r="O537" s="70"/>
      <c r="P537" s="70"/>
      <c r="Q537" s="70"/>
      <c r="R537" s="70"/>
      <c r="S537" s="70"/>
      <c r="T537" s="70"/>
      <c r="U537" s="70"/>
      <c r="V537" s="70"/>
      <c r="W537" s="70"/>
      <c r="X537" s="70"/>
      <c r="Y537" s="70"/>
    </row>
    <row r="538">
      <c r="A538" s="82"/>
      <c r="B538" s="506"/>
      <c r="C538" s="82"/>
      <c r="D538" s="506"/>
      <c r="E538" s="82"/>
      <c r="F538" s="506"/>
      <c r="G538" s="222"/>
      <c r="H538" s="506"/>
      <c r="I538" s="199"/>
      <c r="J538" s="506"/>
      <c r="K538" s="82"/>
      <c r="L538" s="506"/>
      <c r="M538" s="70"/>
      <c r="N538" s="70"/>
      <c r="O538" s="70"/>
      <c r="P538" s="70"/>
      <c r="Q538" s="70"/>
      <c r="R538" s="70"/>
      <c r="S538" s="70"/>
      <c r="T538" s="70"/>
      <c r="U538" s="70"/>
      <c r="V538" s="70"/>
      <c r="W538" s="70"/>
      <c r="X538" s="70"/>
      <c r="Y538" s="70"/>
    </row>
    <row r="539">
      <c r="A539" s="82"/>
      <c r="B539" s="506"/>
      <c r="C539" s="82"/>
      <c r="D539" s="506"/>
      <c r="E539" s="82"/>
      <c r="F539" s="506"/>
      <c r="G539" s="222"/>
      <c r="H539" s="506"/>
      <c r="I539" s="199"/>
      <c r="J539" s="506"/>
      <c r="K539" s="82"/>
      <c r="L539" s="506"/>
      <c r="M539" s="70"/>
      <c r="N539" s="70"/>
      <c r="O539" s="70"/>
      <c r="P539" s="70"/>
      <c r="Q539" s="70"/>
      <c r="R539" s="70"/>
      <c r="S539" s="70"/>
      <c r="T539" s="70"/>
      <c r="U539" s="70"/>
      <c r="V539" s="70"/>
      <c r="W539" s="70"/>
      <c r="X539" s="70"/>
      <c r="Y539" s="70"/>
    </row>
    <row r="540">
      <c r="A540" s="82"/>
      <c r="B540" s="506"/>
      <c r="C540" s="82"/>
      <c r="D540" s="506"/>
      <c r="E540" s="82"/>
      <c r="F540" s="506"/>
      <c r="G540" s="222"/>
      <c r="H540" s="506"/>
      <c r="I540" s="199"/>
      <c r="J540" s="506"/>
      <c r="K540" s="82"/>
      <c r="L540" s="506"/>
      <c r="M540" s="70"/>
      <c r="N540" s="70"/>
      <c r="O540" s="70"/>
      <c r="P540" s="70"/>
      <c r="Q540" s="70"/>
      <c r="R540" s="70"/>
      <c r="S540" s="70"/>
      <c r="T540" s="70"/>
      <c r="U540" s="70"/>
      <c r="V540" s="70"/>
      <c r="W540" s="70"/>
      <c r="X540" s="70"/>
      <c r="Y540" s="70"/>
    </row>
    <row r="541">
      <c r="A541" s="82"/>
      <c r="B541" s="506"/>
      <c r="C541" s="82"/>
      <c r="D541" s="506"/>
      <c r="E541" s="82"/>
      <c r="F541" s="506"/>
      <c r="G541" s="222"/>
      <c r="H541" s="506"/>
      <c r="I541" s="199"/>
      <c r="J541" s="506"/>
      <c r="K541" s="82"/>
      <c r="L541" s="506"/>
      <c r="M541" s="70"/>
      <c r="N541" s="70"/>
      <c r="O541" s="70"/>
      <c r="P541" s="70"/>
      <c r="Q541" s="70"/>
      <c r="R541" s="70"/>
      <c r="S541" s="70"/>
      <c r="T541" s="70"/>
      <c r="U541" s="70"/>
      <c r="V541" s="70"/>
      <c r="W541" s="70"/>
      <c r="X541" s="70"/>
      <c r="Y541" s="70"/>
    </row>
    <row r="542">
      <c r="A542" s="82"/>
      <c r="B542" s="506"/>
      <c r="C542" s="82"/>
      <c r="D542" s="506"/>
      <c r="E542" s="82"/>
      <c r="F542" s="506"/>
      <c r="G542" s="222"/>
      <c r="H542" s="506"/>
      <c r="I542" s="199"/>
      <c r="J542" s="506"/>
      <c r="K542" s="82"/>
      <c r="L542" s="506"/>
      <c r="M542" s="70"/>
      <c r="N542" s="70"/>
      <c r="O542" s="70"/>
      <c r="P542" s="70"/>
      <c r="Q542" s="70"/>
      <c r="R542" s="70"/>
      <c r="S542" s="70"/>
      <c r="T542" s="70"/>
      <c r="U542" s="70"/>
      <c r="V542" s="70"/>
      <c r="W542" s="70"/>
      <c r="X542" s="70"/>
      <c r="Y542" s="70"/>
    </row>
    <row r="543">
      <c r="A543" s="82"/>
      <c r="B543" s="506"/>
      <c r="C543" s="82"/>
      <c r="D543" s="506"/>
      <c r="E543" s="82"/>
      <c r="F543" s="506"/>
      <c r="G543" s="222"/>
      <c r="H543" s="506"/>
      <c r="I543" s="199"/>
      <c r="J543" s="506"/>
      <c r="K543" s="82"/>
      <c r="L543" s="506"/>
      <c r="M543" s="70"/>
      <c r="N543" s="70"/>
      <c r="O543" s="70"/>
      <c r="P543" s="70"/>
      <c r="Q543" s="70"/>
      <c r="R543" s="70"/>
      <c r="S543" s="70"/>
      <c r="T543" s="70"/>
      <c r="U543" s="70"/>
      <c r="V543" s="70"/>
      <c r="W543" s="70"/>
      <c r="X543" s="70"/>
      <c r="Y543" s="70"/>
    </row>
    <row r="544">
      <c r="A544" s="82"/>
      <c r="B544" s="506"/>
      <c r="C544" s="82"/>
      <c r="D544" s="506"/>
      <c r="E544" s="82"/>
      <c r="F544" s="506"/>
      <c r="G544" s="222"/>
      <c r="H544" s="506"/>
      <c r="I544" s="199"/>
      <c r="J544" s="506"/>
      <c r="K544" s="82"/>
      <c r="L544" s="506"/>
      <c r="M544" s="70"/>
      <c r="N544" s="70"/>
      <c r="O544" s="70"/>
      <c r="P544" s="70"/>
      <c r="Q544" s="70"/>
      <c r="R544" s="70"/>
      <c r="S544" s="70"/>
      <c r="T544" s="70"/>
      <c r="U544" s="70"/>
      <c r="V544" s="70"/>
      <c r="W544" s="70"/>
      <c r="X544" s="70"/>
      <c r="Y544" s="70"/>
    </row>
    <row r="545">
      <c r="A545" s="82"/>
      <c r="B545" s="506"/>
      <c r="C545" s="82"/>
      <c r="D545" s="506"/>
      <c r="E545" s="82"/>
      <c r="F545" s="506"/>
      <c r="G545" s="222"/>
      <c r="H545" s="506"/>
      <c r="I545" s="199"/>
      <c r="J545" s="506"/>
      <c r="K545" s="82"/>
      <c r="L545" s="506"/>
      <c r="M545" s="70"/>
      <c r="N545" s="70"/>
      <c r="O545" s="70"/>
      <c r="P545" s="70"/>
      <c r="Q545" s="70"/>
      <c r="R545" s="70"/>
      <c r="S545" s="70"/>
      <c r="T545" s="70"/>
      <c r="U545" s="70"/>
      <c r="V545" s="70"/>
      <c r="W545" s="70"/>
      <c r="X545" s="70"/>
      <c r="Y545" s="70"/>
    </row>
    <row r="546">
      <c r="A546" s="82"/>
      <c r="B546" s="506"/>
      <c r="C546" s="82"/>
      <c r="D546" s="506"/>
      <c r="E546" s="82"/>
      <c r="F546" s="506"/>
      <c r="G546" s="222"/>
      <c r="H546" s="506"/>
      <c r="I546" s="199"/>
      <c r="J546" s="506"/>
      <c r="K546" s="82"/>
      <c r="L546" s="506"/>
      <c r="M546" s="70"/>
      <c r="N546" s="70"/>
      <c r="O546" s="70"/>
      <c r="P546" s="70"/>
      <c r="Q546" s="70"/>
      <c r="R546" s="70"/>
      <c r="S546" s="70"/>
      <c r="T546" s="70"/>
      <c r="U546" s="70"/>
      <c r="V546" s="70"/>
      <c r="W546" s="70"/>
      <c r="X546" s="70"/>
      <c r="Y546" s="70"/>
    </row>
    <row r="547">
      <c r="A547" s="82"/>
      <c r="B547" s="506"/>
      <c r="C547" s="82"/>
      <c r="D547" s="506"/>
      <c r="E547" s="82"/>
      <c r="F547" s="506"/>
      <c r="G547" s="222"/>
      <c r="H547" s="506"/>
      <c r="I547" s="199"/>
      <c r="J547" s="506"/>
      <c r="K547" s="82"/>
      <c r="L547" s="506"/>
      <c r="M547" s="70"/>
      <c r="N547" s="70"/>
      <c r="O547" s="70"/>
      <c r="P547" s="70"/>
      <c r="Q547" s="70"/>
      <c r="R547" s="70"/>
      <c r="S547" s="70"/>
      <c r="T547" s="70"/>
      <c r="U547" s="70"/>
      <c r="V547" s="70"/>
      <c r="W547" s="70"/>
      <c r="X547" s="70"/>
      <c r="Y547" s="70"/>
    </row>
    <row r="548">
      <c r="A548" s="82"/>
      <c r="B548" s="506"/>
      <c r="C548" s="82"/>
      <c r="D548" s="506"/>
      <c r="E548" s="82"/>
      <c r="F548" s="506"/>
      <c r="G548" s="222"/>
      <c r="H548" s="506"/>
      <c r="I548" s="199"/>
      <c r="J548" s="506"/>
      <c r="K548" s="82"/>
      <c r="L548" s="506"/>
      <c r="M548" s="70"/>
      <c r="N548" s="70"/>
      <c r="O548" s="70"/>
      <c r="P548" s="70"/>
      <c r="Q548" s="70"/>
      <c r="R548" s="70"/>
      <c r="S548" s="70"/>
      <c r="T548" s="70"/>
      <c r="U548" s="70"/>
      <c r="V548" s="70"/>
      <c r="W548" s="70"/>
      <c r="X548" s="70"/>
      <c r="Y548" s="70"/>
    </row>
    <row r="549">
      <c r="A549" s="82"/>
      <c r="B549" s="506"/>
      <c r="C549" s="82"/>
      <c r="D549" s="506"/>
      <c r="E549" s="82"/>
      <c r="F549" s="506"/>
      <c r="G549" s="222"/>
      <c r="H549" s="506"/>
      <c r="I549" s="199"/>
      <c r="J549" s="506"/>
      <c r="K549" s="82"/>
      <c r="L549" s="506"/>
      <c r="M549" s="70"/>
      <c r="N549" s="70"/>
      <c r="O549" s="70"/>
      <c r="P549" s="70"/>
      <c r="Q549" s="70"/>
      <c r="R549" s="70"/>
      <c r="S549" s="70"/>
      <c r="T549" s="70"/>
      <c r="U549" s="70"/>
      <c r="V549" s="70"/>
      <c r="W549" s="70"/>
      <c r="X549" s="70"/>
      <c r="Y549" s="70"/>
    </row>
    <row r="550">
      <c r="A550" s="82"/>
      <c r="B550" s="506"/>
      <c r="C550" s="82"/>
      <c r="D550" s="506"/>
      <c r="E550" s="82"/>
      <c r="F550" s="506"/>
      <c r="G550" s="222"/>
      <c r="H550" s="506"/>
      <c r="I550" s="199"/>
      <c r="J550" s="506"/>
      <c r="K550" s="82"/>
      <c r="L550" s="506"/>
      <c r="M550" s="70"/>
      <c r="N550" s="70"/>
      <c r="O550" s="70"/>
      <c r="P550" s="70"/>
      <c r="Q550" s="70"/>
      <c r="R550" s="70"/>
      <c r="S550" s="70"/>
      <c r="T550" s="70"/>
      <c r="U550" s="70"/>
      <c r="V550" s="70"/>
      <c r="W550" s="70"/>
      <c r="X550" s="70"/>
      <c r="Y550" s="70"/>
    </row>
    <row r="551">
      <c r="A551" s="82"/>
      <c r="B551" s="506"/>
      <c r="C551" s="82"/>
      <c r="D551" s="506"/>
      <c r="E551" s="82"/>
      <c r="F551" s="506"/>
      <c r="G551" s="222"/>
      <c r="H551" s="506"/>
      <c r="I551" s="199"/>
      <c r="J551" s="506"/>
      <c r="K551" s="82"/>
      <c r="L551" s="506"/>
      <c r="M551" s="70"/>
      <c r="N551" s="70"/>
      <c r="O551" s="70"/>
      <c r="P551" s="70"/>
      <c r="Q551" s="70"/>
      <c r="R551" s="70"/>
      <c r="S551" s="70"/>
      <c r="T551" s="70"/>
      <c r="U551" s="70"/>
      <c r="V551" s="70"/>
      <c r="W551" s="70"/>
      <c r="X551" s="70"/>
      <c r="Y551" s="70"/>
    </row>
    <row r="552">
      <c r="A552" s="82"/>
      <c r="B552" s="506"/>
      <c r="C552" s="82"/>
      <c r="D552" s="506"/>
      <c r="E552" s="82"/>
      <c r="F552" s="506"/>
      <c r="G552" s="222"/>
      <c r="H552" s="506"/>
      <c r="I552" s="199"/>
      <c r="J552" s="506"/>
      <c r="K552" s="82"/>
      <c r="L552" s="506"/>
      <c r="M552" s="70"/>
      <c r="N552" s="70"/>
      <c r="O552" s="70"/>
      <c r="P552" s="70"/>
      <c r="Q552" s="70"/>
      <c r="R552" s="70"/>
      <c r="S552" s="70"/>
      <c r="T552" s="70"/>
      <c r="U552" s="70"/>
      <c r="V552" s="70"/>
      <c r="W552" s="70"/>
      <c r="X552" s="70"/>
      <c r="Y552" s="70"/>
    </row>
    <row r="553">
      <c r="A553" s="82"/>
      <c r="B553" s="506"/>
      <c r="C553" s="82"/>
      <c r="D553" s="506"/>
      <c r="E553" s="82"/>
      <c r="F553" s="506"/>
      <c r="G553" s="222"/>
      <c r="H553" s="506"/>
      <c r="I553" s="199"/>
      <c r="J553" s="506"/>
      <c r="K553" s="82"/>
      <c r="L553" s="506"/>
      <c r="M553" s="70"/>
      <c r="N553" s="70"/>
      <c r="O553" s="70"/>
      <c r="P553" s="70"/>
      <c r="Q553" s="70"/>
      <c r="R553" s="70"/>
      <c r="S553" s="70"/>
      <c r="T553" s="70"/>
      <c r="U553" s="70"/>
      <c r="V553" s="70"/>
      <c r="W553" s="70"/>
      <c r="X553" s="70"/>
      <c r="Y553" s="70"/>
    </row>
    <row r="554">
      <c r="A554" s="82"/>
      <c r="B554" s="506"/>
      <c r="C554" s="82"/>
      <c r="D554" s="506"/>
      <c r="E554" s="82"/>
      <c r="F554" s="506"/>
      <c r="G554" s="222"/>
      <c r="H554" s="506"/>
      <c r="I554" s="199"/>
      <c r="J554" s="506"/>
      <c r="K554" s="82"/>
      <c r="L554" s="506"/>
      <c r="M554" s="70"/>
      <c r="N554" s="70"/>
      <c r="O554" s="70"/>
      <c r="P554" s="70"/>
      <c r="Q554" s="70"/>
      <c r="R554" s="70"/>
      <c r="S554" s="70"/>
      <c r="T554" s="70"/>
      <c r="U554" s="70"/>
      <c r="V554" s="70"/>
      <c r="W554" s="70"/>
      <c r="X554" s="70"/>
      <c r="Y554" s="70"/>
    </row>
    <row r="555">
      <c r="A555" s="82"/>
      <c r="B555" s="506"/>
      <c r="C555" s="82"/>
      <c r="D555" s="506"/>
      <c r="E555" s="82"/>
      <c r="F555" s="506"/>
      <c r="G555" s="222"/>
      <c r="H555" s="506"/>
      <c r="I555" s="199"/>
      <c r="J555" s="506"/>
      <c r="K555" s="82"/>
      <c r="L555" s="506"/>
      <c r="M555" s="70"/>
      <c r="N555" s="70"/>
      <c r="O555" s="70"/>
      <c r="P555" s="70"/>
      <c r="Q555" s="70"/>
      <c r="R555" s="70"/>
      <c r="S555" s="70"/>
      <c r="T555" s="70"/>
      <c r="U555" s="70"/>
      <c r="V555" s="70"/>
      <c r="W555" s="70"/>
      <c r="X555" s="70"/>
      <c r="Y555" s="70"/>
    </row>
    <row r="556">
      <c r="A556" s="82"/>
      <c r="B556" s="506"/>
      <c r="C556" s="82"/>
      <c r="D556" s="506"/>
      <c r="E556" s="82"/>
      <c r="F556" s="506"/>
      <c r="G556" s="222"/>
      <c r="H556" s="506"/>
      <c r="I556" s="199"/>
      <c r="J556" s="506"/>
      <c r="K556" s="82"/>
      <c r="L556" s="506"/>
      <c r="M556" s="70"/>
      <c r="N556" s="70"/>
      <c r="O556" s="70"/>
      <c r="P556" s="70"/>
      <c r="Q556" s="70"/>
      <c r="R556" s="70"/>
      <c r="S556" s="70"/>
      <c r="T556" s="70"/>
      <c r="U556" s="70"/>
      <c r="V556" s="70"/>
      <c r="W556" s="70"/>
      <c r="X556" s="70"/>
      <c r="Y556" s="70"/>
    </row>
    <row r="557">
      <c r="A557" s="82"/>
      <c r="B557" s="506"/>
      <c r="C557" s="82"/>
      <c r="D557" s="506"/>
      <c r="E557" s="82"/>
      <c r="F557" s="506"/>
      <c r="G557" s="222"/>
      <c r="H557" s="506"/>
      <c r="I557" s="199"/>
      <c r="J557" s="506"/>
      <c r="K557" s="82"/>
      <c r="L557" s="506"/>
      <c r="M557" s="70"/>
      <c r="N557" s="70"/>
      <c r="O557" s="70"/>
      <c r="P557" s="70"/>
      <c r="Q557" s="70"/>
      <c r="R557" s="70"/>
      <c r="S557" s="70"/>
      <c r="T557" s="70"/>
      <c r="U557" s="70"/>
      <c r="V557" s="70"/>
      <c r="W557" s="70"/>
      <c r="X557" s="70"/>
      <c r="Y557" s="70"/>
    </row>
    <row r="558">
      <c r="A558" s="82"/>
      <c r="B558" s="506"/>
      <c r="C558" s="82"/>
      <c r="D558" s="506"/>
      <c r="E558" s="82"/>
      <c r="F558" s="506"/>
      <c r="G558" s="222"/>
      <c r="H558" s="506"/>
      <c r="I558" s="199"/>
      <c r="J558" s="506"/>
      <c r="K558" s="82"/>
      <c r="L558" s="506"/>
      <c r="M558" s="70"/>
      <c r="N558" s="70"/>
      <c r="O558" s="70"/>
      <c r="P558" s="70"/>
      <c r="Q558" s="70"/>
      <c r="R558" s="70"/>
      <c r="S558" s="70"/>
      <c r="T558" s="70"/>
      <c r="U558" s="70"/>
      <c r="V558" s="70"/>
      <c r="W558" s="70"/>
      <c r="X558" s="70"/>
      <c r="Y558" s="70"/>
    </row>
    <row r="559">
      <c r="A559" s="82"/>
      <c r="B559" s="506"/>
      <c r="C559" s="82"/>
      <c r="D559" s="506"/>
      <c r="E559" s="82"/>
      <c r="F559" s="506"/>
      <c r="G559" s="222"/>
      <c r="H559" s="506"/>
      <c r="I559" s="199"/>
      <c r="J559" s="506"/>
      <c r="K559" s="82"/>
      <c r="L559" s="506"/>
      <c r="M559" s="70"/>
      <c r="N559" s="70"/>
      <c r="O559" s="70"/>
      <c r="P559" s="70"/>
      <c r="Q559" s="70"/>
      <c r="R559" s="70"/>
      <c r="S559" s="70"/>
      <c r="T559" s="70"/>
      <c r="U559" s="70"/>
      <c r="V559" s="70"/>
      <c r="W559" s="70"/>
      <c r="X559" s="70"/>
      <c r="Y559" s="70"/>
    </row>
    <row r="560">
      <c r="A560" s="82"/>
      <c r="B560" s="506"/>
      <c r="C560" s="82"/>
      <c r="D560" s="506"/>
      <c r="E560" s="82"/>
      <c r="F560" s="506"/>
      <c r="G560" s="222"/>
      <c r="H560" s="506"/>
      <c r="I560" s="199"/>
      <c r="J560" s="506"/>
      <c r="K560" s="82"/>
      <c r="L560" s="506"/>
      <c r="M560" s="70"/>
      <c r="N560" s="70"/>
      <c r="O560" s="70"/>
      <c r="P560" s="70"/>
      <c r="Q560" s="70"/>
      <c r="R560" s="70"/>
      <c r="S560" s="70"/>
      <c r="T560" s="70"/>
      <c r="U560" s="70"/>
      <c r="V560" s="70"/>
      <c r="W560" s="70"/>
      <c r="X560" s="70"/>
      <c r="Y560" s="70"/>
    </row>
    <row r="561">
      <c r="A561" s="82"/>
      <c r="B561" s="506"/>
      <c r="C561" s="82"/>
      <c r="D561" s="506"/>
      <c r="E561" s="82"/>
      <c r="F561" s="506"/>
      <c r="G561" s="222"/>
      <c r="H561" s="506"/>
      <c r="I561" s="199"/>
      <c r="J561" s="506"/>
      <c r="K561" s="82"/>
      <c r="L561" s="506"/>
      <c r="M561" s="70"/>
      <c r="N561" s="70"/>
      <c r="O561" s="70"/>
      <c r="P561" s="70"/>
      <c r="Q561" s="70"/>
      <c r="R561" s="70"/>
      <c r="S561" s="70"/>
      <c r="T561" s="70"/>
      <c r="U561" s="70"/>
      <c r="V561" s="70"/>
      <c r="W561" s="70"/>
      <c r="X561" s="70"/>
      <c r="Y561" s="70"/>
    </row>
    <row r="562">
      <c r="A562" s="82"/>
      <c r="B562" s="506"/>
      <c r="C562" s="82"/>
      <c r="D562" s="506"/>
      <c r="E562" s="82"/>
      <c r="F562" s="506"/>
      <c r="G562" s="222"/>
      <c r="H562" s="506"/>
      <c r="I562" s="199"/>
      <c r="J562" s="506"/>
      <c r="K562" s="82"/>
      <c r="L562" s="506"/>
      <c r="M562" s="70"/>
      <c r="N562" s="70"/>
      <c r="O562" s="70"/>
      <c r="P562" s="70"/>
      <c r="Q562" s="70"/>
      <c r="R562" s="70"/>
      <c r="S562" s="70"/>
      <c r="T562" s="70"/>
      <c r="U562" s="70"/>
      <c r="V562" s="70"/>
      <c r="W562" s="70"/>
      <c r="X562" s="70"/>
      <c r="Y562" s="70"/>
    </row>
    <row r="563">
      <c r="A563" s="82"/>
      <c r="B563" s="506"/>
      <c r="C563" s="82"/>
      <c r="D563" s="506"/>
      <c r="E563" s="82"/>
      <c r="F563" s="506"/>
      <c r="G563" s="222"/>
      <c r="H563" s="506"/>
      <c r="I563" s="199"/>
      <c r="J563" s="506"/>
      <c r="K563" s="82"/>
      <c r="L563" s="506"/>
      <c r="M563" s="70"/>
      <c r="N563" s="70"/>
      <c r="O563" s="70"/>
      <c r="P563" s="70"/>
      <c r="Q563" s="70"/>
      <c r="R563" s="70"/>
      <c r="S563" s="70"/>
      <c r="T563" s="70"/>
      <c r="U563" s="70"/>
      <c r="V563" s="70"/>
      <c r="W563" s="70"/>
      <c r="X563" s="70"/>
      <c r="Y563" s="70"/>
    </row>
    <row r="564">
      <c r="A564" s="82"/>
      <c r="B564" s="506"/>
      <c r="C564" s="82"/>
      <c r="D564" s="506"/>
      <c r="E564" s="82"/>
      <c r="F564" s="506"/>
      <c r="G564" s="222"/>
      <c r="H564" s="506"/>
      <c r="I564" s="199"/>
      <c r="J564" s="506"/>
      <c r="K564" s="82"/>
      <c r="L564" s="506"/>
      <c r="M564" s="70"/>
      <c r="N564" s="70"/>
      <c r="O564" s="70"/>
      <c r="P564" s="70"/>
      <c r="Q564" s="70"/>
      <c r="R564" s="70"/>
      <c r="S564" s="70"/>
      <c r="T564" s="70"/>
      <c r="U564" s="70"/>
      <c r="V564" s="70"/>
      <c r="W564" s="70"/>
      <c r="X564" s="70"/>
      <c r="Y564" s="70"/>
    </row>
    <row r="565">
      <c r="A565" s="82"/>
      <c r="B565" s="506"/>
      <c r="C565" s="82"/>
      <c r="D565" s="506"/>
      <c r="E565" s="82"/>
      <c r="F565" s="506"/>
      <c r="G565" s="222"/>
      <c r="H565" s="506"/>
      <c r="I565" s="199"/>
      <c r="J565" s="506"/>
      <c r="K565" s="82"/>
      <c r="L565" s="506"/>
      <c r="M565" s="70"/>
      <c r="N565" s="70"/>
      <c r="O565" s="70"/>
      <c r="P565" s="70"/>
      <c r="Q565" s="70"/>
      <c r="R565" s="70"/>
      <c r="S565" s="70"/>
      <c r="T565" s="70"/>
      <c r="U565" s="70"/>
      <c r="V565" s="70"/>
      <c r="W565" s="70"/>
      <c r="X565" s="70"/>
      <c r="Y565" s="70"/>
    </row>
    <row r="566">
      <c r="A566" s="82"/>
      <c r="B566" s="506"/>
      <c r="C566" s="82"/>
      <c r="D566" s="506"/>
      <c r="E566" s="82"/>
      <c r="F566" s="506"/>
      <c r="G566" s="222"/>
      <c r="H566" s="506"/>
      <c r="I566" s="199"/>
      <c r="J566" s="506"/>
      <c r="K566" s="82"/>
      <c r="L566" s="506"/>
      <c r="M566" s="70"/>
      <c r="N566" s="70"/>
      <c r="O566" s="70"/>
      <c r="P566" s="70"/>
      <c r="Q566" s="70"/>
      <c r="R566" s="70"/>
      <c r="S566" s="70"/>
      <c r="T566" s="70"/>
      <c r="U566" s="70"/>
      <c r="V566" s="70"/>
      <c r="W566" s="70"/>
      <c r="X566" s="70"/>
      <c r="Y566" s="70"/>
    </row>
    <row r="567">
      <c r="A567" s="82"/>
      <c r="B567" s="506"/>
      <c r="C567" s="82"/>
      <c r="D567" s="506"/>
      <c r="E567" s="82"/>
      <c r="F567" s="506"/>
      <c r="G567" s="222"/>
      <c r="H567" s="506"/>
      <c r="I567" s="199"/>
      <c r="J567" s="506"/>
      <c r="K567" s="82"/>
      <c r="L567" s="506"/>
      <c r="M567" s="70"/>
      <c r="N567" s="70"/>
      <c r="O567" s="70"/>
      <c r="P567" s="70"/>
      <c r="Q567" s="70"/>
      <c r="R567" s="70"/>
      <c r="S567" s="70"/>
      <c r="T567" s="70"/>
      <c r="U567" s="70"/>
      <c r="V567" s="70"/>
      <c r="W567" s="70"/>
      <c r="X567" s="70"/>
      <c r="Y567" s="70"/>
    </row>
    <row r="568">
      <c r="A568" s="82"/>
      <c r="B568" s="506"/>
      <c r="C568" s="82"/>
      <c r="D568" s="506"/>
      <c r="E568" s="82"/>
      <c r="F568" s="506"/>
      <c r="G568" s="222"/>
      <c r="H568" s="506"/>
      <c r="I568" s="199"/>
      <c r="J568" s="506"/>
      <c r="K568" s="82"/>
      <c r="L568" s="506"/>
      <c r="M568" s="70"/>
      <c r="N568" s="70"/>
      <c r="O568" s="70"/>
      <c r="P568" s="70"/>
      <c r="Q568" s="70"/>
      <c r="R568" s="70"/>
      <c r="S568" s="70"/>
      <c r="T568" s="70"/>
      <c r="U568" s="70"/>
      <c r="V568" s="70"/>
      <c r="W568" s="70"/>
      <c r="X568" s="70"/>
      <c r="Y568" s="70"/>
    </row>
    <row r="569">
      <c r="A569" s="82"/>
      <c r="B569" s="506"/>
      <c r="C569" s="82"/>
      <c r="D569" s="506"/>
      <c r="E569" s="82"/>
      <c r="F569" s="506"/>
      <c r="G569" s="222"/>
      <c r="H569" s="506"/>
      <c r="I569" s="199"/>
      <c r="J569" s="506"/>
      <c r="K569" s="82"/>
      <c r="L569" s="506"/>
      <c r="M569" s="70"/>
      <c r="N569" s="70"/>
      <c r="O569" s="70"/>
      <c r="P569" s="70"/>
      <c r="Q569" s="70"/>
      <c r="R569" s="70"/>
      <c r="S569" s="70"/>
      <c r="T569" s="70"/>
      <c r="U569" s="70"/>
      <c r="V569" s="70"/>
      <c r="W569" s="70"/>
      <c r="X569" s="70"/>
      <c r="Y569" s="70"/>
    </row>
    <row r="570">
      <c r="A570" s="82"/>
      <c r="B570" s="506"/>
      <c r="C570" s="82"/>
      <c r="D570" s="506"/>
      <c r="E570" s="82"/>
      <c r="F570" s="506"/>
      <c r="G570" s="222"/>
      <c r="H570" s="506"/>
      <c r="I570" s="199"/>
      <c r="J570" s="506"/>
      <c r="K570" s="82"/>
      <c r="L570" s="506"/>
      <c r="M570" s="70"/>
      <c r="N570" s="70"/>
      <c r="O570" s="70"/>
      <c r="P570" s="70"/>
      <c r="Q570" s="70"/>
      <c r="R570" s="70"/>
      <c r="S570" s="70"/>
      <c r="T570" s="70"/>
      <c r="U570" s="70"/>
      <c r="V570" s="70"/>
      <c r="W570" s="70"/>
      <c r="X570" s="70"/>
      <c r="Y570" s="70"/>
    </row>
    <row r="571">
      <c r="A571" s="82"/>
      <c r="B571" s="506"/>
      <c r="C571" s="82"/>
      <c r="D571" s="506"/>
      <c r="E571" s="82"/>
      <c r="F571" s="506"/>
      <c r="G571" s="222"/>
      <c r="H571" s="506"/>
      <c r="I571" s="199"/>
      <c r="J571" s="506"/>
      <c r="K571" s="82"/>
      <c r="L571" s="506"/>
      <c r="M571" s="70"/>
      <c r="N571" s="70"/>
      <c r="O571" s="70"/>
      <c r="P571" s="70"/>
      <c r="Q571" s="70"/>
      <c r="R571" s="70"/>
      <c r="S571" s="70"/>
      <c r="T571" s="70"/>
      <c r="U571" s="70"/>
      <c r="V571" s="70"/>
      <c r="W571" s="70"/>
      <c r="X571" s="70"/>
      <c r="Y571" s="70"/>
    </row>
    <row r="572">
      <c r="A572" s="82"/>
      <c r="B572" s="506"/>
      <c r="C572" s="82"/>
      <c r="D572" s="506"/>
      <c r="E572" s="82"/>
      <c r="F572" s="506"/>
      <c r="G572" s="222"/>
      <c r="H572" s="506"/>
      <c r="I572" s="199"/>
      <c r="J572" s="506"/>
      <c r="K572" s="82"/>
      <c r="L572" s="506"/>
      <c r="M572" s="70"/>
      <c r="N572" s="70"/>
      <c r="O572" s="70"/>
      <c r="P572" s="70"/>
      <c r="Q572" s="70"/>
      <c r="R572" s="70"/>
      <c r="S572" s="70"/>
      <c r="T572" s="70"/>
      <c r="U572" s="70"/>
      <c r="V572" s="70"/>
      <c r="W572" s="70"/>
      <c r="X572" s="70"/>
      <c r="Y572" s="70"/>
    </row>
    <row r="573">
      <c r="A573" s="82"/>
      <c r="B573" s="506"/>
      <c r="C573" s="82"/>
      <c r="D573" s="506"/>
      <c r="E573" s="82"/>
      <c r="F573" s="506"/>
      <c r="G573" s="222"/>
      <c r="H573" s="506"/>
      <c r="I573" s="199"/>
      <c r="J573" s="506"/>
      <c r="K573" s="82"/>
      <c r="L573" s="506"/>
      <c r="M573" s="70"/>
      <c r="N573" s="70"/>
      <c r="O573" s="70"/>
      <c r="P573" s="70"/>
      <c r="Q573" s="70"/>
      <c r="R573" s="70"/>
      <c r="S573" s="70"/>
      <c r="T573" s="70"/>
      <c r="U573" s="70"/>
      <c r="V573" s="70"/>
      <c r="W573" s="70"/>
      <c r="X573" s="70"/>
      <c r="Y573" s="70"/>
    </row>
    <row r="574">
      <c r="A574" s="82"/>
      <c r="B574" s="506"/>
      <c r="C574" s="82"/>
      <c r="D574" s="506"/>
      <c r="E574" s="82"/>
      <c r="F574" s="506"/>
      <c r="G574" s="222"/>
      <c r="H574" s="506"/>
      <c r="I574" s="199"/>
      <c r="J574" s="506"/>
      <c r="K574" s="82"/>
      <c r="L574" s="506"/>
      <c r="M574" s="70"/>
      <c r="N574" s="70"/>
      <c r="O574" s="70"/>
      <c r="P574" s="70"/>
      <c r="Q574" s="70"/>
      <c r="R574" s="70"/>
      <c r="S574" s="70"/>
      <c r="T574" s="70"/>
      <c r="U574" s="70"/>
      <c r="V574" s="70"/>
      <c r="W574" s="70"/>
      <c r="X574" s="70"/>
      <c r="Y574" s="70"/>
    </row>
    <row r="575">
      <c r="A575" s="82"/>
      <c r="B575" s="506"/>
      <c r="C575" s="82"/>
      <c r="D575" s="506"/>
      <c r="E575" s="82"/>
      <c r="F575" s="506"/>
      <c r="G575" s="222"/>
      <c r="H575" s="506"/>
      <c r="I575" s="199"/>
      <c r="J575" s="506"/>
      <c r="K575" s="82"/>
      <c r="L575" s="506"/>
      <c r="M575" s="70"/>
      <c r="N575" s="70"/>
      <c r="O575" s="70"/>
      <c r="P575" s="70"/>
      <c r="Q575" s="70"/>
      <c r="R575" s="70"/>
      <c r="S575" s="70"/>
      <c r="T575" s="70"/>
      <c r="U575" s="70"/>
      <c r="V575" s="70"/>
      <c r="W575" s="70"/>
      <c r="X575" s="70"/>
      <c r="Y575" s="70"/>
    </row>
    <row r="576">
      <c r="A576" s="82"/>
      <c r="B576" s="506"/>
      <c r="C576" s="82"/>
      <c r="D576" s="506"/>
      <c r="E576" s="82"/>
      <c r="F576" s="506"/>
      <c r="G576" s="222"/>
      <c r="H576" s="506"/>
      <c r="I576" s="199"/>
      <c r="J576" s="506"/>
      <c r="K576" s="82"/>
      <c r="L576" s="506"/>
      <c r="M576" s="70"/>
      <c r="N576" s="70"/>
      <c r="O576" s="70"/>
      <c r="P576" s="70"/>
      <c r="Q576" s="70"/>
      <c r="R576" s="70"/>
      <c r="S576" s="70"/>
      <c r="T576" s="70"/>
      <c r="U576" s="70"/>
      <c r="V576" s="70"/>
      <c r="W576" s="70"/>
      <c r="X576" s="70"/>
      <c r="Y576" s="70"/>
    </row>
    <row r="577">
      <c r="A577" s="82"/>
      <c r="B577" s="506"/>
      <c r="C577" s="82"/>
      <c r="D577" s="506"/>
      <c r="E577" s="82"/>
      <c r="F577" s="506"/>
      <c r="G577" s="222"/>
      <c r="H577" s="506"/>
      <c r="I577" s="199"/>
      <c r="J577" s="506"/>
      <c r="K577" s="82"/>
      <c r="L577" s="506"/>
      <c r="M577" s="70"/>
      <c r="N577" s="70"/>
      <c r="O577" s="70"/>
      <c r="P577" s="70"/>
      <c r="Q577" s="70"/>
      <c r="R577" s="70"/>
      <c r="S577" s="70"/>
      <c r="T577" s="70"/>
      <c r="U577" s="70"/>
      <c r="V577" s="70"/>
      <c r="W577" s="70"/>
      <c r="X577" s="70"/>
      <c r="Y577" s="70"/>
    </row>
    <row r="578">
      <c r="A578" s="82"/>
      <c r="B578" s="506"/>
      <c r="C578" s="82"/>
      <c r="D578" s="506"/>
      <c r="E578" s="82"/>
      <c r="F578" s="506"/>
      <c r="G578" s="222"/>
      <c r="H578" s="506"/>
      <c r="I578" s="199"/>
      <c r="J578" s="506"/>
      <c r="K578" s="82"/>
      <c r="L578" s="506"/>
      <c r="M578" s="70"/>
      <c r="N578" s="70"/>
      <c r="O578" s="70"/>
      <c r="P578" s="70"/>
      <c r="Q578" s="70"/>
      <c r="R578" s="70"/>
      <c r="S578" s="70"/>
      <c r="T578" s="70"/>
      <c r="U578" s="70"/>
      <c r="V578" s="70"/>
      <c r="W578" s="70"/>
      <c r="X578" s="70"/>
      <c r="Y578" s="70"/>
    </row>
    <row r="579">
      <c r="A579" s="82"/>
      <c r="B579" s="506"/>
      <c r="C579" s="82"/>
      <c r="D579" s="506"/>
      <c r="E579" s="82"/>
      <c r="F579" s="506"/>
      <c r="G579" s="222"/>
      <c r="H579" s="506"/>
      <c r="I579" s="199"/>
      <c r="J579" s="506"/>
      <c r="K579" s="82"/>
      <c r="L579" s="506"/>
      <c r="M579" s="70"/>
      <c r="N579" s="70"/>
      <c r="O579" s="70"/>
      <c r="P579" s="70"/>
      <c r="Q579" s="70"/>
      <c r="R579" s="70"/>
      <c r="S579" s="70"/>
      <c r="T579" s="70"/>
      <c r="U579" s="70"/>
      <c r="V579" s="70"/>
      <c r="W579" s="70"/>
      <c r="X579" s="70"/>
      <c r="Y579" s="70"/>
    </row>
    <row r="580">
      <c r="A580" s="82"/>
      <c r="B580" s="506"/>
      <c r="C580" s="82"/>
      <c r="D580" s="506"/>
      <c r="E580" s="82"/>
      <c r="F580" s="506"/>
      <c r="G580" s="222"/>
      <c r="H580" s="506"/>
      <c r="I580" s="199"/>
      <c r="J580" s="506"/>
      <c r="K580" s="82"/>
      <c r="L580" s="506"/>
      <c r="M580" s="70"/>
      <c r="N580" s="70"/>
      <c r="O580" s="70"/>
      <c r="P580" s="70"/>
      <c r="Q580" s="70"/>
      <c r="R580" s="70"/>
      <c r="S580" s="70"/>
      <c r="T580" s="70"/>
      <c r="U580" s="70"/>
      <c r="V580" s="70"/>
      <c r="W580" s="70"/>
      <c r="X580" s="70"/>
      <c r="Y580" s="70"/>
    </row>
    <row r="581">
      <c r="A581" s="82"/>
      <c r="B581" s="506"/>
      <c r="C581" s="82"/>
      <c r="D581" s="506"/>
      <c r="E581" s="82"/>
      <c r="F581" s="506"/>
      <c r="G581" s="222"/>
      <c r="H581" s="506"/>
      <c r="I581" s="199"/>
      <c r="J581" s="506"/>
      <c r="K581" s="82"/>
      <c r="L581" s="506"/>
      <c r="M581" s="70"/>
      <c r="N581" s="70"/>
      <c r="O581" s="70"/>
      <c r="P581" s="70"/>
      <c r="Q581" s="70"/>
      <c r="R581" s="70"/>
      <c r="S581" s="70"/>
      <c r="T581" s="70"/>
      <c r="U581" s="70"/>
      <c r="V581" s="70"/>
      <c r="W581" s="70"/>
      <c r="X581" s="70"/>
      <c r="Y581" s="70"/>
    </row>
    <row r="582">
      <c r="A582" s="82"/>
      <c r="B582" s="506"/>
      <c r="C582" s="82"/>
      <c r="D582" s="506"/>
      <c r="E582" s="82"/>
      <c r="F582" s="506"/>
      <c r="G582" s="222"/>
      <c r="H582" s="506"/>
      <c r="I582" s="199"/>
      <c r="J582" s="506"/>
      <c r="K582" s="82"/>
      <c r="L582" s="506"/>
      <c r="M582" s="70"/>
      <c r="N582" s="70"/>
      <c r="O582" s="70"/>
      <c r="P582" s="70"/>
      <c r="Q582" s="70"/>
      <c r="R582" s="70"/>
      <c r="S582" s="70"/>
      <c r="T582" s="70"/>
      <c r="U582" s="70"/>
      <c r="V582" s="70"/>
      <c r="W582" s="70"/>
      <c r="X582" s="70"/>
      <c r="Y582" s="70"/>
    </row>
    <row r="583">
      <c r="A583" s="82"/>
      <c r="B583" s="506"/>
      <c r="C583" s="82"/>
      <c r="D583" s="506"/>
      <c r="E583" s="82"/>
      <c r="F583" s="506"/>
      <c r="G583" s="222"/>
      <c r="H583" s="506"/>
      <c r="I583" s="199"/>
      <c r="J583" s="506"/>
      <c r="K583" s="82"/>
      <c r="L583" s="506"/>
      <c r="M583" s="70"/>
      <c r="N583" s="70"/>
      <c r="O583" s="70"/>
      <c r="P583" s="70"/>
      <c r="Q583" s="70"/>
      <c r="R583" s="70"/>
      <c r="S583" s="70"/>
      <c r="T583" s="70"/>
      <c r="U583" s="70"/>
      <c r="V583" s="70"/>
      <c r="W583" s="70"/>
      <c r="X583" s="70"/>
      <c r="Y583" s="70"/>
    </row>
    <row r="584">
      <c r="A584" s="82"/>
      <c r="B584" s="506"/>
      <c r="C584" s="82"/>
      <c r="D584" s="506"/>
      <c r="E584" s="82"/>
      <c r="F584" s="506"/>
      <c r="G584" s="222"/>
      <c r="H584" s="506"/>
      <c r="I584" s="199"/>
      <c r="J584" s="506"/>
      <c r="K584" s="82"/>
      <c r="L584" s="506"/>
      <c r="M584" s="70"/>
      <c r="N584" s="70"/>
      <c r="O584" s="70"/>
      <c r="P584" s="70"/>
      <c r="Q584" s="70"/>
      <c r="R584" s="70"/>
      <c r="S584" s="70"/>
      <c r="T584" s="70"/>
      <c r="U584" s="70"/>
      <c r="V584" s="70"/>
      <c r="W584" s="70"/>
      <c r="X584" s="70"/>
      <c r="Y584" s="70"/>
    </row>
    <row r="585">
      <c r="A585" s="82"/>
      <c r="B585" s="506"/>
      <c r="C585" s="82"/>
      <c r="D585" s="506"/>
      <c r="E585" s="82"/>
      <c r="F585" s="506"/>
      <c r="G585" s="222"/>
      <c r="H585" s="506"/>
      <c r="I585" s="199"/>
      <c r="J585" s="506"/>
      <c r="K585" s="82"/>
      <c r="L585" s="506"/>
      <c r="M585" s="70"/>
      <c r="N585" s="70"/>
      <c r="O585" s="70"/>
      <c r="P585" s="70"/>
      <c r="Q585" s="70"/>
      <c r="R585" s="70"/>
      <c r="S585" s="70"/>
      <c r="T585" s="70"/>
      <c r="U585" s="70"/>
      <c r="V585" s="70"/>
      <c r="W585" s="70"/>
      <c r="X585" s="70"/>
      <c r="Y585" s="70"/>
    </row>
    <row r="586">
      <c r="A586" s="82"/>
      <c r="B586" s="506"/>
      <c r="C586" s="82"/>
      <c r="D586" s="506"/>
      <c r="E586" s="82"/>
      <c r="F586" s="506"/>
      <c r="G586" s="222"/>
      <c r="H586" s="506"/>
      <c r="I586" s="199"/>
      <c r="J586" s="506"/>
      <c r="K586" s="82"/>
      <c r="L586" s="506"/>
      <c r="M586" s="70"/>
      <c r="N586" s="70"/>
      <c r="O586" s="70"/>
      <c r="P586" s="70"/>
      <c r="Q586" s="70"/>
      <c r="R586" s="70"/>
      <c r="S586" s="70"/>
      <c r="T586" s="70"/>
      <c r="U586" s="70"/>
      <c r="V586" s="70"/>
      <c r="W586" s="70"/>
      <c r="X586" s="70"/>
      <c r="Y586" s="70"/>
    </row>
    <row r="587">
      <c r="A587" s="82"/>
      <c r="B587" s="506"/>
      <c r="C587" s="82"/>
      <c r="D587" s="506"/>
      <c r="E587" s="82"/>
      <c r="F587" s="506"/>
      <c r="G587" s="222"/>
      <c r="H587" s="506"/>
      <c r="I587" s="199"/>
      <c r="J587" s="506"/>
      <c r="K587" s="82"/>
      <c r="L587" s="506"/>
      <c r="M587" s="70"/>
      <c r="N587" s="70"/>
      <c r="O587" s="70"/>
      <c r="P587" s="70"/>
      <c r="Q587" s="70"/>
      <c r="R587" s="70"/>
      <c r="S587" s="70"/>
      <c r="T587" s="70"/>
      <c r="U587" s="70"/>
      <c r="V587" s="70"/>
      <c r="W587" s="70"/>
      <c r="X587" s="70"/>
      <c r="Y587" s="70"/>
    </row>
    <row r="588">
      <c r="A588" s="82"/>
      <c r="B588" s="506"/>
      <c r="C588" s="82"/>
      <c r="D588" s="506"/>
      <c r="E588" s="82"/>
      <c r="F588" s="506"/>
      <c r="G588" s="222"/>
      <c r="H588" s="506"/>
      <c r="I588" s="199"/>
      <c r="J588" s="506"/>
      <c r="K588" s="82"/>
      <c r="L588" s="506"/>
      <c r="M588" s="70"/>
      <c r="N588" s="70"/>
      <c r="O588" s="70"/>
      <c r="P588" s="70"/>
      <c r="Q588" s="70"/>
      <c r="R588" s="70"/>
      <c r="S588" s="70"/>
      <c r="T588" s="70"/>
      <c r="U588" s="70"/>
      <c r="V588" s="70"/>
      <c r="W588" s="70"/>
      <c r="X588" s="70"/>
      <c r="Y588" s="70"/>
    </row>
    <row r="589">
      <c r="A589" s="82"/>
      <c r="B589" s="506"/>
      <c r="C589" s="82"/>
      <c r="D589" s="506"/>
      <c r="E589" s="82"/>
      <c r="F589" s="506"/>
      <c r="G589" s="222"/>
      <c r="H589" s="506"/>
      <c r="I589" s="199"/>
      <c r="J589" s="506"/>
      <c r="K589" s="82"/>
      <c r="L589" s="506"/>
      <c r="M589" s="70"/>
      <c r="N589" s="70"/>
      <c r="O589" s="70"/>
      <c r="P589" s="70"/>
      <c r="Q589" s="70"/>
      <c r="R589" s="70"/>
      <c r="S589" s="70"/>
      <c r="T589" s="70"/>
      <c r="U589" s="70"/>
      <c r="V589" s="70"/>
      <c r="W589" s="70"/>
      <c r="X589" s="70"/>
      <c r="Y589" s="70"/>
    </row>
    <row r="590">
      <c r="A590" s="82"/>
      <c r="B590" s="506"/>
      <c r="C590" s="82"/>
      <c r="D590" s="506"/>
      <c r="E590" s="82"/>
      <c r="F590" s="506"/>
      <c r="G590" s="222"/>
      <c r="H590" s="506"/>
      <c r="I590" s="199"/>
      <c r="J590" s="506"/>
      <c r="K590" s="82"/>
      <c r="L590" s="506"/>
      <c r="M590" s="70"/>
      <c r="N590" s="70"/>
      <c r="O590" s="70"/>
      <c r="P590" s="70"/>
      <c r="Q590" s="70"/>
      <c r="R590" s="70"/>
      <c r="S590" s="70"/>
      <c r="T590" s="70"/>
      <c r="U590" s="70"/>
      <c r="V590" s="70"/>
      <c r="W590" s="70"/>
      <c r="X590" s="70"/>
      <c r="Y590" s="70"/>
    </row>
    <row r="591">
      <c r="A591" s="82"/>
      <c r="B591" s="506"/>
      <c r="C591" s="82"/>
      <c r="D591" s="506"/>
      <c r="E591" s="82"/>
      <c r="F591" s="506"/>
      <c r="G591" s="222"/>
      <c r="H591" s="506"/>
      <c r="I591" s="199"/>
      <c r="J591" s="506"/>
      <c r="K591" s="82"/>
      <c r="L591" s="506"/>
      <c r="M591" s="70"/>
      <c r="N591" s="70"/>
      <c r="O591" s="70"/>
      <c r="P591" s="70"/>
      <c r="Q591" s="70"/>
      <c r="R591" s="70"/>
      <c r="S591" s="70"/>
      <c r="T591" s="70"/>
      <c r="U591" s="70"/>
      <c r="V591" s="70"/>
      <c r="W591" s="70"/>
      <c r="X591" s="70"/>
      <c r="Y591" s="70"/>
    </row>
    <row r="592">
      <c r="A592" s="82"/>
      <c r="B592" s="506"/>
      <c r="C592" s="82"/>
      <c r="D592" s="506"/>
      <c r="E592" s="82"/>
      <c r="F592" s="506"/>
      <c r="G592" s="222"/>
      <c r="H592" s="506"/>
      <c r="I592" s="199"/>
      <c r="J592" s="506"/>
      <c r="K592" s="82"/>
      <c r="L592" s="506"/>
      <c r="M592" s="70"/>
      <c r="N592" s="70"/>
      <c r="O592" s="70"/>
      <c r="P592" s="70"/>
      <c r="Q592" s="70"/>
      <c r="R592" s="70"/>
      <c r="S592" s="70"/>
      <c r="T592" s="70"/>
      <c r="U592" s="70"/>
      <c r="V592" s="70"/>
      <c r="W592" s="70"/>
      <c r="X592" s="70"/>
      <c r="Y592" s="70"/>
    </row>
    <row r="593">
      <c r="A593" s="82"/>
      <c r="B593" s="506"/>
      <c r="C593" s="82"/>
      <c r="D593" s="506"/>
      <c r="E593" s="82"/>
      <c r="F593" s="506"/>
      <c r="G593" s="222"/>
      <c r="H593" s="506"/>
      <c r="I593" s="199"/>
      <c r="J593" s="506"/>
      <c r="K593" s="82"/>
      <c r="L593" s="506"/>
      <c r="M593" s="70"/>
      <c r="N593" s="70"/>
      <c r="O593" s="70"/>
      <c r="P593" s="70"/>
      <c r="Q593" s="70"/>
      <c r="R593" s="70"/>
      <c r="S593" s="70"/>
      <c r="T593" s="70"/>
      <c r="U593" s="70"/>
      <c r="V593" s="70"/>
      <c r="W593" s="70"/>
      <c r="X593" s="70"/>
      <c r="Y593" s="70"/>
    </row>
    <row r="594">
      <c r="A594" s="82"/>
      <c r="B594" s="506"/>
      <c r="C594" s="82"/>
      <c r="D594" s="506"/>
      <c r="E594" s="82"/>
      <c r="F594" s="506"/>
      <c r="G594" s="222"/>
      <c r="H594" s="506"/>
      <c r="I594" s="199"/>
      <c r="J594" s="506"/>
      <c r="K594" s="82"/>
      <c r="L594" s="506"/>
      <c r="M594" s="70"/>
      <c r="N594" s="70"/>
      <c r="O594" s="70"/>
      <c r="P594" s="70"/>
      <c r="Q594" s="70"/>
      <c r="R594" s="70"/>
      <c r="S594" s="70"/>
      <c r="T594" s="70"/>
      <c r="U594" s="70"/>
      <c r="V594" s="70"/>
      <c r="W594" s="70"/>
      <c r="X594" s="70"/>
      <c r="Y594" s="70"/>
    </row>
    <row r="595">
      <c r="A595" s="82"/>
      <c r="B595" s="506"/>
      <c r="C595" s="82"/>
      <c r="D595" s="506"/>
      <c r="E595" s="82"/>
      <c r="F595" s="506"/>
      <c r="G595" s="222"/>
      <c r="H595" s="506"/>
      <c r="I595" s="199"/>
      <c r="J595" s="506"/>
      <c r="K595" s="82"/>
      <c r="L595" s="506"/>
      <c r="M595" s="70"/>
      <c r="N595" s="70"/>
      <c r="O595" s="70"/>
      <c r="P595" s="70"/>
      <c r="Q595" s="70"/>
      <c r="R595" s="70"/>
      <c r="S595" s="70"/>
      <c r="T595" s="70"/>
      <c r="U595" s="70"/>
      <c r="V595" s="70"/>
      <c r="W595" s="70"/>
      <c r="X595" s="70"/>
      <c r="Y595" s="70"/>
    </row>
    <row r="596">
      <c r="A596" s="82"/>
      <c r="B596" s="506"/>
      <c r="C596" s="82"/>
      <c r="D596" s="506"/>
      <c r="E596" s="82"/>
      <c r="F596" s="506"/>
      <c r="G596" s="222"/>
      <c r="H596" s="506"/>
      <c r="I596" s="199"/>
      <c r="J596" s="506"/>
      <c r="K596" s="82"/>
      <c r="L596" s="506"/>
      <c r="M596" s="70"/>
      <c r="N596" s="70"/>
      <c r="O596" s="70"/>
      <c r="P596" s="70"/>
      <c r="Q596" s="70"/>
      <c r="R596" s="70"/>
      <c r="S596" s="70"/>
      <c r="T596" s="70"/>
      <c r="U596" s="70"/>
      <c r="V596" s="70"/>
      <c r="W596" s="70"/>
      <c r="X596" s="70"/>
      <c r="Y596" s="70"/>
    </row>
    <row r="597">
      <c r="A597" s="82"/>
      <c r="B597" s="506"/>
      <c r="C597" s="82"/>
      <c r="D597" s="506"/>
      <c r="E597" s="82"/>
      <c r="F597" s="506"/>
      <c r="G597" s="222"/>
      <c r="H597" s="506"/>
      <c r="I597" s="199"/>
      <c r="J597" s="506"/>
      <c r="K597" s="82"/>
      <c r="L597" s="506"/>
      <c r="M597" s="70"/>
      <c r="N597" s="70"/>
      <c r="O597" s="70"/>
      <c r="P597" s="70"/>
      <c r="Q597" s="70"/>
      <c r="R597" s="70"/>
      <c r="S597" s="70"/>
      <c r="T597" s="70"/>
      <c r="U597" s="70"/>
      <c r="V597" s="70"/>
      <c r="W597" s="70"/>
      <c r="X597" s="70"/>
      <c r="Y597" s="70"/>
    </row>
    <row r="598">
      <c r="A598" s="82"/>
      <c r="B598" s="506"/>
      <c r="C598" s="82"/>
      <c r="D598" s="506"/>
      <c r="E598" s="82"/>
      <c r="F598" s="506"/>
      <c r="G598" s="222"/>
      <c r="H598" s="506"/>
      <c r="I598" s="199"/>
      <c r="J598" s="506"/>
      <c r="K598" s="82"/>
      <c r="L598" s="506"/>
      <c r="M598" s="70"/>
      <c r="N598" s="70"/>
      <c r="O598" s="70"/>
      <c r="P598" s="70"/>
      <c r="Q598" s="70"/>
      <c r="R598" s="70"/>
      <c r="S598" s="70"/>
      <c r="T598" s="70"/>
      <c r="U598" s="70"/>
      <c r="V598" s="70"/>
      <c r="W598" s="70"/>
      <c r="X598" s="70"/>
      <c r="Y598" s="70"/>
    </row>
    <row r="599">
      <c r="A599" s="82"/>
      <c r="B599" s="506"/>
      <c r="C599" s="82"/>
      <c r="D599" s="506"/>
      <c r="E599" s="82"/>
      <c r="F599" s="506"/>
      <c r="G599" s="222"/>
      <c r="H599" s="506"/>
      <c r="I599" s="199"/>
      <c r="J599" s="506"/>
      <c r="K599" s="82"/>
      <c r="L599" s="506"/>
      <c r="M599" s="70"/>
      <c r="N599" s="70"/>
      <c r="O599" s="70"/>
      <c r="P599" s="70"/>
      <c r="Q599" s="70"/>
      <c r="R599" s="70"/>
      <c r="S599" s="70"/>
      <c r="T599" s="70"/>
      <c r="U599" s="70"/>
      <c r="V599" s="70"/>
      <c r="W599" s="70"/>
      <c r="X599" s="70"/>
      <c r="Y599" s="70"/>
    </row>
    <row r="600">
      <c r="A600" s="82"/>
      <c r="B600" s="506"/>
      <c r="C600" s="82"/>
      <c r="D600" s="506"/>
      <c r="E600" s="82"/>
      <c r="F600" s="506"/>
      <c r="G600" s="222"/>
      <c r="H600" s="506"/>
      <c r="I600" s="199"/>
      <c r="J600" s="506"/>
      <c r="K600" s="82"/>
      <c r="L600" s="506"/>
      <c r="M600" s="70"/>
      <c r="N600" s="70"/>
      <c r="O600" s="70"/>
      <c r="P600" s="70"/>
      <c r="Q600" s="70"/>
      <c r="R600" s="70"/>
      <c r="S600" s="70"/>
      <c r="T600" s="70"/>
      <c r="U600" s="70"/>
      <c r="V600" s="70"/>
      <c r="W600" s="70"/>
      <c r="X600" s="70"/>
      <c r="Y600" s="70"/>
    </row>
    <row r="601">
      <c r="A601" s="82"/>
      <c r="B601" s="506"/>
      <c r="C601" s="82"/>
      <c r="D601" s="506"/>
      <c r="E601" s="82"/>
      <c r="F601" s="506"/>
      <c r="G601" s="222"/>
      <c r="H601" s="506"/>
      <c r="I601" s="199"/>
      <c r="J601" s="506"/>
      <c r="K601" s="82"/>
      <c r="L601" s="506"/>
      <c r="M601" s="70"/>
      <c r="N601" s="70"/>
      <c r="O601" s="70"/>
      <c r="P601" s="70"/>
      <c r="Q601" s="70"/>
      <c r="R601" s="70"/>
      <c r="S601" s="70"/>
      <c r="T601" s="70"/>
      <c r="U601" s="70"/>
      <c r="V601" s="70"/>
      <c r="W601" s="70"/>
      <c r="X601" s="70"/>
      <c r="Y601" s="70"/>
    </row>
    <row r="602">
      <c r="A602" s="82"/>
      <c r="B602" s="506"/>
      <c r="C602" s="82"/>
      <c r="D602" s="506"/>
      <c r="E602" s="82"/>
      <c r="F602" s="506"/>
      <c r="G602" s="222"/>
      <c r="H602" s="506"/>
      <c r="I602" s="199"/>
      <c r="J602" s="506"/>
      <c r="K602" s="82"/>
      <c r="L602" s="506"/>
      <c r="M602" s="70"/>
      <c r="N602" s="70"/>
      <c r="O602" s="70"/>
      <c r="P602" s="70"/>
      <c r="Q602" s="70"/>
      <c r="R602" s="70"/>
      <c r="S602" s="70"/>
      <c r="T602" s="70"/>
      <c r="U602" s="70"/>
      <c r="V602" s="70"/>
      <c r="W602" s="70"/>
      <c r="X602" s="70"/>
      <c r="Y602" s="70"/>
    </row>
    <row r="603">
      <c r="A603" s="82"/>
      <c r="B603" s="506"/>
      <c r="C603" s="82"/>
      <c r="D603" s="506"/>
      <c r="E603" s="82"/>
      <c r="F603" s="506"/>
      <c r="G603" s="222"/>
      <c r="H603" s="506"/>
      <c r="I603" s="199"/>
      <c r="J603" s="506"/>
      <c r="K603" s="82"/>
      <c r="L603" s="506"/>
      <c r="M603" s="70"/>
      <c r="N603" s="70"/>
      <c r="O603" s="70"/>
      <c r="P603" s="70"/>
      <c r="Q603" s="70"/>
      <c r="R603" s="70"/>
      <c r="S603" s="70"/>
      <c r="T603" s="70"/>
      <c r="U603" s="70"/>
      <c r="V603" s="70"/>
      <c r="W603" s="70"/>
      <c r="X603" s="70"/>
      <c r="Y603" s="70"/>
    </row>
    <row r="604">
      <c r="A604" s="82"/>
      <c r="B604" s="506"/>
      <c r="C604" s="82"/>
      <c r="D604" s="506"/>
      <c r="E604" s="82"/>
      <c r="F604" s="506"/>
      <c r="G604" s="222"/>
      <c r="H604" s="506"/>
      <c r="I604" s="199"/>
      <c r="J604" s="506"/>
      <c r="K604" s="82"/>
      <c r="L604" s="506"/>
      <c r="M604" s="70"/>
      <c r="N604" s="70"/>
      <c r="O604" s="70"/>
      <c r="P604" s="70"/>
      <c r="Q604" s="70"/>
      <c r="R604" s="70"/>
      <c r="S604" s="70"/>
      <c r="T604" s="70"/>
      <c r="U604" s="70"/>
      <c r="V604" s="70"/>
      <c r="W604" s="70"/>
      <c r="X604" s="70"/>
      <c r="Y604" s="70"/>
    </row>
    <row r="605">
      <c r="A605" s="82"/>
      <c r="B605" s="506"/>
      <c r="C605" s="82"/>
      <c r="D605" s="506"/>
      <c r="E605" s="82"/>
      <c r="F605" s="506"/>
      <c r="G605" s="222"/>
      <c r="H605" s="506"/>
      <c r="I605" s="199"/>
      <c r="J605" s="506"/>
      <c r="K605" s="82"/>
      <c r="L605" s="506"/>
      <c r="M605" s="70"/>
      <c r="N605" s="70"/>
      <c r="O605" s="70"/>
      <c r="P605" s="70"/>
      <c r="Q605" s="70"/>
      <c r="R605" s="70"/>
      <c r="S605" s="70"/>
      <c r="T605" s="70"/>
      <c r="U605" s="70"/>
      <c r="V605" s="70"/>
      <c r="W605" s="70"/>
      <c r="X605" s="70"/>
      <c r="Y605" s="70"/>
    </row>
    <row r="606">
      <c r="A606" s="82"/>
      <c r="B606" s="506"/>
      <c r="C606" s="82"/>
      <c r="D606" s="506"/>
      <c r="E606" s="82"/>
      <c r="F606" s="506"/>
      <c r="G606" s="222"/>
      <c r="H606" s="506"/>
      <c r="I606" s="199"/>
      <c r="J606" s="506"/>
      <c r="K606" s="82"/>
      <c r="L606" s="506"/>
      <c r="M606" s="70"/>
      <c r="N606" s="70"/>
      <c r="O606" s="70"/>
      <c r="P606" s="70"/>
      <c r="Q606" s="70"/>
      <c r="R606" s="70"/>
      <c r="S606" s="70"/>
      <c r="T606" s="70"/>
      <c r="U606" s="70"/>
      <c r="V606" s="70"/>
      <c r="W606" s="70"/>
      <c r="X606" s="70"/>
      <c r="Y606" s="70"/>
    </row>
    <row r="607">
      <c r="A607" s="82"/>
      <c r="B607" s="506"/>
      <c r="C607" s="82"/>
      <c r="D607" s="506"/>
      <c r="E607" s="82"/>
      <c r="F607" s="506"/>
      <c r="G607" s="222"/>
      <c r="H607" s="506"/>
      <c r="I607" s="199"/>
      <c r="J607" s="506"/>
      <c r="K607" s="82"/>
      <c r="L607" s="506"/>
      <c r="M607" s="70"/>
      <c r="N607" s="70"/>
      <c r="O607" s="70"/>
      <c r="P607" s="70"/>
      <c r="Q607" s="70"/>
      <c r="R607" s="70"/>
      <c r="S607" s="70"/>
      <c r="T607" s="70"/>
      <c r="U607" s="70"/>
      <c r="V607" s="70"/>
      <c r="W607" s="70"/>
      <c r="X607" s="70"/>
      <c r="Y607" s="70"/>
    </row>
    <row r="608">
      <c r="A608" s="82"/>
      <c r="B608" s="506"/>
      <c r="C608" s="82"/>
      <c r="D608" s="506"/>
      <c r="E608" s="82"/>
      <c r="F608" s="506"/>
      <c r="G608" s="222"/>
      <c r="H608" s="506"/>
      <c r="I608" s="199"/>
      <c r="J608" s="506"/>
      <c r="K608" s="82"/>
      <c r="L608" s="506"/>
      <c r="M608" s="70"/>
      <c r="N608" s="70"/>
      <c r="O608" s="70"/>
      <c r="P608" s="70"/>
      <c r="Q608" s="70"/>
      <c r="R608" s="70"/>
      <c r="S608" s="70"/>
      <c r="T608" s="70"/>
      <c r="U608" s="70"/>
      <c r="V608" s="70"/>
      <c r="W608" s="70"/>
      <c r="X608" s="70"/>
      <c r="Y608" s="70"/>
    </row>
    <row r="609">
      <c r="A609" s="82"/>
      <c r="B609" s="506"/>
      <c r="C609" s="82"/>
      <c r="D609" s="506"/>
      <c r="E609" s="82"/>
      <c r="F609" s="506"/>
      <c r="G609" s="222"/>
      <c r="H609" s="506"/>
      <c r="I609" s="199"/>
      <c r="J609" s="506"/>
      <c r="K609" s="82"/>
      <c r="L609" s="506"/>
      <c r="M609" s="70"/>
      <c r="N609" s="70"/>
      <c r="O609" s="70"/>
      <c r="P609" s="70"/>
      <c r="Q609" s="70"/>
      <c r="R609" s="70"/>
      <c r="S609" s="70"/>
      <c r="T609" s="70"/>
      <c r="U609" s="70"/>
      <c r="V609" s="70"/>
      <c r="W609" s="70"/>
      <c r="X609" s="70"/>
      <c r="Y609" s="70"/>
    </row>
    <row r="610">
      <c r="A610" s="82"/>
      <c r="B610" s="506"/>
      <c r="C610" s="82"/>
      <c r="D610" s="506"/>
      <c r="E610" s="82"/>
      <c r="F610" s="506"/>
      <c r="G610" s="222"/>
      <c r="H610" s="506"/>
      <c r="I610" s="199"/>
      <c r="J610" s="506"/>
      <c r="K610" s="82"/>
      <c r="L610" s="506"/>
      <c r="M610" s="70"/>
      <c r="N610" s="70"/>
      <c r="O610" s="70"/>
      <c r="P610" s="70"/>
      <c r="Q610" s="70"/>
      <c r="R610" s="70"/>
      <c r="S610" s="70"/>
      <c r="T610" s="70"/>
      <c r="U610" s="70"/>
      <c r="V610" s="70"/>
      <c r="W610" s="70"/>
      <c r="X610" s="70"/>
      <c r="Y610" s="70"/>
    </row>
    <row r="611">
      <c r="A611" s="82"/>
      <c r="B611" s="506"/>
      <c r="C611" s="82"/>
      <c r="D611" s="506"/>
      <c r="E611" s="82"/>
      <c r="F611" s="506"/>
      <c r="G611" s="222"/>
      <c r="H611" s="506"/>
      <c r="I611" s="199"/>
      <c r="J611" s="506"/>
      <c r="K611" s="82"/>
      <c r="L611" s="506"/>
      <c r="M611" s="70"/>
      <c r="N611" s="70"/>
      <c r="O611" s="70"/>
      <c r="P611" s="70"/>
      <c r="Q611" s="70"/>
      <c r="R611" s="70"/>
      <c r="S611" s="70"/>
      <c r="T611" s="70"/>
      <c r="U611" s="70"/>
      <c r="V611" s="70"/>
      <c r="W611" s="70"/>
      <c r="X611" s="70"/>
      <c r="Y611" s="70"/>
    </row>
    <row r="612">
      <c r="A612" s="82"/>
      <c r="B612" s="506"/>
      <c r="C612" s="82"/>
      <c r="D612" s="506"/>
      <c r="E612" s="82"/>
      <c r="F612" s="506"/>
      <c r="G612" s="222"/>
      <c r="H612" s="506"/>
      <c r="I612" s="199"/>
      <c r="J612" s="506"/>
      <c r="K612" s="82"/>
      <c r="L612" s="506"/>
      <c r="M612" s="70"/>
      <c r="N612" s="70"/>
      <c r="O612" s="70"/>
      <c r="P612" s="70"/>
      <c r="Q612" s="70"/>
      <c r="R612" s="70"/>
      <c r="S612" s="70"/>
      <c r="T612" s="70"/>
      <c r="U612" s="70"/>
      <c r="V612" s="70"/>
      <c r="W612" s="70"/>
      <c r="X612" s="70"/>
      <c r="Y612" s="70"/>
    </row>
    <row r="613">
      <c r="A613" s="82"/>
      <c r="B613" s="506"/>
      <c r="C613" s="82"/>
      <c r="D613" s="506"/>
      <c r="E613" s="82"/>
      <c r="F613" s="506"/>
      <c r="G613" s="222"/>
      <c r="H613" s="506"/>
      <c r="I613" s="199"/>
      <c r="J613" s="506"/>
      <c r="K613" s="82"/>
      <c r="L613" s="506"/>
      <c r="M613" s="70"/>
      <c r="N613" s="70"/>
      <c r="O613" s="70"/>
      <c r="P613" s="70"/>
      <c r="Q613" s="70"/>
      <c r="R613" s="70"/>
      <c r="S613" s="70"/>
      <c r="T613" s="70"/>
      <c r="U613" s="70"/>
      <c r="V613" s="70"/>
      <c r="W613" s="70"/>
      <c r="X613" s="70"/>
      <c r="Y613" s="70"/>
    </row>
    <row r="614">
      <c r="A614" s="82"/>
      <c r="B614" s="506"/>
      <c r="C614" s="82"/>
      <c r="D614" s="506"/>
      <c r="E614" s="82"/>
      <c r="F614" s="506"/>
      <c r="G614" s="222"/>
      <c r="H614" s="506"/>
      <c r="I614" s="199"/>
      <c r="J614" s="506"/>
      <c r="K614" s="82"/>
      <c r="L614" s="506"/>
      <c r="M614" s="70"/>
      <c r="N614" s="70"/>
      <c r="O614" s="70"/>
      <c r="P614" s="70"/>
      <c r="Q614" s="70"/>
      <c r="R614" s="70"/>
      <c r="S614" s="70"/>
      <c r="T614" s="70"/>
      <c r="U614" s="70"/>
      <c r="V614" s="70"/>
      <c r="W614" s="70"/>
      <c r="X614" s="70"/>
      <c r="Y614" s="70"/>
    </row>
    <row r="615">
      <c r="A615" s="82"/>
      <c r="B615" s="506"/>
      <c r="C615" s="82"/>
      <c r="D615" s="506"/>
      <c r="E615" s="82"/>
      <c r="F615" s="506"/>
      <c r="G615" s="222"/>
      <c r="H615" s="506"/>
      <c r="I615" s="199"/>
      <c r="J615" s="506"/>
      <c r="K615" s="82"/>
      <c r="L615" s="506"/>
      <c r="M615" s="70"/>
      <c r="N615" s="70"/>
      <c r="O615" s="70"/>
      <c r="P615" s="70"/>
      <c r="Q615" s="70"/>
      <c r="R615" s="70"/>
      <c r="S615" s="70"/>
      <c r="T615" s="70"/>
      <c r="U615" s="70"/>
      <c r="V615" s="70"/>
      <c r="W615" s="70"/>
      <c r="X615" s="70"/>
      <c r="Y615" s="70"/>
    </row>
    <row r="616">
      <c r="A616" s="82"/>
      <c r="B616" s="506"/>
      <c r="C616" s="82"/>
      <c r="D616" s="506"/>
      <c r="E616" s="82"/>
      <c r="F616" s="506"/>
      <c r="G616" s="222"/>
      <c r="H616" s="506"/>
      <c r="I616" s="199"/>
      <c r="J616" s="506"/>
      <c r="K616" s="82"/>
      <c r="L616" s="506"/>
      <c r="M616" s="70"/>
      <c r="N616" s="70"/>
      <c r="O616" s="70"/>
      <c r="P616" s="70"/>
      <c r="Q616" s="70"/>
      <c r="R616" s="70"/>
      <c r="S616" s="70"/>
      <c r="T616" s="70"/>
      <c r="U616" s="70"/>
      <c r="V616" s="70"/>
      <c r="W616" s="70"/>
      <c r="X616" s="70"/>
      <c r="Y616" s="70"/>
    </row>
    <row r="617">
      <c r="A617" s="82"/>
      <c r="B617" s="506"/>
      <c r="C617" s="82"/>
      <c r="D617" s="506"/>
      <c r="E617" s="82"/>
      <c r="F617" s="506"/>
      <c r="G617" s="222"/>
      <c r="H617" s="506"/>
      <c r="I617" s="199"/>
      <c r="J617" s="506"/>
      <c r="K617" s="82"/>
      <c r="L617" s="506"/>
      <c r="M617" s="70"/>
      <c r="N617" s="70"/>
      <c r="O617" s="70"/>
      <c r="P617" s="70"/>
      <c r="Q617" s="70"/>
      <c r="R617" s="70"/>
      <c r="S617" s="70"/>
      <c r="T617" s="70"/>
      <c r="U617" s="70"/>
      <c r="V617" s="70"/>
      <c r="W617" s="70"/>
      <c r="X617" s="70"/>
      <c r="Y617" s="70"/>
    </row>
    <row r="618">
      <c r="A618" s="82"/>
      <c r="B618" s="506"/>
      <c r="C618" s="82"/>
      <c r="D618" s="506"/>
      <c r="E618" s="82"/>
      <c r="F618" s="506"/>
      <c r="G618" s="222"/>
      <c r="H618" s="506"/>
      <c r="I618" s="199"/>
      <c r="J618" s="506"/>
      <c r="K618" s="82"/>
      <c r="L618" s="506"/>
      <c r="M618" s="70"/>
      <c r="N618" s="70"/>
      <c r="O618" s="70"/>
      <c r="P618" s="70"/>
      <c r="Q618" s="70"/>
      <c r="R618" s="70"/>
      <c r="S618" s="70"/>
      <c r="T618" s="70"/>
      <c r="U618" s="70"/>
      <c r="V618" s="70"/>
      <c r="W618" s="70"/>
      <c r="X618" s="70"/>
      <c r="Y618" s="70"/>
    </row>
    <row r="619">
      <c r="A619" s="82"/>
      <c r="B619" s="506"/>
      <c r="C619" s="82"/>
      <c r="D619" s="506"/>
      <c r="E619" s="82"/>
      <c r="F619" s="506"/>
      <c r="G619" s="222"/>
      <c r="H619" s="506"/>
      <c r="I619" s="199"/>
      <c r="J619" s="506"/>
      <c r="K619" s="82"/>
      <c r="L619" s="506"/>
      <c r="M619" s="70"/>
      <c r="N619" s="70"/>
      <c r="O619" s="70"/>
      <c r="P619" s="70"/>
      <c r="Q619" s="70"/>
      <c r="R619" s="70"/>
      <c r="S619" s="70"/>
      <c r="T619" s="70"/>
      <c r="U619" s="70"/>
      <c r="V619" s="70"/>
      <c r="W619" s="70"/>
      <c r="X619" s="70"/>
      <c r="Y619" s="70"/>
    </row>
    <row r="620">
      <c r="A620" s="82"/>
      <c r="B620" s="506"/>
      <c r="C620" s="82"/>
      <c r="D620" s="506"/>
      <c r="E620" s="82"/>
      <c r="F620" s="506"/>
      <c r="G620" s="222"/>
      <c r="H620" s="506"/>
      <c r="I620" s="199"/>
      <c r="J620" s="506"/>
      <c r="K620" s="82"/>
      <c r="L620" s="506"/>
      <c r="M620" s="70"/>
      <c r="N620" s="70"/>
      <c r="O620" s="70"/>
      <c r="P620" s="70"/>
      <c r="Q620" s="70"/>
      <c r="R620" s="70"/>
      <c r="S620" s="70"/>
      <c r="T620" s="70"/>
      <c r="U620" s="70"/>
      <c r="V620" s="70"/>
      <c r="W620" s="70"/>
      <c r="X620" s="70"/>
      <c r="Y620" s="70"/>
    </row>
    <row r="621">
      <c r="A621" s="82"/>
      <c r="B621" s="506"/>
      <c r="C621" s="82"/>
      <c r="D621" s="506"/>
      <c r="E621" s="82"/>
      <c r="F621" s="506"/>
      <c r="G621" s="222"/>
      <c r="H621" s="506"/>
      <c r="I621" s="199"/>
      <c r="J621" s="506"/>
      <c r="K621" s="82"/>
      <c r="L621" s="506"/>
      <c r="M621" s="70"/>
      <c r="N621" s="70"/>
      <c r="O621" s="70"/>
      <c r="P621" s="70"/>
      <c r="Q621" s="70"/>
      <c r="R621" s="70"/>
      <c r="S621" s="70"/>
      <c r="T621" s="70"/>
      <c r="U621" s="70"/>
      <c r="V621" s="70"/>
      <c r="W621" s="70"/>
      <c r="X621" s="70"/>
      <c r="Y621" s="70"/>
    </row>
    <row r="622">
      <c r="A622" s="82"/>
      <c r="B622" s="506"/>
      <c r="C622" s="82"/>
      <c r="D622" s="506"/>
      <c r="E622" s="82"/>
      <c r="F622" s="506"/>
      <c r="G622" s="222"/>
      <c r="H622" s="506"/>
      <c r="I622" s="199"/>
      <c r="J622" s="506"/>
      <c r="K622" s="82"/>
      <c r="L622" s="506"/>
      <c r="M622" s="70"/>
      <c r="N622" s="70"/>
      <c r="O622" s="70"/>
      <c r="P622" s="70"/>
      <c r="Q622" s="70"/>
      <c r="R622" s="70"/>
      <c r="S622" s="70"/>
      <c r="T622" s="70"/>
      <c r="U622" s="70"/>
      <c r="V622" s="70"/>
      <c r="W622" s="70"/>
      <c r="X622" s="70"/>
      <c r="Y622" s="70"/>
    </row>
    <row r="623">
      <c r="A623" s="82"/>
      <c r="B623" s="506"/>
      <c r="C623" s="82"/>
      <c r="D623" s="506"/>
      <c r="E623" s="82"/>
      <c r="F623" s="506"/>
      <c r="G623" s="222"/>
      <c r="H623" s="506"/>
      <c r="I623" s="199"/>
      <c r="J623" s="506"/>
      <c r="K623" s="82"/>
      <c r="L623" s="506"/>
      <c r="M623" s="70"/>
      <c r="N623" s="70"/>
      <c r="O623" s="70"/>
      <c r="P623" s="70"/>
      <c r="Q623" s="70"/>
      <c r="R623" s="70"/>
      <c r="S623" s="70"/>
      <c r="T623" s="70"/>
      <c r="U623" s="70"/>
      <c r="V623" s="70"/>
      <c r="W623" s="70"/>
      <c r="X623" s="70"/>
      <c r="Y623" s="70"/>
    </row>
    <row r="624">
      <c r="A624" s="82"/>
      <c r="B624" s="506"/>
      <c r="C624" s="82"/>
      <c r="D624" s="506"/>
      <c r="E624" s="82"/>
      <c r="F624" s="506"/>
      <c r="G624" s="222"/>
      <c r="H624" s="506"/>
      <c r="I624" s="199"/>
      <c r="J624" s="506"/>
      <c r="K624" s="82"/>
      <c r="L624" s="506"/>
      <c r="M624" s="70"/>
      <c r="N624" s="70"/>
      <c r="O624" s="70"/>
      <c r="P624" s="70"/>
      <c r="Q624" s="70"/>
      <c r="R624" s="70"/>
      <c r="S624" s="70"/>
      <c r="T624" s="70"/>
      <c r="U624" s="70"/>
      <c r="V624" s="70"/>
      <c r="W624" s="70"/>
      <c r="X624" s="70"/>
      <c r="Y624" s="70"/>
    </row>
    <row r="625">
      <c r="A625" s="82"/>
      <c r="B625" s="506"/>
      <c r="C625" s="82"/>
      <c r="D625" s="506"/>
      <c r="E625" s="82"/>
      <c r="F625" s="506"/>
      <c r="G625" s="222"/>
      <c r="H625" s="506"/>
      <c r="I625" s="199"/>
      <c r="J625" s="506"/>
      <c r="K625" s="82"/>
      <c r="L625" s="506"/>
      <c r="M625" s="70"/>
      <c r="N625" s="70"/>
      <c r="O625" s="70"/>
      <c r="P625" s="70"/>
      <c r="Q625" s="70"/>
      <c r="R625" s="70"/>
      <c r="S625" s="70"/>
      <c r="T625" s="70"/>
      <c r="U625" s="70"/>
      <c r="V625" s="70"/>
      <c r="W625" s="70"/>
      <c r="X625" s="70"/>
      <c r="Y625" s="70"/>
    </row>
    <row r="626">
      <c r="A626" s="82"/>
      <c r="B626" s="506"/>
      <c r="C626" s="82"/>
      <c r="D626" s="506"/>
      <c r="E626" s="82"/>
      <c r="F626" s="506"/>
      <c r="G626" s="222"/>
      <c r="H626" s="506"/>
      <c r="I626" s="199"/>
      <c r="J626" s="506"/>
      <c r="K626" s="82"/>
      <c r="L626" s="506"/>
      <c r="M626" s="70"/>
      <c r="N626" s="70"/>
      <c r="O626" s="70"/>
      <c r="P626" s="70"/>
      <c r="Q626" s="70"/>
      <c r="R626" s="70"/>
      <c r="S626" s="70"/>
      <c r="T626" s="70"/>
      <c r="U626" s="70"/>
      <c r="V626" s="70"/>
      <c r="W626" s="70"/>
      <c r="X626" s="70"/>
      <c r="Y626" s="70"/>
    </row>
    <row r="627">
      <c r="A627" s="82"/>
      <c r="B627" s="506"/>
      <c r="C627" s="82"/>
      <c r="D627" s="506"/>
      <c r="E627" s="82"/>
      <c r="F627" s="506"/>
      <c r="G627" s="222"/>
      <c r="H627" s="506"/>
      <c r="I627" s="199"/>
      <c r="J627" s="506"/>
      <c r="K627" s="82"/>
      <c r="L627" s="506"/>
      <c r="M627" s="70"/>
      <c r="N627" s="70"/>
      <c r="O627" s="70"/>
      <c r="P627" s="70"/>
      <c r="Q627" s="70"/>
      <c r="R627" s="70"/>
      <c r="S627" s="70"/>
      <c r="T627" s="70"/>
      <c r="U627" s="70"/>
      <c r="V627" s="70"/>
      <c r="W627" s="70"/>
      <c r="X627" s="70"/>
      <c r="Y627" s="70"/>
    </row>
    <row r="628">
      <c r="A628" s="82"/>
      <c r="B628" s="506"/>
      <c r="C628" s="82"/>
      <c r="D628" s="506"/>
      <c r="E628" s="82"/>
      <c r="F628" s="506"/>
      <c r="G628" s="222"/>
      <c r="H628" s="506"/>
      <c r="I628" s="199"/>
      <c r="J628" s="506"/>
      <c r="K628" s="82"/>
      <c r="L628" s="506"/>
      <c r="M628" s="70"/>
      <c r="N628" s="70"/>
      <c r="O628" s="70"/>
      <c r="P628" s="70"/>
      <c r="Q628" s="70"/>
      <c r="R628" s="70"/>
      <c r="S628" s="70"/>
      <c r="T628" s="70"/>
      <c r="U628" s="70"/>
      <c r="V628" s="70"/>
      <c r="W628" s="70"/>
      <c r="X628" s="70"/>
      <c r="Y628" s="70"/>
    </row>
    <row r="629">
      <c r="A629" s="82"/>
      <c r="B629" s="506"/>
      <c r="C629" s="82"/>
      <c r="D629" s="506"/>
      <c r="E629" s="82"/>
      <c r="F629" s="506"/>
      <c r="G629" s="222"/>
      <c r="H629" s="506"/>
      <c r="I629" s="199"/>
      <c r="J629" s="506"/>
      <c r="K629" s="82"/>
      <c r="L629" s="506"/>
      <c r="M629" s="70"/>
      <c r="N629" s="70"/>
      <c r="O629" s="70"/>
      <c r="P629" s="70"/>
      <c r="Q629" s="70"/>
      <c r="R629" s="70"/>
      <c r="S629" s="70"/>
      <c r="T629" s="70"/>
      <c r="U629" s="70"/>
      <c r="V629" s="70"/>
      <c r="W629" s="70"/>
      <c r="X629" s="70"/>
      <c r="Y629" s="70"/>
    </row>
    <row r="630">
      <c r="A630" s="82"/>
      <c r="B630" s="506"/>
      <c r="C630" s="82"/>
      <c r="D630" s="506"/>
      <c r="E630" s="82"/>
      <c r="F630" s="506"/>
      <c r="G630" s="222"/>
      <c r="H630" s="506"/>
      <c r="I630" s="199"/>
      <c r="J630" s="506"/>
      <c r="K630" s="82"/>
      <c r="L630" s="506"/>
      <c r="M630" s="70"/>
      <c r="N630" s="70"/>
      <c r="O630" s="70"/>
      <c r="P630" s="70"/>
      <c r="Q630" s="70"/>
      <c r="R630" s="70"/>
      <c r="S630" s="70"/>
      <c r="T630" s="70"/>
      <c r="U630" s="70"/>
      <c r="V630" s="70"/>
      <c r="W630" s="70"/>
      <c r="X630" s="70"/>
      <c r="Y630" s="70"/>
    </row>
    <row r="631">
      <c r="A631" s="82"/>
      <c r="B631" s="506"/>
      <c r="C631" s="82"/>
      <c r="D631" s="506"/>
      <c r="E631" s="82"/>
      <c r="F631" s="506"/>
      <c r="G631" s="222"/>
      <c r="H631" s="506"/>
      <c r="I631" s="199"/>
      <c r="J631" s="506"/>
      <c r="K631" s="82"/>
      <c r="L631" s="506"/>
      <c r="M631" s="70"/>
      <c r="N631" s="70"/>
      <c r="O631" s="70"/>
      <c r="P631" s="70"/>
      <c r="Q631" s="70"/>
      <c r="R631" s="70"/>
      <c r="S631" s="70"/>
      <c r="T631" s="70"/>
      <c r="U631" s="70"/>
      <c r="V631" s="70"/>
      <c r="W631" s="70"/>
      <c r="X631" s="70"/>
      <c r="Y631" s="70"/>
    </row>
    <row r="632">
      <c r="A632" s="82"/>
      <c r="B632" s="506"/>
      <c r="C632" s="82"/>
      <c r="D632" s="506"/>
      <c r="E632" s="82"/>
      <c r="F632" s="506"/>
      <c r="G632" s="222"/>
      <c r="H632" s="506"/>
      <c r="I632" s="199"/>
      <c r="J632" s="506"/>
      <c r="K632" s="82"/>
      <c r="L632" s="506"/>
      <c r="M632" s="70"/>
      <c r="N632" s="70"/>
      <c r="O632" s="70"/>
      <c r="P632" s="70"/>
      <c r="Q632" s="70"/>
      <c r="R632" s="70"/>
      <c r="S632" s="70"/>
      <c r="T632" s="70"/>
      <c r="U632" s="70"/>
      <c r="V632" s="70"/>
      <c r="W632" s="70"/>
      <c r="X632" s="70"/>
      <c r="Y632" s="70"/>
    </row>
    <row r="633">
      <c r="A633" s="82"/>
      <c r="B633" s="506"/>
      <c r="C633" s="82"/>
      <c r="D633" s="506"/>
      <c r="E633" s="82"/>
      <c r="F633" s="506"/>
      <c r="G633" s="222"/>
      <c r="H633" s="506"/>
      <c r="I633" s="199"/>
      <c r="J633" s="506"/>
      <c r="K633" s="82"/>
      <c r="L633" s="506"/>
      <c r="M633" s="70"/>
      <c r="N633" s="70"/>
      <c r="O633" s="70"/>
      <c r="P633" s="70"/>
      <c r="Q633" s="70"/>
      <c r="R633" s="70"/>
      <c r="S633" s="70"/>
      <c r="T633" s="70"/>
      <c r="U633" s="70"/>
      <c r="V633" s="70"/>
      <c r="W633" s="70"/>
      <c r="X633" s="70"/>
      <c r="Y633" s="70"/>
    </row>
    <row r="634">
      <c r="A634" s="82"/>
      <c r="B634" s="506"/>
      <c r="C634" s="82"/>
      <c r="D634" s="506"/>
      <c r="E634" s="82"/>
      <c r="F634" s="506"/>
      <c r="G634" s="222"/>
      <c r="H634" s="506"/>
      <c r="I634" s="199"/>
      <c r="J634" s="506"/>
      <c r="K634" s="82"/>
      <c r="L634" s="506"/>
      <c r="M634" s="70"/>
      <c r="N634" s="70"/>
      <c r="O634" s="70"/>
      <c r="P634" s="70"/>
      <c r="Q634" s="70"/>
      <c r="R634" s="70"/>
      <c r="S634" s="70"/>
      <c r="T634" s="70"/>
      <c r="U634" s="70"/>
      <c r="V634" s="70"/>
      <c r="W634" s="70"/>
      <c r="X634" s="70"/>
      <c r="Y634" s="70"/>
    </row>
    <row r="635">
      <c r="A635" s="82"/>
      <c r="B635" s="506"/>
      <c r="C635" s="82"/>
      <c r="D635" s="506"/>
      <c r="E635" s="82"/>
      <c r="F635" s="506"/>
      <c r="G635" s="222"/>
      <c r="H635" s="506"/>
      <c r="I635" s="199"/>
      <c r="J635" s="506"/>
      <c r="K635" s="82"/>
      <c r="L635" s="506"/>
      <c r="M635" s="70"/>
      <c r="N635" s="70"/>
      <c r="O635" s="70"/>
      <c r="P635" s="70"/>
      <c r="Q635" s="70"/>
      <c r="R635" s="70"/>
      <c r="S635" s="70"/>
      <c r="T635" s="70"/>
      <c r="U635" s="70"/>
      <c r="V635" s="70"/>
      <c r="W635" s="70"/>
      <c r="X635" s="70"/>
      <c r="Y635" s="70"/>
    </row>
    <row r="636">
      <c r="A636" s="82"/>
      <c r="B636" s="506"/>
      <c r="C636" s="82"/>
      <c r="D636" s="506"/>
      <c r="E636" s="82"/>
      <c r="F636" s="506"/>
      <c r="G636" s="222"/>
      <c r="H636" s="506"/>
      <c r="I636" s="199"/>
      <c r="J636" s="506"/>
      <c r="K636" s="82"/>
      <c r="L636" s="506"/>
      <c r="M636" s="70"/>
      <c r="N636" s="70"/>
      <c r="O636" s="70"/>
      <c r="P636" s="70"/>
      <c r="Q636" s="70"/>
      <c r="R636" s="70"/>
      <c r="S636" s="70"/>
      <c r="T636" s="70"/>
      <c r="U636" s="70"/>
      <c r="V636" s="70"/>
      <c r="W636" s="70"/>
      <c r="X636" s="70"/>
      <c r="Y636" s="70"/>
    </row>
    <row r="637">
      <c r="A637" s="82"/>
      <c r="B637" s="506"/>
      <c r="C637" s="82"/>
      <c r="D637" s="506"/>
      <c r="E637" s="82"/>
      <c r="F637" s="506"/>
      <c r="G637" s="222"/>
      <c r="H637" s="506"/>
      <c r="I637" s="199"/>
      <c r="J637" s="506"/>
      <c r="K637" s="82"/>
      <c r="L637" s="506"/>
      <c r="M637" s="70"/>
      <c r="N637" s="70"/>
      <c r="O637" s="70"/>
      <c r="P637" s="70"/>
      <c r="Q637" s="70"/>
      <c r="R637" s="70"/>
      <c r="S637" s="70"/>
      <c r="T637" s="70"/>
      <c r="U637" s="70"/>
      <c r="V637" s="70"/>
      <c r="W637" s="70"/>
      <c r="X637" s="70"/>
      <c r="Y637" s="70"/>
    </row>
    <row r="638">
      <c r="A638" s="82"/>
      <c r="B638" s="506"/>
      <c r="C638" s="82"/>
      <c r="D638" s="506"/>
      <c r="E638" s="82"/>
      <c r="F638" s="506"/>
      <c r="G638" s="222"/>
      <c r="H638" s="506"/>
      <c r="I638" s="199"/>
      <c r="J638" s="506"/>
      <c r="K638" s="82"/>
      <c r="L638" s="506"/>
      <c r="M638" s="70"/>
      <c r="N638" s="70"/>
      <c r="O638" s="70"/>
      <c r="P638" s="70"/>
      <c r="Q638" s="70"/>
      <c r="R638" s="70"/>
      <c r="S638" s="70"/>
      <c r="T638" s="70"/>
      <c r="U638" s="70"/>
      <c r="V638" s="70"/>
      <c r="W638" s="70"/>
      <c r="X638" s="70"/>
      <c r="Y638" s="70"/>
    </row>
    <row r="639">
      <c r="A639" s="82"/>
      <c r="B639" s="506"/>
      <c r="C639" s="82"/>
      <c r="D639" s="506"/>
      <c r="E639" s="82"/>
      <c r="F639" s="506"/>
      <c r="G639" s="222"/>
      <c r="H639" s="506"/>
      <c r="I639" s="199"/>
      <c r="J639" s="506"/>
      <c r="K639" s="82"/>
      <c r="L639" s="506"/>
      <c r="M639" s="70"/>
      <c r="N639" s="70"/>
      <c r="O639" s="70"/>
      <c r="P639" s="70"/>
      <c r="Q639" s="70"/>
      <c r="R639" s="70"/>
      <c r="S639" s="70"/>
      <c r="T639" s="70"/>
      <c r="U639" s="70"/>
      <c r="V639" s="70"/>
      <c r="W639" s="70"/>
      <c r="X639" s="70"/>
      <c r="Y639" s="70"/>
    </row>
    <row r="640">
      <c r="A640" s="82"/>
      <c r="B640" s="506"/>
      <c r="C640" s="82"/>
      <c r="D640" s="506"/>
      <c r="E640" s="82"/>
      <c r="F640" s="506"/>
      <c r="G640" s="222"/>
      <c r="H640" s="506"/>
      <c r="I640" s="199"/>
      <c r="J640" s="506"/>
      <c r="K640" s="82"/>
      <c r="L640" s="506"/>
      <c r="M640" s="70"/>
      <c r="N640" s="70"/>
      <c r="O640" s="70"/>
      <c r="P640" s="70"/>
      <c r="Q640" s="70"/>
      <c r="R640" s="70"/>
      <c r="S640" s="70"/>
      <c r="T640" s="70"/>
      <c r="U640" s="70"/>
      <c r="V640" s="70"/>
      <c r="W640" s="70"/>
      <c r="X640" s="70"/>
      <c r="Y640" s="70"/>
    </row>
    <row r="641">
      <c r="A641" s="82"/>
      <c r="B641" s="506"/>
      <c r="C641" s="82"/>
      <c r="D641" s="506"/>
      <c r="E641" s="82"/>
      <c r="F641" s="506"/>
      <c r="G641" s="222"/>
      <c r="H641" s="506"/>
      <c r="I641" s="199"/>
      <c r="J641" s="506"/>
      <c r="K641" s="82"/>
      <c r="L641" s="506"/>
      <c r="M641" s="70"/>
      <c r="N641" s="70"/>
      <c r="O641" s="70"/>
      <c r="P641" s="70"/>
      <c r="Q641" s="70"/>
      <c r="R641" s="70"/>
      <c r="S641" s="70"/>
      <c r="T641" s="70"/>
      <c r="U641" s="70"/>
      <c r="V641" s="70"/>
      <c r="W641" s="70"/>
      <c r="X641" s="70"/>
      <c r="Y641" s="70"/>
    </row>
    <row r="642">
      <c r="A642" s="82"/>
      <c r="B642" s="506"/>
      <c r="C642" s="82"/>
      <c r="D642" s="506"/>
      <c r="E642" s="82"/>
      <c r="F642" s="506"/>
      <c r="G642" s="222"/>
      <c r="H642" s="506"/>
      <c r="I642" s="199"/>
      <c r="J642" s="506"/>
      <c r="K642" s="82"/>
      <c r="L642" s="506"/>
      <c r="M642" s="70"/>
      <c r="N642" s="70"/>
      <c r="O642" s="70"/>
      <c r="P642" s="70"/>
      <c r="Q642" s="70"/>
      <c r="R642" s="70"/>
      <c r="S642" s="70"/>
      <c r="T642" s="70"/>
      <c r="U642" s="70"/>
      <c r="V642" s="70"/>
      <c r="W642" s="70"/>
      <c r="X642" s="70"/>
      <c r="Y642" s="70"/>
    </row>
    <row r="643">
      <c r="A643" s="82"/>
      <c r="B643" s="506"/>
      <c r="C643" s="82"/>
      <c r="D643" s="506"/>
      <c r="E643" s="82"/>
      <c r="F643" s="506"/>
      <c r="G643" s="222"/>
      <c r="H643" s="506"/>
      <c r="I643" s="199"/>
      <c r="J643" s="506"/>
      <c r="K643" s="82"/>
      <c r="L643" s="506"/>
      <c r="M643" s="70"/>
      <c r="N643" s="70"/>
      <c r="O643" s="70"/>
      <c r="P643" s="70"/>
      <c r="Q643" s="70"/>
      <c r="R643" s="70"/>
      <c r="S643" s="70"/>
      <c r="T643" s="70"/>
      <c r="U643" s="70"/>
      <c r="V643" s="70"/>
      <c r="W643" s="70"/>
      <c r="X643" s="70"/>
      <c r="Y643" s="70"/>
    </row>
    <row r="644">
      <c r="A644" s="82"/>
      <c r="B644" s="506"/>
      <c r="C644" s="82"/>
      <c r="D644" s="506"/>
      <c r="E644" s="82"/>
      <c r="F644" s="506"/>
      <c r="G644" s="222"/>
      <c r="H644" s="506"/>
      <c r="I644" s="199"/>
      <c r="J644" s="506"/>
      <c r="K644" s="82"/>
      <c r="L644" s="506"/>
      <c r="M644" s="70"/>
      <c r="N644" s="70"/>
      <c r="O644" s="70"/>
      <c r="P644" s="70"/>
      <c r="Q644" s="70"/>
      <c r="R644" s="70"/>
      <c r="S644" s="70"/>
      <c r="T644" s="70"/>
      <c r="U644" s="70"/>
      <c r="V644" s="70"/>
      <c r="W644" s="70"/>
      <c r="X644" s="70"/>
      <c r="Y644" s="70"/>
    </row>
    <row r="645">
      <c r="A645" s="82"/>
      <c r="B645" s="506"/>
      <c r="C645" s="82"/>
      <c r="D645" s="506"/>
      <c r="E645" s="82"/>
      <c r="F645" s="506"/>
      <c r="G645" s="222"/>
      <c r="H645" s="506"/>
      <c r="I645" s="199"/>
      <c r="J645" s="506"/>
      <c r="K645" s="82"/>
      <c r="L645" s="506"/>
      <c r="M645" s="70"/>
      <c r="N645" s="70"/>
      <c r="O645" s="70"/>
      <c r="P645" s="70"/>
      <c r="Q645" s="70"/>
      <c r="R645" s="70"/>
      <c r="S645" s="70"/>
      <c r="T645" s="70"/>
      <c r="U645" s="70"/>
      <c r="V645" s="70"/>
      <c r="W645" s="70"/>
      <c r="X645" s="70"/>
      <c r="Y645" s="70"/>
    </row>
    <row r="646">
      <c r="A646" s="82"/>
      <c r="B646" s="506"/>
      <c r="C646" s="82"/>
      <c r="D646" s="506"/>
      <c r="E646" s="82"/>
      <c r="F646" s="506"/>
      <c r="G646" s="222"/>
      <c r="H646" s="506"/>
      <c r="I646" s="199"/>
      <c r="J646" s="506"/>
      <c r="K646" s="82"/>
      <c r="L646" s="506"/>
      <c r="M646" s="70"/>
      <c r="N646" s="70"/>
      <c r="O646" s="70"/>
      <c r="P646" s="70"/>
      <c r="Q646" s="70"/>
      <c r="R646" s="70"/>
      <c r="S646" s="70"/>
      <c r="T646" s="70"/>
      <c r="U646" s="70"/>
      <c r="V646" s="70"/>
      <c r="W646" s="70"/>
      <c r="X646" s="70"/>
      <c r="Y646" s="70"/>
    </row>
    <row r="647">
      <c r="A647" s="82"/>
      <c r="B647" s="506"/>
      <c r="C647" s="82"/>
      <c r="D647" s="506"/>
      <c r="E647" s="82"/>
      <c r="F647" s="506"/>
      <c r="G647" s="222"/>
      <c r="H647" s="506"/>
      <c r="I647" s="199"/>
      <c r="J647" s="506"/>
      <c r="K647" s="82"/>
      <c r="L647" s="506"/>
      <c r="M647" s="70"/>
      <c r="N647" s="70"/>
      <c r="O647" s="70"/>
      <c r="P647" s="70"/>
      <c r="Q647" s="70"/>
      <c r="R647" s="70"/>
      <c r="S647" s="70"/>
      <c r="T647" s="70"/>
      <c r="U647" s="70"/>
      <c r="V647" s="70"/>
      <c r="W647" s="70"/>
      <c r="X647" s="70"/>
      <c r="Y647" s="70"/>
    </row>
    <row r="648">
      <c r="A648" s="82"/>
      <c r="B648" s="506"/>
      <c r="C648" s="82"/>
      <c r="D648" s="506"/>
      <c r="E648" s="82"/>
      <c r="F648" s="506"/>
      <c r="G648" s="222"/>
      <c r="H648" s="506"/>
      <c r="I648" s="199"/>
      <c r="J648" s="506"/>
      <c r="K648" s="82"/>
      <c r="L648" s="506"/>
      <c r="M648" s="70"/>
      <c r="N648" s="70"/>
      <c r="O648" s="70"/>
      <c r="P648" s="70"/>
      <c r="Q648" s="70"/>
      <c r="R648" s="70"/>
      <c r="S648" s="70"/>
      <c r="T648" s="70"/>
      <c r="U648" s="70"/>
      <c r="V648" s="70"/>
      <c r="W648" s="70"/>
      <c r="X648" s="70"/>
      <c r="Y648" s="70"/>
    </row>
    <row r="649">
      <c r="A649" s="82"/>
      <c r="B649" s="506"/>
      <c r="C649" s="82"/>
      <c r="D649" s="506"/>
      <c r="E649" s="82"/>
      <c r="F649" s="506"/>
      <c r="G649" s="222"/>
      <c r="H649" s="506"/>
      <c r="I649" s="199"/>
      <c r="J649" s="506"/>
      <c r="K649" s="82"/>
      <c r="L649" s="506"/>
      <c r="M649" s="70"/>
      <c r="N649" s="70"/>
      <c r="O649" s="70"/>
      <c r="P649" s="70"/>
      <c r="Q649" s="70"/>
      <c r="R649" s="70"/>
      <c r="S649" s="70"/>
      <c r="T649" s="70"/>
      <c r="U649" s="70"/>
      <c r="V649" s="70"/>
      <c r="W649" s="70"/>
      <c r="X649" s="70"/>
      <c r="Y649" s="70"/>
    </row>
    <row r="650">
      <c r="A650" s="82"/>
      <c r="B650" s="506"/>
      <c r="C650" s="82"/>
      <c r="D650" s="506"/>
      <c r="E650" s="82"/>
      <c r="F650" s="506"/>
      <c r="G650" s="222"/>
      <c r="H650" s="506"/>
      <c r="I650" s="199"/>
      <c r="J650" s="506"/>
      <c r="K650" s="82"/>
      <c r="L650" s="506"/>
      <c r="M650" s="70"/>
      <c r="N650" s="70"/>
      <c r="O650" s="70"/>
      <c r="P650" s="70"/>
      <c r="Q650" s="70"/>
      <c r="R650" s="70"/>
      <c r="S650" s="70"/>
      <c r="T650" s="70"/>
      <c r="U650" s="70"/>
      <c r="V650" s="70"/>
      <c r="W650" s="70"/>
      <c r="X650" s="70"/>
      <c r="Y650" s="70"/>
    </row>
    <row r="651">
      <c r="A651" s="82"/>
      <c r="B651" s="506"/>
      <c r="C651" s="82"/>
      <c r="D651" s="506"/>
      <c r="E651" s="82"/>
      <c r="F651" s="506"/>
      <c r="G651" s="222"/>
      <c r="H651" s="506"/>
      <c r="I651" s="199"/>
      <c r="J651" s="506"/>
      <c r="K651" s="82"/>
      <c r="L651" s="506"/>
      <c r="M651" s="70"/>
      <c r="N651" s="70"/>
      <c r="O651" s="70"/>
      <c r="P651" s="70"/>
      <c r="Q651" s="70"/>
      <c r="R651" s="70"/>
      <c r="S651" s="70"/>
      <c r="T651" s="70"/>
      <c r="U651" s="70"/>
      <c r="V651" s="70"/>
      <c r="W651" s="70"/>
      <c r="X651" s="70"/>
      <c r="Y651" s="70"/>
    </row>
    <row r="652">
      <c r="A652" s="82"/>
      <c r="B652" s="506"/>
      <c r="C652" s="82"/>
      <c r="D652" s="506"/>
      <c r="E652" s="82"/>
      <c r="F652" s="506"/>
      <c r="G652" s="222"/>
      <c r="H652" s="506"/>
      <c r="I652" s="199"/>
      <c r="J652" s="506"/>
      <c r="K652" s="82"/>
      <c r="L652" s="506"/>
      <c r="M652" s="70"/>
      <c r="N652" s="70"/>
      <c r="O652" s="70"/>
      <c r="P652" s="70"/>
      <c r="Q652" s="70"/>
      <c r="R652" s="70"/>
      <c r="S652" s="70"/>
      <c r="T652" s="70"/>
      <c r="U652" s="70"/>
      <c r="V652" s="70"/>
      <c r="W652" s="70"/>
      <c r="X652" s="70"/>
      <c r="Y652" s="70"/>
    </row>
    <row r="653">
      <c r="A653" s="82"/>
      <c r="B653" s="506"/>
      <c r="C653" s="82"/>
      <c r="D653" s="506"/>
      <c r="E653" s="82"/>
      <c r="F653" s="506"/>
      <c r="G653" s="222"/>
      <c r="H653" s="506"/>
      <c r="I653" s="199"/>
      <c r="J653" s="506"/>
      <c r="K653" s="82"/>
      <c r="L653" s="506"/>
      <c r="M653" s="70"/>
      <c r="N653" s="70"/>
      <c r="O653" s="70"/>
      <c r="P653" s="70"/>
      <c r="Q653" s="70"/>
      <c r="R653" s="70"/>
      <c r="S653" s="70"/>
      <c r="T653" s="70"/>
      <c r="U653" s="70"/>
      <c r="V653" s="70"/>
      <c r="W653" s="70"/>
      <c r="X653" s="70"/>
      <c r="Y653" s="70"/>
    </row>
    <row r="654">
      <c r="A654" s="82"/>
      <c r="B654" s="506"/>
      <c r="C654" s="82"/>
      <c r="D654" s="506"/>
      <c r="E654" s="82"/>
      <c r="F654" s="506"/>
      <c r="G654" s="222"/>
      <c r="H654" s="506"/>
      <c r="I654" s="199"/>
      <c r="J654" s="506"/>
      <c r="K654" s="82"/>
      <c r="L654" s="506"/>
      <c r="M654" s="70"/>
      <c r="N654" s="70"/>
      <c r="O654" s="70"/>
      <c r="P654" s="70"/>
      <c r="Q654" s="70"/>
      <c r="R654" s="70"/>
      <c r="S654" s="70"/>
      <c r="T654" s="70"/>
      <c r="U654" s="70"/>
      <c r="V654" s="70"/>
      <c r="W654" s="70"/>
      <c r="X654" s="70"/>
      <c r="Y654" s="70"/>
    </row>
    <row r="655">
      <c r="A655" s="82"/>
      <c r="B655" s="506"/>
      <c r="C655" s="82"/>
      <c r="D655" s="506"/>
      <c r="E655" s="82"/>
      <c r="F655" s="506"/>
      <c r="G655" s="222"/>
      <c r="H655" s="506"/>
      <c r="I655" s="199"/>
      <c r="J655" s="506"/>
      <c r="K655" s="82"/>
      <c r="L655" s="506"/>
      <c r="M655" s="70"/>
      <c r="N655" s="70"/>
      <c r="O655" s="70"/>
      <c r="P655" s="70"/>
      <c r="Q655" s="70"/>
      <c r="R655" s="70"/>
      <c r="S655" s="70"/>
      <c r="T655" s="70"/>
      <c r="U655" s="70"/>
      <c r="V655" s="70"/>
      <c r="W655" s="70"/>
      <c r="X655" s="70"/>
      <c r="Y655" s="70"/>
    </row>
    <row r="656">
      <c r="A656" s="82"/>
      <c r="B656" s="506"/>
      <c r="C656" s="82"/>
      <c r="D656" s="506"/>
      <c r="E656" s="82"/>
      <c r="F656" s="506"/>
      <c r="G656" s="222"/>
      <c r="H656" s="506"/>
      <c r="I656" s="199"/>
      <c r="J656" s="506"/>
      <c r="K656" s="82"/>
      <c r="L656" s="506"/>
      <c r="M656" s="70"/>
      <c r="N656" s="70"/>
      <c r="O656" s="70"/>
      <c r="P656" s="70"/>
      <c r="Q656" s="70"/>
      <c r="R656" s="70"/>
      <c r="S656" s="70"/>
      <c r="T656" s="70"/>
      <c r="U656" s="70"/>
      <c r="V656" s="70"/>
      <c r="W656" s="70"/>
      <c r="X656" s="70"/>
      <c r="Y656" s="70"/>
    </row>
    <row r="657">
      <c r="A657" s="82"/>
      <c r="B657" s="506"/>
      <c r="C657" s="82"/>
      <c r="D657" s="506"/>
      <c r="E657" s="82"/>
      <c r="F657" s="506"/>
      <c r="G657" s="222"/>
      <c r="H657" s="506"/>
      <c r="I657" s="199"/>
      <c r="J657" s="506"/>
      <c r="K657" s="82"/>
      <c r="L657" s="506"/>
      <c r="M657" s="70"/>
      <c r="N657" s="70"/>
      <c r="O657" s="70"/>
      <c r="P657" s="70"/>
      <c r="Q657" s="70"/>
      <c r="R657" s="70"/>
      <c r="S657" s="70"/>
      <c r="T657" s="70"/>
      <c r="U657" s="70"/>
      <c r="V657" s="70"/>
      <c r="W657" s="70"/>
      <c r="X657" s="70"/>
      <c r="Y657" s="70"/>
    </row>
    <row r="658">
      <c r="A658" s="82"/>
      <c r="B658" s="506"/>
      <c r="C658" s="82"/>
      <c r="D658" s="506"/>
      <c r="E658" s="82"/>
      <c r="F658" s="506"/>
      <c r="G658" s="222"/>
      <c r="H658" s="506"/>
      <c r="I658" s="199"/>
      <c r="J658" s="506"/>
      <c r="K658" s="82"/>
      <c r="L658" s="506"/>
      <c r="M658" s="70"/>
      <c r="N658" s="70"/>
      <c r="O658" s="70"/>
      <c r="P658" s="70"/>
      <c r="Q658" s="70"/>
      <c r="R658" s="70"/>
      <c r="S658" s="70"/>
      <c r="T658" s="70"/>
      <c r="U658" s="70"/>
      <c r="V658" s="70"/>
      <c r="W658" s="70"/>
      <c r="X658" s="70"/>
      <c r="Y658" s="70"/>
    </row>
    <row r="659">
      <c r="A659" s="82"/>
      <c r="B659" s="506"/>
      <c r="C659" s="82"/>
      <c r="D659" s="506"/>
      <c r="E659" s="82"/>
      <c r="F659" s="506"/>
      <c r="G659" s="222"/>
      <c r="H659" s="506"/>
      <c r="I659" s="199"/>
      <c r="J659" s="506"/>
      <c r="K659" s="82"/>
      <c r="L659" s="506"/>
      <c r="M659" s="70"/>
      <c r="N659" s="70"/>
      <c r="O659" s="70"/>
      <c r="P659" s="70"/>
      <c r="Q659" s="70"/>
      <c r="R659" s="70"/>
      <c r="S659" s="70"/>
      <c r="T659" s="70"/>
      <c r="U659" s="70"/>
      <c r="V659" s="70"/>
      <c r="W659" s="70"/>
      <c r="X659" s="70"/>
      <c r="Y659" s="70"/>
    </row>
    <row r="660">
      <c r="A660" s="82"/>
      <c r="B660" s="506"/>
      <c r="C660" s="82"/>
      <c r="D660" s="506"/>
      <c r="E660" s="82"/>
      <c r="F660" s="506"/>
      <c r="G660" s="222"/>
      <c r="H660" s="506"/>
      <c r="I660" s="199"/>
      <c r="J660" s="506"/>
      <c r="K660" s="82"/>
      <c r="L660" s="506"/>
      <c r="M660" s="70"/>
      <c r="N660" s="70"/>
      <c r="O660" s="70"/>
      <c r="P660" s="70"/>
      <c r="Q660" s="70"/>
      <c r="R660" s="70"/>
      <c r="S660" s="70"/>
      <c r="T660" s="70"/>
      <c r="U660" s="70"/>
      <c r="V660" s="70"/>
      <c r="W660" s="70"/>
      <c r="X660" s="70"/>
      <c r="Y660" s="70"/>
    </row>
    <row r="661">
      <c r="A661" s="82"/>
      <c r="B661" s="506"/>
      <c r="C661" s="82"/>
      <c r="D661" s="506"/>
      <c r="E661" s="82"/>
      <c r="F661" s="506"/>
      <c r="G661" s="222"/>
      <c r="H661" s="506"/>
      <c r="I661" s="199"/>
      <c r="J661" s="506"/>
      <c r="K661" s="82"/>
      <c r="L661" s="506"/>
      <c r="M661" s="70"/>
      <c r="N661" s="70"/>
      <c r="O661" s="70"/>
      <c r="P661" s="70"/>
      <c r="Q661" s="70"/>
      <c r="R661" s="70"/>
      <c r="S661" s="70"/>
      <c r="T661" s="70"/>
      <c r="U661" s="70"/>
      <c r="V661" s="70"/>
      <c r="W661" s="70"/>
      <c r="X661" s="70"/>
      <c r="Y661" s="70"/>
    </row>
    <row r="662">
      <c r="A662" s="82"/>
      <c r="B662" s="506"/>
      <c r="C662" s="82"/>
      <c r="D662" s="506"/>
      <c r="E662" s="82"/>
      <c r="F662" s="506"/>
      <c r="G662" s="222"/>
      <c r="H662" s="506"/>
      <c r="I662" s="199"/>
      <c r="J662" s="506"/>
      <c r="K662" s="82"/>
      <c r="L662" s="506"/>
      <c r="M662" s="70"/>
      <c r="N662" s="70"/>
      <c r="O662" s="70"/>
      <c r="P662" s="70"/>
      <c r="Q662" s="70"/>
      <c r="R662" s="70"/>
      <c r="S662" s="70"/>
      <c r="T662" s="70"/>
      <c r="U662" s="70"/>
      <c r="V662" s="70"/>
      <c r="W662" s="70"/>
      <c r="X662" s="70"/>
      <c r="Y662" s="70"/>
    </row>
    <row r="663">
      <c r="A663" s="82"/>
      <c r="B663" s="506"/>
      <c r="C663" s="82"/>
      <c r="D663" s="506"/>
      <c r="E663" s="82"/>
      <c r="F663" s="506"/>
      <c r="G663" s="222"/>
      <c r="H663" s="506"/>
      <c r="I663" s="199"/>
      <c r="J663" s="506"/>
      <c r="K663" s="82"/>
      <c r="L663" s="506"/>
      <c r="M663" s="70"/>
      <c r="N663" s="70"/>
      <c r="O663" s="70"/>
      <c r="P663" s="70"/>
      <c r="Q663" s="70"/>
      <c r="R663" s="70"/>
      <c r="S663" s="70"/>
      <c r="T663" s="70"/>
      <c r="U663" s="70"/>
      <c r="V663" s="70"/>
      <c r="W663" s="70"/>
      <c r="X663" s="70"/>
      <c r="Y663" s="70"/>
    </row>
    <row r="664">
      <c r="A664" s="82"/>
      <c r="B664" s="506"/>
      <c r="C664" s="82"/>
      <c r="D664" s="506"/>
      <c r="E664" s="82"/>
      <c r="F664" s="506"/>
      <c r="G664" s="222"/>
      <c r="H664" s="506"/>
      <c r="I664" s="199"/>
      <c r="J664" s="506"/>
      <c r="K664" s="82"/>
      <c r="L664" s="506"/>
      <c r="M664" s="70"/>
      <c r="N664" s="70"/>
      <c r="O664" s="70"/>
      <c r="P664" s="70"/>
      <c r="Q664" s="70"/>
      <c r="R664" s="70"/>
      <c r="S664" s="70"/>
      <c r="T664" s="70"/>
      <c r="U664" s="70"/>
      <c r="V664" s="70"/>
      <c r="W664" s="70"/>
      <c r="X664" s="70"/>
      <c r="Y664" s="70"/>
    </row>
    <row r="665">
      <c r="A665" s="82"/>
      <c r="B665" s="506"/>
      <c r="C665" s="82"/>
      <c r="D665" s="506"/>
      <c r="E665" s="82"/>
      <c r="F665" s="506"/>
      <c r="G665" s="222"/>
      <c r="H665" s="506"/>
      <c r="I665" s="199"/>
      <c r="J665" s="506"/>
      <c r="K665" s="82"/>
      <c r="L665" s="506"/>
      <c r="M665" s="70"/>
      <c r="N665" s="70"/>
      <c r="O665" s="70"/>
      <c r="P665" s="70"/>
      <c r="Q665" s="70"/>
      <c r="R665" s="70"/>
      <c r="S665" s="70"/>
      <c r="T665" s="70"/>
      <c r="U665" s="70"/>
      <c r="V665" s="70"/>
      <c r="W665" s="70"/>
      <c r="X665" s="70"/>
      <c r="Y665" s="70"/>
    </row>
    <row r="666">
      <c r="A666" s="82"/>
      <c r="B666" s="506"/>
      <c r="C666" s="82"/>
      <c r="D666" s="506"/>
      <c r="E666" s="82"/>
      <c r="F666" s="506"/>
      <c r="G666" s="222"/>
      <c r="H666" s="506"/>
      <c r="I666" s="199"/>
      <c r="J666" s="506"/>
      <c r="K666" s="82"/>
      <c r="L666" s="506"/>
      <c r="M666" s="70"/>
      <c r="N666" s="70"/>
      <c r="O666" s="70"/>
      <c r="P666" s="70"/>
      <c r="Q666" s="70"/>
      <c r="R666" s="70"/>
      <c r="S666" s="70"/>
      <c r="T666" s="70"/>
      <c r="U666" s="70"/>
      <c r="V666" s="70"/>
      <c r="W666" s="70"/>
      <c r="X666" s="70"/>
      <c r="Y666" s="70"/>
    </row>
    <row r="667">
      <c r="A667" s="82"/>
      <c r="B667" s="506"/>
      <c r="C667" s="82"/>
      <c r="D667" s="506"/>
      <c r="E667" s="82"/>
      <c r="F667" s="506"/>
      <c r="G667" s="222"/>
      <c r="H667" s="506"/>
      <c r="I667" s="199"/>
      <c r="J667" s="506"/>
      <c r="K667" s="82"/>
      <c r="L667" s="506"/>
      <c r="M667" s="70"/>
      <c r="N667" s="70"/>
      <c r="O667" s="70"/>
      <c r="P667" s="70"/>
      <c r="Q667" s="70"/>
      <c r="R667" s="70"/>
      <c r="S667" s="70"/>
      <c r="T667" s="70"/>
      <c r="U667" s="70"/>
      <c r="V667" s="70"/>
      <c r="W667" s="70"/>
      <c r="X667" s="70"/>
      <c r="Y667" s="70"/>
    </row>
    <row r="668">
      <c r="A668" s="82"/>
      <c r="B668" s="506"/>
      <c r="C668" s="82"/>
      <c r="D668" s="506"/>
      <c r="E668" s="82"/>
      <c r="F668" s="506"/>
      <c r="G668" s="222"/>
      <c r="H668" s="506"/>
      <c r="I668" s="199"/>
      <c r="J668" s="506"/>
      <c r="K668" s="82"/>
      <c r="L668" s="506"/>
      <c r="M668" s="70"/>
      <c r="N668" s="70"/>
      <c r="O668" s="70"/>
      <c r="P668" s="70"/>
      <c r="Q668" s="70"/>
      <c r="R668" s="70"/>
      <c r="S668" s="70"/>
      <c r="T668" s="70"/>
      <c r="U668" s="70"/>
      <c r="V668" s="70"/>
      <c r="W668" s="70"/>
      <c r="X668" s="70"/>
      <c r="Y668" s="70"/>
    </row>
    <row r="669">
      <c r="A669" s="82"/>
      <c r="B669" s="506"/>
      <c r="C669" s="82"/>
      <c r="D669" s="506"/>
      <c r="E669" s="82"/>
      <c r="F669" s="506"/>
      <c r="G669" s="222"/>
      <c r="H669" s="506"/>
      <c r="I669" s="199"/>
      <c r="J669" s="506"/>
      <c r="K669" s="82"/>
      <c r="L669" s="506"/>
      <c r="M669" s="70"/>
      <c r="N669" s="70"/>
      <c r="O669" s="70"/>
      <c r="P669" s="70"/>
      <c r="Q669" s="70"/>
      <c r="R669" s="70"/>
      <c r="S669" s="70"/>
      <c r="T669" s="70"/>
      <c r="U669" s="70"/>
      <c r="V669" s="70"/>
      <c r="W669" s="70"/>
      <c r="X669" s="70"/>
      <c r="Y669" s="70"/>
    </row>
    <row r="670">
      <c r="A670" s="82"/>
      <c r="B670" s="506"/>
      <c r="C670" s="82"/>
      <c r="D670" s="506"/>
      <c r="E670" s="82"/>
      <c r="F670" s="506"/>
      <c r="G670" s="222"/>
      <c r="H670" s="506"/>
      <c r="I670" s="199"/>
      <c r="J670" s="506"/>
      <c r="K670" s="82"/>
      <c r="L670" s="506"/>
      <c r="M670" s="70"/>
      <c r="N670" s="70"/>
      <c r="O670" s="70"/>
      <c r="P670" s="70"/>
      <c r="Q670" s="70"/>
      <c r="R670" s="70"/>
      <c r="S670" s="70"/>
      <c r="T670" s="70"/>
      <c r="U670" s="70"/>
      <c r="V670" s="70"/>
      <c r="W670" s="70"/>
      <c r="X670" s="70"/>
      <c r="Y670" s="70"/>
    </row>
    <row r="671">
      <c r="A671" s="82"/>
      <c r="B671" s="506"/>
      <c r="C671" s="82"/>
      <c r="D671" s="506"/>
      <c r="E671" s="82"/>
      <c r="F671" s="506"/>
      <c r="G671" s="222"/>
      <c r="H671" s="506"/>
      <c r="I671" s="199"/>
      <c r="J671" s="506"/>
      <c r="K671" s="82"/>
      <c r="L671" s="506"/>
      <c r="M671" s="70"/>
      <c r="N671" s="70"/>
      <c r="O671" s="70"/>
      <c r="P671" s="70"/>
      <c r="Q671" s="70"/>
      <c r="R671" s="70"/>
      <c r="S671" s="70"/>
      <c r="T671" s="70"/>
      <c r="U671" s="70"/>
      <c r="V671" s="70"/>
      <c r="W671" s="70"/>
      <c r="X671" s="70"/>
      <c r="Y671" s="70"/>
    </row>
    <row r="672">
      <c r="A672" s="82"/>
      <c r="B672" s="506"/>
      <c r="C672" s="82"/>
      <c r="D672" s="506"/>
      <c r="E672" s="82"/>
      <c r="F672" s="506"/>
      <c r="G672" s="222"/>
      <c r="H672" s="506"/>
      <c r="I672" s="199"/>
      <c r="J672" s="506"/>
      <c r="K672" s="82"/>
      <c r="L672" s="506"/>
      <c r="M672" s="70"/>
      <c r="N672" s="70"/>
      <c r="O672" s="70"/>
      <c r="P672" s="70"/>
      <c r="Q672" s="70"/>
      <c r="R672" s="70"/>
      <c r="S672" s="70"/>
      <c r="T672" s="70"/>
      <c r="U672" s="70"/>
      <c r="V672" s="70"/>
      <c r="W672" s="70"/>
      <c r="X672" s="70"/>
      <c r="Y672" s="70"/>
    </row>
    <row r="673">
      <c r="A673" s="82"/>
      <c r="B673" s="506"/>
      <c r="C673" s="82"/>
      <c r="D673" s="506"/>
      <c r="E673" s="82"/>
      <c r="F673" s="506"/>
      <c r="G673" s="222"/>
      <c r="H673" s="506"/>
      <c r="I673" s="199"/>
      <c r="J673" s="506"/>
      <c r="K673" s="82"/>
      <c r="L673" s="506"/>
      <c r="M673" s="70"/>
      <c r="N673" s="70"/>
      <c r="O673" s="70"/>
      <c r="P673" s="70"/>
      <c r="Q673" s="70"/>
      <c r="R673" s="70"/>
      <c r="S673" s="70"/>
      <c r="T673" s="70"/>
      <c r="U673" s="70"/>
      <c r="V673" s="70"/>
      <c r="W673" s="70"/>
      <c r="X673" s="70"/>
      <c r="Y673" s="70"/>
    </row>
    <row r="674">
      <c r="A674" s="82"/>
      <c r="B674" s="506"/>
      <c r="C674" s="82"/>
      <c r="D674" s="506"/>
      <c r="E674" s="82"/>
      <c r="F674" s="506"/>
      <c r="G674" s="222"/>
      <c r="H674" s="506"/>
      <c r="I674" s="199"/>
      <c r="J674" s="506"/>
      <c r="K674" s="82"/>
      <c r="L674" s="506"/>
      <c r="M674" s="70"/>
      <c r="N674" s="70"/>
      <c r="O674" s="70"/>
      <c r="P674" s="70"/>
      <c r="Q674" s="70"/>
      <c r="R674" s="70"/>
      <c r="S674" s="70"/>
      <c r="T674" s="70"/>
      <c r="U674" s="70"/>
      <c r="V674" s="70"/>
      <c r="W674" s="70"/>
      <c r="X674" s="70"/>
      <c r="Y674" s="70"/>
    </row>
    <row r="675">
      <c r="A675" s="82"/>
      <c r="B675" s="506"/>
      <c r="C675" s="82"/>
      <c r="D675" s="506"/>
      <c r="E675" s="82"/>
      <c r="F675" s="506"/>
      <c r="G675" s="222"/>
      <c r="H675" s="506"/>
      <c r="I675" s="199"/>
      <c r="J675" s="506"/>
      <c r="K675" s="82"/>
      <c r="L675" s="506"/>
      <c r="M675" s="70"/>
      <c r="N675" s="70"/>
      <c r="O675" s="70"/>
      <c r="P675" s="70"/>
      <c r="Q675" s="70"/>
      <c r="R675" s="70"/>
      <c r="S675" s="70"/>
      <c r="T675" s="70"/>
      <c r="U675" s="70"/>
      <c r="V675" s="70"/>
      <c r="W675" s="70"/>
      <c r="X675" s="70"/>
      <c r="Y675" s="70"/>
    </row>
    <row r="676">
      <c r="A676" s="82"/>
      <c r="B676" s="506"/>
      <c r="C676" s="82"/>
      <c r="D676" s="506"/>
      <c r="E676" s="82"/>
      <c r="F676" s="506"/>
      <c r="G676" s="222"/>
      <c r="H676" s="506"/>
      <c r="I676" s="199"/>
      <c r="J676" s="506"/>
      <c r="K676" s="82"/>
      <c r="L676" s="506"/>
      <c r="M676" s="70"/>
      <c r="N676" s="70"/>
      <c r="O676" s="70"/>
      <c r="P676" s="70"/>
      <c r="Q676" s="70"/>
      <c r="R676" s="70"/>
      <c r="S676" s="70"/>
      <c r="T676" s="70"/>
      <c r="U676" s="70"/>
      <c r="V676" s="70"/>
      <c r="W676" s="70"/>
      <c r="X676" s="70"/>
      <c r="Y676" s="70"/>
    </row>
    <row r="677">
      <c r="A677" s="82"/>
      <c r="B677" s="506"/>
      <c r="C677" s="82"/>
      <c r="D677" s="506"/>
      <c r="E677" s="82"/>
      <c r="F677" s="506"/>
      <c r="G677" s="222"/>
      <c r="H677" s="506"/>
      <c r="I677" s="199"/>
      <c r="J677" s="506"/>
      <c r="K677" s="82"/>
      <c r="L677" s="506"/>
      <c r="M677" s="70"/>
      <c r="N677" s="70"/>
      <c r="O677" s="70"/>
      <c r="P677" s="70"/>
      <c r="Q677" s="70"/>
      <c r="R677" s="70"/>
      <c r="S677" s="70"/>
      <c r="T677" s="70"/>
      <c r="U677" s="70"/>
      <c r="V677" s="70"/>
      <c r="W677" s="70"/>
      <c r="X677" s="70"/>
      <c r="Y677" s="70"/>
    </row>
    <row r="678">
      <c r="A678" s="82"/>
      <c r="B678" s="506"/>
      <c r="C678" s="82"/>
      <c r="D678" s="506"/>
      <c r="E678" s="82"/>
      <c r="F678" s="506"/>
      <c r="G678" s="222"/>
      <c r="H678" s="506"/>
      <c r="I678" s="199"/>
      <c r="J678" s="506"/>
      <c r="K678" s="82"/>
      <c r="L678" s="506"/>
      <c r="M678" s="70"/>
      <c r="N678" s="70"/>
      <c r="O678" s="70"/>
      <c r="P678" s="70"/>
      <c r="Q678" s="70"/>
      <c r="R678" s="70"/>
      <c r="S678" s="70"/>
      <c r="T678" s="70"/>
      <c r="U678" s="70"/>
      <c r="V678" s="70"/>
      <c r="W678" s="70"/>
      <c r="X678" s="70"/>
      <c r="Y678" s="70"/>
    </row>
    <row r="679">
      <c r="A679" s="82"/>
      <c r="B679" s="506"/>
      <c r="C679" s="82"/>
      <c r="D679" s="506"/>
      <c r="E679" s="82"/>
      <c r="F679" s="506"/>
      <c r="G679" s="222"/>
      <c r="H679" s="506"/>
      <c r="I679" s="199"/>
      <c r="J679" s="506"/>
      <c r="K679" s="82"/>
      <c r="L679" s="506"/>
      <c r="M679" s="70"/>
      <c r="N679" s="70"/>
      <c r="O679" s="70"/>
      <c r="P679" s="70"/>
      <c r="Q679" s="70"/>
      <c r="R679" s="70"/>
      <c r="S679" s="70"/>
      <c r="T679" s="70"/>
      <c r="U679" s="70"/>
      <c r="V679" s="70"/>
      <c r="W679" s="70"/>
      <c r="X679" s="70"/>
      <c r="Y679" s="70"/>
    </row>
    <row r="680">
      <c r="A680" s="82"/>
      <c r="B680" s="506"/>
      <c r="C680" s="82"/>
      <c r="D680" s="506"/>
      <c r="E680" s="82"/>
      <c r="F680" s="506"/>
      <c r="G680" s="222"/>
      <c r="H680" s="506"/>
      <c r="I680" s="199"/>
      <c r="J680" s="506"/>
      <c r="K680" s="82"/>
      <c r="L680" s="506"/>
      <c r="M680" s="70"/>
      <c r="N680" s="70"/>
      <c r="O680" s="70"/>
      <c r="P680" s="70"/>
      <c r="Q680" s="70"/>
      <c r="R680" s="70"/>
      <c r="S680" s="70"/>
      <c r="T680" s="70"/>
      <c r="U680" s="70"/>
      <c r="V680" s="70"/>
      <c r="W680" s="70"/>
      <c r="X680" s="70"/>
      <c r="Y680" s="70"/>
    </row>
    <row r="681">
      <c r="A681" s="82"/>
      <c r="B681" s="506"/>
      <c r="C681" s="82"/>
      <c r="D681" s="506"/>
      <c r="E681" s="82"/>
      <c r="F681" s="506"/>
      <c r="G681" s="222"/>
      <c r="H681" s="506"/>
      <c r="I681" s="199"/>
      <c r="J681" s="506"/>
      <c r="K681" s="82"/>
      <c r="L681" s="506"/>
      <c r="M681" s="70"/>
      <c r="N681" s="70"/>
      <c r="O681" s="70"/>
      <c r="P681" s="70"/>
      <c r="Q681" s="70"/>
      <c r="R681" s="70"/>
      <c r="S681" s="70"/>
      <c r="T681" s="70"/>
      <c r="U681" s="70"/>
      <c r="V681" s="70"/>
      <c r="W681" s="70"/>
      <c r="X681" s="70"/>
      <c r="Y681" s="70"/>
    </row>
    <row r="682">
      <c r="A682" s="82"/>
      <c r="B682" s="506"/>
      <c r="C682" s="82"/>
      <c r="D682" s="506"/>
      <c r="E682" s="82"/>
      <c r="F682" s="506"/>
      <c r="G682" s="222"/>
      <c r="H682" s="506"/>
      <c r="I682" s="199"/>
      <c r="J682" s="506"/>
      <c r="K682" s="82"/>
      <c r="L682" s="506"/>
      <c r="M682" s="70"/>
      <c r="N682" s="70"/>
      <c r="O682" s="70"/>
      <c r="P682" s="70"/>
      <c r="Q682" s="70"/>
      <c r="R682" s="70"/>
      <c r="S682" s="70"/>
      <c r="T682" s="70"/>
      <c r="U682" s="70"/>
      <c r="V682" s="70"/>
      <c r="W682" s="70"/>
      <c r="X682" s="70"/>
      <c r="Y682" s="70"/>
    </row>
    <row r="683">
      <c r="A683" s="82"/>
      <c r="B683" s="506"/>
      <c r="C683" s="82"/>
      <c r="D683" s="506"/>
      <c r="E683" s="82"/>
      <c r="F683" s="506"/>
      <c r="G683" s="222"/>
      <c r="H683" s="506"/>
      <c r="I683" s="199"/>
      <c r="J683" s="506"/>
      <c r="K683" s="82"/>
      <c r="L683" s="506"/>
      <c r="M683" s="70"/>
      <c r="N683" s="70"/>
      <c r="O683" s="70"/>
      <c r="P683" s="70"/>
      <c r="Q683" s="70"/>
      <c r="R683" s="70"/>
      <c r="S683" s="70"/>
      <c r="T683" s="70"/>
      <c r="U683" s="70"/>
      <c r="V683" s="70"/>
      <c r="W683" s="70"/>
      <c r="X683" s="70"/>
      <c r="Y683" s="70"/>
    </row>
    <row r="684">
      <c r="A684" s="82"/>
      <c r="B684" s="506"/>
      <c r="C684" s="82"/>
      <c r="D684" s="506"/>
      <c r="E684" s="82"/>
      <c r="F684" s="506"/>
      <c r="G684" s="222"/>
      <c r="H684" s="506"/>
      <c r="I684" s="199"/>
      <c r="J684" s="506"/>
      <c r="K684" s="82"/>
      <c r="L684" s="506"/>
      <c r="M684" s="70"/>
      <c r="N684" s="70"/>
      <c r="O684" s="70"/>
      <c r="P684" s="70"/>
      <c r="Q684" s="70"/>
      <c r="R684" s="70"/>
      <c r="S684" s="70"/>
      <c r="T684" s="70"/>
      <c r="U684" s="70"/>
      <c r="V684" s="70"/>
      <c r="W684" s="70"/>
      <c r="X684" s="70"/>
      <c r="Y684" s="70"/>
    </row>
    <row r="685">
      <c r="A685" s="82"/>
      <c r="B685" s="506"/>
      <c r="C685" s="82"/>
      <c r="D685" s="506"/>
      <c r="E685" s="82"/>
      <c r="F685" s="506"/>
      <c r="G685" s="222"/>
      <c r="H685" s="506"/>
      <c r="I685" s="199"/>
      <c r="J685" s="506"/>
      <c r="K685" s="82"/>
      <c r="L685" s="506"/>
      <c r="M685" s="70"/>
      <c r="N685" s="70"/>
      <c r="O685" s="70"/>
      <c r="P685" s="70"/>
      <c r="Q685" s="70"/>
      <c r="R685" s="70"/>
      <c r="S685" s="70"/>
      <c r="T685" s="70"/>
      <c r="U685" s="70"/>
      <c r="V685" s="70"/>
      <c r="W685" s="70"/>
      <c r="X685" s="70"/>
      <c r="Y685" s="70"/>
    </row>
    <row r="686">
      <c r="A686" s="82"/>
      <c r="B686" s="506"/>
      <c r="C686" s="82"/>
      <c r="D686" s="506"/>
      <c r="E686" s="82"/>
      <c r="F686" s="506"/>
      <c r="G686" s="222"/>
      <c r="H686" s="506"/>
      <c r="I686" s="199"/>
      <c r="J686" s="506"/>
      <c r="K686" s="82"/>
      <c r="L686" s="506"/>
      <c r="M686" s="70"/>
      <c r="N686" s="70"/>
      <c r="O686" s="70"/>
      <c r="P686" s="70"/>
      <c r="Q686" s="70"/>
      <c r="R686" s="70"/>
      <c r="S686" s="70"/>
      <c r="T686" s="70"/>
      <c r="U686" s="70"/>
      <c r="V686" s="70"/>
      <c r="W686" s="70"/>
      <c r="X686" s="70"/>
      <c r="Y686" s="70"/>
    </row>
    <row r="687">
      <c r="A687" s="82"/>
      <c r="B687" s="506"/>
      <c r="C687" s="82"/>
      <c r="D687" s="506"/>
      <c r="E687" s="82"/>
      <c r="F687" s="506"/>
      <c r="G687" s="222"/>
      <c r="H687" s="506"/>
      <c r="I687" s="199"/>
      <c r="J687" s="506"/>
      <c r="K687" s="82"/>
      <c r="L687" s="506"/>
      <c r="M687" s="70"/>
      <c r="N687" s="70"/>
      <c r="O687" s="70"/>
      <c r="P687" s="70"/>
      <c r="Q687" s="70"/>
      <c r="R687" s="70"/>
      <c r="S687" s="70"/>
      <c r="T687" s="70"/>
      <c r="U687" s="70"/>
      <c r="V687" s="70"/>
      <c r="W687" s="70"/>
      <c r="X687" s="70"/>
      <c r="Y687" s="70"/>
    </row>
    <row r="688">
      <c r="A688" s="82"/>
      <c r="B688" s="506"/>
      <c r="C688" s="82"/>
      <c r="D688" s="506"/>
      <c r="E688" s="82"/>
      <c r="F688" s="506"/>
      <c r="G688" s="222"/>
      <c r="H688" s="506"/>
      <c r="I688" s="199"/>
      <c r="J688" s="506"/>
      <c r="K688" s="82"/>
      <c r="L688" s="506"/>
      <c r="M688" s="70"/>
      <c r="N688" s="70"/>
      <c r="O688" s="70"/>
      <c r="P688" s="70"/>
      <c r="Q688" s="70"/>
      <c r="R688" s="70"/>
      <c r="S688" s="70"/>
      <c r="T688" s="70"/>
      <c r="U688" s="70"/>
      <c r="V688" s="70"/>
      <c r="W688" s="70"/>
      <c r="X688" s="70"/>
      <c r="Y688" s="70"/>
    </row>
    <row r="689">
      <c r="A689" s="82"/>
      <c r="B689" s="506"/>
      <c r="C689" s="82"/>
      <c r="D689" s="506"/>
      <c r="E689" s="82"/>
      <c r="F689" s="506"/>
      <c r="G689" s="222"/>
      <c r="H689" s="506"/>
      <c r="I689" s="199"/>
      <c r="J689" s="506"/>
      <c r="K689" s="82"/>
      <c r="L689" s="506"/>
      <c r="M689" s="70"/>
      <c r="N689" s="70"/>
      <c r="O689" s="70"/>
      <c r="P689" s="70"/>
      <c r="Q689" s="70"/>
      <c r="R689" s="70"/>
      <c r="S689" s="70"/>
      <c r="T689" s="70"/>
      <c r="U689" s="70"/>
      <c r="V689" s="70"/>
      <c r="W689" s="70"/>
      <c r="X689" s="70"/>
      <c r="Y689" s="70"/>
    </row>
    <row r="690">
      <c r="A690" s="82"/>
      <c r="B690" s="506"/>
      <c r="C690" s="82"/>
      <c r="D690" s="506"/>
      <c r="E690" s="82"/>
      <c r="F690" s="506"/>
      <c r="G690" s="222"/>
      <c r="H690" s="506"/>
      <c r="I690" s="199"/>
      <c r="J690" s="506"/>
      <c r="K690" s="82"/>
      <c r="L690" s="506"/>
      <c r="M690" s="70"/>
      <c r="N690" s="70"/>
      <c r="O690" s="70"/>
      <c r="P690" s="70"/>
      <c r="Q690" s="70"/>
      <c r="R690" s="70"/>
      <c r="S690" s="70"/>
      <c r="T690" s="70"/>
      <c r="U690" s="70"/>
      <c r="V690" s="70"/>
      <c r="W690" s="70"/>
      <c r="X690" s="70"/>
      <c r="Y690" s="70"/>
    </row>
    <row r="691">
      <c r="A691" s="82"/>
      <c r="B691" s="506"/>
      <c r="C691" s="82"/>
      <c r="D691" s="506"/>
      <c r="E691" s="82"/>
      <c r="F691" s="506"/>
      <c r="G691" s="222"/>
      <c r="H691" s="506"/>
      <c r="I691" s="199"/>
      <c r="J691" s="506"/>
      <c r="K691" s="82"/>
      <c r="L691" s="506"/>
      <c r="M691" s="70"/>
      <c r="N691" s="70"/>
      <c r="O691" s="70"/>
      <c r="P691" s="70"/>
      <c r="Q691" s="70"/>
      <c r="R691" s="70"/>
      <c r="S691" s="70"/>
      <c r="T691" s="70"/>
      <c r="U691" s="70"/>
      <c r="V691" s="70"/>
      <c r="W691" s="70"/>
      <c r="X691" s="70"/>
      <c r="Y691" s="70"/>
    </row>
    <row r="692">
      <c r="A692" s="82"/>
      <c r="B692" s="506"/>
      <c r="C692" s="82"/>
      <c r="D692" s="506"/>
      <c r="E692" s="82"/>
      <c r="F692" s="506"/>
      <c r="G692" s="222"/>
      <c r="H692" s="506"/>
      <c r="I692" s="199"/>
      <c r="J692" s="506"/>
      <c r="K692" s="82"/>
      <c r="L692" s="506"/>
      <c r="M692" s="70"/>
      <c r="N692" s="70"/>
      <c r="O692" s="70"/>
      <c r="P692" s="70"/>
      <c r="Q692" s="70"/>
      <c r="R692" s="70"/>
      <c r="S692" s="70"/>
      <c r="T692" s="70"/>
      <c r="U692" s="70"/>
      <c r="V692" s="70"/>
      <c r="W692" s="70"/>
      <c r="X692" s="70"/>
      <c r="Y692" s="70"/>
    </row>
    <row r="693">
      <c r="A693" s="82"/>
      <c r="B693" s="506"/>
      <c r="C693" s="82"/>
      <c r="D693" s="506"/>
      <c r="E693" s="82"/>
      <c r="F693" s="506"/>
      <c r="G693" s="222"/>
      <c r="H693" s="506"/>
      <c r="I693" s="199"/>
      <c r="J693" s="506"/>
      <c r="K693" s="82"/>
      <c r="L693" s="506"/>
      <c r="M693" s="70"/>
      <c r="N693" s="70"/>
      <c r="O693" s="70"/>
      <c r="P693" s="70"/>
      <c r="Q693" s="70"/>
      <c r="R693" s="70"/>
      <c r="S693" s="70"/>
      <c r="T693" s="70"/>
      <c r="U693" s="70"/>
      <c r="V693" s="70"/>
      <c r="W693" s="70"/>
      <c r="X693" s="70"/>
      <c r="Y693" s="70"/>
    </row>
    <row r="694">
      <c r="A694" s="82"/>
      <c r="B694" s="506"/>
      <c r="C694" s="82"/>
      <c r="D694" s="506"/>
      <c r="E694" s="82"/>
      <c r="F694" s="506"/>
      <c r="G694" s="222"/>
      <c r="H694" s="506"/>
      <c r="I694" s="199"/>
      <c r="J694" s="506"/>
      <c r="K694" s="82"/>
      <c r="L694" s="506"/>
      <c r="M694" s="70"/>
      <c r="N694" s="70"/>
      <c r="O694" s="70"/>
      <c r="P694" s="70"/>
      <c r="Q694" s="70"/>
      <c r="R694" s="70"/>
      <c r="S694" s="70"/>
      <c r="T694" s="70"/>
      <c r="U694" s="70"/>
      <c r="V694" s="70"/>
      <c r="W694" s="70"/>
      <c r="X694" s="70"/>
      <c r="Y694" s="70"/>
    </row>
    <row r="695">
      <c r="A695" s="82"/>
      <c r="B695" s="506"/>
      <c r="C695" s="82"/>
      <c r="D695" s="506"/>
      <c r="E695" s="82"/>
      <c r="F695" s="506"/>
      <c r="G695" s="222"/>
      <c r="H695" s="506"/>
      <c r="I695" s="199"/>
      <c r="J695" s="506"/>
      <c r="K695" s="82"/>
      <c r="L695" s="506"/>
      <c r="M695" s="70"/>
      <c r="N695" s="70"/>
      <c r="O695" s="70"/>
      <c r="P695" s="70"/>
      <c r="Q695" s="70"/>
      <c r="R695" s="70"/>
      <c r="S695" s="70"/>
      <c r="T695" s="70"/>
      <c r="U695" s="70"/>
      <c r="V695" s="70"/>
      <c r="W695" s="70"/>
      <c r="X695" s="70"/>
      <c r="Y695" s="70"/>
    </row>
    <row r="696">
      <c r="A696" s="82"/>
      <c r="B696" s="506"/>
      <c r="C696" s="82"/>
      <c r="D696" s="506"/>
      <c r="E696" s="82"/>
      <c r="F696" s="506"/>
      <c r="G696" s="222"/>
      <c r="H696" s="506"/>
      <c r="I696" s="199"/>
      <c r="J696" s="506"/>
      <c r="K696" s="82"/>
      <c r="L696" s="506"/>
      <c r="M696" s="70"/>
      <c r="N696" s="70"/>
      <c r="O696" s="70"/>
      <c r="P696" s="70"/>
      <c r="Q696" s="70"/>
      <c r="R696" s="70"/>
      <c r="S696" s="70"/>
      <c r="T696" s="70"/>
      <c r="U696" s="70"/>
      <c r="V696" s="70"/>
      <c r="W696" s="70"/>
      <c r="X696" s="70"/>
      <c r="Y696" s="70"/>
    </row>
    <row r="697">
      <c r="A697" s="82"/>
      <c r="B697" s="506"/>
      <c r="C697" s="82"/>
      <c r="D697" s="506"/>
      <c r="E697" s="82"/>
      <c r="F697" s="506"/>
      <c r="G697" s="222"/>
      <c r="H697" s="506"/>
      <c r="I697" s="199"/>
      <c r="J697" s="506"/>
      <c r="K697" s="82"/>
      <c r="L697" s="506"/>
      <c r="M697" s="70"/>
      <c r="N697" s="70"/>
      <c r="O697" s="70"/>
      <c r="P697" s="70"/>
      <c r="Q697" s="70"/>
      <c r="R697" s="70"/>
      <c r="S697" s="70"/>
      <c r="T697" s="70"/>
      <c r="U697" s="70"/>
      <c r="V697" s="70"/>
      <c r="W697" s="70"/>
      <c r="X697" s="70"/>
      <c r="Y697" s="70"/>
    </row>
    <row r="698">
      <c r="A698" s="82"/>
      <c r="B698" s="506"/>
      <c r="C698" s="82"/>
      <c r="D698" s="506"/>
      <c r="E698" s="82"/>
      <c r="F698" s="506"/>
      <c r="G698" s="222"/>
      <c r="H698" s="506"/>
      <c r="I698" s="199"/>
      <c r="J698" s="506"/>
      <c r="K698" s="82"/>
      <c r="L698" s="506"/>
      <c r="M698" s="70"/>
      <c r="N698" s="70"/>
      <c r="O698" s="70"/>
      <c r="P698" s="70"/>
      <c r="Q698" s="70"/>
      <c r="R698" s="70"/>
      <c r="S698" s="70"/>
      <c r="T698" s="70"/>
      <c r="U698" s="70"/>
      <c r="V698" s="70"/>
      <c r="W698" s="70"/>
      <c r="X698" s="70"/>
      <c r="Y698" s="70"/>
    </row>
    <row r="699">
      <c r="A699" s="82"/>
      <c r="B699" s="506"/>
      <c r="C699" s="82"/>
      <c r="D699" s="506"/>
      <c r="E699" s="82"/>
      <c r="F699" s="506"/>
      <c r="G699" s="222"/>
      <c r="H699" s="506"/>
      <c r="I699" s="199"/>
      <c r="J699" s="506"/>
      <c r="K699" s="82"/>
      <c r="L699" s="506"/>
      <c r="M699" s="70"/>
      <c r="N699" s="70"/>
      <c r="O699" s="70"/>
      <c r="P699" s="70"/>
      <c r="Q699" s="70"/>
      <c r="R699" s="70"/>
      <c r="S699" s="70"/>
      <c r="T699" s="70"/>
      <c r="U699" s="70"/>
      <c r="V699" s="70"/>
      <c r="W699" s="70"/>
      <c r="X699" s="70"/>
      <c r="Y699" s="70"/>
    </row>
    <row r="700">
      <c r="A700" s="82"/>
      <c r="B700" s="506"/>
      <c r="C700" s="82"/>
      <c r="D700" s="506"/>
      <c r="E700" s="82"/>
      <c r="F700" s="506"/>
      <c r="G700" s="222"/>
      <c r="H700" s="506"/>
      <c r="I700" s="199"/>
      <c r="J700" s="506"/>
      <c r="K700" s="82"/>
      <c r="L700" s="506"/>
      <c r="M700" s="70"/>
      <c r="N700" s="70"/>
      <c r="O700" s="70"/>
      <c r="P700" s="70"/>
      <c r="Q700" s="70"/>
      <c r="R700" s="70"/>
      <c r="S700" s="70"/>
      <c r="T700" s="70"/>
      <c r="U700" s="70"/>
      <c r="V700" s="70"/>
      <c r="W700" s="70"/>
      <c r="X700" s="70"/>
      <c r="Y700" s="70"/>
    </row>
    <row r="701">
      <c r="A701" s="82"/>
      <c r="B701" s="506"/>
      <c r="C701" s="82"/>
      <c r="D701" s="506"/>
      <c r="E701" s="82"/>
      <c r="F701" s="506"/>
      <c r="G701" s="222"/>
      <c r="H701" s="506"/>
      <c r="I701" s="199"/>
      <c r="J701" s="506"/>
      <c r="K701" s="82"/>
      <c r="L701" s="506"/>
      <c r="M701" s="70"/>
      <c r="N701" s="70"/>
      <c r="O701" s="70"/>
      <c r="P701" s="70"/>
      <c r="Q701" s="70"/>
      <c r="R701" s="70"/>
      <c r="S701" s="70"/>
      <c r="T701" s="70"/>
      <c r="U701" s="70"/>
      <c r="V701" s="70"/>
      <c r="W701" s="70"/>
      <c r="X701" s="70"/>
      <c r="Y701" s="70"/>
    </row>
    <row r="702">
      <c r="A702" s="82"/>
      <c r="B702" s="506"/>
      <c r="C702" s="82"/>
      <c r="D702" s="506"/>
      <c r="E702" s="82"/>
      <c r="F702" s="506"/>
      <c r="G702" s="222"/>
      <c r="H702" s="506"/>
      <c r="I702" s="199"/>
      <c r="J702" s="506"/>
      <c r="K702" s="82"/>
      <c r="L702" s="506"/>
      <c r="M702" s="70"/>
      <c r="N702" s="70"/>
      <c r="O702" s="70"/>
      <c r="P702" s="70"/>
      <c r="Q702" s="70"/>
      <c r="R702" s="70"/>
      <c r="S702" s="70"/>
      <c r="T702" s="70"/>
      <c r="U702" s="70"/>
      <c r="V702" s="70"/>
      <c r="W702" s="70"/>
      <c r="X702" s="70"/>
      <c r="Y702" s="70"/>
    </row>
    <row r="703">
      <c r="A703" s="82"/>
      <c r="B703" s="506"/>
      <c r="C703" s="82"/>
      <c r="D703" s="506"/>
      <c r="E703" s="82"/>
      <c r="F703" s="506"/>
      <c r="G703" s="222"/>
      <c r="H703" s="506"/>
      <c r="I703" s="199"/>
      <c r="J703" s="506"/>
      <c r="K703" s="82"/>
      <c r="L703" s="506"/>
      <c r="M703" s="70"/>
      <c r="N703" s="70"/>
      <c r="O703" s="70"/>
      <c r="P703" s="70"/>
      <c r="Q703" s="70"/>
      <c r="R703" s="70"/>
      <c r="S703" s="70"/>
      <c r="T703" s="70"/>
      <c r="U703" s="70"/>
      <c r="V703" s="70"/>
      <c r="W703" s="70"/>
      <c r="X703" s="70"/>
      <c r="Y703" s="70"/>
    </row>
    <row r="704">
      <c r="A704" s="82"/>
      <c r="B704" s="506"/>
      <c r="C704" s="82"/>
      <c r="D704" s="506"/>
      <c r="E704" s="82"/>
      <c r="F704" s="506"/>
      <c r="G704" s="222"/>
      <c r="H704" s="506"/>
      <c r="I704" s="199"/>
      <c r="J704" s="506"/>
      <c r="K704" s="82"/>
      <c r="L704" s="506"/>
      <c r="M704" s="70"/>
      <c r="N704" s="70"/>
      <c r="O704" s="70"/>
      <c r="P704" s="70"/>
      <c r="Q704" s="70"/>
      <c r="R704" s="70"/>
      <c r="S704" s="70"/>
      <c r="T704" s="70"/>
      <c r="U704" s="70"/>
      <c r="V704" s="70"/>
      <c r="W704" s="70"/>
      <c r="X704" s="70"/>
      <c r="Y704" s="70"/>
    </row>
    <row r="705">
      <c r="A705" s="82"/>
      <c r="B705" s="506"/>
      <c r="C705" s="82"/>
      <c r="D705" s="506"/>
      <c r="E705" s="82"/>
      <c r="F705" s="506"/>
      <c r="G705" s="222"/>
      <c r="H705" s="506"/>
      <c r="I705" s="199"/>
      <c r="J705" s="506"/>
      <c r="K705" s="82"/>
      <c r="L705" s="506"/>
      <c r="M705" s="70"/>
      <c r="N705" s="70"/>
      <c r="O705" s="70"/>
      <c r="P705" s="70"/>
      <c r="Q705" s="70"/>
      <c r="R705" s="70"/>
      <c r="S705" s="70"/>
      <c r="T705" s="70"/>
      <c r="U705" s="70"/>
      <c r="V705" s="70"/>
      <c r="W705" s="70"/>
      <c r="X705" s="70"/>
      <c r="Y705" s="70"/>
    </row>
    <row r="706">
      <c r="A706" s="82"/>
      <c r="B706" s="506"/>
      <c r="C706" s="82"/>
      <c r="D706" s="506"/>
      <c r="E706" s="82"/>
      <c r="F706" s="506"/>
      <c r="G706" s="222"/>
      <c r="H706" s="506"/>
      <c r="I706" s="199"/>
      <c r="J706" s="506"/>
      <c r="K706" s="82"/>
      <c r="L706" s="506"/>
      <c r="M706" s="70"/>
      <c r="N706" s="70"/>
      <c r="O706" s="70"/>
      <c r="P706" s="70"/>
      <c r="Q706" s="70"/>
      <c r="R706" s="70"/>
      <c r="S706" s="70"/>
      <c r="T706" s="70"/>
      <c r="U706" s="70"/>
      <c r="V706" s="70"/>
      <c r="W706" s="70"/>
      <c r="X706" s="70"/>
      <c r="Y706" s="70"/>
    </row>
    <row r="707">
      <c r="A707" s="82"/>
      <c r="B707" s="506"/>
      <c r="C707" s="82"/>
      <c r="D707" s="506"/>
      <c r="E707" s="82"/>
      <c r="F707" s="506"/>
      <c r="G707" s="222"/>
      <c r="H707" s="506"/>
      <c r="I707" s="199"/>
      <c r="J707" s="506"/>
      <c r="K707" s="82"/>
      <c r="L707" s="506"/>
      <c r="M707" s="70"/>
      <c r="N707" s="70"/>
      <c r="O707" s="70"/>
      <c r="P707" s="70"/>
      <c r="Q707" s="70"/>
      <c r="R707" s="70"/>
      <c r="S707" s="70"/>
      <c r="T707" s="70"/>
      <c r="U707" s="70"/>
      <c r="V707" s="70"/>
      <c r="W707" s="70"/>
      <c r="X707" s="70"/>
      <c r="Y707" s="70"/>
    </row>
    <row r="708">
      <c r="A708" s="82"/>
      <c r="B708" s="506"/>
      <c r="C708" s="82"/>
      <c r="D708" s="506"/>
      <c r="E708" s="82"/>
      <c r="F708" s="506"/>
      <c r="G708" s="222"/>
      <c r="H708" s="506"/>
      <c r="I708" s="199"/>
      <c r="J708" s="506"/>
      <c r="K708" s="82"/>
      <c r="L708" s="506"/>
      <c r="M708" s="70"/>
      <c r="N708" s="70"/>
      <c r="O708" s="70"/>
      <c r="P708" s="70"/>
      <c r="Q708" s="70"/>
      <c r="R708" s="70"/>
      <c r="S708" s="70"/>
      <c r="T708" s="70"/>
      <c r="U708" s="70"/>
      <c r="V708" s="70"/>
      <c r="W708" s="70"/>
      <c r="X708" s="70"/>
      <c r="Y708" s="70"/>
    </row>
    <row r="709">
      <c r="A709" s="82"/>
      <c r="B709" s="506"/>
      <c r="C709" s="82"/>
      <c r="D709" s="506"/>
      <c r="E709" s="82"/>
      <c r="F709" s="506"/>
      <c r="G709" s="222"/>
      <c r="H709" s="506"/>
      <c r="I709" s="199"/>
      <c r="J709" s="506"/>
      <c r="K709" s="82"/>
      <c r="L709" s="506"/>
      <c r="M709" s="70"/>
      <c r="N709" s="70"/>
      <c r="O709" s="70"/>
      <c r="P709" s="70"/>
      <c r="Q709" s="70"/>
      <c r="R709" s="70"/>
      <c r="S709" s="70"/>
      <c r="T709" s="70"/>
      <c r="U709" s="70"/>
      <c r="V709" s="70"/>
      <c r="W709" s="70"/>
      <c r="X709" s="70"/>
      <c r="Y709" s="70"/>
    </row>
    <row r="710">
      <c r="A710" s="82"/>
      <c r="B710" s="506"/>
      <c r="C710" s="82"/>
      <c r="D710" s="506"/>
      <c r="E710" s="82"/>
      <c r="F710" s="506"/>
      <c r="G710" s="222"/>
      <c r="H710" s="506"/>
      <c r="I710" s="199"/>
      <c r="J710" s="506"/>
      <c r="K710" s="82"/>
      <c r="L710" s="506"/>
      <c r="M710" s="70"/>
      <c r="N710" s="70"/>
      <c r="O710" s="70"/>
      <c r="P710" s="70"/>
      <c r="Q710" s="70"/>
      <c r="R710" s="70"/>
      <c r="S710" s="70"/>
      <c r="T710" s="70"/>
      <c r="U710" s="70"/>
      <c r="V710" s="70"/>
      <c r="W710" s="70"/>
      <c r="X710" s="70"/>
      <c r="Y710" s="70"/>
    </row>
    <row r="711">
      <c r="A711" s="82"/>
      <c r="B711" s="506"/>
      <c r="C711" s="82"/>
      <c r="D711" s="506"/>
      <c r="E711" s="82"/>
      <c r="F711" s="506"/>
      <c r="G711" s="222"/>
      <c r="H711" s="506"/>
      <c r="I711" s="199"/>
      <c r="J711" s="506"/>
      <c r="K711" s="82"/>
      <c r="L711" s="506"/>
      <c r="M711" s="70"/>
      <c r="N711" s="70"/>
      <c r="O711" s="70"/>
      <c r="P711" s="70"/>
      <c r="Q711" s="70"/>
      <c r="R711" s="70"/>
      <c r="S711" s="70"/>
      <c r="T711" s="70"/>
      <c r="U711" s="70"/>
      <c r="V711" s="70"/>
      <c r="W711" s="70"/>
      <c r="X711" s="70"/>
      <c r="Y711" s="70"/>
    </row>
    <row r="712">
      <c r="A712" s="82"/>
      <c r="B712" s="506"/>
      <c r="C712" s="82"/>
      <c r="D712" s="506"/>
      <c r="E712" s="82"/>
      <c r="F712" s="506"/>
      <c r="G712" s="222"/>
      <c r="H712" s="506"/>
      <c r="I712" s="199"/>
      <c r="J712" s="506"/>
      <c r="K712" s="82"/>
      <c r="L712" s="506"/>
      <c r="M712" s="70"/>
      <c r="N712" s="70"/>
      <c r="O712" s="70"/>
      <c r="P712" s="70"/>
      <c r="Q712" s="70"/>
      <c r="R712" s="70"/>
      <c r="S712" s="70"/>
      <c r="T712" s="70"/>
      <c r="U712" s="70"/>
      <c r="V712" s="70"/>
      <c r="W712" s="70"/>
      <c r="X712" s="70"/>
      <c r="Y712" s="70"/>
    </row>
    <row r="713">
      <c r="A713" s="82"/>
      <c r="B713" s="506"/>
      <c r="C713" s="82"/>
      <c r="D713" s="506"/>
      <c r="E713" s="82"/>
      <c r="F713" s="506"/>
      <c r="G713" s="222"/>
      <c r="H713" s="506"/>
      <c r="I713" s="199"/>
      <c r="J713" s="506"/>
      <c r="K713" s="82"/>
      <c r="L713" s="506"/>
      <c r="M713" s="70"/>
      <c r="N713" s="70"/>
      <c r="O713" s="70"/>
      <c r="P713" s="70"/>
      <c r="Q713" s="70"/>
      <c r="R713" s="70"/>
      <c r="S713" s="70"/>
      <c r="T713" s="70"/>
      <c r="U713" s="70"/>
      <c r="V713" s="70"/>
      <c r="W713" s="70"/>
      <c r="X713" s="70"/>
      <c r="Y713" s="70"/>
    </row>
    <row r="714">
      <c r="A714" s="82"/>
      <c r="B714" s="506"/>
      <c r="C714" s="82"/>
      <c r="D714" s="506"/>
      <c r="E714" s="82"/>
      <c r="F714" s="506"/>
      <c r="G714" s="222"/>
      <c r="H714" s="506"/>
      <c r="I714" s="199"/>
      <c r="J714" s="506"/>
      <c r="K714" s="82"/>
      <c r="L714" s="506"/>
      <c r="M714" s="70"/>
      <c r="N714" s="70"/>
      <c r="O714" s="70"/>
      <c r="P714" s="70"/>
      <c r="Q714" s="70"/>
      <c r="R714" s="70"/>
      <c r="S714" s="70"/>
      <c r="T714" s="70"/>
      <c r="U714" s="70"/>
      <c r="V714" s="70"/>
      <c r="W714" s="70"/>
      <c r="X714" s="70"/>
      <c r="Y714" s="70"/>
    </row>
    <row r="715">
      <c r="A715" s="82"/>
      <c r="B715" s="506"/>
      <c r="C715" s="82"/>
      <c r="D715" s="506"/>
      <c r="E715" s="82"/>
      <c r="F715" s="506"/>
      <c r="G715" s="222"/>
      <c r="H715" s="506"/>
      <c r="I715" s="199"/>
      <c r="J715" s="506"/>
      <c r="K715" s="82"/>
      <c r="L715" s="506"/>
      <c r="M715" s="70"/>
      <c r="N715" s="70"/>
      <c r="O715" s="70"/>
      <c r="P715" s="70"/>
      <c r="Q715" s="70"/>
      <c r="R715" s="70"/>
      <c r="S715" s="70"/>
      <c r="T715" s="70"/>
      <c r="U715" s="70"/>
      <c r="V715" s="70"/>
      <c r="W715" s="70"/>
      <c r="X715" s="70"/>
      <c r="Y715" s="70"/>
    </row>
    <row r="716">
      <c r="A716" s="82"/>
      <c r="B716" s="506"/>
      <c r="C716" s="82"/>
      <c r="D716" s="506"/>
      <c r="E716" s="82"/>
      <c r="F716" s="506"/>
      <c r="G716" s="222"/>
      <c r="H716" s="506"/>
      <c r="I716" s="199"/>
      <c r="J716" s="506"/>
      <c r="K716" s="82"/>
      <c r="L716" s="506"/>
      <c r="M716" s="70"/>
      <c r="N716" s="70"/>
      <c r="O716" s="70"/>
      <c r="P716" s="70"/>
      <c r="Q716" s="70"/>
      <c r="R716" s="70"/>
      <c r="S716" s="70"/>
      <c r="T716" s="70"/>
      <c r="U716" s="70"/>
      <c r="V716" s="70"/>
      <c r="W716" s="70"/>
      <c r="X716" s="70"/>
      <c r="Y716" s="70"/>
    </row>
    <row r="717">
      <c r="A717" s="82"/>
      <c r="B717" s="506"/>
      <c r="C717" s="82"/>
      <c r="D717" s="506"/>
      <c r="E717" s="82"/>
      <c r="F717" s="506"/>
      <c r="G717" s="222"/>
      <c r="H717" s="506"/>
      <c r="I717" s="199"/>
      <c r="J717" s="506"/>
      <c r="K717" s="82"/>
      <c r="L717" s="506"/>
      <c r="M717" s="70"/>
      <c r="N717" s="70"/>
      <c r="O717" s="70"/>
      <c r="P717" s="70"/>
      <c r="Q717" s="70"/>
      <c r="R717" s="70"/>
      <c r="S717" s="70"/>
      <c r="T717" s="70"/>
      <c r="U717" s="70"/>
      <c r="V717" s="70"/>
      <c r="W717" s="70"/>
      <c r="X717" s="70"/>
      <c r="Y717" s="70"/>
    </row>
    <row r="718">
      <c r="A718" s="82"/>
      <c r="B718" s="506"/>
      <c r="C718" s="82"/>
      <c r="D718" s="506"/>
      <c r="E718" s="82"/>
      <c r="F718" s="506"/>
      <c r="G718" s="222"/>
      <c r="H718" s="506"/>
      <c r="I718" s="199"/>
      <c r="J718" s="506"/>
      <c r="K718" s="82"/>
      <c r="L718" s="506"/>
      <c r="M718" s="70"/>
      <c r="N718" s="70"/>
      <c r="O718" s="70"/>
      <c r="P718" s="70"/>
      <c r="Q718" s="70"/>
      <c r="R718" s="70"/>
      <c r="S718" s="70"/>
      <c r="T718" s="70"/>
      <c r="U718" s="70"/>
      <c r="V718" s="70"/>
      <c r="W718" s="70"/>
      <c r="X718" s="70"/>
      <c r="Y718" s="70"/>
    </row>
    <row r="719">
      <c r="A719" s="82"/>
      <c r="B719" s="506"/>
      <c r="C719" s="82"/>
      <c r="D719" s="506"/>
      <c r="E719" s="82"/>
      <c r="F719" s="506"/>
      <c r="G719" s="222"/>
      <c r="H719" s="506"/>
      <c r="I719" s="199"/>
      <c r="J719" s="506"/>
      <c r="K719" s="82"/>
      <c r="L719" s="506"/>
      <c r="M719" s="70"/>
      <c r="N719" s="70"/>
      <c r="O719" s="70"/>
      <c r="P719" s="70"/>
      <c r="Q719" s="70"/>
      <c r="R719" s="70"/>
      <c r="S719" s="70"/>
      <c r="T719" s="70"/>
      <c r="U719" s="70"/>
      <c r="V719" s="70"/>
      <c r="W719" s="70"/>
      <c r="X719" s="70"/>
      <c r="Y719" s="70"/>
    </row>
    <row r="720">
      <c r="A720" s="82"/>
      <c r="B720" s="506"/>
      <c r="C720" s="82"/>
      <c r="D720" s="506"/>
      <c r="E720" s="82"/>
      <c r="F720" s="506"/>
      <c r="G720" s="222"/>
      <c r="H720" s="506"/>
      <c r="I720" s="199"/>
      <c r="J720" s="506"/>
      <c r="K720" s="82"/>
      <c r="L720" s="506"/>
      <c r="M720" s="70"/>
      <c r="N720" s="70"/>
      <c r="O720" s="70"/>
      <c r="P720" s="70"/>
      <c r="Q720" s="70"/>
      <c r="R720" s="70"/>
      <c r="S720" s="70"/>
      <c r="T720" s="70"/>
      <c r="U720" s="70"/>
      <c r="V720" s="70"/>
      <c r="W720" s="70"/>
      <c r="X720" s="70"/>
      <c r="Y720" s="70"/>
    </row>
    <row r="721">
      <c r="A721" s="82"/>
      <c r="B721" s="506"/>
      <c r="C721" s="82"/>
      <c r="D721" s="506"/>
      <c r="E721" s="82"/>
      <c r="F721" s="506"/>
      <c r="G721" s="222"/>
      <c r="H721" s="506"/>
      <c r="I721" s="199"/>
      <c r="J721" s="506"/>
      <c r="K721" s="82"/>
      <c r="L721" s="506"/>
      <c r="M721" s="70"/>
      <c r="N721" s="70"/>
      <c r="O721" s="70"/>
      <c r="P721" s="70"/>
      <c r="Q721" s="70"/>
      <c r="R721" s="70"/>
      <c r="S721" s="70"/>
      <c r="T721" s="70"/>
      <c r="U721" s="70"/>
      <c r="V721" s="70"/>
      <c r="W721" s="70"/>
      <c r="X721" s="70"/>
      <c r="Y721" s="70"/>
    </row>
    <row r="722">
      <c r="A722" s="82"/>
      <c r="B722" s="506"/>
      <c r="C722" s="82"/>
      <c r="D722" s="506"/>
      <c r="E722" s="82"/>
      <c r="F722" s="506"/>
      <c r="G722" s="222"/>
      <c r="H722" s="506"/>
      <c r="I722" s="199"/>
      <c r="J722" s="506"/>
      <c r="K722" s="82"/>
      <c r="L722" s="506"/>
      <c r="M722" s="70"/>
      <c r="N722" s="70"/>
      <c r="O722" s="70"/>
      <c r="P722" s="70"/>
      <c r="Q722" s="70"/>
      <c r="R722" s="70"/>
      <c r="S722" s="70"/>
      <c r="T722" s="70"/>
      <c r="U722" s="70"/>
      <c r="V722" s="70"/>
      <c r="W722" s="70"/>
      <c r="X722" s="70"/>
      <c r="Y722" s="70"/>
    </row>
    <row r="723">
      <c r="A723" s="82"/>
      <c r="B723" s="506"/>
      <c r="C723" s="82"/>
      <c r="D723" s="506"/>
      <c r="E723" s="82"/>
      <c r="F723" s="506"/>
      <c r="G723" s="222"/>
      <c r="H723" s="506"/>
      <c r="I723" s="199"/>
      <c r="J723" s="506"/>
      <c r="K723" s="82"/>
      <c r="L723" s="506"/>
      <c r="M723" s="70"/>
      <c r="N723" s="70"/>
      <c r="O723" s="70"/>
      <c r="P723" s="70"/>
      <c r="Q723" s="70"/>
      <c r="R723" s="70"/>
      <c r="S723" s="70"/>
      <c r="T723" s="70"/>
      <c r="U723" s="70"/>
      <c r="V723" s="70"/>
      <c r="W723" s="70"/>
      <c r="X723" s="70"/>
      <c r="Y723" s="70"/>
    </row>
    <row r="724">
      <c r="A724" s="82"/>
      <c r="B724" s="506"/>
      <c r="C724" s="82"/>
      <c r="D724" s="506"/>
      <c r="E724" s="82"/>
      <c r="F724" s="506"/>
      <c r="G724" s="222"/>
      <c r="H724" s="506"/>
      <c r="I724" s="199"/>
      <c r="J724" s="506"/>
      <c r="K724" s="82"/>
      <c r="L724" s="506"/>
      <c r="M724" s="70"/>
      <c r="N724" s="70"/>
      <c r="O724" s="70"/>
      <c r="P724" s="70"/>
      <c r="Q724" s="70"/>
      <c r="R724" s="70"/>
      <c r="S724" s="70"/>
      <c r="T724" s="70"/>
      <c r="U724" s="70"/>
      <c r="V724" s="70"/>
      <c r="W724" s="70"/>
      <c r="X724" s="70"/>
      <c r="Y724" s="70"/>
    </row>
    <row r="725">
      <c r="A725" s="82"/>
      <c r="B725" s="506"/>
      <c r="C725" s="82"/>
      <c r="D725" s="506"/>
      <c r="E725" s="82"/>
      <c r="F725" s="506"/>
      <c r="G725" s="222"/>
      <c r="H725" s="506"/>
      <c r="I725" s="199"/>
      <c r="J725" s="506"/>
      <c r="K725" s="82"/>
      <c r="L725" s="506"/>
      <c r="M725" s="70"/>
      <c r="N725" s="70"/>
      <c r="O725" s="70"/>
      <c r="P725" s="70"/>
      <c r="Q725" s="70"/>
      <c r="R725" s="70"/>
      <c r="S725" s="70"/>
      <c r="T725" s="70"/>
      <c r="U725" s="70"/>
      <c r="V725" s="70"/>
      <c r="W725" s="70"/>
      <c r="X725" s="70"/>
      <c r="Y725" s="70"/>
    </row>
    <row r="726">
      <c r="A726" s="82"/>
      <c r="B726" s="506"/>
      <c r="C726" s="82"/>
      <c r="D726" s="506"/>
      <c r="E726" s="82"/>
      <c r="F726" s="506"/>
      <c r="G726" s="222"/>
      <c r="H726" s="506"/>
      <c r="I726" s="199"/>
      <c r="J726" s="506"/>
      <c r="K726" s="82"/>
      <c r="L726" s="506"/>
      <c r="M726" s="70"/>
      <c r="N726" s="70"/>
      <c r="O726" s="70"/>
      <c r="P726" s="70"/>
      <c r="Q726" s="70"/>
      <c r="R726" s="70"/>
      <c r="S726" s="70"/>
      <c r="T726" s="70"/>
      <c r="U726" s="70"/>
      <c r="V726" s="70"/>
      <c r="W726" s="70"/>
      <c r="X726" s="70"/>
      <c r="Y726" s="70"/>
    </row>
    <row r="727">
      <c r="A727" s="82"/>
      <c r="B727" s="506"/>
      <c r="C727" s="82"/>
      <c r="D727" s="506"/>
      <c r="E727" s="82"/>
      <c r="F727" s="506"/>
      <c r="G727" s="222"/>
      <c r="H727" s="506"/>
      <c r="I727" s="199"/>
      <c r="J727" s="506"/>
      <c r="K727" s="82"/>
      <c r="L727" s="506"/>
      <c r="M727" s="70"/>
      <c r="N727" s="70"/>
      <c r="O727" s="70"/>
      <c r="P727" s="70"/>
      <c r="Q727" s="70"/>
      <c r="R727" s="70"/>
      <c r="S727" s="70"/>
      <c r="T727" s="70"/>
      <c r="U727" s="70"/>
      <c r="V727" s="70"/>
      <c r="W727" s="70"/>
      <c r="X727" s="70"/>
      <c r="Y727" s="70"/>
    </row>
    <row r="728">
      <c r="A728" s="82"/>
      <c r="B728" s="506"/>
      <c r="C728" s="82"/>
      <c r="D728" s="506"/>
      <c r="E728" s="82"/>
      <c r="F728" s="506"/>
      <c r="G728" s="222"/>
      <c r="H728" s="506"/>
      <c r="I728" s="199"/>
      <c r="J728" s="506"/>
      <c r="K728" s="82"/>
      <c r="L728" s="506"/>
      <c r="M728" s="70"/>
      <c r="N728" s="70"/>
      <c r="O728" s="70"/>
      <c r="P728" s="70"/>
      <c r="Q728" s="70"/>
      <c r="R728" s="70"/>
      <c r="S728" s="70"/>
      <c r="T728" s="70"/>
      <c r="U728" s="70"/>
      <c r="V728" s="70"/>
      <c r="W728" s="70"/>
      <c r="X728" s="70"/>
      <c r="Y728" s="70"/>
    </row>
    <row r="729">
      <c r="A729" s="82"/>
      <c r="B729" s="506"/>
      <c r="C729" s="82"/>
      <c r="D729" s="506"/>
      <c r="E729" s="82"/>
      <c r="F729" s="506"/>
      <c r="G729" s="222"/>
      <c r="H729" s="506"/>
      <c r="I729" s="199"/>
      <c r="J729" s="506"/>
      <c r="K729" s="82"/>
      <c r="L729" s="506"/>
      <c r="M729" s="70"/>
      <c r="N729" s="70"/>
      <c r="O729" s="70"/>
      <c r="P729" s="70"/>
      <c r="Q729" s="70"/>
      <c r="R729" s="70"/>
      <c r="S729" s="70"/>
      <c r="T729" s="70"/>
      <c r="U729" s="70"/>
      <c r="V729" s="70"/>
      <c r="W729" s="70"/>
      <c r="X729" s="70"/>
      <c r="Y729" s="70"/>
    </row>
    <row r="730">
      <c r="A730" s="82"/>
      <c r="B730" s="506"/>
      <c r="C730" s="82"/>
      <c r="D730" s="506"/>
      <c r="E730" s="82"/>
      <c r="F730" s="506"/>
      <c r="G730" s="222"/>
      <c r="H730" s="506"/>
      <c r="I730" s="199"/>
      <c r="J730" s="506"/>
      <c r="K730" s="82"/>
      <c r="L730" s="506"/>
      <c r="M730" s="70"/>
      <c r="N730" s="70"/>
      <c r="O730" s="70"/>
      <c r="P730" s="70"/>
      <c r="Q730" s="70"/>
      <c r="R730" s="70"/>
      <c r="S730" s="70"/>
      <c r="T730" s="70"/>
      <c r="U730" s="70"/>
      <c r="V730" s="70"/>
      <c r="W730" s="70"/>
      <c r="X730" s="70"/>
      <c r="Y730" s="70"/>
    </row>
    <row r="731">
      <c r="A731" s="82"/>
      <c r="B731" s="506"/>
      <c r="C731" s="82"/>
      <c r="D731" s="506"/>
      <c r="E731" s="82"/>
      <c r="F731" s="506"/>
      <c r="G731" s="222"/>
      <c r="H731" s="506"/>
      <c r="I731" s="199"/>
      <c r="J731" s="506"/>
      <c r="K731" s="82"/>
      <c r="L731" s="506"/>
      <c r="M731" s="70"/>
      <c r="N731" s="70"/>
      <c r="O731" s="70"/>
      <c r="P731" s="70"/>
      <c r="Q731" s="70"/>
      <c r="R731" s="70"/>
      <c r="S731" s="70"/>
      <c r="T731" s="70"/>
      <c r="U731" s="70"/>
      <c r="V731" s="70"/>
      <c r="W731" s="70"/>
      <c r="X731" s="70"/>
      <c r="Y731" s="70"/>
    </row>
    <row r="732">
      <c r="A732" s="82"/>
      <c r="B732" s="506"/>
      <c r="C732" s="82"/>
      <c r="D732" s="506"/>
      <c r="E732" s="82"/>
      <c r="F732" s="506"/>
      <c r="G732" s="222"/>
      <c r="H732" s="506"/>
      <c r="I732" s="199"/>
      <c r="J732" s="506"/>
      <c r="K732" s="82"/>
      <c r="L732" s="506"/>
      <c r="M732" s="70"/>
      <c r="N732" s="70"/>
      <c r="O732" s="70"/>
      <c r="P732" s="70"/>
      <c r="Q732" s="70"/>
      <c r="R732" s="70"/>
      <c r="S732" s="70"/>
      <c r="T732" s="70"/>
      <c r="U732" s="70"/>
      <c r="V732" s="70"/>
      <c r="W732" s="70"/>
      <c r="X732" s="70"/>
      <c r="Y732" s="70"/>
    </row>
    <row r="733">
      <c r="A733" s="82"/>
      <c r="B733" s="506"/>
      <c r="C733" s="82"/>
      <c r="D733" s="506"/>
      <c r="E733" s="82"/>
      <c r="F733" s="506"/>
      <c r="G733" s="222"/>
      <c r="H733" s="506"/>
      <c r="I733" s="199"/>
      <c r="J733" s="506"/>
      <c r="K733" s="82"/>
      <c r="L733" s="506"/>
      <c r="M733" s="70"/>
      <c r="N733" s="70"/>
      <c r="O733" s="70"/>
      <c r="P733" s="70"/>
      <c r="Q733" s="70"/>
      <c r="R733" s="70"/>
      <c r="S733" s="70"/>
      <c r="T733" s="70"/>
      <c r="U733" s="70"/>
      <c r="V733" s="70"/>
      <c r="W733" s="70"/>
      <c r="X733" s="70"/>
      <c r="Y733" s="70"/>
    </row>
    <row r="734">
      <c r="A734" s="82"/>
      <c r="B734" s="506"/>
      <c r="C734" s="82"/>
      <c r="D734" s="506"/>
      <c r="E734" s="82"/>
      <c r="F734" s="506"/>
      <c r="G734" s="222"/>
      <c r="H734" s="506"/>
      <c r="I734" s="199"/>
      <c r="J734" s="506"/>
      <c r="K734" s="82"/>
      <c r="L734" s="506"/>
      <c r="M734" s="70"/>
      <c r="N734" s="70"/>
      <c r="O734" s="70"/>
      <c r="P734" s="70"/>
      <c r="Q734" s="70"/>
      <c r="R734" s="70"/>
      <c r="S734" s="70"/>
      <c r="T734" s="70"/>
      <c r="U734" s="70"/>
      <c r="V734" s="70"/>
      <c r="W734" s="70"/>
      <c r="X734" s="70"/>
      <c r="Y734" s="70"/>
    </row>
    <row r="735">
      <c r="A735" s="82"/>
      <c r="B735" s="506"/>
      <c r="C735" s="82"/>
      <c r="D735" s="506"/>
      <c r="E735" s="82"/>
      <c r="F735" s="506"/>
      <c r="G735" s="222"/>
      <c r="H735" s="506"/>
      <c r="I735" s="199"/>
      <c r="J735" s="506"/>
      <c r="K735" s="82"/>
      <c r="L735" s="506"/>
      <c r="M735" s="70"/>
      <c r="N735" s="70"/>
      <c r="O735" s="70"/>
      <c r="P735" s="70"/>
      <c r="Q735" s="70"/>
      <c r="R735" s="70"/>
      <c r="S735" s="70"/>
      <c r="T735" s="70"/>
      <c r="U735" s="70"/>
      <c r="V735" s="70"/>
      <c r="W735" s="70"/>
      <c r="X735" s="70"/>
      <c r="Y735" s="70"/>
    </row>
    <row r="736">
      <c r="A736" s="82"/>
      <c r="B736" s="506"/>
      <c r="C736" s="82"/>
      <c r="D736" s="506"/>
      <c r="E736" s="82"/>
      <c r="F736" s="506"/>
      <c r="G736" s="222"/>
      <c r="H736" s="506"/>
      <c r="I736" s="199"/>
      <c r="J736" s="506"/>
      <c r="K736" s="82"/>
      <c r="L736" s="506"/>
      <c r="M736" s="70"/>
      <c r="N736" s="70"/>
      <c r="O736" s="70"/>
      <c r="P736" s="70"/>
      <c r="Q736" s="70"/>
      <c r="R736" s="70"/>
      <c r="S736" s="70"/>
      <c r="T736" s="70"/>
      <c r="U736" s="70"/>
      <c r="V736" s="70"/>
      <c r="W736" s="70"/>
      <c r="X736" s="70"/>
      <c r="Y736" s="70"/>
    </row>
    <row r="737">
      <c r="A737" s="82"/>
      <c r="B737" s="506"/>
      <c r="C737" s="82"/>
      <c r="D737" s="506"/>
      <c r="E737" s="82"/>
      <c r="F737" s="506"/>
      <c r="G737" s="222"/>
      <c r="H737" s="506"/>
      <c r="I737" s="199"/>
      <c r="J737" s="506"/>
      <c r="K737" s="82"/>
      <c r="L737" s="506"/>
      <c r="M737" s="70"/>
      <c r="N737" s="70"/>
      <c r="O737" s="70"/>
      <c r="P737" s="70"/>
      <c r="Q737" s="70"/>
      <c r="R737" s="70"/>
      <c r="S737" s="70"/>
      <c r="T737" s="70"/>
      <c r="U737" s="70"/>
      <c r="V737" s="70"/>
      <c r="W737" s="70"/>
      <c r="X737" s="70"/>
      <c r="Y737" s="70"/>
    </row>
    <row r="738">
      <c r="A738" s="82"/>
      <c r="B738" s="506"/>
      <c r="C738" s="82"/>
      <c r="D738" s="506"/>
      <c r="E738" s="82"/>
      <c r="F738" s="506"/>
      <c r="G738" s="222"/>
      <c r="H738" s="506"/>
      <c r="I738" s="199"/>
      <c r="J738" s="506"/>
      <c r="K738" s="82"/>
      <c r="L738" s="506"/>
      <c r="M738" s="70"/>
      <c r="N738" s="70"/>
      <c r="O738" s="70"/>
      <c r="P738" s="70"/>
      <c r="Q738" s="70"/>
      <c r="R738" s="70"/>
      <c r="S738" s="70"/>
      <c r="T738" s="70"/>
      <c r="U738" s="70"/>
      <c r="V738" s="70"/>
      <c r="W738" s="70"/>
      <c r="X738" s="70"/>
      <c r="Y738" s="70"/>
    </row>
    <row r="739">
      <c r="A739" s="82"/>
      <c r="B739" s="506"/>
      <c r="C739" s="82"/>
      <c r="D739" s="506"/>
      <c r="E739" s="82"/>
      <c r="F739" s="506"/>
      <c r="G739" s="222"/>
      <c r="H739" s="506"/>
      <c r="I739" s="199"/>
      <c r="J739" s="506"/>
      <c r="K739" s="82"/>
      <c r="L739" s="506"/>
      <c r="M739" s="70"/>
      <c r="N739" s="70"/>
      <c r="O739" s="70"/>
      <c r="P739" s="70"/>
      <c r="Q739" s="70"/>
      <c r="R739" s="70"/>
      <c r="S739" s="70"/>
      <c r="T739" s="70"/>
      <c r="U739" s="70"/>
      <c r="V739" s="70"/>
      <c r="W739" s="70"/>
      <c r="X739" s="70"/>
      <c r="Y739" s="70"/>
    </row>
    <row r="740">
      <c r="A740" s="82"/>
      <c r="B740" s="506"/>
      <c r="C740" s="82"/>
      <c r="D740" s="506"/>
      <c r="E740" s="82"/>
      <c r="F740" s="506"/>
      <c r="G740" s="222"/>
      <c r="H740" s="506"/>
      <c r="I740" s="199"/>
      <c r="J740" s="506"/>
      <c r="K740" s="82"/>
      <c r="L740" s="506"/>
      <c r="M740" s="70"/>
      <c r="N740" s="70"/>
      <c r="O740" s="70"/>
      <c r="P740" s="70"/>
      <c r="Q740" s="70"/>
      <c r="R740" s="70"/>
      <c r="S740" s="70"/>
      <c r="T740" s="70"/>
      <c r="U740" s="70"/>
      <c r="V740" s="70"/>
      <c r="W740" s="70"/>
      <c r="X740" s="70"/>
      <c r="Y740" s="70"/>
    </row>
    <row r="741">
      <c r="A741" s="82"/>
      <c r="B741" s="506"/>
      <c r="C741" s="82"/>
      <c r="D741" s="506"/>
      <c r="E741" s="82"/>
      <c r="F741" s="506"/>
      <c r="G741" s="222"/>
      <c r="H741" s="506"/>
      <c r="I741" s="199"/>
      <c r="J741" s="506"/>
      <c r="K741" s="82"/>
      <c r="L741" s="506"/>
      <c r="M741" s="70"/>
      <c r="N741" s="70"/>
      <c r="O741" s="70"/>
      <c r="P741" s="70"/>
      <c r="Q741" s="70"/>
      <c r="R741" s="70"/>
      <c r="S741" s="70"/>
      <c r="T741" s="70"/>
      <c r="U741" s="70"/>
      <c r="V741" s="70"/>
      <c r="W741" s="70"/>
      <c r="X741" s="70"/>
      <c r="Y741" s="70"/>
    </row>
    <row r="742">
      <c r="A742" s="82"/>
      <c r="B742" s="506"/>
      <c r="C742" s="82"/>
      <c r="D742" s="506"/>
      <c r="E742" s="82"/>
      <c r="F742" s="506"/>
      <c r="G742" s="222"/>
      <c r="H742" s="506"/>
      <c r="I742" s="199"/>
      <c r="J742" s="506"/>
      <c r="K742" s="82"/>
      <c r="L742" s="506"/>
      <c r="M742" s="70"/>
      <c r="N742" s="70"/>
      <c r="O742" s="70"/>
      <c r="P742" s="70"/>
      <c r="Q742" s="70"/>
      <c r="R742" s="70"/>
      <c r="S742" s="70"/>
      <c r="T742" s="70"/>
      <c r="U742" s="70"/>
      <c r="V742" s="70"/>
      <c r="W742" s="70"/>
      <c r="X742" s="70"/>
      <c r="Y742" s="70"/>
    </row>
    <row r="743">
      <c r="A743" s="82"/>
      <c r="B743" s="506"/>
      <c r="C743" s="82"/>
      <c r="D743" s="506"/>
      <c r="E743" s="82"/>
      <c r="F743" s="506"/>
      <c r="G743" s="222"/>
      <c r="H743" s="506"/>
      <c r="I743" s="199"/>
      <c r="J743" s="506"/>
      <c r="K743" s="82"/>
      <c r="L743" s="506"/>
      <c r="M743" s="70"/>
      <c r="N743" s="70"/>
      <c r="O743" s="70"/>
      <c r="P743" s="70"/>
      <c r="Q743" s="70"/>
      <c r="R743" s="70"/>
      <c r="S743" s="70"/>
      <c r="T743" s="70"/>
      <c r="U743" s="70"/>
      <c r="V743" s="70"/>
      <c r="W743" s="70"/>
      <c r="X743" s="70"/>
      <c r="Y743" s="70"/>
    </row>
    <row r="744">
      <c r="A744" s="82"/>
      <c r="B744" s="506"/>
      <c r="C744" s="82"/>
      <c r="D744" s="506"/>
      <c r="E744" s="82"/>
      <c r="F744" s="506"/>
      <c r="G744" s="222"/>
      <c r="H744" s="506"/>
      <c r="I744" s="199"/>
      <c r="J744" s="506"/>
      <c r="K744" s="82"/>
      <c r="L744" s="506"/>
      <c r="M744" s="70"/>
      <c r="N744" s="70"/>
      <c r="O744" s="70"/>
      <c r="P744" s="70"/>
      <c r="Q744" s="70"/>
      <c r="R744" s="70"/>
      <c r="S744" s="70"/>
      <c r="T744" s="70"/>
      <c r="U744" s="70"/>
      <c r="V744" s="70"/>
      <c r="W744" s="70"/>
      <c r="X744" s="70"/>
      <c r="Y744" s="70"/>
    </row>
    <row r="745">
      <c r="A745" s="82"/>
      <c r="B745" s="506"/>
      <c r="C745" s="82"/>
      <c r="D745" s="506"/>
      <c r="E745" s="82"/>
      <c r="F745" s="506"/>
      <c r="G745" s="222"/>
      <c r="H745" s="506"/>
      <c r="I745" s="199"/>
      <c r="J745" s="506"/>
      <c r="K745" s="82"/>
      <c r="L745" s="506"/>
      <c r="M745" s="70"/>
      <c r="N745" s="70"/>
      <c r="O745" s="70"/>
      <c r="P745" s="70"/>
      <c r="Q745" s="70"/>
      <c r="R745" s="70"/>
      <c r="S745" s="70"/>
      <c r="T745" s="70"/>
      <c r="U745" s="70"/>
      <c r="V745" s="70"/>
      <c r="W745" s="70"/>
      <c r="X745" s="70"/>
      <c r="Y745" s="70"/>
    </row>
    <row r="746">
      <c r="A746" s="82"/>
      <c r="B746" s="506"/>
      <c r="C746" s="82"/>
      <c r="D746" s="506"/>
      <c r="E746" s="82"/>
      <c r="F746" s="506"/>
      <c r="G746" s="222"/>
      <c r="H746" s="506"/>
      <c r="I746" s="199"/>
      <c r="J746" s="506"/>
      <c r="K746" s="82"/>
      <c r="L746" s="506"/>
      <c r="M746" s="70"/>
      <c r="N746" s="70"/>
      <c r="O746" s="70"/>
      <c r="P746" s="70"/>
      <c r="Q746" s="70"/>
      <c r="R746" s="70"/>
      <c r="S746" s="70"/>
      <c r="T746" s="70"/>
      <c r="U746" s="70"/>
      <c r="V746" s="70"/>
      <c r="W746" s="70"/>
      <c r="X746" s="70"/>
      <c r="Y746" s="70"/>
    </row>
    <row r="747">
      <c r="A747" s="82"/>
      <c r="B747" s="506"/>
      <c r="C747" s="82"/>
      <c r="D747" s="506"/>
      <c r="E747" s="82"/>
      <c r="F747" s="506"/>
      <c r="G747" s="222"/>
      <c r="H747" s="506"/>
      <c r="I747" s="199"/>
      <c r="J747" s="506"/>
      <c r="K747" s="82"/>
      <c r="L747" s="506"/>
      <c r="M747" s="70"/>
      <c r="N747" s="70"/>
      <c r="O747" s="70"/>
      <c r="P747" s="70"/>
      <c r="Q747" s="70"/>
      <c r="R747" s="70"/>
      <c r="S747" s="70"/>
      <c r="T747" s="70"/>
      <c r="U747" s="70"/>
      <c r="V747" s="70"/>
      <c r="W747" s="70"/>
      <c r="X747" s="70"/>
      <c r="Y747" s="70"/>
    </row>
    <row r="748">
      <c r="A748" s="82"/>
      <c r="B748" s="506"/>
      <c r="C748" s="82"/>
      <c r="D748" s="506"/>
      <c r="E748" s="82"/>
      <c r="F748" s="506"/>
      <c r="G748" s="222"/>
      <c r="H748" s="506"/>
      <c r="I748" s="199"/>
      <c r="J748" s="506"/>
      <c r="K748" s="82"/>
      <c r="L748" s="506"/>
      <c r="M748" s="70"/>
      <c r="N748" s="70"/>
      <c r="O748" s="70"/>
      <c r="P748" s="70"/>
      <c r="Q748" s="70"/>
      <c r="R748" s="70"/>
      <c r="S748" s="70"/>
      <c r="T748" s="70"/>
      <c r="U748" s="70"/>
      <c r="V748" s="70"/>
      <c r="W748" s="70"/>
      <c r="X748" s="70"/>
      <c r="Y748" s="70"/>
    </row>
    <row r="749">
      <c r="A749" s="82"/>
      <c r="B749" s="506"/>
      <c r="C749" s="82"/>
      <c r="D749" s="506"/>
      <c r="E749" s="82"/>
      <c r="F749" s="506"/>
      <c r="G749" s="222"/>
      <c r="H749" s="506"/>
      <c r="I749" s="199"/>
      <c r="J749" s="506"/>
      <c r="K749" s="82"/>
      <c r="L749" s="506"/>
      <c r="M749" s="70"/>
      <c r="N749" s="70"/>
      <c r="O749" s="70"/>
      <c r="P749" s="70"/>
      <c r="Q749" s="70"/>
      <c r="R749" s="70"/>
      <c r="S749" s="70"/>
      <c r="T749" s="70"/>
      <c r="U749" s="70"/>
      <c r="V749" s="70"/>
      <c r="W749" s="70"/>
      <c r="X749" s="70"/>
      <c r="Y749" s="70"/>
    </row>
    <row r="750">
      <c r="A750" s="82"/>
      <c r="B750" s="506"/>
      <c r="C750" s="82"/>
      <c r="D750" s="506"/>
      <c r="E750" s="82"/>
      <c r="F750" s="506"/>
      <c r="G750" s="222"/>
      <c r="H750" s="506"/>
      <c r="I750" s="199"/>
      <c r="J750" s="506"/>
      <c r="K750" s="82"/>
      <c r="L750" s="506"/>
      <c r="M750" s="70"/>
      <c r="N750" s="70"/>
      <c r="O750" s="70"/>
      <c r="P750" s="70"/>
      <c r="Q750" s="70"/>
      <c r="R750" s="70"/>
      <c r="S750" s="70"/>
      <c r="T750" s="70"/>
      <c r="U750" s="70"/>
      <c r="V750" s="70"/>
      <c r="W750" s="70"/>
      <c r="X750" s="70"/>
      <c r="Y750" s="70"/>
    </row>
    <row r="751">
      <c r="A751" s="82"/>
      <c r="B751" s="506"/>
      <c r="C751" s="82"/>
      <c r="D751" s="506"/>
      <c r="E751" s="82"/>
      <c r="F751" s="506"/>
      <c r="G751" s="222"/>
      <c r="H751" s="506"/>
      <c r="I751" s="199"/>
      <c r="J751" s="506"/>
      <c r="K751" s="82"/>
      <c r="L751" s="506"/>
      <c r="M751" s="70"/>
      <c r="N751" s="70"/>
      <c r="O751" s="70"/>
      <c r="P751" s="70"/>
      <c r="Q751" s="70"/>
      <c r="R751" s="70"/>
      <c r="S751" s="70"/>
      <c r="T751" s="70"/>
      <c r="U751" s="70"/>
      <c r="V751" s="70"/>
      <c r="W751" s="70"/>
      <c r="X751" s="70"/>
      <c r="Y751" s="70"/>
    </row>
    <row r="752">
      <c r="A752" s="82"/>
      <c r="B752" s="506"/>
      <c r="C752" s="82"/>
      <c r="D752" s="506"/>
      <c r="E752" s="82"/>
      <c r="F752" s="506"/>
      <c r="G752" s="222"/>
      <c r="H752" s="506"/>
      <c r="I752" s="199"/>
      <c r="J752" s="506"/>
      <c r="K752" s="82"/>
      <c r="L752" s="506"/>
      <c r="M752" s="70"/>
      <c r="N752" s="70"/>
      <c r="O752" s="70"/>
      <c r="P752" s="70"/>
      <c r="Q752" s="70"/>
      <c r="R752" s="70"/>
      <c r="S752" s="70"/>
      <c r="T752" s="70"/>
      <c r="U752" s="70"/>
      <c r="V752" s="70"/>
      <c r="W752" s="70"/>
      <c r="X752" s="70"/>
      <c r="Y752" s="70"/>
    </row>
    <row r="753">
      <c r="A753" s="82"/>
      <c r="B753" s="506"/>
      <c r="C753" s="82"/>
      <c r="D753" s="506"/>
      <c r="E753" s="82"/>
      <c r="F753" s="506"/>
      <c r="G753" s="222"/>
      <c r="H753" s="506"/>
      <c r="I753" s="199"/>
      <c r="J753" s="506"/>
      <c r="K753" s="82"/>
      <c r="L753" s="506"/>
      <c r="M753" s="70"/>
      <c r="N753" s="70"/>
      <c r="O753" s="70"/>
      <c r="P753" s="70"/>
      <c r="Q753" s="70"/>
      <c r="R753" s="70"/>
      <c r="S753" s="70"/>
      <c r="T753" s="70"/>
      <c r="U753" s="70"/>
      <c r="V753" s="70"/>
      <c r="W753" s="70"/>
      <c r="X753" s="70"/>
      <c r="Y753" s="70"/>
    </row>
    <row r="754">
      <c r="A754" s="82"/>
      <c r="B754" s="506"/>
      <c r="C754" s="82"/>
      <c r="D754" s="506"/>
      <c r="E754" s="82"/>
      <c r="F754" s="506"/>
      <c r="G754" s="222"/>
      <c r="H754" s="506"/>
      <c r="I754" s="199"/>
      <c r="J754" s="506"/>
      <c r="K754" s="82"/>
      <c r="L754" s="506"/>
      <c r="M754" s="70"/>
      <c r="N754" s="70"/>
      <c r="O754" s="70"/>
      <c r="P754" s="70"/>
      <c r="Q754" s="70"/>
      <c r="R754" s="70"/>
      <c r="S754" s="70"/>
      <c r="T754" s="70"/>
      <c r="U754" s="70"/>
      <c r="V754" s="70"/>
      <c r="W754" s="70"/>
      <c r="X754" s="70"/>
      <c r="Y754" s="70"/>
    </row>
    <row r="755">
      <c r="A755" s="82"/>
      <c r="B755" s="506"/>
      <c r="C755" s="82"/>
      <c r="D755" s="506"/>
      <c r="E755" s="82"/>
      <c r="F755" s="506"/>
      <c r="G755" s="222"/>
      <c r="H755" s="506"/>
      <c r="I755" s="199"/>
      <c r="J755" s="506"/>
      <c r="K755" s="82"/>
      <c r="L755" s="506"/>
      <c r="M755" s="70"/>
      <c r="N755" s="70"/>
      <c r="O755" s="70"/>
      <c r="P755" s="70"/>
      <c r="Q755" s="70"/>
      <c r="R755" s="70"/>
      <c r="S755" s="70"/>
      <c r="T755" s="70"/>
      <c r="U755" s="70"/>
      <c r="V755" s="70"/>
      <c r="W755" s="70"/>
      <c r="X755" s="70"/>
      <c r="Y755" s="70"/>
    </row>
    <row r="756">
      <c r="A756" s="82"/>
      <c r="B756" s="506"/>
      <c r="C756" s="82"/>
      <c r="D756" s="506"/>
      <c r="E756" s="82"/>
      <c r="F756" s="506"/>
      <c r="G756" s="222"/>
      <c r="H756" s="506"/>
      <c r="I756" s="199"/>
      <c r="J756" s="506"/>
      <c r="K756" s="82"/>
      <c r="L756" s="506"/>
      <c r="M756" s="70"/>
      <c r="N756" s="70"/>
      <c r="O756" s="70"/>
      <c r="P756" s="70"/>
      <c r="Q756" s="70"/>
      <c r="R756" s="70"/>
      <c r="S756" s="70"/>
      <c r="T756" s="70"/>
      <c r="U756" s="70"/>
      <c r="V756" s="70"/>
      <c r="W756" s="70"/>
      <c r="X756" s="70"/>
      <c r="Y756" s="70"/>
    </row>
    <row r="757">
      <c r="A757" s="82"/>
      <c r="B757" s="506"/>
      <c r="C757" s="82"/>
      <c r="D757" s="506"/>
      <c r="E757" s="82"/>
      <c r="F757" s="506"/>
      <c r="G757" s="222"/>
      <c r="H757" s="506"/>
      <c r="I757" s="199"/>
      <c r="J757" s="506"/>
      <c r="K757" s="82"/>
      <c r="L757" s="506"/>
      <c r="M757" s="70"/>
      <c r="N757" s="70"/>
      <c r="O757" s="70"/>
      <c r="P757" s="70"/>
      <c r="Q757" s="70"/>
      <c r="R757" s="70"/>
      <c r="S757" s="70"/>
      <c r="T757" s="70"/>
      <c r="U757" s="70"/>
      <c r="V757" s="70"/>
      <c r="W757" s="70"/>
      <c r="X757" s="70"/>
      <c r="Y757" s="70"/>
    </row>
    <row r="758">
      <c r="A758" s="82"/>
      <c r="B758" s="506"/>
      <c r="C758" s="82"/>
      <c r="D758" s="506"/>
      <c r="E758" s="82"/>
      <c r="F758" s="506"/>
      <c r="G758" s="222"/>
      <c r="H758" s="506"/>
      <c r="I758" s="199"/>
      <c r="J758" s="506"/>
      <c r="K758" s="82"/>
      <c r="L758" s="506"/>
      <c r="M758" s="70"/>
      <c r="N758" s="70"/>
      <c r="O758" s="70"/>
      <c r="P758" s="70"/>
      <c r="Q758" s="70"/>
      <c r="R758" s="70"/>
      <c r="S758" s="70"/>
      <c r="T758" s="70"/>
      <c r="U758" s="70"/>
      <c r="V758" s="70"/>
      <c r="W758" s="70"/>
      <c r="X758" s="70"/>
      <c r="Y758" s="70"/>
    </row>
    <row r="759">
      <c r="A759" s="82"/>
      <c r="B759" s="506"/>
      <c r="C759" s="82"/>
      <c r="D759" s="506"/>
      <c r="E759" s="82"/>
      <c r="F759" s="506"/>
      <c r="G759" s="222"/>
      <c r="H759" s="506"/>
      <c r="I759" s="199"/>
      <c r="J759" s="506"/>
      <c r="K759" s="82"/>
      <c r="L759" s="506"/>
      <c r="M759" s="70"/>
      <c r="N759" s="70"/>
      <c r="O759" s="70"/>
      <c r="P759" s="70"/>
      <c r="Q759" s="70"/>
      <c r="R759" s="70"/>
      <c r="S759" s="70"/>
      <c r="T759" s="70"/>
      <c r="U759" s="70"/>
      <c r="V759" s="70"/>
      <c r="W759" s="70"/>
      <c r="X759" s="70"/>
      <c r="Y759" s="70"/>
    </row>
    <row r="760">
      <c r="A760" s="82"/>
      <c r="B760" s="506"/>
      <c r="C760" s="82"/>
      <c r="D760" s="506"/>
      <c r="E760" s="82"/>
      <c r="F760" s="506"/>
      <c r="G760" s="222"/>
      <c r="H760" s="506"/>
      <c r="I760" s="199"/>
      <c r="J760" s="506"/>
      <c r="K760" s="82"/>
      <c r="L760" s="506"/>
      <c r="M760" s="70"/>
      <c r="N760" s="70"/>
      <c r="O760" s="70"/>
      <c r="P760" s="70"/>
      <c r="Q760" s="70"/>
      <c r="R760" s="70"/>
      <c r="S760" s="70"/>
      <c r="T760" s="70"/>
      <c r="U760" s="70"/>
      <c r="V760" s="70"/>
      <c r="W760" s="70"/>
      <c r="X760" s="70"/>
      <c r="Y760" s="70"/>
    </row>
    <row r="761">
      <c r="A761" s="82"/>
      <c r="B761" s="506"/>
      <c r="C761" s="82"/>
      <c r="D761" s="506"/>
      <c r="E761" s="82"/>
      <c r="F761" s="506"/>
      <c r="G761" s="222"/>
      <c r="H761" s="506"/>
      <c r="I761" s="199"/>
      <c r="J761" s="506"/>
      <c r="K761" s="82"/>
      <c r="L761" s="506"/>
      <c r="M761" s="70"/>
      <c r="N761" s="70"/>
      <c r="O761" s="70"/>
      <c r="P761" s="70"/>
      <c r="Q761" s="70"/>
      <c r="R761" s="70"/>
      <c r="S761" s="70"/>
      <c r="T761" s="70"/>
      <c r="U761" s="70"/>
      <c r="V761" s="70"/>
      <c r="W761" s="70"/>
      <c r="X761" s="70"/>
      <c r="Y761" s="70"/>
    </row>
    <row r="762">
      <c r="A762" s="82"/>
      <c r="B762" s="506"/>
      <c r="C762" s="82"/>
      <c r="D762" s="506"/>
      <c r="E762" s="82"/>
      <c r="F762" s="506"/>
      <c r="G762" s="222"/>
      <c r="H762" s="506"/>
      <c r="I762" s="199"/>
      <c r="J762" s="506"/>
      <c r="K762" s="82"/>
      <c r="L762" s="506"/>
      <c r="M762" s="70"/>
      <c r="N762" s="70"/>
      <c r="O762" s="70"/>
      <c r="P762" s="70"/>
      <c r="Q762" s="70"/>
      <c r="R762" s="70"/>
      <c r="S762" s="70"/>
      <c r="T762" s="70"/>
      <c r="U762" s="70"/>
      <c r="V762" s="70"/>
      <c r="W762" s="70"/>
      <c r="X762" s="70"/>
      <c r="Y762" s="70"/>
    </row>
    <row r="763">
      <c r="A763" s="82"/>
      <c r="B763" s="506"/>
      <c r="C763" s="82"/>
      <c r="D763" s="506"/>
      <c r="E763" s="82"/>
      <c r="F763" s="506"/>
      <c r="G763" s="222"/>
      <c r="H763" s="506"/>
      <c r="I763" s="199"/>
      <c r="J763" s="506"/>
      <c r="K763" s="82"/>
      <c r="L763" s="506"/>
      <c r="M763" s="70"/>
      <c r="N763" s="70"/>
      <c r="O763" s="70"/>
      <c r="P763" s="70"/>
      <c r="Q763" s="70"/>
      <c r="R763" s="70"/>
      <c r="S763" s="70"/>
      <c r="T763" s="70"/>
      <c r="U763" s="70"/>
      <c r="V763" s="70"/>
      <c r="W763" s="70"/>
      <c r="X763" s="70"/>
      <c r="Y763" s="70"/>
    </row>
    <row r="764">
      <c r="A764" s="82"/>
      <c r="B764" s="506"/>
      <c r="C764" s="82"/>
      <c r="D764" s="506"/>
      <c r="E764" s="82"/>
      <c r="F764" s="506"/>
      <c r="G764" s="222"/>
      <c r="H764" s="506"/>
      <c r="I764" s="199"/>
      <c r="J764" s="506"/>
      <c r="K764" s="82"/>
      <c r="L764" s="506"/>
      <c r="M764" s="70"/>
      <c r="N764" s="70"/>
      <c r="O764" s="70"/>
      <c r="P764" s="70"/>
      <c r="Q764" s="70"/>
      <c r="R764" s="70"/>
      <c r="S764" s="70"/>
      <c r="T764" s="70"/>
      <c r="U764" s="70"/>
      <c r="V764" s="70"/>
      <c r="W764" s="70"/>
      <c r="X764" s="70"/>
      <c r="Y764" s="70"/>
    </row>
    <row r="765">
      <c r="A765" s="82"/>
      <c r="B765" s="506"/>
      <c r="C765" s="82"/>
      <c r="D765" s="506"/>
      <c r="E765" s="82"/>
      <c r="F765" s="506"/>
      <c r="G765" s="222"/>
      <c r="H765" s="506"/>
      <c r="I765" s="199"/>
      <c r="J765" s="506"/>
      <c r="K765" s="82"/>
      <c r="L765" s="506"/>
      <c r="M765" s="70"/>
      <c r="N765" s="70"/>
      <c r="O765" s="70"/>
      <c r="P765" s="70"/>
      <c r="Q765" s="70"/>
      <c r="R765" s="70"/>
      <c r="S765" s="70"/>
      <c r="T765" s="70"/>
      <c r="U765" s="70"/>
      <c r="V765" s="70"/>
      <c r="W765" s="70"/>
      <c r="X765" s="70"/>
      <c r="Y765" s="70"/>
    </row>
    <row r="766">
      <c r="A766" s="82"/>
      <c r="B766" s="506"/>
      <c r="C766" s="82"/>
      <c r="D766" s="506"/>
      <c r="E766" s="82"/>
      <c r="F766" s="506"/>
      <c r="G766" s="222"/>
      <c r="H766" s="506"/>
      <c r="I766" s="199"/>
      <c r="J766" s="506"/>
      <c r="K766" s="82"/>
      <c r="L766" s="506"/>
      <c r="M766" s="70"/>
      <c r="N766" s="70"/>
      <c r="O766" s="70"/>
      <c r="P766" s="70"/>
      <c r="Q766" s="70"/>
      <c r="R766" s="70"/>
      <c r="S766" s="70"/>
      <c r="T766" s="70"/>
      <c r="U766" s="70"/>
      <c r="V766" s="70"/>
      <c r="W766" s="70"/>
      <c r="X766" s="70"/>
      <c r="Y766" s="70"/>
    </row>
    <row r="767">
      <c r="A767" s="82"/>
      <c r="B767" s="506"/>
      <c r="C767" s="82"/>
      <c r="D767" s="506"/>
      <c r="E767" s="82"/>
      <c r="F767" s="506"/>
      <c r="G767" s="222"/>
      <c r="H767" s="506"/>
      <c r="I767" s="199"/>
      <c r="J767" s="506"/>
      <c r="K767" s="82"/>
      <c r="L767" s="506"/>
      <c r="M767" s="70"/>
      <c r="N767" s="70"/>
      <c r="O767" s="70"/>
      <c r="P767" s="70"/>
      <c r="Q767" s="70"/>
      <c r="R767" s="70"/>
      <c r="S767" s="70"/>
      <c r="T767" s="70"/>
      <c r="U767" s="70"/>
      <c r="V767" s="70"/>
      <c r="W767" s="70"/>
      <c r="X767" s="70"/>
      <c r="Y767" s="70"/>
    </row>
    <row r="768">
      <c r="A768" s="82"/>
      <c r="B768" s="506"/>
      <c r="C768" s="82"/>
      <c r="D768" s="506"/>
      <c r="E768" s="82"/>
      <c r="F768" s="506"/>
      <c r="G768" s="222"/>
      <c r="H768" s="506"/>
      <c r="I768" s="199"/>
      <c r="J768" s="506"/>
      <c r="K768" s="82"/>
      <c r="L768" s="506"/>
      <c r="M768" s="70"/>
      <c r="N768" s="70"/>
      <c r="O768" s="70"/>
      <c r="P768" s="70"/>
      <c r="Q768" s="70"/>
      <c r="R768" s="70"/>
      <c r="S768" s="70"/>
      <c r="T768" s="70"/>
      <c r="U768" s="70"/>
      <c r="V768" s="70"/>
      <c r="W768" s="70"/>
      <c r="X768" s="70"/>
      <c r="Y768" s="70"/>
    </row>
    <row r="769">
      <c r="A769" s="82"/>
      <c r="B769" s="506"/>
      <c r="C769" s="82"/>
      <c r="D769" s="506"/>
      <c r="E769" s="82"/>
      <c r="F769" s="506"/>
      <c r="G769" s="222"/>
      <c r="H769" s="506"/>
      <c r="I769" s="199"/>
      <c r="J769" s="506"/>
      <c r="K769" s="82"/>
      <c r="L769" s="506"/>
      <c r="M769" s="70"/>
      <c r="N769" s="70"/>
      <c r="O769" s="70"/>
      <c r="P769" s="70"/>
      <c r="Q769" s="70"/>
      <c r="R769" s="70"/>
      <c r="S769" s="70"/>
      <c r="T769" s="70"/>
      <c r="U769" s="70"/>
      <c r="V769" s="70"/>
      <c r="W769" s="70"/>
      <c r="X769" s="70"/>
      <c r="Y769" s="70"/>
    </row>
    <row r="770">
      <c r="A770" s="82"/>
      <c r="B770" s="506"/>
      <c r="C770" s="82"/>
      <c r="D770" s="506"/>
      <c r="E770" s="82"/>
      <c r="F770" s="506"/>
      <c r="G770" s="222"/>
      <c r="H770" s="506"/>
      <c r="I770" s="199"/>
      <c r="J770" s="506"/>
      <c r="K770" s="82"/>
      <c r="L770" s="506"/>
      <c r="M770" s="70"/>
      <c r="N770" s="70"/>
      <c r="O770" s="70"/>
      <c r="P770" s="70"/>
      <c r="Q770" s="70"/>
      <c r="R770" s="70"/>
      <c r="S770" s="70"/>
      <c r="T770" s="70"/>
      <c r="U770" s="70"/>
      <c r="V770" s="70"/>
      <c r="W770" s="70"/>
      <c r="X770" s="70"/>
      <c r="Y770" s="70"/>
    </row>
    <row r="771">
      <c r="A771" s="82"/>
      <c r="B771" s="506"/>
      <c r="C771" s="82"/>
      <c r="D771" s="506"/>
      <c r="E771" s="82"/>
      <c r="F771" s="506"/>
      <c r="G771" s="222"/>
      <c r="H771" s="506"/>
      <c r="I771" s="199"/>
      <c r="J771" s="506"/>
      <c r="K771" s="82"/>
      <c r="L771" s="506"/>
      <c r="M771" s="70"/>
      <c r="N771" s="70"/>
      <c r="O771" s="70"/>
      <c r="P771" s="70"/>
      <c r="Q771" s="70"/>
      <c r="R771" s="70"/>
      <c r="S771" s="70"/>
      <c r="T771" s="70"/>
      <c r="U771" s="70"/>
      <c r="V771" s="70"/>
      <c r="W771" s="70"/>
      <c r="X771" s="70"/>
      <c r="Y771" s="70"/>
    </row>
    <row r="772">
      <c r="A772" s="82"/>
      <c r="B772" s="506"/>
      <c r="C772" s="82"/>
      <c r="D772" s="506"/>
      <c r="E772" s="82"/>
      <c r="F772" s="506"/>
      <c r="G772" s="222"/>
      <c r="H772" s="506"/>
      <c r="I772" s="199"/>
      <c r="J772" s="506"/>
      <c r="K772" s="82"/>
      <c r="L772" s="506"/>
      <c r="M772" s="70"/>
      <c r="N772" s="70"/>
      <c r="O772" s="70"/>
      <c r="P772" s="70"/>
      <c r="Q772" s="70"/>
      <c r="R772" s="70"/>
      <c r="S772" s="70"/>
      <c r="T772" s="70"/>
      <c r="U772" s="70"/>
      <c r="V772" s="70"/>
      <c r="W772" s="70"/>
      <c r="X772" s="70"/>
      <c r="Y772" s="70"/>
    </row>
    <row r="773">
      <c r="A773" s="82"/>
      <c r="B773" s="506"/>
      <c r="C773" s="82"/>
      <c r="D773" s="506"/>
      <c r="E773" s="82"/>
      <c r="F773" s="506"/>
      <c r="G773" s="222"/>
      <c r="H773" s="506"/>
      <c r="I773" s="199"/>
      <c r="J773" s="506"/>
      <c r="K773" s="82"/>
      <c r="L773" s="506"/>
      <c r="M773" s="70"/>
      <c r="N773" s="70"/>
      <c r="O773" s="70"/>
      <c r="P773" s="70"/>
      <c r="Q773" s="70"/>
      <c r="R773" s="70"/>
      <c r="S773" s="70"/>
      <c r="T773" s="70"/>
      <c r="U773" s="70"/>
      <c r="V773" s="70"/>
      <c r="W773" s="70"/>
      <c r="X773" s="70"/>
      <c r="Y773" s="70"/>
    </row>
    <row r="774">
      <c r="A774" s="82"/>
      <c r="B774" s="506"/>
      <c r="C774" s="82"/>
      <c r="D774" s="506"/>
      <c r="E774" s="82"/>
      <c r="F774" s="506"/>
      <c r="G774" s="222"/>
      <c r="H774" s="506"/>
      <c r="I774" s="199"/>
      <c r="J774" s="506"/>
      <c r="K774" s="82"/>
      <c r="L774" s="506"/>
      <c r="M774" s="70"/>
      <c r="N774" s="70"/>
      <c r="O774" s="70"/>
      <c r="P774" s="70"/>
      <c r="Q774" s="70"/>
      <c r="R774" s="70"/>
      <c r="S774" s="70"/>
      <c r="T774" s="70"/>
      <c r="U774" s="70"/>
      <c r="V774" s="70"/>
      <c r="W774" s="70"/>
      <c r="X774" s="70"/>
      <c r="Y774" s="70"/>
    </row>
    <row r="775">
      <c r="A775" s="82"/>
      <c r="B775" s="506"/>
      <c r="C775" s="82"/>
      <c r="D775" s="506"/>
      <c r="E775" s="82"/>
      <c r="F775" s="506"/>
      <c r="G775" s="222"/>
      <c r="H775" s="506"/>
      <c r="I775" s="199"/>
      <c r="J775" s="506"/>
      <c r="K775" s="82"/>
      <c r="L775" s="506"/>
      <c r="M775" s="70"/>
      <c r="N775" s="70"/>
      <c r="O775" s="70"/>
      <c r="P775" s="70"/>
      <c r="Q775" s="70"/>
      <c r="R775" s="70"/>
      <c r="S775" s="70"/>
      <c r="T775" s="70"/>
      <c r="U775" s="70"/>
      <c r="V775" s="70"/>
      <c r="W775" s="70"/>
      <c r="X775" s="70"/>
      <c r="Y775" s="70"/>
    </row>
    <row r="776">
      <c r="A776" s="82"/>
      <c r="B776" s="506"/>
      <c r="C776" s="82"/>
      <c r="D776" s="506"/>
      <c r="E776" s="82"/>
      <c r="F776" s="506"/>
      <c r="G776" s="222"/>
      <c r="H776" s="506"/>
      <c r="I776" s="199"/>
      <c r="J776" s="506"/>
      <c r="K776" s="82"/>
      <c r="L776" s="506"/>
      <c r="M776" s="70"/>
      <c r="N776" s="70"/>
      <c r="O776" s="70"/>
      <c r="P776" s="70"/>
      <c r="Q776" s="70"/>
      <c r="R776" s="70"/>
      <c r="S776" s="70"/>
      <c r="T776" s="70"/>
      <c r="U776" s="70"/>
      <c r="V776" s="70"/>
      <c r="W776" s="70"/>
      <c r="X776" s="70"/>
      <c r="Y776" s="70"/>
    </row>
    <row r="777">
      <c r="A777" s="82"/>
      <c r="B777" s="506"/>
      <c r="C777" s="82"/>
      <c r="D777" s="506"/>
      <c r="E777" s="82"/>
      <c r="F777" s="506"/>
      <c r="G777" s="222"/>
      <c r="H777" s="506"/>
      <c r="I777" s="199"/>
      <c r="J777" s="506"/>
      <c r="K777" s="82"/>
      <c r="L777" s="506"/>
      <c r="M777" s="70"/>
      <c r="N777" s="70"/>
      <c r="O777" s="70"/>
      <c r="P777" s="70"/>
      <c r="Q777" s="70"/>
      <c r="R777" s="70"/>
      <c r="S777" s="70"/>
      <c r="T777" s="70"/>
      <c r="U777" s="70"/>
      <c r="V777" s="70"/>
      <c r="W777" s="70"/>
      <c r="X777" s="70"/>
      <c r="Y777" s="70"/>
    </row>
    <row r="778">
      <c r="A778" s="82"/>
      <c r="B778" s="506"/>
      <c r="C778" s="82"/>
      <c r="D778" s="506"/>
      <c r="E778" s="82"/>
      <c r="F778" s="506"/>
      <c r="G778" s="222"/>
      <c r="H778" s="506"/>
      <c r="I778" s="199"/>
      <c r="J778" s="506"/>
      <c r="K778" s="82"/>
      <c r="L778" s="506"/>
      <c r="M778" s="70"/>
      <c r="N778" s="70"/>
      <c r="O778" s="70"/>
      <c r="P778" s="70"/>
      <c r="Q778" s="70"/>
      <c r="R778" s="70"/>
      <c r="S778" s="70"/>
      <c r="T778" s="70"/>
      <c r="U778" s="70"/>
      <c r="V778" s="70"/>
      <c r="W778" s="70"/>
      <c r="X778" s="70"/>
      <c r="Y778" s="70"/>
    </row>
    <row r="779">
      <c r="A779" s="82"/>
      <c r="B779" s="506"/>
      <c r="C779" s="82"/>
      <c r="D779" s="506"/>
      <c r="E779" s="82"/>
      <c r="F779" s="506"/>
      <c r="G779" s="222"/>
      <c r="H779" s="506"/>
      <c r="I779" s="199"/>
      <c r="J779" s="506"/>
      <c r="K779" s="82"/>
      <c r="L779" s="506"/>
      <c r="M779" s="70"/>
      <c r="N779" s="70"/>
      <c r="O779" s="70"/>
      <c r="P779" s="70"/>
      <c r="Q779" s="70"/>
      <c r="R779" s="70"/>
      <c r="S779" s="70"/>
      <c r="T779" s="70"/>
      <c r="U779" s="70"/>
      <c r="V779" s="70"/>
      <c r="W779" s="70"/>
      <c r="X779" s="70"/>
      <c r="Y779" s="70"/>
    </row>
    <row r="780">
      <c r="A780" s="82"/>
      <c r="B780" s="506"/>
      <c r="C780" s="82"/>
      <c r="D780" s="506"/>
      <c r="E780" s="82"/>
      <c r="F780" s="506"/>
      <c r="G780" s="222"/>
      <c r="H780" s="506"/>
      <c r="I780" s="199"/>
      <c r="J780" s="506"/>
      <c r="K780" s="82"/>
      <c r="L780" s="506"/>
      <c r="M780" s="70"/>
      <c r="N780" s="70"/>
      <c r="O780" s="70"/>
      <c r="P780" s="70"/>
      <c r="Q780" s="70"/>
      <c r="R780" s="70"/>
      <c r="S780" s="70"/>
      <c r="T780" s="70"/>
      <c r="U780" s="70"/>
      <c r="V780" s="70"/>
      <c r="W780" s="70"/>
      <c r="X780" s="70"/>
      <c r="Y780" s="70"/>
    </row>
    <row r="781">
      <c r="A781" s="82"/>
      <c r="B781" s="506"/>
      <c r="C781" s="82"/>
      <c r="D781" s="506"/>
      <c r="E781" s="82"/>
      <c r="F781" s="506"/>
      <c r="G781" s="222"/>
      <c r="H781" s="506"/>
      <c r="I781" s="199"/>
      <c r="J781" s="506"/>
      <c r="K781" s="82"/>
      <c r="L781" s="506"/>
      <c r="M781" s="70"/>
      <c r="N781" s="70"/>
      <c r="O781" s="70"/>
      <c r="P781" s="70"/>
      <c r="Q781" s="70"/>
      <c r="R781" s="70"/>
      <c r="S781" s="70"/>
      <c r="T781" s="70"/>
      <c r="U781" s="70"/>
      <c r="V781" s="70"/>
      <c r="W781" s="70"/>
      <c r="X781" s="70"/>
      <c r="Y781" s="70"/>
    </row>
    <row r="782">
      <c r="A782" s="82"/>
      <c r="B782" s="506"/>
      <c r="C782" s="82"/>
      <c r="D782" s="506"/>
      <c r="E782" s="82"/>
      <c r="F782" s="506"/>
      <c r="G782" s="222"/>
      <c r="H782" s="506"/>
      <c r="I782" s="199"/>
      <c r="J782" s="506"/>
      <c r="K782" s="82"/>
      <c r="L782" s="506"/>
      <c r="M782" s="70"/>
      <c r="N782" s="70"/>
      <c r="O782" s="70"/>
      <c r="P782" s="70"/>
      <c r="Q782" s="70"/>
      <c r="R782" s="70"/>
      <c r="S782" s="70"/>
      <c r="T782" s="70"/>
      <c r="U782" s="70"/>
      <c r="V782" s="70"/>
      <c r="W782" s="70"/>
      <c r="X782" s="70"/>
      <c r="Y782" s="70"/>
    </row>
    <row r="783">
      <c r="A783" s="82"/>
      <c r="B783" s="506"/>
      <c r="C783" s="82"/>
      <c r="D783" s="506"/>
      <c r="E783" s="82"/>
      <c r="F783" s="506"/>
      <c r="G783" s="222"/>
      <c r="H783" s="506"/>
      <c r="I783" s="199"/>
      <c r="J783" s="506"/>
      <c r="K783" s="82"/>
      <c r="L783" s="506"/>
      <c r="M783" s="70"/>
      <c r="N783" s="70"/>
      <c r="O783" s="70"/>
      <c r="P783" s="70"/>
      <c r="Q783" s="70"/>
      <c r="R783" s="70"/>
      <c r="S783" s="70"/>
      <c r="T783" s="70"/>
      <c r="U783" s="70"/>
      <c r="V783" s="70"/>
      <c r="W783" s="70"/>
      <c r="X783" s="70"/>
      <c r="Y783" s="70"/>
    </row>
    <row r="784">
      <c r="A784" s="82"/>
      <c r="B784" s="506"/>
      <c r="C784" s="82"/>
      <c r="D784" s="506"/>
      <c r="E784" s="82"/>
      <c r="F784" s="506"/>
      <c r="G784" s="222"/>
      <c r="H784" s="506"/>
      <c r="I784" s="199"/>
      <c r="J784" s="506"/>
      <c r="K784" s="82"/>
      <c r="L784" s="506"/>
      <c r="M784" s="70"/>
      <c r="N784" s="70"/>
      <c r="O784" s="70"/>
      <c r="P784" s="70"/>
      <c r="Q784" s="70"/>
      <c r="R784" s="70"/>
      <c r="S784" s="70"/>
      <c r="T784" s="70"/>
      <c r="U784" s="70"/>
      <c r="V784" s="70"/>
      <c r="W784" s="70"/>
      <c r="X784" s="70"/>
      <c r="Y784" s="70"/>
    </row>
    <row r="785">
      <c r="A785" s="82"/>
      <c r="B785" s="506"/>
      <c r="C785" s="82"/>
      <c r="D785" s="506"/>
      <c r="E785" s="82"/>
      <c r="F785" s="506"/>
      <c r="G785" s="222"/>
      <c r="H785" s="506"/>
      <c r="I785" s="199"/>
      <c r="J785" s="506"/>
      <c r="K785" s="82"/>
      <c r="L785" s="506"/>
      <c r="M785" s="70"/>
      <c r="N785" s="70"/>
      <c r="O785" s="70"/>
      <c r="P785" s="70"/>
      <c r="Q785" s="70"/>
      <c r="R785" s="70"/>
      <c r="S785" s="70"/>
      <c r="T785" s="70"/>
      <c r="U785" s="70"/>
      <c r="V785" s="70"/>
      <c r="W785" s="70"/>
      <c r="X785" s="70"/>
      <c r="Y785" s="70"/>
    </row>
    <row r="786">
      <c r="A786" s="82"/>
      <c r="B786" s="506"/>
      <c r="C786" s="82"/>
      <c r="D786" s="506"/>
      <c r="E786" s="82"/>
      <c r="F786" s="506"/>
      <c r="G786" s="222"/>
      <c r="H786" s="506"/>
      <c r="I786" s="199"/>
      <c r="J786" s="506"/>
      <c r="K786" s="82"/>
      <c r="L786" s="506"/>
      <c r="M786" s="70"/>
      <c r="N786" s="70"/>
      <c r="O786" s="70"/>
      <c r="P786" s="70"/>
      <c r="Q786" s="70"/>
      <c r="R786" s="70"/>
      <c r="S786" s="70"/>
      <c r="T786" s="70"/>
      <c r="U786" s="70"/>
      <c r="V786" s="70"/>
      <c r="W786" s="70"/>
      <c r="X786" s="70"/>
      <c r="Y786" s="70"/>
    </row>
    <row r="787">
      <c r="A787" s="82"/>
      <c r="B787" s="506"/>
      <c r="C787" s="82"/>
      <c r="D787" s="506"/>
      <c r="E787" s="82"/>
      <c r="F787" s="506"/>
      <c r="G787" s="222"/>
      <c r="H787" s="506"/>
      <c r="I787" s="199"/>
      <c r="J787" s="506"/>
      <c r="K787" s="82"/>
      <c r="L787" s="506"/>
      <c r="M787" s="70"/>
      <c r="N787" s="70"/>
      <c r="O787" s="70"/>
      <c r="P787" s="70"/>
      <c r="Q787" s="70"/>
      <c r="R787" s="70"/>
      <c r="S787" s="70"/>
      <c r="T787" s="70"/>
      <c r="U787" s="70"/>
      <c r="V787" s="70"/>
      <c r="W787" s="70"/>
      <c r="X787" s="70"/>
      <c r="Y787" s="70"/>
    </row>
    <row r="788">
      <c r="A788" s="82"/>
      <c r="B788" s="506"/>
      <c r="C788" s="82"/>
      <c r="D788" s="506"/>
      <c r="E788" s="82"/>
      <c r="F788" s="506"/>
      <c r="G788" s="222"/>
      <c r="H788" s="506"/>
      <c r="I788" s="199"/>
      <c r="J788" s="506"/>
      <c r="K788" s="82"/>
      <c r="L788" s="506"/>
      <c r="M788" s="70"/>
      <c r="N788" s="70"/>
      <c r="O788" s="70"/>
      <c r="P788" s="70"/>
      <c r="Q788" s="70"/>
      <c r="R788" s="70"/>
      <c r="S788" s="70"/>
      <c r="T788" s="70"/>
      <c r="U788" s="70"/>
      <c r="V788" s="70"/>
      <c r="W788" s="70"/>
      <c r="X788" s="70"/>
      <c r="Y788" s="70"/>
    </row>
    <row r="789">
      <c r="A789" s="82"/>
      <c r="B789" s="506"/>
      <c r="C789" s="82"/>
      <c r="D789" s="506"/>
      <c r="E789" s="82"/>
      <c r="F789" s="506"/>
      <c r="G789" s="222"/>
      <c r="H789" s="506"/>
      <c r="I789" s="199"/>
      <c r="J789" s="506"/>
      <c r="K789" s="82"/>
      <c r="L789" s="506"/>
      <c r="M789" s="70"/>
      <c r="N789" s="70"/>
      <c r="O789" s="70"/>
      <c r="P789" s="70"/>
      <c r="Q789" s="70"/>
      <c r="R789" s="70"/>
      <c r="S789" s="70"/>
      <c r="T789" s="70"/>
      <c r="U789" s="70"/>
      <c r="V789" s="70"/>
      <c r="W789" s="70"/>
      <c r="X789" s="70"/>
      <c r="Y789" s="70"/>
    </row>
    <row r="790">
      <c r="A790" s="82"/>
      <c r="B790" s="506"/>
      <c r="C790" s="82"/>
      <c r="D790" s="506"/>
      <c r="E790" s="82"/>
      <c r="F790" s="506"/>
      <c r="G790" s="222"/>
      <c r="H790" s="506"/>
      <c r="I790" s="199"/>
      <c r="J790" s="506"/>
      <c r="K790" s="82"/>
      <c r="L790" s="506"/>
      <c r="M790" s="70"/>
      <c r="N790" s="70"/>
      <c r="O790" s="70"/>
      <c r="P790" s="70"/>
      <c r="Q790" s="70"/>
      <c r="R790" s="70"/>
      <c r="S790" s="70"/>
      <c r="T790" s="70"/>
      <c r="U790" s="70"/>
      <c r="V790" s="70"/>
      <c r="W790" s="70"/>
      <c r="X790" s="70"/>
      <c r="Y790" s="70"/>
    </row>
    <row r="791">
      <c r="A791" s="82"/>
      <c r="B791" s="506"/>
      <c r="C791" s="82"/>
      <c r="D791" s="506"/>
      <c r="E791" s="82"/>
      <c r="F791" s="506"/>
      <c r="G791" s="222"/>
      <c r="H791" s="506"/>
      <c r="I791" s="199"/>
      <c r="J791" s="506"/>
      <c r="K791" s="82"/>
      <c r="L791" s="506"/>
      <c r="M791" s="70"/>
      <c r="N791" s="70"/>
      <c r="O791" s="70"/>
      <c r="P791" s="70"/>
      <c r="Q791" s="70"/>
      <c r="R791" s="70"/>
      <c r="S791" s="70"/>
      <c r="T791" s="70"/>
      <c r="U791" s="70"/>
      <c r="V791" s="70"/>
      <c r="W791" s="70"/>
      <c r="X791" s="70"/>
      <c r="Y791" s="70"/>
    </row>
    <row r="792">
      <c r="A792" s="82"/>
      <c r="B792" s="506"/>
      <c r="C792" s="82"/>
      <c r="D792" s="506"/>
      <c r="E792" s="82"/>
      <c r="F792" s="506"/>
      <c r="G792" s="222"/>
      <c r="H792" s="506"/>
      <c r="I792" s="199"/>
      <c r="J792" s="506"/>
      <c r="K792" s="82"/>
      <c r="L792" s="506"/>
      <c r="M792" s="70"/>
      <c r="N792" s="70"/>
      <c r="O792" s="70"/>
      <c r="P792" s="70"/>
      <c r="Q792" s="70"/>
      <c r="R792" s="70"/>
      <c r="S792" s="70"/>
      <c r="T792" s="70"/>
      <c r="U792" s="70"/>
      <c r="V792" s="70"/>
      <c r="W792" s="70"/>
      <c r="X792" s="70"/>
      <c r="Y792" s="70"/>
    </row>
    <row r="793">
      <c r="A793" s="82"/>
      <c r="B793" s="506"/>
      <c r="C793" s="82"/>
      <c r="D793" s="506"/>
      <c r="E793" s="82"/>
      <c r="F793" s="506"/>
      <c r="G793" s="222"/>
      <c r="H793" s="506"/>
      <c r="I793" s="199"/>
      <c r="J793" s="506"/>
      <c r="K793" s="82"/>
      <c r="L793" s="506"/>
      <c r="M793" s="70"/>
      <c r="N793" s="70"/>
      <c r="O793" s="70"/>
      <c r="P793" s="70"/>
      <c r="Q793" s="70"/>
      <c r="R793" s="70"/>
      <c r="S793" s="70"/>
      <c r="T793" s="70"/>
      <c r="U793" s="70"/>
      <c r="V793" s="70"/>
      <c r="W793" s="70"/>
      <c r="X793" s="70"/>
      <c r="Y793" s="70"/>
    </row>
    <row r="794">
      <c r="A794" s="82"/>
      <c r="B794" s="506"/>
      <c r="C794" s="82"/>
      <c r="D794" s="506"/>
      <c r="E794" s="82"/>
      <c r="F794" s="506"/>
      <c r="G794" s="222"/>
      <c r="H794" s="506"/>
      <c r="I794" s="199"/>
      <c r="J794" s="506"/>
      <c r="K794" s="82"/>
      <c r="L794" s="506"/>
      <c r="M794" s="70"/>
      <c r="N794" s="70"/>
      <c r="O794" s="70"/>
      <c r="P794" s="70"/>
      <c r="Q794" s="70"/>
      <c r="R794" s="70"/>
      <c r="S794" s="70"/>
      <c r="T794" s="70"/>
      <c r="U794" s="70"/>
      <c r="V794" s="70"/>
      <c r="W794" s="70"/>
      <c r="X794" s="70"/>
      <c r="Y794" s="70"/>
    </row>
    <row r="795">
      <c r="A795" s="82"/>
      <c r="B795" s="506"/>
      <c r="C795" s="82"/>
      <c r="D795" s="506"/>
      <c r="E795" s="82"/>
      <c r="F795" s="506"/>
      <c r="G795" s="222"/>
      <c r="H795" s="506"/>
      <c r="I795" s="199"/>
      <c r="J795" s="506"/>
      <c r="K795" s="82"/>
      <c r="L795" s="506"/>
      <c r="M795" s="70"/>
      <c r="N795" s="70"/>
      <c r="O795" s="70"/>
      <c r="P795" s="70"/>
      <c r="Q795" s="70"/>
      <c r="R795" s="70"/>
      <c r="S795" s="70"/>
      <c r="T795" s="70"/>
      <c r="U795" s="70"/>
      <c r="V795" s="70"/>
      <c r="W795" s="70"/>
      <c r="X795" s="70"/>
      <c r="Y795" s="70"/>
    </row>
    <row r="796">
      <c r="A796" s="82"/>
      <c r="B796" s="506"/>
      <c r="C796" s="82"/>
      <c r="D796" s="506"/>
      <c r="E796" s="82"/>
      <c r="F796" s="506"/>
      <c r="G796" s="222"/>
      <c r="H796" s="506"/>
      <c r="I796" s="199"/>
      <c r="J796" s="506"/>
      <c r="K796" s="82"/>
      <c r="L796" s="506"/>
      <c r="M796" s="70"/>
      <c r="N796" s="70"/>
      <c r="O796" s="70"/>
      <c r="P796" s="70"/>
      <c r="Q796" s="70"/>
      <c r="R796" s="70"/>
      <c r="S796" s="70"/>
      <c r="T796" s="70"/>
      <c r="U796" s="70"/>
      <c r="V796" s="70"/>
      <c r="W796" s="70"/>
      <c r="X796" s="70"/>
      <c r="Y796" s="70"/>
    </row>
    <row r="797">
      <c r="A797" s="82"/>
      <c r="B797" s="506"/>
      <c r="C797" s="82"/>
      <c r="D797" s="506"/>
      <c r="E797" s="82"/>
      <c r="F797" s="506"/>
      <c r="G797" s="222"/>
      <c r="H797" s="506"/>
      <c r="I797" s="199"/>
      <c r="J797" s="506"/>
      <c r="K797" s="82"/>
      <c r="L797" s="506"/>
      <c r="M797" s="70"/>
      <c r="N797" s="70"/>
      <c r="O797" s="70"/>
      <c r="P797" s="70"/>
      <c r="Q797" s="70"/>
      <c r="R797" s="70"/>
      <c r="S797" s="70"/>
      <c r="T797" s="70"/>
      <c r="U797" s="70"/>
      <c r="V797" s="70"/>
      <c r="W797" s="70"/>
      <c r="X797" s="70"/>
      <c r="Y797" s="70"/>
    </row>
    <row r="798">
      <c r="A798" s="82"/>
      <c r="B798" s="506"/>
      <c r="C798" s="82"/>
      <c r="D798" s="506"/>
      <c r="E798" s="82"/>
      <c r="F798" s="506"/>
      <c r="G798" s="222"/>
      <c r="H798" s="506"/>
      <c r="I798" s="199"/>
      <c r="J798" s="506"/>
      <c r="K798" s="82"/>
      <c r="L798" s="506"/>
      <c r="M798" s="70"/>
      <c r="N798" s="70"/>
      <c r="O798" s="70"/>
      <c r="P798" s="70"/>
      <c r="Q798" s="70"/>
      <c r="R798" s="70"/>
      <c r="S798" s="70"/>
      <c r="T798" s="70"/>
      <c r="U798" s="70"/>
      <c r="V798" s="70"/>
      <c r="W798" s="70"/>
      <c r="X798" s="70"/>
      <c r="Y798" s="70"/>
    </row>
    <row r="799">
      <c r="A799" s="82"/>
      <c r="B799" s="506"/>
      <c r="C799" s="82"/>
      <c r="D799" s="506"/>
      <c r="E799" s="82"/>
      <c r="F799" s="506"/>
      <c r="G799" s="222"/>
      <c r="H799" s="506"/>
      <c r="I799" s="199"/>
      <c r="J799" s="506"/>
      <c r="K799" s="82"/>
      <c r="L799" s="506"/>
      <c r="M799" s="70"/>
      <c r="N799" s="70"/>
      <c r="O799" s="70"/>
      <c r="P799" s="70"/>
      <c r="Q799" s="70"/>
      <c r="R799" s="70"/>
      <c r="S799" s="70"/>
      <c r="T799" s="70"/>
      <c r="U799" s="70"/>
      <c r="V799" s="70"/>
      <c r="W799" s="70"/>
      <c r="X799" s="70"/>
      <c r="Y799" s="70"/>
    </row>
    <row r="800">
      <c r="A800" s="82"/>
      <c r="B800" s="506"/>
      <c r="C800" s="82"/>
      <c r="D800" s="506"/>
      <c r="E800" s="82"/>
      <c r="F800" s="506"/>
      <c r="G800" s="222"/>
      <c r="H800" s="506"/>
      <c r="I800" s="199"/>
      <c r="J800" s="506"/>
      <c r="K800" s="82"/>
      <c r="L800" s="506"/>
      <c r="M800" s="70"/>
      <c r="N800" s="70"/>
      <c r="O800" s="70"/>
      <c r="P800" s="70"/>
      <c r="Q800" s="70"/>
      <c r="R800" s="70"/>
      <c r="S800" s="70"/>
      <c r="T800" s="70"/>
      <c r="U800" s="70"/>
      <c r="V800" s="70"/>
      <c r="W800" s="70"/>
      <c r="X800" s="70"/>
      <c r="Y800" s="70"/>
    </row>
    <row r="801">
      <c r="A801" s="82"/>
      <c r="B801" s="506"/>
      <c r="C801" s="82"/>
      <c r="D801" s="506"/>
      <c r="E801" s="82"/>
      <c r="F801" s="506"/>
      <c r="G801" s="222"/>
      <c r="H801" s="506"/>
      <c r="I801" s="199"/>
      <c r="J801" s="506"/>
      <c r="K801" s="82"/>
      <c r="L801" s="506"/>
      <c r="M801" s="70"/>
      <c r="N801" s="70"/>
      <c r="O801" s="70"/>
      <c r="P801" s="70"/>
      <c r="Q801" s="70"/>
      <c r="R801" s="70"/>
      <c r="S801" s="70"/>
      <c r="T801" s="70"/>
      <c r="U801" s="70"/>
      <c r="V801" s="70"/>
      <c r="W801" s="70"/>
      <c r="X801" s="70"/>
      <c r="Y801" s="70"/>
    </row>
    <row r="802">
      <c r="A802" s="82"/>
      <c r="B802" s="506"/>
      <c r="C802" s="82"/>
      <c r="D802" s="506"/>
      <c r="E802" s="82"/>
      <c r="F802" s="506"/>
      <c r="G802" s="222"/>
      <c r="H802" s="506"/>
      <c r="I802" s="199"/>
      <c r="J802" s="506"/>
      <c r="K802" s="82"/>
      <c r="L802" s="506"/>
      <c r="M802" s="70"/>
      <c r="N802" s="70"/>
      <c r="O802" s="70"/>
      <c r="P802" s="70"/>
      <c r="Q802" s="70"/>
      <c r="R802" s="70"/>
      <c r="S802" s="70"/>
      <c r="T802" s="70"/>
      <c r="U802" s="70"/>
      <c r="V802" s="70"/>
      <c r="W802" s="70"/>
      <c r="X802" s="70"/>
      <c r="Y802" s="70"/>
    </row>
    <row r="803">
      <c r="A803" s="82"/>
      <c r="B803" s="506"/>
      <c r="C803" s="82"/>
      <c r="D803" s="506"/>
      <c r="E803" s="82"/>
      <c r="F803" s="506"/>
      <c r="G803" s="222"/>
      <c r="H803" s="506"/>
      <c r="I803" s="199"/>
      <c r="J803" s="506"/>
      <c r="K803" s="82"/>
      <c r="L803" s="506"/>
      <c r="M803" s="70"/>
      <c r="N803" s="70"/>
      <c r="O803" s="70"/>
      <c r="P803" s="70"/>
      <c r="Q803" s="70"/>
      <c r="R803" s="70"/>
      <c r="S803" s="70"/>
      <c r="T803" s="70"/>
      <c r="U803" s="70"/>
      <c r="V803" s="70"/>
      <c r="W803" s="70"/>
      <c r="X803" s="70"/>
      <c r="Y803" s="70"/>
    </row>
    <row r="804">
      <c r="A804" s="82"/>
      <c r="B804" s="506"/>
      <c r="C804" s="82"/>
      <c r="D804" s="506"/>
      <c r="E804" s="82"/>
      <c r="F804" s="506"/>
      <c r="G804" s="222"/>
      <c r="H804" s="506"/>
      <c r="I804" s="199"/>
      <c r="J804" s="506"/>
      <c r="K804" s="82"/>
      <c r="L804" s="506"/>
      <c r="M804" s="70"/>
      <c r="N804" s="70"/>
      <c r="O804" s="70"/>
      <c r="P804" s="70"/>
      <c r="Q804" s="70"/>
      <c r="R804" s="70"/>
      <c r="S804" s="70"/>
      <c r="T804" s="70"/>
      <c r="U804" s="70"/>
      <c r="V804" s="70"/>
      <c r="W804" s="70"/>
      <c r="X804" s="70"/>
      <c r="Y804" s="70"/>
    </row>
    <row r="805">
      <c r="A805" s="82"/>
      <c r="B805" s="506"/>
      <c r="C805" s="82"/>
      <c r="D805" s="506"/>
      <c r="E805" s="82"/>
      <c r="F805" s="506"/>
      <c r="G805" s="222"/>
      <c r="H805" s="506"/>
      <c r="I805" s="199"/>
      <c r="J805" s="506"/>
      <c r="K805" s="82"/>
      <c r="L805" s="506"/>
      <c r="M805" s="70"/>
      <c r="N805" s="70"/>
      <c r="O805" s="70"/>
      <c r="P805" s="70"/>
      <c r="Q805" s="70"/>
      <c r="R805" s="70"/>
      <c r="S805" s="70"/>
      <c r="T805" s="70"/>
      <c r="U805" s="70"/>
      <c r="V805" s="70"/>
      <c r="W805" s="70"/>
      <c r="X805" s="70"/>
      <c r="Y805" s="70"/>
    </row>
    <row r="806">
      <c r="A806" s="82"/>
      <c r="B806" s="506"/>
      <c r="C806" s="82"/>
      <c r="D806" s="506"/>
      <c r="E806" s="82"/>
      <c r="F806" s="506"/>
      <c r="G806" s="222"/>
      <c r="H806" s="506"/>
      <c r="I806" s="199"/>
      <c r="J806" s="506"/>
      <c r="K806" s="82"/>
      <c r="L806" s="506"/>
      <c r="M806" s="70"/>
      <c r="N806" s="70"/>
      <c r="O806" s="70"/>
      <c r="P806" s="70"/>
      <c r="Q806" s="70"/>
      <c r="R806" s="70"/>
      <c r="S806" s="70"/>
      <c r="T806" s="70"/>
      <c r="U806" s="70"/>
      <c r="V806" s="70"/>
      <c r="W806" s="70"/>
      <c r="X806" s="70"/>
      <c r="Y806" s="70"/>
    </row>
    <row r="807">
      <c r="A807" s="82"/>
      <c r="B807" s="506"/>
      <c r="C807" s="82"/>
      <c r="D807" s="506"/>
      <c r="E807" s="82"/>
      <c r="F807" s="506"/>
      <c r="G807" s="222"/>
      <c r="H807" s="506"/>
      <c r="I807" s="199"/>
      <c r="J807" s="506"/>
      <c r="K807" s="82"/>
      <c r="L807" s="506"/>
      <c r="M807" s="70"/>
      <c r="N807" s="70"/>
      <c r="O807" s="70"/>
      <c r="P807" s="70"/>
      <c r="Q807" s="70"/>
      <c r="R807" s="70"/>
      <c r="S807" s="70"/>
      <c r="T807" s="70"/>
      <c r="U807" s="70"/>
      <c r="V807" s="70"/>
      <c r="W807" s="70"/>
      <c r="X807" s="70"/>
      <c r="Y807" s="70"/>
    </row>
    <row r="808">
      <c r="A808" s="82"/>
      <c r="B808" s="506"/>
      <c r="C808" s="82"/>
      <c r="D808" s="506"/>
      <c r="E808" s="82"/>
      <c r="F808" s="506"/>
      <c r="G808" s="222"/>
      <c r="H808" s="506"/>
      <c r="I808" s="199"/>
      <c r="J808" s="506"/>
      <c r="K808" s="82"/>
      <c r="L808" s="506"/>
      <c r="M808" s="70"/>
      <c r="N808" s="70"/>
      <c r="O808" s="70"/>
      <c r="P808" s="70"/>
      <c r="Q808" s="70"/>
      <c r="R808" s="70"/>
      <c r="S808" s="70"/>
      <c r="T808" s="70"/>
      <c r="U808" s="70"/>
      <c r="V808" s="70"/>
      <c r="W808" s="70"/>
      <c r="X808" s="70"/>
      <c r="Y808" s="70"/>
    </row>
    <row r="809">
      <c r="A809" s="82"/>
      <c r="B809" s="506"/>
      <c r="C809" s="82"/>
      <c r="D809" s="506"/>
      <c r="E809" s="82"/>
      <c r="F809" s="506"/>
      <c r="G809" s="222"/>
      <c r="H809" s="506"/>
      <c r="I809" s="199"/>
      <c r="J809" s="506"/>
      <c r="K809" s="82"/>
      <c r="L809" s="506"/>
      <c r="M809" s="70"/>
      <c r="N809" s="70"/>
      <c r="O809" s="70"/>
      <c r="P809" s="70"/>
      <c r="Q809" s="70"/>
      <c r="R809" s="70"/>
      <c r="S809" s="70"/>
      <c r="T809" s="70"/>
      <c r="U809" s="70"/>
      <c r="V809" s="70"/>
      <c r="W809" s="70"/>
      <c r="X809" s="70"/>
      <c r="Y809" s="70"/>
    </row>
    <row r="810">
      <c r="A810" s="82"/>
      <c r="B810" s="506"/>
      <c r="C810" s="82"/>
      <c r="D810" s="506"/>
      <c r="E810" s="82"/>
      <c r="F810" s="506"/>
      <c r="G810" s="222"/>
      <c r="H810" s="506"/>
      <c r="I810" s="199"/>
      <c r="J810" s="506"/>
      <c r="K810" s="82"/>
      <c r="L810" s="506"/>
      <c r="M810" s="70"/>
      <c r="N810" s="70"/>
      <c r="O810" s="70"/>
      <c r="P810" s="70"/>
      <c r="Q810" s="70"/>
      <c r="R810" s="70"/>
      <c r="S810" s="70"/>
      <c r="T810" s="70"/>
      <c r="U810" s="70"/>
      <c r="V810" s="70"/>
      <c r="W810" s="70"/>
      <c r="X810" s="70"/>
      <c r="Y810" s="70"/>
    </row>
    <row r="811">
      <c r="A811" s="82"/>
      <c r="B811" s="506"/>
      <c r="C811" s="82"/>
      <c r="D811" s="506"/>
      <c r="E811" s="82"/>
      <c r="F811" s="506"/>
      <c r="G811" s="222"/>
      <c r="H811" s="506"/>
      <c r="I811" s="199"/>
      <c r="J811" s="506"/>
      <c r="K811" s="82"/>
      <c r="L811" s="506"/>
      <c r="M811" s="70"/>
      <c r="N811" s="70"/>
      <c r="O811" s="70"/>
      <c r="P811" s="70"/>
      <c r="Q811" s="70"/>
      <c r="R811" s="70"/>
      <c r="S811" s="70"/>
      <c r="T811" s="70"/>
      <c r="U811" s="70"/>
      <c r="V811" s="70"/>
      <c r="W811" s="70"/>
      <c r="X811" s="70"/>
      <c r="Y811" s="70"/>
    </row>
    <row r="812">
      <c r="A812" s="82"/>
      <c r="B812" s="506"/>
      <c r="C812" s="82"/>
      <c r="D812" s="506"/>
      <c r="E812" s="82"/>
      <c r="F812" s="506"/>
      <c r="G812" s="222"/>
      <c r="H812" s="506"/>
      <c r="I812" s="199"/>
      <c r="J812" s="506"/>
      <c r="K812" s="82"/>
      <c r="L812" s="506"/>
      <c r="M812" s="70"/>
      <c r="N812" s="70"/>
      <c r="O812" s="70"/>
      <c r="P812" s="70"/>
      <c r="Q812" s="70"/>
      <c r="R812" s="70"/>
      <c r="S812" s="70"/>
      <c r="T812" s="70"/>
      <c r="U812" s="70"/>
      <c r="V812" s="70"/>
      <c r="W812" s="70"/>
      <c r="X812" s="70"/>
      <c r="Y812" s="70"/>
    </row>
    <row r="813">
      <c r="A813" s="82"/>
      <c r="B813" s="506"/>
      <c r="C813" s="82"/>
      <c r="D813" s="506"/>
      <c r="E813" s="82"/>
      <c r="F813" s="506"/>
      <c r="G813" s="222"/>
      <c r="H813" s="506"/>
      <c r="I813" s="199"/>
      <c r="J813" s="506"/>
      <c r="K813" s="82"/>
      <c r="L813" s="506"/>
      <c r="M813" s="70"/>
      <c r="N813" s="70"/>
      <c r="O813" s="70"/>
      <c r="P813" s="70"/>
      <c r="Q813" s="70"/>
      <c r="R813" s="70"/>
      <c r="S813" s="70"/>
      <c r="T813" s="70"/>
      <c r="U813" s="70"/>
      <c r="V813" s="70"/>
      <c r="W813" s="70"/>
      <c r="X813" s="70"/>
      <c r="Y813" s="70"/>
    </row>
    <row r="814">
      <c r="A814" s="82"/>
      <c r="B814" s="506"/>
      <c r="C814" s="82"/>
      <c r="D814" s="506"/>
      <c r="E814" s="82"/>
      <c r="F814" s="506"/>
      <c r="G814" s="222"/>
      <c r="H814" s="506"/>
      <c r="I814" s="199"/>
      <c r="J814" s="506"/>
      <c r="K814" s="82"/>
      <c r="L814" s="506"/>
      <c r="M814" s="70"/>
      <c r="N814" s="70"/>
      <c r="O814" s="70"/>
      <c r="P814" s="70"/>
      <c r="Q814" s="70"/>
      <c r="R814" s="70"/>
      <c r="S814" s="70"/>
      <c r="T814" s="70"/>
      <c r="U814" s="70"/>
      <c r="V814" s="70"/>
      <c r="W814" s="70"/>
      <c r="X814" s="70"/>
      <c r="Y814" s="70"/>
    </row>
    <row r="815">
      <c r="A815" s="82"/>
      <c r="B815" s="506"/>
      <c r="C815" s="82"/>
      <c r="D815" s="506"/>
      <c r="E815" s="82"/>
      <c r="F815" s="506"/>
      <c r="G815" s="222"/>
      <c r="H815" s="506"/>
      <c r="I815" s="199"/>
      <c r="J815" s="506"/>
      <c r="K815" s="82"/>
      <c r="L815" s="506"/>
      <c r="M815" s="70"/>
      <c r="N815" s="70"/>
      <c r="O815" s="70"/>
      <c r="P815" s="70"/>
      <c r="Q815" s="70"/>
      <c r="R815" s="70"/>
      <c r="S815" s="70"/>
      <c r="T815" s="70"/>
      <c r="U815" s="70"/>
      <c r="V815" s="70"/>
      <c r="W815" s="70"/>
      <c r="X815" s="70"/>
      <c r="Y815" s="70"/>
    </row>
    <row r="816">
      <c r="A816" s="82"/>
      <c r="B816" s="506"/>
      <c r="C816" s="82"/>
      <c r="D816" s="506"/>
      <c r="E816" s="82"/>
      <c r="F816" s="506"/>
      <c r="G816" s="222"/>
      <c r="H816" s="506"/>
      <c r="I816" s="199"/>
      <c r="J816" s="506"/>
      <c r="K816" s="82"/>
      <c r="L816" s="506"/>
      <c r="M816" s="70"/>
      <c r="N816" s="70"/>
      <c r="O816" s="70"/>
      <c r="P816" s="70"/>
      <c r="Q816" s="70"/>
      <c r="R816" s="70"/>
      <c r="S816" s="70"/>
      <c r="T816" s="70"/>
      <c r="U816" s="70"/>
      <c r="V816" s="70"/>
      <c r="W816" s="70"/>
      <c r="X816" s="70"/>
      <c r="Y816" s="70"/>
    </row>
    <row r="817">
      <c r="A817" s="82"/>
      <c r="B817" s="506"/>
      <c r="C817" s="82"/>
      <c r="D817" s="506"/>
      <c r="E817" s="82"/>
      <c r="F817" s="506"/>
      <c r="G817" s="222"/>
      <c r="H817" s="506"/>
      <c r="I817" s="199"/>
      <c r="J817" s="506"/>
      <c r="K817" s="82"/>
      <c r="L817" s="506"/>
      <c r="M817" s="70"/>
      <c r="N817" s="70"/>
      <c r="O817" s="70"/>
      <c r="P817" s="70"/>
      <c r="Q817" s="70"/>
      <c r="R817" s="70"/>
      <c r="S817" s="70"/>
      <c r="T817" s="70"/>
      <c r="U817" s="70"/>
      <c r="V817" s="70"/>
      <c r="W817" s="70"/>
      <c r="X817" s="70"/>
      <c r="Y817" s="70"/>
    </row>
    <row r="818">
      <c r="A818" s="82"/>
      <c r="B818" s="506"/>
      <c r="C818" s="82"/>
      <c r="D818" s="506"/>
      <c r="E818" s="82"/>
      <c r="F818" s="506"/>
      <c r="G818" s="222"/>
      <c r="H818" s="506"/>
      <c r="I818" s="199"/>
      <c r="J818" s="506"/>
      <c r="K818" s="82"/>
      <c r="L818" s="506"/>
      <c r="M818" s="70"/>
      <c r="N818" s="70"/>
      <c r="O818" s="70"/>
      <c r="P818" s="70"/>
      <c r="Q818" s="70"/>
      <c r="R818" s="70"/>
      <c r="S818" s="70"/>
      <c r="T818" s="70"/>
      <c r="U818" s="70"/>
      <c r="V818" s="70"/>
      <c r="W818" s="70"/>
      <c r="X818" s="70"/>
      <c r="Y818" s="70"/>
    </row>
    <row r="819">
      <c r="A819" s="82"/>
      <c r="B819" s="506"/>
      <c r="C819" s="82"/>
      <c r="D819" s="506"/>
      <c r="E819" s="82"/>
      <c r="F819" s="506"/>
      <c r="G819" s="222"/>
      <c r="H819" s="506"/>
      <c r="I819" s="199"/>
      <c r="J819" s="506"/>
      <c r="K819" s="82"/>
      <c r="L819" s="506"/>
      <c r="M819" s="70"/>
      <c r="N819" s="70"/>
      <c r="O819" s="70"/>
      <c r="P819" s="70"/>
      <c r="Q819" s="70"/>
      <c r="R819" s="70"/>
      <c r="S819" s="70"/>
      <c r="T819" s="70"/>
      <c r="U819" s="70"/>
      <c r="V819" s="70"/>
      <c r="W819" s="70"/>
      <c r="X819" s="70"/>
      <c r="Y819" s="70"/>
    </row>
    <row r="820">
      <c r="A820" s="82"/>
      <c r="B820" s="506"/>
      <c r="C820" s="82"/>
      <c r="D820" s="506"/>
      <c r="E820" s="82"/>
      <c r="F820" s="506"/>
      <c r="G820" s="222"/>
      <c r="H820" s="506"/>
      <c r="I820" s="199"/>
      <c r="J820" s="506"/>
      <c r="K820" s="82"/>
      <c r="L820" s="506"/>
      <c r="M820" s="70"/>
      <c r="N820" s="70"/>
      <c r="O820" s="70"/>
      <c r="P820" s="70"/>
      <c r="Q820" s="70"/>
      <c r="R820" s="70"/>
      <c r="S820" s="70"/>
      <c r="T820" s="70"/>
      <c r="U820" s="70"/>
      <c r="V820" s="70"/>
      <c r="W820" s="70"/>
      <c r="X820" s="70"/>
      <c r="Y820" s="70"/>
    </row>
    <row r="821">
      <c r="A821" s="82"/>
      <c r="B821" s="506"/>
      <c r="C821" s="82"/>
      <c r="D821" s="506"/>
      <c r="E821" s="82"/>
      <c r="F821" s="506"/>
      <c r="G821" s="222"/>
      <c r="H821" s="506"/>
      <c r="I821" s="199"/>
      <c r="J821" s="506"/>
      <c r="K821" s="82"/>
      <c r="L821" s="506"/>
      <c r="M821" s="70"/>
      <c r="N821" s="70"/>
      <c r="O821" s="70"/>
      <c r="P821" s="70"/>
      <c r="Q821" s="70"/>
      <c r="R821" s="70"/>
      <c r="S821" s="70"/>
      <c r="T821" s="70"/>
      <c r="U821" s="70"/>
      <c r="V821" s="70"/>
      <c r="W821" s="70"/>
      <c r="X821" s="70"/>
      <c r="Y821" s="70"/>
    </row>
    <row r="822">
      <c r="A822" s="82"/>
      <c r="B822" s="506"/>
      <c r="C822" s="82"/>
      <c r="D822" s="506"/>
      <c r="E822" s="82"/>
      <c r="F822" s="506"/>
      <c r="G822" s="222"/>
      <c r="H822" s="506"/>
      <c r="I822" s="199"/>
      <c r="J822" s="506"/>
      <c r="K822" s="82"/>
      <c r="L822" s="506"/>
      <c r="M822" s="70"/>
      <c r="N822" s="70"/>
      <c r="O822" s="70"/>
      <c r="P822" s="70"/>
      <c r="Q822" s="70"/>
      <c r="R822" s="70"/>
      <c r="S822" s="70"/>
      <c r="T822" s="70"/>
      <c r="U822" s="70"/>
      <c r="V822" s="70"/>
      <c r="W822" s="70"/>
      <c r="X822" s="70"/>
      <c r="Y822" s="70"/>
    </row>
    <row r="823">
      <c r="A823" s="82"/>
      <c r="B823" s="506"/>
      <c r="C823" s="82"/>
      <c r="D823" s="506"/>
      <c r="E823" s="82"/>
      <c r="F823" s="506"/>
      <c r="G823" s="222"/>
      <c r="H823" s="506"/>
      <c r="I823" s="199"/>
      <c r="J823" s="506"/>
      <c r="K823" s="82"/>
      <c r="L823" s="506"/>
      <c r="M823" s="70"/>
      <c r="N823" s="70"/>
      <c r="O823" s="70"/>
      <c r="P823" s="70"/>
      <c r="Q823" s="70"/>
      <c r="R823" s="70"/>
      <c r="S823" s="70"/>
      <c r="T823" s="70"/>
      <c r="U823" s="70"/>
      <c r="V823" s="70"/>
      <c r="W823" s="70"/>
      <c r="X823" s="70"/>
      <c r="Y823" s="70"/>
    </row>
    <row r="824">
      <c r="A824" s="82"/>
      <c r="B824" s="506"/>
      <c r="C824" s="82"/>
      <c r="D824" s="506"/>
      <c r="E824" s="82"/>
      <c r="F824" s="506"/>
      <c r="G824" s="222"/>
      <c r="H824" s="506"/>
      <c r="I824" s="199"/>
      <c r="J824" s="506"/>
      <c r="K824" s="82"/>
      <c r="L824" s="506"/>
      <c r="M824" s="70"/>
      <c r="N824" s="70"/>
      <c r="O824" s="70"/>
      <c r="P824" s="70"/>
      <c r="Q824" s="70"/>
      <c r="R824" s="70"/>
      <c r="S824" s="70"/>
      <c r="T824" s="70"/>
      <c r="U824" s="70"/>
      <c r="V824" s="70"/>
      <c r="W824" s="70"/>
      <c r="X824" s="70"/>
      <c r="Y824" s="70"/>
    </row>
    <row r="825">
      <c r="A825" s="82"/>
      <c r="B825" s="506"/>
      <c r="C825" s="82"/>
      <c r="D825" s="506"/>
      <c r="E825" s="82"/>
      <c r="F825" s="506"/>
      <c r="G825" s="222"/>
      <c r="H825" s="506"/>
      <c r="I825" s="199"/>
      <c r="J825" s="506"/>
      <c r="K825" s="82"/>
      <c r="L825" s="506"/>
      <c r="M825" s="70"/>
      <c r="N825" s="70"/>
      <c r="O825" s="70"/>
      <c r="P825" s="70"/>
      <c r="Q825" s="70"/>
      <c r="R825" s="70"/>
      <c r="S825" s="70"/>
      <c r="T825" s="70"/>
      <c r="U825" s="70"/>
      <c r="V825" s="70"/>
      <c r="W825" s="70"/>
      <c r="X825" s="70"/>
      <c r="Y825" s="70"/>
    </row>
    <row r="826">
      <c r="A826" s="82"/>
      <c r="B826" s="506"/>
      <c r="C826" s="82"/>
      <c r="D826" s="506"/>
      <c r="E826" s="82"/>
      <c r="F826" s="506"/>
      <c r="G826" s="222"/>
      <c r="H826" s="506"/>
      <c r="I826" s="199"/>
      <c r="J826" s="506"/>
      <c r="K826" s="82"/>
      <c r="L826" s="506"/>
      <c r="M826" s="70"/>
      <c r="N826" s="70"/>
      <c r="O826" s="70"/>
      <c r="P826" s="70"/>
      <c r="Q826" s="70"/>
      <c r="R826" s="70"/>
      <c r="S826" s="70"/>
      <c r="T826" s="70"/>
      <c r="U826" s="70"/>
      <c r="V826" s="70"/>
      <c r="W826" s="70"/>
      <c r="X826" s="70"/>
      <c r="Y826" s="70"/>
    </row>
    <row r="827">
      <c r="A827" s="82"/>
      <c r="B827" s="506"/>
      <c r="C827" s="82"/>
      <c r="D827" s="506"/>
      <c r="E827" s="82"/>
      <c r="F827" s="506"/>
      <c r="G827" s="222"/>
      <c r="H827" s="506"/>
      <c r="I827" s="199"/>
      <c r="J827" s="506"/>
      <c r="K827" s="82"/>
      <c r="L827" s="506"/>
      <c r="M827" s="70"/>
      <c r="N827" s="70"/>
      <c r="O827" s="70"/>
      <c r="P827" s="70"/>
      <c r="Q827" s="70"/>
      <c r="R827" s="70"/>
      <c r="S827" s="70"/>
      <c r="T827" s="70"/>
      <c r="U827" s="70"/>
      <c r="V827" s="70"/>
      <c r="W827" s="70"/>
      <c r="X827" s="70"/>
      <c r="Y827" s="70"/>
    </row>
    <row r="828">
      <c r="A828" s="82"/>
      <c r="B828" s="506"/>
      <c r="C828" s="82"/>
      <c r="D828" s="506"/>
      <c r="E828" s="82"/>
      <c r="F828" s="506"/>
      <c r="G828" s="222"/>
      <c r="H828" s="506"/>
      <c r="I828" s="199"/>
      <c r="J828" s="506"/>
      <c r="K828" s="82"/>
      <c r="L828" s="506"/>
      <c r="M828" s="70"/>
      <c r="N828" s="70"/>
      <c r="O828" s="70"/>
      <c r="P828" s="70"/>
      <c r="Q828" s="70"/>
      <c r="R828" s="70"/>
      <c r="S828" s="70"/>
      <c r="T828" s="70"/>
      <c r="U828" s="70"/>
      <c r="V828" s="70"/>
      <c r="W828" s="70"/>
      <c r="X828" s="70"/>
      <c r="Y828" s="70"/>
    </row>
    <row r="829">
      <c r="A829" s="82"/>
      <c r="B829" s="506"/>
      <c r="C829" s="82"/>
      <c r="D829" s="506"/>
      <c r="E829" s="82"/>
      <c r="F829" s="506"/>
      <c r="G829" s="222"/>
      <c r="H829" s="506"/>
      <c r="I829" s="199"/>
      <c r="J829" s="506"/>
      <c r="K829" s="82"/>
      <c r="L829" s="506"/>
      <c r="M829" s="70"/>
      <c r="N829" s="70"/>
      <c r="O829" s="70"/>
      <c r="P829" s="70"/>
      <c r="Q829" s="70"/>
      <c r="R829" s="70"/>
      <c r="S829" s="70"/>
      <c r="T829" s="70"/>
      <c r="U829" s="70"/>
      <c r="V829" s="70"/>
      <c r="W829" s="70"/>
      <c r="X829" s="70"/>
      <c r="Y829" s="70"/>
    </row>
    <row r="830">
      <c r="A830" s="82"/>
      <c r="B830" s="506"/>
      <c r="C830" s="82"/>
      <c r="D830" s="506"/>
      <c r="E830" s="82"/>
      <c r="F830" s="506"/>
      <c r="G830" s="222"/>
      <c r="H830" s="506"/>
      <c r="I830" s="199"/>
      <c r="J830" s="506"/>
      <c r="K830" s="82"/>
      <c r="L830" s="506"/>
      <c r="M830" s="70"/>
      <c r="N830" s="70"/>
      <c r="O830" s="70"/>
      <c r="P830" s="70"/>
      <c r="Q830" s="70"/>
      <c r="R830" s="70"/>
      <c r="S830" s="70"/>
      <c r="T830" s="70"/>
      <c r="U830" s="70"/>
      <c r="V830" s="70"/>
      <c r="W830" s="70"/>
      <c r="X830" s="70"/>
      <c r="Y830" s="70"/>
    </row>
    <row r="831">
      <c r="A831" s="82"/>
      <c r="B831" s="506"/>
      <c r="C831" s="82"/>
      <c r="D831" s="506"/>
      <c r="E831" s="82"/>
      <c r="F831" s="506"/>
      <c r="G831" s="222"/>
      <c r="H831" s="506"/>
      <c r="I831" s="199"/>
      <c r="J831" s="506"/>
      <c r="K831" s="82"/>
      <c r="L831" s="506"/>
      <c r="M831" s="70"/>
      <c r="N831" s="70"/>
      <c r="O831" s="70"/>
      <c r="P831" s="70"/>
      <c r="Q831" s="70"/>
      <c r="R831" s="70"/>
      <c r="S831" s="70"/>
      <c r="T831" s="70"/>
      <c r="U831" s="70"/>
      <c r="V831" s="70"/>
      <c r="W831" s="70"/>
      <c r="X831" s="70"/>
      <c r="Y831" s="70"/>
    </row>
    <row r="832">
      <c r="A832" s="82"/>
      <c r="B832" s="506"/>
      <c r="C832" s="82"/>
      <c r="D832" s="506"/>
      <c r="E832" s="82"/>
      <c r="F832" s="506"/>
      <c r="G832" s="222"/>
      <c r="H832" s="506"/>
      <c r="I832" s="199"/>
      <c r="J832" s="506"/>
      <c r="K832" s="82"/>
      <c r="L832" s="506"/>
      <c r="M832" s="70"/>
      <c r="N832" s="70"/>
      <c r="O832" s="70"/>
      <c r="P832" s="70"/>
      <c r="Q832" s="70"/>
      <c r="R832" s="70"/>
      <c r="S832" s="70"/>
      <c r="T832" s="70"/>
      <c r="U832" s="70"/>
      <c r="V832" s="70"/>
      <c r="W832" s="70"/>
      <c r="X832" s="70"/>
      <c r="Y832" s="70"/>
    </row>
    <row r="833">
      <c r="A833" s="82"/>
      <c r="B833" s="506"/>
      <c r="C833" s="82"/>
      <c r="D833" s="506"/>
      <c r="E833" s="82"/>
      <c r="F833" s="506"/>
      <c r="G833" s="222"/>
      <c r="H833" s="506"/>
      <c r="I833" s="199"/>
      <c r="J833" s="506"/>
      <c r="K833" s="82"/>
      <c r="L833" s="506"/>
      <c r="M833" s="70"/>
      <c r="N833" s="70"/>
      <c r="O833" s="70"/>
      <c r="P833" s="70"/>
      <c r="Q833" s="70"/>
      <c r="R833" s="70"/>
      <c r="S833" s="70"/>
      <c r="T833" s="70"/>
      <c r="U833" s="70"/>
      <c r="V833" s="70"/>
      <c r="W833" s="70"/>
      <c r="X833" s="70"/>
      <c r="Y833" s="70"/>
    </row>
    <row r="834">
      <c r="A834" s="82"/>
      <c r="B834" s="506"/>
      <c r="C834" s="82"/>
      <c r="D834" s="506"/>
      <c r="E834" s="82"/>
      <c r="F834" s="506"/>
      <c r="G834" s="222"/>
      <c r="H834" s="506"/>
      <c r="I834" s="199"/>
      <c r="J834" s="506"/>
      <c r="K834" s="82"/>
      <c r="L834" s="506"/>
      <c r="M834" s="70"/>
      <c r="N834" s="70"/>
      <c r="O834" s="70"/>
      <c r="P834" s="70"/>
      <c r="Q834" s="70"/>
      <c r="R834" s="70"/>
      <c r="S834" s="70"/>
      <c r="T834" s="70"/>
      <c r="U834" s="70"/>
      <c r="V834" s="70"/>
      <c r="W834" s="70"/>
      <c r="X834" s="70"/>
      <c r="Y834" s="70"/>
    </row>
    <row r="835">
      <c r="A835" s="82"/>
      <c r="B835" s="506"/>
      <c r="C835" s="82"/>
      <c r="D835" s="506"/>
      <c r="E835" s="82"/>
      <c r="F835" s="506"/>
      <c r="G835" s="222"/>
      <c r="H835" s="506"/>
      <c r="I835" s="199"/>
      <c r="J835" s="506"/>
      <c r="K835" s="82"/>
      <c r="L835" s="506"/>
      <c r="M835" s="70"/>
      <c r="N835" s="70"/>
      <c r="O835" s="70"/>
      <c r="P835" s="70"/>
      <c r="Q835" s="70"/>
      <c r="R835" s="70"/>
      <c r="S835" s="70"/>
      <c r="T835" s="70"/>
      <c r="U835" s="70"/>
      <c r="V835" s="70"/>
      <c r="W835" s="70"/>
      <c r="X835" s="70"/>
      <c r="Y835" s="70"/>
    </row>
    <row r="836">
      <c r="A836" s="82"/>
      <c r="B836" s="506"/>
      <c r="C836" s="82"/>
      <c r="D836" s="506"/>
      <c r="E836" s="82"/>
      <c r="F836" s="506"/>
      <c r="G836" s="222"/>
      <c r="H836" s="506"/>
      <c r="I836" s="199"/>
      <c r="J836" s="506"/>
      <c r="K836" s="82"/>
      <c r="L836" s="506"/>
      <c r="M836" s="70"/>
      <c r="N836" s="70"/>
      <c r="O836" s="70"/>
      <c r="P836" s="70"/>
      <c r="Q836" s="70"/>
      <c r="R836" s="70"/>
      <c r="S836" s="70"/>
      <c r="T836" s="70"/>
      <c r="U836" s="70"/>
      <c r="V836" s="70"/>
      <c r="W836" s="70"/>
      <c r="X836" s="70"/>
      <c r="Y836" s="70"/>
    </row>
    <row r="837">
      <c r="A837" s="82"/>
      <c r="B837" s="506"/>
      <c r="C837" s="82"/>
      <c r="D837" s="506"/>
      <c r="E837" s="82"/>
      <c r="F837" s="506"/>
      <c r="G837" s="222"/>
      <c r="H837" s="506"/>
      <c r="I837" s="199"/>
      <c r="J837" s="506"/>
      <c r="K837" s="82"/>
      <c r="L837" s="506"/>
      <c r="M837" s="70"/>
      <c r="N837" s="70"/>
      <c r="O837" s="70"/>
      <c r="P837" s="70"/>
      <c r="Q837" s="70"/>
      <c r="R837" s="70"/>
      <c r="S837" s="70"/>
      <c r="T837" s="70"/>
      <c r="U837" s="70"/>
      <c r="V837" s="70"/>
      <c r="W837" s="70"/>
      <c r="X837" s="70"/>
      <c r="Y837" s="70"/>
    </row>
    <row r="838">
      <c r="A838" s="82"/>
      <c r="B838" s="506"/>
      <c r="C838" s="82"/>
      <c r="D838" s="506"/>
      <c r="E838" s="82"/>
      <c r="F838" s="506"/>
      <c r="G838" s="222"/>
      <c r="H838" s="506"/>
      <c r="I838" s="199"/>
      <c r="J838" s="506"/>
      <c r="K838" s="82"/>
      <c r="L838" s="506"/>
      <c r="M838" s="70"/>
      <c r="N838" s="70"/>
      <c r="O838" s="70"/>
      <c r="P838" s="70"/>
      <c r="Q838" s="70"/>
      <c r="R838" s="70"/>
      <c r="S838" s="70"/>
      <c r="T838" s="70"/>
      <c r="U838" s="70"/>
      <c r="V838" s="70"/>
      <c r="W838" s="70"/>
      <c r="X838" s="70"/>
      <c r="Y838" s="70"/>
    </row>
    <row r="839">
      <c r="A839" s="82"/>
      <c r="B839" s="506"/>
      <c r="C839" s="82"/>
      <c r="D839" s="506"/>
      <c r="E839" s="82"/>
      <c r="F839" s="506"/>
      <c r="G839" s="222"/>
      <c r="H839" s="506"/>
      <c r="I839" s="199"/>
      <c r="J839" s="506"/>
      <c r="K839" s="82"/>
      <c r="L839" s="506"/>
      <c r="M839" s="70"/>
      <c r="N839" s="70"/>
      <c r="O839" s="70"/>
      <c r="P839" s="70"/>
      <c r="Q839" s="70"/>
      <c r="R839" s="70"/>
      <c r="S839" s="70"/>
      <c r="T839" s="70"/>
      <c r="U839" s="70"/>
      <c r="V839" s="70"/>
      <c r="W839" s="70"/>
      <c r="X839" s="70"/>
      <c r="Y839" s="70"/>
    </row>
    <row r="840">
      <c r="A840" s="82"/>
      <c r="B840" s="506"/>
      <c r="C840" s="82"/>
      <c r="D840" s="506"/>
      <c r="E840" s="82"/>
      <c r="F840" s="506"/>
      <c r="G840" s="222"/>
      <c r="H840" s="506"/>
      <c r="I840" s="199"/>
      <c r="J840" s="506"/>
      <c r="K840" s="82"/>
      <c r="L840" s="506"/>
      <c r="M840" s="70"/>
      <c r="N840" s="70"/>
      <c r="O840" s="70"/>
      <c r="P840" s="70"/>
      <c r="Q840" s="70"/>
      <c r="R840" s="70"/>
      <c r="S840" s="70"/>
      <c r="T840" s="70"/>
      <c r="U840" s="70"/>
      <c r="V840" s="70"/>
      <c r="W840" s="70"/>
      <c r="X840" s="70"/>
      <c r="Y840" s="70"/>
    </row>
    <row r="841">
      <c r="A841" s="82"/>
      <c r="B841" s="506"/>
      <c r="C841" s="82"/>
      <c r="D841" s="506"/>
      <c r="E841" s="82"/>
      <c r="F841" s="506"/>
      <c r="G841" s="222"/>
      <c r="H841" s="506"/>
      <c r="I841" s="199"/>
      <c r="J841" s="506"/>
      <c r="K841" s="82"/>
      <c r="L841" s="506"/>
      <c r="M841" s="70"/>
      <c r="N841" s="70"/>
      <c r="O841" s="70"/>
      <c r="P841" s="70"/>
      <c r="Q841" s="70"/>
      <c r="R841" s="70"/>
      <c r="S841" s="70"/>
      <c r="T841" s="70"/>
      <c r="U841" s="70"/>
      <c r="V841" s="70"/>
      <c r="W841" s="70"/>
      <c r="X841" s="70"/>
      <c r="Y841" s="70"/>
    </row>
    <row r="842">
      <c r="A842" s="82"/>
      <c r="B842" s="506"/>
      <c r="C842" s="82"/>
      <c r="D842" s="506"/>
      <c r="E842" s="82"/>
      <c r="F842" s="506"/>
      <c r="G842" s="222"/>
      <c r="H842" s="506"/>
      <c r="I842" s="199"/>
      <c r="J842" s="506"/>
      <c r="K842" s="82"/>
      <c r="L842" s="506"/>
      <c r="M842" s="70"/>
      <c r="N842" s="70"/>
      <c r="O842" s="70"/>
      <c r="P842" s="70"/>
      <c r="Q842" s="70"/>
      <c r="R842" s="70"/>
      <c r="S842" s="70"/>
      <c r="T842" s="70"/>
      <c r="U842" s="70"/>
      <c r="V842" s="70"/>
      <c r="W842" s="70"/>
      <c r="X842" s="70"/>
      <c r="Y842" s="70"/>
    </row>
    <row r="843">
      <c r="A843" s="82"/>
      <c r="B843" s="506"/>
      <c r="C843" s="82"/>
      <c r="D843" s="506"/>
      <c r="E843" s="82"/>
      <c r="F843" s="506"/>
      <c r="G843" s="222"/>
      <c r="H843" s="506"/>
      <c r="I843" s="199"/>
      <c r="J843" s="506"/>
      <c r="K843" s="82"/>
      <c r="L843" s="506"/>
      <c r="M843" s="70"/>
      <c r="N843" s="70"/>
      <c r="O843" s="70"/>
      <c r="P843" s="70"/>
      <c r="Q843" s="70"/>
      <c r="R843" s="70"/>
      <c r="S843" s="70"/>
      <c r="T843" s="70"/>
      <c r="U843" s="70"/>
      <c r="V843" s="70"/>
      <c r="W843" s="70"/>
      <c r="X843" s="70"/>
      <c r="Y843" s="70"/>
    </row>
    <row r="844">
      <c r="A844" s="82"/>
      <c r="B844" s="506"/>
      <c r="C844" s="82"/>
      <c r="D844" s="506"/>
      <c r="E844" s="82"/>
      <c r="F844" s="506"/>
      <c r="G844" s="222"/>
      <c r="H844" s="506"/>
      <c r="I844" s="199"/>
      <c r="J844" s="506"/>
      <c r="K844" s="82"/>
      <c r="L844" s="506"/>
      <c r="M844" s="70"/>
      <c r="N844" s="70"/>
      <c r="O844" s="70"/>
      <c r="P844" s="70"/>
      <c r="Q844" s="70"/>
      <c r="R844" s="70"/>
      <c r="S844" s="70"/>
      <c r="T844" s="70"/>
      <c r="U844" s="70"/>
      <c r="V844" s="70"/>
      <c r="W844" s="70"/>
      <c r="X844" s="70"/>
      <c r="Y844" s="70"/>
    </row>
    <row r="845">
      <c r="A845" s="82"/>
      <c r="B845" s="506"/>
      <c r="C845" s="82"/>
      <c r="D845" s="506"/>
      <c r="E845" s="82"/>
      <c r="F845" s="506"/>
      <c r="G845" s="222"/>
      <c r="H845" s="506"/>
      <c r="I845" s="199"/>
      <c r="J845" s="506"/>
      <c r="K845" s="82"/>
      <c r="L845" s="506"/>
      <c r="M845" s="70"/>
      <c r="N845" s="70"/>
      <c r="O845" s="70"/>
      <c r="P845" s="70"/>
      <c r="Q845" s="70"/>
      <c r="R845" s="70"/>
      <c r="S845" s="70"/>
      <c r="T845" s="70"/>
      <c r="U845" s="70"/>
      <c r="V845" s="70"/>
      <c r="W845" s="70"/>
      <c r="X845" s="70"/>
      <c r="Y845" s="70"/>
    </row>
    <row r="846">
      <c r="A846" s="82"/>
      <c r="B846" s="506"/>
      <c r="C846" s="82"/>
      <c r="D846" s="506"/>
      <c r="E846" s="82"/>
      <c r="F846" s="506"/>
      <c r="G846" s="222"/>
      <c r="H846" s="506"/>
      <c r="I846" s="199"/>
      <c r="J846" s="506"/>
      <c r="K846" s="82"/>
      <c r="L846" s="506"/>
      <c r="M846" s="70"/>
      <c r="N846" s="70"/>
      <c r="O846" s="70"/>
      <c r="P846" s="70"/>
      <c r="Q846" s="70"/>
      <c r="R846" s="70"/>
      <c r="S846" s="70"/>
      <c r="T846" s="70"/>
      <c r="U846" s="70"/>
      <c r="V846" s="70"/>
      <c r="W846" s="70"/>
      <c r="X846" s="70"/>
      <c r="Y846" s="70"/>
    </row>
    <row r="847">
      <c r="A847" s="82"/>
      <c r="B847" s="506"/>
      <c r="C847" s="82"/>
      <c r="D847" s="506"/>
      <c r="E847" s="82"/>
      <c r="F847" s="506"/>
      <c r="G847" s="222"/>
      <c r="H847" s="506"/>
      <c r="I847" s="199"/>
      <c r="J847" s="506"/>
      <c r="K847" s="82"/>
      <c r="L847" s="506"/>
      <c r="M847" s="70"/>
      <c r="N847" s="70"/>
      <c r="O847" s="70"/>
      <c r="P847" s="70"/>
      <c r="Q847" s="70"/>
      <c r="R847" s="70"/>
      <c r="S847" s="70"/>
      <c r="T847" s="70"/>
      <c r="U847" s="70"/>
      <c r="V847" s="70"/>
      <c r="W847" s="70"/>
      <c r="X847" s="70"/>
      <c r="Y847" s="70"/>
    </row>
    <row r="848">
      <c r="A848" s="82"/>
      <c r="B848" s="506"/>
      <c r="C848" s="82"/>
      <c r="D848" s="506"/>
      <c r="E848" s="82"/>
      <c r="F848" s="506"/>
      <c r="G848" s="222"/>
      <c r="H848" s="506"/>
      <c r="I848" s="199"/>
      <c r="J848" s="506"/>
      <c r="K848" s="82"/>
      <c r="L848" s="506"/>
      <c r="M848" s="70"/>
      <c r="N848" s="70"/>
      <c r="O848" s="70"/>
      <c r="P848" s="70"/>
      <c r="Q848" s="70"/>
      <c r="R848" s="70"/>
      <c r="S848" s="70"/>
      <c r="T848" s="70"/>
      <c r="U848" s="70"/>
      <c r="V848" s="70"/>
      <c r="W848" s="70"/>
      <c r="X848" s="70"/>
      <c r="Y848" s="70"/>
    </row>
    <row r="849">
      <c r="A849" s="82"/>
      <c r="B849" s="506"/>
      <c r="C849" s="82"/>
      <c r="D849" s="506"/>
      <c r="E849" s="82"/>
      <c r="F849" s="506"/>
      <c r="G849" s="222"/>
      <c r="H849" s="506"/>
      <c r="I849" s="199"/>
      <c r="J849" s="506"/>
      <c r="K849" s="82"/>
      <c r="L849" s="506"/>
      <c r="M849" s="70"/>
      <c r="N849" s="70"/>
      <c r="O849" s="70"/>
      <c r="P849" s="70"/>
      <c r="Q849" s="70"/>
      <c r="R849" s="70"/>
      <c r="S849" s="70"/>
      <c r="T849" s="70"/>
      <c r="U849" s="70"/>
      <c r="V849" s="70"/>
      <c r="W849" s="70"/>
      <c r="X849" s="70"/>
      <c r="Y849" s="70"/>
    </row>
    <row r="850">
      <c r="A850" s="82"/>
      <c r="B850" s="506"/>
      <c r="C850" s="82"/>
      <c r="D850" s="506"/>
      <c r="E850" s="82"/>
      <c r="F850" s="506"/>
      <c r="G850" s="222"/>
      <c r="H850" s="506"/>
      <c r="I850" s="199"/>
      <c r="J850" s="506"/>
      <c r="K850" s="82"/>
      <c r="L850" s="506"/>
      <c r="M850" s="70"/>
      <c r="N850" s="70"/>
      <c r="O850" s="70"/>
      <c r="P850" s="70"/>
      <c r="Q850" s="70"/>
      <c r="R850" s="70"/>
      <c r="S850" s="70"/>
      <c r="T850" s="70"/>
      <c r="U850" s="70"/>
      <c r="V850" s="70"/>
      <c r="W850" s="70"/>
      <c r="X850" s="70"/>
      <c r="Y850" s="70"/>
    </row>
    <row r="851">
      <c r="A851" s="82"/>
      <c r="B851" s="506"/>
      <c r="C851" s="82"/>
      <c r="D851" s="506"/>
      <c r="E851" s="82"/>
      <c r="F851" s="506"/>
      <c r="G851" s="222"/>
      <c r="H851" s="506"/>
      <c r="I851" s="199"/>
      <c r="J851" s="506"/>
      <c r="K851" s="82"/>
      <c r="L851" s="506"/>
      <c r="M851" s="70"/>
      <c r="N851" s="70"/>
      <c r="O851" s="70"/>
      <c r="P851" s="70"/>
      <c r="Q851" s="70"/>
      <c r="R851" s="70"/>
      <c r="S851" s="70"/>
      <c r="T851" s="70"/>
      <c r="U851" s="70"/>
      <c r="V851" s="70"/>
      <c r="W851" s="70"/>
      <c r="X851" s="70"/>
      <c r="Y851" s="70"/>
    </row>
    <row r="852">
      <c r="A852" s="82"/>
      <c r="B852" s="506"/>
      <c r="C852" s="82"/>
      <c r="D852" s="506"/>
      <c r="E852" s="82"/>
      <c r="F852" s="506"/>
      <c r="G852" s="222"/>
      <c r="H852" s="506"/>
      <c r="I852" s="199"/>
      <c r="J852" s="506"/>
      <c r="K852" s="82"/>
      <c r="L852" s="506"/>
      <c r="M852" s="70"/>
      <c r="N852" s="70"/>
      <c r="O852" s="70"/>
      <c r="P852" s="70"/>
      <c r="Q852" s="70"/>
      <c r="R852" s="70"/>
      <c r="S852" s="70"/>
      <c r="T852" s="70"/>
      <c r="U852" s="70"/>
      <c r="V852" s="70"/>
      <c r="W852" s="70"/>
      <c r="X852" s="70"/>
      <c r="Y852" s="70"/>
    </row>
    <row r="853">
      <c r="A853" s="82"/>
      <c r="B853" s="506"/>
      <c r="C853" s="82"/>
      <c r="D853" s="506"/>
      <c r="E853" s="82"/>
      <c r="F853" s="506"/>
      <c r="G853" s="222"/>
      <c r="H853" s="506"/>
      <c r="I853" s="199"/>
      <c r="J853" s="506"/>
      <c r="K853" s="82"/>
      <c r="L853" s="506"/>
      <c r="M853" s="70"/>
      <c r="N853" s="70"/>
      <c r="O853" s="70"/>
      <c r="P853" s="70"/>
      <c r="Q853" s="70"/>
      <c r="R853" s="70"/>
      <c r="S853" s="70"/>
      <c r="T853" s="70"/>
      <c r="U853" s="70"/>
      <c r="V853" s="70"/>
      <c r="W853" s="70"/>
      <c r="X853" s="70"/>
      <c r="Y853" s="70"/>
    </row>
    <row r="854">
      <c r="A854" s="82"/>
      <c r="B854" s="506"/>
      <c r="C854" s="82"/>
      <c r="D854" s="506"/>
      <c r="E854" s="82"/>
      <c r="F854" s="506"/>
      <c r="G854" s="222"/>
      <c r="H854" s="506"/>
      <c r="I854" s="199"/>
      <c r="J854" s="506"/>
      <c r="K854" s="82"/>
      <c r="L854" s="506"/>
      <c r="M854" s="70"/>
      <c r="N854" s="70"/>
      <c r="O854" s="70"/>
      <c r="P854" s="70"/>
      <c r="Q854" s="70"/>
      <c r="R854" s="70"/>
      <c r="S854" s="70"/>
      <c r="T854" s="70"/>
      <c r="U854" s="70"/>
      <c r="V854" s="70"/>
      <c r="W854" s="70"/>
      <c r="X854" s="70"/>
      <c r="Y854" s="70"/>
    </row>
    <row r="855">
      <c r="A855" s="82"/>
      <c r="B855" s="506"/>
      <c r="C855" s="82"/>
      <c r="D855" s="506"/>
      <c r="E855" s="82"/>
      <c r="F855" s="506"/>
      <c r="G855" s="222"/>
      <c r="H855" s="506"/>
      <c r="I855" s="199"/>
      <c r="J855" s="506"/>
      <c r="K855" s="82"/>
      <c r="L855" s="506"/>
      <c r="M855" s="70"/>
      <c r="N855" s="70"/>
      <c r="O855" s="70"/>
      <c r="P855" s="70"/>
      <c r="Q855" s="70"/>
      <c r="R855" s="70"/>
      <c r="S855" s="70"/>
      <c r="T855" s="70"/>
      <c r="U855" s="70"/>
      <c r="V855" s="70"/>
      <c r="W855" s="70"/>
      <c r="X855" s="70"/>
      <c r="Y855" s="70"/>
    </row>
    <row r="856">
      <c r="A856" s="82"/>
      <c r="B856" s="506"/>
      <c r="C856" s="82"/>
      <c r="D856" s="506"/>
      <c r="E856" s="82"/>
      <c r="F856" s="506"/>
      <c r="G856" s="222"/>
      <c r="H856" s="506"/>
      <c r="I856" s="199"/>
      <c r="J856" s="506"/>
      <c r="K856" s="82"/>
      <c r="L856" s="506"/>
      <c r="M856" s="70"/>
      <c r="N856" s="70"/>
      <c r="O856" s="70"/>
      <c r="P856" s="70"/>
      <c r="Q856" s="70"/>
      <c r="R856" s="70"/>
      <c r="S856" s="70"/>
      <c r="T856" s="70"/>
      <c r="U856" s="70"/>
      <c r="V856" s="70"/>
      <c r="W856" s="70"/>
      <c r="X856" s="70"/>
      <c r="Y856" s="70"/>
    </row>
    <row r="857">
      <c r="A857" s="82"/>
      <c r="B857" s="506"/>
      <c r="C857" s="82"/>
      <c r="D857" s="506"/>
      <c r="E857" s="82"/>
      <c r="F857" s="506"/>
      <c r="G857" s="222"/>
      <c r="H857" s="506"/>
      <c r="I857" s="199"/>
      <c r="J857" s="506"/>
      <c r="K857" s="82"/>
      <c r="L857" s="506"/>
      <c r="M857" s="70"/>
      <c r="N857" s="70"/>
      <c r="O857" s="70"/>
      <c r="P857" s="70"/>
      <c r="Q857" s="70"/>
      <c r="R857" s="70"/>
      <c r="S857" s="70"/>
      <c r="T857" s="70"/>
      <c r="U857" s="70"/>
      <c r="V857" s="70"/>
      <c r="W857" s="70"/>
      <c r="X857" s="70"/>
      <c r="Y857" s="70"/>
    </row>
    <row r="858">
      <c r="A858" s="82"/>
      <c r="B858" s="506"/>
      <c r="C858" s="82"/>
      <c r="D858" s="506"/>
      <c r="E858" s="82"/>
      <c r="F858" s="506"/>
      <c r="G858" s="222"/>
      <c r="H858" s="506"/>
      <c r="I858" s="199"/>
      <c r="J858" s="506"/>
      <c r="K858" s="82"/>
      <c r="L858" s="506"/>
      <c r="M858" s="70"/>
      <c r="N858" s="70"/>
      <c r="O858" s="70"/>
      <c r="P858" s="70"/>
      <c r="Q858" s="70"/>
      <c r="R858" s="70"/>
      <c r="S858" s="70"/>
      <c r="T858" s="70"/>
      <c r="U858" s="70"/>
      <c r="V858" s="70"/>
      <c r="W858" s="70"/>
      <c r="X858" s="70"/>
      <c r="Y858" s="70"/>
    </row>
    <row r="859">
      <c r="A859" s="82"/>
      <c r="B859" s="506"/>
      <c r="C859" s="82"/>
      <c r="D859" s="506"/>
      <c r="E859" s="82"/>
      <c r="F859" s="506"/>
      <c r="G859" s="222"/>
      <c r="H859" s="506"/>
      <c r="I859" s="199"/>
      <c r="J859" s="506"/>
      <c r="K859" s="82"/>
      <c r="L859" s="506"/>
      <c r="M859" s="70"/>
      <c r="N859" s="70"/>
      <c r="O859" s="70"/>
      <c r="P859" s="70"/>
      <c r="Q859" s="70"/>
      <c r="R859" s="70"/>
      <c r="S859" s="70"/>
      <c r="T859" s="70"/>
      <c r="U859" s="70"/>
      <c r="V859" s="70"/>
      <c r="W859" s="70"/>
      <c r="X859" s="70"/>
      <c r="Y859" s="70"/>
    </row>
    <row r="860">
      <c r="A860" s="82"/>
      <c r="B860" s="506"/>
      <c r="C860" s="82"/>
      <c r="D860" s="506"/>
      <c r="E860" s="82"/>
      <c r="F860" s="506"/>
      <c r="G860" s="222"/>
      <c r="H860" s="506"/>
      <c r="I860" s="199"/>
      <c r="J860" s="506"/>
      <c r="K860" s="82"/>
      <c r="L860" s="506"/>
      <c r="M860" s="70"/>
      <c r="N860" s="70"/>
      <c r="O860" s="70"/>
      <c r="P860" s="70"/>
      <c r="Q860" s="70"/>
      <c r="R860" s="70"/>
      <c r="S860" s="70"/>
      <c r="T860" s="70"/>
      <c r="U860" s="70"/>
      <c r="V860" s="70"/>
      <c r="W860" s="70"/>
      <c r="X860" s="70"/>
      <c r="Y860" s="70"/>
    </row>
    <row r="861">
      <c r="A861" s="82"/>
      <c r="B861" s="506"/>
      <c r="C861" s="82"/>
      <c r="D861" s="506"/>
      <c r="E861" s="82"/>
      <c r="F861" s="506"/>
      <c r="G861" s="222"/>
      <c r="H861" s="506"/>
      <c r="I861" s="199"/>
      <c r="J861" s="506"/>
      <c r="K861" s="82"/>
      <c r="L861" s="506"/>
      <c r="M861" s="70"/>
      <c r="N861" s="70"/>
      <c r="O861" s="70"/>
      <c r="P861" s="70"/>
      <c r="Q861" s="70"/>
      <c r="R861" s="70"/>
      <c r="S861" s="70"/>
      <c r="T861" s="70"/>
      <c r="U861" s="70"/>
      <c r="V861" s="70"/>
      <c r="W861" s="70"/>
      <c r="X861" s="70"/>
      <c r="Y861" s="70"/>
    </row>
    <row r="862">
      <c r="A862" s="82"/>
      <c r="B862" s="506"/>
      <c r="C862" s="82"/>
      <c r="D862" s="506"/>
      <c r="E862" s="82"/>
      <c r="F862" s="506"/>
      <c r="G862" s="222"/>
      <c r="H862" s="506"/>
      <c r="I862" s="199"/>
      <c r="J862" s="506"/>
      <c r="K862" s="82"/>
      <c r="L862" s="506"/>
      <c r="M862" s="70"/>
      <c r="N862" s="70"/>
      <c r="O862" s="70"/>
      <c r="P862" s="70"/>
      <c r="Q862" s="70"/>
      <c r="R862" s="70"/>
      <c r="S862" s="70"/>
      <c r="T862" s="70"/>
      <c r="U862" s="70"/>
      <c r="V862" s="70"/>
      <c r="W862" s="70"/>
      <c r="X862" s="70"/>
      <c r="Y862" s="70"/>
    </row>
    <row r="863">
      <c r="A863" s="82"/>
      <c r="B863" s="506"/>
      <c r="C863" s="82"/>
      <c r="D863" s="506"/>
      <c r="E863" s="82"/>
      <c r="F863" s="506"/>
      <c r="G863" s="222"/>
      <c r="H863" s="506"/>
      <c r="I863" s="199"/>
      <c r="J863" s="506"/>
      <c r="K863" s="82"/>
      <c r="L863" s="506"/>
      <c r="M863" s="70"/>
      <c r="N863" s="70"/>
      <c r="O863" s="70"/>
      <c r="P863" s="70"/>
      <c r="Q863" s="70"/>
      <c r="R863" s="70"/>
      <c r="S863" s="70"/>
      <c r="T863" s="70"/>
      <c r="U863" s="70"/>
      <c r="V863" s="70"/>
      <c r="W863" s="70"/>
      <c r="X863" s="70"/>
      <c r="Y863" s="70"/>
    </row>
    <row r="864">
      <c r="A864" s="82"/>
      <c r="B864" s="506"/>
      <c r="C864" s="82"/>
      <c r="D864" s="506"/>
      <c r="E864" s="82"/>
      <c r="F864" s="506"/>
      <c r="G864" s="222"/>
      <c r="H864" s="506"/>
      <c r="I864" s="199"/>
      <c r="J864" s="506"/>
      <c r="K864" s="82"/>
      <c r="L864" s="506"/>
      <c r="M864" s="70"/>
      <c r="N864" s="70"/>
      <c r="O864" s="70"/>
      <c r="P864" s="70"/>
      <c r="Q864" s="70"/>
      <c r="R864" s="70"/>
      <c r="S864" s="70"/>
      <c r="T864" s="70"/>
      <c r="U864" s="70"/>
      <c r="V864" s="70"/>
      <c r="W864" s="70"/>
      <c r="X864" s="70"/>
      <c r="Y864" s="70"/>
    </row>
    <row r="865">
      <c r="A865" s="82"/>
      <c r="B865" s="506"/>
      <c r="C865" s="82"/>
      <c r="D865" s="506"/>
      <c r="E865" s="82"/>
      <c r="F865" s="506"/>
      <c r="G865" s="222"/>
      <c r="H865" s="506"/>
      <c r="I865" s="199"/>
      <c r="J865" s="506"/>
      <c r="K865" s="82"/>
      <c r="L865" s="506"/>
      <c r="M865" s="70"/>
      <c r="N865" s="70"/>
      <c r="O865" s="70"/>
      <c r="P865" s="70"/>
      <c r="Q865" s="70"/>
      <c r="R865" s="70"/>
      <c r="S865" s="70"/>
      <c r="T865" s="70"/>
      <c r="U865" s="70"/>
      <c r="V865" s="70"/>
      <c r="W865" s="70"/>
      <c r="X865" s="70"/>
      <c r="Y865" s="70"/>
    </row>
    <row r="866">
      <c r="A866" s="82"/>
      <c r="B866" s="506"/>
      <c r="C866" s="82"/>
      <c r="D866" s="506"/>
      <c r="E866" s="82"/>
      <c r="F866" s="506"/>
      <c r="G866" s="222"/>
      <c r="H866" s="506"/>
      <c r="I866" s="199"/>
      <c r="J866" s="506"/>
      <c r="K866" s="82"/>
      <c r="L866" s="506"/>
      <c r="M866" s="70"/>
      <c r="N866" s="70"/>
      <c r="O866" s="70"/>
      <c r="P866" s="70"/>
      <c r="Q866" s="70"/>
      <c r="R866" s="70"/>
      <c r="S866" s="70"/>
      <c r="T866" s="70"/>
      <c r="U866" s="70"/>
      <c r="V866" s="70"/>
      <c r="W866" s="70"/>
      <c r="X866" s="70"/>
      <c r="Y866" s="70"/>
    </row>
    <row r="867">
      <c r="A867" s="82"/>
      <c r="B867" s="506"/>
      <c r="C867" s="82"/>
      <c r="D867" s="506"/>
      <c r="E867" s="82"/>
      <c r="F867" s="506"/>
      <c r="G867" s="222"/>
      <c r="H867" s="506"/>
      <c r="I867" s="199"/>
      <c r="J867" s="506"/>
      <c r="K867" s="82"/>
      <c r="L867" s="506"/>
      <c r="M867" s="70"/>
      <c r="N867" s="70"/>
      <c r="O867" s="70"/>
      <c r="P867" s="70"/>
      <c r="Q867" s="70"/>
      <c r="R867" s="70"/>
      <c r="S867" s="70"/>
      <c r="T867" s="70"/>
      <c r="U867" s="70"/>
      <c r="V867" s="70"/>
      <c r="W867" s="70"/>
      <c r="X867" s="70"/>
      <c r="Y867" s="70"/>
    </row>
    <row r="868">
      <c r="A868" s="82"/>
      <c r="B868" s="506"/>
      <c r="C868" s="82"/>
      <c r="D868" s="506"/>
      <c r="E868" s="82"/>
      <c r="F868" s="506"/>
      <c r="G868" s="222"/>
      <c r="H868" s="506"/>
      <c r="I868" s="199"/>
      <c r="J868" s="506"/>
      <c r="K868" s="82"/>
      <c r="L868" s="506"/>
      <c r="M868" s="70"/>
      <c r="N868" s="70"/>
      <c r="O868" s="70"/>
      <c r="P868" s="70"/>
      <c r="Q868" s="70"/>
      <c r="R868" s="70"/>
      <c r="S868" s="70"/>
      <c r="T868" s="70"/>
      <c r="U868" s="70"/>
      <c r="V868" s="70"/>
      <c r="W868" s="70"/>
      <c r="X868" s="70"/>
      <c r="Y868" s="70"/>
    </row>
    <row r="869">
      <c r="A869" s="82"/>
      <c r="B869" s="506"/>
      <c r="C869" s="82"/>
      <c r="D869" s="506"/>
      <c r="E869" s="82"/>
      <c r="F869" s="506"/>
      <c r="G869" s="222"/>
      <c r="H869" s="506"/>
      <c r="I869" s="199"/>
      <c r="J869" s="506"/>
      <c r="K869" s="82"/>
      <c r="L869" s="506"/>
      <c r="M869" s="70"/>
      <c r="N869" s="70"/>
      <c r="O869" s="70"/>
      <c r="P869" s="70"/>
      <c r="Q869" s="70"/>
      <c r="R869" s="70"/>
      <c r="S869" s="70"/>
      <c r="T869" s="70"/>
      <c r="U869" s="70"/>
      <c r="V869" s="70"/>
      <c r="W869" s="70"/>
      <c r="X869" s="70"/>
      <c r="Y869" s="70"/>
    </row>
    <row r="870">
      <c r="A870" s="82"/>
      <c r="B870" s="506"/>
      <c r="C870" s="82"/>
      <c r="D870" s="506"/>
      <c r="E870" s="82"/>
      <c r="F870" s="506"/>
      <c r="G870" s="222"/>
      <c r="H870" s="506"/>
      <c r="I870" s="199"/>
      <c r="J870" s="506"/>
      <c r="K870" s="82"/>
      <c r="L870" s="506"/>
      <c r="M870" s="70"/>
      <c r="N870" s="70"/>
      <c r="O870" s="70"/>
      <c r="P870" s="70"/>
      <c r="Q870" s="70"/>
      <c r="R870" s="70"/>
      <c r="S870" s="70"/>
      <c r="T870" s="70"/>
      <c r="U870" s="70"/>
      <c r="V870" s="70"/>
      <c r="W870" s="70"/>
      <c r="X870" s="70"/>
      <c r="Y870" s="70"/>
    </row>
    <row r="871">
      <c r="A871" s="82"/>
      <c r="B871" s="506"/>
      <c r="C871" s="82"/>
      <c r="D871" s="506"/>
      <c r="E871" s="82"/>
      <c r="F871" s="506"/>
      <c r="G871" s="222"/>
      <c r="H871" s="506"/>
      <c r="I871" s="199"/>
      <c r="J871" s="506"/>
      <c r="K871" s="82"/>
      <c r="L871" s="506"/>
      <c r="M871" s="70"/>
      <c r="N871" s="70"/>
      <c r="O871" s="70"/>
      <c r="P871" s="70"/>
      <c r="Q871" s="70"/>
      <c r="R871" s="70"/>
      <c r="S871" s="70"/>
      <c r="T871" s="70"/>
      <c r="U871" s="70"/>
      <c r="V871" s="70"/>
      <c r="W871" s="70"/>
      <c r="X871" s="70"/>
      <c r="Y871" s="70"/>
    </row>
    <row r="872">
      <c r="A872" s="82"/>
      <c r="B872" s="506"/>
      <c r="C872" s="82"/>
      <c r="D872" s="506"/>
      <c r="E872" s="82"/>
      <c r="F872" s="506"/>
      <c r="G872" s="222"/>
      <c r="H872" s="506"/>
      <c r="I872" s="199"/>
      <c r="J872" s="506"/>
      <c r="K872" s="82"/>
      <c r="L872" s="506"/>
      <c r="M872" s="70"/>
      <c r="N872" s="70"/>
      <c r="O872" s="70"/>
      <c r="P872" s="70"/>
      <c r="Q872" s="70"/>
      <c r="R872" s="70"/>
      <c r="S872" s="70"/>
      <c r="T872" s="70"/>
      <c r="U872" s="70"/>
      <c r="V872" s="70"/>
      <c r="W872" s="70"/>
      <c r="X872" s="70"/>
      <c r="Y872" s="70"/>
    </row>
    <row r="873">
      <c r="A873" s="82"/>
      <c r="B873" s="506"/>
      <c r="C873" s="82"/>
      <c r="D873" s="506"/>
      <c r="E873" s="82"/>
      <c r="F873" s="506"/>
      <c r="G873" s="222"/>
      <c r="H873" s="506"/>
      <c r="I873" s="199"/>
      <c r="J873" s="506"/>
      <c r="K873" s="82"/>
      <c r="L873" s="506"/>
      <c r="M873" s="70"/>
      <c r="N873" s="70"/>
      <c r="O873" s="70"/>
      <c r="P873" s="70"/>
      <c r="Q873" s="70"/>
      <c r="R873" s="70"/>
      <c r="S873" s="70"/>
      <c r="T873" s="70"/>
      <c r="U873" s="70"/>
      <c r="V873" s="70"/>
      <c r="W873" s="70"/>
      <c r="X873" s="70"/>
      <c r="Y873" s="70"/>
    </row>
    <row r="874">
      <c r="A874" s="82"/>
      <c r="B874" s="506"/>
      <c r="C874" s="82"/>
      <c r="D874" s="506"/>
      <c r="E874" s="82"/>
      <c r="F874" s="506"/>
      <c r="G874" s="222"/>
      <c r="H874" s="506"/>
      <c r="I874" s="199"/>
      <c r="J874" s="506"/>
      <c r="K874" s="82"/>
      <c r="L874" s="506"/>
      <c r="M874" s="70"/>
      <c r="N874" s="70"/>
      <c r="O874" s="70"/>
      <c r="P874" s="70"/>
      <c r="Q874" s="70"/>
      <c r="R874" s="70"/>
      <c r="S874" s="70"/>
      <c r="T874" s="70"/>
      <c r="U874" s="70"/>
      <c r="V874" s="70"/>
      <c r="W874" s="70"/>
      <c r="X874" s="70"/>
      <c r="Y874" s="70"/>
    </row>
    <row r="875">
      <c r="A875" s="82"/>
      <c r="B875" s="506"/>
      <c r="C875" s="82"/>
      <c r="D875" s="506"/>
      <c r="E875" s="82"/>
      <c r="F875" s="506"/>
      <c r="G875" s="222"/>
      <c r="H875" s="506"/>
      <c r="I875" s="199"/>
      <c r="J875" s="506"/>
      <c r="K875" s="82"/>
      <c r="L875" s="506"/>
      <c r="M875" s="70"/>
      <c r="N875" s="70"/>
      <c r="O875" s="70"/>
      <c r="P875" s="70"/>
      <c r="Q875" s="70"/>
      <c r="R875" s="70"/>
      <c r="S875" s="70"/>
      <c r="T875" s="70"/>
      <c r="U875" s="70"/>
      <c r="V875" s="70"/>
      <c r="W875" s="70"/>
      <c r="X875" s="70"/>
      <c r="Y875" s="70"/>
    </row>
    <row r="876">
      <c r="A876" s="82"/>
      <c r="B876" s="506"/>
      <c r="C876" s="82"/>
      <c r="D876" s="506"/>
      <c r="E876" s="82"/>
      <c r="F876" s="506"/>
      <c r="G876" s="222"/>
      <c r="H876" s="506"/>
      <c r="I876" s="199"/>
      <c r="J876" s="506"/>
      <c r="K876" s="82"/>
      <c r="L876" s="506"/>
      <c r="M876" s="70"/>
      <c r="N876" s="70"/>
      <c r="O876" s="70"/>
      <c r="P876" s="70"/>
      <c r="Q876" s="70"/>
      <c r="R876" s="70"/>
      <c r="S876" s="70"/>
      <c r="T876" s="70"/>
      <c r="U876" s="70"/>
      <c r="V876" s="70"/>
      <c r="W876" s="70"/>
      <c r="X876" s="70"/>
      <c r="Y876" s="70"/>
    </row>
    <row r="877">
      <c r="A877" s="82"/>
      <c r="B877" s="506"/>
      <c r="C877" s="82"/>
      <c r="D877" s="506"/>
      <c r="E877" s="82"/>
      <c r="F877" s="506"/>
      <c r="G877" s="222"/>
      <c r="H877" s="506"/>
      <c r="I877" s="199"/>
      <c r="J877" s="506"/>
      <c r="K877" s="82"/>
      <c r="L877" s="506"/>
      <c r="M877" s="70"/>
      <c r="N877" s="70"/>
      <c r="O877" s="70"/>
      <c r="P877" s="70"/>
      <c r="Q877" s="70"/>
      <c r="R877" s="70"/>
      <c r="S877" s="70"/>
      <c r="T877" s="70"/>
      <c r="U877" s="70"/>
      <c r="V877" s="70"/>
      <c r="W877" s="70"/>
      <c r="X877" s="70"/>
      <c r="Y877" s="70"/>
    </row>
    <row r="878">
      <c r="A878" s="82"/>
      <c r="B878" s="506"/>
      <c r="C878" s="82"/>
      <c r="D878" s="506"/>
      <c r="E878" s="82"/>
      <c r="F878" s="506"/>
      <c r="G878" s="222"/>
      <c r="H878" s="506"/>
      <c r="I878" s="199"/>
      <c r="J878" s="506"/>
      <c r="K878" s="82"/>
      <c r="L878" s="506"/>
      <c r="M878" s="70"/>
      <c r="N878" s="70"/>
      <c r="O878" s="70"/>
      <c r="P878" s="70"/>
      <c r="Q878" s="70"/>
      <c r="R878" s="70"/>
      <c r="S878" s="70"/>
      <c r="T878" s="70"/>
      <c r="U878" s="70"/>
      <c r="V878" s="70"/>
      <c r="W878" s="70"/>
      <c r="X878" s="70"/>
      <c r="Y878" s="70"/>
    </row>
    <row r="879">
      <c r="A879" s="82"/>
      <c r="B879" s="506"/>
      <c r="C879" s="82"/>
      <c r="D879" s="506"/>
      <c r="E879" s="82"/>
      <c r="F879" s="506"/>
      <c r="G879" s="222"/>
      <c r="H879" s="506"/>
      <c r="I879" s="199"/>
      <c r="J879" s="506"/>
      <c r="K879" s="82"/>
      <c r="L879" s="506"/>
      <c r="M879" s="70"/>
      <c r="N879" s="70"/>
      <c r="O879" s="70"/>
      <c r="P879" s="70"/>
      <c r="Q879" s="70"/>
      <c r="R879" s="70"/>
      <c r="S879" s="70"/>
      <c r="T879" s="70"/>
      <c r="U879" s="70"/>
      <c r="V879" s="70"/>
      <c r="W879" s="70"/>
      <c r="X879" s="70"/>
      <c r="Y879" s="70"/>
    </row>
    <row r="880">
      <c r="A880" s="82"/>
      <c r="B880" s="506"/>
      <c r="C880" s="82"/>
      <c r="D880" s="506"/>
      <c r="E880" s="82"/>
      <c r="F880" s="506"/>
      <c r="G880" s="222"/>
      <c r="H880" s="506"/>
      <c r="I880" s="199"/>
      <c r="J880" s="506"/>
      <c r="K880" s="82"/>
      <c r="L880" s="506"/>
      <c r="M880" s="70"/>
      <c r="N880" s="70"/>
      <c r="O880" s="70"/>
      <c r="P880" s="70"/>
      <c r="Q880" s="70"/>
      <c r="R880" s="70"/>
      <c r="S880" s="70"/>
      <c r="T880" s="70"/>
      <c r="U880" s="70"/>
      <c r="V880" s="70"/>
      <c r="W880" s="70"/>
      <c r="X880" s="70"/>
      <c r="Y880" s="70"/>
    </row>
    <row r="881">
      <c r="A881" s="82"/>
      <c r="B881" s="506"/>
      <c r="C881" s="82"/>
      <c r="D881" s="506"/>
      <c r="E881" s="82"/>
      <c r="F881" s="506"/>
      <c r="G881" s="222"/>
      <c r="H881" s="506"/>
      <c r="I881" s="199"/>
      <c r="J881" s="506"/>
      <c r="K881" s="82"/>
      <c r="L881" s="506"/>
      <c r="M881" s="70"/>
      <c r="N881" s="70"/>
      <c r="O881" s="70"/>
      <c r="P881" s="70"/>
      <c r="Q881" s="70"/>
      <c r="R881" s="70"/>
      <c r="S881" s="70"/>
      <c r="T881" s="70"/>
      <c r="U881" s="70"/>
      <c r="V881" s="70"/>
      <c r="W881" s="70"/>
      <c r="X881" s="70"/>
      <c r="Y881" s="70"/>
    </row>
    <row r="882">
      <c r="A882" s="82"/>
      <c r="B882" s="506"/>
      <c r="C882" s="82"/>
      <c r="D882" s="506"/>
      <c r="E882" s="82"/>
      <c r="F882" s="506"/>
      <c r="G882" s="222"/>
      <c r="H882" s="506"/>
      <c r="I882" s="199"/>
      <c r="J882" s="506"/>
      <c r="K882" s="82"/>
      <c r="L882" s="506"/>
      <c r="M882" s="70"/>
      <c r="N882" s="70"/>
      <c r="O882" s="70"/>
      <c r="P882" s="70"/>
      <c r="Q882" s="70"/>
      <c r="R882" s="70"/>
      <c r="S882" s="70"/>
      <c r="T882" s="70"/>
      <c r="U882" s="70"/>
      <c r="V882" s="70"/>
      <c r="W882" s="70"/>
      <c r="X882" s="70"/>
      <c r="Y882" s="70"/>
    </row>
    <row r="883">
      <c r="A883" s="82"/>
      <c r="B883" s="506"/>
      <c r="C883" s="82"/>
      <c r="D883" s="506"/>
      <c r="E883" s="82"/>
      <c r="F883" s="506"/>
      <c r="G883" s="222"/>
      <c r="H883" s="506"/>
      <c r="I883" s="199"/>
      <c r="J883" s="506"/>
      <c r="K883" s="82"/>
      <c r="L883" s="506"/>
      <c r="M883" s="70"/>
      <c r="N883" s="70"/>
      <c r="O883" s="70"/>
      <c r="P883" s="70"/>
      <c r="Q883" s="70"/>
      <c r="R883" s="70"/>
      <c r="S883" s="70"/>
      <c r="T883" s="70"/>
      <c r="U883" s="70"/>
      <c r="V883" s="70"/>
      <c r="W883" s="70"/>
      <c r="X883" s="70"/>
      <c r="Y883" s="70"/>
    </row>
    <row r="884">
      <c r="A884" s="82"/>
      <c r="B884" s="506"/>
      <c r="C884" s="82"/>
      <c r="D884" s="506"/>
      <c r="E884" s="82"/>
      <c r="F884" s="506"/>
      <c r="G884" s="222"/>
      <c r="H884" s="506"/>
      <c r="I884" s="199"/>
      <c r="J884" s="506"/>
      <c r="K884" s="82"/>
      <c r="L884" s="506"/>
      <c r="M884" s="70"/>
      <c r="N884" s="70"/>
      <c r="O884" s="70"/>
      <c r="P884" s="70"/>
      <c r="Q884" s="70"/>
      <c r="R884" s="70"/>
      <c r="S884" s="70"/>
      <c r="T884" s="70"/>
      <c r="U884" s="70"/>
      <c r="V884" s="70"/>
      <c r="W884" s="70"/>
      <c r="X884" s="70"/>
      <c r="Y884" s="70"/>
    </row>
    <row r="885">
      <c r="A885" s="82"/>
      <c r="B885" s="506"/>
      <c r="C885" s="82"/>
      <c r="D885" s="506"/>
      <c r="E885" s="82"/>
      <c r="F885" s="506"/>
      <c r="G885" s="222"/>
      <c r="H885" s="506"/>
      <c r="I885" s="199"/>
      <c r="J885" s="506"/>
      <c r="K885" s="82"/>
      <c r="L885" s="506"/>
      <c r="M885" s="70"/>
      <c r="N885" s="70"/>
      <c r="O885" s="70"/>
      <c r="P885" s="70"/>
      <c r="Q885" s="70"/>
      <c r="R885" s="70"/>
      <c r="S885" s="70"/>
      <c r="T885" s="70"/>
      <c r="U885" s="70"/>
      <c r="V885" s="70"/>
      <c r="W885" s="70"/>
      <c r="X885" s="70"/>
      <c r="Y885" s="70"/>
    </row>
    <row r="886">
      <c r="A886" s="82"/>
      <c r="B886" s="506"/>
      <c r="C886" s="82"/>
      <c r="D886" s="506"/>
      <c r="E886" s="82"/>
      <c r="F886" s="506"/>
      <c r="G886" s="222"/>
      <c r="H886" s="506"/>
      <c r="I886" s="199"/>
      <c r="J886" s="506"/>
      <c r="K886" s="82"/>
      <c r="L886" s="506"/>
      <c r="M886" s="70"/>
      <c r="N886" s="70"/>
      <c r="O886" s="70"/>
      <c r="P886" s="70"/>
      <c r="Q886" s="70"/>
      <c r="R886" s="70"/>
      <c r="S886" s="70"/>
      <c r="T886" s="70"/>
      <c r="U886" s="70"/>
      <c r="V886" s="70"/>
      <c r="W886" s="70"/>
      <c r="X886" s="70"/>
      <c r="Y886" s="70"/>
    </row>
    <row r="887">
      <c r="A887" s="82"/>
      <c r="B887" s="506"/>
      <c r="C887" s="82"/>
      <c r="D887" s="506"/>
      <c r="E887" s="82"/>
      <c r="F887" s="506"/>
      <c r="G887" s="222"/>
      <c r="H887" s="506"/>
      <c r="I887" s="199"/>
      <c r="J887" s="506"/>
      <c r="K887" s="82"/>
      <c r="L887" s="506"/>
      <c r="M887" s="70"/>
      <c r="N887" s="70"/>
      <c r="O887" s="70"/>
      <c r="P887" s="70"/>
      <c r="Q887" s="70"/>
      <c r="R887" s="70"/>
      <c r="S887" s="70"/>
      <c r="T887" s="70"/>
      <c r="U887" s="70"/>
      <c r="V887" s="70"/>
      <c r="W887" s="70"/>
      <c r="X887" s="70"/>
      <c r="Y887" s="70"/>
    </row>
    <row r="888">
      <c r="A888" s="82"/>
      <c r="B888" s="506"/>
      <c r="C888" s="82"/>
      <c r="D888" s="506"/>
      <c r="E888" s="82"/>
      <c r="F888" s="506"/>
      <c r="G888" s="222"/>
      <c r="H888" s="506"/>
      <c r="I888" s="199"/>
      <c r="J888" s="506"/>
      <c r="K888" s="82"/>
      <c r="L888" s="506"/>
      <c r="M888" s="70"/>
      <c r="N888" s="70"/>
      <c r="O888" s="70"/>
      <c r="P888" s="70"/>
      <c r="Q888" s="70"/>
      <c r="R888" s="70"/>
      <c r="S888" s="70"/>
      <c r="T888" s="70"/>
      <c r="U888" s="70"/>
      <c r="V888" s="70"/>
      <c r="W888" s="70"/>
      <c r="X888" s="70"/>
      <c r="Y888" s="70"/>
    </row>
    <row r="889">
      <c r="A889" s="82"/>
      <c r="B889" s="506"/>
      <c r="C889" s="82"/>
      <c r="D889" s="506"/>
      <c r="E889" s="82"/>
      <c r="F889" s="506"/>
      <c r="G889" s="222"/>
      <c r="H889" s="506"/>
      <c r="I889" s="199"/>
      <c r="J889" s="506"/>
      <c r="K889" s="82"/>
      <c r="L889" s="506"/>
      <c r="M889" s="70"/>
      <c r="N889" s="70"/>
      <c r="O889" s="70"/>
      <c r="P889" s="70"/>
      <c r="Q889" s="70"/>
      <c r="R889" s="70"/>
      <c r="S889" s="70"/>
      <c r="T889" s="70"/>
      <c r="U889" s="70"/>
      <c r="V889" s="70"/>
      <c r="W889" s="70"/>
      <c r="X889" s="70"/>
      <c r="Y889" s="70"/>
    </row>
    <row r="890">
      <c r="A890" s="82"/>
      <c r="B890" s="506"/>
      <c r="C890" s="82"/>
      <c r="D890" s="506"/>
      <c r="E890" s="82"/>
      <c r="F890" s="506"/>
      <c r="G890" s="222"/>
      <c r="H890" s="506"/>
      <c r="I890" s="199"/>
      <c r="J890" s="506"/>
      <c r="K890" s="82"/>
      <c r="L890" s="506"/>
      <c r="M890" s="70"/>
      <c r="N890" s="70"/>
      <c r="O890" s="70"/>
      <c r="P890" s="70"/>
      <c r="Q890" s="70"/>
      <c r="R890" s="70"/>
      <c r="S890" s="70"/>
      <c r="T890" s="70"/>
      <c r="U890" s="70"/>
      <c r="V890" s="70"/>
      <c r="W890" s="70"/>
      <c r="X890" s="70"/>
      <c r="Y890" s="70"/>
    </row>
    <row r="891">
      <c r="A891" s="82"/>
      <c r="B891" s="506"/>
      <c r="C891" s="82"/>
      <c r="D891" s="506"/>
      <c r="E891" s="82"/>
      <c r="F891" s="506"/>
      <c r="G891" s="222"/>
      <c r="H891" s="506"/>
      <c r="I891" s="199"/>
      <c r="J891" s="506"/>
      <c r="K891" s="82"/>
      <c r="L891" s="506"/>
      <c r="M891" s="70"/>
      <c r="N891" s="70"/>
      <c r="O891" s="70"/>
      <c r="P891" s="70"/>
      <c r="Q891" s="70"/>
      <c r="R891" s="70"/>
      <c r="S891" s="70"/>
      <c r="T891" s="70"/>
      <c r="U891" s="70"/>
      <c r="V891" s="70"/>
      <c r="W891" s="70"/>
      <c r="X891" s="70"/>
      <c r="Y891" s="70"/>
    </row>
    <row r="892">
      <c r="A892" s="82"/>
      <c r="B892" s="506"/>
      <c r="C892" s="82"/>
      <c r="D892" s="506"/>
      <c r="E892" s="82"/>
      <c r="F892" s="506"/>
      <c r="G892" s="222"/>
      <c r="H892" s="506"/>
      <c r="I892" s="199"/>
      <c r="J892" s="506"/>
      <c r="K892" s="82"/>
      <c r="L892" s="506"/>
      <c r="M892" s="70"/>
      <c r="N892" s="70"/>
      <c r="O892" s="70"/>
      <c r="P892" s="70"/>
      <c r="Q892" s="70"/>
      <c r="R892" s="70"/>
      <c r="S892" s="70"/>
      <c r="T892" s="70"/>
      <c r="U892" s="70"/>
      <c r="V892" s="70"/>
      <c r="W892" s="70"/>
      <c r="X892" s="70"/>
      <c r="Y892" s="70"/>
    </row>
    <row r="893">
      <c r="A893" s="82"/>
      <c r="B893" s="506"/>
      <c r="C893" s="82"/>
      <c r="D893" s="506"/>
      <c r="E893" s="82"/>
      <c r="F893" s="506"/>
      <c r="G893" s="222"/>
      <c r="H893" s="506"/>
      <c r="I893" s="199"/>
      <c r="J893" s="506"/>
      <c r="K893" s="82"/>
      <c r="L893" s="506"/>
      <c r="M893" s="70"/>
      <c r="N893" s="70"/>
      <c r="O893" s="70"/>
      <c r="P893" s="70"/>
      <c r="Q893" s="70"/>
      <c r="R893" s="70"/>
      <c r="S893" s="70"/>
      <c r="T893" s="70"/>
      <c r="U893" s="70"/>
      <c r="V893" s="70"/>
      <c r="W893" s="70"/>
      <c r="X893" s="70"/>
      <c r="Y893" s="70"/>
    </row>
    <row r="894">
      <c r="A894" s="82"/>
      <c r="B894" s="506"/>
      <c r="C894" s="82"/>
      <c r="D894" s="506"/>
      <c r="E894" s="82"/>
      <c r="F894" s="506"/>
      <c r="G894" s="222"/>
      <c r="H894" s="506"/>
      <c r="I894" s="199"/>
      <c r="J894" s="506"/>
      <c r="K894" s="82"/>
      <c r="L894" s="506"/>
      <c r="M894" s="70"/>
      <c r="N894" s="70"/>
      <c r="O894" s="70"/>
      <c r="P894" s="70"/>
      <c r="Q894" s="70"/>
      <c r="R894" s="70"/>
      <c r="S894" s="70"/>
      <c r="T894" s="70"/>
      <c r="U894" s="70"/>
      <c r="V894" s="70"/>
      <c r="W894" s="70"/>
      <c r="X894" s="70"/>
      <c r="Y894" s="70"/>
    </row>
    <row r="895">
      <c r="A895" s="82"/>
      <c r="B895" s="506"/>
      <c r="C895" s="82"/>
      <c r="D895" s="506"/>
      <c r="E895" s="82"/>
      <c r="F895" s="506"/>
      <c r="G895" s="222"/>
      <c r="H895" s="506"/>
      <c r="I895" s="199"/>
      <c r="J895" s="506"/>
      <c r="K895" s="82"/>
      <c r="L895" s="506"/>
      <c r="M895" s="70"/>
      <c r="N895" s="70"/>
      <c r="O895" s="70"/>
      <c r="P895" s="70"/>
      <c r="Q895" s="70"/>
      <c r="R895" s="70"/>
      <c r="S895" s="70"/>
      <c r="T895" s="70"/>
      <c r="U895" s="70"/>
      <c r="V895" s="70"/>
      <c r="W895" s="70"/>
      <c r="X895" s="70"/>
      <c r="Y895" s="70"/>
    </row>
    <row r="896">
      <c r="A896" s="82"/>
      <c r="B896" s="506"/>
      <c r="C896" s="82"/>
      <c r="D896" s="506"/>
      <c r="E896" s="82"/>
      <c r="F896" s="506"/>
      <c r="G896" s="222"/>
      <c r="H896" s="506"/>
      <c r="I896" s="199"/>
      <c r="J896" s="506"/>
      <c r="K896" s="82"/>
      <c r="L896" s="506"/>
      <c r="M896" s="70"/>
      <c r="N896" s="70"/>
      <c r="O896" s="70"/>
      <c r="P896" s="70"/>
      <c r="Q896" s="70"/>
      <c r="R896" s="70"/>
      <c r="S896" s="70"/>
      <c r="T896" s="70"/>
      <c r="U896" s="70"/>
      <c r="V896" s="70"/>
      <c r="W896" s="70"/>
      <c r="X896" s="70"/>
      <c r="Y896" s="70"/>
    </row>
    <row r="897">
      <c r="A897" s="82"/>
      <c r="B897" s="506"/>
      <c r="C897" s="82"/>
      <c r="D897" s="506"/>
      <c r="E897" s="82"/>
      <c r="F897" s="506"/>
      <c r="G897" s="222"/>
      <c r="H897" s="506"/>
      <c r="I897" s="199"/>
      <c r="J897" s="506"/>
      <c r="K897" s="82"/>
      <c r="L897" s="506"/>
      <c r="M897" s="70"/>
      <c r="N897" s="70"/>
      <c r="O897" s="70"/>
      <c r="P897" s="70"/>
      <c r="Q897" s="70"/>
      <c r="R897" s="70"/>
      <c r="S897" s="70"/>
      <c r="T897" s="70"/>
      <c r="U897" s="70"/>
      <c r="V897" s="70"/>
      <c r="W897" s="70"/>
      <c r="X897" s="70"/>
      <c r="Y897" s="70"/>
    </row>
    <row r="898">
      <c r="A898" s="82"/>
      <c r="B898" s="506"/>
      <c r="C898" s="82"/>
      <c r="D898" s="506"/>
      <c r="E898" s="82"/>
      <c r="F898" s="506"/>
      <c r="G898" s="222"/>
      <c r="H898" s="506"/>
      <c r="I898" s="199"/>
      <c r="J898" s="506"/>
      <c r="K898" s="82"/>
      <c r="L898" s="506"/>
      <c r="M898" s="70"/>
      <c r="N898" s="70"/>
      <c r="O898" s="70"/>
      <c r="P898" s="70"/>
      <c r="Q898" s="70"/>
      <c r="R898" s="70"/>
      <c r="S898" s="70"/>
      <c r="T898" s="70"/>
      <c r="U898" s="70"/>
      <c r="V898" s="70"/>
      <c r="W898" s="70"/>
      <c r="X898" s="70"/>
      <c r="Y898" s="70"/>
    </row>
    <row r="899">
      <c r="A899" s="82"/>
      <c r="B899" s="506"/>
      <c r="C899" s="82"/>
      <c r="D899" s="506"/>
      <c r="E899" s="82"/>
      <c r="F899" s="506"/>
      <c r="G899" s="222"/>
      <c r="H899" s="506"/>
      <c r="I899" s="199"/>
      <c r="J899" s="506"/>
      <c r="K899" s="82"/>
      <c r="L899" s="506"/>
      <c r="M899" s="70"/>
      <c r="N899" s="70"/>
      <c r="O899" s="70"/>
      <c r="P899" s="70"/>
      <c r="Q899" s="70"/>
      <c r="R899" s="70"/>
      <c r="S899" s="70"/>
      <c r="T899" s="70"/>
      <c r="U899" s="70"/>
      <c r="V899" s="70"/>
      <c r="W899" s="70"/>
      <c r="X899" s="70"/>
      <c r="Y899" s="70"/>
    </row>
    <row r="900">
      <c r="A900" s="82"/>
      <c r="B900" s="506"/>
      <c r="C900" s="82"/>
      <c r="D900" s="506"/>
      <c r="E900" s="82"/>
      <c r="F900" s="506"/>
      <c r="G900" s="222"/>
      <c r="H900" s="506"/>
      <c r="I900" s="199"/>
      <c r="J900" s="506"/>
      <c r="K900" s="82"/>
      <c r="L900" s="506"/>
      <c r="M900" s="70"/>
      <c r="N900" s="70"/>
      <c r="O900" s="70"/>
      <c r="P900" s="70"/>
      <c r="Q900" s="70"/>
      <c r="R900" s="70"/>
      <c r="S900" s="70"/>
      <c r="T900" s="70"/>
      <c r="U900" s="70"/>
      <c r="V900" s="70"/>
      <c r="W900" s="70"/>
      <c r="X900" s="70"/>
      <c r="Y900" s="70"/>
    </row>
    <row r="901">
      <c r="A901" s="82"/>
      <c r="B901" s="506"/>
      <c r="C901" s="82"/>
      <c r="D901" s="506"/>
      <c r="E901" s="82"/>
      <c r="F901" s="506"/>
      <c r="G901" s="222"/>
      <c r="H901" s="506"/>
      <c r="I901" s="199"/>
      <c r="J901" s="506"/>
      <c r="K901" s="82"/>
      <c r="L901" s="506"/>
      <c r="M901" s="70"/>
      <c r="N901" s="70"/>
      <c r="O901" s="70"/>
      <c r="P901" s="70"/>
      <c r="Q901" s="70"/>
      <c r="R901" s="70"/>
      <c r="S901" s="70"/>
      <c r="T901" s="70"/>
      <c r="U901" s="70"/>
      <c r="V901" s="70"/>
      <c r="W901" s="70"/>
      <c r="X901" s="70"/>
      <c r="Y901" s="70"/>
    </row>
    <row r="902">
      <c r="A902" s="82"/>
      <c r="B902" s="506"/>
      <c r="C902" s="82"/>
      <c r="D902" s="506"/>
      <c r="E902" s="82"/>
      <c r="F902" s="506"/>
      <c r="G902" s="222"/>
      <c r="H902" s="506"/>
      <c r="I902" s="199"/>
      <c r="J902" s="506"/>
      <c r="K902" s="82"/>
      <c r="L902" s="506"/>
      <c r="M902" s="70"/>
      <c r="N902" s="70"/>
      <c r="O902" s="70"/>
      <c r="P902" s="70"/>
      <c r="Q902" s="70"/>
      <c r="R902" s="70"/>
      <c r="S902" s="70"/>
      <c r="T902" s="70"/>
      <c r="U902" s="70"/>
      <c r="V902" s="70"/>
      <c r="W902" s="70"/>
      <c r="X902" s="70"/>
      <c r="Y902" s="70"/>
    </row>
    <row r="903">
      <c r="A903" s="82"/>
      <c r="B903" s="506"/>
      <c r="C903" s="82"/>
      <c r="D903" s="506"/>
      <c r="E903" s="82"/>
      <c r="F903" s="506"/>
      <c r="G903" s="222"/>
      <c r="H903" s="506"/>
      <c r="I903" s="199"/>
      <c r="J903" s="506"/>
      <c r="K903" s="82"/>
      <c r="L903" s="506"/>
      <c r="M903" s="70"/>
      <c r="N903" s="70"/>
      <c r="O903" s="70"/>
      <c r="P903" s="70"/>
      <c r="Q903" s="70"/>
      <c r="R903" s="70"/>
      <c r="S903" s="70"/>
      <c r="T903" s="70"/>
      <c r="U903" s="70"/>
      <c r="V903" s="70"/>
      <c r="W903" s="70"/>
      <c r="X903" s="70"/>
      <c r="Y903" s="70"/>
    </row>
    <row r="904">
      <c r="A904" s="82"/>
      <c r="B904" s="506"/>
      <c r="C904" s="82"/>
      <c r="D904" s="506"/>
      <c r="E904" s="82"/>
      <c r="F904" s="506"/>
      <c r="G904" s="222"/>
      <c r="H904" s="506"/>
      <c r="I904" s="199"/>
      <c r="J904" s="506"/>
      <c r="K904" s="82"/>
      <c r="L904" s="506"/>
      <c r="M904" s="70"/>
      <c r="N904" s="70"/>
      <c r="O904" s="70"/>
      <c r="P904" s="70"/>
      <c r="Q904" s="70"/>
      <c r="R904" s="70"/>
      <c r="S904" s="70"/>
      <c r="T904" s="70"/>
      <c r="U904" s="70"/>
      <c r="V904" s="70"/>
      <c r="W904" s="70"/>
      <c r="X904" s="70"/>
      <c r="Y904" s="70"/>
    </row>
    <row r="905">
      <c r="A905" s="82"/>
      <c r="B905" s="506"/>
      <c r="C905" s="82"/>
      <c r="D905" s="506"/>
      <c r="E905" s="82"/>
      <c r="F905" s="506"/>
      <c r="G905" s="222"/>
      <c r="H905" s="506"/>
      <c r="I905" s="199"/>
      <c r="J905" s="506"/>
      <c r="K905" s="82"/>
      <c r="L905" s="506"/>
      <c r="M905" s="70"/>
      <c r="N905" s="70"/>
      <c r="O905" s="70"/>
      <c r="P905" s="70"/>
      <c r="Q905" s="70"/>
      <c r="R905" s="70"/>
      <c r="S905" s="70"/>
      <c r="T905" s="70"/>
      <c r="U905" s="70"/>
      <c r="V905" s="70"/>
      <c r="W905" s="70"/>
      <c r="X905" s="70"/>
      <c r="Y905" s="70"/>
    </row>
    <row r="906">
      <c r="A906" s="82"/>
      <c r="B906" s="506"/>
      <c r="C906" s="82"/>
      <c r="D906" s="506"/>
      <c r="E906" s="82"/>
      <c r="F906" s="506"/>
      <c r="G906" s="222"/>
      <c r="H906" s="506"/>
      <c r="I906" s="199"/>
      <c r="J906" s="506"/>
      <c r="K906" s="82"/>
      <c r="L906" s="506"/>
      <c r="M906" s="70"/>
      <c r="N906" s="70"/>
      <c r="O906" s="70"/>
      <c r="P906" s="70"/>
      <c r="Q906" s="70"/>
      <c r="R906" s="70"/>
      <c r="S906" s="70"/>
      <c r="T906" s="70"/>
      <c r="U906" s="70"/>
      <c r="V906" s="70"/>
      <c r="W906" s="70"/>
      <c r="X906" s="70"/>
      <c r="Y906" s="70"/>
    </row>
    <row r="907">
      <c r="A907" s="82"/>
      <c r="B907" s="506"/>
      <c r="C907" s="82"/>
      <c r="D907" s="506"/>
      <c r="E907" s="82"/>
      <c r="F907" s="506"/>
      <c r="G907" s="222"/>
      <c r="H907" s="506"/>
      <c r="I907" s="199"/>
      <c r="J907" s="506"/>
      <c r="K907" s="82"/>
      <c r="L907" s="506"/>
      <c r="M907" s="70"/>
      <c r="N907" s="70"/>
      <c r="O907" s="70"/>
      <c r="P907" s="70"/>
      <c r="Q907" s="70"/>
      <c r="R907" s="70"/>
      <c r="S907" s="70"/>
      <c r="T907" s="70"/>
      <c r="U907" s="70"/>
      <c r="V907" s="70"/>
      <c r="W907" s="70"/>
      <c r="X907" s="70"/>
      <c r="Y907" s="70"/>
    </row>
    <row r="908">
      <c r="A908" s="82"/>
      <c r="B908" s="506"/>
      <c r="C908" s="82"/>
      <c r="D908" s="506"/>
      <c r="E908" s="82"/>
      <c r="F908" s="506"/>
      <c r="G908" s="222"/>
      <c r="H908" s="506"/>
      <c r="I908" s="199"/>
      <c r="J908" s="506"/>
      <c r="K908" s="82"/>
      <c r="L908" s="506"/>
      <c r="M908" s="70"/>
      <c r="N908" s="70"/>
      <c r="O908" s="70"/>
      <c r="P908" s="70"/>
      <c r="Q908" s="70"/>
      <c r="R908" s="70"/>
      <c r="S908" s="70"/>
      <c r="T908" s="70"/>
      <c r="U908" s="70"/>
      <c r="V908" s="70"/>
      <c r="W908" s="70"/>
      <c r="X908" s="70"/>
      <c r="Y908" s="70"/>
    </row>
    <row r="909">
      <c r="A909" s="82"/>
      <c r="B909" s="506"/>
      <c r="C909" s="82"/>
      <c r="D909" s="506"/>
      <c r="E909" s="82"/>
      <c r="F909" s="506"/>
      <c r="G909" s="222"/>
      <c r="H909" s="506"/>
      <c r="I909" s="199"/>
      <c r="J909" s="506"/>
      <c r="K909" s="82"/>
      <c r="L909" s="506"/>
      <c r="M909" s="70"/>
      <c r="N909" s="70"/>
      <c r="O909" s="70"/>
      <c r="P909" s="70"/>
      <c r="Q909" s="70"/>
      <c r="R909" s="70"/>
      <c r="S909" s="70"/>
      <c r="T909" s="70"/>
      <c r="U909" s="70"/>
      <c r="V909" s="70"/>
      <c r="W909" s="70"/>
      <c r="X909" s="70"/>
      <c r="Y909" s="70"/>
    </row>
    <row r="910">
      <c r="A910" s="82"/>
      <c r="B910" s="506"/>
      <c r="C910" s="82"/>
      <c r="D910" s="506"/>
      <c r="E910" s="82"/>
      <c r="F910" s="506"/>
      <c r="G910" s="222"/>
      <c r="H910" s="506"/>
      <c r="I910" s="199"/>
      <c r="J910" s="506"/>
      <c r="K910" s="82"/>
      <c r="L910" s="506"/>
      <c r="M910" s="70"/>
      <c r="N910" s="70"/>
      <c r="O910" s="70"/>
      <c r="P910" s="70"/>
      <c r="Q910" s="70"/>
      <c r="R910" s="70"/>
      <c r="S910" s="70"/>
      <c r="T910" s="70"/>
      <c r="U910" s="70"/>
      <c r="V910" s="70"/>
      <c r="W910" s="70"/>
      <c r="X910" s="70"/>
      <c r="Y910" s="70"/>
    </row>
    <row r="911">
      <c r="A911" s="82"/>
      <c r="B911" s="506"/>
      <c r="C911" s="82"/>
      <c r="D911" s="506"/>
      <c r="E911" s="82"/>
      <c r="F911" s="506"/>
      <c r="G911" s="222"/>
      <c r="H911" s="506"/>
      <c r="I911" s="199"/>
      <c r="J911" s="506"/>
      <c r="K911" s="82"/>
      <c r="L911" s="506"/>
      <c r="M911" s="70"/>
      <c r="N911" s="70"/>
      <c r="O911" s="70"/>
      <c r="P911" s="70"/>
      <c r="Q911" s="70"/>
      <c r="R911" s="70"/>
      <c r="S911" s="70"/>
      <c r="T911" s="70"/>
      <c r="U911" s="70"/>
      <c r="V911" s="70"/>
      <c r="W911" s="70"/>
      <c r="X911" s="70"/>
      <c r="Y911" s="70"/>
    </row>
    <row r="912">
      <c r="A912" s="82"/>
      <c r="B912" s="506"/>
      <c r="C912" s="82"/>
      <c r="D912" s="506"/>
      <c r="E912" s="82"/>
      <c r="F912" s="506"/>
      <c r="G912" s="222"/>
      <c r="H912" s="506"/>
      <c r="I912" s="199"/>
      <c r="J912" s="506"/>
      <c r="K912" s="82"/>
      <c r="L912" s="506"/>
      <c r="M912" s="70"/>
      <c r="N912" s="70"/>
      <c r="O912" s="70"/>
      <c r="P912" s="70"/>
      <c r="Q912" s="70"/>
      <c r="R912" s="70"/>
      <c r="S912" s="70"/>
      <c r="T912" s="70"/>
      <c r="U912" s="70"/>
      <c r="V912" s="70"/>
      <c r="W912" s="70"/>
      <c r="X912" s="70"/>
      <c r="Y912" s="70"/>
    </row>
    <row r="913">
      <c r="A913" s="82"/>
      <c r="B913" s="506"/>
      <c r="C913" s="82"/>
      <c r="D913" s="506"/>
      <c r="E913" s="82"/>
      <c r="F913" s="506"/>
      <c r="G913" s="222"/>
      <c r="H913" s="506"/>
      <c r="I913" s="199"/>
      <c r="J913" s="506"/>
      <c r="K913" s="82"/>
      <c r="L913" s="506"/>
      <c r="M913" s="70"/>
      <c r="N913" s="70"/>
      <c r="O913" s="70"/>
      <c r="P913" s="70"/>
      <c r="Q913" s="70"/>
      <c r="R913" s="70"/>
      <c r="S913" s="70"/>
      <c r="T913" s="70"/>
      <c r="U913" s="70"/>
      <c r="V913" s="70"/>
      <c r="W913" s="70"/>
      <c r="X913" s="70"/>
      <c r="Y913" s="70"/>
    </row>
    <row r="914">
      <c r="A914" s="82"/>
      <c r="B914" s="506"/>
      <c r="C914" s="82"/>
      <c r="D914" s="506"/>
      <c r="E914" s="82"/>
      <c r="F914" s="506"/>
      <c r="G914" s="222"/>
      <c r="H914" s="506"/>
      <c r="I914" s="199"/>
      <c r="J914" s="506"/>
      <c r="K914" s="82"/>
      <c r="L914" s="506"/>
      <c r="M914" s="70"/>
      <c r="N914" s="70"/>
      <c r="O914" s="70"/>
      <c r="P914" s="70"/>
      <c r="Q914" s="70"/>
      <c r="R914" s="70"/>
      <c r="S914" s="70"/>
      <c r="T914" s="70"/>
      <c r="U914" s="70"/>
      <c r="V914" s="70"/>
      <c r="W914" s="70"/>
      <c r="X914" s="70"/>
      <c r="Y914" s="70"/>
    </row>
    <row r="915">
      <c r="A915" s="82"/>
      <c r="B915" s="506"/>
      <c r="C915" s="82"/>
      <c r="D915" s="506"/>
      <c r="E915" s="82"/>
      <c r="F915" s="506"/>
      <c r="G915" s="222"/>
      <c r="H915" s="506"/>
      <c r="I915" s="199"/>
      <c r="J915" s="506"/>
      <c r="K915" s="82"/>
      <c r="L915" s="506"/>
      <c r="M915" s="70"/>
      <c r="N915" s="70"/>
      <c r="O915" s="70"/>
      <c r="P915" s="70"/>
      <c r="Q915" s="70"/>
      <c r="R915" s="70"/>
      <c r="S915" s="70"/>
      <c r="T915" s="70"/>
      <c r="U915" s="70"/>
      <c r="V915" s="70"/>
      <c r="W915" s="70"/>
      <c r="X915" s="70"/>
      <c r="Y915" s="70"/>
    </row>
    <row r="916">
      <c r="A916" s="82"/>
      <c r="B916" s="506"/>
      <c r="C916" s="82"/>
      <c r="D916" s="506"/>
      <c r="E916" s="82"/>
      <c r="F916" s="506"/>
      <c r="G916" s="222"/>
      <c r="H916" s="506"/>
      <c r="I916" s="199"/>
      <c r="J916" s="506"/>
      <c r="K916" s="82"/>
      <c r="L916" s="506"/>
      <c r="M916" s="70"/>
      <c r="N916" s="70"/>
      <c r="O916" s="70"/>
      <c r="P916" s="70"/>
      <c r="Q916" s="70"/>
      <c r="R916" s="70"/>
      <c r="S916" s="70"/>
      <c r="T916" s="70"/>
      <c r="U916" s="70"/>
      <c r="V916" s="70"/>
      <c r="W916" s="70"/>
      <c r="X916" s="70"/>
      <c r="Y916" s="70"/>
    </row>
    <row r="917">
      <c r="A917" s="82"/>
      <c r="B917" s="506"/>
      <c r="C917" s="82"/>
      <c r="D917" s="506"/>
      <c r="E917" s="82"/>
      <c r="F917" s="506"/>
      <c r="G917" s="222"/>
      <c r="H917" s="506"/>
      <c r="I917" s="199"/>
      <c r="J917" s="506"/>
      <c r="K917" s="82"/>
      <c r="L917" s="506"/>
      <c r="M917" s="70"/>
      <c r="N917" s="70"/>
      <c r="O917" s="70"/>
      <c r="P917" s="70"/>
      <c r="Q917" s="70"/>
      <c r="R917" s="70"/>
      <c r="S917" s="70"/>
      <c r="T917" s="70"/>
      <c r="U917" s="70"/>
      <c r="V917" s="70"/>
      <c r="W917" s="70"/>
      <c r="X917" s="70"/>
      <c r="Y917" s="70"/>
    </row>
    <row r="918">
      <c r="A918" s="82"/>
      <c r="B918" s="506"/>
      <c r="C918" s="82"/>
      <c r="D918" s="506"/>
      <c r="E918" s="82"/>
      <c r="F918" s="506"/>
      <c r="G918" s="222"/>
      <c r="H918" s="506"/>
      <c r="I918" s="199"/>
      <c r="J918" s="506"/>
      <c r="K918" s="82"/>
      <c r="L918" s="506"/>
      <c r="M918" s="70"/>
      <c r="N918" s="70"/>
      <c r="O918" s="70"/>
      <c r="P918" s="70"/>
      <c r="Q918" s="70"/>
      <c r="R918" s="70"/>
      <c r="S918" s="70"/>
      <c r="T918" s="70"/>
      <c r="U918" s="70"/>
      <c r="V918" s="70"/>
      <c r="W918" s="70"/>
      <c r="X918" s="70"/>
      <c r="Y918" s="70"/>
    </row>
    <row r="919">
      <c r="A919" s="82"/>
      <c r="B919" s="506"/>
      <c r="C919" s="82"/>
      <c r="D919" s="506"/>
      <c r="E919" s="82"/>
      <c r="F919" s="506"/>
      <c r="G919" s="222"/>
      <c r="H919" s="506"/>
      <c r="I919" s="199"/>
      <c r="J919" s="506"/>
      <c r="K919" s="82"/>
      <c r="L919" s="506"/>
      <c r="M919" s="70"/>
      <c r="N919" s="70"/>
      <c r="O919" s="70"/>
      <c r="P919" s="70"/>
      <c r="Q919" s="70"/>
      <c r="R919" s="70"/>
      <c r="S919" s="70"/>
      <c r="T919" s="70"/>
      <c r="U919" s="70"/>
      <c r="V919" s="70"/>
      <c r="W919" s="70"/>
      <c r="X919" s="70"/>
      <c r="Y919" s="70"/>
    </row>
    <row r="920">
      <c r="A920" s="82"/>
      <c r="B920" s="506"/>
      <c r="C920" s="82"/>
      <c r="D920" s="506"/>
      <c r="E920" s="82"/>
      <c r="F920" s="506"/>
      <c r="G920" s="222"/>
      <c r="H920" s="506"/>
      <c r="I920" s="199"/>
      <c r="J920" s="506"/>
      <c r="K920" s="82"/>
      <c r="L920" s="506"/>
      <c r="M920" s="70"/>
      <c r="N920" s="70"/>
      <c r="O920" s="70"/>
      <c r="P920" s="70"/>
      <c r="Q920" s="70"/>
      <c r="R920" s="70"/>
      <c r="S920" s="70"/>
      <c r="T920" s="70"/>
      <c r="U920" s="70"/>
      <c r="V920" s="70"/>
      <c r="W920" s="70"/>
      <c r="X920" s="70"/>
      <c r="Y920" s="70"/>
    </row>
    <row r="921">
      <c r="A921" s="82"/>
      <c r="B921" s="506"/>
      <c r="C921" s="82"/>
      <c r="D921" s="506"/>
      <c r="E921" s="82"/>
      <c r="F921" s="506"/>
      <c r="G921" s="222"/>
      <c r="H921" s="506"/>
      <c r="I921" s="199"/>
      <c r="J921" s="506"/>
      <c r="K921" s="82"/>
      <c r="L921" s="506"/>
      <c r="M921" s="70"/>
      <c r="N921" s="70"/>
      <c r="O921" s="70"/>
      <c r="P921" s="70"/>
      <c r="Q921" s="70"/>
      <c r="R921" s="70"/>
      <c r="S921" s="70"/>
      <c r="T921" s="70"/>
      <c r="U921" s="70"/>
      <c r="V921" s="70"/>
      <c r="W921" s="70"/>
      <c r="X921" s="70"/>
      <c r="Y921" s="70"/>
    </row>
    <row r="922">
      <c r="A922" s="82"/>
      <c r="B922" s="506"/>
      <c r="C922" s="82"/>
      <c r="D922" s="506"/>
      <c r="E922" s="82"/>
      <c r="F922" s="506"/>
      <c r="G922" s="222"/>
      <c r="H922" s="506"/>
      <c r="I922" s="199"/>
      <c r="J922" s="506"/>
      <c r="K922" s="82"/>
      <c r="L922" s="506"/>
      <c r="M922" s="70"/>
      <c r="N922" s="70"/>
      <c r="O922" s="70"/>
      <c r="P922" s="70"/>
      <c r="Q922" s="70"/>
      <c r="R922" s="70"/>
      <c r="S922" s="70"/>
      <c r="T922" s="70"/>
      <c r="U922" s="70"/>
      <c r="V922" s="70"/>
      <c r="W922" s="70"/>
      <c r="X922" s="70"/>
      <c r="Y922" s="70"/>
    </row>
    <row r="923">
      <c r="A923" s="82"/>
      <c r="B923" s="506"/>
      <c r="C923" s="82"/>
      <c r="D923" s="506"/>
      <c r="E923" s="82"/>
      <c r="F923" s="506"/>
      <c r="G923" s="222"/>
      <c r="H923" s="506"/>
      <c r="I923" s="199"/>
      <c r="J923" s="506"/>
      <c r="K923" s="82"/>
      <c r="L923" s="506"/>
      <c r="M923" s="70"/>
      <c r="N923" s="70"/>
      <c r="O923" s="70"/>
      <c r="P923" s="70"/>
      <c r="Q923" s="70"/>
      <c r="R923" s="70"/>
      <c r="S923" s="70"/>
      <c r="T923" s="70"/>
      <c r="U923" s="70"/>
      <c r="V923" s="70"/>
      <c r="W923" s="70"/>
      <c r="X923" s="70"/>
      <c r="Y923" s="70"/>
    </row>
    <row r="924">
      <c r="A924" s="82"/>
      <c r="B924" s="506"/>
      <c r="C924" s="82"/>
      <c r="D924" s="506"/>
      <c r="E924" s="82"/>
      <c r="F924" s="506"/>
      <c r="G924" s="222"/>
      <c r="H924" s="506"/>
      <c r="I924" s="199"/>
      <c r="J924" s="506"/>
      <c r="K924" s="82"/>
      <c r="L924" s="506"/>
      <c r="M924" s="70"/>
      <c r="N924" s="70"/>
      <c r="O924" s="70"/>
      <c r="P924" s="70"/>
      <c r="Q924" s="70"/>
      <c r="R924" s="70"/>
      <c r="S924" s="70"/>
      <c r="T924" s="70"/>
      <c r="U924" s="70"/>
      <c r="V924" s="70"/>
      <c r="W924" s="70"/>
      <c r="X924" s="70"/>
      <c r="Y924" s="70"/>
    </row>
    <row r="925">
      <c r="A925" s="82"/>
      <c r="B925" s="506"/>
      <c r="C925" s="82"/>
      <c r="D925" s="506"/>
      <c r="E925" s="82"/>
      <c r="F925" s="506"/>
      <c r="G925" s="222"/>
      <c r="H925" s="506"/>
      <c r="I925" s="199"/>
      <c r="J925" s="506"/>
      <c r="K925" s="82"/>
      <c r="L925" s="506"/>
      <c r="M925" s="70"/>
      <c r="N925" s="70"/>
      <c r="O925" s="70"/>
      <c r="P925" s="70"/>
      <c r="Q925" s="70"/>
      <c r="R925" s="70"/>
      <c r="S925" s="70"/>
      <c r="T925" s="70"/>
      <c r="U925" s="70"/>
      <c r="V925" s="70"/>
      <c r="W925" s="70"/>
      <c r="X925" s="70"/>
      <c r="Y925" s="70"/>
    </row>
    <row r="926">
      <c r="A926" s="82"/>
      <c r="B926" s="506"/>
      <c r="C926" s="82"/>
      <c r="D926" s="506"/>
      <c r="E926" s="82"/>
      <c r="F926" s="506"/>
      <c r="G926" s="222"/>
      <c r="H926" s="506"/>
      <c r="I926" s="199"/>
      <c r="J926" s="506"/>
      <c r="K926" s="82"/>
      <c r="L926" s="506"/>
      <c r="M926" s="70"/>
      <c r="N926" s="70"/>
      <c r="O926" s="70"/>
      <c r="P926" s="70"/>
      <c r="Q926" s="70"/>
      <c r="R926" s="70"/>
      <c r="S926" s="70"/>
      <c r="T926" s="70"/>
      <c r="U926" s="70"/>
      <c r="V926" s="70"/>
      <c r="W926" s="70"/>
      <c r="X926" s="70"/>
      <c r="Y926" s="70"/>
    </row>
    <row r="927">
      <c r="A927" s="82"/>
      <c r="B927" s="506"/>
      <c r="C927" s="82"/>
      <c r="D927" s="506"/>
      <c r="E927" s="82"/>
      <c r="F927" s="506"/>
      <c r="G927" s="222"/>
      <c r="H927" s="506"/>
      <c r="I927" s="199"/>
      <c r="J927" s="506"/>
      <c r="K927" s="82"/>
      <c r="L927" s="506"/>
      <c r="M927" s="70"/>
      <c r="N927" s="70"/>
      <c r="O927" s="70"/>
      <c r="P927" s="70"/>
      <c r="Q927" s="70"/>
      <c r="R927" s="70"/>
      <c r="S927" s="70"/>
      <c r="T927" s="70"/>
      <c r="U927" s="70"/>
      <c r="V927" s="70"/>
      <c r="W927" s="70"/>
      <c r="X927" s="70"/>
      <c r="Y927" s="70"/>
    </row>
    <row r="928">
      <c r="A928" s="82"/>
      <c r="B928" s="506"/>
      <c r="C928" s="82"/>
      <c r="D928" s="506"/>
      <c r="E928" s="82"/>
      <c r="F928" s="506"/>
      <c r="G928" s="222"/>
      <c r="H928" s="506"/>
      <c r="I928" s="199"/>
      <c r="J928" s="506"/>
      <c r="K928" s="82"/>
      <c r="L928" s="506"/>
      <c r="M928" s="70"/>
      <c r="N928" s="70"/>
      <c r="O928" s="70"/>
      <c r="P928" s="70"/>
      <c r="Q928" s="70"/>
      <c r="R928" s="70"/>
      <c r="S928" s="70"/>
      <c r="T928" s="70"/>
      <c r="U928" s="70"/>
      <c r="V928" s="70"/>
      <c r="W928" s="70"/>
      <c r="X928" s="70"/>
      <c r="Y928" s="70"/>
    </row>
    <row r="929">
      <c r="A929" s="82"/>
      <c r="B929" s="506"/>
      <c r="C929" s="82"/>
      <c r="D929" s="506"/>
      <c r="E929" s="82"/>
      <c r="F929" s="506"/>
      <c r="G929" s="222"/>
      <c r="H929" s="506"/>
      <c r="I929" s="199"/>
      <c r="J929" s="506"/>
      <c r="K929" s="82"/>
      <c r="L929" s="506"/>
      <c r="M929" s="70"/>
      <c r="N929" s="70"/>
      <c r="O929" s="70"/>
      <c r="P929" s="70"/>
      <c r="Q929" s="70"/>
      <c r="R929" s="70"/>
      <c r="S929" s="70"/>
      <c r="T929" s="70"/>
      <c r="U929" s="70"/>
      <c r="V929" s="70"/>
      <c r="W929" s="70"/>
      <c r="X929" s="70"/>
      <c r="Y929" s="70"/>
    </row>
    <row r="930">
      <c r="A930" s="82"/>
      <c r="B930" s="506"/>
      <c r="C930" s="82"/>
      <c r="D930" s="506"/>
      <c r="E930" s="82"/>
      <c r="F930" s="506"/>
      <c r="G930" s="222"/>
      <c r="H930" s="506"/>
      <c r="I930" s="199"/>
      <c r="J930" s="506"/>
      <c r="K930" s="82"/>
      <c r="L930" s="506"/>
      <c r="M930" s="70"/>
      <c r="N930" s="70"/>
      <c r="O930" s="70"/>
      <c r="P930" s="70"/>
      <c r="Q930" s="70"/>
      <c r="R930" s="70"/>
      <c r="S930" s="70"/>
      <c r="T930" s="70"/>
      <c r="U930" s="70"/>
      <c r="V930" s="70"/>
      <c r="W930" s="70"/>
      <c r="X930" s="70"/>
      <c r="Y930" s="70"/>
    </row>
    <row r="931">
      <c r="A931" s="82"/>
      <c r="B931" s="506"/>
      <c r="C931" s="82"/>
      <c r="D931" s="506"/>
      <c r="E931" s="82"/>
      <c r="F931" s="506"/>
      <c r="G931" s="222"/>
      <c r="H931" s="506"/>
      <c r="I931" s="199"/>
      <c r="J931" s="506"/>
      <c r="K931" s="82"/>
      <c r="L931" s="506"/>
      <c r="M931" s="70"/>
      <c r="N931" s="70"/>
      <c r="O931" s="70"/>
      <c r="P931" s="70"/>
      <c r="Q931" s="70"/>
      <c r="R931" s="70"/>
      <c r="S931" s="70"/>
      <c r="T931" s="70"/>
      <c r="U931" s="70"/>
      <c r="V931" s="70"/>
      <c r="W931" s="70"/>
      <c r="X931" s="70"/>
      <c r="Y931" s="70"/>
    </row>
    <row r="932">
      <c r="A932" s="82"/>
      <c r="B932" s="506"/>
      <c r="C932" s="82"/>
      <c r="D932" s="506"/>
      <c r="E932" s="82"/>
      <c r="F932" s="506"/>
      <c r="G932" s="222"/>
      <c r="H932" s="506"/>
      <c r="I932" s="199"/>
      <c r="J932" s="506"/>
      <c r="K932" s="82"/>
      <c r="L932" s="506"/>
      <c r="M932" s="70"/>
      <c r="N932" s="70"/>
      <c r="O932" s="70"/>
      <c r="P932" s="70"/>
      <c r="Q932" s="70"/>
      <c r="R932" s="70"/>
      <c r="S932" s="70"/>
      <c r="T932" s="70"/>
      <c r="U932" s="70"/>
      <c r="V932" s="70"/>
      <c r="W932" s="70"/>
      <c r="X932" s="70"/>
      <c r="Y932" s="70"/>
    </row>
    <row r="933">
      <c r="A933" s="82"/>
      <c r="B933" s="506"/>
      <c r="C933" s="82"/>
      <c r="D933" s="506"/>
      <c r="E933" s="82"/>
      <c r="F933" s="506"/>
      <c r="G933" s="222"/>
      <c r="H933" s="506"/>
      <c r="I933" s="199"/>
      <c r="J933" s="506"/>
      <c r="K933" s="82"/>
      <c r="L933" s="506"/>
      <c r="M933" s="70"/>
      <c r="N933" s="70"/>
      <c r="O933" s="70"/>
      <c r="P933" s="70"/>
      <c r="Q933" s="70"/>
      <c r="R933" s="70"/>
      <c r="S933" s="70"/>
      <c r="T933" s="70"/>
      <c r="U933" s="70"/>
      <c r="V933" s="70"/>
      <c r="W933" s="70"/>
      <c r="X933" s="70"/>
      <c r="Y933" s="70"/>
    </row>
    <row r="934">
      <c r="A934" s="82"/>
      <c r="B934" s="506"/>
      <c r="C934" s="82"/>
      <c r="D934" s="506"/>
      <c r="E934" s="82"/>
      <c r="F934" s="506"/>
      <c r="G934" s="222"/>
      <c r="H934" s="506"/>
      <c r="I934" s="199"/>
      <c r="J934" s="506"/>
      <c r="K934" s="82"/>
      <c r="L934" s="506"/>
      <c r="M934" s="70"/>
      <c r="N934" s="70"/>
      <c r="O934" s="70"/>
      <c r="P934" s="70"/>
      <c r="Q934" s="70"/>
      <c r="R934" s="70"/>
      <c r="S934" s="70"/>
      <c r="T934" s="70"/>
      <c r="U934" s="70"/>
      <c r="V934" s="70"/>
      <c r="W934" s="70"/>
      <c r="X934" s="70"/>
      <c r="Y934" s="70"/>
    </row>
    <row r="935">
      <c r="A935" s="82"/>
      <c r="B935" s="506"/>
      <c r="C935" s="82"/>
      <c r="D935" s="506"/>
      <c r="E935" s="82"/>
      <c r="F935" s="506"/>
      <c r="G935" s="222"/>
      <c r="H935" s="506"/>
      <c r="I935" s="199"/>
      <c r="J935" s="506"/>
      <c r="K935" s="82"/>
      <c r="L935" s="506"/>
      <c r="M935" s="70"/>
      <c r="N935" s="70"/>
      <c r="O935" s="70"/>
      <c r="P935" s="70"/>
      <c r="Q935" s="70"/>
      <c r="R935" s="70"/>
      <c r="S935" s="70"/>
      <c r="T935" s="70"/>
      <c r="U935" s="70"/>
      <c r="V935" s="70"/>
      <c r="W935" s="70"/>
      <c r="X935" s="70"/>
      <c r="Y935" s="70"/>
    </row>
    <row r="936">
      <c r="A936" s="82"/>
      <c r="B936" s="506"/>
      <c r="C936" s="82"/>
      <c r="D936" s="506"/>
      <c r="E936" s="82"/>
      <c r="F936" s="506"/>
      <c r="G936" s="222"/>
      <c r="H936" s="506"/>
      <c r="I936" s="199"/>
      <c r="J936" s="506"/>
      <c r="K936" s="82"/>
      <c r="L936" s="506"/>
      <c r="M936" s="70"/>
      <c r="N936" s="70"/>
      <c r="O936" s="70"/>
      <c r="P936" s="70"/>
      <c r="Q936" s="70"/>
      <c r="R936" s="70"/>
      <c r="S936" s="70"/>
      <c r="T936" s="70"/>
      <c r="U936" s="70"/>
      <c r="V936" s="70"/>
      <c r="W936" s="70"/>
      <c r="X936" s="70"/>
      <c r="Y936" s="70"/>
    </row>
    <row r="937">
      <c r="A937" s="82"/>
      <c r="B937" s="506"/>
      <c r="C937" s="82"/>
      <c r="D937" s="506"/>
      <c r="E937" s="82"/>
      <c r="F937" s="506"/>
      <c r="G937" s="222"/>
      <c r="H937" s="506"/>
      <c r="I937" s="199"/>
      <c r="J937" s="506"/>
      <c r="K937" s="82"/>
      <c r="L937" s="506"/>
      <c r="M937" s="70"/>
      <c r="N937" s="70"/>
      <c r="O937" s="70"/>
      <c r="P937" s="70"/>
      <c r="Q937" s="70"/>
      <c r="R937" s="70"/>
      <c r="S937" s="70"/>
      <c r="T937" s="70"/>
      <c r="U937" s="70"/>
      <c r="V937" s="70"/>
      <c r="W937" s="70"/>
      <c r="X937" s="70"/>
      <c r="Y937" s="70"/>
    </row>
    <row r="938">
      <c r="A938" s="82"/>
      <c r="B938" s="506"/>
      <c r="C938" s="82"/>
      <c r="D938" s="506"/>
      <c r="E938" s="82"/>
      <c r="F938" s="506"/>
      <c r="G938" s="222"/>
      <c r="H938" s="506"/>
      <c r="I938" s="199"/>
      <c r="J938" s="506"/>
      <c r="K938" s="82"/>
      <c r="L938" s="506"/>
      <c r="M938" s="70"/>
      <c r="N938" s="70"/>
      <c r="O938" s="70"/>
      <c r="P938" s="70"/>
      <c r="Q938" s="70"/>
      <c r="R938" s="70"/>
      <c r="S938" s="70"/>
      <c r="T938" s="70"/>
      <c r="U938" s="70"/>
      <c r="V938" s="70"/>
      <c r="W938" s="70"/>
      <c r="X938" s="70"/>
      <c r="Y938" s="70"/>
    </row>
    <row r="939">
      <c r="A939" s="82"/>
      <c r="B939" s="506"/>
      <c r="C939" s="82"/>
      <c r="D939" s="506"/>
      <c r="E939" s="82"/>
      <c r="F939" s="506"/>
      <c r="G939" s="222"/>
      <c r="H939" s="506"/>
      <c r="I939" s="199"/>
      <c r="J939" s="506"/>
      <c r="K939" s="82"/>
      <c r="L939" s="506"/>
      <c r="M939" s="70"/>
      <c r="N939" s="70"/>
      <c r="O939" s="70"/>
      <c r="P939" s="70"/>
      <c r="Q939" s="70"/>
      <c r="R939" s="70"/>
      <c r="S939" s="70"/>
      <c r="T939" s="70"/>
      <c r="U939" s="70"/>
      <c r="V939" s="70"/>
      <c r="W939" s="70"/>
      <c r="X939" s="70"/>
      <c r="Y939" s="70"/>
    </row>
    <row r="940">
      <c r="A940" s="82"/>
      <c r="B940" s="506"/>
      <c r="C940" s="82"/>
      <c r="D940" s="506"/>
      <c r="E940" s="82"/>
      <c r="F940" s="506"/>
      <c r="G940" s="222"/>
      <c r="H940" s="506"/>
      <c r="I940" s="199"/>
      <c r="J940" s="506"/>
      <c r="K940" s="82"/>
      <c r="L940" s="506"/>
      <c r="M940" s="70"/>
      <c r="N940" s="70"/>
      <c r="O940" s="70"/>
      <c r="P940" s="70"/>
      <c r="Q940" s="70"/>
      <c r="R940" s="70"/>
      <c r="S940" s="70"/>
      <c r="T940" s="70"/>
      <c r="U940" s="70"/>
      <c r="V940" s="70"/>
      <c r="W940" s="70"/>
      <c r="X940" s="70"/>
      <c r="Y940" s="70"/>
    </row>
    <row r="941">
      <c r="A941" s="82"/>
      <c r="B941" s="506"/>
      <c r="C941" s="82"/>
      <c r="D941" s="506"/>
      <c r="E941" s="82"/>
      <c r="F941" s="506"/>
      <c r="G941" s="222"/>
      <c r="H941" s="506"/>
      <c r="I941" s="199"/>
      <c r="J941" s="506"/>
      <c r="K941" s="82"/>
      <c r="L941" s="506"/>
      <c r="M941" s="70"/>
      <c r="N941" s="70"/>
      <c r="O941" s="70"/>
      <c r="P941" s="70"/>
      <c r="Q941" s="70"/>
      <c r="R941" s="70"/>
      <c r="S941" s="70"/>
      <c r="T941" s="70"/>
      <c r="U941" s="70"/>
      <c r="V941" s="70"/>
      <c r="W941" s="70"/>
      <c r="X941" s="70"/>
      <c r="Y941" s="70"/>
    </row>
    <row r="942">
      <c r="A942" s="82"/>
      <c r="B942" s="506"/>
      <c r="C942" s="82"/>
      <c r="D942" s="506"/>
      <c r="E942" s="82"/>
      <c r="F942" s="506"/>
      <c r="G942" s="222"/>
      <c r="H942" s="506"/>
      <c r="I942" s="199"/>
      <c r="J942" s="506"/>
      <c r="K942" s="82"/>
      <c r="L942" s="506"/>
      <c r="M942" s="70"/>
      <c r="N942" s="70"/>
      <c r="O942" s="70"/>
      <c r="P942" s="70"/>
      <c r="Q942" s="70"/>
      <c r="R942" s="70"/>
      <c r="S942" s="70"/>
      <c r="T942" s="70"/>
      <c r="U942" s="70"/>
      <c r="V942" s="70"/>
      <c r="W942" s="70"/>
      <c r="X942" s="70"/>
      <c r="Y942" s="70"/>
    </row>
    <row r="943">
      <c r="A943" s="82"/>
      <c r="B943" s="506"/>
      <c r="C943" s="82"/>
      <c r="D943" s="506"/>
      <c r="E943" s="82"/>
      <c r="F943" s="506"/>
      <c r="G943" s="222"/>
      <c r="H943" s="506"/>
      <c r="I943" s="199"/>
      <c r="J943" s="506"/>
      <c r="K943" s="82"/>
      <c r="L943" s="506"/>
      <c r="M943" s="70"/>
      <c r="N943" s="70"/>
      <c r="O943" s="70"/>
      <c r="P943" s="70"/>
      <c r="Q943" s="70"/>
      <c r="R943" s="70"/>
      <c r="S943" s="70"/>
      <c r="T943" s="70"/>
      <c r="U943" s="70"/>
      <c r="V943" s="70"/>
      <c r="W943" s="70"/>
      <c r="X943" s="70"/>
      <c r="Y943" s="70"/>
    </row>
    <row r="944">
      <c r="A944" s="82"/>
      <c r="B944" s="506"/>
      <c r="C944" s="82"/>
      <c r="D944" s="506"/>
      <c r="E944" s="82"/>
      <c r="F944" s="506"/>
      <c r="G944" s="222"/>
      <c r="H944" s="506"/>
      <c r="I944" s="199"/>
      <c r="J944" s="506"/>
      <c r="K944" s="82"/>
      <c r="L944" s="506"/>
      <c r="M944" s="70"/>
      <c r="N944" s="70"/>
      <c r="O944" s="70"/>
      <c r="P944" s="70"/>
      <c r="Q944" s="70"/>
      <c r="R944" s="70"/>
      <c r="S944" s="70"/>
      <c r="T944" s="70"/>
      <c r="U944" s="70"/>
      <c r="V944" s="70"/>
      <c r="W944" s="70"/>
      <c r="X944" s="70"/>
      <c r="Y944" s="70"/>
    </row>
    <row r="945">
      <c r="A945" s="82"/>
      <c r="B945" s="506"/>
      <c r="C945" s="82"/>
      <c r="D945" s="506"/>
      <c r="E945" s="82"/>
      <c r="F945" s="506"/>
      <c r="G945" s="222"/>
      <c r="H945" s="506"/>
      <c r="I945" s="199"/>
      <c r="J945" s="506"/>
      <c r="K945" s="82"/>
      <c r="L945" s="506"/>
      <c r="M945" s="70"/>
      <c r="N945" s="70"/>
      <c r="O945" s="70"/>
      <c r="P945" s="70"/>
      <c r="Q945" s="70"/>
      <c r="R945" s="70"/>
      <c r="S945" s="70"/>
      <c r="T945" s="70"/>
      <c r="U945" s="70"/>
      <c r="V945" s="70"/>
      <c r="W945" s="70"/>
      <c r="X945" s="70"/>
      <c r="Y945" s="70"/>
    </row>
    <row r="946">
      <c r="A946" s="82"/>
      <c r="B946" s="506"/>
      <c r="C946" s="82"/>
      <c r="D946" s="506"/>
      <c r="E946" s="82"/>
      <c r="F946" s="506"/>
      <c r="G946" s="222"/>
      <c r="H946" s="506"/>
      <c r="I946" s="199"/>
      <c r="J946" s="506"/>
      <c r="K946" s="82"/>
      <c r="L946" s="506"/>
      <c r="M946" s="70"/>
      <c r="N946" s="70"/>
      <c r="O946" s="70"/>
      <c r="P946" s="70"/>
      <c r="Q946" s="70"/>
      <c r="R946" s="70"/>
      <c r="S946" s="70"/>
      <c r="T946" s="70"/>
      <c r="U946" s="70"/>
      <c r="V946" s="70"/>
      <c r="W946" s="70"/>
      <c r="X946" s="70"/>
      <c r="Y946" s="70"/>
    </row>
    <row r="947">
      <c r="A947" s="82"/>
      <c r="B947" s="506"/>
      <c r="C947" s="82"/>
      <c r="D947" s="506"/>
      <c r="E947" s="82"/>
      <c r="F947" s="506"/>
      <c r="G947" s="222"/>
      <c r="H947" s="506"/>
      <c r="I947" s="199"/>
      <c r="J947" s="506"/>
      <c r="K947" s="82"/>
      <c r="L947" s="506"/>
      <c r="M947" s="70"/>
      <c r="N947" s="70"/>
      <c r="O947" s="70"/>
      <c r="P947" s="70"/>
      <c r="Q947" s="70"/>
      <c r="R947" s="70"/>
      <c r="S947" s="70"/>
      <c r="T947" s="70"/>
      <c r="U947" s="70"/>
      <c r="V947" s="70"/>
      <c r="W947" s="70"/>
      <c r="X947" s="70"/>
      <c r="Y947" s="70"/>
    </row>
    <row r="948">
      <c r="A948" s="82"/>
      <c r="B948" s="506"/>
      <c r="C948" s="82"/>
      <c r="D948" s="506"/>
      <c r="E948" s="82"/>
      <c r="F948" s="506"/>
      <c r="G948" s="222"/>
      <c r="H948" s="506"/>
      <c r="I948" s="199"/>
      <c r="J948" s="506"/>
      <c r="K948" s="82"/>
      <c r="L948" s="506"/>
      <c r="M948" s="70"/>
      <c r="N948" s="70"/>
      <c r="O948" s="70"/>
      <c r="P948" s="70"/>
      <c r="Q948" s="70"/>
      <c r="R948" s="70"/>
      <c r="S948" s="70"/>
      <c r="T948" s="70"/>
      <c r="U948" s="70"/>
      <c r="V948" s="70"/>
      <c r="W948" s="70"/>
      <c r="X948" s="70"/>
      <c r="Y948" s="70"/>
    </row>
    <row r="949">
      <c r="A949" s="82"/>
      <c r="B949" s="506"/>
      <c r="C949" s="82"/>
      <c r="D949" s="506"/>
      <c r="E949" s="82"/>
      <c r="F949" s="506"/>
      <c r="G949" s="222"/>
      <c r="H949" s="506"/>
      <c r="I949" s="199"/>
      <c r="J949" s="506"/>
      <c r="K949" s="82"/>
      <c r="L949" s="506"/>
      <c r="M949" s="70"/>
      <c r="N949" s="70"/>
      <c r="O949" s="70"/>
      <c r="P949" s="70"/>
      <c r="Q949" s="70"/>
      <c r="R949" s="70"/>
      <c r="S949" s="70"/>
      <c r="T949" s="70"/>
      <c r="U949" s="70"/>
      <c r="V949" s="70"/>
      <c r="W949" s="70"/>
      <c r="X949" s="70"/>
      <c r="Y949" s="70"/>
    </row>
    <row r="950">
      <c r="A950" s="82"/>
      <c r="B950" s="506"/>
      <c r="C950" s="82"/>
      <c r="D950" s="506"/>
      <c r="E950" s="82"/>
      <c r="F950" s="506"/>
      <c r="G950" s="222"/>
      <c r="H950" s="506"/>
      <c r="I950" s="199"/>
      <c r="J950" s="506"/>
      <c r="K950" s="82"/>
      <c r="L950" s="506"/>
      <c r="M950" s="70"/>
      <c r="N950" s="70"/>
      <c r="O950" s="70"/>
      <c r="P950" s="70"/>
      <c r="Q950" s="70"/>
      <c r="R950" s="70"/>
      <c r="S950" s="70"/>
      <c r="T950" s="70"/>
      <c r="U950" s="70"/>
      <c r="V950" s="70"/>
      <c r="W950" s="70"/>
      <c r="X950" s="70"/>
      <c r="Y950" s="70"/>
    </row>
    <row r="951">
      <c r="A951" s="82"/>
      <c r="B951" s="506"/>
      <c r="C951" s="82"/>
      <c r="D951" s="506"/>
      <c r="E951" s="82"/>
      <c r="F951" s="506"/>
      <c r="G951" s="222"/>
      <c r="H951" s="506"/>
      <c r="I951" s="199"/>
      <c r="J951" s="506"/>
      <c r="K951" s="82"/>
      <c r="L951" s="506"/>
      <c r="M951" s="70"/>
      <c r="N951" s="70"/>
      <c r="O951" s="70"/>
      <c r="P951" s="70"/>
      <c r="Q951" s="70"/>
      <c r="R951" s="70"/>
      <c r="S951" s="70"/>
      <c r="T951" s="70"/>
      <c r="U951" s="70"/>
      <c r="V951" s="70"/>
      <c r="W951" s="70"/>
      <c r="X951" s="70"/>
      <c r="Y951" s="70"/>
    </row>
    <row r="952">
      <c r="A952" s="82"/>
      <c r="B952" s="506"/>
      <c r="C952" s="82"/>
      <c r="D952" s="506"/>
      <c r="E952" s="82"/>
      <c r="F952" s="506"/>
      <c r="G952" s="222"/>
      <c r="H952" s="506"/>
      <c r="I952" s="199"/>
      <c r="J952" s="506"/>
      <c r="K952" s="82"/>
      <c r="L952" s="506"/>
      <c r="M952" s="70"/>
      <c r="N952" s="70"/>
      <c r="O952" s="70"/>
      <c r="P952" s="70"/>
      <c r="Q952" s="70"/>
      <c r="R952" s="70"/>
      <c r="S952" s="70"/>
      <c r="T952" s="70"/>
      <c r="U952" s="70"/>
      <c r="V952" s="70"/>
      <c r="W952" s="70"/>
      <c r="X952" s="70"/>
      <c r="Y952" s="70"/>
    </row>
    <row r="953">
      <c r="A953" s="82"/>
      <c r="B953" s="506"/>
      <c r="C953" s="82"/>
      <c r="D953" s="506"/>
      <c r="E953" s="82"/>
      <c r="F953" s="506"/>
      <c r="G953" s="222"/>
      <c r="H953" s="506"/>
      <c r="I953" s="199"/>
      <c r="J953" s="506"/>
      <c r="K953" s="82"/>
      <c r="L953" s="506"/>
      <c r="M953" s="70"/>
      <c r="N953" s="70"/>
      <c r="O953" s="70"/>
      <c r="P953" s="70"/>
      <c r="Q953" s="70"/>
      <c r="R953" s="70"/>
      <c r="S953" s="70"/>
      <c r="T953" s="70"/>
      <c r="U953" s="70"/>
      <c r="V953" s="70"/>
      <c r="W953" s="70"/>
      <c r="X953" s="70"/>
      <c r="Y953" s="70"/>
    </row>
    <row r="954">
      <c r="A954" s="82"/>
      <c r="B954" s="506"/>
      <c r="C954" s="82"/>
      <c r="D954" s="506"/>
      <c r="E954" s="82"/>
      <c r="F954" s="506"/>
      <c r="G954" s="222"/>
      <c r="H954" s="506"/>
      <c r="I954" s="199"/>
      <c r="J954" s="506"/>
      <c r="K954" s="82"/>
      <c r="L954" s="506"/>
      <c r="M954" s="70"/>
      <c r="N954" s="70"/>
      <c r="O954" s="70"/>
      <c r="P954" s="70"/>
      <c r="Q954" s="70"/>
      <c r="R954" s="70"/>
      <c r="S954" s="70"/>
      <c r="T954" s="70"/>
      <c r="U954" s="70"/>
      <c r="V954" s="70"/>
      <c r="W954" s="70"/>
      <c r="X954" s="70"/>
      <c r="Y954" s="70"/>
    </row>
    <row r="955">
      <c r="A955" s="82"/>
      <c r="B955" s="506"/>
      <c r="C955" s="82"/>
      <c r="D955" s="506"/>
      <c r="E955" s="82"/>
      <c r="F955" s="506"/>
      <c r="G955" s="222"/>
      <c r="H955" s="506"/>
      <c r="I955" s="199"/>
      <c r="J955" s="506"/>
      <c r="K955" s="82"/>
      <c r="L955" s="506"/>
      <c r="M955" s="70"/>
      <c r="N955" s="70"/>
      <c r="O955" s="70"/>
      <c r="P955" s="70"/>
      <c r="Q955" s="70"/>
      <c r="R955" s="70"/>
      <c r="S955" s="70"/>
      <c r="T955" s="70"/>
      <c r="U955" s="70"/>
      <c r="V955" s="70"/>
      <c r="W955" s="70"/>
      <c r="X955" s="70"/>
      <c r="Y955" s="70"/>
    </row>
    <row r="956">
      <c r="A956" s="82"/>
      <c r="B956" s="506"/>
      <c r="C956" s="82"/>
      <c r="D956" s="506"/>
      <c r="E956" s="82"/>
      <c r="F956" s="506"/>
      <c r="G956" s="222"/>
      <c r="H956" s="506"/>
      <c r="I956" s="199"/>
      <c r="J956" s="506"/>
      <c r="K956" s="82"/>
      <c r="L956" s="506"/>
      <c r="M956" s="70"/>
      <c r="N956" s="70"/>
      <c r="O956" s="70"/>
      <c r="P956" s="70"/>
      <c r="Q956" s="70"/>
      <c r="R956" s="70"/>
      <c r="S956" s="70"/>
      <c r="T956" s="70"/>
      <c r="U956" s="70"/>
      <c r="V956" s="70"/>
      <c r="W956" s="70"/>
      <c r="X956" s="70"/>
      <c r="Y956" s="70"/>
    </row>
    <row r="957">
      <c r="A957" s="82"/>
      <c r="B957" s="506"/>
      <c r="C957" s="82"/>
      <c r="D957" s="506"/>
      <c r="E957" s="82"/>
      <c r="F957" s="506"/>
      <c r="G957" s="222"/>
      <c r="H957" s="506"/>
      <c r="I957" s="199"/>
      <c r="J957" s="506"/>
      <c r="K957" s="82"/>
      <c r="L957" s="506"/>
      <c r="M957" s="70"/>
      <c r="N957" s="70"/>
      <c r="O957" s="70"/>
      <c r="P957" s="70"/>
      <c r="Q957" s="70"/>
      <c r="R957" s="70"/>
      <c r="S957" s="70"/>
      <c r="T957" s="70"/>
      <c r="U957" s="70"/>
      <c r="V957" s="70"/>
      <c r="W957" s="70"/>
      <c r="X957" s="70"/>
      <c r="Y957" s="70"/>
    </row>
    <row r="958">
      <c r="A958" s="82"/>
      <c r="B958" s="506"/>
      <c r="C958" s="82"/>
      <c r="D958" s="506"/>
      <c r="E958" s="82"/>
      <c r="F958" s="506"/>
      <c r="G958" s="222"/>
      <c r="H958" s="506"/>
      <c r="I958" s="199"/>
      <c r="J958" s="506"/>
      <c r="K958" s="82"/>
      <c r="L958" s="506"/>
      <c r="M958" s="70"/>
      <c r="N958" s="70"/>
      <c r="O958" s="70"/>
      <c r="P958" s="70"/>
      <c r="Q958" s="70"/>
      <c r="R958" s="70"/>
      <c r="S958" s="70"/>
      <c r="T958" s="70"/>
      <c r="U958" s="70"/>
      <c r="V958" s="70"/>
      <c r="W958" s="70"/>
      <c r="X958" s="70"/>
      <c r="Y958" s="70"/>
    </row>
    <row r="959">
      <c r="A959" s="82"/>
      <c r="B959" s="506"/>
      <c r="C959" s="82"/>
      <c r="D959" s="506"/>
      <c r="E959" s="82"/>
      <c r="F959" s="506"/>
      <c r="G959" s="222"/>
      <c r="H959" s="506"/>
      <c r="I959" s="199"/>
      <c r="J959" s="506"/>
      <c r="K959" s="82"/>
      <c r="L959" s="506"/>
      <c r="M959" s="70"/>
      <c r="N959" s="70"/>
      <c r="O959" s="70"/>
      <c r="P959" s="70"/>
      <c r="Q959" s="70"/>
      <c r="R959" s="70"/>
      <c r="S959" s="70"/>
      <c r="T959" s="70"/>
      <c r="U959" s="70"/>
      <c r="V959" s="70"/>
      <c r="W959" s="70"/>
      <c r="X959" s="70"/>
      <c r="Y959" s="70"/>
    </row>
    <row r="960">
      <c r="A960" s="82"/>
      <c r="B960" s="506"/>
      <c r="C960" s="82"/>
      <c r="D960" s="506"/>
      <c r="E960" s="82"/>
      <c r="F960" s="506"/>
      <c r="G960" s="222"/>
      <c r="H960" s="506"/>
      <c r="I960" s="199"/>
      <c r="J960" s="506"/>
      <c r="K960" s="82"/>
      <c r="L960" s="506"/>
      <c r="M960" s="70"/>
      <c r="N960" s="70"/>
      <c r="O960" s="70"/>
      <c r="P960" s="70"/>
      <c r="Q960" s="70"/>
      <c r="R960" s="70"/>
      <c r="S960" s="70"/>
      <c r="T960" s="70"/>
      <c r="U960" s="70"/>
      <c r="V960" s="70"/>
      <c r="W960" s="70"/>
      <c r="X960" s="70"/>
      <c r="Y960" s="70"/>
    </row>
    <row r="961">
      <c r="A961" s="82"/>
      <c r="B961" s="506"/>
      <c r="C961" s="82"/>
      <c r="D961" s="506"/>
      <c r="E961" s="82"/>
      <c r="F961" s="506"/>
      <c r="G961" s="222"/>
      <c r="H961" s="506"/>
      <c r="I961" s="199"/>
      <c r="J961" s="506"/>
      <c r="K961" s="82"/>
      <c r="L961" s="506"/>
      <c r="M961" s="70"/>
      <c r="N961" s="70"/>
      <c r="O961" s="70"/>
      <c r="P961" s="70"/>
      <c r="Q961" s="70"/>
      <c r="R961" s="70"/>
      <c r="S961" s="70"/>
      <c r="T961" s="70"/>
      <c r="U961" s="70"/>
      <c r="V961" s="70"/>
      <c r="W961" s="70"/>
      <c r="X961" s="70"/>
      <c r="Y961" s="70"/>
    </row>
    <row r="962">
      <c r="A962" s="82"/>
      <c r="B962" s="506"/>
      <c r="C962" s="82"/>
      <c r="D962" s="506"/>
      <c r="E962" s="82"/>
      <c r="F962" s="506"/>
      <c r="G962" s="222"/>
      <c r="H962" s="506"/>
      <c r="I962" s="199"/>
      <c r="J962" s="506"/>
      <c r="K962" s="82"/>
      <c r="L962" s="506"/>
      <c r="M962" s="70"/>
      <c r="N962" s="70"/>
      <c r="O962" s="70"/>
      <c r="P962" s="70"/>
      <c r="Q962" s="70"/>
      <c r="R962" s="70"/>
      <c r="S962" s="70"/>
      <c r="T962" s="70"/>
      <c r="U962" s="70"/>
      <c r="V962" s="70"/>
      <c r="W962" s="70"/>
      <c r="X962" s="70"/>
      <c r="Y962" s="70"/>
    </row>
    <row r="963">
      <c r="A963" s="82"/>
      <c r="B963" s="506"/>
      <c r="C963" s="82"/>
      <c r="D963" s="506"/>
      <c r="E963" s="82"/>
      <c r="F963" s="506"/>
      <c r="G963" s="222"/>
      <c r="H963" s="506"/>
      <c r="I963" s="199"/>
      <c r="J963" s="506"/>
      <c r="K963" s="82"/>
      <c r="L963" s="506"/>
      <c r="M963" s="70"/>
      <c r="N963" s="70"/>
      <c r="O963" s="70"/>
      <c r="P963" s="70"/>
      <c r="Q963" s="70"/>
      <c r="R963" s="70"/>
      <c r="S963" s="70"/>
      <c r="T963" s="70"/>
      <c r="U963" s="70"/>
      <c r="V963" s="70"/>
      <c r="W963" s="70"/>
      <c r="X963" s="70"/>
      <c r="Y963" s="70"/>
    </row>
    <row r="964">
      <c r="A964" s="82"/>
      <c r="B964" s="506"/>
      <c r="C964" s="82"/>
      <c r="D964" s="506"/>
      <c r="E964" s="82"/>
      <c r="F964" s="506"/>
      <c r="G964" s="222"/>
      <c r="H964" s="506"/>
      <c r="I964" s="199"/>
      <c r="J964" s="506"/>
      <c r="K964" s="82"/>
      <c r="L964" s="506"/>
      <c r="M964" s="70"/>
      <c r="N964" s="70"/>
      <c r="O964" s="70"/>
      <c r="P964" s="70"/>
      <c r="Q964" s="70"/>
      <c r="R964" s="70"/>
      <c r="S964" s="70"/>
      <c r="T964" s="70"/>
      <c r="U964" s="70"/>
      <c r="V964" s="70"/>
      <c r="W964" s="70"/>
      <c r="X964" s="70"/>
      <c r="Y964" s="70"/>
    </row>
    <row r="965">
      <c r="A965" s="82"/>
      <c r="B965" s="506"/>
      <c r="C965" s="82"/>
      <c r="D965" s="506"/>
      <c r="E965" s="82"/>
      <c r="F965" s="506"/>
      <c r="G965" s="222"/>
      <c r="H965" s="506"/>
      <c r="I965" s="199"/>
      <c r="J965" s="506"/>
      <c r="K965" s="82"/>
      <c r="L965" s="506"/>
      <c r="M965" s="70"/>
      <c r="N965" s="70"/>
      <c r="O965" s="70"/>
      <c r="P965" s="70"/>
      <c r="Q965" s="70"/>
      <c r="R965" s="70"/>
      <c r="S965" s="70"/>
      <c r="T965" s="70"/>
      <c r="U965" s="70"/>
      <c r="V965" s="70"/>
      <c r="W965" s="70"/>
      <c r="X965" s="70"/>
      <c r="Y965" s="70"/>
    </row>
    <row r="966">
      <c r="A966" s="82"/>
      <c r="B966" s="506"/>
      <c r="C966" s="82"/>
      <c r="D966" s="506"/>
      <c r="E966" s="82"/>
      <c r="F966" s="506"/>
      <c r="G966" s="222"/>
      <c r="H966" s="506"/>
      <c r="I966" s="199"/>
      <c r="J966" s="506"/>
      <c r="K966" s="82"/>
      <c r="L966" s="506"/>
      <c r="M966" s="70"/>
      <c r="N966" s="70"/>
      <c r="O966" s="70"/>
      <c r="P966" s="70"/>
      <c r="Q966" s="70"/>
      <c r="R966" s="70"/>
      <c r="S966" s="70"/>
      <c r="T966" s="70"/>
      <c r="U966" s="70"/>
      <c r="V966" s="70"/>
      <c r="W966" s="70"/>
      <c r="X966" s="70"/>
      <c r="Y966" s="70"/>
    </row>
    <row r="967">
      <c r="A967" s="82"/>
      <c r="B967" s="506"/>
      <c r="C967" s="82"/>
      <c r="D967" s="506"/>
      <c r="E967" s="82"/>
      <c r="F967" s="506"/>
      <c r="G967" s="222"/>
      <c r="H967" s="506"/>
      <c r="I967" s="199"/>
      <c r="J967" s="506"/>
      <c r="K967" s="82"/>
      <c r="L967" s="506"/>
      <c r="M967" s="70"/>
      <c r="N967" s="70"/>
      <c r="O967" s="70"/>
      <c r="P967" s="70"/>
      <c r="Q967" s="70"/>
      <c r="R967" s="70"/>
      <c r="S967" s="70"/>
      <c r="T967" s="70"/>
      <c r="U967" s="70"/>
      <c r="V967" s="70"/>
      <c r="W967" s="70"/>
      <c r="X967" s="70"/>
      <c r="Y967" s="70"/>
    </row>
    <row r="968">
      <c r="A968" s="82"/>
      <c r="B968" s="506"/>
      <c r="C968" s="82"/>
      <c r="D968" s="506"/>
      <c r="E968" s="82"/>
      <c r="F968" s="506"/>
      <c r="G968" s="222"/>
      <c r="H968" s="506"/>
      <c r="I968" s="199"/>
      <c r="J968" s="506"/>
      <c r="K968" s="82"/>
      <c r="L968" s="506"/>
      <c r="M968" s="70"/>
      <c r="N968" s="70"/>
      <c r="O968" s="70"/>
      <c r="P968" s="70"/>
      <c r="Q968" s="70"/>
      <c r="R968" s="70"/>
      <c r="S968" s="70"/>
      <c r="T968" s="70"/>
      <c r="U968" s="70"/>
      <c r="V968" s="70"/>
      <c r="W968" s="70"/>
      <c r="X968" s="70"/>
      <c r="Y968" s="70"/>
    </row>
    <row r="969">
      <c r="A969" s="82"/>
      <c r="B969" s="506"/>
      <c r="C969" s="82"/>
      <c r="D969" s="506"/>
      <c r="E969" s="82"/>
      <c r="F969" s="506"/>
      <c r="G969" s="222"/>
      <c r="H969" s="506"/>
      <c r="I969" s="199"/>
      <c r="J969" s="506"/>
      <c r="K969" s="82"/>
      <c r="L969" s="506"/>
      <c r="M969" s="70"/>
      <c r="N969" s="70"/>
      <c r="O969" s="70"/>
      <c r="P969" s="70"/>
      <c r="Q969" s="70"/>
      <c r="R969" s="70"/>
      <c r="S969" s="70"/>
      <c r="T969" s="70"/>
      <c r="U969" s="70"/>
      <c r="V969" s="70"/>
      <c r="W969" s="70"/>
      <c r="X969" s="70"/>
      <c r="Y969" s="70"/>
    </row>
    <row r="970">
      <c r="A970" s="82"/>
      <c r="B970" s="506"/>
      <c r="C970" s="82"/>
      <c r="D970" s="506"/>
      <c r="E970" s="82"/>
      <c r="F970" s="506"/>
      <c r="G970" s="222"/>
      <c r="H970" s="506"/>
      <c r="I970" s="199"/>
      <c r="J970" s="506"/>
      <c r="K970" s="82"/>
      <c r="L970" s="506"/>
      <c r="M970" s="70"/>
      <c r="N970" s="70"/>
      <c r="O970" s="70"/>
      <c r="P970" s="70"/>
      <c r="Q970" s="70"/>
      <c r="R970" s="70"/>
      <c r="S970" s="70"/>
      <c r="T970" s="70"/>
      <c r="U970" s="70"/>
      <c r="V970" s="70"/>
      <c r="W970" s="70"/>
      <c r="X970" s="70"/>
      <c r="Y970" s="70"/>
    </row>
    <row r="971">
      <c r="A971" s="82"/>
      <c r="B971" s="506"/>
      <c r="C971" s="82"/>
      <c r="D971" s="506"/>
      <c r="E971" s="82"/>
      <c r="F971" s="506"/>
      <c r="G971" s="222"/>
      <c r="H971" s="506"/>
      <c r="I971" s="199"/>
      <c r="J971" s="506"/>
      <c r="K971" s="82"/>
      <c r="L971" s="506"/>
      <c r="M971" s="70"/>
      <c r="N971" s="70"/>
      <c r="O971" s="70"/>
      <c r="P971" s="70"/>
      <c r="Q971" s="70"/>
      <c r="R971" s="70"/>
      <c r="S971" s="70"/>
      <c r="T971" s="70"/>
      <c r="U971" s="70"/>
      <c r="V971" s="70"/>
      <c r="W971" s="70"/>
      <c r="X971" s="70"/>
      <c r="Y971" s="70"/>
    </row>
    <row r="972">
      <c r="A972" s="82"/>
      <c r="B972" s="506"/>
      <c r="C972" s="82"/>
      <c r="D972" s="506"/>
      <c r="E972" s="82"/>
      <c r="F972" s="506"/>
      <c r="G972" s="222"/>
      <c r="H972" s="506"/>
      <c r="I972" s="199"/>
      <c r="J972" s="506"/>
      <c r="K972" s="82"/>
      <c r="L972" s="506"/>
      <c r="M972" s="70"/>
      <c r="N972" s="70"/>
      <c r="O972" s="70"/>
      <c r="P972" s="70"/>
      <c r="Q972" s="70"/>
      <c r="R972" s="70"/>
      <c r="S972" s="70"/>
      <c r="T972" s="70"/>
      <c r="U972" s="70"/>
      <c r="V972" s="70"/>
      <c r="W972" s="70"/>
      <c r="X972" s="70"/>
      <c r="Y972" s="70"/>
    </row>
    <row r="973">
      <c r="A973" s="82"/>
      <c r="B973" s="506"/>
      <c r="C973" s="82"/>
      <c r="D973" s="506"/>
      <c r="E973" s="82"/>
      <c r="F973" s="506"/>
      <c r="G973" s="222"/>
      <c r="H973" s="506"/>
      <c r="I973" s="199"/>
      <c r="J973" s="506"/>
      <c r="K973" s="82"/>
      <c r="L973" s="506"/>
      <c r="M973" s="70"/>
      <c r="N973" s="70"/>
      <c r="O973" s="70"/>
      <c r="P973" s="70"/>
      <c r="Q973" s="70"/>
      <c r="R973" s="70"/>
      <c r="S973" s="70"/>
      <c r="T973" s="70"/>
      <c r="U973" s="70"/>
      <c r="V973" s="70"/>
      <c r="W973" s="70"/>
      <c r="X973" s="70"/>
      <c r="Y973" s="70"/>
    </row>
    <row r="974">
      <c r="A974" s="82"/>
      <c r="B974" s="506"/>
      <c r="C974" s="82"/>
      <c r="D974" s="506"/>
      <c r="E974" s="82"/>
      <c r="F974" s="506"/>
      <c r="G974" s="222"/>
      <c r="H974" s="506"/>
      <c r="I974" s="199"/>
      <c r="J974" s="506"/>
      <c r="K974" s="82"/>
      <c r="L974" s="506"/>
      <c r="M974" s="70"/>
      <c r="N974" s="70"/>
      <c r="O974" s="70"/>
      <c r="P974" s="70"/>
      <c r="Q974" s="70"/>
      <c r="R974" s="70"/>
      <c r="S974" s="70"/>
      <c r="T974" s="70"/>
      <c r="U974" s="70"/>
      <c r="V974" s="70"/>
      <c r="W974" s="70"/>
      <c r="X974" s="70"/>
      <c r="Y974" s="70"/>
    </row>
    <row r="975">
      <c r="A975" s="82"/>
      <c r="B975" s="506"/>
      <c r="C975" s="82"/>
      <c r="D975" s="506"/>
      <c r="E975" s="82"/>
      <c r="F975" s="506"/>
      <c r="G975" s="222"/>
      <c r="H975" s="506"/>
      <c r="I975" s="199"/>
      <c r="J975" s="506"/>
      <c r="K975" s="82"/>
      <c r="L975" s="506"/>
      <c r="M975" s="70"/>
      <c r="N975" s="70"/>
      <c r="O975" s="70"/>
      <c r="P975" s="70"/>
      <c r="Q975" s="70"/>
      <c r="R975" s="70"/>
      <c r="S975" s="70"/>
      <c r="T975" s="70"/>
      <c r="U975" s="70"/>
      <c r="V975" s="70"/>
      <c r="W975" s="70"/>
      <c r="X975" s="70"/>
      <c r="Y975" s="70"/>
    </row>
    <row r="976">
      <c r="A976" s="82"/>
      <c r="B976" s="506"/>
      <c r="C976" s="82"/>
      <c r="D976" s="506"/>
      <c r="E976" s="82"/>
      <c r="F976" s="506"/>
      <c r="G976" s="222"/>
      <c r="H976" s="506"/>
      <c r="I976" s="199"/>
      <c r="J976" s="506"/>
      <c r="K976" s="82"/>
      <c r="L976" s="506"/>
      <c r="M976" s="70"/>
      <c r="N976" s="70"/>
      <c r="O976" s="70"/>
      <c r="P976" s="70"/>
      <c r="Q976" s="70"/>
      <c r="R976" s="70"/>
      <c r="S976" s="70"/>
      <c r="T976" s="70"/>
      <c r="U976" s="70"/>
      <c r="V976" s="70"/>
      <c r="W976" s="70"/>
      <c r="X976" s="70"/>
      <c r="Y976" s="70"/>
    </row>
    <row r="977">
      <c r="A977" s="82"/>
      <c r="B977" s="506"/>
      <c r="C977" s="82"/>
      <c r="D977" s="506"/>
      <c r="E977" s="82"/>
      <c r="F977" s="506"/>
      <c r="G977" s="222"/>
      <c r="H977" s="506"/>
      <c r="I977" s="199"/>
      <c r="J977" s="506"/>
      <c r="K977" s="82"/>
      <c r="L977" s="506"/>
      <c r="M977" s="70"/>
      <c r="N977" s="70"/>
      <c r="O977" s="70"/>
      <c r="P977" s="70"/>
      <c r="Q977" s="70"/>
      <c r="R977" s="70"/>
      <c r="S977" s="70"/>
      <c r="T977" s="70"/>
      <c r="U977" s="70"/>
      <c r="V977" s="70"/>
      <c r="W977" s="70"/>
      <c r="X977" s="70"/>
      <c r="Y977" s="70"/>
    </row>
    <row r="978">
      <c r="A978" s="82"/>
      <c r="B978" s="506"/>
      <c r="C978" s="82"/>
      <c r="D978" s="506"/>
      <c r="E978" s="82"/>
      <c r="F978" s="506"/>
      <c r="G978" s="222"/>
      <c r="H978" s="506"/>
      <c r="I978" s="199"/>
      <c r="J978" s="506"/>
      <c r="K978" s="82"/>
      <c r="L978" s="506"/>
      <c r="M978" s="70"/>
      <c r="N978" s="70"/>
      <c r="O978" s="70"/>
      <c r="P978" s="70"/>
      <c r="Q978" s="70"/>
      <c r="R978" s="70"/>
      <c r="S978" s="70"/>
      <c r="T978" s="70"/>
      <c r="U978" s="70"/>
      <c r="V978" s="70"/>
      <c r="W978" s="70"/>
      <c r="X978" s="70"/>
      <c r="Y978" s="70"/>
    </row>
    <row r="979">
      <c r="A979" s="82"/>
      <c r="B979" s="506"/>
      <c r="C979" s="82"/>
      <c r="D979" s="506"/>
      <c r="E979" s="82"/>
      <c r="F979" s="506"/>
      <c r="G979" s="222"/>
      <c r="H979" s="506"/>
      <c r="I979" s="199"/>
      <c r="J979" s="506"/>
      <c r="K979" s="82"/>
      <c r="L979" s="506"/>
      <c r="M979" s="70"/>
      <c r="N979" s="70"/>
      <c r="O979" s="70"/>
      <c r="P979" s="70"/>
      <c r="Q979" s="70"/>
      <c r="R979" s="70"/>
      <c r="S979" s="70"/>
      <c r="T979" s="70"/>
      <c r="U979" s="70"/>
      <c r="V979" s="70"/>
      <c r="W979" s="70"/>
      <c r="X979" s="70"/>
      <c r="Y979" s="70"/>
    </row>
    <row r="980">
      <c r="A980" s="82"/>
      <c r="B980" s="506"/>
      <c r="C980" s="82"/>
      <c r="D980" s="506"/>
      <c r="E980" s="82"/>
      <c r="F980" s="506"/>
      <c r="G980" s="222"/>
      <c r="H980" s="506"/>
      <c r="I980" s="199"/>
      <c r="J980" s="506"/>
      <c r="K980" s="82"/>
      <c r="L980" s="506"/>
      <c r="M980" s="70"/>
      <c r="N980" s="70"/>
      <c r="O980" s="70"/>
      <c r="P980" s="70"/>
      <c r="Q980" s="70"/>
      <c r="R980" s="70"/>
      <c r="S980" s="70"/>
      <c r="T980" s="70"/>
      <c r="U980" s="70"/>
      <c r="V980" s="70"/>
      <c r="W980" s="70"/>
      <c r="X980" s="70"/>
      <c r="Y980" s="70"/>
    </row>
    <row r="981">
      <c r="A981" s="82"/>
      <c r="B981" s="506"/>
      <c r="C981" s="82"/>
      <c r="D981" s="506"/>
      <c r="E981" s="82"/>
      <c r="F981" s="506"/>
      <c r="G981" s="222"/>
      <c r="H981" s="506"/>
      <c r="I981" s="199"/>
      <c r="J981" s="506"/>
      <c r="K981" s="82"/>
      <c r="L981" s="506"/>
      <c r="M981" s="70"/>
      <c r="N981" s="70"/>
      <c r="O981" s="70"/>
      <c r="P981" s="70"/>
      <c r="Q981" s="70"/>
      <c r="R981" s="70"/>
      <c r="S981" s="70"/>
      <c r="T981" s="70"/>
      <c r="U981" s="70"/>
      <c r="V981" s="70"/>
      <c r="W981" s="70"/>
      <c r="X981" s="70"/>
      <c r="Y981" s="70"/>
    </row>
    <row r="982">
      <c r="A982" s="82"/>
      <c r="B982" s="506"/>
      <c r="C982" s="82"/>
      <c r="D982" s="506"/>
      <c r="E982" s="82"/>
      <c r="F982" s="506"/>
      <c r="G982" s="222"/>
      <c r="H982" s="506"/>
      <c r="I982" s="199"/>
      <c r="J982" s="506"/>
      <c r="K982" s="82"/>
      <c r="L982" s="506"/>
      <c r="M982" s="70"/>
      <c r="N982" s="70"/>
      <c r="O982" s="70"/>
      <c r="P982" s="70"/>
      <c r="Q982" s="70"/>
      <c r="R982" s="70"/>
      <c r="S982" s="70"/>
      <c r="T982" s="70"/>
      <c r="U982" s="70"/>
      <c r="V982" s="70"/>
      <c r="W982" s="70"/>
      <c r="X982" s="70"/>
      <c r="Y982" s="70"/>
    </row>
    <row r="983">
      <c r="A983" s="82"/>
      <c r="B983" s="506"/>
      <c r="C983" s="82"/>
      <c r="D983" s="506"/>
      <c r="E983" s="82"/>
      <c r="F983" s="506"/>
      <c r="G983" s="222"/>
      <c r="H983" s="506"/>
      <c r="I983" s="199"/>
      <c r="J983" s="506"/>
      <c r="K983" s="82"/>
      <c r="L983" s="506"/>
      <c r="M983" s="70"/>
      <c r="N983" s="70"/>
      <c r="O983" s="70"/>
      <c r="P983" s="70"/>
      <c r="Q983" s="70"/>
      <c r="R983" s="70"/>
      <c r="S983" s="70"/>
      <c r="T983" s="70"/>
      <c r="U983" s="70"/>
      <c r="V983" s="70"/>
      <c r="W983" s="70"/>
      <c r="X983" s="70"/>
      <c r="Y983" s="70"/>
    </row>
    <row r="984">
      <c r="A984" s="82"/>
      <c r="B984" s="506"/>
      <c r="C984" s="82"/>
      <c r="D984" s="506"/>
      <c r="E984" s="82"/>
      <c r="F984" s="506"/>
      <c r="G984" s="222"/>
      <c r="H984" s="506"/>
      <c r="I984" s="199"/>
      <c r="J984" s="506"/>
      <c r="K984" s="82"/>
      <c r="L984" s="506"/>
      <c r="M984" s="70"/>
      <c r="N984" s="70"/>
      <c r="O984" s="70"/>
      <c r="P984" s="70"/>
      <c r="Q984" s="70"/>
      <c r="R984" s="70"/>
      <c r="S984" s="70"/>
      <c r="T984" s="70"/>
      <c r="U984" s="70"/>
      <c r="V984" s="70"/>
      <c r="W984" s="70"/>
      <c r="X984" s="70"/>
      <c r="Y984" s="70"/>
    </row>
    <row r="985">
      <c r="A985" s="82"/>
      <c r="B985" s="506"/>
      <c r="C985" s="82"/>
      <c r="D985" s="506"/>
      <c r="E985" s="82"/>
      <c r="F985" s="506"/>
      <c r="G985" s="222"/>
      <c r="H985" s="506"/>
      <c r="I985" s="199"/>
      <c r="J985" s="506"/>
      <c r="K985" s="82"/>
      <c r="L985" s="506"/>
      <c r="M985" s="70"/>
      <c r="N985" s="70"/>
      <c r="O985" s="70"/>
      <c r="P985" s="70"/>
      <c r="Q985" s="70"/>
      <c r="R985" s="70"/>
      <c r="S985" s="70"/>
      <c r="T985" s="70"/>
      <c r="U985" s="70"/>
      <c r="V985" s="70"/>
      <c r="W985" s="70"/>
      <c r="X985" s="70"/>
      <c r="Y985" s="70"/>
    </row>
    <row r="986">
      <c r="A986" s="82"/>
      <c r="B986" s="506"/>
      <c r="C986" s="82"/>
      <c r="D986" s="506"/>
      <c r="E986" s="82"/>
      <c r="F986" s="506"/>
      <c r="G986" s="222"/>
      <c r="H986" s="506"/>
      <c r="I986" s="199"/>
      <c r="J986" s="506"/>
      <c r="K986" s="82"/>
      <c r="L986" s="506"/>
      <c r="M986" s="70"/>
      <c r="N986" s="70"/>
      <c r="O986" s="70"/>
      <c r="P986" s="70"/>
      <c r="Q986" s="70"/>
      <c r="R986" s="70"/>
      <c r="S986" s="70"/>
      <c r="T986" s="70"/>
      <c r="U986" s="70"/>
      <c r="V986" s="70"/>
      <c r="W986" s="70"/>
      <c r="X986" s="70"/>
      <c r="Y986" s="70"/>
    </row>
    <row r="987">
      <c r="A987" s="82"/>
      <c r="B987" s="506"/>
      <c r="C987" s="82"/>
      <c r="D987" s="506"/>
      <c r="E987" s="82"/>
      <c r="F987" s="506"/>
      <c r="G987" s="222"/>
      <c r="H987" s="506"/>
      <c r="I987" s="199"/>
      <c r="J987" s="506"/>
      <c r="K987" s="82"/>
      <c r="L987" s="506"/>
      <c r="M987" s="70"/>
      <c r="N987" s="70"/>
      <c r="O987" s="70"/>
      <c r="P987" s="70"/>
      <c r="Q987" s="70"/>
      <c r="R987" s="70"/>
      <c r="S987" s="70"/>
      <c r="T987" s="70"/>
      <c r="U987" s="70"/>
      <c r="V987" s="70"/>
      <c r="W987" s="70"/>
      <c r="X987" s="70"/>
      <c r="Y987" s="70"/>
    </row>
    <row r="988">
      <c r="A988" s="82"/>
      <c r="B988" s="506"/>
      <c r="C988" s="82"/>
      <c r="D988" s="506"/>
      <c r="E988" s="82"/>
      <c r="F988" s="506"/>
      <c r="G988" s="222"/>
      <c r="H988" s="506"/>
      <c r="I988" s="199"/>
      <c r="J988" s="506"/>
      <c r="K988" s="82"/>
      <c r="L988" s="506"/>
      <c r="M988" s="70"/>
      <c r="N988" s="70"/>
      <c r="O988" s="70"/>
      <c r="P988" s="70"/>
      <c r="Q988" s="70"/>
      <c r="R988" s="70"/>
      <c r="S988" s="70"/>
      <c r="T988" s="70"/>
      <c r="U988" s="70"/>
      <c r="V988" s="70"/>
      <c r="W988" s="70"/>
      <c r="X988" s="70"/>
      <c r="Y988" s="70"/>
    </row>
    <row r="989">
      <c r="A989" s="82"/>
      <c r="B989" s="506"/>
      <c r="C989" s="82"/>
      <c r="D989" s="506"/>
      <c r="E989" s="82"/>
      <c r="F989" s="506"/>
      <c r="G989" s="222"/>
      <c r="H989" s="506"/>
      <c r="I989" s="199"/>
      <c r="J989" s="506"/>
      <c r="K989" s="82"/>
      <c r="L989" s="506"/>
      <c r="M989" s="70"/>
      <c r="N989" s="70"/>
      <c r="O989" s="70"/>
      <c r="P989" s="70"/>
      <c r="Q989" s="70"/>
      <c r="R989" s="70"/>
      <c r="S989" s="70"/>
      <c r="T989" s="70"/>
      <c r="U989" s="70"/>
      <c r="V989" s="70"/>
      <c r="W989" s="70"/>
      <c r="X989" s="70"/>
      <c r="Y989" s="70"/>
    </row>
    <row r="990">
      <c r="A990" s="82"/>
      <c r="B990" s="506"/>
      <c r="C990" s="82"/>
      <c r="D990" s="506"/>
      <c r="E990" s="82"/>
      <c r="F990" s="506"/>
      <c r="G990" s="222"/>
      <c r="H990" s="506"/>
      <c r="I990" s="199"/>
      <c r="J990" s="506"/>
      <c r="K990" s="82"/>
      <c r="L990" s="506"/>
      <c r="M990" s="70"/>
      <c r="N990" s="70"/>
      <c r="O990" s="70"/>
      <c r="P990" s="70"/>
      <c r="Q990" s="70"/>
      <c r="R990" s="70"/>
      <c r="S990" s="70"/>
      <c r="T990" s="70"/>
      <c r="U990" s="70"/>
      <c r="V990" s="70"/>
      <c r="W990" s="70"/>
      <c r="X990" s="70"/>
      <c r="Y990" s="70"/>
    </row>
    <row r="991">
      <c r="A991" s="82"/>
      <c r="B991" s="506"/>
      <c r="C991" s="82"/>
      <c r="D991" s="506"/>
      <c r="E991" s="82"/>
      <c r="F991" s="506"/>
      <c r="G991" s="222"/>
      <c r="H991" s="506"/>
      <c r="I991" s="199"/>
      <c r="J991" s="506"/>
      <c r="K991" s="82"/>
      <c r="L991" s="506"/>
      <c r="M991" s="70"/>
      <c r="N991" s="70"/>
      <c r="O991" s="70"/>
      <c r="P991" s="70"/>
      <c r="Q991" s="70"/>
      <c r="R991" s="70"/>
      <c r="S991" s="70"/>
      <c r="T991" s="70"/>
      <c r="U991" s="70"/>
      <c r="V991" s="70"/>
      <c r="W991" s="70"/>
      <c r="X991" s="70"/>
      <c r="Y991" s="70"/>
    </row>
    <row r="992">
      <c r="A992" s="82"/>
      <c r="B992" s="506"/>
      <c r="C992" s="82"/>
      <c r="D992" s="506"/>
      <c r="E992" s="82"/>
      <c r="F992" s="506"/>
      <c r="G992" s="222"/>
      <c r="H992" s="506"/>
      <c r="I992" s="199"/>
      <c r="J992" s="506"/>
      <c r="K992" s="82"/>
      <c r="L992" s="506"/>
      <c r="M992" s="70"/>
      <c r="N992" s="70"/>
      <c r="O992" s="70"/>
      <c r="P992" s="70"/>
      <c r="Q992" s="70"/>
      <c r="R992" s="70"/>
      <c r="S992" s="70"/>
      <c r="T992" s="70"/>
      <c r="U992" s="70"/>
      <c r="V992" s="70"/>
      <c r="W992" s="70"/>
      <c r="X992" s="70"/>
      <c r="Y992" s="70"/>
    </row>
    <row r="993">
      <c r="A993" s="82"/>
      <c r="B993" s="506"/>
      <c r="C993" s="82"/>
      <c r="D993" s="506"/>
      <c r="E993" s="82"/>
      <c r="F993" s="506"/>
      <c r="G993" s="222"/>
      <c r="H993" s="506"/>
      <c r="I993" s="199"/>
      <c r="J993" s="506"/>
      <c r="K993" s="82"/>
      <c r="L993" s="506"/>
      <c r="M993" s="70"/>
      <c r="N993" s="70"/>
      <c r="O993" s="70"/>
      <c r="P993" s="70"/>
      <c r="Q993" s="70"/>
      <c r="R993" s="70"/>
      <c r="S993" s="70"/>
      <c r="T993" s="70"/>
      <c r="U993" s="70"/>
      <c r="V993" s="70"/>
      <c r="W993" s="70"/>
      <c r="X993" s="70"/>
      <c r="Y993" s="70"/>
    </row>
    <row r="994">
      <c r="A994" s="82"/>
      <c r="B994" s="506"/>
      <c r="C994" s="82"/>
      <c r="D994" s="506"/>
      <c r="E994" s="82"/>
      <c r="F994" s="506"/>
      <c r="G994" s="222"/>
      <c r="H994" s="506"/>
      <c r="I994" s="199"/>
      <c r="J994" s="506"/>
      <c r="K994" s="82"/>
      <c r="L994" s="506"/>
      <c r="M994" s="70"/>
      <c r="N994" s="70"/>
      <c r="O994" s="70"/>
      <c r="P994" s="70"/>
      <c r="Q994" s="70"/>
      <c r="R994" s="70"/>
      <c r="S994" s="70"/>
      <c r="T994" s="70"/>
      <c r="U994" s="70"/>
      <c r="V994" s="70"/>
      <c r="W994" s="70"/>
      <c r="X994" s="70"/>
      <c r="Y994" s="70"/>
    </row>
    <row r="995">
      <c r="A995" s="82"/>
      <c r="B995" s="506"/>
      <c r="C995" s="82"/>
      <c r="D995" s="506"/>
      <c r="E995" s="82"/>
      <c r="F995" s="506"/>
      <c r="G995" s="222"/>
      <c r="H995" s="506"/>
      <c r="I995" s="199"/>
      <c r="J995" s="506"/>
      <c r="K995" s="82"/>
      <c r="L995" s="506"/>
      <c r="M995" s="70"/>
      <c r="N995" s="70"/>
      <c r="O995" s="70"/>
      <c r="P995" s="70"/>
      <c r="Q995" s="70"/>
      <c r="R995" s="70"/>
      <c r="S995" s="70"/>
      <c r="T995" s="70"/>
      <c r="U995" s="70"/>
      <c r="V995" s="70"/>
      <c r="W995" s="70"/>
      <c r="X995" s="70"/>
      <c r="Y995" s="70"/>
    </row>
    <row r="996">
      <c r="A996" s="82"/>
      <c r="B996" s="506"/>
      <c r="C996" s="82"/>
      <c r="D996" s="506"/>
      <c r="E996" s="82"/>
      <c r="F996" s="506"/>
      <c r="G996" s="222"/>
      <c r="H996" s="506"/>
      <c r="I996" s="199"/>
      <c r="J996" s="506"/>
      <c r="K996" s="82"/>
      <c r="L996" s="506"/>
      <c r="M996" s="70"/>
      <c r="N996" s="70"/>
      <c r="O996" s="70"/>
      <c r="P996" s="70"/>
      <c r="Q996" s="70"/>
      <c r="R996" s="70"/>
      <c r="S996" s="70"/>
      <c r="T996" s="70"/>
      <c r="U996" s="70"/>
      <c r="V996" s="70"/>
      <c r="W996" s="70"/>
      <c r="X996" s="70"/>
      <c r="Y996" s="70"/>
    </row>
    <row r="997">
      <c r="A997" s="82"/>
      <c r="B997" s="506"/>
      <c r="C997" s="82"/>
      <c r="D997" s="506"/>
      <c r="E997" s="82"/>
      <c r="F997" s="506"/>
      <c r="G997" s="222"/>
      <c r="H997" s="506"/>
      <c r="I997" s="199"/>
      <c r="J997" s="506"/>
      <c r="K997" s="82"/>
      <c r="L997" s="506"/>
      <c r="M997" s="70"/>
      <c r="N997" s="70"/>
      <c r="O997" s="70"/>
      <c r="P997" s="70"/>
      <c r="Q997" s="70"/>
      <c r="R997" s="70"/>
      <c r="S997" s="70"/>
      <c r="T997" s="70"/>
      <c r="U997" s="70"/>
      <c r="V997" s="70"/>
      <c r="W997" s="70"/>
      <c r="X997" s="70"/>
      <c r="Y997" s="70"/>
    </row>
    <row r="998">
      <c r="A998" s="82"/>
      <c r="B998" s="506"/>
      <c r="C998" s="82"/>
      <c r="D998" s="506"/>
      <c r="E998" s="82"/>
      <c r="F998" s="506"/>
      <c r="G998" s="222"/>
      <c r="H998" s="506"/>
      <c r="I998" s="199"/>
      <c r="J998" s="506"/>
      <c r="K998" s="82"/>
      <c r="L998" s="506"/>
      <c r="M998" s="70"/>
      <c r="N998" s="70"/>
      <c r="O998" s="70"/>
      <c r="P998" s="70"/>
      <c r="Q998" s="70"/>
      <c r="R998" s="70"/>
      <c r="S998" s="70"/>
      <c r="T998" s="70"/>
      <c r="U998" s="70"/>
      <c r="V998" s="70"/>
      <c r="W998" s="70"/>
      <c r="X998" s="70"/>
      <c r="Y998" s="70"/>
    </row>
    <row r="999">
      <c r="A999" s="82"/>
      <c r="B999" s="506"/>
      <c r="C999" s="82"/>
      <c r="D999" s="506"/>
      <c r="E999" s="82"/>
      <c r="F999" s="506"/>
      <c r="G999" s="222"/>
      <c r="H999" s="506"/>
      <c r="I999" s="199"/>
      <c r="J999" s="506"/>
      <c r="K999" s="82"/>
      <c r="L999" s="506"/>
      <c r="M999" s="70"/>
      <c r="N999" s="70"/>
      <c r="O999" s="70"/>
      <c r="P999" s="70"/>
      <c r="Q999" s="70"/>
      <c r="R999" s="70"/>
      <c r="S999" s="70"/>
      <c r="T999" s="70"/>
      <c r="U999" s="70"/>
      <c r="V999" s="70"/>
      <c r="W999" s="70"/>
      <c r="X999" s="70"/>
      <c r="Y999" s="70"/>
    </row>
    <row r="1000">
      <c r="A1000" s="82"/>
      <c r="B1000" s="506"/>
      <c r="C1000" s="82"/>
      <c r="D1000" s="506"/>
      <c r="E1000" s="82"/>
      <c r="F1000" s="506"/>
      <c r="G1000" s="222"/>
      <c r="H1000" s="506"/>
      <c r="I1000" s="199"/>
      <c r="J1000" s="506"/>
      <c r="K1000" s="82"/>
      <c r="L1000" s="506"/>
      <c r="M1000" s="70"/>
      <c r="N1000" s="70"/>
      <c r="O1000" s="70"/>
      <c r="P1000" s="70"/>
      <c r="Q1000" s="70"/>
      <c r="R1000" s="70"/>
      <c r="S1000" s="70"/>
      <c r="T1000" s="70"/>
      <c r="U1000" s="70"/>
      <c r="V1000" s="70"/>
      <c r="W1000" s="70"/>
      <c r="X1000" s="70"/>
      <c r="Y1000" s="70"/>
    </row>
    <row r="1001">
      <c r="A1001" s="82"/>
      <c r="B1001" s="506"/>
      <c r="C1001" s="82"/>
      <c r="D1001" s="506"/>
      <c r="E1001" s="82"/>
      <c r="F1001" s="506"/>
      <c r="G1001" s="222"/>
      <c r="H1001" s="506"/>
      <c r="I1001" s="199"/>
      <c r="J1001" s="506"/>
      <c r="K1001" s="82"/>
      <c r="L1001" s="506"/>
      <c r="M1001" s="70"/>
      <c r="N1001" s="70"/>
      <c r="O1001" s="70"/>
      <c r="P1001" s="70"/>
      <c r="Q1001" s="70"/>
      <c r="R1001" s="70"/>
      <c r="S1001" s="70"/>
      <c r="T1001" s="70"/>
      <c r="U1001" s="70"/>
      <c r="V1001" s="70"/>
      <c r="W1001" s="70"/>
      <c r="X1001" s="70"/>
      <c r="Y1001" s="70"/>
    </row>
    <row r="1002">
      <c r="A1002" s="82"/>
      <c r="B1002" s="506"/>
      <c r="C1002" s="82"/>
      <c r="D1002" s="506"/>
      <c r="E1002" s="82"/>
      <c r="F1002" s="506"/>
      <c r="G1002" s="222"/>
      <c r="H1002" s="506"/>
      <c r="I1002" s="199"/>
      <c r="J1002" s="506"/>
      <c r="K1002" s="82"/>
      <c r="L1002" s="506"/>
      <c r="M1002" s="70"/>
      <c r="N1002" s="70"/>
      <c r="O1002" s="70"/>
      <c r="P1002" s="70"/>
      <c r="Q1002" s="70"/>
      <c r="R1002" s="70"/>
      <c r="S1002" s="70"/>
      <c r="T1002" s="70"/>
      <c r="U1002" s="70"/>
      <c r="V1002" s="70"/>
      <c r="W1002" s="70"/>
      <c r="X1002" s="70"/>
      <c r="Y1002" s="70"/>
    </row>
    <row r="1003">
      <c r="A1003" s="82"/>
      <c r="B1003" s="506"/>
      <c r="C1003" s="82"/>
      <c r="D1003" s="506"/>
      <c r="E1003" s="82"/>
      <c r="F1003" s="506"/>
      <c r="G1003" s="222"/>
      <c r="H1003" s="506"/>
      <c r="I1003" s="199"/>
      <c r="J1003" s="506"/>
      <c r="K1003" s="82"/>
      <c r="L1003" s="506"/>
      <c r="M1003" s="70"/>
      <c r="N1003" s="70"/>
      <c r="O1003" s="70"/>
      <c r="P1003" s="70"/>
      <c r="Q1003" s="70"/>
      <c r="R1003" s="70"/>
      <c r="S1003" s="70"/>
      <c r="T1003" s="70"/>
      <c r="U1003" s="70"/>
      <c r="V1003" s="70"/>
      <c r="W1003" s="70"/>
      <c r="X1003" s="70"/>
      <c r="Y1003" s="70"/>
    </row>
    <row r="1004">
      <c r="A1004" s="82"/>
      <c r="B1004" s="506"/>
      <c r="C1004" s="82"/>
      <c r="D1004" s="506"/>
      <c r="E1004" s="82"/>
      <c r="F1004" s="506"/>
      <c r="G1004" s="222"/>
      <c r="H1004" s="506"/>
      <c r="I1004" s="199"/>
      <c r="J1004" s="506"/>
      <c r="K1004" s="82"/>
      <c r="L1004" s="506"/>
      <c r="M1004" s="70"/>
      <c r="N1004" s="70"/>
      <c r="O1004" s="70"/>
      <c r="P1004" s="70"/>
      <c r="Q1004" s="70"/>
      <c r="R1004" s="70"/>
      <c r="S1004" s="70"/>
      <c r="T1004" s="70"/>
      <c r="U1004" s="70"/>
      <c r="V1004" s="70"/>
      <c r="W1004" s="70"/>
      <c r="X1004" s="70"/>
      <c r="Y1004" s="70"/>
    </row>
    <row r="1005">
      <c r="A1005" s="82"/>
      <c r="B1005" s="506"/>
      <c r="C1005" s="82"/>
      <c r="D1005" s="506"/>
      <c r="E1005" s="82"/>
      <c r="F1005" s="506"/>
      <c r="G1005" s="222"/>
      <c r="H1005" s="506"/>
      <c r="I1005" s="199"/>
      <c r="J1005" s="506"/>
      <c r="K1005" s="82"/>
      <c r="L1005" s="506"/>
      <c r="M1005" s="70"/>
      <c r="N1005" s="70"/>
      <c r="O1005" s="70"/>
      <c r="P1005" s="70"/>
      <c r="Q1005" s="70"/>
      <c r="R1005" s="70"/>
      <c r="S1005" s="70"/>
      <c r="T1005" s="70"/>
      <c r="U1005" s="70"/>
      <c r="V1005" s="70"/>
      <c r="W1005" s="70"/>
      <c r="X1005" s="70"/>
      <c r="Y1005" s="70"/>
    </row>
    <row r="1006">
      <c r="A1006" s="82"/>
      <c r="B1006" s="506"/>
      <c r="C1006" s="82"/>
      <c r="D1006" s="506"/>
      <c r="E1006" s="82"/>
      <c r="F1006" s="506"/>
      <c r="G1006" s="222"/>
      <c r="H1006" s="506"/>
      <c r="I1006" s="199"/>
      <c r="J1006" s="506"/>
      <c r="K1006" s="82"/>
      <c r="L1006" s="506"/>
      <c r="M1006" s="70"/>
      <c r="N1006" s="70"/>
      <c r="O1006" s="70"/>
      <c r="P1006" s="70"/>
      <c r="Q1006" s="70"/>
      <c r="R1006" s="70"/>
      <c r="S1006" s="70"/>
      <c r="T1006" s="70"/>
      <c r="U1006" s="70"/>
      <c r="V1006" s="70"/>
      <c r="W1006" s="70"/>
      <c r="X1006" s="70"/>
      <c r="Y1006" s="70"/>
    </row>
    <row r="1007">
      <c r="A1007" s="82"/>
      <c r="B1007" s="506"/>
      <c r="C1007" s="82"/>
      <c r="D1007" s="506"/>
      <c r="E1007" s="82"/>
      <c r="F1007" s="506"/>
      <c r="G1007" s="222"/>
      <c r="H1007" s="506"/>
      <c r="I1007" s="199"/>
      <c r="J1007" s="506"/>
      <c r="K1007" s="82"/>
      <c r="L1007" s="506"/>
      <c r="M1007" s="70"/>
      <c r="N1007" s="70"/>
      <c r="O1007" s="70"/>
      <c r="P1007" s="70"/>
      <c r="Q1007" s="70"/>
      <c r="R1007" s="70"/>
      <c r="S1007" s="70"/>
      <c r="T1007" s="70"/>
      <c r="U1007" s="70"/>
      <c r="V1007" s="70"/>
      <c r="W1007" s="70"/>
      <c r="X1007" s="70"/>
      <c r="Y1007" s="70"/>
    </row>
    <row r="1008">
      <c r="A1008" s="82"/>
      <c r="B1008" s="506"/>
      <c r="C1008" s="82"/>
      <c r="D1008" s="506"/>
      <c r="E1008" s="82"/>
      <c r="F1008" s="506"/>
      <c r="G1008" s="222"/>
      <c r="H1008" s="506"/>
      <c r="I1008" s="199"/>
      <c r="J1008" s="506"/>
      <c r="K1008" s="82"/>
      <c r="L1008" s="506"/>
      <c r="M1008" s="70"/>
      <c r="N1008" s="70"/>
      <c r="O1008" s="70"/>
      <c r="P1008" s="70"/>
      <c r="Q1008" s="70"/>
      <c r="R1008" s="70"/>
      <c r="S1008" s="70"/>
      <c r="T1008" s="70"/>
      <c r="U1008" s="70"/>
      <c r="V1008" s="70"/>
      <c r="W1008" s="70"/>
      <c r="X1008" s="70"/>
      <c r="Y1008" s="70"/>
    </row>
    <row r="1009">
      <c r="A1009" s="82"/>
      <c r="B1009" s="506"/>
      <c r="C1009" s="82"/>
      <c r="D1009" s="506"/>
      <c r="E1009" s="82"/>
      <c r="F1009" s="506"/>
      <c r="G1009" s="222"/>
      <c r="H1009" s="506"/>
      <c r="I1009" s="199"/>
      <c r="J1009" s="506"/>
      <c r="K1009" s="82"/>
      <c r="L1009" s="506"/>
      <c r="M1009" s="70"/>
      <c r="N1009" s="70"/>
      <c r="O1009" s="70"/>
      <c r="P1009" s="70"/>
      <c r="Q1009" s="70"/>
      <c r="R1009" s="70"/>
      <c r="S1009" s="70"/>
      <c r="T1009" s="70"/>
      <c r="U1009" s="70"/>
      <c r="V1009" s="70"/>
      <c r="W1009" s="70"/>
      <c r="X1009" s="70"/>
      <c r="Y1009" s="70"/>
    </row>
    <row r="1010">
      <c r="A1010" s="82"/>
      <c r="B1010" s="506"/>
      <c r="C1010" s="82"/>
      <c r="D1010" s="506"/>
      <c r="E1010" s="82"/>
      <c r="F1010" s="506"/>
      <c r="G1010" s="222"/>
      <c r="H1010" s="506"/>
      <c r="I1010" s="199"/>
      <c r="J1010" s="506"/>
      <c r="K1010" s="82"/>
      <c r="L1010" s="506"/>
      <c r="M1010" s="70"/>
      <c r="N1010" s="70"/>
      <c r="O1010" s="70"/>
      <c r="P1010" s="70"/>
      <c r="Q1010" s="70"/>
      <c r="R1010" s="70"/>
      <c r="S1010" s="70"/>
      <c r="T1010" s="70"/>
      <c r="U1010" s="70"/>
      <c r="V1010" s="70"/>
      <c r="W1010" s="70"/>
      <c r="X1010" s="70"/>
      <c r="Y1010" s="70"/>
    </row>
    <row r="1011">
      <c r="A1011" s="82"/>
      <c r="B1011" s="506"/>
      <c r="C1011" s="82"/>
      <c r="D1011" s="506"/>
      <c r="E1011" s="82"/>
      <c r="F1011" s="506"/>
      <c r="G1011" s="222"/>
      <c r="H1011" s="506"/>
      <c r="I1011" s="199"/>
      <c r="J1011" s="506"/>
      <c r="K1011" s="82"/>
      <c r="L1011" s="506"/>
      <c r="M1011" s="70"/>
      <c r="N1011" s="70"/>
      <c r="O1011" s="70"/>
      <c r="P1011" s="70"/>
      <c r="Q1011" s="70"/>
      <c r="R1011" s="70"/>
      <c r="S1011" s="70"/>
      <c r="T1011" s="70"/>
      <c r="U1011" s="70"/>
      <c r="V1011" s="70"/>
      <c r="W1011" s="70"/>
      <c r="X1011" s="70"/>
      <c r="Y1011" s="70"/>
    </row>
    <row r="1012">
      <c r="A1012" s="82"/>
      <c r="B1012" s="506"/>
      <c r="C1012" s="82"/>
      <c r="D1012" s="506"/>
      <c r="E1012" s="82"/>
      <c r="F1012" s="506"/>
      <c r="G1012" s="222"/>
      <c r="H1012" s="506"/>
      <c r="I1012" s="199"/>
      <c r="J1012" s="506"/>
      <c r="K1012" s="82"/>
      <c r="L1012" s="506"/>
      <c r="M1012" s="70"/>
      <c r="N1012" s="70"/>
      <c r="O1012" s="70"/>
      <c r="P1012" s="70"/>
      <c r="Q1012" s="70"/>
      <c r="R1012" s="70"/>
      <c r="S1012" s="70"/>
      <c r="T1012" s="70"/>
      <c r="U1012" s="70"/>
      <c r="V1012" s="70"/>
      <c r="W1012" s="70"/>
      <c r="X1012" s="70"/>
      <c r="Y1012" s="70"/>
    </row>
    <row r="1013">
      <c r="A1013" s="82"/>
      <c r="B1013" s="506"/>
      <c r="C1013" s="82"/>
      <c r="D1013" s="506"/>
      <c r="E1013" s="82"/>
      <c r="F1013" s="506"/>
      <c r="G1013" s="222"/>
      <c r="H1013" s="506"/>
      <c r="I1013" s="199"/>
      <c r="J1013" s="506"/>
      <c r="K1013" s="82"/>
      <c r="L1013" s="506"/>
      <c r="M1013" s="70"/>
      <c r="N1013" s="70"/>
      <c r="O1013" s="70"/>
      <c r="P1013" s="70"/>
      <c r="Q1013" s="70"/>
      <c r="R1013" s="70"/>
      <c r="S1013" s="70"/>
      <c r="T1013" s="70"/>
      <c r="U1013" s="70"/>
      <c r="V1013" s="70"/>
      <c r="W1013" s="70"/>
      <c r="X1013" s="70"/>
      <c r="Y1013" s="70"/>
    </row>
    <row r="1014">
      <c r="A1014" s="82"/>
      <c r="B1014" s="506"/>
      <c r="C1014" s="82"/>
      <c r="D1014" s="506"/>
      <c r="E1014" s="82"/>
      <c r="F1014" s="506"/>
      <c r="G1014" s="222"/>
      <c r="H1014" s="506"/>
      <c r="I1014" s="199"/>
      <c r="J1014" s="506"/>
      <c r="K1014" s="82"/>
      <c r="L1014" s="506"/>
      <c r="M1014" s="70"/>
      <c r="N1014" s="70"/>
      <c r="O1014" s="70"/>
      <c r="P1014" s="70"/>
      <c r="Q1014" s="70"/>
      <c r="R1014" s="70"/>
      <c r="S1014" s="70"/>
      <c r="T1014" s="70"/>
      <c r="U1014" s="70"/>
      <c r="V1014" s="70"/>
      <c r="W1014" s="70"/>
      <c r="X1014" s="70"/>
      <c r="Y1014" s="70"/>
    </row>
    <row r="1015">
      <c r="A1015" s="82"/>
      <c r="B1015" s="506"/>
      <c r="C1015" s="82"/>
      <c r="D1015" s="506"/>
      <c r="E1015" s="82"/>
      <c r="F1015" s="506"/>
      <c r="G1015" s="222"/>
      <c r="H1015" s="506"/>
      <c r="I1015" s="199"/>
      <c r="J1015" s="506"/>
      <c r="K1015" s="82"/>
      <c r="L1015" s="506"/>
      <c r="M1015" s="70"/>
      <c r="N1015" s="70"/>
      <c r="O1015" s="70"/>
      <c r="P1015" s="70"/>
      <c r="Q1015" s="70"/>
      <c r="R1015" s="70"/>
      <c r="S1015" s="70"/>
      <c r="T1015" s="70"/>
      <c r="U1015" s="70"/>
      <c r="V1015" s="70"/>
      <c r="W1015" s="70"/>
      <c r="X1015" s="70"/>
      <c r="Y1015" s="70"/>
    </row>
    <row r="1016">
      <c r="A1016" s="82"/>
      <c r="B1016" s="506"/>
      <c r="C1016" s="82"/>
      <c r="D1016" s="506"/>
      <c r="E1016" s="82"/>
      <c r="F1016" s="506"/>
      <c r="G1016" s="222"/>
      <c r="H1016" s="506"/>
      <c r="I1016" s="199"/>
      <c r="J1016" s="506"/>
      <c r="K1016" s="82"/>
      <c r="L1016" s="506"/>
      <c r="M1016" s="70"/>
      <c r="N1016" s="70"/>
      <c r="O1016" s="70"/>
      <c r="P1016" s="70"/>
      <c r="Q1016" s="70"/>
      <c r="R1016" s="70"/>
      <c r="S1016" s="70"/>
      <c r="T1016" s="70"/>
      <c r="U1016" s="70"/>
      <c r="V1016" s="70"/>
      <c r="W1016" s="70"/>
      <c r="X1016" s="70"/>
      <c r="Y1016" s="70"/>
    </row>
    <row r="1017">
      <c r="A1017" s="82"/>
      <c r="B1017" s="506"/>
      <c r="C1017" s="82"/>
      <c r="D1017" s="506"/>
      <c r="E1017" s="82"/>
      <c r="F1017" s="506"/>
      <c r="G1017" s="222"/>
      <c r="H1017" s="506"/>
      <c r="I1017" s="199"/>
      <c r="J1017" s="506"/>
      <c r="K1017" s="82"/>
      <c r="L1017" s="506"/>
      <c r="M1017" s="70"/>
      <c r="N1017" s="70"/>
      <c r="O1017" s="70"/>
      <c r="P1017" s="70"/>
      <c r="Q1017" s="70"/>
      <c r="R1017" s="70"/>
      <c r="S1017" s="70"/>
      <c r="T1017" s="70"/>
      <c r="U1017" s="70"/>
      <c r="V1017" s="70"/>
      <c r="W1017" s="70"/>
      <c r="X1017" s="70"/>
      <c r="Y1017" s="70"/>
    </row>
    <row r="1018">
      <c r="A1018" s="82"/>
      <c r="B1018" s="506"/>
      <c r="C1018" s="82"/>
      <c r="D1018" s="506"/>
      <c r="E1018" s="82"/>
      <c r="F1018" s="506"/>
      <c r="G1018" s="222"/>
      <c r="H1018" s="506"/>
      <c r="I1018" s="199"/>
      <c r="J1018" s="506"/>
      <c r="K1018" s="82"/>
      <c r="L1018" s="506"/>
      <c r="M1018" s="70"/>
      <c r="N1018" s="70"/>
      <c r="O1018" s="70"/>
      <c r="P1018" s="70"/>
      <c r="Q1018" s="70"/>
      <c r="R1018" s="70"/>
      <c r="S1018" s="70"/>
      <c r="T1018" s="70"/>
      <c r="U1018" s="70"/>
      <c r="V1018" s="70"/>
      <c r="W1018" s="70"/>
      <c r="X1018" s="70"/>
      <c r="Y1018" s="70"/>
    </row>
    <row r="1019">
      <c r="A1019" s="82"/>
      <c r="B1019" s="506"/>
      <c r="C1019" s="82"/>
      <c r="D1019" s="506"/>
      <c r="E1019" s="82"/>
      <c r="F1019" s="506"/>
      <c r="G1019" s="222"/>
      <c r="H1019" s="506"/>
      <c r="I1019" s="199"/>
      <c r="J1019" s="506"/>
      <c r="K1019" s="82"/>
      <c r="L1019" s="506"/>
      <c r="M1019" s="70"/>
      <c r="N1019" s="70"/>
      <c r="O1019" s="70"/>
      <c r="P1019" s="70"/>
      <c r="Q1019" s="70"/>
      <c r="R1019" s="70"/>
      <c r="S1019" s="70"/>
      <c r="T1019" s="70"/>
      <c r="U1019" s="70"/>
      <c r="V1019" s="70"/>
      <c r="W1019" s="70"/>
      <c r="X1019" s="70"/>
      <c r="Y1019" s="70"/>
    </row>
    <row r="1020">
      <c r="A1020" s="82"/>
      <c r="B1020" s="506"/>
      <c r="C1020" s="82"/>
      <c r="D1020" s="506"/>
      <c r="E1020" s="82"/>
      <c r="F1020" s="506"/>
      <c r="G1020" s="222"/>
      <c r="H1020" s="506"/>
      <c r="I1020" s="199"/>
      <c r="J1020" s="506"/>
      <c r="K1020" s="82"/>
      <c r="L1020" s="506"/>
      <c r="M1020" s="70"/>
      <c r="N1020" s="70"/>
      <c r="O1020" s="70"/>
      <c r="P1020" s="70"/>
      <c r="Q1020" s="70"/>
      <c r="R1020" s="70"/>
      <c r="S1020" s="70"/>
      <c r="T1020" s="70"/>
      <c r="U1020" s="70"/>
      <c r="V1020" s="70"/>
      <c r="W1020" s="70"/>
      <c r="X1020" s="70"/>
      <c r="Y1020" s="70"/>
    </row>
    <row r="1021">
      <c r="A1021" s="82"/>
      <c r="B1021" s="506"/>
      <c r="C1021" s="82"/>
      <c r="D1021" s="506"/>
      <c r="E1021" s="82"/>
      <c r="F1021" s="506"/>
      <c r="G1021" s="222"/>
      <c r="H1021" s="506"/>
      <c r="I1021" s="199"/>
      <c r="J1021" s="506"/>
      <c r="K1021" s="82"/>
      <c r="L1021" s="506"/>
      <c r="M1021" s="70"/>
      <c r="N1021" s="70"/>
      <c r="O1021" s="70"/>
      <c r="P1021" s="70"/>
      <c r="Q1021" s="70"/>
      <c r="R1021" s="70"/>
      <c r="S1021" s="70"/>
      <c r="T1021" s="70"/>
      <c r="U1021" s="70"/>
      <c r="V1021" s="70"/>
      <c r="W1021" s="70"/>
      <c r="X1021" s="70"/>
      <c r="Y1021" s="70"/>
    </row>
    <row r="1022">
      <c r="A1022" s="82"/>
      <c r="B1022" s="506"/>
      <c r="C1022" s="82"/>
      <c r="D1022" s="506"/>
      <c r="E1022" s="82"/>
      <c r="F1022" s="506"/>
      <c r="G1022" s="222"/>
      <c r="H1022" s="506"/>
      <c r="I1022" s="199"/>
      <c r="J1022" s="506"/>
      <c r="K1022" s="82"/>
      <c r="L1022" s="506"/>
      <c r="M1022" s="70"/>
      <c r="N1022" s="70"/>
      <c r="O1022" s="70"/>
      <c r="P1022" s="70"/>
      <c r="Q1022" s="70"/>
      <c r="R1022" s="70"/>
      <c r="S1022" s="70"/>
      <c r="T1022" s="70"/>
      <c r="U1022" s="70"/>
      <c r="V1022" s="70"/>
      <c r="W1022" s="70"/>
      <c r="X1022" s="70"/>
      <c r="Y1022" s="70"/>
    </row>
    <row r="1023">
      <c r="A1023" s="82"/>
      <c r="B1023" s="506"/>
      <c r="C1023" s="82"/>
      <c r="D1023" s="506"/>
      <c r="E1023" s="82"/>
      <c r="F1023" s="506"/>
      <c r="G1023" s="222"/>
      <c r="H1023" s="506"/>
      <c r="I1023" s="199"/>
      <c r="J1023" s="506"/>
      <c r="K1023" s="82"/>
      <c r="L1023" s="506"/>
      <c r="M1023" s="70"/>
      <c r="N1023" s="70"/>
      <c r="O1023" s="70"/>
      <c r="P1023" s="70"/>
      <c r="Q1023" s="70"/>
      <c r="R1023" s="70"/>
      <c r="S1023" s="70"/>
      <c r="T1023" s="70"/>
      <c r="U1023" s="70"/>
      <c r="V1023" s="70"/>
      <c r="W1023" s="70"/>
      <c r="X1023" s="70"/>
      <c r="Y1023" s="70"/>
    </row>
    <row r="1024">
      <c r="A1024" s="82"/>
      <c r="B1024" s="506"/>
      <c r="C1024" s="82"/>
      <c r="D1024" s="506"/>
      <c r="E1024" s="82"/>
      <c r="F1024" s="506"/>
      <c r="G1024" s="222"/>
      <c r="H1024" s="506"/>
      <c r="I1024" s="199"/>
      <c r="J1024" s="506"/>
      <c r="K1024" s="82"/>
      <c r="L1024" s="506"/>
      <c r="M1024" s="70"/>
      <c r="N1024" s="70"/>
      <c r="O1024" s="70"/>
      <c r="P1024" s="70"/>
      <c r="Q1024" s="70"/>
      <c r="R1024" s="70"/>
      <c r="S1024" s="70"/>
      <c r="T1024" s="70"/>
      <c r="U1024" s="70"/>
      <c r="V1024" s="70"/>
      <c r="W1024" s="70"/>
      <c r="X1024" s="70"/>
      <c r="Y1024" s="70"/>
    </row>
    <row r="1025">
      <c r="A1025" s="82"/>
      <c r="B1025" s="506"/>
      <c r="C1025" s="82"/>
      <c r="D1025" s="506"/>
      <c r="E1025" s="82"/>
      <c r="F1025" s="506"/>
      <c r="G1025" s="222"/>
      <c r="H1025" s="506"/>
      <c r="I1025" s="199"/>
      <c r="J1025" s="506"/>
      <c r="K1025" s="82"/>
      <c r="L1025" s="506"/>
      <c r="M1025" s="70"/>
      <c r="N1025" s="70"/>
      <c r="O1025" s="70"/>
      <c r="P1025" s="70"/>
      <c r="Q1025" s="70"/>
      <c r="R1025" s="70"/>
      <c r="S1025" s="70"/>
      <c r="T1025" s="70"/>
      <c r="U1025" s="70"/>
      <c r="V1025" s="70"/>
      <c r="W1025" s="70"/>
      <c r="X1025" s="70"/>
      <c r="Y1025" s="70"/>
    </row>
    <row r="1026">
      <c r="A1026" s="82"/>
      <c r="B1026" s="506"/>
      <c r="C1026" s="82"/>
      <c r="D1026" s="506"/>
      <c r="E1026" s="82"/>
      <c r="F1026" s="506"/>
      <c r="G1026" s="222"/>
      <c r="H1026" s="506"/>
      <c r="I1026" s="199"/>
      <c r="J1026" s="506"/>
      <c r="K1026" s="82"/>
      <c r="L1026" s="506"/>
      <c r="M1026" s="70"/>
      <c r="N1026" s="70"/>
      <c r="O1026" s="70"/>
      <c r="P1026" s="70"/>
      <c r="Q1026" s="70"/>
      <c r="R1026" s="70"/>
      <c r="S1026" s="70"/>
      <c r="T1026" s="70"/>
      <c r="U1026" s="70"/>
      <c r="V1026" s="70"/>
      <c r="W1026" s="70"/>
      <c r="X1026" s="70"/>
      <c r="Y1026" s="70"/>
    </row>
    <row r="1027">
      <c r="A1027" s="82"/>
      <c r="B1027" s="506"/>
      <c r="C1027" s="82"/>
      <c r="D1027" s="506"/>
      <c r="E1027" s="82"/>
      <c r="F1027" s="506"/>
      <c r="G1027" s="222"/>
      <c r="H1027" s="506"/>
      <c r="I1027" s="199"/>
      <c r="J1027" s="506"/>
      <c r="K1027" s="82"/>
      <c r="L1027" s="506"/>
      <c r="M1027" s="70"/>
      <c r="N1027" s="70"/>
      <c r="O1027" s="70"/>
      <c r="P1027" s="70"/>
      <c r="Q1027" s="70"/>
      <c r="R1027" s="70"/>
      <c r="S1027" s="70"/>
      <c r="T1027" s="70"/>
      <c r="U1027" s="70"/>
      <c r="V1027" s="70"/>
      <c r="W1027" s="70"/>
      <c r="X1027" s="70"/>
      <c r="Y1027" s="70"/>
    </row>
    <row r="1028">
      <c r="A1028" s="82"/>
      <c r="B1028" s="506"/>
      <c r="C1028" s="82"/>
      <c r="D1028" s="506"/>
      <c r="E1028" s="82"/>
      <c r="F1028" s="506"/>
      <c r="G1028" s="222"/>
      <c r="H1028" s="506"/>
      <c r="I1028" s="199"/>
      <c r="J1028" s="506"/>
      <c r="K1028" s="82"/>
      <c r="L1028" s="506"/>
      <c r="M1028" s="70"/>
      <c r="N1028" s="70"/>
      <c r="O1028" s="70"/>
      <c r="P1028" s="70"/>
      <c r="Q1028" s="70"/>
      <c r="R1028" s="70"/>
      <c r="S1028" s="70"/>
      <c r="T1028" s="70"/>
      <c r="U1028" s="70"/>
      <c r="V1028" s="70"/>
      <c r="W1028" s="70"/>
      <c r="X1028" s="70"/>
      <c r="Y1028" s="70"/>
    </row>
    <row r="1029">
      <c r="A1029" s="82"/>
      <c r="B1029" s="506"/>
      <c r="C1029" s="82"/>
      <c r="D1029" s="506"/>
      <c r="E1029" s="70"/>
      <c r="F1029" s="70"/>
      <c r="G1029" s="195"/>
      <c r="H1029" s="70"/>
      <c r="I1029" s="201"/>
      <c r="J1029" s="506"/>
      <c r="K1029" s="82"/>
      <c r="L1029" s="506"/>
      <c r="M1029" s="70"/>
      <c r="N1029" s="70"/>
      <c r="O1029" s="70"/>
      <c r="P1029" s="70"/>
      <c r="Q1029" s="70"/>
      <c r="R1029" s="70"/>
      <c r="S1029" s="70"/>
      <c r="T1029" s="70"/>
      <c r="U1029" s="70"/>
      <c r="V1029" s="70"/>
      <c r="W1029" s="70"/>
      <c r="X1029" s="70"/>
      <c r="Y1029" s="70"/>
    </row>
    <row r="1030">
      <c r="A1030" s="82"/>
      <c r="B1030" s="506"/>
      <c r="C1030" s="82"/>
      <c r="D1030" s="506"/>
      <c r="E1030" s="70"/>
      <c r="F1030" s="70"/>
      <c r="G1030" s="195"/>
      <c r="H1030" s="70"/>
      <c r="I1030" s="201"/>
      <c r="J1030" s="506"/>
      <c r="K1030" s="82"/>
      <c r="L1030" s="506"/>
      <c r="M1030" s="70"/>
      <c r="N1030" s="70"/>
      <c r="O1030" s="70"/>
      <c r="P1030" s="70"/>
      <c r="Q1030" s="70"/>
      <c r="R1030" s="70"/>
      <c r="S1030" s="70"/>
      <c r="T1030" s="70"/>
      <c r="U1030" s="70"/>
      <c r="V1030" s="70"/>
      <c r="W1030" s="70"/>
      <c r="X1030" s="70"/>
      <c r="Y1030" s="70"/>
    </row>
    <row r="1031">
      <c r="A1031" s="82"/>
      <c r="B1031" s="506"/>
      <c r="C1031" s="82"/>
      <c r="D1031" s="506"/>
      <c r="E1031" s="70"/>
      <c r="F1031" s="70"/>
      <c r="G1031" s="195"/>
      <c r="H1031" s="70"/>
      <c r="I1031" s="201"/>
      <c r="J1031" s="506"/>
      <c r="K1031" s="82"/>
      <c r="L1031" s="506"/>
      <c r="M1031" s="70"/>
      <c r="N1031" s="70"/>
      <c r="O1031" s="70"/>
      <c r="P1031" s="70"/>
      <c r="Q1031" s="70"/>
      <c r="R1031" s="70"/>
      <c r="S1031" s="70"/>
      <c r="T1031" s="70"/>
      <c r="U1031" s="70"/>
      <c r="V1031" s="70"/>
      <c r="W1031" s="70"/>
      <c r="X1031" s="70"/>
      <c r="Y1031" s="70"/>
    </row>
    <row r="1032">
      <c r="A1032" s="82"/>
      <c r="B1032" s="506"/>
      <c r="C1032" s="82"/>
      <c r="D1032" s="506"/>
      <c r="E1032" s="70"/>
      <c r="F1032" s="70"/>
      <c r="G1032" s="195"/>
      <c r="H1032" s="70"/>
      <c r="I1032" s="201"/>
      <c r="J1032" s="512"/>
      <c r="K1032" s="199"/>
      <c r="L1032" s="512"/>
      <c r="M1032" s="70"/>
      <c r="N1032" s="70"/>
      <c r="O1032" s="70"/>
      <c r="P1032" s="70"/>
      <c r="Q1032" s="70"/>
      <c r="R1032" s="70"/>
      <c r="S1032" s="70"/>
      <c r="T1032" s="70"/>
      <c r="U1032" s="70"/>
      <c r="V1032" s="70"/>
      <c r="W1032" s="70"/>
      <c r="X1032" s="70"/>
      <c r="Y1032" s="70"/>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5"/>
    <col customWidth="1" min="3" max="3" width="19.5"/>
    <col customWidth="1" min="4" max="5" width="16.75"/>
    <col customWidth="1" min="6" max="6" width="34.5"/>
    <col customWidth="1" min="7" max="8" width="19.5"/>
    <col customWidth="1" min="9" max="9" width="16.75"/>
    <col customWidth="1" min="10" max="10" width="40.88"/>
    <col customWidth="1" min="11" max="11" width="28.63"/>
    <col customWidth="1" min="12" max="12" width="23.38"/>
    <col customWidth="1" min="13" max="13" width="17.0"/>
    <col customWidth="1" min="14" max="14" width="34.75"/>
    <col customWidth="1" min="15" max="15" width="19.75"/>
    <col customWidth="1" min="16" max="16" width="19.88"/>
    <col customWidth="1" min="17" max="17" width="17.0"/>
    <col customWidth="1" min="18" max="18" width="34.75"/>
    <col customWidth="1" min="19" max="19" width="19.75"/>
    <col customWidth="1" min="20" max="20" width="19.88"/>
    <col customWidth="1" min="21" max="21" width="17.0"/>
    <col customWidth="1" min="22" max="22" width="34.75"/>
    <col customWidth="1" min="23" max="23" width="19.75"/>
    <col customWidth="1" min="24" max="24" width="19.88"/>
    <col customWidth="1" min="25" max="25" width="17.0"/>
    <col customWidth="1" min="26" max="26" width="34.75"/>
    <col customWidth="1" min="27" max="27" width="19.75"/>
    <col customWidth="1" min="28" max="28" width="19.88"/>
    <col customWidth="1" min="29" max="29" width="17.0"/>
    <col customWidth="1" min="30" max="30" width="34.75"/>
    <col customWidth="1" min="31" max="31" width="19.75"/>
    <col customWidth="1" min="32" max="32" width="19.88"/>
    <col customWidth="1" min="33" max="33" width="19.75"/>
    <col customWidth="1" min="34" max="34" width="41.5"/>
    <col customWidth="1" min="35" max="35" width="21.75"/>
    <col customWidth="1" min="36" max="36" width="17.25"/>
    <col customWidth="1" min="37" max="37" width="17.13"/>
    <col customWidth="1" min="38" max="38" width="40.5"/>
    <col customWidth="1" min="39" max="39" width="19.75"/>
    <col customWidth="1" min="40" max="40" width="17.75"/>
    <col customWidth="1" min="42" max="42" width="34.5"/>
    <col customWidth="1" min="43" max="43" width="19.5"/>
    <col customWidth="1" min="44" max="46" width="16.75"/>
  </cols>
  <sheetData>
    <row r="1" ht="55.5" customHeight="1">
      <c r="A1" s="513" t="s">
        <v>11746</v>
      </c>
      <c r="B1" s="32" t="s">
        <v>11747</v>
      </c>
      <c r="C1" s="514" t="s">
        <v>11748</v>
      </c>
      <c r="D1" s="237" t="s">
        <v>11749</v>
      </c>
      <c r="E1" s="515" t="str">
        <f>IFERROR(__xludf.DUMMYFUNCTION("GOOGLETRANSLATE(A1,""zh-tw"",""ja"")"),"ステータス図")</f>
        <v>ステータス図</v>
      </c>
      <c r="F1" s="56" t="str">
        <f>IFERROR(__xludf.DUMMYFUNCTION("GOOGLETRANSLATE(B1,""zh-tw"",""ja"")"),"名前")</f>
        <v>名前</v>
      </c>
      <c r="G1" s="516" t="str">
        <f>IFERROR(__xludf.DUMMYFUNCTION("GOOGLETRANSLATE(C1,""zh-tw"",""ja"")"),"物語")</f>
        <v>物語</v>
      </c>
      <c r="H1" s="517" t="str">
        <f>IFERROR(__xludf.DUMMYFUNCTION("GOOGLETRANSLATE(D1,""zh-tw"",""ja"")"),"例えば")</f>
        <v>例えば</v>
      </c>
      <c r="I1" s="513" t="s">
        <v>11750</v>
      </c>
      <c r="J1" s="32" t="s">
        <v>11751</v>
      </c>
      <c r="K1" s="514" t="s">
        <v>11752</v>
      </c>
      <c r="L1" s="237" t="s">
        <v>11753</v>
      </c>
      <c r="M1" s="515" t="str">
        <f>IFERROR(__xludf.DUMMYFUNCTION("GOOGLETRANSLATE(A1,""zh-tw"",""zh"")"),"状态图示")</f>
        <v>状态图示</v>
      </c>
      <c r="N1" s="56" t="str">
        <f>IFERROR(__xludf.DUMMYFUNCTION("GOOGLETRANSLATE(B1,""zh-tw"",""zh"")"),"名称")</f>
        <v>名称</v>
      </c>
      <c r="O1" s="516" t="str">
        <f>IFERROR(__xludf.DUMMYFUNCTION("GOOGLETRANSLATE(C1,""zh-tw"",""zh"")"),"叙述")</f>
        <v>叙述</v>
      </c>
      <c r="P1" s="517" t="str">
        <f>IFERROR(__xludf.DUMMYFUNCTION("GOOGLETRANSLATE(D1,""zh-tw"",""zh"")"),"举例")</f>
        <v>举例</v>
      </c>
      <c r="Q1" s="515" t="str">
        <f>IFERROR(__xludf.DUMMYFUNCTION("GOOGLETRANSLATE(A1,""zh-tw"",""es-MX"")"),"Diagrama de estado")</f>
        <v>Diagrama de estado</v>
      </c>
      <c r="R1" s="56" t="str">
        <f>IFERROR(__xludf.DUMMYFUNCTION("GOOGLETRANSLATE(B1,""zh-tw"",""es-MX"")"),"nombre")</f>
        <v>nombre</v>
      </c>
      <c r="S1" s="516" t="str">
        <f>IFERROR(__xludf.DUMMYFUNCTION("GOOGLETRANSLATE(C1,""zh-tw"",""es-MX"")"),"Narrativo")</f>
        <v>Narrativo</v>
      </c>
      <c r="T1" s="517" t="str">
        <f>IFERROR(__xludf.DUMMYFUNCTION("GOOGLETRANSLATE(D1,""zh-tw"",""es-MX"")"),"Por ejemplo")</f>
        <v>Por ejemplo</v>
      </c>
      <c r="U1" s="515" t="str">
        <f>IFERROR(__xludf.DUMMYFUNCTION("GOOGLETRANSLATE(A1,""zh-tw"",""KO"")"),"상태도")</f>
        <v>상태도</v>
      </c>
      <c r="V1" s="56" t="str">
        <f>IFERROR(__xludf.DUMMYFUNCTION("GOOGLETRANSLATE(B1,""zh-tw"",""KO"")"),"이름")</f>
        <v>이름</v>
      </c>
      <c r="W1" s="516" t="str">
        <f>IFERROR(__xludf.DUMMYFUNCTION("GOOGLETRANSLATE(C1,""zh-tw"",""KO"")"),"이야기")</f>
        <v>이야기</v>
      </c>
      <c r="X1" s="517" t="str">
        <f>IFERROR(__xludf.DUMMYFUNCTION("GOOGLETRANSLATE(D1,""zh-tw"",""KO"")"),"예를 들어")</f>
        <v>예를 들어</v>
      </c>
      <c r="Y1" s="93" t="s">
        <v>11754</v>
      </c>
      <c r="Z1" s="95" t="s">
        <v>11755</v>
      </c>
      <c r="AA1" s="374" t="s">
        <v>3463</v>
      </c>
      <c r="AB1" s="94" t="s">
        <v>11756</v>
      </c>
      <c r="AC1" s="515" t="str">
        <f>IFERROR(__xludf.DUMMYFUNCTION("GOOGLETRANSLATE(A1,""zh-tw"",""DE"")"),"Statusdiagramm")</f>
        <v>Statusdiagramm</v>
      </c>
      <c r="AD1" s="56" t="str">
        <f>IFERROR(__xludf.DUMMYFUNCTION("GOOGLETRANSLATE(B1,""zh-tw"",""DE"")"),"Name")</f>
        <v>Name</v>
      </c>
      <c r="AE1" s="516" t="str">
        <f>IFERROR(__xludf.DUMMYFUNCTION("GOOGLETRANSLATE(C1,""zh-tw"",""DE"")"),"Erzählung")</f>
        <v>Erzählung</v>
      </c>
      <c r="AF1" s="517" t="str">
        <f>IFERROR(__xludf.DUMMYFUNCTION("GOOGLETRANSLATE(D1,""zh-tw"",""DE"")"),"Zum Beispiel")</f>
        <v>Zum Beispiel</v>
      </c>
      <c r="AG1" s="518" t="s">
        <v>11757</v>
      </c>
      <c r="AH1" s="519" t="s">
        <v>11758</v>
      </c>
      <c r="AI1" s="520" t="s">
        <v>11759</v>
      </c>
      <c r="AJ1" s="521" t="s">
        <v>6063</v>
      </c>
      <c r="AK1" s="522" t="s">
        <v>11760</v>
      </c>
      <c r="AL1" s="523" t="s">
        <v>11761</v>
      </c>
      <c r="AM1" s="524" t="s">
        <v>11762</v>
      </c>
      <c r="AN1" s="525" t="s">
        <v>6067</v>
      </c>
      <c r="AO1" s="513"/>
      <c r="AP1" s="32"/>
      <c r="AQ1" s="514"/>
      <c r="AR1" s="237"/>
      <c r="AS1" s="526"/>
      <c r="AT1" s="526"/>
    </row>
    <row r="2" ht="26.25" customHeight="1">
      <c r="A2" s="527" t="s">
        <v>11763</v>
      </c>
      <c r="B2" s="214" t="s">
        <v>11764</v>
      </c>
      <c r="C2" s="398" t="s">
        <v>1273</v>
      </c>
      <c r="D2" s="528" t="s">
        <v>11765</v>
      </c>
      <c r="E2" s="527" t="s">
        <v>11766</v>
      </c>
      <c r="F2" s="430" t="str">
        <f>IFERROR(__xludf.DUMMYFUNCTION("GOOGLETRANSLATE(B2,""zh-tw"",""ja"")"),"少し落ち着かない気分です")</f>
        <v>少し落ち着かない気分です</v>
      </c>
      <c r="G2" s="395" t="str">
        <f>IFERROR(__xludf.DUMMYFUNCTION("GOOGLETRANSLATE(C2,""zh-tw"",""ja"")"),"-")</f>
        <v>-</v>
      </c>
      <c r="H2" s="528" t="s">
        <v>11767</v>
      </c>
      <c r="I2" s="527" t="s">
        <v>11768</v>
      </c>
      <c r="J2" s="214" t="s">
        <v>11769</v>
      </c>
      <c r="K2" s="395" t="str">
        <f>IFERROR(__xludf.DUMMYFUNCTION("GOOGLETRANSLATE(C2,""zh-tw"",""en"")"),"-")</f>
        <v>-</v>
      </c>
      <c r="L2" s="528" t="s">
        <v>11770</v>
      </c>
      <c r="M2" s="394" t="str">
        <f>IFERROR(__xludf.DUMMYFUNCTION("GOOGLETRANSLATE(A2,""zh-tw"",""zh"")"),"兴奋")</f>
        <v>兴奋</v>
      </c>
      <c r="N2" s="430" t="str">
        <f>IFERROR(__xludf.DUMMYFUNCTION("GOOGLETRANSLATE(B2,""zh-tw"",""zh"")"),"感觉有些躁动")</f>
        <v>感觉有些躁动</v>
      </c>
      <c r="O2" s="395" t="str">
        <f>IFERROR(__xludf.DUMMYFUNCTION("GOOGLETRANSLATE(C2,""zh-tw"",""zh"")"),"-")</f>
        <v>-</v>
      </c>
      <c r="P2" s="529" t="str">
        <f>IFERROR(__xludf.DUMMYFUNCTION("GOOGLETRANSLATE(D2,""zh-tw"",""zh"")"),"哥哥有些性欲")</f>
        <v>哥哥有些性欲</v>
      </c>
      <c r="Q2" s="209" t="str">
        <f>IFERROR(__xludf.DUMMYFUNCTION("GOOGLETRANSLATE(A2,""zh-tw"",""es-MX"")"),"entusiasmado")</f>
        <v>entusiasmado</v>
      </c>
      <c r="R2" s="210" t="str">
        <f>IFERROR(__xludf.DUMMYFUNCTION("GOOGLETRANSLATE(B2,""zh-tw"",""es-MX"")"),"Me siento un poco inquieto")</f>
        <v>Me siento un poco inquieto</v>
      </c>
      <c r="S2" s="390" t="str">
        <f>IFERROR(__xludf.DUMMYFUNCTION("GOOGLETRANSLATE(C2,""zh-tw"",""es-MX"")"),"-")</f>
        <v>-</v>
      </c>
      <c r="T2" s="208" t="str">
        <f>IFERROR(__xludf.DUMMYFUNCTION("GOOGLETRANSLATE(D2,""zh-tw"",""es-MX"")"),"Mi hermano tiene cierto deseo sexual.")</f>
        <v>Mi hermano tiene cierto deseo sexual.</v>
      </c>
      <c r="U2" s="530" t="s">
        <v>11771</v>
      </c>
      <c r="V2" s="177" t="s">
        <v>11772</v>
      </c>
      <c r="W2" s="390" t="str">
        <f>IFERROR(__xludf.DUMMYFUNCTION("GOOGLETRANSLATE(C2,""zh-tw"",""KO"")"),"-")</f>
        <v>-</v>
      </c>
      <c r="X2" s="172" t="s">
        <v>11773</v>
      </c>
      <c r="Y2" s="209" t="s">
        <v>11774</v>
      </c>
      <c r="Z2" s="210" t="s">
        <v>11775</v>
      </c>
      <c r="AA2" s="390" t="s">
        <v>1273</v>
      </c>
      <c r="AB2" s="208" t="s">
        <v>11776</v>
      </c>
      <c r="AC2" s="394" t="str">
        <f>IFERROR(__xludf.DUMMYFUNCTION("GOOGLETRANSLATE(A2,""zh-tw"",""DE"")"),"aufgeregt")</f>
        <v>aufgeregt</v>
      </c>
      <c r="AD2" s="430" t="str">
        <f>IFERROR(__xludf.DUMMYFUNCTION("GOOGLETRANSLATE(B2,""zh-tw"",""DE"")"),"Ich fühle mich etwas unruhig")</f>
        <v>Ich fühle mich etwas unruhig</v>
      </c>
      <c r="AE2" s="395" t="str">
        <f>IFERROR(__xludf.DUMMYFUNCTION("GOOGLETRANSLATE(C2,""zh-tw"",""DE"")"),"-")</f>
        <v>-</v>
      </c>
      <c r="AF2" s="529" t="str">
        <f>IFERROR(__xludf.DUMMYFUNCTION("GOOGLETRANSLATE(D2,""zh-tw"",""DE"")"),"Mein Bruder hat sexuelle Bedürfnisse.")</f>
        <v>Mein Bruder hat sexuelle Bedürfnisse.</v>
      </c>
      <c r="AG2" s="133" t="s">
        <v>11777</v>
      </c>
      <c r="AH2" s="446" t="s">
        <v>11778</v>
      </c>
      <c r="AI2" s="531" t="s">
        <v>1273</v>
      </c>
      <c r="AJ2" s="532" t="s">
        <v>11779</v>
      </c>
      <c r="AK2" s="164" t="s">
        <v>11780</v>
      </c>
      <c r="AL2" s="166" t="s">
        <v>11781</v>
      </c>
      <c r="AM2" s="391" t="s">
        <v>1273</v>
      </c>
      <c r="AN2" s="165" t="s">
        <v>11782</v>
      </c>
      <c r="AO2" s="527"/>
      <c r="AP2" s="214"/>
      <c r="AQ2" s="398"/>
      <c r="AR2" s="528"/>
      <c r="AS2" s="533"/>
      <c r="AT2" s="533"/>
    </row>
    <row r="3" ht="26.25" customHeight="1">
      <c r="A3" s="527" t="s">
        <v>11763</v>
      </c>
      <c r="B3" s="214" t="s">
        <v>11783</v>
      </c>
      <c r="C3" s="398" t="s">
        <v>1273</v>
      </c>
      <c r="D3" s="528" t="s">
        <v>11784</v>
      </c>
      <c r="E3" s="527" t="s">
        <v>11766</v>
      </c>
      <c r="F3" s="430" t="str">
        <f>IFERROR(__xludf.DUMMYFUNCTION("GOOGLETRANSLATE(B3,""zh-tw"",""ja"")"),"私の体全体が何らかの刺激を求めている。")</f>
        <v>私の体全体が何らかの刺激を求めている。</v>
      </c>
      <c r="G3" s="398" t="s">
        <v>1273</v>
      </c>
      <c r="H3" s="528" t="s">
        <v>11785</v>
      </c>
      <c r="I3" s="527" t="s">
        <v>11768</v>
      </c>
      <c r="J3" s="214" t="s">
        <v>11786</v>
      </c>
      <c r="K3" s="398" t="s">
        <v>1273</v>
      </c>
      <c r="L3" s="528" t="s">
        <v>11787</v>
      </c>
      <c r="M3" s="394" t="str">
        <f>IFERROR(__xludf.DUMMYFUNCTION("GOOGLETRANSLATE(A3,""zh-tw"",""zh"")"),"兴奋")</f>
        <v>兴奋</v>
      </c>
      <c r="N3" s="430" t="str">
        <f>IFERROR(__xludf.DUMMYFUNCTION("GOOGLETRANSLATE(B3,""zh-tw"",""zh"")"),"全身都在渴望着某种刺激")</f>
        <v>全身都在渴望着某种刺激</v>
      </c>
      <c r="O3" s="395" t="str">
        <f>IFERROR(__xludf.DUMMYFUNCTION("GOOGLETRANSLATE(C3,""zh-tw"",""zh"")"),"-")</f>
        <v>-</v>
      </c>
      <c r="P3" s="529" t="str">
        <f>IFERROR(__xludf.DUMMYFUNCTION("GOOGLETRANSLATE(D3,""zh-tw"",""zh"")"),"哥哥有许多性欲")</f>
        <v>哥哥有许多性欲</v>
      </c>
      <c r="Q3" s="209" t="str">
        <f>IFERROR(__xludf.DUMMYFUNCTION("GOOGLETRANSLATE(A3,""zh-tw"",""es-MX"")"),"entusiasmado")</f>
        <v>entusiasmado</v>
      </c>
      <c r="R3" s="210" t="str">
        <f>IFERROR(__xludf.DUMMYFUNCTION("GOOGLETRANSLATE(B3,""zh-tw"",""es-MX"")"),"Todo mi cuerpo anhela algún tipo de estimulación.")</f>
        <v>Todo mi cuerpo anhela algún tipo de estimulación.</v>
      </c>
      <c r="S3" s="390" t="str">
        <f>IFERROR(__xludf.DUMMYFUNCTION("GOOGLETRANSLATE(C3,""zh-tw"",""es-MX"")"),"-")</f>
        <v>-</v>
      </c>
      <c r="T3" s="208" t="str">
        <f>IFERROR(__xludf.DUMMYFUNCTION("GOOGLETRANSLATE(D3,""zh-tw"",""es-MX"")"),"Mi hermano tiene un alto deseo sexual.")</f>
        <v>Mi hermano tiene un alto deseo sexual.</v>
      </c>
      <c r="U3" s="530" t="s">
        <v>11771</v>
      </c>
      <c r="V3" s="177" t="s">
        <v>11788</v>
      </c>
      <c r="W3" s="390" t="str">
        <f>IFERROR(__xludf.DUMMYFUNCTION("GOOGLETRANSLATE(C3,""zh-tw"",""KO"")"),"-")</f>
        <v>-</v>
      </c>
      <c r="X3" s="172" t="s">
        <v>11789</v>
      </c>
      <c r="Y3" s="209" t="s">
        <v>11774</v>
      </c>
      <c r="Z3" s="210" t="s">
        <v>11790</v>
      </c>
      <c r="AA3" s="390" t="s">
        <v>1273</v>
      </c>
      <c r="AB3" s="208" t="s">
        <v>11791</v>
      </c>
      <c r="AC3" s="394" t="str">
        <f>IFERROR(__xludf.DUMMYFUNCTION("GOOGLETRANSLATE(A3,""zh-tw"",""DE"")"),"aufgeregt")</f>
        <v>aufgeregt</v>
      </c>
      <c r="AD3" s="430" t="str">
        <f>IFERROR(__xludf.DUMMYFUNCTION("GOOGLETRANSLATE(B3,""zh-tw"",""DE"")"),"Mein ganzer Körper verlangt nach irgendeiner Art von Stimulation.")</f>
        <v>Mein ganzer Körper verlangt nach irgendeiner Art von Stimulation.</v>
      </c>
      <c r="AE3" s="395" t="str">
        <f>IFERROR(__xludf.DUMMYFUNCTION("GOOGLETRANSLATE(C3,""zh-tw"",""DE"")"),"-")</f>
        <v>-</v>
      </c>
      <c r="AF3" s="529" t="str">
        <f>IFERROR(__xludf.DUMMYFUNCTION("GOOGLETRANSLATE(D3,""zh-tw"",""DE"")"),"Mein Bruder hat einen starken Sexualtrieb.")</f>
        <v>Mein Bruder hat einen starken Sexualtrieb.</v>
      </c>
      <c r="AG3" s="133" t="s">
        <v>11777</v>
      </c>
      <c r="AH3" s="446" t="s">
        <v>11792</v>
      </c>
      <c r="AI3" s="531" t="s">
        <v>1273</v>
      </c>
      <c r="AJ3" s="532" t="s">
        <v>11793</v>
      </c>
      <c r="AK3" s="164" t="s">
        <v>11780</v>
      </c>
      <c r="AL3" s="166" t="s">
        <v>11794</v>
      </c>
      <c r="AM3" s="391" t="s">
        <v>1273</v>
      </c>
      <c r="AN3" s="165" t="s">
        <v>11795</v>
      </c>
      <c r="AO3" s="527"/>
      <c r="AP3" s="214"/>
      <c r="AQ3" s="398"/>
      <c r="AR3" s="528"/>
      <c r="AS3" s="533"/>
      <c r="AT3" s="533"/>
    </row>
    <row r="4" ht="26.25" customHeight="1">
      <c r="A4" s="527" t="s">
        <v>11763</v>
      </c>
      <c r="B4" s="214" t="s">
        <v>11796</v>
      </c>
      <c r="C4" s="398" t="s">
        <v>1273</v>
      </c>
      <c r="D4" s="528" t="s">
        <v>11797</v>
      </c>
      <c r="E4" s="527" t="s">
        <v>11766</v>
      </c>
      <c r="F4" s="430" t="str">
        <f>IFERROR(__xludf.DUMMYFUNCTION("GOOGLETRANSLATE(B4,""zh-tw"",""ja"")"),"もう自分をコントロールできない。")</f>
        <v>もう自分をコントロールできない。</v>
      </c>
      <c r="G4" s="398" t="s">
        <v>1273</v>
      </c>
      <c r="H4" s="528" t="s">
        <v>11798</v>
      </c>
      <c r="I4" s="527" t="s">
        <v>11768</v>
      </c>
      <c r="J4" s="214" t="s">
        <v>11799</v>
      </c>
      <c r="K4" s="398" t="s">
        <v>1273</v>
      </c>
      <c r="L4" s="528" t="s">
        <v>11800</v>
      </c>
      <c r="M4" s="394" t="str">
        <f>IFERROR(__xludf.DUMMYFUNCTION("GOOGLETRANSLATE(A4,""zh-tw"",""zh"")"),"兴奋")</f>
        <v>兴奋</v>
      </c>
      <c r="N4" s="430" t="str">
        <f>IFERROR(__xludf.DUMMYFUNCTION("GOOGLETRANSLATE(B4,""zh-tw"",""zh"")"),"要控制不住自己了")</f>
        <v>要控制不住自己了</v>
      </c>
      <c r="O4" s="395" t="str">
        <f>IFERROR(__xludf.DUMMYFUNCTION("GOOGLETRANSLATE(C4,""zh-tw"",""zh"")"),"-")</f>
        <v>-</v>
      </c>
      <c r="P4" s="529" t="str">
        <f>IFERROR(__xludf.DUMMYFUNCTION("GOOGLETRANSLATE(D4,""zh-tw"",""zh"")"),"哥哥更多性欲")</f>
        <v>哥哥更多性欲</v>
      </c>
      <c r="Q4" s="209" t="str">
        <f>IFERROR(__xludf.DUMMYFUNCTION("GOOGLETRANSLATE(A4,""zh-tw"",""es-MX"")"),"entusiasmado")</f>
        <v>entusiasmado</v>
      </c>
      <c r="R4" s="210" t="str">
        <f>IFERROR(__xludf.DUMMYFUNCTION("GOOGLETRANSLATE(B4,""zh-tw"",""es-MX"")"),"Ya no puedo controlarme.")</f>
        <v>Ya no puedo controlarme.</v>
      </c>
      <c r="S4" s="390" t="str">
        <f>IFERROR(__xludf.DUMMYFUNCTION("GOOGLETRANSLATE(C4,""zh-tw"",""es-MX"")"),"-")</f>
        <v>-</v>
      </c>
      <c r="T4" s="208" t="str">
        <f>IFERROR(__xludf.DUMMYFUNCTION("GOOGLETRANSLATE(D4,""zh-tw"",""es-MX"")"),"El hermano mayor tiene un mayor deseo sexual.")</f>
        <v>El hermano mayor tiene un mayor deseo sexual.</v>
      </c>
      <c r="U4" s="530" t="s">
        <v>11771</v>
      </c>
      <c r="V4" s="177" t="s">
        <v>11801</v>
      </c>
      <c r="W4" s="390" t="str">
        <f>IFERROR(__xludf.DUMMYFUNCTION("GOOGLETRANSLATE(C4,""zh-tw"",""KO"")"),"-")</f>
        <v>-</v>
      </c>
      <c r="X4" s="172" t="s">
        <v>11802</v>
      </c>
      <c r="Y4" s="209" t="s">
        <v>11774</v>
      </c>
      <c r="Z4" s="210" t="s">
        <v>11803</v>
      </c>
      <c r="AA4" s="390" t="s">
        <v>1273</v>
      </c>
      <c r="AB4" s="208" t="s">
        <v>11804</v>
      </c>
      <c r="AC4" s="394" t="str">
        <f>IFERROR(__xludf.DUMMYFUNCTION("GOOGLETRANSLATE(A4,""zh-tw"",""DE"")"),"aufgeregt")</f>
        <v>aufgeregt</v>
      </c>
      <c r="AD4" s="430" t="str">
        <f>IFERROR(__xludf.DUMMYFUNCTION("GOOGLETRANSLATE(B4,""zh-tw"",""DE"")"),"Ich kann mich nicht mehr beherrschen.")</f>
        <v>Ich kann mich nicht mehr beherrschen.</v>
      </c>
      <c r="AE4" s="395" t="str">
        <f>IFERROR(__xludf.DUMMYFUNCTION("GOOGLETRANSLATE(C4,""zh-tw"",""DE"")"),"-")</f>
        <v>-</v>
      </c>
      <c r="AF4" s="529" t="str">
        <f>IFERROR(__xludf.DUMMYFUNCTION("GOOGLETRANSLATE(D4,""zh-tw"",""DE"")"),"Der ältere Bruder hat einen stärkeren Sexualtrieb.")</f>
        <v>Der ältere Bruder hat einen stärkeren Sexualtrieb.</v>
      </c>
      <c r="AG4" s="133" t="s">
        <v>11777</v>
      </c>
      <c r="AH4" s="446" t="s">
        <v>11805</v>
      </c>
      <c r="AI4" s="531" t="s">
        <v>1273</v>
      </c>
      <c r="AJ4" s="532" t="s">
        <v>11806</v>
      </c>
      <c r="AK4" s="164" t="s">
        <v>11780</v>
      </c>
      <c r="AL4" s="166" t="s">
        <v>11807</v>
      </c>
      <c r="AM4" s="391" t="s">
        <v>1273</v>
      </c>
      <c r="AN4" s="165" t="s">
        <v>11808</v>
      </c>
      <c r="AO4" s="527"/>
      <c r="AP4" s="214"/>
      <c r="AQ4" s="398"/>
      <c r="AR4" s="528"/>
      <c r="AS4" s="533"/>
      <c r="AT4" s="533"/>
    </row>
    <row r="5">
      <c r="A5" s="527" t="s">
        <v>11809</v>
      </c>
      <c r="B5" s="214" t="s">
        <v>11810</v>
      </c>
      <c r="C5" s="398" t="s">
        <v>11811</v>
      </c>
      <c r="D5" s="528" t="s">
        <v>11812</v>
      </c>
      <c r="E5" s="527" t="s">
        <v>11813</v>
      </c>
      <c r="F5" s="430" t="str">
        <f>IFERROR(__xludf.DUMMYFUNCTION("GOOGLETRANSLATE(B5,""zh-tw"",""ja"")"),"うわぁ…")</f>
        <v>うわぁ…</v>
      </c>
      <c r="G5" s="398" t="s">
        <v>11814</v>
      </c>
      <c r="H5" s="528" t="s">
        <v>11815</v>
      </c>
      <c r="I5" s="527" t="s">
        <v>11816</v>
      </c>
      <c r="J5" s="214" t="s">
        <v>11817</v>
      </c>
      <c r="K5" s="398" t="s">
        <v>11818</v>
      </c>
      <c r="L5" s="528" t="s">
        <v>11819</v>
      </c>
      <c r="M5" s="394" t="str">
        <f>IFERROR(__xludf.DUMMYFUNCTION("GOOGLETRANSLATE(A5,""zh-tw"",""zh"")"),"兽人")</f>
        <v>兽人</v>
      </c>
      <c r="N5" s="430" t="str">
        <f>IFERROR(__xludf.DUMMYFUNCTION("GOOGLETRANSLATE(B5,""zh-tw"",""zh"")"),"唔噢噢噢噢.......!")</f>
        <v>唔噢噢噢噢.......!</v>
      </c>
      <c r="O5" s="395" t="str">
        <f>IFERROR(__xludf.DUMMYFUNCTION("GOOGLETRANSLATE(C5,""zh-tw"",""zh"")"),"扭曲为了满脑子都是欲望的Beast！")</f>
        <v>扭曲为了满脑子都是欲望的Beast！</v>
      </c>
      <c r="P5" s="529" t="str">
        <f>IFERROR(__xludf.DUMMYFUNCTION("GOOGLETRANSLATE(D5,""zh-tw"",""zh"")"),"哥哥性欲极高")</f>
        <v>哥哥性欲极高</v>
      </c>
      <c r="Q5" s="209" t="str">
        <f>IFERROR(__xludf.DUMMYFUNCTION("GOOGLETRANSLATE(A5,""zh-tw"",""es-MX"")"),"orcos")</f>
        <v>orcos</v>
      </c>
      <c r="R5" s="210" t="str">
        <f>IFERROR(__xludf.DUMMYFUNCTION("GOOGLETRANSLATE(B5,""zh-tw"",""es-MX"")"),"Ughh...")</f>
        <v>Ughh...</v>
      </c>
      <c r="S5" s="390" t="str">
        <f>IFERROR(__xludf.DUMMYFUNCTION("GOOGLETRANSLATE(C5,""zh-tw"",""es-MX"")"),"¡Se ha transformado en una bestia cuya mente está llena de deseo!")</f>
        <v>¡Se ha transformado en una bestia cuya mente está llena de deseo!</v>
      </c>
      <c r="T5" s="208" t="str">
        <f>IFERROR(__xludf.DUMMYFUNCTION("GOOGLETRANSLATE(D5,""zh-tw"",""es-MX"")"),"Mi hermano tiene un deseo sexual extremadamente alto.")</f>
        <v>Mi hermano tiene un deseo sexual extremadamente alto.</v>
      </c>
      <c r="U5" s="176" t="s">
        <v>11820</v>
      </c>
      <c r="V5" s="177" t="s">
        <v>11821</v>
      </c>
      <c r="W5" s="397" t="s">
        <v>11822</v>
      </c>
      <c r="X5" s="172" t="s">
        <v>11823</v>
      </c>
      <c r="Y5" s="209" t="s">
        <v>11824</v>
      </c>
      <c r="Z5" s="210" t="s">
        <v>11825</v>
      </c>
      <c r="AA5" s="390" t="s">
        <v>11826</v>
      </c>
      <c r="AB5" s="208" t="s">
        <v>11827</v>
      </c>
      <c r="AC5" s="394" t="str">
        <f>IFERROR(__xludf.DUMMYFUNCTION("GOOGLETRANSLATE(A5,""zh-tw"",""DE"")"),"Orks")</f>
        <v>Orks</v>
      </c>
      <c r="AD5" s="430" t="str">
        <f>IFERROR(__xludf.DUMMYFUNCTION("GOOGLETRANSLATE(B5,""zh-tw"",""DE"")"),"Ugh ...")</f>
        <v>Ugh ...</v>
      </c>
      <c r="AE5" s="395" t="str">
        <f>IFERROR(__xludf.DUMMYFUNCTION("GOOGLETRANSLATE(C5,""zh-tw"",""DE"")"),"Es wurde zu einem Ungeheuer verdreht, dessen Geist von Begierde erfüllt ist!")</f>
        <v>Es wurde zu einem Ungeheuer verdreht, dessen Geist von Begierde erfüllt ist!</v>
      </c>
      <c r="AF5" s="529" t="str">
        <f>IFERROR(__xludf.DUMMYFUNCTION("GOOGLETRANSLATE(D5,""zh-tw"",""DE"")"),"Mein Bruder hat einen extrem hohen Sexualtrieb.")</f>
        <v>Mein Bruder hat einen extrem hohen Sexualtrieb.</v>
      </c>
      <c r="AG5" s="133" t="s">
        <v>11816</v>
      </c>
      <c r="AH5" s="223" t="s">
        <v>11828</v>
      </c>
      <c r="AI5" s="531" t="s">
        <v>11829</v>
      </c>
      <c r="AJ5" s="532" t="s">
        <v>11830</v>
      </c>
      <c r="AK5" s="164" t="s">
        <v>11816</v>
      </c>
      <c r="AL5" s="166" t="s">
        <v>11817</v>
      </c>
      <c r="AM5" s="397" t="s">
        <v>11831</v>
      </c>
      <c r="AN5" s="165" t="s">
        <v>11832</v>
      </c>
      <c r="AO5" s="527"/>
      <c r="AP5" s="214"/>
      <c r="AQ5" s="398"/>
      <c r="AR5" s="528"/>
      <c r="AS5" s="533"/>
      <c r="AT5" s="533"/>
    </row>
    <row r="6">
      <c r="A6" s="527" t="s">
        <v>11833</v>
      </c>
      <c r="B6" s="214" t="s">
        <v>11834</v>
      </c>
      <c r="C6" s="398" t="s">
        <v>11835</v>
      </c>
      <c r="D6" s="528" t="s">
        <v>11836</v>
      </c>
      <c r="E6" s="527" t="s">
        <v>11837</v>
      </c>
      <c r="F6" s="214" t="s">
        <v>11838</v>
      </c>
      <c r="G6" s="395" t="str">
        <f>IFERROR(__xludf.DUMMYFUNCTION("GOOGLETRANSLATE(C6,""zh-tw"",""ja"")"),"賢者モードに入ると、全ての能力値が上昇する。")</f>
        <v>賢者モードに入ると、全ての能力値が上昇する。</v>
      </c>
      <c r="H6" s="528" t="s">
        <v>11839</v>
      </c>
      <c r="I6" s="527" t="s">
        <v>11840</v>
      </c>
      <c r="J6" s="214" t="s">
        <v>11841</v>
      </c>
      <c r="K6" s="398" t="s">
        <v>11842</v>
      </c>
      <c r="L6" s="528" t="s">
        <v>11843</v>
      </c>
      <c r="M6" s="394" t="str">
        <f>IFERROR(__xludf.DUMMYFUNCTION("GOOGLETRANSLATE(A6,""zh-tw"",""zh"")"),"贤者")</f>
        <v>贤者</v>
      </c>
      <c r="N6" s="430" t="str">
        <f>IFERROR(__xludf.DUMMYFUNCTION("GOOGLETRANSLATE(B6,""zh-tw"",""zh"")"),"现在我感觉自己无所不能。")</f>
        <v>现在我感觉自己无所不能。</v>
      </c>
      <c r="O6" s="395" t="str">
        <f>IFERROR(__xludf.DUMMYFUNCTION("GOOGLETRANSLATE(C6,""zh-tw"",""zh"")"),"进入了贤者模式，全属性上升")</f>
        <v>进入了贤者模式，全属性上升</v>
      </c>
      <c r="P6" s="529" t="str">
        <f>IFERROR(__xludf.DUMMYFUNCTION("GOOGLETRANSLATE(D6,""zh-tw"",""zh"")"),"哥哥毫无性欲")</f>
        <v>哥哥毫无性欲</v>
      </c>
      <c r="Q6" s="209" t="str">
        <f>IFERROR(__xludf.DUMMYFUNCTION("GOOGLETRANSLATE(A6,""zh-tw"",""es-MX"")"),"Sabio")</f>
        <v>Sabio</v>
      </c>
      <c r="R6" s="210" t="str">
        <f>IFERROR(__xludf.DUMMYFUNCTION("GOOGLETRANSLATE(B6,""zh-tw"",""es-MX"")"),"Siento que puedo hacer cualquier cosa ahora mismo.")</f>
        <v>Siento que puedo hacer cualquier cosa ahora mismo.</v>
      </c>
      <c r="S6" s="390" t="str">
        <f>IFERROR(__xludf.DUMMYFUNCTION("GOOGLETRANSLATE(C6,""zh-tw"",""es-MX"")"),"Al entrar en el Modo Sabio, todos los atributos aumentan.")</f>
        <v>Al entrar en el Modo Sabio, todos los atributos aumentan.</v>
      </c>
      <c r="T6" s="208" t="str">
        <f>IFERROR(__xludf.DUMMYFUNCTION("GOOGLETRANSLATE(D6,""zh-tw"",""es-MX"")"),"Mi hermano no tiene deseo sexual.")</f>
        <v>Mi hermano no tiene deseo sexual.</v>
      </c>
      <c r="U6" s="530" t="s">
        <v>11844</v>
      </c>
      <c r="V6" s="177" t="s">
        <v>11845</v>
      </c>
      <c r="W6" s="397" t="s">
        <v>11846</v>
      </c>
      <c r="X6" s="172" t="s">
        <v>11847</v>
      </c>
      <c r="Y6" s="209" t="s">
        <v>11848</v>
      </c>
      <c r="Z6" s="210" t="s">
        <v>11849</v>
      </c>
      <c r="AA6" s="390" t="s">
        <v>11850</v>
      </c>
      <c r="AB6" s="208" t="s">
        <v>11851</v>
      </c>
      <c r="AC6" s="394" t="str">
        <f>IFERROR(__xludf.DUMMYFUNCTION("GOOGLETRANSLATE(A6,""zh-tw"",""DE"")"),"Salbei")</f>
        <v>Salbei</v>
      </c>
      <c r="AD6" s="430" t="str">
        <f>IFERROR(__xludf.DUMMYFUNCTION("GOOGLETRANSLATE(B6,""zh-tw"",""DE"")"),"Ich habe das Gefühl, ich kann im Moment alles schaffen.")</f>
        <v>Ich habe das Gefühl, ich kann im Moment alles schaffen.</v>
      </c>
      <c r="AE6" s="395" t="str">
        <f>IFERROR(__xludf.DUMMYFUNCTION("GOOGLETRANSLATE(C6,""zh-tw"",""DE"")"),"Beim Aktivieren des Sage-Modus erhöhen sich alle Attribute.")</f>
        <v>Beim Aktivieren des Sage-Modus erhöhen sich alle Attribute.</v>
      </c>
      <c r="AF6" s="529" t="str">
        <f>IFERROR(__xludf.DUMMYFUNCTION("GOOGLETRANSLATE(D6,""zh-tw"",""DE"")"),"Mein Bruder hat kein sexuelles Verlangen.")</f>
        <v>Mein Bruder hat kein sexuelles Verlangen.</v>
      </c>
      <c r="AG6" s="133" t="s">
        <v>11852</v>
      </c>
      <c r="AH6" s="223" t="s">
        <v>11853</v>
      </c>
      <c r="AI6" s="534" t="s">
        <v>11854</v>
      </c>
      <c r="AJ6" s="532" t="s">
        <v>11855</v>
      </c>
      <c r="AK6" s="164" t="s">
        <v>11856</v>
      </c>
      <c r="AL6" s="166" t="s">
        <v>11857</v>
      </c>
      <c r="AM6" s="391" t="s">
        <v>11858</v>
      </c>
      <c r="AN6" s="165" t="s">
        <v>11859</v>
      </c>
      <c r="AO6" s="527"/>
      <c r="AP6" s="214"/>
      <c r="AQ6" s="398"/>
      <c r="AR6" s="528"/>
      <c r="AS6" s="533"/>
      <c r="AT6" s="533"/>
    </row>
    <row r="7">
      <c r="A7" s="527" t="s">
        <v>11860</v>
      </c>
      <c r="B7" s="214" t="s">
        <v>1273</v>
      </c>
      <c r="C7" s="398" t="s">
        <v>11861</v>
      </c>
      <c r="D7" s="528" t="s">
        <v>11862</v>
      </c>
      <c r="E7" s="394" t="str">
        <f>IFERROR(__xludf.DUMMYFUNCTION("GOOGLETRANSLATE(A7,""zh-tw"",""ja"")"),"集中")</f>
        <v>集中</v>
      </c>
      <c r="F7" s="430" t="str">
        <f>IFERROR(__xludf.DUMMYFUNCTION("GOOGLETRANSLATE(B7,""zh-tw"",""ja"")"),"-")</f>
        <v>-</v>
      </c>
      <c r="G7" s="398" t="s">
        <v>11863</v>
      </c>
      <c r="H7" s="528" t="s">
        <v>11864</v>
      </c>
      <c r="I7" s="527" t="s">
        <v>11865</v>
      </c>
      <c r="J7" s="430" t="str">
        <f>IFERROR(__xludf.DUMMYFUNCTION("GOOGLETRANSLATE(B7,""zh-tw"",""en"")"),"-")</f>
        <v>-</v>
      </c>
      <c r="K7" s="398" t="s">
        <v>11866</v>
      </c>
      <c r="L7" s="528" t="s">
        <v>11867</v>
      </c>
      <c r="M7" s="394" t="str">
        <f>IFERROR(__xludf.DUMMYFUNCTION("GOOGLETRANSLATE(A7,""zh-tw"",""zh"")"),"专注")</f>
        <v>专注</v>
      </c>
      <c r="N7" s="430" t="str">
        <f>IFERROR(__xludf.DUMMYFUNCTION("GOOGLETRANSLATE(B7,""zh-tw"",""zh"")"),"-")</f>
        <v>-</v>
      </c>
      <c r="O7" s="395" t="str">
        <f>IFERROR(__xludf.DUMMYFUNCTION("GOOGLETRANSLATE(C7,""zh-tw"",""zh"")"),"集中精力为下一击做准被，移动速度下降")</f>
        <v>集中精力为下一击做准被，移动速度下降</v>
      </c>
      <c r="P7" s="529" t="str">
        <f>IFERROR(__xludf.DUMMYFUNCTION("GOOGLETRANSLATE(D7,""zh-tw"",""zh"")"),"近战武器滑鼠右键")</f>
        <v>近战武器滑鼠右键</v>
      </c>
      <c r="Q7" s="209" t="str">
        <f>IFERROR(__xludf.DUMMYFUNCTION("GOOGLETRANSLATE(A7,""zh-tw"",""es-MX"")"),"Enfocar")</f>
        <v>Enfocar</v>
      </c>
      <c r="R7" s="210" t="str">
        <f>IFERROR(__xludf.DUMMYFUNCTION("GOOGLETRANSLATE(B7,""zh-tw"",""es-MX"")"),"-")</f>
        <v>-</v>
      </c>
      <c r="S7" s="390" t="str">
        <f>IFERROR(__xludf.DUMMYFUNCTION("GOOGLETRANSLATE(C7,""zh-tw"",""es-MX"")"),"Concentrarse en prepararse para el siguiente ataque reduce la velocidad de movimiento.")</f>
        <v>Concentrarse en prepararse para el siguiente ataque reduce la velocidad de movimiento.</v>
      </c>
      <c r="T7" s="208" t="str">
        <f>IFERROR(__xludf.DUMMYFUNCTION("GOOGLETRANSLATE(D7,""zh-tw"",""es-MX"")"),"Botón derecho del ratón para arma cuerpo a cuerpo")</f>
        <v>Botón derecho del ratón para arma cuerpo a cuerpo</v>
      </c>
      <c r="U7" s="176" t="s">
        <v>11868</v>
      </c>
      <c r="V7" s="210"/>
      <c r="W7" s="397" t="s">
        <v>11869</v>
      </c>
      <c r="X7" s="172" t="s">
        <v>11870</v>
      </c>
      <c r="Y7" s="209" t="s">
        <v>11871</v>
      </c>
      <c r="Z7" s="210" t="s">
        <v>1273</v>
      </c>
      <c r="AA7" s="390" t="s">
        <v>11872</v>
      </c>
      <c r="AB7" s="208" t="s">
        <v>11873</v>
      </c>
      <c r="AC7" s="394" t="str">
        <f>IFERROR(__xludf.DUMMYFUNCTION("GOOGLETRANSLATE(A7,""zh-tw"",""DE"")"),"Fokus")</f>
        <v>Fokus</v>
      </c>
      <c r="AD7" s="430" t="str">
        <f>IFERROR(__xludf.DUMMYFUNCTION("GOOGLETRANSLATE(B7,""zh-tw"",""DE"")"),"-")</f>
        <v>-</v>
      </c>
      <c r="AE7" s="395" t="str">
        <f>IFERROR(__xludf.DUMMYFUNCTION("GOOGLETRANSLATE(C7,""zh-tw"",""DE"")"),"Die Konzentration auf die Vorbereitung des nächsten Angriffs verringert die Bewegungsgeschwindigkeit.")</f>
        <v>Die Konzentration auf die Vorbereitung des nächsten Angriffs verringert die Bewegungsgeschwindigkeit.</v>
      </c>
      <c r="AF7" s="529" t="str">
        <f>IFERROR(__xludf.DUMMYFUNCTION("GOOGLETRANSLATE(D7,""zh-tw"",""DE"")"),"rechte Maustaste für Nahkampfwaffen")</f>
        <v>rechte Maustaste für Nahkampfwaffen</v>
      </c>
      <c r="AG7" s="133" t="s">
        <v>11874</v>
      </c>
      <c r="AH7" s="446" t="s">
        <v>1273</v>
      </c>
      <c r="AI7" s="534" t="s">
        <v>11875</v>
      </c>
      <c r="AJ7" s="532" t="s">
        <v>11876</v>
      </c>
      <c r="AK7" s="164" t="s">
        <v>11865</v>
      </c>
      <c r="AL7" s="166" t="s">
        <v>1273</v>
      </c>
      <c r="AM7" s="391" t="s">
        <v>11877</v>
      </c>
      <c r="AN7" s="165" t="s">
        <v>11878</v>
      </c>
      <c r="AO7" s="527"/>
      <c r="AP7" s="214"/>
      <c r="AQ7" s="398"/>
      <c r="AR7" s="528"/>
      <c r="AS7" s="533"/>
      <c r="AT7" s="533"/>
    </row>
    <row r="8">
      <c r="A8" s="527" t="s">
        <v>11879</v>
      </c>
      <c r="B8" s="214" t="s">
        <v>11880</v>
      </c>
      <c r="C8" s="398" t="s">
        <v>1273</v>
      </c>
      <c r="D8" s="528" t="s">
        <v>11881</v>
      </c>
      <c r="E8" s="527" t="s">
        <v>11882</v>
      </c>
      <c r="F8" s="214" t="s">
        <v>11883</v>
      </c>
      <c r="G8" s="395" t="str">
        <f>IFERROR(__xludf.DUMMYFUNCTION("GOOGLETRANSLATE(C8,""zh-tw"",""ja"")"),"-")</f>
        <v>-</v>
      </c>
      <c r="H8" s="528" t="s">
        <v>11884</v>
      </c>
      <c r="I8" s="527" t="s">
        <v>11885</v>
      </c>
      <c r="J8" s="214" t="s">
        <v>11886</v>
      </c>
      <c r="K8" s="395" t="str">
        <f>IFERROR(__xludf.DUMMYFUNCTION("GOOGLETRANSLATE(C8,""zh-tw"",""en"")"),"-")</f>
        <v>-</v>
      </c>
      <c r="L8" s="528" t="s">
        <v>11887</v>
      </c>
      <c r="M8" s="394" t="str">
        <f>IFERROR(__xludf.DUMMYFUNCTION("GOOGLETRANSLATE(A8,""zh-tw"",""zh"")"),"闪步")</f>
        <v>闪步</v>
      </c>
      <c r="N8" s="430" t="str">
        <f>IFERROR(__xludf.DUMMYFUNCTION("GOOGLETRANSLATE(B8,""zh-tw"",""zh"")"),"真红的三倍速")</f>
        <v>真红的三倍速</v>
      </c>
      <c r="O8" s="395" t="str">
        <f>IFERROR(__xludf.DUMMYFUNCTION("GOOGLETRANSLATE(C8,""zh-tw"",""zh"")"),"-")</f>
        <v>-</v>
      </c>
      <c r="P8" s="529" t="str">
        <f>IFERROR(__xludf.DUMMYFUNCTION("GOOGLETRANSLATE(D8,""zh-tw"",""zh"")"),"闪步过程中或过图时永久BUG")</f>
        <v>闪步过程中或过图时永久BUG</v>
      </c>
      <c r="Q8" s="209" t="str">
        <f>IFERROR(__xludf.DUMMYFUNCTION("GOOGLETRANSLATE(A8,""zh-tw"",""es-MX"")"),"Paso rápido")</f>
        <v>Paso rápido</v>
      </c>
      <c r="R8" s="210" t="str">
        <f>IFERROR(__xludf.DUMMYFUNCTION("GOOGLETRANSLATE(B8,""zh-tw"",""es-MX"")"),"Triple velocidad carmesí")</f>
        <v>Triple velocidad carmesí</v>
      </c>
      <c r="S8" s="390" t="str">
        <f>IFERROR(__xludf.DUMMYFUNCTION("GOOGLETRANSLATE(C8,""zh-tw"",""es-MX"")"),"-")</f>
        <v>-</v>
      </c>
      <c r="T8" s="208" t="str">
        <f>IFERROR(__xludf.DUMMYFUNCTION("GOOGLETRANSLATE(D8,""zh-tw"",""es-MX"")"),"Error permanente durante el paso de flash o la transición del mapa.")</f>
        <v>Error permanente durante el paso de flash o la transición del mapa.</v>
      </c>
      <c r="U8" s="176" t="s">
        <v>11888</v>
      </c>
      <c r="V8" s="177" t="s">
        <v>11889</v>
      </c>
      <c r="W8" s="390" t="str">
        <f>IFERROR(__xludf.DUMMYFUNCTION("GOOGLETRANSLATE(C8,""zh-tw"",""KO"")"),"-")</f>
        <v>-</v>
      </c>
      <c r="X8" s="172" t="s">
        <v>11890</v>
      </c>
      <c r="Y8" s="209" t="s">
        <v>11891</v>
      </c>
      <c r="Z8" s="210" t="s">
        <v>11892</v>
      </c>
      <c r="AA8" s="390" t="s">
        <v>1273</v>
      </c>
      <c r="AB8" s="208" t="s">
        <v>11893</v>
      </c>
      <c r="AC8" s="394" t="str">
        <f>IFERROR(__xludf.DUMMYFUNCTION("GOOGLETRANSLATE(A8,""zh-tw"",""DE"")"),"Blitzschritt")</f>
        <v>Blitzschritt</v>
      </c>
      <c r="AD8" s="430" t="str">
        <f>IFERROR(__xludf.DUMMYFUNCTION("GOOGLETRANSLATE(B8,""zh-tw"",""DE"")"),"Crimson Triple Speed")</f>
        <v>Crimson Triple Speed</v>
      </c>
      <c r="AE8" s="395" t="str">
        <f>IFERROR(__xludf.DUMMYFUNCTION("GOOGLETRANSLATE(C8,""zh-tw"",""DE"")"),"-")</f>
        <v>-</v>
      </c>
      <c r="AF8" s="529" t="str">
        <f>IFERROR(__xludf.DUMMYFUNCTION("GOOGLETRANSLATE(D8,""zh-tw"",""DE"")"),"Permanenter Fehler während des Flash-Schritts oder Kartenübergangs")</f>
        <v>Permanenter Fehler während des Flash-Schritts oder Kartenübergangs</v>
      </c>
      <c r="AG8" s="133" t="s">
        <v>11885</v>
      </c>
      <c r="AH8" s="223" t="s">
        <v>11894</v>
      </c>
      <c r="AI8" s="531" t="s">
        <v>1273</v>
      </c>
      <c r="AJ8" s="532" t="s">
        <v>11895</v>
      </c>
      <c r="AK8" s="164" t="s">
        <v>11885</v>
      </c>
      <c r="AL8" s="166" t="s">
        <v>11896</v>
      </c>
      <c r="AM8" s="391" t="s">
        <v>1273</v>
      </c>
      <c r="AN8" s="165" t="s">
        <v>11897</v>
      </c>
      <c r="AO8" s="527"/>
      <c r="AP8" s="214"/>
      <c r="AQ8" s="398"/>
      <c r="AR8" s="528"/>
      <c r="AS8" s="533"/>
      <c r="AT8" s="533"/>
    </row>
    <row r="9">
      <c r="A9" s="527" t="s">
        <v>11898</v>
      </c>
      <c r="B9" s="214" t="s">
        <v>1273</v>
      </c>
      <c r="C9" s="398" t="s">
        <v>11899</v>
      </c>
      <c r="D9" s="528" t="s">
        <v>11900</v>
      </c>
      <c r="E9" s="527" t="s">
        <v>11901</v>
      </c>
      <c r="F9" s="430" t="str">
        <f>IFERROR(__xludf.DUMMYFUNCTION("GOOGLETRANSLATE(B9,""zh-tw"",""ja"")"),"-")</f>
        <v>-</v>
      </c>
      <c r="G9" s="398" t="s">
        <v>11902</v>
      </c>
      <c r="H9" s="528" t="s">
        <v>11903</v>
      </c>
      <c r="I9" s="527" t="s">
        <v>11904</v>
      </c>
      <c r="J9" s="430" t="str">
        <f>IFERROR(__xludf.DUMMYFUNCTION("GOOGLETRANSLATE(B9,""zh-tw"",""en"")"),"-")</f>
        <v>-</v>
      </c>
      <c r="K9" s="398" t="s">
        <v>11905</v>
      </c>
      <c r="L9" s="528" t="s">
        <v>11906</v>
      </c>
      <c r="M9" s="394" t="str">
        <f>IFERROR(__xludf.DUMMYFUNCTION("GOOGLETRANSLATE(A9,""zh-tw"",""zh"")"),"闪步禁止")</f>
        <v>闪步禁止</v>
      </c>
      <c r="N9" s="430" t="str">
        <f>IFERROR(__xludf.DUMMYFUNCTION("GOOGLETRANSLATE(B9,""zh-tw"",""zh"")"),"-")</f>
        <v>-</v>
      </c>
      <c r="O9" s="395" t="str">
        <f>IFERROR(__xludf.DUMMYFUNCTION("GOOGLETRANSLATE(C9,""zh-tw"",""zh"")"),"禁止发动闪步")</f>
        <v>禁止发动闪步</v>
      </c>
      <c r="P9" s="529" t="str">
        <f>IFERROR(__xludf.DUMMYFUNCTION("GOOGLETRANSLATE(D9,""zh-tw"",""zh"")"),"闪步cd期间")</f>
        <v>闪步cd期间</v>
      </c>
      <c r="Q9" s="209" t="str">
        <f>IFERROR(__xludf.DUMMYFUNCTION("GOOGLETRANSLATE(A9,""zh-tw"",""es-MX"")"),"Paso rápido prohibido")</f>
        <v>Paso rápido prohibido</v>
      </c>
      <c r="R9" s="210" t="str">
        <f>IFERROR(__xludf.DUMMYFUNCTION("GOOGLETRANSLATE(B9,""zh-tw"",""es-MX"")"),"-")</f>
        <v>-</v>
      </c>
      <c r="S9" s="390" t="str">
        <f>IFERROR(__xludf.DUMMYFUNCTION("GOOGLETRANSLATE(C9,""zh-tw"",""es-MX"")"),"No utilice Flash Step")</f>
        <v>No utilice Flash Step</v>
      </c>
      <c r="T9" s="208" t="str">
        <f>IFERROR(__xludf.DUMMYFUNCTION("GOOGLETRANSLATE(D9,""zh-tw"",""es-MX"")"),"Enfriamiento de Flash Step")</f>
        <v>Enfriamiento de Flash Step</v>
      </c>
      <c r="U9" s="176" t="s">
        <v>11888</v>
      </c>
      <c r="V9" s="210" t="str">
        <f>IFERROR(__xludf.DUMMYFUNCTION("GOOGLETRANSLATE(B9,""zh-tw"",""KO"")"),"-")</f>
        <v>-</v>
      </c>
      <c r="W9" s="397" t="s">
        <v>11907</v>
      </c>
      <c r="X9" s="172" t="s">
        <v>11908</v>
      </c>
      <c r="Y9" s="209" t="s">
        <v>11909</v>
      </c>
      <c r="Z9" s="210" t="s">
        <v>1273</v>
      </c>
      <c r="AA9" s="390" t="s">
        <v>11910</v>
      </c>
      <c r="AB9" s="208" t="s">
        <v>11909</v>
      </c>
      <c r="AC9" s="394" t="str">
        <f>IFERROR(__xludf.DUMMYFUNCTION("GOOGLETRANSLATE(A9,""zh-tw"",""DE"")"),"Blitzschritt verboten")</f>
        <v>Blitzschritt verboten</v>
      </c>
      <c r="AD9" s="430" t="str">
        <f>IFERROR(__xludf.DUMMYFUNCTION("GOOGLETRANSLATE(B9,""zh-tw"",""DE"")"),"-")</f>
        <v>-</v>
      </c>
      <c r="AE9" s="395" t="str">
        <f>IFERROR(__xludf.DUMMYFUNCTION("GOOGLETRANSLATE(C9,""zh-tw"",""DE"")"),"Flash Step nicht verwenden")</f>
        <v>Flash Step nicht verwenden</v>
      </c>
      <c r="AF9" s="529" t="str">
        <f>IFERROR(__xludf.DUMMYFUNCTION("GOOGLETRANSLATE(D9,""zh-tw"",""DE"")"),"Flash Step-Abklingzeit")</f>
        <v>Flash Step-Abklingzeit</v>
      </c>
      <c r="AG9" s="133" t="s">
        <v>11911</v>
      </c>
      <c r="AH9" s="446" t="s">
        <v>1273</v>
      </c>
      <c r="AI9" s="534" t="s">
        <v>11912</v>
      </c>
      <c r="AJ9" s="532" t="s">
        <v>11913</v>
      </c>
      <c r="AK9" s="164" t="s">
        <v>11914</v>
      </c>
      <c r="AL9" s="166" t="s">
        <v>1273</v>
      </c>
      <c r="AM9" s="391" t="s">
        <v>11914</v>
      </c>
      <c r="AN9" s="165" t="s">
        <v>11915</v>
      </c>
      <c r="AO9" s="527"/>
      <c r="AP9" s="214"/>
      <c r="AQ9" s="398"/>
      <c r="AR9" s="528"/>
      <c r="AS9" s="533"/>
      <c r="AT9" s="533"/>
    </row>
    <row r="10">
      <c r="A10" s="527" t="s">
        <v>11916</v>
      </c>
      <c r="B10" s="214" t="s">
        <v>1273</v>
      </c>
      <c r="C10" s="398" t="s">
        <v>11917</v>
      </c>
      <c r="D10" s="528" t="s">
        <v>11918</v>
      </c>
      <c r="E10" s="527" t="s">
        <v>11919</v>
      </c>
      <c r="F10" s="430" t="str">
        <f>IFERROR(__xludf.DUMMYFUNCTION("GOOGLETRANSLATE(B10,""zh-tw"",""ja"")"),"-")</f>
        <v>-</v>
      </c>
      <c r="G10" s="398" t="s">
        <v>11920</v>
      </c>
      <c r="H10" s="528" t="s">
        <v>11921</v>
      </c>
      <c r="I10" s="527" t="s">
        <v>11922</v>
      </c>
      <c r="J10" s="430" t="str">
        <f>IFERROR(__xludf.DUMMYFUNCTION("GOOGLETRANSLATE(B10,""zh-tw"",""en"")"),"-")</f>
        <v>-</v>
      </c>
      <c r="K10" s="398" t="s">
        <v>11923</v>
      </c>
      <c r="L10" s="528" t="s">
        <v>11924</v>
      </c>
      <c r="M10" s="394" t="str">
        <f>IFERROR(__xludf.DUMMYFUNCTION("GOOGLETRANSLATE(A10,""zh-tw"",""zh"")"),"眩晕")</f>
        <v>眩晕</v>
      </c>
      <c r="N10" s="430" t="str">
        <f>IFERROR(__xludf.DUMMYFUNCTION("GOOGLETRANSLATE(B10,""zh-tw"",""zh"")"),"-")</f>
        <v>-</v>
      </c>
      <c r="O10" s="395" t="str">
        <f>IFERROR(__xludf.DUMMYFUNCTION("GOOGLETRANSLATE(C10,""zh-tw"",""zh"")"),"转的头晕了。")</f>
        <v>转的头晕了。</v>
      </c>
      <c r="P10" s="529" t="str">
        <f>IFERROR(__xludf.DUMMYFUNCTION("GOOGLETRANSLATE(D10,""zh-tw"",""zh"")"),"近战武器滑鼠右键结束后")</f>
        <v>近战武器滑鼠右键结束后</v>
      </c>
      <c r="Q10" s="209" t="str">
        <f>IFERROR(__xludf.DUMMYFUNCTION("GOOGLETRANSLATE(A10,""zh-tw"",""es-MX"")"),"mareo")</f>
        <v>mareo</v>
      </c>
      <c r="R10" s="210" t="str">
        <f>IFERROR(__xludf.DUMMYFUNCTION("GOOGLETRANSLATE(B10,""zh-tw"",""es-MX"")"),"-")</f>
        <v>-</v>
      </c>
      <c r="S10" s="390" t="str">
        <f>IFERROR(__xludf.DUMMYFUNCTION("GOOGLETRANSLATE(C10,""zh-tw"",""es-MX"")"),"Estoy mareada de tanto dar vueltas.")</f>
        <v>Estoy mareada de tanto dar vueltas.</v>
      </c>
      <c r="T10" s="208" t="str">
        <f>IFERROR(__xludf.DUMMYFUNCTION("GOOGLETRANSLATE(D10,""zh-tw"",""es-MX"")"),"Después de hacer clic derecho en el arma cuerpo a cuerpo...")</f>
        <v>Después de hacer clic derecho en el arma cuerpo a cuerpo...</v>
      </c>
      <c r="U10" s="530" t="s">
        <v>11925</v>
      </c>
      <c r="V10" s="210" t="str">
        <f>IFERROR(__xludf.DUMMYFUNCTION("GOOGLETRANSLATE(B10,""zh-tw"",""KO"")"),"-")</f>
        <v>-</v>
      </c>
      <c r="W10" s="397" t="s">
        <v>11926</v>
      </c>
      <c r="X10" s="172" t="s">
        <v>11927</v>
      </c>
      <c r="Y10" s="209" t="s">
        <v>11928</v>
      </c>
      <c r="Z10" s="210" t="s">
        <v>11929</v>
      </c>
      <c r="AA10" s="390" t="s">
        <v>11930</v>
      </c>
      <c r="AB10" s="208" t="s">
        <v>11931</v>
      </c>
      <c r="AC10" s="394" t="str">
        <f>IFERROR(__xludf.DUMMYFUNCTION("GOOGLETRANSLATE(A10,""zh-tw"",""DE"")"),"Schwindel")</f>
        <v>Schwindel</v>
      </c>
      <c r="AD10" s="430" t="str">
        <f>IFERROR(__xludf.DUMMYFUNCTION("GOOGLETRANSLATE(B10,""zh-tw"",""DE"")"),"-")</f>
        <v>-</v>
      </c>
      <c r="AE10" s="395" t="str">
        <f>IFERROR(__xludf.DUMMYFUNCTION("GOOGLETRANSLATE(C10,""zh-tw"",""DE"")"),"Mir ist schwindlig vom vielen Drehen.")</f>
        <v>Mir ist schwindlig vom vielen Drehen.</v>
      </c>
      <c r="AF10" s="529" t="str">
        <f>IFERROR(__xludf.DUMMYFUNCTION("GOOGLETRANSLATE(D10,""zh-tw"",""DE"")"),"Nach einem Rechtsklick auf die Nahkampfwaffe...")</f>
        <v>Nach einem Rechtsklick auf die Nahkampfwaffe...</v>
      </c>
      <c r="AG10" s="133" t="s">
        <v>11932</v>
      </c>
      <c r="AH10" s="446" t="s">
        <v>1273</v>
      </c>
      <c r="AI10" s="531" t="s">
        <v>11933</v>
      </c>
      <c r="AJ10" s="532" t="s">
        <v>11934</v>
      </c>
      <c r="AK10" s="164" t="s">
        <v>11935</v>
      </c>
      <c r="AL10" s="166" t="s">
        <v>1273</v>
      </c>
      <c r="AM10" s="391" t="s">
        <v>11936</v>
      </c>
      <c r="AN10" s="165" t="s">
        <v>11937</v>
      </c>
      <c r="AO10" s="527"/>
      <c r="AP10" s="214"/>
      <c r="AQ10" s="398"/>
      <c r="AR10" s="528"/>
      <c r="AS10" s="533"/>
      <c r="AT10" s="533"/>
    </row>
    <row r="11">
      <c r="A11" s="527" t="s">
        <v>11938</v>
      </c>
      <c r="B11" s="214" t="s">
        <v>1273</v>
      </c>
      <c r="C11" s="398" t="s">
        <v>11939</v>
      </c>
      <c r="D11" s="528" t="s">
        <v>11940</v>
      </c>
      <c r="E11" s="394" t="str">
        <f>IFERROR(__xludf.DUMMYFUNCTION("GOOGLETRANSLATE(A11,""zh-tw"",""ja"")"),"呪文詠唱")</f>
        <v>呪文詠唱</v>
      </c>
      <c r="F11" s="430" t="str">
        <f>IFERROR(__xludf.DUMMYFUNCTION("GOOGLETRANSLATE(B11,""zh-tw"",""ja"")"),"-")</f>
        <v>-</v>
      </c>
      <c r="G11" s="395" t="str">
        <f>IFERROR(__xludf.DUMMYFUNCTION("GOOGLETRANSLATE(C11,""zh-tw"",""ja"")"),"魔法の呪文を唱えている間")</f>
        <v>魔法の呪文を唱えている間</v>
      </c>
      <c r="H11" s="529" t="str">
        <f>IFERROR(__xludf.DUMMYFUNCTION("GOOGLETRANSLATE(D11,""zh-tw"",""ja"")"),"杖型の武器を右クリックする")</f>
        <v>杖型の武器を右クリックする</v>
      </c>
      <c r="I11" s="527" t="s">
        <v>11941</v>
      </c>
      <c r="J11" s="430" t="str">
        <f>IFERROR(__xludf.DUMMYFUNCTION("GOOGLETRANSLATE(B11,""zh-tw"",""en"")"),"-")</f>
        <v>-</v>
      </c>
      <c r="K11" s="398" t="s">
        <v>11942</v>
      </c>
      <c r="L11" s="528" t="s">
        <v>11943</v>
      </c>
      <c r="M11" s="394" t="str">
        <f>IFERROR(__xludf.DUMMYFUNCTION("GOOGLETRANSLATE(A11,""zh-tw"",""zh"")"),"施法")</f>
        <v>施法</v>
      </c>
      <c r="N11" s="430" t="str">
        <f>IFERROR(__xludf.DUMMYFUNCTION("GOOGLETRANSLATE(B11,""zh-tw"",""zh"")"),"-")</f>
        <v>-</v>
      </c>
      <c r="O11" s="395" t="str">
        <f>IFERROR(__xludf.DUMMYFUNCTION("GOOGLETRANSLATE(C11,""zh-tw"",""zh"")"),"魔法吟唱中")</f>
        <v>魔法吟唱中</v>
      </c>
      <c r="P11" s="529" t="str">
        <f>IFERROR(__xludf.DUMMYFUNCTION("GOOGLETRANSLATE(D11,""zh-tw"",""zh"")"),"法杖武器滑鼠右键")</f>
        <v>法杖武器滑鼠右键</v>
      </c>
      <c r="Q11" s="209" t="str">
        <f>IFERROR(__xludf.DUMMYFUNCTION("GOOGLETRANSLATE(A11,""zh-tw"",""es-MX"")"),"Lanzamiento de hechizos")</f>
        <v>Lanzamiento de hechizos</v>
      </c>
      <c r="R11" s="210" t="str">
        <f>IFERROR(__xludf.DUMMYFUNCTION("GOOGLETRANSLATE(B11,""zh-tw"",""es-MX"")"),"-")</f>
        <v>-</v>
      </c>
      <c r="S11" s="390" t="str">
        <f>IFERROR(__xludf.DUMMYFUNCTION("GOOGLETRANSLATE(C11,""zh-tw"",""es-MX"")"),"Durante el canto mágico")</f>
        <v>Durante el canto mágico</v>
      </c>
      <c r="T11" s="208" t="str">
        <f>IFERROR(__xludf.DUMMYFUNCTION("GOOGLETRANSLATE(D11,""zh-tw"",""es-MX"")"),"Haz clic derecho en el arma del bastón")</f>
        <v>Haz clic derecho en el arma del bastón</v>
      </c>
      <c r="U11" s="176" t="s">
        <v>11944</v>
      </c>
      <c r="V11" s="210" t="str">
        <f>IFERROR(__xludf.DUMMYFUNCTION("GOOGLETRANSLATE(B11,""zh-tw"",""KO"")"),"-")</f>
        <v>-</v>
      </c>
      <c r="W11" s="397" t="s">
        <v>11945</v>
      </c>
      <c r="X11" s="172" t="s">
        <v>11946</v>
      </c>
      <c r="Y11" s="209" t="s">
        <v>11947</v>
      </c>
      <c r="Z11" s="210" t="s">
        <v>1273</v>
      </c>
      <c r="AA11" s="390" t="s">
        <v>11948</v>
      </c>
      <c r="AB11" s="208" t="s">
        <v>11949</v>
      </c>
      <c r="AC11" s="394" t="str">
        <f>IFERROR(__xludf.DUMMYFUNCTION("GOOGLETRANSLATE(A11,""zh-tw"",""DE"")"),"Zauberwirken")</f>
        <v>Zauberwirken</v>
      </c>
      <c r="AD11" s="430" t="str">
        <f>IFERROR(__xludf.DUMMYFUNCTION("GOOGLETRANSLATE(B11,""zh-tw"",""DE"")"),"-")</f>
        <v>-</v>
      </c>
      <c r="AE11" s="395" t="str">
        <f>IFERROR(__xludf.DUMMYFUNCTION("GOOGLETRANSLATE(C11,""zh-tw"",""DE"")"),"Während des Zaubergesangs")</f>
        <v>Während des Zaubergesangs</v>
      </c>
      <c r="AF11" s="529" t="str">
        <f>IFERROR(__xludf.DUMMYFUNCTION("GOOGLETRANSLATE(D11,""zh-tw"",""DE"")"),"Rechtsklicken Sie auf die Stabwaffe")</f>
        <v>Rechtsklicken Sie auf die Stabwaffe</v>
      </c>
      <c r="AG11" s="480" t="s">
        <v>11950</v>
      </c>
      <c r="AH11" s="446" t="s">
        <v>1273</v>
      </c>
      <c r="AI11" s="534" t="s">
        <v>11951</v>
      </c>
      <c r="AJ11" s="532" t="s">
        <v>11952</v>
      </c>
      <c r="AK11" s="164" t="s">
        <v>11953</v>
      </c>
      <c r="AL11" s="166" t="s">
        <v>1273</v>
      </c>
      <c r="AM11" s="391" t="s">
        <v>11954</v>
      </c>
      <c r="AN11" s="165" t="s">
        <v>11955</v>
      </c>
      <c r="AO11" s="527"/>
      <c r="AP11" s="214"/>
      <c r="AQ11" s="398"/>
      <c r="AR11" s="528"/>
      <c r="AS11" s="533"/>
      <c r="AT11" s="533"/>
    </row>
    <row r="12">
      <c r="A12" s="527" t="s">
        <v>11956</v>
      </c>
      <c r="B12" s="214" t="s">
        <v>11957</v>
      </c>
      <c r="C12" s="398" t="s">
        <v>11958</v>
      </c>
      <c r="D12" s="528" t="s">
        <v>11959</v>
      </c>
      <c r="E12" s="527" t="s">
        <v>11956</v>
      </c>
      <c r="F12" s="214" t="s">
        <v>11960</v>
      </c>
      <c r="G12" s="398" t="s">
        <v>11961</v>
      </c>
      <c r="H12" s="528" t="s">
        <v>11962</v>
      </c>
      <c r="I12" s="527" t="s">
        <v>11963</v>
      </c>
      <c r="J12" s="214" t="s">
        <v>11964</v>
      </c>
      <c r="K12" s="398" t="s">
        <v>11965</v>
      </c>
      <c r="L12" s="528" t="s">
        <v>11966</v>
      </c>
      <c r="M12" s="394" t="str">
        <f>IFERROR(__xludf.DUMMYFUNCTION("GOOGLETRANSLATE(A12,""zh-tw"",""zh"")"),"中毒")</f>
        <v>中毒</v>
      </c>
      <c r="N12" s="430" t="str">
        <f>IFERROR(__xludf.DUMMYFUNCTION("GOOGLETRANSLATE(B12,""zh-tw"",""zh"")"),"体内感染了毒素")</f>
        <v>体内感染了毒素</v>
      </c>
      <c r="O12" s="395" t="str">
        <f>IFERROR(__xludf.DUMMYFUNCTION("GOOGLETRANSLATE(C12,""zh-tw"",""zh"")"),"随时间经过受到更多伤害")</f>
        <v>随时间经过受到更多伤害</v>
      </c>
      <c r="P12" s="529" t="str">
        <f>IFERROR(__xludf.DUMMYFUNCTION("GOOGLETRANSLATE(D12,""zh-tw"",""zh"")"),"被丧尸攻击")</f>
        <v>被丧尸攻击</v>
      </c>
      <c r="Q12" s="209" t="str">
        <f>IFERROR(__xludf.DUMMYFUNCTION("GOOGLETRANSLATE(A12,""zh-tw"",""es-MX"")"),"Envenenamiento")</f>
        <v>Envenenamiento</v>
      </c>
      <c r="R12" s="210" t="str">
        <f>IFERROR(__xludf.DUMMYFUNCTION("GOOGLETRANSLATE(B12,""zh-tw"",""es-MX"")"),"Infección por toxinas")</f>
        <v>Infección por toxinas</v>
      </c>
      <c r="S12" s="390" t="str">
        <f>IFERROR(__xludf.DUMMYFUNCTION("GOOGLETRANSLATE(C12,""zh-tw"",""es-MX"")"),"Más daños con el tiempo")</f>
        <v>Más daños con el tiempo</v>
      </c>
      <c r="T12" s="208" t="str">
        <f>IFERROR(__xludf.DUMMYFUNCTION("GOOGLETRANSLATE(D12,""zh-tw"",""es-MX"")"),"Atacado por zombis")</f>
        <v>Atacado por zombis</v>
      </c>
      <c r="U12" s="530" t="s">
        <v>11967</v>
      </c>
      <c r="V12" s="177" t="s">
        <v>11968</v>
      </c>
      <c r="W12" s="397" t="s">
        <v>11969</v>
      </c>
      <c r="X12" s="172" t="s">
        <v>11970</v>
      </c>
      <c r="Y12" s="209" t="s">
        <v>11971</v>
      </c>
      <c r="Z12" s="210" t="s">
        <v>11972</v>
      </c>
      <c r="AA12" s="390" t="s">
        <v>11973</v>
      </c>
      <c r="AB12" s="208" t="s">
        <v>11974</v>
      </c>
      <c r="AC12" s="394" t="str">
        <f>IFERROR(__xludf.DUMMYFUNCTION("GOOGLETRANSLATE(A12,""zh-tw"",""DE"")"),"Vergiftung")</f>
        <v>Vergiftung</v>
      </c>
      <c r="AD12" s="430" t="str">
        <f>IFERROR(__xludf.DUMMYFUNCTION("GOOGLETRANSLATE(B12,""zh-tw"",""DE"")"),"Infektion mit Toxinen")</f>
        <v>Infektion mit Toxinen</v>
      </c>
      <c r="AE12" s="395" t="str">
        <f>IFERROR(__xludf.DUMMYFUNCTION("GOOGLETRANSLATE(C12,""zh-tw"",""DE"")"),"Mehr Schaden im Laufe der Zeit")</f>
        <v>Mehr Schaden im Laufe der Zeit</v>
      </c>
      <c r="AF12" s="529" t="str">
        <f>IFERROR(__xludf.DUMMYFUNCTION("GOOGLETRANSLATE(D12,""zh-tw"",""DE"")"),"Von Zombies angegriffen")</f>
        <v>Von Zombies angegriffen</v>
      </c>
      <c r="AG12" s="133" t="s">
        <v>11975</v>
      </c>
      <c r="AH12" s="223" t="s">
        <v>11976</v>
      </c>
      <c r="AI12" s="531" t="s">
        <v>11977</v>
      </c>
      <c r="AJ12" s="532" t="s">
        <v>11978</v>
      </c>
      <c r="AK12" s="164" t="s">
        <v>11979</v>
      </c>
      <c r="AL12" s="166" t="s">
        <v>11980</v>
      </c>
      <c r="AM12" s="391" t="s">
        <v>11981</v>
      </c>
      <c r="AN12" s="165" t="s">
        <v>11982</v>
      </c>
      <c r="AO12" s="527"/>
      <c r="AP12" s="214"/>
      <c r="AQ12" s="398"/>
      <c r="AR12" s="528"/>
      <c r="AS12" s="533"/>
      <c r="AT12" s="533"/>
    </row>
    <row r="13">
      <c r="A13" s="527" t="s">
        <v>11983</v>
      </c>
      <c r="B13" s="214" t="s">
        <v>11984</v>
      </c>
      <c r="C13" s="398" t="s">
        <v>11985</v>
      </c>
      <c r="D13" s="528" t="s">
        <v>11986</v>
      </c>
      <c r="E13" s="394" t="str">
        <f>IFERROR(__xludf.DUMMYFUNCTION("GOOGLETRANSLATE(A13,""zh-tw"",""ja"")"),"出血")</f>
        <v>出血</v>
      </c>
      <c r="F13" s="214" t="s">
        <v>11987</v>
      </c>
      <c r="G13" s="395" t="str">
        <f>IFERROR(__xludf.DUMMYFUNCTION("GOOGLETRANSLATE(C13,""zh-tw"",""ja"")"),"受けるダメージは最大スタミナに基づいて計算されます。")</f>
        <v>受けるダメージは最大スタミナに基づいて計算されます。</v>
      </c>
      <c r="H13" s="528" t="s">
        <v>11988</v>
      </c>
      <c r="I13" s="394" t="str">
        <f>IFERROR(__xludf.DUMMYFUNCTION("GOOGLETRANSLATE(A13,""zh-tw"",""en"")"),"Bleeding")</f>
        <v>Bleeding</v>
      </c>
      <c r="J13" s="214" t="s">
        <v>11989</v>
      </c>
      <c r="K13" s="398" t="s">
        <v>11990</v>
      </c>
      <c r="L13" s="528" t="s">
        <v>11991</v>
      </c>
      <c r="M13" s="394" t="str">
        <f>IFERROR(__xludf.DUMMYFUNCTION("GOOGLETRANSLATE(A13,""zh-tw"",""zh"")"),"出血")</f>
        <v>出血</v>
      </c>
      <c r="N13" s="430" t="str">
        <f>IFERROR(__xludf.DUMMYFUNCTION("GOOGLETRANSLATE(B13,""zh-tw"",""zh"")"),"血流不止。")</f>
        <v>血流不止。</v>
      </c>
      <c r="O13" s="395" t="str">
        <f>IFERROR(__xludf.DUMMYFUNCTION("GOOGLETRANSLATE(C13,""zh-tw"",""zh"")"),"根据体力上限受到伤害")</f>
        <v>根据体力上限受到伤害</v>
      </c>
      <c r="P13" s="529" t="str">
        <f>IFERROR(__xludf.DUMMYFUNCTION("GOOGLETRANSLATE(D13,""zh-tw"",""zh"")"),"被小红兽攻击")</f>
        <v>被小红兽攻击</v>
      </c>
      <c r="Q13" s="209" t="str">
        <f>IFERROR(__xludf.DUMMYFUNCTION("GOOGLETRANSLATE(A13,""zh-tw"",""es-MX"")"),"Sangría")</f>
        <v>Sangría</v>
      </c>
      <c r="R13" s="210" t="str">
        <f>IFERROR(__xludf.DUMMYFUNCTION("GOOGLETRANSLATE(B13,""zh-tw"",""es-MX"")"),"El sangrado no cesaba.")</f>
        <v>El sangrado no cesaba.</v>
      </c>
      <c r="S13" s="390" t="str">
        <f>IFERROR(__xludf.DUMMYFUNCTION("GOOGLETRANSLATE(C13,""zh-tw"",""es-MX"")"),"El daño recibido se basa en la resistencia máxima.")</f>
        <v>El daño recibido se basa en la resistencia máxima.</v>
      </c>
      <c r="T13" s="208" t="str">
        <f>IFERROR(__xludf.DUMMYFUNCTION("GOOGLETRANSLATE(D13,""zh-tw"",""es-MX"")"),"Atacado por la pequeña bestia roja")</f>
        <v>Atacado por la pequeña bestia roja</v>
      </c>
      <c r="U13" s="530" t="s">
        <v>11992</v>
      </c>
      <c r="V13" s="210" t="str">
        <f>IFERROR(__xludf.DUMMYFUNCTION("GOOGLETRANSLATE(B13,""zh-tw"",""KO"")"),"출혈이 멈추지 않았다.")</f>
        <v>출혈이 멈추지 않았다.</v>
      </c>
      <c r="W13" s="397" t="s">
        <v>11993</v>
      </c>
      <c r="X13" s="208" t="str">
        <f>IFERROR(__xludf.DUMMYFUNCTION("GOOGLETRANSLATE(D13,""zh-tw"",""KO"")"),"작은 붉은 짐승에게 공격받았습니다")</f>
        <v>작은 붉은 짐승에게 공격받았습니다</v>
      </c>
      <c r="Y13" s="209" t="s">
        <v>11994</v>
      </c>
      <c r="Z13" s="210" t="s">
        <v>11995</v>
      </c>
      <c r="AA13" s="390" t="s">
        <v>11996</v>
      </c>
      <c r="AB13" s="208" t="s">
        <v>11997</v>
      </c>
      <c r="AC13" s="394" t="str">
        <f>IFERROR(__xludf.DUMMYFUNCTION("GOOGLETRANSLATE(A13,""zh-tw"",""DE"")"),"Blutung")</f>
        <v>Blutung</v>
      </c>
      <c r="AD13" s="430" t="str">
        <f>IFERROR(__xludf.DUMMYFUNCTION("GOOGLETRANSLATE(B13,""zh-tw"",""DE"")"),"Die Blutung hörte nicht auf.")</f>
        <v>Die Blutung hörte nicht auf.</v>
      </c>
      <c r="AE13" s="395" t="str">
        <f>IFERROR(__xludf.DUMMYFUNCTION("GOOGLETRANSLATE(C13,""zh-tw"",""DE"")"),"Der erlittene Schaden basiert auf der maximalen Ausdauer.")</f>
        <v>Der erlittene Schaden basiert auf der maximalen Ausdauer.</v>
      </c>
      <c r="AF13" s="529" t="str">
        <f>IFERROR(__xludf.DUMMYFUNCTION("GOOGLETRANSLATE(D13,""zh-tw"",""DE"")"),"Angegriffen von dem kleinen roten Biest")</f>
        <v>Angegriffen von dem kleinen roten Biest</v>
      </c>
      <c r="AG13" s="133" t="s">
        <v>11998</v>
      </c>
      <c r="AH13" s="223" t="s">
        <v>11999</v>
      </c>
      <c r="AI13" s="531" t="s">
        <v>12000</v>
      </c>
      <c r="AJ13" s="532" t="s">
        <v>12001</v>
      </c>
      <c r="AK13" s="164" t="s">
        <v>12002</v>
      </c>
      <c r="AL13" s="166" t="s">
        <v>12003</v>
      </c>
      <c r="AM13" s="391" t="s">
        <v>12004</v>
      </c>
      <c r="AN13" s="165" t="s">
        <v>12005</v>
      </c>
      <c r="AO13" s="527"/>
      <c r="AP13" s="214"/>
      <c r="AQ13" s="398"/>
      <c r="AR13" s="528"/>
      <c r="AS13" s="533"/>
      <c r="AT13" s="533"/>
    </row>
    <row r="14">
      <c r="A14" s="527" t="s">
        <v>12006</v>
      </c>
      <c r="B14" s="214" t="s">
        <v>12007</v>
      </c>
      <c r="C14" s="398" t="s">
        <v>12008</v>
      </c>
      <c r="D14" s="528" t="s">
        <v>12009</v>
      </c>
      <c r="E14" s="527" t="s">
        <v>12010</v>
      </c>
      <c r="F14" s="430" t="str">
        <f>IFERROR(__xludf.DUMMYFUNCTION("GOOGLETRANSLATE(B14,""zh-tw"",""ja"")"),"見て、この男は雷に打たれたんだ！")</f>
        <v>見て、この男は雷に打たれたんだ！</v>
      </c>
      <c r="G14" s="398" t="s">
        <v>12011</v>
      </c>
      <c r="H14" s="528" t="s">
        <v>12012</v>
      </c>
      <c r="I14" s="527" t="s">
        <v>12013</v>
      </c>
      <c r="J14" s="214" t="s">
        <v>12014</v>
      </c>
      <c r="K14" s="398" t="s">
        <v>12015</v>
      </c>
      <c r="L14" s="528" t="s">
        <v>12016</v>
      </c>
      <c r="M14" s="394" t="str">
        <f>IFERROR(__xludf.DUMMYFUNCTION("GOOGLETRANSLATE(A14,""zh-tw"",""zh"")"),"打雷")</f>
        <v>打雷</v>
      </c>
      <c r="N14" s="430" t="str">
        <f>IFERROR(__xludf.DUMMYFUNCTION("GOOGLETRANSLATE(B14,""zh-tw"",""zh"")"),"看啊，这家伙被雷劈了！")</f>
        <v>看啊，这家伙被雷劈了！</v>
      </c>
      <c r="O14" s="395" t="str">
        <f>IFERROR(__xludf.DUMMYFUNCTION("GOOGLETRANSLATE(C14,""zh-tw"",""zh"")"),"全身麻痹无法动弹！")</f>
        <v>全身麻痹无法动弹！</v>
      </c>
      <c r="P14" s="529" t="str">
        <f>IFERROR(__xludf.DUMMYFUNCTION("GOOGLETRANSLATE(D14,""zh-tw"",""zh"")"),"会漏电的的不良品、哔哩哔哩史莱姆")</f>
        <v>会漏电的的不良品、哔哩哔哩史莱姆</v>
      </c>
      <c r="Q14" s="209" t="str">
        <f>IFERROR(__xludf.DUMMYFUNCTION("GOOGLETRANSLATE(A14,""zh-tw"",""es-MX"")"),"trueno")</f>
        <v>trueno</v>
      </c>
      <c r="R14" s="210" t="str">
        <f>IFERROR(__xludf.DUMMYFUNCTION("GOOGLETRANSLATE(B14,""zh-tw"",""es-MX"")"),"¡Mira, a este tipo le cayó un rayo!")</f>
        <v>¡Mira, a este tipo le cayó un rayo!</v>
      </c>
      <c r="S14" s="390" t="str">
        <f>IFERROR(__xludf.DUMMYFUNCTION("GOOGLETRANSLATE(C14,""zh-tw"",""es-MX"")"),"¡Parálisis total, incapacidad para moverse!")</f>
        <v>¡Parálisis total, incapacidad para moverse!</v>
      </c>
      <c r="T14" s="208" t="str">
        <f>IFERROR(__xludf.DUMMYFUNCTION("GOOGLETRANSLATE(D14,""zh-tw"",""es-MX"")"),"Productos defectuosos que gotean electricidad; limo de Bilibili")</f>
        <v>Productos defectuosos que gotean electricidad; limo de Bilibili</v>
      </c>
      <c r="U14" s="209" t="str">
        <f>IFERROR(__xludf.DUMMYFUNCTION("GOOGLETRANSLATE(A14,""zh-tw"",""KO"")"),"우뢰")</f>
        <v>우뢰</v>
      </c>
      <c r="V14" s="210" t="str">
        <f>IFERROR(__xludf.DUMMYFUNCTION("GOOGLETRANSLATE(B14,""zh-tw"",""KO"")"),"저 사람 번개 맞았잖아!")</f>
        <v>저 사람 번개 맞았잖아!</v>
      </c>
      <c r="W14" s="390" t="str">
        <f>IFERROR(__xludf.DUMMYFUNCTION("GOOGLETRANSLATE(C14,""zh-tw"",""KO"")"),"완전 마비, 움직일 수 없어요!")</f>
        <v>완전 마비, 움직일 수 없어요!</v>
      </c>
      <c r="X14" s="208" t="str">
        <f>IFERROR(__xludf.DUMMYFUNCTION("GOOGLETRANSLATE(D14,""zh-tw"",""KO"")"),"전기가 새는 불량품; 빌리빌리 슬라임")</f>
        <v>전기가 새는 불량품; 빌리빌리 슬라임</v>
      </c>
      <c r="Y14" s="209" t="s">
        <v>12017</v>
      </c>
      <c r="Z14" s="210" t="s">
        <v>12018</v>
      </c>
      <c r="AA14" s="390" t="s">
        <v>12019</v>
      </c>
      <c r="AB14" s="208" t="s">
        <v>12020</v>
      </c>
      <c r="AC14" s="394" t="str">
        <f>IFERROR(__xludf.DUMMYFUNCTION("GOOGLETRANSLATE(A14,""zh-tw"",""DE"")"),"Donner")</f>
        <v>Donner</v>
      </c>
      <c r="AD14" s="430" t="str">
        <f>IFERROR(__xludf.DUMMYFUNCTION("GOOGLETRANSLATE(B14,""zh-tw"",""DE"")"),"Schau mal, dieser Typ wurde vom Blitz getroffen!")</f>
        <v>Schau mal, dieser Typ wurde vom Blitz getroffen!</v>
      </c>
      <c r="AE14" s="395" t="str">
        <f>IFERROR(__xludf.DUMMYFUNCTION("GOOGLETRANSLATE(C14,""zh-tw"",""DE"")"),"Völlige Lähmung, unfähig sich zu bewegen!")</f>
        <v>Völlige Lähmung, unfähig sich zu bewegen!</v>
      </c>
      <c r="AF14" s="529" t="str">
        <f>IFERROR(__xludf.DUMMYFUNCTION("GOOGLETRANSLATE(D14,""zh-tw"",""DE"")"),"Defekte Produkte, die Strom verlieren; Bilibili-Schleim")</f>
        <v>Defekte Produkte, die Strom verlieren; Bilibili-Schleim</v>
      </c>
      <c r="AG14" s="133" t="s">
        <v>12021</v>
      </c>
      <c r="AH14" s="223" t="s">
        <v>12022</v>
      </c>
      <c r="AI14" s="534" t="s">
        <v>12023</v>
      </c>
      <c r="AJ14" s="532" t="s">
        <v>12024</v>
      </c>
      <c r="AK14" s="164" t="s">
        <v>12025</v>
      </c>
      <c r="AL14" s="166" t="s">
        <v>12026</v>
      </c>
      <c r="AM14" s="391" t="s">
        <v>12027</v>
      </c>
      <c r="AN14" s="165" t="s">
        <v>12028</v>
      </c>
      <c r="AO14" s="527"/>
      <c r="AP14" s="214"/>
      <c r="AQ14" s="398"/>
      <c r="AR14" s="528"/>
      <c r="AS14" s="533"/>
      <c r="AT14" s="533"/>
    </row>
    <row r="15">
      <c r="A15" s="527" t="s">
        <v>12029</v>
      </c>
      <c r="B15" s="214" t="s">
        <v>12030</v>
      </c>
      <c r="C15" s="398" t="s">
        <v>12031</v>
      </c>
      <c r="D15" s="528" t="s">
        <v>12032</v>
      </c>
      <c r="E15" s="527" t="s">
        <v>12029</v>
      </c>
      <c r="F15" s="430" t="str">
        <f>IFERROR(__xludf.DUMMYFUNCTION("GOOGLETRANSLATE(B15,""zh-tw"",""ja"")"),"暑い！暑い！暑い！")</f>
        <v>暑い！暑い！暑い！</v>
      </c>
      <c r="G15" s="398" t="s">
        <v>12033</v>
      </c>
      <c r="H15" s="528" t="s">
        <v>12034</v>
      </c>
      <c r="I15" s="527" t="s">
        <v>12035</v>
      </c>
      <c r="J15" s="214" t="s">
        <v>12036</v>
      </c>
      <c r="K15" s="398" t="s">
        <v>12037</v>
      </c>
      <c r="L15" s="528" t="s">
        <v>12038</v>
      </c>
      <c r="M15" s="394" t="str">
        <f>IFERROR(__xludf.DUMMYFUNCTION("GOOGLETRANSLATE(A15,""zh-tw"",""zh"")"),"炎上")</f>
        <v>炎上</v>
      </c>
      <c r="N15" s="430" t="str">
        <f>IFERROR(__xludf.DUMMYFUNCTION("GOOGLETRANSLATE(B15,""zh-tw"",""zh"")"),"好烫好烫好烫——！")</f>
        <v>好烫好烫好烫——！</v>
      </c>
      <c r="O15" s="395" t="str">
        <f>IFERROR(__xludf.DUMMYFUNCTION("GOOGLETRANSLATE(C15,""zh-tw"",""zh"")"),"对自身范围内所有单位持续的灼烧")</f>
        <v>对自身范围内所有单位持续的灼烧</v>
      </c>
      <c r="P15" s="529" t="str">
        <f>IFERROR(__xludf.DUMMYFUNCTION("GOOGLETRANSLATE(D15,""zh-tw"",""zh"")"),"被火焰属性攻击")</f>
        <v>被火焰属性攻击</v>
      </c>
      <c r="Q15" s="209" t="str">
        <f>IFERROR(__xludf.DUMMYFUNCTION("GOOGLETRANSLATE(A15,""zh-tw"",""es-MX"")"),"Yan Shang")</f>
        <v>Yan Shang</v>
      </c>
      <c r="R15" s="210" t="str">
        <f>IFERROR(__xludf.DUMMYFUNCTION("GOOGLETRANSLATE(B15,""zh-tw"",""es-MX"")"),"¡Hace muchísimo calor! ¡Hace muchísimo calor! ¡Hace muchísimo calor!")</f>
        <v>¡Hace muchísimo calor! ¡Hace muchísimo calor! ¡Hace muchísimo calor!</v>
      </c>
      <c r="S15" s="390" t="str">
        <f>IFERROR(__xludf.DUMMYFUNCTION("GOOGLETRANSLATE(C15,""zh-tw"",""es-MX"")"),"Combustión continua de todas las unidades dentro de su alcance.")</f>
        <v>Combustión continua de todas las unidades dentro de su alcance.</v>
      </c>
      <c r="T15" s="208" t="str">
        <f>IFERROR(__xludf.DUMMYFUNCTION("GOOGLETRANSLATE(D15,""zh-tw"",""es-MX"")"),"Atacado por el fuego")</f>
        <v>Atacado por el fuego</v>
      </c>
      <c r="U15" s="209" t="str">
        <f>IFERROR(__xludf.DUMMYFUNCTION("GOOGLETRANSLATE(A15,""zh-tw"",""KO"")"),"얀 샹")</f>
        <v>얀 샹</v>
      </c>
      <c r="V15" s="210" t="str">
        <f>IFERROR(__xludf.DUMMYFUNCTION("GOOGLETRANSLATE(B15,""zh-tw"",""KO"")"),"너무 더워! 너무 더워! 너무 더워!")</f>
        <v>너무 더워! 너무 더워! 너무 더워!</v>
      </c>
      <c r="W15" s="390" t="str">
        <f>IFERROR(__xludf.DUMMYFUNCTION("GOOGLETRANSLATE(C15,""zh-tw"",""KO"")"),"범위 내 모든 장치의 지속적인 연소.")</f>
        <v>범위 내 모든 장치의 지속적인 연소.</v>
      </c>
      <c r="X15" s="208" t="str">
        <f>IFERROR(__xludf.DUMMYFUNCTION("GOOGLETRANSLATE(D15,""zh-tw"",""KO"")"),"화재로 공격받다")</f>
        <v>화재로 공격받다</v>
      </c>
      <c r="Y15" s="209" t="str">
        <f>IFERROR(__xludf.DUMMYFUNCTION("GOOGLETRANSLATE(A15,""zh-tw"",""RU"")"),"Ян Шан")</f>
        <v>Ян Шан</v>
      </c>
      <c r="Z15" s="210" t="s">
        <v>12039</v>
      </c>
      <c r="AA15" s="390" t="s">
        <v>12040</v>
      </c>
      <c r="AB15" s="208" t="s">
        <v>12041</v>
      </c>
      <c r="AC15" s="394" t="str">
        <f>IFERROR(__xludf.DUMMYFUNCTION("GOOGLETRANSLATE(A15,""zh-tw"",""DE"")"),"Yan Shang")</f>
        <v>Yan Shang</v>
      </c>
      <c r="AD15" s="430" t="str">
        <f>IFERROR(__xludf.DUMMYFUNCTION("GOOGLETRANSLATE(B15,""zh-tw"",""DE"")"),"Es ist so heiß! Es ist so heiß! Es ist so heiß!")</f>
        <v>Es ist so heiß! Es ist so heiß! Es ist so heiß!</v>
      </c>
      <c r="AE15" s="395" t="str">
        <f>IFERROR(__xludf.DUMMYFUNCTION("GOOGLETRANSLATE(C15,""zh-tw"",""DE"")"),"Kontinuierliches Abbrennen aller Einheiten innerhalb seiner Reichweite.")</f>
        <v>Kontinuierliches Abbrennen aller Einheiten innerhalb seiner Reichweite.</v>
      </c>
      <c r="AF15" s="529" t="str">
        <f>IFERROR(__xludf.DUMMYFUNCTION("GOOGLETRANSLATE(D15,""zh-tw"",""DE"")"),"Von Feuer angegriffen")</f>
        <v>Von Feuer angegriffen</v>
      </c>
      <c r="AG15" s="133" t="s">
        <v>12042</v>
      </c>
      <c r="AH15" s="446" t="s">
        <v>12043</v>
      </c>
      <c r="AI15" s="534" t="s">
        <v>12044</v>
      </c>
      <c r="AJ15" s="225" t="s">
        <v>12045</v>
      </c>
      <c r="AK15" s="164" t="s">
        <v>12046</v>
      </c>
      <c r="AL15" s="166" t="s">
        <v>12047</v>
      </c>
      <c r="AM15" s="391" t="s">
        <v>12048</v>
      </c>
      <c r="AN15" s="165" t="s">
        <v>12049</v>
      </c>
      <c r="AO15" s="527"/>
      <c r="AP15" s="214"/>
      <c r="AQ15" s="398"/>
      <c r="AR15" s="528"/>
      <c r="AS15" s="533"/>
      <c r="AT15" s="533"/>
    </row>
    <row r="16">
      <c r="A16" s="527" t="s">
        <v>12050</v>
      </c>
      <c r="B16" s="214" t="s">
        <v>12051</v>
      </c>
      <c r="C16" s="398" t="s">
        <v>12052</v>
      </c>
      <c r="D16" s="528" t="s">
        <v>6153</v>
      </c>
      <c r="E16" s="527" t="s">
        <v>12053</v>
      </c>
      <c r="F16" s="430" t="str">
        <f>IFERROR(__xludf.DUMMYFUNCTION("GOOGLETRANSLATE(B16,""zh-tw"",""ja"")"),"アイスキャンディーにしよう！")</f>
        <v>アイスキャンディーにしよう！</v>
      </c>
      <c r="G16" s="398" t="s">
        <v>12054</v>
      </c>
      <c r="H16" s="528" t="s">
        <v>12055</v>
      </c>
      <c r="I16" s="527" t="s">
        <v>12056</v>
      </c>
      <c r="J16" s="214" t="s">
        <v>12057</v>
      </c>
      <c r="K16" s="398" t="s">
        <v>12058</v>
      </c>
      <c r="L16" s="528" t="s">
        <v>6158</v>
      </c>
      <c r="M16" s="394" t="str">
        <f>IFERROR(__xludf.DUMMYFUNCTION("GOOGLETRANSLATE(A16,""zh-tw"",""zh"")"),"冰结")</f>
        <v>冰结</v>
      </c>
      <c r="N16" s="430" t="str">
        <f>IFERROR(__xludf.DUMMYFUNCTION("GOOGLETRANSLATE(B16,""zh-tw"",""zh"")"),"变成冰棍吧！")</f>
        <v>变成冰棍吧！</v>
      </c>
      <c r="O16" s="395" t="str">
        <f>IFERROR(__xludf.DUMMYFUNCTION("GOOGLETRANSLATE(C16,""zh-tw"",""zh"")"),"被冻住了！")</f>
        <v>被冻住了！</v>
      </c>
      <c r="P16" s="529" t="str">
        <f>IFERROR(__xludf.DUMMYFUNCTION("GOOGLETRANSLATE(D16,""zh-tw"",""zh"")"),"急冻史莱姆")</f>
        <v>急冻史莱姆</v>
      </c>
      <c r="Q16" s="209" t="str">
        <f>IFERROR(__xludf.DUMMYFUNCTION("GOOGLETRANSLATE(A16,""zh-tw"",""es-MX"")"),"Hielo")</f>
        <v>Hielo</v>
      </c>
      <c r="R16" s="210" t="str">
        <f>IFERROR(__xludf.DUMMYFUNCTION("GOOGLETRANSLATE(B16,""zh-tw"",""es-MX"")"),"¡Que se convierta en un polo de hielo!")</f>
        <v>¡Que se convierta en un polo de hielo!</v>
      </c>
      <c r="S16" s="390" t="str">
        <f>IFERROR(__xludf.DUMMYFUNCTION("GOOGLETRANSLATE(C16,""zh-tw"",""es-MX"")"),"¡Está completamente congelado!")</f>
        <v>¡Está completamente congelado!</v>
      </c>
      <c r="T16" s="208" t="str">
        <f>IFERROR(__xludf.DUMMYFUNCTION("GOOGLETRANSLATE(D16,""zh-tw"",""es-MX"")"),"Limo congelado")</f>
        <v>Limo congelado</v>
      </c>
      <c r="U16" s="209" t="str">
        <f>IFERROR(__xludf.DUMMYFUNCTION("GOOGLETRANSLATE(A16,""zh-tw"",""KO"")"),"얼음")</f>
        <v>얼음</v>
      </c>
      <c r="V16" s="210" t="str">
        <f>IFERROR(__xludf.DUMMYFUNCTION("GOOGLETRANSLATE(B16,""zh-tw"",""KO"")"),"아이스크림처럼 얼려 보세요!")</f>
        <v>아이스크림처럼 얼려 보세요!</v>
      </c>
      <c r="W16" s="390" t="str">
        <f>IFERROR(__xludf.DUMMYFUNCTION("GOOGLETRANSLATE(C16,""zh-tw"",""KO"")"),"완전히 꽁꽁 얼었어요!")</f>
        <v>완전히 꽁꽁 얼었어요!</v>
      </c>
      <c r="X16" s="208" t="str">
        <f>IFERROR(__xludf.DUMMYFUNCTION("GOOGLETRANSLATE(D16,""zh-tw"",""KO"")"),"냉동 슬라임")</f>
        <v>냉동 슬라임</v>
      </c>
      <c r="Y16" s="209" t="s">
        <v>12059</v>
      </c>
      <c r="Z16" s="210" t="s">
        <v>12060</v>
      </c>
      <c r="AA16" s="390" t="s">
        <v>12061</v>
      </c>
      <c r="AB16" s="208" t="s">
        <v>12062</v>
      </c>
      <c r="AC16" s="394" t="str">
        <f>IFERROR(__xludf.DUMMYFUNCTION("GOOGLETRANSLATE(A16,""zh-tw"",""DE"")"),"Eis")</f>
        <v>Eis</v>
      </c>
      <c r="AD16" s="430" t="str">
        <f>IFERROR(__xludf.DUMMYFUNCTION("GOOGLETRANSLATE(B16,""zh-tw"",""DE"")"),"Lass es zu einem Eis am Stiel werden!")</f>
        <v>Lass es zu einem Eis am Stiel werden!</v>
      </c>
      <c r="AE16" s="395" t="str">
        <f>IFERROR(__xludf.DUMMYFUNCTION("GOOGLETRANSLATE(C16,""zh-tw"",""DE"")"),"Es ist komplett durchgefroren!")</f>
        <v>Es ist komplett durchgefroren!</v>
      </c>
      <c r="AF16" s="529" t="str">
        <f>IFERROR(__xludf.DUMMYFUNCTION("GOOGLETRANSLATE(D16,""zh-tw"",""DE"")"),"Gefrorener Schleim")</f>
        <v>Gefrorener Schleim</v>
      </c>
      <c r="AG16" s="133" t="s">
        <v>12063</v>
      </c>
      <c r="AH16" s="223" t="s">
        <v>12064</v>
      </c>
      <c r="AI16" s="534" t="s">
        <v>12065</v>
      </c>
      <c r="AJ16" s="532" t="s">
        <v>6165</v>
      </c>
      <c r="AK16" s="164" t="s">
        <v>12066</v>
      </c>
      <c r="AL16" s="166" t="s">
        <v>12067</v>
      </c>
      <c r="AM16" s="391" t="s">
        <v>12068</v>
      </c>
      <c r="AN16" s="165" t="s">
        <v>6167</v>
      </c>
      <c r="AO16" s="527"/>
      <c r="AP16" s="214"/>
      <c r="AQ16" s="398"/>
      <c r="AR16" s="528"/>
      <c r="AS16" s="533"/>
      <c r="AT16" s="533"/>
    </row>
    <row r="17">
      <c r="A17" s="527" t="s">
        <v>12069</v>
      </c>
      <c r="B17" s="214" t="s">
        <v>12070</v>
      </c>
      <c r="C17" s="398" t="s">
        <v>12071</v>
      </c>
      <c r="D17" s="528" t="s">
        <v>12072</v>
      </c>
      <c r="E17" s="527" t="s">
        <v>12073</v>
      </c>
      <c r="F17" s="430" t="str">
        <f>IFERROR(__xludf.DUMMYFUNCTION("GOOGLETRANSLATE(B17,""zh-tw"",""ja"")"),"ふふ、これが私に反抗するとこうなるんだよ～♡")</f>
        <v>ふふ、これが私に反抗するとこうなるんだよ～♡</v>
      </c>
      <c r="G17" s="398" t="s">
        <v>12074</v>
      </c>
      <c r="H17" s="529" t="str">
        <f>IFERROR(__xludf.DUMMYFUNCTION("GOOGLETRANSLATE(D17,""zh-tw"",""ja"")"),"ミステリーショップでは魚はもらえません。")</f>
        <v>ミステリーショップでは魚はもらえません。</v>
      </c>
      <c r="I17" s="527" t="s">
        <v>12075</v>
      </c>
      <c r="J17" s="214" t="s">
        <v>12076</v>
      </c>
      <c r="K17" s="398" t="s">
        <v>12077</v>
      </c>
      <c r="L17" s="528" t="s">
        <v>12078</v>
      </c>
      <c r="M17" s="394" t="str">
        <f>IFERROR(__xludf.DUMMYFUNCTION("GOOGLETRANSLATE(A17,""zh-tw"",""zh"")"),"恶魔诅咒")</f>
        <v>恶魔诅咒</v>
      </c>
      <c r="N17" s="430" t="str">
        <f>IFERROR(__xludf.DUMMYFUNCTION("GOOGLETRANSLATE(B17,""zh-tw"",""zh"")"),"呋呋，这就是反抗我的下场噢~♡")</f>
        <v>呋呋，这就是反抗我的下场噢~♡</v>
      </c>
      <c r="O17" s="395" t="str">
        <f>IFERROR(__xludf.DUMMYFUNCTION("GOOGLETRANSLATE(C17,""zh-tw"",""zh"")"),"被奇怪的小鬼店长诅咒了")</f>
        <v>被奇怪的小鬼店长诅咒了</v>
      </c>
      <c r="P17" s="529" t="str">
        <f>IFERROR(__xludf.DUMMYFUNCTION("GOOGLETRANSLATE(D17,""zh-tw"",""zh"")"),"神秘商店不给鱼")</f>
        <v>神秘商店不给鱼</v>
      </c>
      <c r="Q17" s="209" t="str">
        <f>IFERROR(__xludf.DUMMYFUNCTION("GOOGLETRANSLATE(A17,""zh-tw"",""es-MX"")"),"Maldición demoníaca")</f>
        <v>Maldición demoníaca</v>
      </c>
      <c r="R17" s="210" t="str">
        <f>IFERROR(__xludf.DUMMYFUNCTION("GOOGLETRANSLATE(B17,""zh-tw"",""es-MX"")"),"Fufu, esto es lo que pasa cuando te rebelas contra mí~♡")</f>
        <v>Fufu, esto es lo que pasa cuando te rebelas contra mí~♡</v>
      </c>
      <c r="S17" s="390" t="str">
        <f>IFERROR(__xludf.DUMMYFUNCTION("GOOGLETRANSLATE(C17,""zh-tw"",""es-MX"")"),"Maldecido por el extraño y diabólico tendero.")</f>
        <v>Maldecido por el extraño y diabólico tendero.</v>
      </c>
      <c r="T17" s="208" t="str">
        <f>IFERROR(__xludf.DUMMYFUNCTION("GOOGLETRANSLATE(D17,""zh-tw"",""es-MX"")"),"La tienda misteriosa no te da pescado.")</f>
        <v>La tienda misteriosa no te da pescado.</v>
      </c>
      <c r="U17" s="209" t="str">
        <f>IFERROR(__xludf.DUMMYFUNCTION("GOOGLETRANSLATE(A17,""zh-tw"",""KO"")"),"악마의 저주")</f>
        <v>악마의 저주</v>
      </c>
      <c r="V17" s="210" t="str">
        <f>IFERROR(__xludf.DUMMYFUNCTION("GOOGLETRANSLATE(B17,""zh-tw"",""KO"")"),"후후, 나한테 반항하면 이렇게 되는 거야~♡")</f>
        <v>후후, 나한테 반항하면 이렇게 되는 거야~♡</v>
      </c>
      <c r="W17" s="390" t="str">
        <f>IFERROR(__xludf.DUMMYFUNCTION("GOOGLETRANSLATE(C17,""zh-tw"",""KO"")"),"기묘한 작은 악마 가게 주인의 저주를 받았다")</f>
        <v>기묘한 작은 악마 가게 주인의 저주를 받았다</v>
      </c>
      <c r="X17" s="208" t="str">
        <f>IFERROR(__xludf.DUMMYFUNCTION("GOOGLETRANSLATE(D17,""zh-tw"",""KO"")"),"미스터리 상점에서는 물고기를 주지 않습니다.")</f>
        <v>미스터리 상점에서는 물고기를 주지 않습니다.</v>
      </c>
      <c r="Y17" s="209" t="s">
        <v>12079</v>
      </c>
      <c r="Z17" s="210" t="s">
        <v>12080</v>
      </c>
      <c r="AA17" s="390" t="s">
        <v>12081</v>
      </c>
      <c r="AB17" s="208" t="s">
        <v>12082</v>
      </c>
      <c r="AC17" s="394" t="str">
        <f>IFERROR(__xludf.DUMMYFUNCTION("GOOGLETRANSLATE(A17,""zh-tw"",""DE"")"),"Dämonenfluch")</f>
        <v>Dämonenfluch</v>
      </c>
      <c r="AD17" s="430" t="str">
        <f>IFERROR(__xludf.DUMMYFUNCTION("GOOGLETRANSLATE(B17,""zh-tw"",""DE"")"),"Fufu, das passiert, wenn man gegen mich rebelliert~♡")</f>
        <v>Fufu, das passiert, wenn man gegen mich rebelliert~♡</v>
      </c>
      <c r="AE17" s="395" t="str">
        <f>IFERROR(__xludf.DUMMYFUNCTION("GOOGLETRANSLATE(C17,""zh-tw"",""DE"")"),"Verflucht von dem seltsamen kleinen Teufelsladenbesitzer")</f>
        <v>Verflucht von dem seltsamen kleinen Teufelsladenbesitzer</v>
      </c>
      <c r="AF17" s="529" t="str">
        <f>IFERROR(__xludf.DUMMYFUNCTION("GOOGLETRANSLATE(D17,""zh-tw"",""DE"")"),"Der Mystery Shop schenkt Ihnen keinen Fisch.")</f>
        <v>Der Mystery Shop schenkt Ihnen keinen Fisch.</v>
      </c>
      <c r="AG17" s="133" t="s">
        <v>12083</v>
      </c>
      <c r="AH17" s="223" t="s">
        <v>12084</v>
      </c>
      <c r="AI17" s="531" t="s">
        <v>12085</v>
      </c>
      <c r="AJ17" s="225" t="s">
        <v>12086</v>
      </c>
      <c r="AK17" s="164" t="s">
        <v>12087</v>
      </c>
      <c r="AL17" s="166" t="s">
        <v>12088</v>
      </c>
      <c r="AM17" s="391" t="s">
        <v>12089</v>
      </c>
      <c r="AN17" s="165" t="s">
        <v>12090</v>
      </c>
      <c r="AO17" s="527"/>
      <c r="AP17" s="214"/>
      <c r="AQ17" s="398"/>
      <c r="AR17" s="528"/>
      <c r="AS17" s="533"/>
      <c r="AT17" s="533"/>
    </row>
    <row r="18">
      <c r="A18" s="527" t="s">
        <v>12091</v>
      </c>
      <c r="B18" s="214" t="s">
        <v>12092</v>
      </c>
      <c r="C18" s="398" t="s">
        <v>12093</v>
      </c>
      <c r="D18" s="528" t="s">
        <v>12094</v>
      </c>
      <c r="E18" s="527" t="s">
        <v>12095</v>
      </c>
      <c r="F18" s="430" t="str">
        <f>IFERROR(__xludf.DUMMYFUNCTION("GOOGLETRANSLATE(B18,""zh-tw"",""ja"")"),"ここは私の縄張りよ、ここで悪いことは何もできないわ！♡")</f>
        <v>ここは私の縄張りよ、ここで悪いことは何もできないわ！♡</v>
      </c>
      <c r="G18" s="395" t="str">
        <f>IFERROR(__xludf.DUMMYFUNCTION("GOOGLETRANSLATE(C18,""zh-tw"",""ja"")"),"攻撃行為は禁止されています")</f>
        <v>攻撃行為は禁止されています</v>
      </c>
      <c r="H18" s="529" t="str">
        <f>IFERROR(__xludf.DUMMYFUNCTION("GOOGLETRANSLATE(D18,""zh-tw"",""ja"")"),"ミステリーショップの近く")</f>
        <v>ミステリーショップの近く</v>
      </c>
      <c r="I18" s="527" t="s">
        <v>12096</v>
      </c>
      <c r="J18" s="214" t="s">
        <v>12097</v>
      </c>
      <c r="K18" s="398" t="s">
        <v>12098</v>
      </c>
      <c r="L18" s="528" t="s">
        <v>12099</v>
      </c>
      <c r="M18" s="394" t="str">
        <f>IFERROR(__xludf.DUMMYFUNCTION("GOOGLETRANSLATE(A18,""zh-tw"",""zh"")"),"禁止攻击")</f>
        <v>禁止攻击</v>
      </c>
      <c r="N18" s="430" t="str">
        <f>IFERROR(__xludf.DUMMYFUNCTION("GOOGLETRANSLATE(B18,""zh-tw"",""zh"")"),"这里可是我的领域噢，可不能做坏事呢♡！")</f>
        <v>这里可是我的领域噢，可不能做坏事呢♡！</v>
      </c>
      <c r="O18" s="395" t="str">
        <f>IFERROR(__xludf.DUMMYFUNCTION("GOOGLETRANSLATE(C18,""zh-tw"",""zh"")"),"攻击行为禁止")</f>
        <v>攻击行为禁止</v>
      </c>
      <c r="P18" s="529" t="str">
        <f>IFERROR(__xludf.DUMMYFUNCTION("GOOGLETRANSLATE(D18,""zh-tw"",""zh"")"),"神秘商店附近")</f>
        <v>神秘商店附近</v>
      </c>
      <c r="Q18" s="209" t="str">
        <f>IFERROR(__xludf.DUMMYFUNCTION("GOOGLETRANSLATE(A18,""zh-tw"",""es-MX"")"),"No atacar")</f>
        <v>No atacar</v>
      </c>
      <c r="R18" s="210" t="str">
        <f>IFERROR(__xludf.DUMMYFUNCTION("GOOGLETRANSLATE(B18,""zh-tw"",""es-MX"")"),"¡Este es mi territorio, aquí no puedes hacer nada malo! ♡")</f>
        <v>¡Este es mi territorio, aquí no puedes hacer nada malo! ♡</v>
      </c>
      <c r="S18" s="390" t="str">
        <f>IFERROR(__xludf.DUMMYFUNCTION("GOOGLETRANSLATE(C18,""zh-tw"",""es-MX"")"),"Se prohíbe el comportamiento agresivo.")</f>
        <v>Se prohíbe el comportamiento agresivo.</v>
      </c>
      <c r="T18" s="208" t="str">
        <f>IFERROR(__xludf.DUMMYFUNCTION("GOOGLETRANSLATE(D18,""zh-tw"",""es-MX"")"),"Cerca de la tienda misteriosa")</f>
        <v>Cerca de la tienda misteriosa</v>
      </c>
      <c r="U18" s="209" t="str">
        <f>IFERROR(__xludf.DUMMYFUNCTION("GOOGLETRANSLATE(A18,""zh-tw"",""KO"")"),"공격하지 마세요")</f>
        <v>공격하지 마세요</v>
      </c>
      <c r="V18" s="210" t="str">
        <f>IFERROR(__xludf.DUMMYFUNCTION("GOOGLETRANSLATE(B18,""zh-tw"",""KO"")"),"여기는 내 영역이야, 여기서 나쁜 짓은 절대 못 해!♡")</f>
        <v>여기는 내 영역이야, 여기서 나쁜 짓은 절대 못 해!♡</v>
      </c>
      <c r="W18" s="390" t="str">
        <f>IFERROR(__xludf.DUMMYFUNCTION("GOOGLETRANSLATE(C18,""zh-tw"",""KO"")"),"공격 행위 금지")</f>
        <v>공격 행위 금지</v>
      </c>
      <c r="X18" s="208" t="str">
        <f>IFERROR(__xludf.DUMMYFUNCTION("GOOGLETRANSLATE(D18,""zh-tw"",""KO"")"),"미스터리 숍 근처")</f>
        <v>미스터리 숍 근처</v>
      </c>
      <c r="Y18" s="209" t="s">
        <v>12100</v>
      </c>
      <c r="Z18" s="210" t="s">
        <v>12101</v>
      </c>
      <c r="AA18" s="390" t="s">
        <v>12102</v>
      </c>
      <c r="AB18" s="208" t="s">
        <v>12103</v>
      </c>
      <c r="AC18" s="394" t="str">
        <f>IFERROR(__xludf.DUMMYFUNCTION("GOOGLETRANSLATE(A18,""zh-tw"",""DE"")"),"Nicht angreifen")</f>
        <v>Nicht angreifen</v>
      </c>
      <c r="AD18" s="430" t="str">
        <f>IFERROR(__xludf.DUMMYFUNCTION("GOOGLETRANSLATE(B18,""zh-tw"",""DE"")"),"Das ist mein Revier, hier kannst du nichts Schlimmes anstellen! ♡")</f>
        <v>Das ist mein Revier, hier kannst du nichts Schlimmes anstellen! ♡</v>
      </c>
      <c r="AE18" s="395" t="str">
        <f>IFERROR(__xludf.DUMMYFUNCTION("GOOGLETRANSLATE(C18,""zh-tw"",""DE"")"),"Angriffsverhalten verboten")</f>
        <v>Angriffsverhalten verboten</v>
      </c>
      <c r="AF18" s="529" t="str">
        <f>IFERROR(__xludf.DUMMYFUNCTION("GOOGLETRANSLATE(D18,""zh-tw"",""DE"")"),"In der Nähe des Mystery Shops")</f>
        <v>In der Nähe des Mystery Shops</v>
      </c>
      <c r="AG18" s="133" t="s">
        <v>12104</v>
      </c>
      <c r="AH18" s="223" t="s">
        <v>12105</v>
      </c>
      <c r="AI18" s="534" t="s">
        <v>12106</v>
      </c>
      <c r="AJ18" s="532" t="s">
        <v>12107</v>
      </c>
      <c r="AK18" s="164" t="s">
        <v>12108</v>
      </c>
      <c r="AL18" s="166" t="s">
        <v>12109</v>
      </c>
      <c r="AM18" s="391" t="s">
        <v>12110</v>
      </c>
      <c r="AN18" s="165" t="s">
        <v>12111</v>
      </c>
      <c r="AO18" s="527"/>
      <c r="AP18" s="214"/>
      <c r="AQ18" s="398"/>
      <c r="AR18" s="528"/>
      <c r="AS18" s="533"/>
      <c r="AT18" s="533"/>
    </row>
    <row r="19">
      <c r="A19" s="527" t="s">
        <v>12112</v>
      </c>
      <c r="B19" s="214" t="s">
        <v>12113</v>
      </c>
      <c r="C19" s="398" t="s">
        <v>12114</v>
      </c>
      <c r="D19" s="528" t="s">
        <v>12115</v>
      </c>
      <c r="E19" s="527" t="s">
        <v>12116</v>
      </c>
      <c r="F19" s="214" t="s">
        <v>12117</v>
      </c>
      <c r="G19" s="398" t="s">
        <v>12118</v>
      </c>
      <c r="H19" s="529" t="str">
        <f>IFERROR(__xludf.DUMMYFUNCTION("GOOGLETRANSLATE(D19,""zh-tw"",""ja"")"),"妹にいたずらを仕掛けた時に怒る")</f>
        <v>妹にいたずらを仕掛けた時に怒る</v>
      </c>
      <c r="I19" s="527" t="s">
        <v>12119</v>
      </c>
      <c r="J19" s="214" t="s">
        <v>12120</v>
      </c>
      <c r="K19" s="398" t="s">
        <v>12121</v>
      </c>
      <c r="L19" s="528" t="s">
        <v>12122</v>
      </c>
      <c r="M19" s="394" t="str">
        <f>IFERROR(__xludf.DUMMYFUNCTION("GOOGLETRANSLATE(A19,""zh-tw"",""zh"")"),"不要受伤")</f>
        <v>不要受伤</v>
      </c>
      <c r="N19" s="430" t="str">
        <f>IFERROR(__xludf.DUMMYFUNCTION("GOOGLETRANSLATE(B19,""zh-tw"",""zh"")"),"和妹妹重要的约定，必须要遵守呢")</f>
        <v>和妹妹重要的约定，必须要遵守呢</v>
      </c>
      <c r="O19" s="395" t="str">
        <f>IFERROR(__xludf.DUMMYFUNCTION("GOOGLETRANSLATE(C19,""zh-tw"",""zh"")"),"不要重伤回家")</f>
        <v>不要重伤回家</v>
      </c>
      <c r="P19" s="529" t="str">
        <f>IFERROR(__xludf.DUMMYFUNCTION("GOOGLETRANSLATE(D19,""zh-tw"",""zh"")"),"对妹妹恶作剧时生气")</f>
        <v>对妹妹恶作剧时生气</v>
      </c>
      <c r="Q19" s="209" t="str">
        <f>IFERROR(__xludf.DUMMYFUNCTION("GOOGLETRANSLATE(A19,""zh-tw"",""es-MX"")"),"No te hagas daño.")</f>
        <v>No te hagas daño.</v>
      </c>
      <c r="R19" s="210" t="str">
        <f>IFERROR(__xludf.DUMMYFUNCTION("GOOGLETRANSLATE(B19,""zh-tw"",""es-MX"")"),"Debo cumplir la importante promesa que le hice a mi hermana.")</f>
        <v>Debo cumplir la importante promesa que le hice a mi hermana.</v>
      </c>
      <c r="S19" s="390" t="str">
        <f>IFERROR(__xludf.DUMMYFUNCTION("GOOGLETRANSLATE(C19,""zh-tw"",""es-MX"")"),"No regrese a casa con lesiones graves.")</f>
        <v>No regrese a casa con lesiones graves.</v>
      </c>
      <c r="T19" s="208" t="str">
        <f>IFERROR(__xludf.DUMMYFUNCTION("GOOGLETRANSLATE(D19,""zh-tw"",""es-MX"")"),"Me enfado cuando le hago bromas a mi hermana pequeña.")</f>
        <v>Me enfado cuando le hago bromas a mi hermana pequeña.</v>
      </c>
      <c r="U19" s="209" t="str">
        <f>IFERROR(__xludf.DUMMYFUNCTION("GOOGLETRANSLATE(A19,""zh-tw"",""KO"")"),"다치지 마세요.")</f>
        <v>다치지 마세요.</v>
      </c>
      <c r="V19" s="210" t="str">
        <f>IFERROR(__xludf.DUMMYFUNCTION("GOOGLETRANSLATE(B19,""zh-tw"",""KO"")"),"나는 여동생과의 중요한 약속을 지켜야 해.")</f>
        <v>나는 여동생과의 중요한 약속을 지켜야 해.</v>
      </c>
      <c r="W19" s="390" t="str">
        <f>IFERROR(__xludf.DUMMYFUNCTION("GOOGLETRANSLATE(C19,""zh-tw"",""KO"")"),"심각한 부상을 입은 채로 집으로 돌아가지 마십시오.")</f>
        <v>심각한 부상을 입은 채로 집으로 돌아가지 마십시오.</v>
      </c>
      <c r="X19" s="208" t="str">
        <f>IFERROR(__xludf.DUMMYFUNCTION("GOOGLETRANSLATE(D19,""zh-tw"",""KO"")"),"여동생에게 장난치다가 화가 나는 경우")</f>
        <v>여동생에게 장난치다가 화가 나는 경우</v>
      </c>
      <c r="Y19" s="209" t="s">
        <v>12123</v>
      </c>
      <c r="Z19" s="210" t="s">
        <v>12124</v>
      </c>
      <c r="AA19" s="390" t="s">
        <v>12125</v>
      </c>
      <c r="AB19" s="208" t="s">
        <v>12126</v>
      </c>
      <c r="AC19" s="394" t="str">
        <f>IFERROR(__xludf.DUMMYFUNCTION("GOOGLETRANSLATE(A19,""zh-tw"",""DE"")"),"Verletz dich nicht.")</f>
        <v>Verletz dich nicht.</v>
      </c>
      <c r="AD19" s="430" t="str">
        <f>IFERROR(__xludf.DUMMYFUNCTION("GOOGLETRANSLATE(B19,""zh-tw"",""DE"")"),"Ich muss mein wichtiges Versprechen an meine Schwester halten.")</f>
        <v>Ich muss mein wichtiges Versprechen an meine Schwester halten.</v>
      </c>
      <c r="AE19" s="395" t="str">
        <f>IFERROR(__xludf.DUMMYFUNCTION("GOOGLETRANSLATE(C19,""zh-tw"",""DE"")"),"Kehren Sie nicht mit schweren Verletzungen nach Hause zurück.")</f>
        <v>Kehren Sie nicht mit schweren Verletzungen nach Hause zurück.</v>
      </c>
      <c r="AF19" s="529" t="str">
        <f>IFERROR(__xludf.DUMMYFUNCTION("GOOGLETRANSLATE(D19,""zh-tw"",""DE"")"),"Ich werde wütend, wenn ich meiner jüngeren Schwester Streiche spiele")</f>
        <v>Ich werde wütend, wenn ich meiner jüngeren Schwester Streiche spiele</v>
      </c>
      <c r="AG19" s="133" t="s">
        <v>12127</v>
      </c>
      <c r="AH19" s="223" t="s">
        <v>12128</v>
      </c>
      <c r="AI19" s="534" t="s">
        <v>12129</v>
      </c>
      <c r="AJ19" s="225" t="s">
        <v>12130</v>
      </c>
      <c r="AK19" s="164" t="s">
        <v>12131</v>
      </c>
      <c r="AL19" s="166" t="s">
        <v>12132</v>
      </c>
      <c r="AM19" s="391" t="s">
        <v>12133</v>
      </c>
      <c r="AN19" s="165" t="s">
        <v>12134</v>
      </c>
      <c r="AO19" s="527"/>
      <c r="AP19" s="214"/>
      <c r="AQ19" s="398"/>
      <c r="AR19" s="528"/>
      <c r="AS19" s="533"/>
      <c r="AT19" s="533"/>
    </row>
    <row r="20">
      <c r="A20" s="527" t="s">
        <v>12135</v>
      </c>
      <c r="B20" s="214" t="s">
        <v>12113</v>
      </c>
      <c r="C20" s="398" t="s">
        <v>12136</v>
      </c>
      <c r="D20" s="528" t="s">
        <v>12115</v>
      </c>
      <c r="E20" s="527" t="s">
        <v>12137</v>
      </c>
      <c r="F20" s="214" t="s">
        <v>12117</v>
      </c>
      <c r="G20" s="395" t="str">
        <f>IFERROR(__xludf.DUMMYFUNCTION("GOOGLETRANSLATE(C20,""zh-tw"",""ja"")"),"肉料理を作る")</f>
        <v>肉料理を作る</v>
      </c>
      <c r="H20" s="529" t="str">
        <f>IFERROR(__xludf.DUMMYFUNCTION("GOOGLETRANSLATE(D20,""zh-tw"",""ja"")"),"妹にいたずらを仕掛けた時に怒る")</f>
        <v>妹にいたずらを仕掛けた時に怒る</v>
      </c>
      <c r="I20" s="527" t="s">
        <v>12138</v>
      </c>
      <c r="J20" s="214" t="s">
        <v>12120</v>
      </c>
      <c r="K20" s="395" t="str">
        <f>IFERROR(__xludf.DUMMYFUNCTION("GOOGLETRANSLATE(C20,""zh-tw"",""en"")"),"Making meat dishes")</f>
        <v>Making meat dishes</v>
      </c>
      <c r="L20" s="528" t="s">
        <v>12122</v>
      </c>
      <c r="M20" s="394" t="str">
        <f>IFERROR(__xludf.DUMMYFUNCTION("GOOGLETRANSLATE(A20,""zh-tw"",""zh"")"),"肉料理")</f>
        <v>肉料理</v>
      </c>
      <c r="N20" s="430" t="str">
        <f>IFERROR(__xludf.DUMMYFUNCTION("GOOGLETRANSLATE(B20,""zh-tw"",""zh"")"),"和妹妹重要的约定，必须要遵守呢")</f>
        <v>和妹妹重要的约定，必须要遵守呢</v>
      </c>
      <c r="O20" s="395" t="str">
        <f>IFERROR(__xludf.DUMMYFUNCTION("GOOGLETRANSLATE(C20,""zh-tw"",""zh"")"),"做肉料理")</f>
        <v>做肉料理</v>
      </c>
      <c r="P20" s="529" t="str">
        <f>IFERROR(__xludf.DUMMYFUNCTION("GOOGLETRANSLATE(D20,""zh-tw"",""zh"")"),"对妹妹恶作剧时生气")</f>
        <v>对妹妹恶作剧时生气</v>
      </c>
      <c r="Q20" s="209" t="str">
        <f>IFERROR(__xludf.DUMMYFUNCTION("GOOGLETRANSLATE(A20,""zh-tw"",""es-MX"")"),"Platos de carne")</f>
        <v>Platos de carne</v>
      </c>
      <c r="R20" s="210" t="str">
        <f>IFERROR(__xludf.DUMMYFUNCTION("GOOGLETRANSLATE(B20,""zh-tw"",""es-MX"")"),"Debo cumplir la importante promesa que le hice a mi hermana.")</f>
        <v>Debo cumplir la importante promesa que le hice a mi hermana.</v>
      </c>
      <c r="S20" s="390" t="str">
        <f>IFERROR(__xludf.DUMMYFUNCTION("GOOGLETRANSLATE(C20,""zh-tw"",""es-MX"")"),"Preparación de platos de carne")</f>
        <v>Preparación de platos de carne</v>
      </c>
      <c r="T20" s="208" t="str">
        <f>IFERROR(__xludf.DUMMYFUNCTION("GOOGLETRANSLATE(D20,""zh-tw"",""es-MX"")"),"Me enfado cuando le hago bromas a mi hermana pequeña.")</f>
        <v>Me enfado cuando le hago bromas a mi hermana pequeña.</v>
      </c>
      <c r="U20" s="209" t="str">
        <f>IFERROR(__xludf.DUMMYFUNCTION("GOOGLETRANSLATE(A20,""zh-tw"",""KO"")"),"고기 요리")</f>
        <v>고기 요리</v>
      </c>
      <c r="V20" s="210" t="str">
        <f>IFERROR(__xludf.DUMMYFUNCTION("GOOGLETRANSLATE(B20,""zh-tw"",""KO"")"),"나는 여동생과의 중요한 약속을 지켜야 해.")</f>
        <v>나는 여동생과의 중요한 약속을 지켜야 해.</v>
      </c>
      <c r="W20" s="390" t="str">
        <f>IFERROR(__xludf.DUMMYFUNCTION("GOOGLETRANSLATE(C20,""zh-tw"",""KO"")"),"고기 요리 만들기")</f>
        <v>고기 요리 만들기</v>
      </c>
      <c r="X20" s="208" t="str">
        <f>IFERROR(__xludf.DUMMYFUNCTION("GOOGLETRANSLATE(D20,""zh-tw"",""KO"")"),"여동생에게 장난치다가 화가 나는 경우")</f>
        <v>여동생에게 장난치다가 화가 나는 경우</v>
      </c>
      <c r="Y20" s="209" t="s">
        <v>12139</v>
      </c>
      <c r="Z20" s="210" t="s">
        <v>12124</v>
      </c>
      <c r="AA20" s="390" t="s">
        <v>762</v>
      </c>
      <c r="AB20" s="208" t="s">
        <v>12126</v>
      </c>
      <c r="AC20" s="394" t="str">
        <f>IFERROR(__xludf.DUMMYFUNCTION("GOOGLETRANSLATE(A20,""zh-tw"",""DE"")"),"Fleischgerichte")</f>
        <v>Fleischgerichte</v>
      </c>
      <c r="AD20" s="430" t="str">
        <f>IFERROR(__xludf.DUMMYFUNCTION("GOOGLETRANSLATE(B20,""zh-tw"",""DE"")"),"Ich muss mein wichtiges Versprechen an meine Schwester halten.")</f>
        <v>Ich muss mein wichtiges Versprechen an meine Schwester halten.</v>
      </c>
      <c r="AE20" s="395" t="str">
        <f>IFERROR(__xludf.DUMMYFUNCTION("GOOGLETRANSLATE(C20,""zh-tw"",""DE"")"),"Fleischgerichte zubereiten")</f>
        <v>Fleischgerichte zubereiten</v>
      </c>
      <c r="AF20" s="529" t="str">
        <f>IFERROR(__xludf.DUMMYFUNCTION("GOOGLETRANSLATE(D20,""zh-tw"",""DE"")"),"Ich werde wütend, wenn ich meiner jüngeren Schwester Streiche spiele")</f>
        <v>Ich werde wütend, wenn ich meiner jüngeren Schwester Streiche spiele</v>
      </c>
      <c r="AG20" s="133" t="s">
        <v>12140</v>
      </c>
      <c r="AH20" s="223" t="s">
        <v>12128</v>
      </c>
      <c r="AI20" s="531" t="s">
        <v>12141</v>
      </c>
      <c r="AJ20" s="532" t="s">
        <v>12142</v>
      </c>
      <c r="AK20" s="164" t="s">
        <v>12143</v>
      </c>
      <c r="AL20" s="166" t="s">
        <v>12132</v>
      </c>
      <c r="AM20" s="397" t="s">
        <v>12144</v>
      </c>
      <c r="AN20" s="165" t="s">
        <v>12134</v>
      </c>
      <c r="AO20" s="527"/>
      <c r="AP20" s="214"/>
      <c r="AQ20" s="398"/>
      <c r="AR20" s="528"/>
      <c r="AS20" s="533"/>
      <c r="AT20" s="533"/>
    </row>
    <row r="21">
      <c r="A21" s="527" t="s">
        <v>12145</v>
      </c>
      <c r="B21" s="214" t="s">
        <v>12146</v>
      </c>
      <c r="C21" s="398" t="s">
        <v>12147</v>
      </c>
      <c r="D21" s="528" t="s">
        <v>633</v>
      </c>
      <c r="E21" s="527" t="s">
        <v>706</v>
      </c>
      <c r="F21" s="430" t="str">
        <f>IFERROR(__xludf.DUMMYFUNCTION("GOOGLETRANSLATE(B21,""zh-tw"",""ja"")"),"...")</f>
        <v>...</v>
      </c>
      <c r="G21" s="398" t="s">
        <v>12148</v>
      </c>
      <c r="H21" s="528" t="s">
        <v>636</v>
      </c>
      <c r="I21" s="527" t="s">
        <v>12149</v>
      </c>
      <c r="J21" s="430" t="str">
        <f>IFERROR(__xludf.DUMMYFUNCTION("GOOGLETRANSLATE(B21,""zh-tw"",""en"")"),"...")</f>
        <v>...</v>
      </c>
      <c r="K21" s="398" t="s">
        <v>12150</v>
      </c>
      <c r="L21" s="528" t="s">
        <v>639</v>
      </c>
      <c r="M21" s="394" t="str">
        <f>IFERROR(__xludf.DUMMYFUNCTION("GOOGLETRANSLATE(A21,""zh-tw"",""zh"")"),"到底忘记了什么")</f>
        <v>到底忘记了什么</v>
      </c>
      <c r="N21" s="430" t="str">
        <f>IFERROR(__xludf.DUMMYFUNCTION("GOOGLETRANSLATE(B21,""zh-tw"",""zh"")"),".....")</f>
        <v>.....</v>
      </c>
      <c r="O21" s="395" t="str">
        <f>IFERROR(__xludf.DUMMYFUNCTION("GOOGLETRANSLATE(C21,""zh-tw"",""zh"")"),"感觉忘记了什么重要的事情，总有一天会想起来吧？")</f>
        <v>感觉忘记了什么重要的事情，总有一天会想起来吧？</v>
      </c>
      <c r="P21" s="529" t="str">
        <f>IFERROR(__xludf.DUMMYFUNCTION("GOOGLETRANSLATE(D21,""zh-tw"",""zh"")"),"开局选项")</f>
        <v>开局选项</v>
      </c>
      <c r="Q21" s="209" t="str">
        <f>IFERROR(__xludf.DUMMYFUNCTION("GOOGLETRANSLATE(A21,""zh-tw"",""es-MX"")"),"¿Qué es exactamente lo que has olvidado?")</f>
        <v>¿Qué es exactamente lo que has olvidado?</v>
      </c>
      <c r="R21" s="210" t="str">
        <f>IFERROR(__xludf.DUMMYFUNCTION("GOOGLETRANSLATE(B21,""zh-tw"",""es-MX"")"),"...")</f>
        <v>...</v>
      </c>
      <c r="S21" s="390" t="str">
        <f>IFERROR(__xludf.DUMMYFUNCTION("GOOGLETRANSLATE(C21,""zh-tw"",""es-MX"")"),"Siento que he olvidado algo importante. Algún día lo recordaré, ¿verdad?")</f>
        <v>Siento que he olvidado algo importante. Algún día lo recordaré, ¿verdad?</v>
      </c>
      <c r="T21" s="208" t="str">
        <f>IFERROR(__xludf.DUMMYFUNCTION("GOOGLETRANSLATE(D21,""zh-tw"",""es-MX"")"),"Opciones iniciales")</f>
        <v>Opciones iniciales</v>
      </c>
      <c r="U21" s="209" t="str">
        <f>IFERROR(__xludf.DUMMYFUNCTION("GOOGLETRANSLATE(A21,""zh-tw"",""KO"")"),"정확히 무엇을 잊어버리셨나요?")</f>
        <v>정확히 무엇을 잊어버리셨나요?</v>
      </c>
      <c r="V21" s="210" t="str">
        <f>IFERROR(__xludf.DUMMYFUNCTION("GOOGLETRANSLATE(B21,""zh-tw"",""KO"")"),"...")</f>
        <v>...</v>
      </c>
      <c r="W21" s="390" t="str">
        <f>IFERROR(__xludf.DUMMYFUNCTION("GOOGLETRANSLATE(C21,""zh-tw"",""KO"")"),"뭔가 중요한 걸 잊어버린 것 같아요. 언젠가는 기억나겠죠?")</f>
        <v>뭔가 중요한 걸 잊어버린 것 같아요. 언젠가는 기억나겠죠?</v>
      </c>
      <c r="X21" s="208" t="str">
        <f>IFERROR(__xludf.DUMMYFUNCTION("GOOGLETRANSLATE(D21,""zh-tw"",""KO"")"),"시작 옵션")</f>
        <v>시작 옵션</v>
      </c>
      <c r="Y21" s="209" t="s">
        <v>12151</v>
      </c>
      <c r="Z21" s="210" t="s">
        <v>12152</v>
      </c>
      <c r="AA21" s="390" t="s">
        <v>12153</v>
      </c>
      <c r="AB21" s="208" t="s">
        <v>12154</v>
      </c>
      <c r="AC21" s="394" t="str">
        <f>IFERROR(__xludf.DUMMYFUNCTION("GOOGLETRANSLATE(A21,""zh-tw"",""DE"")"),"Was genau haben Sie vergessen?")</f>
        <v>Was genau haben Sie vergessen?</v>
      </c>
      <c r="AD21" s="430" t="str">
        <f>IFERROR(__xludf.DUMMYFUNCTION("GOOGLETRANSLATE(B21,""zh-tw"",""DE"")"),"...")</f>
        <v>...</v>
      </c>
      <c r="AE21" s="395" t="str">
        <f>IFERROR(__xludf.DUMMYFUNCTION("GOOGLETRANSLATE(C21,""zh-tw"",""DE"")"),"Ich habe das Gefühl, etwas Wichtiges vergessen zu haben. Irgendwann werde ich mich schon wieder daran erinnern, oder?")</f>
        <v>Ich habe das Gefühl, etwas Wichtiges vergessen zu haben. Irgendwann werde ich mich schon wieder daran erinnern, oder?</v>
      </c>
      <c r="AF21" s="529" t="str">
        <f>IFERROR(__xludf.DUMMYFUNCTION("GOOGLETRANSLATE(D21,""zh-tw"",""DE"")"),"Startoptionen")</f>
        <v>Startoptionen</v>
      </c>
      <c r="AG21" s="133" t="s">
        <v>12155</v>
      </c>
      <c r="AH21" s="446" t="s">
        <v>12152</v>
      </c>
      <c r="AI21" s="534" t="s">
        <v>12156</v>
      </c>
      <c r="AJ21" s="532" t="s">
        <v>655</v>
      </c>
      <c r="AK21" s="164" t="s">
        <v>12157</v>
      </c>
      <c r="AL21" s="166" t="s">
        <v>1273</v>
      </c>
      <c r="AM21" s="391" t="s">
        <v>12158</v>
      </c>
      <c r="AN21" s="165" t="s">
        <v>658</v>
      </c>
      <c r="AO21" s="527"/>
      <c r="AP21" s="214"/>
      <c r="AQ21" s="398"/>
      <c r="AR21" s="528"/>
      <c r="AS21" s="533"/>
      <c r="AT21" s="533"/>
    </row>
    <row r="22">
      <c r="A22" s="527" t="s">
        <v>12159</v>
      </c>
      <c r="B22" s="214" t="s">
        <v>12160</v>
      </c>
      <c r="C22" s="398" t="s">
        <v>12161</v>
      </c>
      <c r="D22" s="528" t="s">
        <v>7429</v>
      </c>
      <c r="E22" s="527" t="s">
        <v>12162</v>
      </c>
      <c r="F22" s="214" t="s">
        <v>12163</v>
      </c>
      <c r="G22" s="395" t="str">
        <f>IFERROR(__xludf.DUMMYFUNCTION("GOOGLETRANSLATE(C22,""zh-tw"",""ja"")"),"彼の体からは絶えず悪臭が漂っていた。")</f>
        <v>彼の体からは絶えず悪臭が漂っていた。</v>
      </c>
      <c r="H22" s="528" t="s">
        <v>7431</v>
      </c>
      <c r="I22" s="527" t="s">
        <v>12164</v>
      </c>
      <c r="J22" s="214" t="s">
        <v>12165</v>
      </c>
      <c r="K22" s="398" t="s">
        <v>12166</v>
      </c>
      <c r="L22" s="528" t="s">
        <v>7433</v>
      </c>
      <c r="M22" s="394" t="str">
        <f>IFERROR(__xludf.DUMMYFUNCTION("GOOGLETRANSLATE(A22,""zh-tw"",""zh"")"),"浑身恶臭")</f>
        <v>浑身恶臭</v>
      </c>
      <c r="N22" s="430" t="str">
        <f>IFERROR(__xludf.DUMMYFUNCTION("GOOGLETRANSLATE(B22,""zh-tw"",""zh"")"),"浑身恶臭。")</f>
        <v>浑身恶臭。</v>
      </c>
      <c r="O22" s="395" t="str">
        <f>IFERROR(__xludf.DUMMYFUNCTION("GOOGLETRANSLATE(C22,""zh-tw"",""zh"")"),"身上不断散发着恶臭")</f>
        <v>身上不断散发着恶臭</v>
      </c>
      <c r="P22" s="529" t="str">
        <f>IFERROR(__xludf.DUMMYFUNCTION("GOOGLETRANSLATE(D22,""zh-tw"",""zh"")"),"臭鱼骨")</f>
        <v>臭鱼骨</v>
      </c>
      <c r="Q22" s="209" t="str">
        <f>IFERROR(__xludf.DUMMYFUNCTION("GOOGLETRANSLATE(A22,""zh-tw"",""es-MX"")"),"Todo el cuerpo olía asqueroso.")</f>
        <v>Todo el cuerpo olía asqueroso.</v>
      </c>
      <c r="R22" s="210" t="str">
        <f>IFERROR(__xludf.DUMMYFUNCTION("GOOGLETRANSLATE(B22,""zh-tw"",""es-MX"")"),"Olía fatal.")</f>
        <v>Olía fatal.</v>
      </c>
      <c r="S22" s="390" t="str">
        <f>IFERROR(__xludf.DUMMYFUNCTION("GOOGLETRANSLATE(C22,""zh-tw"",""es-MX"")"),"Su cuerpo desprendía constantemente un hedor nauseabundo.")</f>
        <v>Su cuerpo desprendía constantemente un hedor nauseabundo.</v>
      </c>
      <c r="T22" s="208" t="str">
        <f>IFERROR(__xludf.DUMMYFUNCTION("GOOGLETRANSLATE(D22,""zh-tw"",""es-MX"")"),"Espinas de pescado apestosas")</f>
        <v>Espinas de pescado apestosas</v>
      </c>
      <c r="U22" s="209" t="str">
        <f>IFERROR(__xludf.DUMMYFUNCTION("GOOGLETRANSLATE(A22,""zh-tw"",""KO"")"),"온몸에서 역겨운 냄새가 났다.")</f>
        <v>온몸에서 역겨운 냄새가 났다.</v>
      </c>
      <c r="V22" s="210" t="str">
        <f>IFERROR(__xludf.DUMMYFUNCTION("GOOGLETRANSLATE(B22,""zh-tw"",""KO"")"),"그는 끔찍한 냄새가 났다.")</f>
        <v>그는 끔찍한 냄새가 났다.</v>
      </c>
      <c r="W22" s="390" t="str">
        <f>IFERROR(__xludf.DUMMYFUNCTION("GOOGLETRANSLATE(C22,""zh-tw"",""KO"")"),"그의 몸에서는 끊임없이 악취가 풍겼다.")</f>
        <v>그의 몸에서는 끊임없이 악취가 풍겼다.</v>
      </c>
      <c r="X22" s="208" t="str">
        <f>IFERROR(__xludf.DUMMYFUNCTION("GOOGLETRANSLATE(D22,""zh-tw"",""KO"")"),"냄새나는 생선 뼈")</f>
        <v>냄새나는 생선 뼈</v>
      </c>
      <c r="Y22" s="209" t="s">
        <v>12167</v>
      </c>
      <c r="Z22" s="210" t="s">
        <v>12168</v>
      </c>
      <c r="AA22" s="390" t="s">
        <v>12169</v>
      </c>
      <c r="AB22" s="208" t="s">
        <v>12170</v>
      </c>
      <c r="AC22" s="394" t="str">
        <f>IFERROR(__xludf.DUMMYFUNCTION("GOOGLETRANSLATE(A22,""zh-tw"",""DE"")"),"Der ganze Körper roch widerlich.")</f>
        <v>Der ganze Körper roch widerlich.</v>
      </c>
      <c r="AD22" s="430" t="str">
        <f>IFERROR(__xludf.DUMMYFUNCTION("GOOGLETRANSLATE(B22,""zh-tw"",""DE"")"),"Er roch abscheulich.")</f>
        <v>Er roch abscheulich.</v>
      </c>
      <c r="AE22" s="395" t="str">
        <f>IFERROR(__xludf.DUMMYFUNCTION("GOOGLETRANSLATE(C22,""zh-tw"",""DE"")"),"Sein Körper verströmte unaufhörlich einen widerlichen Gestank.")</f>
        <v>Sein Körper verströmte unaufhörlich einen widerlichen Gestank.</v>
      </c>
      <c r="AF22" s="529" t="str">
        <f>IFERROR(__xludf.DUMMYFUNCTION("GOOGLETRANSLATE(D22,""zh-tw"",""DE"")"),"Stinkende Fischgräten")</f>
        <v>Stinkende Fischgräten</v>
      </c>
      <c r="AG22" s="133" t="s">
        <v>12171</v>
      </c>
      <c r="AH22" s="446" t="s">
        <v>12172</v>
      </c>
      <c r="AI22" s="534" t="s">
        <v>12173</v>
      </c>
      <c r="AJ22" s="532" t="s">
        <v>7441</v>
      </c>
      <c r="AK22" s="164" t="s">
        <v>12174</v>
      </c>
      <c r="AL22" s="166" t="s">
        <v>12175</v>
      </c>
      <c r="AM22" s="391" t="s">
        <v>12176</v>
      </c>
      <c r="AN22" s="165" t="s">
        <v>7443</v>
      </c>
      <c r="AO22" s="527"/>
      <c r="AP22" s="214"/>
      <c r="AQ22" s="398"/>
      <c r="AR22" s="528"/>
      <c r="AS22" s="533"/>
      <c r="AT22" s="533"/>
    </row>
    <row r="23">
      <c r="A23" s="527" t="s">
        <v>12177</v>
      </c>
      <c r="B23" s="214" t="s">
        <v>12178</v>
      </c>
      <c r="C23" s="398" t="s">
        <v>12179</v>
      </c>
      <c r="D23" s="528" t="s">
        <v>12180</v>
      </c>
      <c r="E23" s="394" t="str">
        <f>IFERROR(__xludf.DUMMYFUNCTION("GOOGLETRANSLATE(A23,""zh-tw"",""ja"")"),"美味しい")</f>
        <v>美味しい</v>
      </c>
      <c r="F23" s="430" t="str">
        <f>IFERROR(__xludf.DUMMYFUNCTION("GOOGLETRANSLATE(B23,""zh-tw"",""ja"")"),"美味しいものを食べたので、お腹の中が温かいです～")</f>
        <v>美味しいものを食べたので、お腹の中が温かいです～</v>
      </c>
      <c r="G23" s="395" t="str">
        <f>IFERROR(__xludf.DUMMYFUNCTION("GOOGLETRANSLATE(C23,""zh-tw"",""ja"")"),"スタミナは毎秒少しずつ回復する")</f>
        <v>スタミナは毎秒少しずつ回復する</v>
      </c>
      <c r="H23" s="529" t="str">
        <f>IFERROR(__xludf.DUMMYFUNCTION("GOOGLETRANSLATE(D23,""zh-tw"",""ja"")"),"美味しい料理")</f>
        <v>美味しい料理</v>
      </c>
      <c r="I23" s="527" t="s">
        <v>12181</v>
      </c>
      <c r="J23" s="214" t="s">
        <v>12182</v>
      </c>
      <c r="K23" s="398" t="s">
        <v>12183</v>
      </c>
      <c r="L23" s="528" t="s">
        <v>12184</v>
      </c>
      <c r="M23" s="394" t="str">
        <f>IFERROR(__xludf.DUMMYFUNCTION("GOOGLETRANSLATE(A23,""zh-tw"",""zh"")"),"美味い")</f>
        <v>美味い</v>
      </c>
      <c r="N23" s="430" t="str">
        <f>IFERROR(__xludf.DUMMYFUNCTION("GOOGLETRANSLATE(B23,""zh-tw"",""zh"")"),"吃到了美味的东西，肚子里暖暖的~")</f>
        <v>吃到了美味的东西，肚子里暖暖的~</v>
      </c>
      <c r="O23" s="395" t="str">
        <f>IFERROR(__xludf.DUMMYFUNCTION("GOOGLETRANSLATE(C23,""zh-tw"",""zh"")"),"每秒体力少量回复")</f>
        <v>每秒体力少量回复</v>
      </c>
      <c r="P23" s="529" t="str">
        <f>IFERROR(__xludf.DUMMYFUNCTION("GOOGLETRANSLATE(D23,""zh-tw"",""zh"")"),"美味料理")</f>
        <v>美味料理</v>
      </c>
      <c r="Q23" s="209" t="str">
        <f>IFERROR(__xludf.DUMMYFUNCTION("GOOGLETRANSLATE(A23,""zh-tw"",""es-MX"")"),"Delicioso")</f>
        <v>Delicioso</v>
      </c>
      <c r="R23" s="210" t="str">
        <f>IFERROR(__xludf.DUMMYFUNCTION("GOOGLETRANSLATE(B23,""zh-tw"",""es-MX"")"),"Comí algo delicioso y siento una agradable sensación de calor en el estómago.")</f>
        <v>Comí algo delicioso y siento una agradable sensación de calor en el estómago.</v>
      </c>
      <c r="S23" s="390" t="str">
        <f>IFERROR(__xludf.DUMMYFUNCTION("GOOGLETRANSLATE(C23,""zh-tw"",""es-MX"")"),"La resistencia se recupera en una pequeña cantidad por segundo.")</f>
        <v>La resistencia se recupera en una pequeña cantidad por segundo.</v>
      </c>
      <c r="T23" s="208" t="str">
        <f>IFERROR(__xludf.DUMMYFUNCTION("GOOGLETRANSLATE(D23,""zh-tw"",""es-MX"")"),"Deliciosa cocina")</f>
        <v>Deliciosa cocina</v>
      </c>
      <c r="U23" s="209" t="str">
        <f>IFERROR(__xludf.DUMMYFUNCTION("GOOGLETRANSLATE(A23,""zh-tw"",""KO"")"),"맛있는")</f>
        <v>맛있는</v>
      </c>
      <c r="V23" s="210" t="str">
        <f>IFERROR(__xludf.DUMMYFUNCTION("GOOGLETRANSLATE(B23,""zh-tw"",""KO"")"),"맛있는 걸 먹었더니 배가 따뜻해졌어요~")</f>
        <v>맛있는 걸 먹었더니 배가 따뜻해졌어요~</v>
      </c>
      <c r="W23" s="390" t="str">
        <f>IFERROR(__xludf.DUMMYFUNCTION("GOOGLETRANSLATE(C23,""zh-tw"",""KO"")"),"체력은 초당 소량씩 회복됩니다.")</f>
        <v>체력은 초당 소량씩 회복됩니다.</v>
      </c>
      <c r="X23" s="208" t="str">
        <f>IFERROR(__xludf.DUMMYFUNCTION("GOOGLETRANSLATE(D23,""zh-tw"",""KO"")"),"맛있는 음식")</f>
        <v>맛있는 음식</v>
      </c>
      <c r="Y23" s="209" t="s">
        <v>12185</v>
      </c>
      <c r="Z23" s="210" t="s">
        <v>12186</v>
      </c>
      <c r="AA23" s="390" t="s">
        <v>12187</v>
      </c>
      <c r="AB23" s="208" t="s">
        <v>12188</v>
      </c>
      <c r="AC23" s="394" t="str">
        <f>IFERROR(__xludf.DUMMYFUNCTION("GOOGLETRANSLATE(A23,""zh-tw"",""DE"")"),"Lecker")</f>
        <v>Lecker</v>
      </c>
      <c r="AD23" s="430" t="str">
        <f>IFERROR(__xludf.DUMMYFUNCTION("GOOGLETRANSLATE(B23,""zh-tw"",""DE"")"),"Ich habe etwas Leckeres gegessen und mein Bauch fühlt sich warm an.")</f>
        <v>Ich habe etwas Leckeres gegessen und mein Bauch fühlt sich warm an.</v>
      </c>
      <c r="AE23" s="395" t="str">
        <f>IFERROR(__xludf.DUMMYFUNCTION("GOOGLETRANSLATE(C23,""zh-tw"",""DE"")"),"Die Ausdauer regeneriert sich pro Sekunde nur geringfügig.")</f>
        <v>Die Ausdauer regeneriert sich pro Sekunde nur geringfügig.</v>
      </c>
      <c r="AF23" s="529" t="str">
        <f>IFERROR(__xludf.DUMMYFUNCTION("GOOGLETRANSLATE(D23,""zh-tw"",""DE"")"),"Köstliche Küche")</f>
        <v>Köstliche Küche</v>
      </c>
      <c r="AG23" s="133" t="s">
        <v>12189</v>
      </c>
      <c r="AH23" s="223" t="s">
        <v>12190</v>
      </c>
      <c r="AI23" s="531" t="s">
        <v>12191</v>
      </c>
      <c r="AJ23" s="225" t="s">
        <v>12192</v>
      </c>
      <c r="AK23" s="164" t="s">
        <v>12193</v>
      </c>
      <c r="AL23" s="166" t="s">
        <v>12194</v>
      </c>
      <c r="AM23" s="391" t="s">
        <v>12195</v>
      </c>
      <c r="AN23" s="165" t="s">
        <v>12196</v>
      </c>
      <c r="AO23" s="527"/>
      <c r="AP23" s="214"/>
      <c r="AQ23" s="398"/>
      <c r="AR23" s="528"/>
      <c r="AS23" s="533"/>
      <c r="AT23" s="533"/>
    </row>
    <row r="24">
      <c r="A24" s="527" t="s">
        <v>12197</v>
      </c>
      <c r="B24" s="214" t="s">
        <v>12198</v>
      </c>
      <c r="C24" s="398" t="s">
        <v>12199</v>
      </c>
      <c r="D24" s="528" t="s">
        <v>12200</v>
      </c>
      <c r="E24" s="527" t="s">
        <v>12201</v>
      </c>
      <c r="F24" s="214" t="s">
        <v>12202</v>
      </c>
      <c r="G24" s="395" t="str">
        <f>IFERROR(__xludf.DUMMYFUNCTION("GOOGLETRANSLATE(C24,""zh-tw"",""ja"")"),"攻撃力+50%")</f>
        <v>攻撃力+50%</v>
      </c>
      <c r="H24" s="529" t="str">
        <f>IFERROR(__xludf.DUMMYFUNCTION("GOOGLETRANSLATE(D24,""zh-tw"",""ja"")"),"食べ物")</f>
        <v>食べ物</v>
      </c>
      <c r="I24" s="527" t="s">
        <v>12203</v>
      </c>
      <c r="J24" s="214" t="s">
        <v>12204</v>
      </c>
      <c r="K24" s="398" t="s">
        <v>12205</v>
      </c>
      <c r="L24" s="528" t="s">
        <v>12206</v>
      </c>
      <c r="M24" s="394" t="str">
        <f>IFERROR(__xludf.DUMMYFUNCTION("GOOGLETRANSLATE(A24,""zh-tw"",""zh"")"),"力量提升")</f>
        <v>力量提升</v>
      </c>
      <c r="N24" s="430" t="str">
        <f>IFERROR(__xludf.DUMMYFUNCTION("GOOGLETRANSLATE(B24,""zh-tw"",""zh"")"),"力量……涌上来了！")</f>
        <v>力量……涌上来了！</v>
      </c>
      <c r="O24" s="395" t="str">
        <f>IFERROR(__xludf.DUMMYFUNCTION("GOOGLETRANSLATE(C24,""zh-tw"",""zh"")"),"攻击力+50%")</f>
        <v>攻击力+50%</v>
      </c>
      <c r="P24" s="529" t="str">
        <f>IFERROR(__xludf.DUMMYFUNCTION("GOOGLETRANSLATE(D24,""zh-tw"",""zh"")"),"食物")</f>
        <v>食物</v>
      </c>
      <c r="Q24" s="209" t="str">
        <f>IFERROR(__xludf.DUMMYFUNCTION("GOOGLETRANSLATE(A24,""zh-tw"",""es-MX"")"),"Mejora de la fuerza")</f>
        <v>Mejora de la fuerza</v>
      </c>
      <c r="R24" s="210" t="str">
        <f>IFERROR(__xludf.DUMMYFUNCTION("GOOGLETRANSLATE(B24,""zh-tw"",""es-MX"")"),"¡El poder... aumentó!")</f>
        <v>¡El poder... aumentó!</v>
      </c>
      <c r="S24" s="390" t="str">
        <f>IFERROR(__xludf.DUMMYFUNCTION("GOOGLETRANSLATE(C24,""zh-tw"",""es-MX"")"),"Poder de ataque +50%")</f>
        <v>Poder de ataque +50%</v>
      </c>
      <c r="T24" s="208" t="str">
        <f>IFERROR(__xludf.DUMMYFUNCTION("GOOGLETRANSLATE(D24,""zh-tw"",""es-MX"")"),"alimento")</f>
        <v>alimento</v>
      </c>
      <c r="U24" s="209" t="str">
        <f>IFERROR(__xludf.DUMMYFUNCTION("GOOGLETRANSLATE(A24,""zh-tw"",""KO"")"),"근력 강화")</f>
        <v>근력 강화</v>
      </c>
      <c r="V24" s="210" t="str">
        <f>IFERROR(__xludf.DUMMYFUNCTION("GOOGLETRANSLATE(B24,""zh-tw"",""KO"")"),"전력이… 급증했다!")</f>
        <v>전력이… 급증했다!</v>
      </c>
      <c r="W24" s="390" t="str">
        <f>IFERROR(__xludf.DUMMYFUNCTION("GOOGLETRANSLATE(C24,""zh-tw"",""KO"")"),"공격력 +50%")</f>
        <v>공격력 +50%</v>
      </c>
      <c r="X24" s="208" t="str">
        <f>IFERROR(__xludf.DUMMYFUNCTION("GOOGLETRANSLATE(D24,""zh-tw"",""KO"")"),"음식")</f>
        <v>음식</v>
      </c>
      <c r="Y24" s="209" t="s">
        <v>12207</v>
      </c>
      <c r="Z24" s="210" t="s">
        <v>12208</v>
      </c>
      <c r="AA24" s="390" t="s">
        <v>12209</v>
      </c>
      <c r="AB24" s="208" t="s">
        <v>12210</v>
      </c>
      <c r="AC24" s="394" t="str">
        <f>IFERROR(__xludf.DUMMYFUNCTION("GOOGLETRANSLATE(A24,""zh-tw"",""DE"")"),"Kraftsteigerung")</f>
        <v>Kraftsteigerung</v>
      </c>
      <c r="AD24" s="430" t="str">
        <f>IFERROR(__xludf.DUMMYFUNCTION("GOOGLETRANSLATE(B24,""zh-tw"",""DE"")"),"Die Leistung... stieg sprunghaft an!")</f>
        <v>Die Leistung... stieg sprunghaft an!</v>
      </c>
      <c r="AE24" s="395" t="str">
        <f>IFERROR(__xludf.DUMMYFUNCTION("GOOGLETRANSLATE(C24,""zh-tw"",""DE"")"),"Angriffskraft +50%")</f>
        <v>Angriffskraft +50%</v>
      </c>
      <c r="AF24" s="529" t="str">
        <f>IFERROR(__xludf.DUMMYFUNCTION("GOOGLETRANSLATE(D24,""zh-tw"",""DE"")"),"Essen")</f>
        <v>Essen</v>
      </c>
      <c r="AG24" s="133" t="s">
        <v>12211</v>
      </c>
      <c r="AH24" s="223" t="s">
        <v>12212</v>
      </c>
      <c r="AI24" s="531" t="s">
        <v>12213</v>
      </c>
      <c r="AJ24" s="532" t="s">
        <v>12214</v>
      </c>
      <c r="AK24" s="164" t="s">
        <v>12215</v>
      </c>
      <c r="AL24" s="166" t="s">
        <v>12216</v>
      </c>
      <c r="AM24" s="391" t="s">
        <v>12217</v>
      </c>
      <c r="AN24" s="165" t="s">
        <v>12218</v>
      </c>
      <c r="AO24" s="527"/>
      <c r="AP24" s="214"/>
      <c r="AQ24" s="398"/>
      <c r="AR24" s="528"/>
      <c r="AS24" s="533"/>
      <c r="AT24" s="533"/>
    </row>
    <row r="25">
      <c r="A25" s="527" t="s">
        <v>12219</v>
      </c>
      <c r="B25" s="214" t="s">
        <v>12220</v>
      </c>
      <c r="C25" s="398" t="s">
        <v>12221</v>
      </c>
      <c r="D25" s="528" t="s">
        <v>12200</v>
      </c>
      <c r="E25" s="527" t="s">
        <v>12222</v>
      </c>
      <c r="F25" s="214" t="s">
        <v>12223</v>
      </c>
      <c r="G25" s="395" t="str">
        <f>IFERROR(__xludf.DUMMYFUNCTION("GOOGLETRANSLATE(C25,""zh-tw"",""ja"")"),"魔力+50%")</f>
        <v>魔力+50%</v>
      </c>
      <c r="H25" s="529" t="str">
        <f>IFERROR(__xludf.DUMMYFUNCTION("GOOGLETRANSLATE(D25,""zh-tw"",""ja"")"),"食べ物")</f>
        <v>食べ物</v>
      </c>
      <c r="I25" s="527" t="s">
        <v>12224</v>
      </c>
      <c r="J25" s="214" t="s">
        <v>12225</v>
      </c>
      <c r="K25" s="398" t="s">
        <v>12226</v>
      </c>
      <c r="L25" s="528" t="s">
        <v>12206</v>
      </c>
      <c r="M25" s="394" t="str">
        <f>IFERROR(__xludf.DUMMYFUNCTION("GOOGLETRANSLATE(A25,""zh-tw"",""zh"")"),"魔力提升")</f>
        <v>魔力提升</v>
      </c>
      <c r="N25" s="430" t="str">
        <f>IFERROR(__xludf.DUMMYFUNCTION("GOOGLETRANSLATE(B25,""zh-tw"",""zh"")"),"我逐渐理解一切。")</f>
        <v>我逐渐理解一切。</v>
      </c>
      <c r="O25" s="395" t="str">
        <f>IFERROR(__xludf.DUMMYFUNCTION("GOOGLETRANSLATE(C25,""zh-tw"",""zh"")"),"魔功力+50%")</f>
        <v>魔功力+50%</v>
      </c>
      <c r="P25" s="529" t="str">
        <f>IFERROR(__xludf.DUMMYFUNCTION("GOOGLETRANSLATE(D25,""zh-tw"",""zh"")"),"食物")</f>
        <v>食物</v>
      </c>
      <c r="Q25" s="209" t="str">
        <f>IFERROR(__xludf.DUMMYFUNCTION("GOOGLETRANSLATE(A25,""zh-tw"",""es-MX"")"),"Mejora mágica")</f>
        <v>Mejora mágica</v>
      </c>
      <c r="R25" s="210" t="str">
        <f>IFERROR(__xludf.DUMMYFUNCTION("GOOGLETRANSLATE(B25,""zh-tw"",""es-MX"")"),"Poco a poco fui comprendiendo todo.")</f>
        <v>Poco a poco fui comprendiendo todo.</v>
      </c>
      <c r="S25" s="390" t="str">
        <f>IFERROR(__xludf.DUMMYFUNCTION("GOOGLETRANSLATE(C25,""zh-tw"",""es-MX"")"),"Poder mágico +50%")</f>
        <v>Poder mágico +50%</v>
      </c>
      <c r="T25" s="208" t="str">
        <f>IFERROR(__xludf.DUMMYFUNCTION("GOOGLETRANSLATE(D25,""zh-tw"",""es-MX"")"),"alimento")</f>
        <v>alimento</v>
      </c>
      <c r="U25" s="209" t="str">
        <f>IFERROR(__xludf.DUMMYFUNCTION("GOOGLETRANSLATE(A25,""zh-tw"",""KO"")"),"마법 강화")</f>
        <v>마법 강화</v>
      </c>
      <c r="V25" s="210" t="str">
        <f>IFERROR(__xludf.DUMMYFUNCTION("GOOGLETRANSLATE(B25,""zh-tw"",""KO"")"),"나는 점차 모든 것을 이해하게 되었다.")</f>
        <v>나는 점차 모든 것을 이해하게 되었다.</v>
      </c>
      <c r="W25" s="390" t="str">
        <f>IFERROR(__xludf.DUMMYFUNCTION("GOOGLETRANSLATE(C25,""zh-tw"",""KO"")"),"마법 공격력 +50%")</f>
        <v>마법 공격력 +50%</v>
      </c>
      <c r="X25" s="208" t="str">
        <f>IFERROR(__xludf.DUMMYFUNCTION("GOOGLETRANSLATE(D25,""zh-tw"",""KO"")"),"음식")</f>
        <v>음식</v>
      </c>
      <c r="Y25" s="209" t="s">
        <v>12227</v>
      </c>
      <c r="Z25" s="210" t="s">
        <v>12228</v>
      </c>
      <c r="AA25" s="390" t="s">
        <v>12229</v>
      </c>
      <c r="AB25" s="208" t="s">
        <v>12210</v>
      </c>
      <c r="AC25" s="394" t="str">
        <f>IFERROR(__xludf.DUMMYFUNCTION("GOOGLETRANSLATE(A25,""zh-tw"",""DE"")"),"Magische Verstärkung")</f>
        <v>Magische Verstärkung</v>
      </c>
      <c r="AD25" s="430" t="str">
        <f>IFERROR(__xludf.DUMMYFUNCTION("GOOGLETRANSLATE(B25,""zh-tw"",""DE"")"),"Nach und nach verstand ich alles.")</f>
        <v>Nach und nach verstand ich alles.</v>
      </c>
      <c r="AE25" s="395" t="str">
        <f>IFERROR(__xludf.DUMMYFUNCTION("GOOGLETRANSLATE(C25,""zh-tw"",""DE"")"),"Magische Kraft +50%")</f>
        <v>Magische Kraft +50%</v>
      </c>
      <c r="AF25" s="529" t="str">
        <f>IFERROR(__xludf.DUMMYFUNCTION("GOOGLETRANSLATE(D25,""zh-tw"",""DE"")"),"Essen")</f>
        <v>Essen</v>
      </c>
      <c r="AG25" s="133" t="s">
        <v>12230</v>
      </c>
      <c r="AH25" s="223" t="s">
        <v>12231</v>
      </c>
      <c r="AI25" s="531" t="s">
        <v>12232</v>
      </c>
      <c r="AJ25" s="532" t="s">
        <v>12214</v>
      </c>
      <c r="AK25" s="164" t="s">
        <v>12233</v>
      </c>
      <c r="AL25" s="166" t="s">
        <v>12234</v>
      </c>
      <c r="AM25" s="391" t="s">
        <v>12235</v>
      </c>
      <c r="AN25" s="165" t="s">
        <v>12218</v>
      </c>
      <c r="AO25" s="527"/>
      <c r="AP25" s="214"/>
      <c r="AQ25" s="398"/>
      <c r="AR25" s="528"/>
      <c r="AS25" s="533"/>
      <c r="AT25" s="533"/>
    </row>
    <row r="26">
      <c r="A26" s="527" t="s">
        <v>12236</v>
      </c>
      <c r="B26" s="214" t="s">
        <v>12237</v>
      </c>
      <c r="C26" s="398" t="s">
        <v>12238</v>
      </c>
      <c r="D26" s="528" t="s">
        <v>12200</v>
      </c>
      <c r="E26" s="394" t="str">
        <f>IFERROR(__xludf.DUMMYFUNCTION("GOOGLETRANSLATE(A26,""zh-tw"",""ja"")"),"速度増加")</f>
        <v>速度増加</v>
      </c>
      <c r="F26" s="430" t="str">
        <f>IFERROR(__xludf.DUMMYFUNCTION("GOOGLETRANSLATE(B26,""zh-tw"",""ja"")"),"ついていけるかな…？このスピード！")</f>
        <v>ついていけるかな…？このスピード！</v>
      </c>
      <c r="G26" s="395" t="str">
        <f>IFERROR(__xludf.DUMMYFUNCTION("GOOGLETRANSLATE(C26,""zh-tw"",""ja"")"),"移動速度の向上")</f>
        <v>移動速度の向上</v>
      </c>
      <c r="H26" s="529" t="str">
        <f>IFERROR(__xludf.DUMMYFUNCTION("GOOGLETRANSLATE(D26,""zh-tw"",""ja"")"),"食べ物")</f>
        <v>食べ物</v>
      </c>
      <c r="I26" s="527" t="s">
        <v>12239</v>
      </c>
      <c r="J26" s="214" t="s">
        <v>12240</v>
      </c>
      <c r="K26" s="398" t="s">
        <v>12241</v>
      </c>
      <c r="L26" s="528" t="s">
        <v>12206</v>
      </c>
      <c r="M26" s="394" t="str">
        <f>IFERROR(__xludf.DUMMYFUNCTION("GOOGLETRANSLATE(A26,""zh-tw"",""zh"")"),"速度提升")</f>
        <v>速度提升</v>
      </c>
      <c r="N26" s="430" t="str">
        <f>IFERROR(__xludf.DUMMYFUNCTION("GOOGLETRANSLATE(B26,""zh-tw"",""zh"")"),"跟得上吗……我的SPEED！")</f>
        <v>跟得上吗……我的SPEED！</v>
      </c>
      <c r="O26" s="395" t="str">
        <f>IFERROR(__xludf.DUMMYFUNCTION("GOOGLETRANSLATE(C26,""zh-tw"",""zh"")"),"移动速度上升")</f>
        <v>移动速度上升</v>
      </c>
      <c r="P26" s="529" t="str">
        <f>IFERROR(__xludf.DUMMYFUNCTION("GOOGLETRANSLATE(D26,""zh-tw"",""zh"")"),"食物")</f>
        <v>食物</v>
      </c>
      <c r="Q26" s="209" t="str">
        <f>IFERROR(__xludf.DUMMYFUNCTION("GOOGLETRANSLATE(A26,""zh-tw"",""es-MX"")"),"aumento de velocidad")</f>
        <v>aumento de velocidad</v>
      </c>
      <c r="R26" s="210" t="str">
        <f>IFERROR(__xludf.DUMMYFUNCTION("GOOGLETRANSLATE(B26,""zh-tw"",""es-MX"")"),"¿Puedo seguir el ritmo...? ¡Mi velocidad!")</f>
        <v>¿Puedo seguir el ritmo...? ¡Mi velocidad!</v>
      </c>
      <c r="S26" s="390" t="str">
        <f>IFERROR(__xludf.DUMMYFUNCTION("GOOGLETRANSLATE(C26,""zh-tw"",""es-MX"")"),"Mayor velocidad de movimiento")</f>
        <v>Mayor velocidad de movimiento</v>
      </c>
      <c r="T26" s="208" t="str">
        <f>IFERROR(__xludf.DUMMYFUNCTION("GOOGLETRANSLATE(D26,""zh-tw"",""es-MX"")"),"alimento")</f>
        <v>alimento</v>
      </c>
      <c r="U26" s="209" t="str">
        <f>IFERROR(__xludf.DUMMYFUNCTION("GOOGLETRANSLATE(A26,""zh-tw"",""KO"")"),"속도 증가")</f>
        <v>속도 증가</v>
      </c>
      <c r="V26" s="210" t="str">
        <f>IFERROR(__xludf.DUMMYFUNCTION("GOOGLETRANSLATE(B26,""zh-tw"",""KO"")"),"내가 따라갈 수 있을까...? 내 속도 말이야!")</f>
        <v>내가 따라갈 수 있을까...? 내 속도 말이야!</v>
      </c>
      <c r="W26" s="390" t="str">
        <f>IFERROR(__xludf.DUMMYFUNCTION("GOOGLETRANSLATE(C26,""zh-tw"",""KO"")"),"이동 속도 증가")</f>
        <v>이동 속도 증가</v>
      </c>
      <c r="X26" s="208" t="str">
        <f>IFERROR(__xludf.DUMMYFUNCTION("GOOGLETRANSLATE(D26,""zh-tw"",""KO"")"),"음식")</f>
        <v>음식</v>
      </c>
      <c r="Y26" s="209" t="s">
        <v>12242</v>
      </c>
      <c r="Z26" s="210" t="s">
        <v>12243</v>
      </c>
      <c r="AA26" s="390" t="s">
        <v>12244</v>
      </c>
      <c r="AB26" s="208" t="s">
        <v>12210</v>
      </c>
      <c r="AC26" s="394" t="str">
        <f>IFERROR(__xludf.DUMMYFUNCTION("GOOGLETRANSLATE(A26,""zh-tw"",""DE"")"),"Geschwindigkeitserhöhung")</f>
        <v>Geschwindigkeitserhöhung</v>
      </c>
      <c r="AD26" s="430" t="str">
        <f>IFERROR(__xludf.DUMMYFUNCTION("GOOGLETRANSLATE(B26,""zh-tw"",""DE"")"),"Kann ich mithalten...? Meine Geschwindigkeit!")</f>
        <v>Kann ich mithalten...? Meine Geschwindigkeit!</v>
      </c>
      <c r="AE26" s="395" t="str">
        <f>IFERROR(__xludf.DUMMYFUNCTION("GOOGLETRANSLATE(C26,""zh-tw"",""DE"")"),"Erhöhte Bewegungsgeschwindigkeit")</f>
        <v>Erhöhte Bewegungsgeschwindigkeit</v>
      </c>
      <c r="AF26" s="529" t="str">
        <f>IFERROR(__xludf.DUMMYFUNCTION("GOOGLETRANSLATE(D26,""zh-tw"",""DE"")"),"Essen")</f>
        <v>Essen</v>
      </c>
      <c r="AG26" s="133" t="s">
        <v>12245</v>
      </c>
      <c r="AH26" s="223" t="s">
        <v>12246</v>
      </c>
      <c r="AI26" s="531" t="s">
        <v>12247</v>
      </c>
      <c r="AJ26" s="532" t="s">
        <v>12214</v>
      </c>
      <c r="AK26" s="164" t="s">
        <v>12248</v>
      </c>
      <c r="AL26" s="166" t="s">
        <v>12249</v>
      </c>
      <c r="AM26" s="391" t="s">
        <v>12250</v>
      </c>
      <c r="AN26" s="165" t="s">
        <v>12218</v>
      </c>
      <c r="AO26" s="527"/>
      <c r="AP26" s="214"/>
      <c r="AQ26" s="398"/>
      <c r="AR26" s="528"/>
      <c r="AS26" s="533"/>
      <c r="AT26" s="533"/>
    </row>
    <row r="27">
      <c r="A27" s="527" t="s">
        <v>12251</v>
      </c>
      <c r="B27" s="214" t="s">
        <v>12252</v>
      </c>
      <c r="C27" s="398" t="s">
        <v>12253</v>
      </c>
      <c r="D27" s="528" t="s">
        <v>12254</v>
      </c>
      <c r="E27" s="394" t="str">
        <f>IFERROR(__xludf.DUMMYFUNCTION("GOOGLETRANSLATE(A27,""zh-tw"",""ja"")"),"巨神兵")</f>
        <v>巨神兵</v>
      </c>
      <c r="F27" s="214" t="s">
        <v>12255</v>
      </c>
      <c r="G27" s="398" t="s">
        <v>12256</v>
      </c>
      <c r="H27" s="529" t="str">
        <f>IFERROR(__xludf.DUMMYFUNCTION("GOOGLETRANSLATE(D27,""zh-tw"",""ja"")"),"タロットカード")</f>
        <v>タロットカード</v>
      </c>
      <c r="I27" s="527" t="s">
        <v>12257</v>
      </c>
      <c r="J27" s="214" t="s">
        <v>12258</v>
      </c>
      <c r="K27" s="398" t="s">
        <v>12259</v>
      </c>
      <c r="L27" s="528" t="s">
        <v>12260</v>
      </c>
      <c r="M27" s="394" t="str">
        <f>IFERROR(__xludf.DUMMYFUNCTION("GOOGLETRANSLATE(A27,""zh-tw"",""zh"")"),"巨神兵")</f>
        <v>巨神兵</v>
      </c>
      <c r="N27" s="430" t="str">
        <f>IFERROR(__xludf.DUMMYFUNCTION("GOOGLETRANSLATE(B27,""zh-tw"",""zh"")"),"神兵天将")</f>
        <v>神兵天将</v>
      </c>
      <c r="O27" s="395" t="str">
        <f>IFERROR(__xludf.DUMMYFUNCTION("GOOGLETRANSLATE(C27,""zh-tw"",""zh"")"),"状态持续期间武器巨大化，提升攻击范围和伤害")</f>
        <v>状态持续期间武器巨大化，提升攻击范围和伤害</v>
      </c>
      <c r="P27" s="529" t="str">
        <f>IFERROR(__xludf.DUMMYFUNCTION("GOOGLETRANSLATE(D27,""zh-tw"",""zh"")"),"塔罗牌")</f>
        <v>塔罗牌</v>
      </c>
      <c r="Q27" s="209" t="str">
        <f>IFERROR(__xludf.DUMMYFUNCTION("GOOGLETRANSLATE(A27,""zh-tw"",""es-MX"")"),"Soldado Gigante Dios")</f>
        <v>Soldado Gigante Dios</v>
      </c>
      <c r="R27" s="210" t="str">
        <f>IFERROR(__xludf.DUMMYFUNCTION("GOOGLETRANSLATE(B27,""zh-tw"",""es-MX"")"),"Soldados Divinos y Generales Celestiales")</f>
        <v>Soldados Divinos y Generales Celestiales</v>
      </c>
      <c r="S27" s="390" t="str">
        <f>IFERROR(__xludf.DUMMYFUNCTION("GOOGLETRANSLATE(C27,""zh-tw"",""es-MX"")"),"Mientras dura el efecto, el arma aumenta de tamaño, incrementando su alcance de ataque y su daño.")</f>
        <v>Mientras dura el efecto, el arma aumenta de tamaño, incrementando su alcance de ataque y su daño.</v>
      </c>
      <c r="T27" s="208" t="str">
        <f>IFERROR(__xludf.DUMMYFUNCTION("GOOGLETRANSLATE(D27,""zh-tw"",""es-MX"")"),"Cartas del tarot")</f>
        <v>Cartas del tarot</v>
      </c>
      <c r="U27" s="209" t="str">
        <f>IFERROR(__xludf.DUMMYFUNCTION("GOOGLETRANSLATE(A27,""zh-tw"",""KO"")"),"거대 신병")</f>
        <v>거대 신병</v>
      </c>
      <c r="V27" s="210" t="str">
        <f>IFERROR(__xludf.DUMMYFUNCTION("GOOGLETRANSLATE(B27,""zh-tw"",""KO"")"),"신의 병사들과 천상의 장군들")</f>
        <v>신의 병사들과 천상의 장군들</v>
      </c>
      <c r="W27" s="390" t="str">
        <f>IFERROR(__xludf.DUMMYFUNCTION("GOOGLETRANSLATE(C27,""zh-tw"",""KO"")"),"효과가 지속되는 동안 무기의 크기가 커져 공격 범위와 피해량이 증가합니다.")</f>
        <v>효과가 지속되는 동안 무기의 크기가 커져 공격 범위와 피해량이 증가합니다.</v>
      </c>
      <c r="X27" s="208" t="str">
        <f>IFERROR(__xludf.DUMMYFUNCTION("GOOGLETRANSLATE(D27,""zh-tw"",""KO"")"),"타로 카드")</f>
        <v>타로 카드</v>
      </c>
      <c r="Y27" s="209" t="s">
        <v>12261</v>
      </c>
      <c r="Z27" s="210" t="s">
        <v>12262</v>
      </c>
      <c r="AA27" s="390" t="s">
        <v>12263</v>
      </c>
      <c r="AB27" s="208" t="s">
        <v>12264</v>
      </c>
      <c r="AC27" s="394" t="str">
        <f>IFERROR(__xludf.DUMMYFUNCTION("GOOGLETRANSLATE(A27,""zh-tw"",""DE"")"),"Riesengottsoldat")</f>
        <v>Riesengottsoldat</v>
      </c>
      <c r="AD27" s="430" t="str">
        <f>IFERROR(__xludf.DUMMYFUNCTION("GOOGLETRANSLATE(B27,""zh-tw"",""DE"")"),"Göttliche Soldaten und himmlische Generäle")</f>
        <v>Göttliche Soldaten und himmlische Generäle</v>
      </c>
      <c r="AE27" s="395" t="str">
        <f>IFERROR(__xludf.DUMMYFUNCTION("GOOGLETRANSLATE(C27,""zh-tw"",""DE"")"),"Während der Wirkungsdauer vergrößert sich die Waffe, wodurch ihre Angriffsreichweite und ihr Schaden steigen.")</f>
        <v>Während der Wirkungsdauer vergrößert sich die Waffe, wodurch ihre Angriffsreichweite und ihr Schaden steigen.</v>
      </c>
      <c r="AF27" s="529" t="str">
        <f>IFERROR(__xludf.DUMMYFUNCTION("GOOGLETRANSLATE(D27,""zh-tw"",""DE"")"),"Tarotkarten")</f>
        <v>Tarotkarten</v>
      </c>
      <c r="AG27" s="480" t="s">
        <v>12265</v>
      </c>
      <c r="AH27" s="446" t="s">
        <v>12266</v>
      </c>
      <c r="AI27" s="534" t="s">
        <v>12267</v>
      </c>
      <c r="AJ27" s="225" t="s">
        <v>12268</v>
      </c>
      <c r="AK27" s="164" t="s">
        <v>12269</v>
      </c>
      <c r="AL27" s="166" t="s">
        <v>12270</v>
      </c>
      <c r="AM27" s="391" t="s">
        <v>12271</v>
      </c>
      <c r="AN27" s="165" t="s">
        <v>12272</v>
      </c>
      <c r="AO27" s="527"/>
      <c r="AP27" s="214"/>
      <c r="AQ27" s="398"/>
      <c r="AR27" s="528"/>
      <c r="AS27" s="533"/>
      <c r="AT27" s="533"/>
    </row>
    <row r="28">
      <c r="A28" s="527" t="s">
        <v>12273</v>
      </c>
      <c r="B28" s="214" t="s">
        <v>12274</v>
      </c>
      <c r="C28" s="398" t="s">
        <v>12275</v>
      </c>
      <c r="D28" s="528" t="s">
        <v>12254</v>
      </c>
      <c r="E28" s="527" t="s">
        <v>12276</v>
      </c>
      <c r="F28" s="430" t="str">
        <f>IFERROR(__xludf.DUMMYFUNCTION("GOOGLETRANSLATE(B28,""zh-tw"",""ja"")"),"運命の流れ…")</f>
        <v>運命の流れ…</v>
      </c>
      <c r="G28" s="395" t="str">
        <f>IFERROR(__xludf.DUMMYFUNCTION("GOOGLETRANSLATE(C28,""zh-tw"",""ja"")"),"運命の恵みがあれば、幸せな出来事に出会いやすくなる！")</f>
        <v>運命の恵みがあれば、幸せな出来事に出会いやすくなる！</v>
      </c>
      <c r="H28" s="529" t="str">
        <f>IFERROR(__xludf.DUMMYFUNCTION("GOOGLETRANSLATE(D28,""zh-tw"",""ja"")"),"タロットカード")</f>
        <v>タロットカード</v>
      </c>
      <c r="I28" s="527" t="s">
        <v>12277</v>
      </c>
      <c r="J28" s="214" t="s">
        <v>12278</v>
      </c>
      <c r="K28" s="395" t="str">
        <f>IFERROR(__xludf.DUMMYFUNCTION("GOOGLETRANSLATE(C28,""zh-tw"",""en"")"),"With the blessing of fate, it's easier to encounter happy things!")</f>
        <v>With the blessing of fate, it's easier to encounter happy things!</v>
      </c>
      <c r="L28" s="528" t="s">
        <v>12279</v>
      </c>
      <c r="M28" s="394" t="str">
        <f>IFERROR(__xludf.DUMMYFUNCTION("GOOGLETRANSLATE(A28,""zh-tw"",""zh"")"),"命运之轮-正")</f>
        <v>命运之轮-正</v>
      </c>
      <c r="N28" s="430" t="str">
        <f>IFERROR(__xludf.DUMMYFUNCTION("GOOGLETRANSLATE(B28,""zh-tw"",""zh"")"),"命运的流动……")</f>
        <v>命运的流动……</v>
      </c>
      <c r="O28" s="395" t="str">
        <f>IFERROR(__xludf.DUMMYFUNCTION("GOOGLETRANSLATE(C28,""zh-tw"",""zh"")"),"得到命运的加护，更容易遇到开心的事情了！")</f>
        <v>得到命运的加护，更容易遇到开心的事情了！</v>
      </c>
      <c r="P28" s="529" t="str">
        <f>IFERROR(__xludf.DUMMYFUNCTION("GOOGLETRANSLATE(D28,""zh-tw"",""zh"")"),"塔罗牌")</f>
        <v>塔罗牌</v>
      </c>
      <c r="Q28" s="209" t="str">
        <f>IFERROR(__xludf.DUMMYFUNCTION("GOOGLETRANSLATE(A28,""zh-tw"",""es-MX"")"),"La rueda de la fortuna - Derecha")</f>
        <v>La rueda de la fortuna - Derecha</v>
      </c>
      <c r="R28" s="210" t="str">
        <f>IFERROR(__xludf.DUMMYFUNCTION("GOOGLETRANSLATE(B28,""zh-tw"",""es-MX"")"),"El fluir del destino...")</f>
        <v>El fluir del destino...</v>
      </c>
      <c r="S28" s="390" t="str">
        <f>IFERROR(__xludf.DUMMYFUNCTION("GOOGLETRANSLATE(C28,""zh-tw"",""es-MX"")"),"¡Con la bendición del destino, es más fácil encontrarse con cosas felices!")</f>
        <v>¡Con la bendición del destino, es más fácil encontrarse con cosas felices!</v>
      </c>
      <c r="T28" s="208" t="str">
        <f>IFERROR(__xludf.DUMMYFUNCTION("GOOGLETRANSLATE(D28,""zh-tw"",""es-MX"")"),"Cartas del tarot")</f>
        <v>Cartas del tarot</v>
      </c>
      <c r="U28" s="209" t="str">
        <f>IFERROR(__xludf.DUMMYFUNCTION("GOOGLETRANSLATE(A28,""zh-tw"",""KO"")"),"운명의 수레바퀴 - 오른쪽")</f>
        <v>운명의 수레바퀴 - 오른쪽</v>
      </c>
      <c r="V28" s="210" t="str">
        <f>IFERROR(__xludf.DUMMYFUNCTION("GOOGLETRANSLATE(B28,""zh-tw"",""KO"")"),"운명의 흐름...")</f>
        <v>운명의 흐름...</v>
      </c>
      <c r="W28" s="390" t="str">
        <f>IFERROR(__xludf.DUMMYFUNCTION("GOOGLETRANSLATE(C28,""zh-tw"",""KO"")"),"운명의 축복 덕분에 행복한 일들을 만나는 건 더 쉬운 일이죠!")</f>
        <v>운명의 축복 덕분에 행복한 일들을 만나는 건 더 쉬운 일이죠!</v>
      </c>
      <c r="X28" s="208" t="str">
        <f>IFERROR(__xludf.DUMMYFUNCTION("GOOGLETRANSLATE(D28,""zh-tw"",""KO"")"),"타로 카드")</f>
        <v>타로 카드</v>
      </c>
      <c r="Y28" s="209" t="s">
        <v>12280</v>
      </c>
      <c r="Z28" s="210" t="s">
        <v>12281</v>
      </c>
      <c r="AA28" s="390" t="s">
        <v>12282</v>
      </c>
      <c r="AB28" s="208" t="s">
        <v>12264</v>
      </c>
      <c r="AC28" s="394" t="str">
        <f>IFERROR(__xludf.DUMMYFUNCTION("GOOGLETRANSLATE(A28,""zh-tw"",""DE"")"),"Glücksrad - Rechts")</f>
        <v>Glücksrad - Rechts</v>
      </c>
      <c r="AD28" s="430" t="str">
        <f>IFERROR(__xludf.DUMMYFUNCTION("GOOGLETRANSLATE(B28,""zh-tw"",""DE"")"),"Der Lauf des Schicksals...")</f>
        <v>Der Lauf des Schicksals...</v>
      </c>
      <c r="AE28" s="395" t="str">
        <f>IFERROR(__xludf.DUMMYFUNCTION("GOOGLETRANSLATE(C28,""zh-tw"",""DE"")"),"Mit dem Segen des Schicksals begegnet man leichter glücklichen Dingen!")</f>
        <v>Mit dem Segen des Schicksals begegnet man leichter glücklichen Dingen!</v>
      </c>
      <c r="AF28" s="529" t="str">
        <f>IFERROR(__xludf.DUMMYFUNCTION("GOOGLETRANSLATE(D28,""zh-tw"",""DE"")"),"Tarotkarten")</f>
        <v>Tarotkarten</v>
      </c>
      <c r="AG28" s="133" t="s">
        <v>12283</v>
      </c>
      <c r="AH28" s="223" t="s">
        <v>12284</v>
      </c>
      <c r="AI28" s="534" t="s">
        <v>12285</v>
      </c>
      <c r="AJ28" s="225" t="s">
        <v>12286</v>
      </c>
      <c r="AK28" s="164" t="s">
        <v>12287</v>
      </c>
      <c r="AL28" s="166" t="s">
        <v>12288</v>
      </c>
      <c r="AM28" s="391" t="s">
        <v>12289</v>
      </c>
      <c r="AN28" s="165" t="s">
        <v>12290</v>
      </c>
      <c r="AO28" s="527"/>
      <c r="AP28" s="214"/>
      <c r="AQ28" s="398"/>
      <c r="AR28" s="528"/>
      <c r="AS28" s="533"/>
      <c r="AT28" s="533"/>
    </row>
    <row r="29">
      <c r="A29" s="527" t="s">
        <v>12291</v>
      </c>
      <c r="B29" s="214" t="s">
        <v>12292</v>
      </c>
      <c r="C29" s="398" t="s">
        <v>12293</v>
      </c>
      <c r="D29" s="528" t="s">
        <v>12254</v>
      </c>
      <c r="E29" s="527" t="s">
        <v>12294</v>
      </c>
      <c r="F29" s="430" t="str">
        <f>IFERROR(__xludf.DUMMYFUNCTION("GOOGLETRANSLATE(B29,""zh-tw"",""ja"")"),"運命は流れる…")</f>
        <v>運命は流れる…</v>
      </c>
      <c r="G29" s="395" t="str">
        <f>IFERROR(__xludf.DUMMYFUNCTION("GOOGLETRANSLATE(C29,""zh-tw"",""ja"")"),"運命に恵まれると、困難なことにも立ち向かいやすくなる！")</f>
        <v>運命に恵まれると、困難なことにも立ち向かいやすくなる！</v>
      </c>
      <c r="H29" s="529" t="str">
        <f>IFERROR(__xludf.DUMMYFUNCTION("GOOGLETRANSLATE(D29,""zh-tw"",""ja"")"),"タロットカード")</f>
        <v>タロットカード</v>
      </c>
      <c r="I29" s="527" t="s">
        <v>12295</v>
      </c>
      <c r="J29" s="214" t="s">
        <v>12296</v>
      </c>
      <c r="K29" s="395" t="str">
        <f>IFERROR(__xludf.DUMMYFUNCTION("GOOGLETRANSLATE(C29,""zh-tw"",""en"")"),"Being blessed by fate makes it easier to encounter difficult things!")</f>
        <v>Being blessed by fate makes it easier to encounter difficult things!</v>
      </c>
      <c r="L29" s="528" t="s">
        <v>12279</v>
      </c>
      <c r="M29" s="394" t="str">
        <f>IFERROR(__xludf.DUMMYFUNCTION("GOOGLETRANSLATE(A29,""zh-tw"",""zh"")"),"命运之轮-逆")</f>
        <v>命运之轮-逆</v>
      </c>
      <c r="N29" s="430" t="str">
        <f>IFERROR(__xludf.DUMMYFUNCTION("GOOGLETRANSLATE(B29,""zh-tw"",""zh"")"),"命运流动……")</f>
        <v>命运流动……</v>
      </c>
      <c r="O29" s="395" t="str">
        <f>IFERROR(__xludf.DUMMYFUNCTION("GOOGLETRANSLATE(C29,""zh-tw"",""zh"")"),"得到命运的加护，更容易遇到难过的事情了！")</f>
        <v>得到命运的加护，更容易遇到难过的事情了！</v>
      </c>
      <c r="P29" s="529" t="str">
        <f>IFERROR(__xludf.DUMMYFUNCTION("GOOGLETRANSLATE(D29,""zh-tw"",""zh"")"),"塔罗牌")</f>
        <v>塔罗牌</v>
      </c>
      <c r="Q29" s="209" t="str">
        <f>IFERROR(__xludf.DUMMYFUNCTION("GOOGLETRANSLATE(A29,""zh-tw"",""es-MX"")"),"Rueda de la fortuna - Inversa")</f>
        <v>Rueda de la fortuna - Inversa</v>
      </c>
      <c r="R29" s="210" t="str">
        <f>IFERROR(__xludf.DUMMYFUNCTION("GOOGLETRANSLATE(B29,""zh-tw"",""es-MX"")"),"El destino fluye...")</f>
        <v>El destino fluye...</v>
      </c>
      <c r="S29" s="390" t="str">
        <f>IFERROR(__xludf.DUMMYFUNCTION("GOOGLETRANSLATE(C29,""zh-tw"",""es-MX"")"),"¡Tener la suerte de que el destino te bendiga facilita afrontar las dificultades!")</f>
        <v>¡Tener la suerte de que el destino te bendiga facilita afrontar las dificultades!</v>
      </c>
      <c r="T29" s="208" t="str">
        <f>IFERROR(__xludf.DUMMYFUNCTION("GOOGLETRANSLATE(D29,""zh-tw"",""es-MX"")"),"Cartas del tarot")</f>
        <v>Cartas del tarot</v>
      </c>
      <c r="U29" s="209" t="str">
        <f>IFERROR(__xludf.DUMMYFUNCTION("GOOGLETRANSLATE(A29,""zh-tw"",""KO"")"),"운명의 수레바퀴 - 역방향")</f>
        <v>운명의 수레바퀴 - 역방향</v>
      </c>
      <c r="V29" s="210" t="str">
        <f>IFERROR(__xludf.DUMMYFUNCTION("GOOGLETRANSLATE(B29,""zh-tw"",""KO"")"),"운명은 흐른다...")</f>
        <v>운명은 흐른다...</v>
      </c>
      <c r="W29" s="390" t="str">
        <f>IFERROR(__xludf.DUMMYFUNCTION("GOOGLETRANSLATE(C29,""zh-tw"",""KO"")"),"행운이 따르니 어려운 일도 쉽게 헤쳐나갈 수 있다!")</f>
        <v>행운이 따르니 어려운 일도 쉽게 헤쳐나갈 수 있다!</v>
      </c>
      <c r="X29" s="208" t="str">
        <f>IFERROR(__xludf.DUMMYFUNCTION("GOOGLETRANSLATE(D29,""zh-tw"",""KO"")"),"타로 카드")</f>
        <v>타로 카드</v>
      </c>
      <c r="Y29" s="209" t="s">
        <v>12297</v>
      </c>
      <c r="Z29" s="210" t="s">
        <v>12281</v>
      </c>
      <c r="AA29" s="390" t="s">
        <v>12298</v>
      </c>
      <c r="AB29" s="208" t="s">
        <v>12264</v>
      </c>
      <c r="AC29" s="394" t="str">
        <f>IFERROR(__xludf.DUMMYFUNCTION("GOOGLETRANSLATE(A29,""zh-tw"",""DE"")"),"Glücksrad – Rückwärts")</f>
        <v>Glücksrad – Rückwärts</v>
      </c>
      <c r="AD29" s="430" t="str">
        <f>IFERROR(__xludf.DUMMYFUNCTION("GOOGLETRANSLATE(B29,""zh-tw"",""DE"")"),"Das Schicksal bestimmt seinen Lauf...")</f>
        <v>Das Schicksal bestimmt seinen Lauf...</v>
      </c>
      <c r="AE29" s="395" t="str">
        <f>IFERROR(__xludf.DUMMYFUNCTION("GOOGLETRANSLATE(C29,""zh-tw"",""DE"")"),"Vom Schicksal begünstigt zu sein, erleichtert den Umgang mit schwierigen Dingen!")</f>
        <v>Vom Schicksal begünstigt zu sein, erleichtert den Umgang mit schwierigen Dingen!</v>
      </c>
      <c r="AF29" s="529" t="str">
        <f>IFERROR(__xludf.DUMMYFUNCTION("GOOGLETRANSLATE(D29,""zh-tw"",""DE"")"),"Tarotkarten")</f>
        <v>Tarotkarten</v>
      </c>
      <c r="AG29" s="133" t="s">
        <v>12299</v>
      </c>
      <c r="AH29" s="223" t="s">
        <v>12284</v>
      </c>
      <c r="AI29" s="534" t="s">
        <v>12300</v>
      </c>
      <c r="AJ29" s="225" t="s">
        <v>12286</v>
      </c>
      <c r="AK29" s="164" t="s">
        <v>12301</v>
      </c>
      <c r="AL29" s="166" t="s">
        <v>12302</v>
      </c>
      <c r="AM29" s="391" t="s">
        <v>12303</v>
      </c>
      <c r="AN29" s="165" t="s">
        <v>12290</v>
      </c>
      <c r="AO29" s="527"/>
      <c r="AP29" s="214"/>
      <c r="AQ29" s="398"/>
      <c r="AR29" s="528"/>
      <c r="AS29" s="533"/>
      <c r="AT29" s="533"/>
    </row>
    <row r="30">
      <c r="A30" s="527" t="s">
        <v>12304</v>
      </c>
      <c r="B30" s="214" t="s">
        <v>12305</v>
      </c>
      <c r="C30" s="398" t="s">
        <v>12306</v>
      </c>
      <c r="D30" s="528" t="s">
        <v>10078</v>
      </c>
      <c r="E30" s="527" t="s">
        <v>12307</v>
      </c>
      <c r="F30" s="214" t="s">
        <v>12308</v>
      </c>
      <c r="G30" s="398" t="s">
        <v>12309</v>
      </c>
      <c r="H30" s="528" t="s">
        <v>10080</v>
      </c>
      <c r="I30" s="527" t="s">
        <v>12310</v>
      </c>
      <c r="J30" s="214" t="s">
        <v>12311</v>
      </c>
      <c r="K30" s="398" t="s">
        <v>12312</v>
      </c>
      <c r="L30" s="528" t="s">
        <v>10082</v>
      </c>
      <c r="M30" s="394" t="str">
        <f>IFERROR(__xludf.DUMMYFUNCTION("GOOGLETRANSLATE(A30,""zh-tw"",""zh"")"),"生命力")</f>
        <v>生命力</v>
      </c>
      <c r="N30" s="430" t="str">
        <f>IFERROR(__xludf.DUMMYFUNCTION("GOOGLETRANSLATE(B30,""zh-tw"",""zh"")"),"但是真的很难吃……")</f>
        <v>但是真的很难吃……</v>
      </c>
      <c r="O30" s="395" t="str">
        <f>IFERROR(__xludf.DUMMYFUNCTION("GOOGLETRANSLATE(C30,""zh-tw"",""zh"")"),"体内充满了生命力，体力增加了")</f>
        <v>体内充满了生命力，体力增加了</v>
      </c>
      <c r="P30" s="529" t="str">
        <f>IFERROR(__xludf.DUMMYFUNCTION("GOOGLETRANSLATE(D30,""zh-tw"",""zh"")"),"天上之石碎片")</f>
        <v>天上之石碎片</v>
      </c>
      <c r="Q30" s="209" t="str">
        <f>IFERROR(__xludf.DUMMYFUNCTION("GOOGLETRANSLATE(A30,""zh-tw"",""es-MX"")"),"vitalidad")</f>
        <v>vitalidad</v>
      </c>
      <c r="R30" s="210" t="str">
        <f>IFERROR(__xludf.DUMMYFUNCTION("GOOGLETRANSLATE(B30,""zh-tw"",""es-MX"")"),"Pero la verdad es que sabía fatal...")</f>
        <v>Pero la verdad es que sabía fatal...</v>
      </c>
      <c r="S30" s="390" t="str">
        <f>IFERROR(__xludf.DUMMYFUNCTION("GOOGLETRANSLATE(C30,""zh-tw"",""es-MX"")"),"Mi cuerpo está lleno de vitalidad y mi fuerza física ha aumentado.")</f>
        <v>Mi cuerpo está lleno de vitalidad y mi fuerza física ha aumentado.</v>
      </c>
      <c r="T30" s="208" t="str">
        <f>IFERROR(__xludf.DUMMYFUNCTION("GOOGLETRANSLATE(D30,""zh-tw"",""es-MX"")"),"Fragmentos de la Piedra Celestial")</f>
        <v>Fragmentos de la Piedra Celestial</v>
      </c>
      <c r="U30" s="209" t="str">
        <f>IFERROR(__xludf.DUMMYFUNCTION("GOOGLETRANSLATE(A30,""zh-tw"",""KO"")"),"활력")</f>
        <v>활력</v>
      </c>
      <c r="V30" s="210" t="str">
        <f>IFERROR(__xludf.DUMMYFUNCTION("GOOGLETRANSLATE(B30,""zh-tw"",""KO"")"),"하지만 맛이 정말 형편없었어요...")</f>
        <v>하지만 맛이 정말 형편없었어요...</v>
      </c>
      <c r="W30" s="390" t="str">
        <f>IFERROR(__xludf.DUMMYFUNCTION("GOOGLETRANSLATE(C30,""zh-tw"",""KO"")"),"내 몸은 활력이 넘치고, 체력도 향상되었다.")</f>
        <v>내 몸은 활력이 넘치고, 체력도 향상되었다.</v>
      </c>
      <c r="X30" s="208" t="str">
        <f>IFERROR(__xludf.DUMMYFUNCTION("GOOGLETRANSLATE(D30,""zh-tw"",""KO"")"),"천상의 돌 조각들")</f>
        <v>천상의 돌 조각들</v>
      </c>
      <c r="Y30" s="209" t="s">
        <v>12313</v>
      </c>
      <c r="Z30" s="210" t="s">
        <v>12314</v>
      </c>
      <c r="AA30" s="390" t="s">
        <v>12315</v>
      </c>
      <c r="AB30" s="208" t="s">
        <v>12316</v>
      </c>
      <c r="AC30" s="394" t="str">
        <f>IFERROR(__xludf.DUMMYFUNCTION("GOOGLETRANSLATE(A30,""zh-tw"",""DE"")"),"Vitalität")</f>
        <v>Vitalität</v>
      </c>
      <c r="AD30" s="430" t="str">
        <f>IFERROR(__xludf.DUMMYFUNCTION("GOOGLETRANSLATE(B30,""zh-tw"",""DE"")"),"Aber es hat wirklich furchtbar geschmeckt...")</f>
        <v>Aber es hat wirklich furchtbar geschmeckt...</v>
      </c>
      <c r="AE30" s="395" t="str">
        <f>IFERROR(__xludf.DUMMYFUNCTION("GOOGLETRANSLATE(C30,""zh-tw"",""DE"")"),"Mein Körper ist voller Vitalität und meine körperliche Kraft hat zugenommen.")</f>
        <v>Mein Körper ist voller Vitalität und meine körperliche Kraft hat zugenommen.</v>
      </c>
      <c r="AF30" s="529" t="str">
        <f>IFERROR(__xludf.DUMMYFUNCTION("GOOGLETRANSLATE(D30,""zh-tw"",""DE"")"),"Fragmente des Himmelssteins")</f>
        <v>Fragmente des Himmelssteins</v>
      </c>
      <c r="AG30" s="133" t="s">
        <v>12317</v>
      </c>
      <c r="AH30" s="223" t="s">
        <v>12318</v>
      </c>
      <c r="AI30" s="534" t="s">
        <v>12319</v>
      </c>
      <c r="AJ30" s="532" t="s">
        <v>10091</v>
      </c>
      <c r="AK30" s="164" t="s">
        <v>12320</v>
      </c>
      <c r="AL30" s="166" t="s">
        <v>12321</v>
      </c>
      <c r="AM30" s="391" t="s">
        <v>12322</v>
      </c>
      <c r="AN30" s="165" t="s">
        <v>10093</v>
      </c>
      <c r="AO30" s="527"/>
      <c r="AP30" s="214"/>
      <c r="AQ30" s="398"/>
      <c r="AR30" s="528"/>
      <c r="AS30" s="533"/>
      <c r="AT30" s="533"/>
    </row>
    <row r="31">
      <c r="A31" s="527" t="s">
        <v>12323</v>
      </c>
      <c r="B31" s="214" t="s">
        <v>12324</v>
      </c>
      <c r="C31" s="398" t="s">
        <v>12325</v>
      </c>
      <c r="D31" s="528" t="s">
        <v>12326</v>
      </c>
      <c r="E31" s="527" t="s">
        <v>12327</v>
      </c>
      <c r="F31" s="214" t="s">
        <v>12328</v>
      </c>
      <c r="G31" s="395" t="str">
        <f>IFERROR(__xludf.DUMMYFUNCTION("GOOGLETRANSLATE(C31,""zh-tw"",""ja"")"),"筋力とスタミナが不足しているため、武器はその潜在能力を最大限に発揮できない！")</f>
        <v>筋力とスタミナが不足しているため、武器はその潜在能力を最大限に発揮できない！</v>
      </c>
      <c r="H31" s="528" t="s">
        <v>12329</v>
      </c>
      <c r="I31" s="527" t="s">
        <v>12330</v>
      </c>
      <c r="J31" s="214" t="s">
        <v>12331</v>
      </c>
      <c r="K31" s="398" t="s">
        <v>12332</v>
      </c>
      <c r="L31" s="528" t="s">
        <v>12333</v>
      </c>
      <c r="M31" s="394" t="str">
        <f>IFERROR(__xludf.DUMMYFUNCTION("GOOGLETRANSLATE(A31,""zh-tw"",""zh"")"),"力不从心")</f>
        <v>力不从心</v>
      </c>
      <c r="N31" s="430" t="str">
        <f>IFERROR(__xludf.DUMMYFUNCTION("GOOGLETRANSLATE(B31,""zh-tw"",""zh"")"),"拿、拿不动了……")</f>
        <v>拿、拿不动了……</v>
      </c>
      <c r="O31" s="395" t="str">
        <f>IFERROR(__xludf.DUMMYFUNCTION("GOOGLETRANSLATE(C31,""zh-tw"",""zh"")"),"力量和体力不足，无法发挥武器性能！")</f>
        <v>力量和体力不足，无法发挥武器性能！</v>
      </c>
      <c r="P31" s="529" t="str">
        <f>IFERROR(__xludf.DUMMYFUNCTION("GOOGLETRANSLATE(D31,""zh-tw"",""zh"")"),"银辉剑为达成条件")</f>
        <v>银辉剑为达成条件</v>
      </c>
      <c r="Q31" s="209" t="str">
        <f>IFERROR(__xludf.DUMMYFUNCTION("GOOGLETRANSLATE(A31,""zh-tw"",""es-MX"")"),"Sentirse impotente")</f>
        <v>Sentirse impotente</v>
      </c>
      <c r="R31" s="210" t="str">
        <f>IFERROR(__xludf.DUMMYFUNCTION("GOOGLETRANSLATE(B31,""zh-tw"",""es-MX"")"),"Ya no puedo levantarlo...")</f>
        <v>Ya no puedo levantarlo...</v>
      </c>
      <c r="S31" s="390" t="str">
        <f>IFERROR(__xludf.DUMMYFUNCTION("GOOGLETRANSLATE(C31,""zh-tw"",""es-MX"")"),"¡La falta de fuerza y ​​resistencia impide que el arma desarrolle todo su potencial!")</f>
        <v>¡La falta de fuerza y ​​resistencia impide que el arma desarrolle todo su potencial!</v>
      </c>
      <c r="T31" s="208" t="str">
        <f>IFERROR(__xludf.DUMMYFUNCTION("GOOGLETRANSLATE(D31,""zh-tw"",""es-MX"")"),"Se requiere la Espada Plateada para cumplir las condiciones.")</f>
        <v>Se requiere la Espada Plateada para cumplir las condiciones.</v>
      </c>
      <c r="U31" s="209" t="str">
        <f>IFERROR(__xludf.DUMMYFUNCTION("GOOGLETRANSLATE(A31,""zh-tw"",""KO"")"),"무력감을 느끼다")</f>
        <v>무력감을 느끼다</v>
      </c>
      <c r="V31" s="210" t="str">
        <f>IFERROR(__xludf.DUMMYFUNCTION("GOOGLETRANSLATE(B31,""zh-tw"",""KO"")"),"더 이상 들 수 없어요...")</f>
        <v>더 이상 들 수 없어요...</v>
      </c>
      <c r="W31" s="390" t="str">
        <f>IFERROR(__xludf.DUMMYFUNCTION("GOOGLETRANSLATE(C31,""zh-tw"",""KO"")"),"힘과 체력이 부족하면 무기가 제 성능을 발휘할 수 없습니다!")</f>
        <v>힘과 체력이 부족하면 무기가 제 성능을 발휘할 수 없습니다!</v>
      </c>
      <c r="X31" s="208" t="str">
        <f>IFERROR(__xludf.DUMMYFUNCTION("GOOGLETRANSLATE(D31,""zh-tw"",""KO"")"),"조건을 충족하려면 실버 소드가 필요합니다.")</f>
        <v>조건을 충족하려면 실버 소드가 필요합니다.</v>
      </c>
      <c r="Y31" s="209" t="s">
        <v>12334</v>
      </c>
      <c r="Z31" s="210" t="s">
        <v>12335</v>
      </c>
      <c r="AA31" s="390" t="s">
        <v>12336</v>
      </c>
      <c r="AB31" s="208" t="s">
        <v>12337</v>
      </c>
      <c r="AC31" s="394" t="str">
        <f>IFERROR(__xludf.DUMMYFUNCTION("GOOGLETRANSLATE(A31,""zh-tw"",""DE"")"),"Ich fühle mich machtlos")</f>
        <v>Ich fühle mich machtlos</v>
      </c>
      <c r="AD31" s="430" t="str">
        <f>IFERROR(__xludf.DUMMYFUNCTION("GOOGLETRANSLATE(B31,""zh-tw"",""DE"")"),"Ich kann es nicht mehr heben...")</f>
        <v>Ich kann es nicht mehr heben...</v>
      </c>
      <c r="AE31" s="395" t="str">
        <f>IFERROR(__xludf.DUMMYFUNCTION("GOOGLETRANSLATE(C31,""zh-tw"",""DE"")"),"Unzureichende Kraft und Ausdauer verhindern, dass die Waffe ihr volles Potenzial entfaltet!")</f>
        <v>Unzureichende Kraft und Ausdauer verhindern, dass die Waffe ihr volles Potenzial entfaltet!</v>
      </c>
      <c r="AF31" s="529" t="str">
        <f>IFERROR(__xludf.DUMMYFUNCTION("GOOGLETRANSLATE(D31,""zh-tw"",""DE"")"),"Das Silberschwert wird benötigt, um die Bedingungen zu erfüllen.")</f>
        <v>Das Silberschwert wird benötigt, um die Bedingungen zu erfüllen.</v>
      </c>
      <c r="AG31" s="133" t="s">
        <v>12338</v>
      </c>
      <c r="AH31" s="223" t="s">
        <v>12339</v>
      </c>
      <c r="AI31" s="534" t="s">
        <v>12340</v>
      </c>
      <c r="AJ31" s="532" t="s">
        <v>12341</v>
      </c>
      <c r="AK31" s="164" t="s">
        <v>12342</v>
      </c>
      <c r="AL31" s="166" t="s">
        <v>12343</v>
      </c>
      <c r="AM31" s="391" t="s">
        <v>12344</v>
      </c>
      <c r="AN31" s="165" t="s">
        <v>12345</v>
      </c>
      <c r="AO31" s="527"/>
      <c r="AP31" s="214"/>
      <c r="AQ31" s="398"/>
      <c r="AR31" s="528"/>
      <c r="AS31" s="533"/>
      <c r="AT31" s="533"/>
    </row>
    <row r="32">
      <c r="A32" s="527" t="s">
        <v>12346</v>
      </c>
      <c r="B32" s="214" t="s">
        <v>12347</v>
      </c>
      <c r="C32" s="398" t="s">
        <v>12348</v>
      </c>
      <c r="D32" s="528" t="s">
        <v>9031</v>
      </c>
      <c r="E32" s="527" t="s">
        <v>12349</v>
      </c>
      <c r="F32" s="430" t="str">
        <f>IFERROR(__xludf.DUMMYFUNCTION("GOOGLETRANSLATE(B32,""zh-tw"",""ja"")"),"祝福に満ちた日々をお過ごしください。")</f>
        <v>祝福に満ちた日々をお過ごしください。</v>
      </c>
      <c r="G32" s="398" t="s">
        <v>12350</v>
      </c>
      <c r="H32" s="528" t="s">
        <v>9033</v>
      </c>
      <c r="I32" s="527" t="s">
        <v>12351</v>
      </c>
      <c r="J32" s="214" t="s">
        <v>12352</v>
      </c>
      <c r="K32" s="398" t="s">
        <v>12353</v>
      </c>
      <c r="L32" s="528" t="s">
        <v>9035</v>
      </c>
      <c r="M32" s="394" t="str">
        <f>IFERROR(__xludf.DUMMYFUNCTION("GOOGLETRANSLATE(A32,""zh-tw"",""zh"")"),"丰收的祝福")</f>
        <v>丰收的祝福</v>
      </c>
      <c r="N32" s="430" t="str">
        <f>IFERROR(__xludf.DUMMYFUNCTION("GOOGLETRANSLATE(B32,""zh-tw"",""zh"")"),"与汝享赐福")</f>
        <v>与汝享赐福</v>
      </c>
      <c r="O32" s="395" t="str">
        <f>IFERROR(__xludf.DUMMYFUNCTION("GOOGLETRANSLATE(C32,""zh-tw"",""zh"")"),"获得了圣杯的祝福，获取金钱翻倍")</f>
        <v>获得了圣杯的祝福，获取金钱翻倍</v>
      </c>
      <c r="P32" s="529" t="str">
        <f>IFERROR(__xludf.DUMMYFUNCTION("GOOGLETRANSLATE(D32,""zh-tw"",""zh"")"),"未满的黄金圣杯")</f>
        <v>未满的黄金圣杯</v>
      </c>
      <c r="Q32" s="209" t="str">
        <f>IFERROR(__xludf.DUMMYFUNCTION("GOOGLETRANSLATE(A32,""zh-tw"",""es-MX"")"),"Bendiciones de una cosecha abundante")</f>
        <v>Bendiciones de una cosecha abundante</v>
      </c>
      <c r="R32" s="210" t="str">
        <f>IFERROR(__xludf.DUMMYFUNCTION("GOOGLETRANSLATE(B32,""zh-tw"",""es-MX"")"),"Que disfrutes de bendiciones")</f>
        <v>Que disfrutes de bendiciones</v>
      </c>
      <c r="S32" s="390" t="str">
        <f>IFERROR(__xludf.DUMMYFUNCTION("GOOGLETRANSLATE(C32,""zh-tw"",""es-MX"")"),"Tras recibir la bendición del Santo Grial, tu dinero se duplicará.")</f>
        <v>Tras recibir la bendición del Santo Grial, tu dinero se duplicará.</v>
      </c>
      <c r="T32" s="208" t="str">
        <f>IFERROR(__xludf.DUMMYFUNCTION("GOOGLETRANSLATE(D32,""zh-tw"",""es-MX"")"),"El Santo Grial incompleto")</f>
        <v>El Santo Grial incompleto</v>
      </c>
      <c r="U32" s="209" t="str">
        <f>IFERROR(__xludf.DUMMYFUNCTION("GOOGLETRANSLATE(A32,""zh-tw"",""KO"")"),"풍성한 수확의 축복")</f>
        <v>풍성한 수확의 축복</v>
      </c>
      <c r="V32" s="210" t="str">
        <f>IFERROR(__xludf.DUMMYFUNCTION("GOOGLETRANSLATE(B32,""zh-tw"",""KO"")"),"축복이 가득하시길 바랍니다.")</f>
        <v>축복이 가득하시길 바랍니다.</v>
      </c>
      <c r="W32" s="390" t="str">
        <f>IFERROR(__xludf.DUMMYFUNCTION("GOOGLETRANSLATE(C32,""zh-tw"",""KO"")"),"성배의 축복을 받았으니 당신의 돈은 두 배가 될 것입니다.")</f>
        <v>성배의 축복을 받았으니 당신의 돈은 두 배가 될 것입니다.</v>
      </c>
      <c r="X32" s="208" t="str">
        <f>IFERROR(__xludf.DUMMYFUNCTION("GOOGLETRANSLATE(D32,""zh-tw"",""KO"")"),"불완전한 성배")</f>
        <v>불완전한 성배</v>
      </c>
      <c r="Y32" s="209" t="s">
        <v>12354</v>
      </c>
      <c r="Z32" s="210" t="s">
        <v>12355</v>
      </c>
      <c r="AA32" s="390" t="s">
        <v>12356</v>
      </c>
      <c r="AB32" s="208" t="s">
        <v>9040</v>
      </c>
      <c r="AC32" s="394" t="str">
        <f>IFERROR(__xludf.DUMMYFUNCTION("GOOGLETRANSLATE(A32,""zh-tw"",""DE"")"),"Segen einer reichen Ernte")</f>
        <v>Segen einer reichen Ernte</v>
      </c>
      <c r="AD32" s="430" t="str">
        <f>IFERROR(__xludf.DUMMYFUNCTION("GOOGLETRANSLATE(B32,""zh-tw"",""DE"")"),"Mögest du gesegnet sein.")</f>
        <v>Mögest du gesegnet sein.</v>
      </c>
      <c r="AE32" s="395" t="str">
        <f>IFERROR(__xludf.DUMMYFUNCTION("GOOGLETRANSLATE(C32,""zh-tw"",""DE"")"),"Nachdem Sie den Segen des Heiligen Grals erhalten haben, wird sich Ihr Geld verdoppeln.")</f>
        <v>Nachdem Sie den Segen des Heiligen Grals erhalten haben, wird sich Ihr Geld verdoppeln.</v>
      </c>
      <c r="AF32" s="529" t="str">
        <f>IFERROR(__xludf.DUMMYFUNCTION("GOOGLETRANSLATE(D32,""zh-tw"",""DE"")"),"Der unvollständige Heilige Gral")</f>
        <v>Der unvollständige Heilige Gral</v>
      </c>
      <c r="AG32" s="480" t="s">
        <v>12357</v>
      </c>
      <c r="AH32" s="223" t="s">
        <v>12358</v>
      </c>
      <c r="AI32" s="531" t="s">
        <v>12359</v>
      </c>
      <c r="AJ32" s="532" t="s">
        <v>12360</v>
      </c>
      <c r="AK32" s="164" t="s">
        <v>12361</v>
      </c>
      <c r="AL32" s="166" t="s">
        <v>12362</v>
      </c>
      <c r="AM32" s="391" t="s">
        <v>12363</v>
      </c>
      <c r="AN32" s="535" t="s">
        <v>12364</v>
      </c>
      <c r="AO32" s="527"/>
      <c r="AP32" s="214"/>
      <c r="AQ32" s="398"/>
      <c r="AR32" s="528"/>
      <c r="AS32" s="533"/>
      <c r="AT32" s="533"/>
    </row>
    <row r="33">
      <c r="A33" s="527" t="s">
        <v>12365</v>
      </c>
      <c r="B33" s="214" t="s">
        <v>1273</v>
      </c>
      <c r="C33" s="398" t="s">
        <v>1273</v>
      </c>
      <c r="D33" s="528" t="s">
        <v>12366</v>
      </c>
      <c r="E33" s="394" t="str">
        <f>IFERROR(__xludf.DUMMYFUNCTION("GOOGLETRANSLATE(A33,""zh-tw"",""ja"")"),"氷の床")</f>
        <v>氷の床</v>
      </c>
      <c r="F33" s="430" t="str">
        <f>IFERROR(__xludf.DUMMYFUNCTION("GOOGLETRANSLATE(B33,""zh-tw"",""ja"")"),"-")</f>
        <v>-</v>
      </c>
      <c r="G33" s="395" t="str">
        <f>IFERROR(__xludf.DUMMYFUNCTION("GOOGLETRANSLATE(C33,""zh-tw"",""ja"")"),"-")</f>
        <v>-</v>
      </c>
      <c r="H33" s="529" t="str">
        <f>IFERROR(__xludf.DUMMYFUNCTION("GOOGLETRANSLATE(D33,""zh-tw"",""ja"")"),"例えば、アイススタッフの旧バージョン")</f>
        <v>例えば、アイススタッフの旧バージョン</v>
      </c>
      <c r="I33" s="527" t="s">
        <v>12367</v>
      </c>
      <c r="J33" s="430" t="str">
        <f>IFERROR(__xludf.DUMMYFUNCTION("GOOGLETRANSLATE(B33,""zh-tw"",""en"")"),"-")</f>
        <v>-</v>
      </c>
      <c r="K33" s="395" t="str">
        <f>IFERROR(__xludf.DUMMYFUNCTION("GOOGLETRANSLATE(C33,""zh-tw"",""en"")"),"-")</f>
        <v>-</v>
      </c>
      <c r="L33" s="528" t="s">
        <v>12368</v>
      </c>
      <c r="M33" s="394" t="str">
        <f>IFERROR(__xludf.DUMMYFUNCTION("GOOGLETRANSLATE(A33,""zh-tw"",""zh"")"),"冰地板")</f>
        <v>冰地板</v>
      </c>
      <c r="N33" s="430" t="str">
        <f>IFERROR(__xludf.DUMMYFUNCTION("GOOGLETRANSLATE(B33,""zh-tw"",""zh"")"),"-")</f>
        <v>-</v>
      </c>
      <c r="O33" s="395" t="str">
        <f>IFERROR(__xludf.DUMMYFUNCTION("GOOGLETRANSLATE(C33,""zh-tw"",""zh"")"),"-")</f>
        <v>-</v>
      </c>
      <c r="P33" s="529" t="str">
        <f>IFERROR(__xludf.DUMMYFUNCTION("GOOGLETRANSLATE(D33,""zh-tw"",""zh"")"),"例如:旧版本的寒冰杖")</f>
        <v>例如:旧版本的寒冰杖</v>
      </c>
      <c r="Q33" s="209" t="str">
        <f>IFERROR(__xludf.DUMMYFUNCTION("GOOGLETRANSLATE(A33,""zh-tw"",""es-MX"")"),"Pista de hielo")</f>
        <v>Pista de hielo</v>
      </c>
      <c r="R33" s="210" t="str">
        <f>IFERROR(__xludf.DUMMYFUNCTION("GOOGLETRANSLATE(B33,""zh-tw"",""es-MX"")"),"-")</f>
        <v>-</v>
      </c>
      <c r="S33" s="390" t="str">
        <f>IFERROR(__xludf.DUMMYFUNCTION("GOOGLETRANSLATE(C33,""zh-tw"",""es-MX"")"),"-")</f>
        <v>-</v>
      </c>
      <c r="T33" s="208" t="str">
        <f>IFERROR(__xludf.DUMMYFUNCTION("GOOGLETRANSLATE(D33,""zh-tw"",""es-MX"")"),"Por ejemplo, la versión antigua del Bastón de Hielo")</f>
        <v>Por ejemplo, la versión antigua del Bastón de Hielo</v>
      </c>
      <c r="U33" s="209" t="str">
        <f>IFERROR(__xludf.DUMMYFUNCTION("GOOGLETRANSLATE(A33,""zh-tw"",""KO"")"),"얼음 바닥")</f>
        <v>얼음 바닥</v>
      </c>
      <c r="V33" s="210" t="str">
        <f>IFERROR(__xludf.DUMMYFUNCTION("GOOGLETRANSLATE(B33,""zh-tw"",""KO"")"),"-")</f>
        <v>-</v>
      </c>
      <c r="W33" s="390" t="str">
        <f>IFERROR(__xludf.DUMMYFUNCTION("GOOGLETRANSLATE(C33,""zh-tw"",""KO"")"),"-")</f>
        <v>-</v>
      </c>
      <c r="X33" s="208" t="str">
        <f>IFERROR(__xludf.DUMMYFUNCTION("GOOGLETRANSLATE(D33,""zh-tw"",""KO"")"),"예를 들어, 아이스 스태프의 구버전")</f>
        <v>예를 들어, 아이스 스태프의 구버전</v>
      </c>
      <c r="Y33" s="209" t="s">
        <v>12369</v>
      </c>
      <c r="Z33" s="210" t="s">
        <v>1273</v>
      </c>
      <c r="AA33" s="390" t="s">
        <v>1273</v>
      </c>
      <c r="AB33" s="208" t="s">
        <v>12370</v>
      </c>
      <c r="AC33" s="394" t="str">
        <f>IFERROR(__xludf.DUMMYFUNCTION("GOOGLETRANSLATE(A33,""zh-tw"",""DE"")"),"Eisboden")</f>
        <v>Eisboden</v>
      </c>
      <c r="AD33" s="430" t="str">
        <f>IFERROR(__xludf.DUMMYFUNCTION("GOOGLETRANSLATE(B33,""zh-tw"",""DE"")"),"-")</f>
        <v>-</v>
      </c>
      <c r="AE33" s="395" t="str">
        <f>IFERROR(__xludf.DUMMYFUNCTION("GOOGLETRANSLATE(C33,""zh-tw"",""DE"")"),"-")</f>
        <v>-</v>
      </c>
      <c r="AF33" s="529" t="str">
        <f>IFERROR(__xludf.DUMMYFUNCTION("GOOGLETRANSLATE(D33,""zh-tw"",""DE"")"),"Zum Beispiel die alte Version von Ice Staff")</f>
        <v>Zum Beispiel die alte Version von Ice Staff</v>
      </c>
      <c r="AG33" s="133" t="s">
        <v>12371</v>
      </c>
      <c r="AH33" s="446" t="s">
        <v>1273</v>
      </c>
      <c r="AI33" s="531" t="s">
        <v>1273</v>
      </c>
      <c r="AJ33" s="532" t="s">
        <v>12372</v>
      </c>
      <c r="AK33" s="164" t="s">
        <v>12373</v>
      </c>
      <c r="AL33" s="166" t="s">
        <v>1273</v>
      </c>
      <c r="AM33" s="391" t="s">
        <v>1273</v>
      </c>
      <c r="AN33" s="165" t="s">
        <v>12374</v>
      </c>
      <c r="AO33" s="527"/>
      <c r="AP33" s="214"/>
      <c r="AQ33" s="398"/>
      <c r="AR33" s="528"/>
      <c r="AS33" s="533"/>
      <c r="AT33" s="533"/>
    </row>
    <row r="34">
      <c r="A34" s="527" t="s">
        <v>12375</v>
      </c>
      <c r="B34" s="214" t="s">
        <v>12376</v>
      </c>
      <c r="C34" s="398" t="s">
        <v>12377</v>
      </c>
      <c r="D34" s="528" t="s">
        <v>7924</v>
      </c>
      <c r="E34" s="527" t="s">
        <v>7926</v>
      </c>
      <c r="F34" s="214" t="s">
        <v>12378</v>
      </c>
      <c r="G34" s="395" t="str">
        <f>IFERROR(__xludf.DUMMYFUNCTION("GOOGLETRANSLATE(C34,""zh-tw"",""ja"")"),"全ての能力値が向上し、一時的に無敵状態になる。")</f>
        <v>全ての能力値が向上し、一時的に無敵状態になる。</v>
      </c>
      <c r="H34" s="528" t="s">
        <v>7926</v>
      </c>
      <c r="I34" s="527" t="s">
        <v>7928</v>
      </c>
      <c r="J34" s="214" t="s">
        <v>12379</v>
      </c>
      <c r="K34" s="398" t="s">
        <v>12380</v>
      </c>
      <c r="L34" s="528" t="s">
        <v>7928</v>
      </c>
      <c r="M34" s="394" t="str">
        <f>IFERROR(__xludf.DUMMYFUNCTION("GOOGLETRANSLATE(A34,""zh-tw"",""zh"")"),"上古荣光")</f>
        <v>上古荣光</v>
      </c>
      <c r="N34" s="430" t="str">
        <f>IFERROR(__xludf.DUMMYFUNCTION("GOOGLETRANSLATE(B34,""zh-tw"",""zh"")"),"你散发着荣光")</f>
        <v>你散发着荣光</v>
      </c>
      <c r="O34" s="395" t="str">
        <f>IFERROR(__xludf.DUMMYFUNCTION("GOOGLETRANSLATE(C34,""zh-tw"",""zh"")"),"全属性上升，暂时无敌")</f>
        <v>全属性上升，暂时无敌</v>
      </c>
      <c r="P34" s="529" t="str">
        <f>IFERROR(__xludf.DUMMYFUNCTION("GOOGLETRANSLATE(D34,""zh-tw"",""zh"")"),"荒古荣光")</f>
        <v>荒古荣光</v>
      </c>
      <c r="Q34" s="209" t="str">
        <f>IFERROR(__xludf.DUMMYFUNCTION("GOOGLETRANSLATE(A34,""zh-tw"",""es-MX"")"),"Gloria antigua")</f>
        <v>Gloria antigua</v>
      </c>
      <c r="R34" s="210" t="str">
        <f>IFERROR(__xludf.DUMMYFUNCTION("GOOGLETRANSLATE(B34,""zh-tw"",""es-MX"")"),"Irradias gloria")</f>
        <v>Irradias gloria</v>
      </c>
      <c r="S34" s="390" t="str">
        <f>IFERROR(__xludf.DUMMYFUNCTION("GOOGLETRANSLATE(C34,""zh-tw"",""es-MX"")"),"Todos los atributos aumentados, invencible temporalmente.")</f>
        <v>Todos los atributos aumentados, invencible temporalmente.</v>
      </c>
      <c r="T34" s="208" t="str">
        <f>IFERROR(__xludf.DUMMYFUNCTION("GOOGLETRANSLATE(D34,""zh-tw"",""es-MX"")"),"Gloria antigua")</f>
        <v>Gloria antigua</v>
      </c>
      <c r="U34" s="209" t="str">
        <f>IFERROR(__xludf.DUMMYFUNCTION("GOOGLETRANSLATE(A34,""zh-tw"",""KO"")"),"고대의 영광")</f>
        <v>고대의 영광</v>
      </c>
      <c r="V34" s="210" t="str">
        <f>IFERROR(__xludf.DUMMYFUNCTION("GOOGLETRANSLATE(B34,""zh-tw"",""KO"")"),"당신은 영광을 발산합니다")</f>
        <v>당신은 영광을 발산합니다</v>
      </c>
      <c r="W34" s="390" t="str">
        <f>IFERROR(__xludf.DUMMYFUNCTION("GOOGLETRANSLATE(C34,""zh-tw"",""KO"")"),"모든 능력치가 상승하여 일시적으로 무적이 됩니다.")</f>
        <v>모든 능력치가 상승하여 일시적으로 무적이 됩니다.</v>
      </c>
      <c r="X34" s="208" t="str">
        <f>IFERROR(__xludf.DUMMYFUNCTION("GOOGLETRANSLATE(D34,""zh-tw"",""KO"")"),"고대의 영광")</f>
        <v>고대의 영광</v>
      </c>
      <c r="Y34" s="209" t="s">
        <v>7930</v>
      </c>
      <c r="Z34" s="210" t="s">
        <v>12381</v>
      </c>
      <c r="AA34" s="390" t="s">
        <v>12382</v>
      </c>
      <c r="AB34" s="208" t="s">
        <v>7930</v>
      </c>
      <c r="AC34" s="209" t="str">
        <f>IFERROR(__xludf.DUMMYFUNCTION("GOOGLETRANSLATE(A34,""zh-tw"",""DE"")"),"Antiker Ruhm")</f>
        <v>Antiker Ruhm</v>
      </c>
      <c r="AD34" s="430" t="str">
        <f>IFERROR(__xludf.DUMMYFUNCTION("GOOGLETRANSLATE(B34,""zh-tw"",""DE"")"),"Du strahlst Glanz aus")</f>
        <v>Du strahlst Glanz aus</v>
      </c>
      <c r="AE34" s="395" t="str">
        <f>IFERROR(__xludf.DUMMYFUNCTION("GOOGLETRANSLATE(C34,""zh-tw"",""DE"")"),"Alle Attribute erhöht, vorübergehend unbesiegbar.")</f>
        <v>Alle Attribute erhöht, vorübergehend unbesiegbar.</v>
      </c>
      <c r="AF34" s="529" t="str">
        <f>IFERROR(__xludf.DUMMYFUNCTION("GOOGLETRANSLATE(D34,""zh-tw"",""DE"")"),"Antiker Ruhm")</f>
        <v>Antiker Ruhm</v>
      </c>
      <c r="AG34" s="133" t="s">
        <v>12383</v>
      </c>
      <c r="AH34" s="223" t="s">
        <v>12384</v>
      </c>
      <c r="AI34" s="531" t="s">
        <v>12385</v>
      </c>
      <c r="AJ34" s="532" t="s">
        <v>12383</v>
      </c>
      <c r="AK34" s="164" t="s">
        <v>7936</v>
      </c>
      <c r="AL34" s="166" t="s">
        <v>12386</v>
      </c>
      <c r="AM34" s="391" t="s">
        <v>12387</v>
      </c>
      <c r="AN34" s="165" t="s">
        <v>7936</v>
      </c>
      <c r="AO34" s="527"/>
      <c r="AP34" s="214"/>
      <c r="AQ34" s="398"/>
      <c r="AR34" s="528"/>
      <c r="AS34" s="533"/>
      <c r="AT34" s="533"/>
    </row>
    <row r="35">
      <c r="A35" s="527" t="s">
        <v>3537</v>
      </c>
      <c r="B35" s="214" t="s">
        <v>12388</v>
      </c>
      <c r="C35" s="398" t="s">
        <v>12389</v>
      </c>
      <c r="D35" s="528" t="s">
        <v>12390</v>
      </c>
      <c r="E35" s="527" t="s">
        <v>3540</v>
      </c>
      <c r="F35" s="214" t="s">
        <v>12391</v>
      </c>
      <c r="G35" s="395" t="str">
        <f>IFERROR(__xludf.DUMMYFUNCTION("GOOGLETRANSLATE(C35,""zh-tw"",""ja"")"),"スタミナを回復できない")</f>
        <v>スタミナを回復できない</v>
      </c>
      <c r="H35" s="528" t="s">
        <v>6665</v>
      </c>
      <c r="I35" s="527" t="s">
        <v>6667</v>
      </c>
      <c r="J35" s="214" t="s">
        <v>12392</v>
      </c>
      <c r="K35" s="398" t="s">
        <v>12393</v>
      </c>
      <c r="L35" s="528" t="s">
        <v>6667</v>
      </c>
      <c r="M35" s="394" t="str">
        <f>IFERROR(__xludf.DUMMYFUNCTION("GOOGLETRANSLATE(A35,""zh-tw"",""zh"")"),"稻草人")</f>
        <v>稻草人</v>
      </c>
      <c r="N35" s="430" t="str">
        <f>IFERROR(__xludf.DUMMYFUNCTION("GOOGLETRANSLATE(B35,""zh-tw"",""zh"")"),"不死的稻草人之心")</f>
        <v>不死的稻草人之心</v>
      </c>
      <c r="O35" s="395" t="str">
        <f>IFERROR(__xludf.DUMMYFUNCTION("GOOGLETRANSLATE(C35,""zh-tw"",""zh"")"),"无法回复体力")</f>
        <v>无法回复体力</v>
      </c>
      <c r="P35" s="529" t="str">
        <f>IFERROR(__xludf.DUMMYFUNCTION("GOOGLETRANSLATE(D35,""zh-tw"",""zh"")"),"稻草人之心")</f>
        <v>稻草人之心</v>
      </c>
      <c r="Q35" s="209" t="str">
        <f>IFERROR(__xludf.DUMMYFUNCTION("GOOGLETRANSLATE(A35,""zh-tw"",""es-MX"")"),"espantapájaros")</f>
        <v>espantapájaros</v>
      </c>
      <c r="R35" s="210" t="str">
        <f>IFERROR(__xludf.DUMMYFUNCTION("GOOGLETRANSLATE(B35,""zh-tw"",""es-MX"")"),"El corazón del espantapájaros inmortal")</f>
        <v>El corazón del espantapájaros inmortal</v>
      </c>
      <c r="S35" s="390" t="str">
        <f>IFERROR(__xludf.DUMMYFUNCTION("GOOGLETRANSLATE(C35,""zh-tw"",""es-MX"")"),"Incapaz de recuperar resistencia")</f>
        <v>Incapaz de recuperar resistencia</v>
      </c>
      <c r="T35" s="208" t="str">
        <f>IFERROR(__xludf.DUMMYFUNCTION("GOOGLETRANSLATE(D35,""zh-tw"",""es-MX"")"),"El corazón del espantapájaros")</f>
        <v>El corazón del espantapájaros</v>
      </c>
      <c r="U35" s="209" t="str">
        <f>IFERROR(__xludf.DUMMYFUNCTION("GOOGLETRANSLATE(A35,""zh-tw"",""KO"")"),"허수아비")</f>
        <v>허수아비</v>
      </c>
      <c r="V35" s="210" t="str">
        <f>IFERROR(__xludf.DUMMYFUNCTION("GOOGLETRANSLATE(B35,""zh-tw"",""KO"")"),"불멸의 허수아비의 심장")</f>
        <v>불멸의 허수아비의 심장</v>
      </c>
      <c r="W35" s="390" t="str">
        <f>IFERROR(__xludf.DUMMYFUNCTION("GOOGLETRANSLATE(C35,""zh-tw"",""KO"")"),"체력을 회복할 수 없습니다")</f>
        <v>체력을 회복할 수 없습니다</v>
      </c>
      <c r="X35" s="208" t="str">
        <f>IFERROR(__xludf.DUMMYFUNCTION("GOOGLETRANSLATE(D35,""zh-tw"",""KO"")"),"허수아비의 심장")</f>
        <v>허수아비의 심장</v>
      </c>
      <c r="Y35" s="209" t="s">
        <v>3549</v>
      </c>
      <c r="Z35" s="210" t="s">
        <v>12394</v>
      </c>
      <c r="AA35" s="390" t="s">
        <v>12395</v>
      </c>
      <c r="AB35" s="208" t="s">
        <v>6671</v>
      </c>
      <c r="AC35" s="394" t="str">
        <f>IFERROR(__xludf.DUMMYFUNCTION("GOOGLETRANSLATE(A35,""zh-tw"",""DE"")"),"Vogelscheuche")</f>
        <v>Vogelscheuche</v>
      </c>
      <c r="AD35" s="430" t="str">
        <f>IFERROR(__xludf.DUMMYFUNCTION("GOOGLETRANSLATE(B35,""zh-tw"",""DE"")"),"Das unsterbliche Herz der Vogelscheuche")</f>
        <v>Das unsterbliche Herz der Vogelscheuche</v>
      </c>
      <c r="AE35" s="395" t="str">
        <f>IFERROR(__xludf.DUMMYFUNCTION("GOOGLETRANSLATE(C35,""zh-tw"",""DE"")"),"Ausdauer kann nicht wiederhergestellt werden")</f>
        <v>Ausdauer kann nicht wiederhergestellt werden</v>
      </c>
      <c r="AF35" s="529" t="str">
        <f>IFERROR(__xludf.DUMMYFUNCTION("GOOGLETRANSLATE(D35,""zh-tw"",""DE"")"),"Vogelscheuchenherz")</f>
        <v>Vogelscheuchenherz</v>
      </c>
      <c r="AG35" s="133" t="s">
        <v>6675</v>
      </c>
      <c r="AH35" s="223" t="s">
        <v>12396</v>
      </c>
      <c r="AI35" s="531" t="s">
        <v>12397</v>
      </c>
      <c r="AJ35" s="532" t="s">
        <v>6675</v>
      </c>
      <c r="AK35" s="164" t="s">
        <v>6677</v>
      </c>
      <c r="AL35" s="166" t="s">
        <v>12398</v>
      </c>
      <c r="AM35" s="391" t="s">
        <v>12399</v>
      </c>
      <c r="AN35" s="165" t="s">
        <v>6677</v>
      </c>
      <c r="AO35" s="527"/>
      <c r="AP35" s="214"/>
      <c r="AQ35" s="398"/>
      <c r="AR35" s="528"/>
      <c r="AS35" s="533"/>
      <c r="AT35" s="533"/>
    </row>
    <row r="36">
      <c r="A36" s="527" t="s">
        <v>12400</v>
      </c>
      <c r="B36" s="214" t="s">
        <v>1273</v>
      </c>
      <c r="C36" s="398" t="s">
        <v>12401</v>
      </c>
      <c r="D36" s="528" t="s">
        <v>12402</v>
      </c>
      <c r="E36" s="394" t="str">
        <f>IFERROR(__xludf.DUMMYFUNCTION("GOOGLETRANSLATE(A36,""zh-tw"",""ja"")"),"水泳")</f>
        <v>水泳</v>
      </c>
      <c r="F36" s="430" t="str">
        <f>IFERROR(__xludf.DUMMYFUNCTION("GOOGLETRANSLATE(B36,""zh-tw"",""ja"")"),"-")</f>
        <v>-</v>
      </c>
      <c r="G36" s="395" t="str">
        <f>IFERROR(__xludf.DUMMYFUNCTION("GOOGLETRANSLATE(C36,""zh-tw"",""ja"")"),"水面に浮かんでいる間は、移動速度が低下し、攻撃は不可能になる。")</f>
        <v>水面に浮かんでいる間は、移動速度が低下し、攻撃は不可能になる。</v>
      </c>
      <c r="H36" s="529" t="str">
        <f>IFERROR(__xludf.DUMMYFUNCTION("GOOGLETRANSLATE(D36,""zh-tw"",""ja"")"),"泳ぐ")</f>
        <v>泳ぐ</v>
      </c>
      <c r="I36" s="527" t="s">
        <v>12403</v>
      </c>
      <c r="J36" s="430" t="str">
        <f>IFERROR(__xludf.DUMMYFUNCTION("GOOGLETRANSLATE(B36,""zh-tw"",""en"")"),"-")</f>
        <v>-</v>
      </c>
      <c r="K36" s="398" t="s">
        <v>12404</v>
      </c>
      <c r="L36" s="528" t="s">
        <v>12405</v>
      </c>
      <c r="M36" s="394" t="str">
        <f>IFERROR(__xludf.DUMMYFUNCTION("GOOGLETRANSLATE(A36,""zh-tw"",""zh"")"),"游泳中")</f>
        <v>游泳中</v>
      </c>
      <c r="N36" s="430" t="str">
        <f>IFERROR(__xludf.DUMMYFUNCTION("GOOGLETRANSLATE(B36,""zh-tw"",""zh"")"),"-")</f>
        <v>-</v>
      </c>
      <c r="O36" s="395" t="str">
        <f>IFERROR(__xludf.DUMMYFUNCTION("GOOGLETRANSLATE(C36,""zh-tw"",""zh"")"),"浮在水面上，移速下降，无法攻击")</f>
        <v>浮在水面上，移速下降，无法攻击</v>
      </c>
      <c r="P36" s="529" t="str">
        <f>IFERROR(__xludf.DUMMYFUNCTION("GOOGLETRANSLATE(D36,""zh-tw"",""zh"")"),"游泳")</f>
        <v>游泳</v>
      </c>
      <c r="Q36" s="209" t="str">
        <f>IFERROR(__xludf.DUMMYFUNCTION("GOOGLETRANSLATE(A36,""zh-tw"",""es-MX"")"),"Nadar")</f>
        <v>Nadar</v>
      </c>
      <c r="R36" s="210" t="str">
        <f>IFERROR(__xludf.DUMMYFUNCTION("GOOGLETRANSLATE(B36,""zh-tw"",""es-MX"")"),"-")</f>
        <v>-</v>
      </c>
      <c r="S36" s="390" t="str">
        <f>IFERROR(__xludf.DUMMYFUNCTION("GOOGLETRANSLATE(C36,""zh-tw"",""es-MX"")"),"Al flotar sobre el agua, la velocidad de movimiento disminuye y los ataques se vuelven imposibles.")</f>
        <v>Al flotar sobre el agua, la velocidad de movimiento disminuye y los ataques se vuelven imposibles.</v>
      </c>
      <c r="T36" s="208" t="str">
        <f>IFERROR(__xludf.DUMMYFUNCTION("GOOGLETRANSLATE(D36,""zh-tw"",""es-MX"")"),"nadar")</f>
        <v>nadar</v>
      </c>
      <c r="U36" s="209" t="str">
        <f>IFERROR(__xludf.DUMMYFUNCTION("GOOGLETRANSLATE(A36,""zh-tw"",""KO"")"),"수영")</f>
        <v>수영</v>
      </c>
      <c r="V36" s="210" t="str">
        <f>IFERROR(__xludf.DUMMYFUNCTION("GOOGLETRANSLATE(B36,""zh-tw"",""KO"")"),"-")</f>
        <v>-</v>
      </c>
      <c r="W36" s="390" t="str">
        <f>IFERROR(__xludf.DUMMYFUNCTION("GOOGLETRANSLATE(C36,""zh-tw"",""KO"")"),"물 위에 떠 있으면 이동 속도가 감소하고 공격이 불가능해집니다.")</f>
        <v>물 위에 떠 있으면 이동 속도가 감소하고 공격이 불가능해집니다.</v>
      </c>
      <c r="X36" s="208" t="str">
        <f>IFERROR(__xludf.DUMMYFUNCTION("GOOGLETRANSLATE(D36,""zh-tw"",""KO"")"),"헤엄")</f>
        <v>헤엄</v>
      </c>
      <c r="Y36" s="209" t="s">
        <v>12406</v>
      </c>
      <c r="Z36" s="210" t="s">
        <v>1273</v>
      </c>
      <c r="AA36" s="390" t="s">
        <v>12407</v>
      </c>
      <c r="AB36" s="208" t="s">
        <v>12406</v>
      </c>
      <c r="AC36" s="394" t="str">
        <f>IFERROR(__xludf.DUMMYFUNCTION("GOOGLETRANSLATE(A36,""zh-tw"",""DE"")"),"Baden")</f>
        <v>Baden</v>
      </c>
      <c r="AD36" s="430" t="str">
        <f>IFERROR(__xludf.DUMMYFUNCTION("GOOGLETRANSLATE(B36,""zh-tw"",""DE"")"),"-")</f>
        <v>-</v>
      </c>
      <c r="AE36" s="395" t="str">
        <f>IFERROR(__xludf.DUMMYFUNCTION("GOOGLETRANSLATE(C36,""zh-tw"",""DE"")"),"Auf dem Wasser treibend, verringert sich die Bewegungsgeschwindigkeit und Angriffe werden unmöglich.")</f>
        <v>Auf dem Wasser treibend, verringert sich die Bewegungsgeschwindigkeit und Angriffe werden unmöglich.</v>
      </c>
      <c r="AF36" s="529" t="str">
        <f>IFERROR(__xludf.DUMMYFUNCTION("GOOGLETRANSLATE(D36,""zh-tw"",""DE"")"),"schwimmen")</f>
        <v>schwimmen</v>
      </c>
      <c r="AG36" s="133" t="s">
        <v>12408</v>
      </c>
      <c r="AH36" s="446" t="s">
        <v>1273</v>
      </c>
      <c r="AI36" s="534" t="s">
        <v>12409</v>
      </c>
      <c r="AJ36" s="532" t="s">
        <v>12410</v>
      </c>
      <c r="AK36" s="164" t="s">
        <v>12411</v>
      </c>
      <c r="AL36" s="166" t="s">
        <v>1273</v>
      </c>
      <c r="AM36" s="391" t="s">
        <v>12412</v>
      </c>
      <c r="AN36" s="165" t="s">
        <v>12413</v>
      </c>
      <c r="AO36" s="527"/>
      <c r="AP36" s="214"/>
      <c r="AQ36" s="398"/>
      <c r="AR36" s="528"/>
      <c r="AS36" s="533"/>
      <c r="AT36" s="533"/>
    </row>
    <row r="37">
      <c r="A37" s="527" t="s">
        <v>12414</v>
      </c>
      <c r="B37" s="214" t="s">
        <v>12415</v>
      </c>
      <c r="C37" s="398" t="s">
        <v>12416</v>
      </c>
      <c r="D37" s="528" t="s">
        <v>6834</v>
      </c>
      <c r="E37" s="394" t="str">
        <f>IFERROR(__xludf.DUMMYFUNCTION("GOOGLETRANSLATE(A37,""zh-tw"",""ja"")"),"騎士道精神")</f>
        <v>騎士道精神</v>
      </c>
      <c r="F37" s="430" t="str">
        <f>IFERROR(__xludf.DUMMYFUNCTION("GOOGLETRANSLATE(B37,""zh-tw"",""ja"")"),"私たちは守護者だ。")</f>
        <v>私たちは守護者だ。</v>
      </c>
      <c r="G37" s="395" t="str">
        <f>IFERROR(__xludf.DUMMYFUNCTION("GOOGLETRANSLATE(C37,""zh-tw"",""ja"")"),"攻撃力が30増加")</f>
        <v>攻撃力が30増加</v>
      </c>
      <c r="H37" s="529" t="str">
        <f>IFERROR(__xludf.DUMMYFUNCTION("GOOGLETRANSLATE(D37,""zh-tw"",""ja"")"),"騎士の剣")</f>
        <v>騎士の剣</v>
      </c>
      <c r="I37" s="527" t="s">
        <v>12417</v>
      </c>
      <c r="J37" s="214" t="s">
        <v>12418</v>
      </c>
      <c r="K37" s="398" t="s">
        <v>12419</v>
      </c>
      <c r="L37" s="528" t="s">
        <v>6837</v>
      </c>
      <c r="M37" s="394" t="str">
        <f>IFERROR(__xludf.DUMMYFUNCTION("GOOGLETRANSLATE(A37,""zh-tw"",""zh"")"),"骑士精神")</f>
        <v>骑士精神</v>
      </c>
      <c r="N37" s="430" t="str">
        <f>IFERROR(__xludf.DUMMYFUNCTION("GOOGLETRANSLATE(B37,""zh-tw"",""zh"")"),"我等乃是守护者")</f>
        <v>我等乃是守护者</v>
      </c>
      <c r="O37" s="395" t="str">
        <f>IFERROR(__xludf.DUMMYFUNCTION("GOOGLETRANSLATE(C37,""zh-tw"",""zh"")"),"攻击力提升30")</f>
        <v>攻击力提升30</v>
      </c>
      <c r="P37" s="529" t="str">
        <f>IFERROR(__xludf.DUMMYFUNCTION("GOOGLETRANSLATE(D37,""zh-tw"",""zh"")"),"骑士之剑")</f>
        <v>骑士之剑</v>
      </c>
      <c r="Q37" s="209" t="str">
        <f>IFERROR(__xludf.DUMMYFUNCTION("GOOGLETRANSLATE(A37,""zh-tw"",""es-MX"")"),"Caballería")</f>
        <v>Caballería</v>
      </c>
      <c r="R37" s="210" t="str">
        <f>IFERROR(__xludf.DUMMYFUNCTION("GOOGLETRANSLATE(B37,""zh-tw"",""es-MX"")"),"Nosotros somos los guardianes.")</f>
        <v>Nosotros somos los guardianes.</v>
      </c>
      <c r="S37" s="390" t="str">
        <f>IFERROR(__xludf.DUMMYFUNCTION("GOOGLETRANSLATE(C37,""zh-tw"",""es-MX"")"),"El poder de ataque aumentó en 30.")</f>
        <v>El poder de ataque aumentó en 30.</v>
      </c>
      <c r="T37" s="208" t="str">
        <f>IFERROR(__xludf.DUMMYFUNCTION("GOOGLETRANSLATE(D37,""zh-tw"",""es-MX"")"),"Espada de caballero")</f>
        <v>Espada de caballero</v>
      </c>
      <c r="U37" s="209" t="str">
        <f>IFERROR(__xludf.DUMMYFUNCTION("GOOGLETRANSLATE(A37,""zh-tw"",""KO"")"),"기사도")</f>
        <v>기사도</v>
      </c>
      <c r="V37" s="210" t="str">
        <f>IFERROR(__xludf.DUMMYFUNCTION("GOOGLETRANSLATE(B37,""zh-tw"",""KO"")"),"우리는 수호자입니다.")</f>
        <v>우리는 수호자입니다.</v>
      </c>
      <c r="W37" s="390" t="str">
        <f>IFERROR(__xludf.DUMMYFUNCTION("GOOGLETRANSLATE(C37,""zh-tw"",""KO"")"),"공격력이 30 증가했습니다.")</f>
        <v>공격력이 30 증가했습니다.</v>
      </c>
      <c r="X37" s="208" t="str">
        <f>IFERROR(__xludf.DUMMYFUNCTION("GOOGLETRANSLATE(D37,""zh-tw"",""KO"")"),"기사의 검")</f>
        <v>기사의 검</v>
      </c>
      <c r="Y37" s="209" t="s">
        <v>12420</v>
      </c>
      <c r="Z37" s="210" t="s">
        <v>12421</v>
      </c>
      <c r="AA37" s="390" t="s">
        <v>12422</v>
      </c>
      <c r="AB37" s="208" t="s">
        <v>6841</v>
      </c>
      <c r="AC37" s="394" t="str">
        <f>IFERROR(__xludf.DUMMYFUNCTION("GOOGLETRANSLATE(A37,""zh-tw"",""DE"")"),"Ritterlichkeit")</f>
        <v>Ritterlichkeit</v>
      </c>
      <c r="AD37" s="430" t="str">
        <f>IFERROR(__xludf.DUMMYFUNCTION("GOOGLETRANSLATE(B37,""zh-tw"",""DE"")"),"Wir sind die Wächter.")</f>
        <v>Wir sind die Wächter.</v>
      </c>
      <c r="AE37" s="395" t="str">
        <f>IFERROR(__xludf.DUMMYFUNCTION("GOOGLETRANSLATE(C37,""zh-tw"",""DE"")"),"Angriffskraft um 30 erhöht")</f>
        <v>Angriffskraft um 30 erhöht</v>
      </c>
      <c r="AF37" s="529" t="str">
        <f>IFERROR(__xludf.DUMMYFUNCTION("GOOGLETRANSLATE(D37,""zh-tw"",""DE"")"),"Ritterschwert")</f>
        <v>Ritterschwert</v>
      </c>
      <c r="AG37" s="133" t="s">
        <v>12423</v>
      </c>
      <c r="AH37" s="223" t="s">
        <v>12424</v>
      </c>
      <c r="AI37" s="534" t="s">
        <v>12425</v>
      </c>
      <c r="AJ37" s="532" t="s">
        <v>6846</v>
      </c>
      <c r="AK37" s="164" t="s">
        <v>12426</v>
      </c>
      <c r="AL37" s="166" t="s">
        <v>12427</v>
      </c>
      <c r="AM37" s="391" t="s">
        <v>12428</v>
      </c>
      <c r="AN37" s="165" t="s">
        <v>6848</v>
      </c>
      <c r="AO37" s="527"/>
      <c r="AP37" s="214"/>
      <c r="AQ37" s="398"/>
      <c r="AR37" s="528"/>
      <c r="AS37" s="533"/>
      <c r="AT37" s="533"/>
    </row>
    <row r="38">
      <c r="A38" s="527" t="s">
        <v>12429</v>
      </c>
      <c r="B38" s="214" t="s">
        <v>12430</v>
      </c>
      <c r="C38" s="398" t="s">
        <v>12431</v>
      </c>
      <c r="D38" s="528" t="s">
        <v>8892</v>
      </c>
      <c r="E38" s="527" t="s">
        <v>12432</v>
      </c>
      <c r="F38" s="214" t="s">
        <v>12433</v>
      </c>
      <c r="G38" s="395" t="str">
        <f>IFERROR(__xludf.DUMMYFUNCTION("GOOGLETRANSLATE(C38,""zh-tw"",""ja"")"),"スタミナは自動的に回復します。")</f>
        <v>スタミナは自動的に回復します。</v>
      </c>
      <c r="H38" s="528" t="s">
        <v>12434</v>
      </c>
      <c r="I38" s="527" t="s">
        <v>12435</v>
      </c>
      <c r="J38" s="214" t="s">
        <v>12436</v>
      </c>
      <c r="K38" s="398" t="s">
        <v>12437</v>
      </c>
      <c r="L38" s="528" t="s">
        <v>12438</v>
      </c>
      <c r="M38" s="394" t="str">
        <f>IFERROR(__xludf.DUMMYFUNCTION("GOOGLETRANSLATE(A38,""zh-tw"",""zh"")"),"妹妹的胖次")</f>
        <v>妹妹的胖次</v>
      </c>
      <c r="N38" s="430" t="str">
        <f>IFERROR(__xludf.DUMMYFUNCTION("GOOGLETRANSLATE(B38,""zh-tw"",""zh"")"),"就感觉妹妹在身边一样……")</f>
        <v>就感觉妹妹在身边一样……</v>
      </c>
      <c r="O38" s="395" t="str">
        <f>IFERROR(__xludf.DUMMYFUNCTION("GOOGLETRANSLATE(C38,""zh-tw"",""zh"")"),"体力自动恢复中")</f>
        <v>体力自动恢复中</v>
      </c>
      <c r="P38" s="529" t="str">
        <f>IFERROR(__xludf.DUMMYFUNCTION("GOOGLETRANSLATE(D38,""zh-tw"",""zh"")"),"妹妹脱下的内裤")</f>
        <v>妹妹脱下的内裤</v>
      </c>
      <c r="Q38" s="209" t="str">
        <f>IFERROR(__xludf.DUMMYFUNCTION("GOOGLETRANSLATE(A38,""zh-tw"",""es-MX"")"),"Las bragas de mi hermana")</f>
        <v>Las bragas de mi hermana</v>
      </c>
      <c r="R38" s="210" t="str">
        <f>IFERROR(__xludf.DUMMYFUNCTION("GOOGLETRANSLATE(B38,""zh-tw"",""es-MX"")"),"Siento como si mi hermana estuviera justo a mi lado...")</f>
        <v>Siento como si mi hermana estuviera justo a mi lado...</v>
      </c>
      <c r="S38" s="390" t="str">
        <f>IFERROR(__xludf.DUMMYFUNCTION("GOOGLETRANSLATE(C38,""zh-tw"",""es-MX"")"),"La resistencia se recupera automáticamente.")</f>
        <v>La resistencia se recupera automáticamente.</v>
      </c>
      <c r="T38" s="208" t="str">
        <f>IFERROR(__xludf.DUMMYFUNCTION("GOOGLETRANSLATE(D38,""zh-tw"",""es-MX"")"),"La ropa interior de mi hermana")</f>
        <v>La ropa interior de mi hermana</v>
      </c>
      <c r="U38" s="209" t="str">
        <f>IFERROR(__xludf.DUMMYFUNCTION("GOOGLETRANSLATE(A38,""zh-tw"",""KO"")"),"내 여동생의 팬티")</f>
        <v>내 여동생의 팬티</v>
      </c>
      <c r="V38" s="210" t="str">
        <f>IFERROR(__xludf.DUMMYFUNCTION("GOOGLETRANSLATE(B38,""zh-tw"",""KO"")"),"마치 내 여동생이 바로 옆에 있는 것 같은 느낌이 들어요...")</f>
        <v>마치 내 여동생이 바로 옆에 있는 것 같은 느낌이 들어요...</v>
      </c>
      <c r="W38" s="390" t="str">
        <f>IFERROR(__xludf.DUMMYFUNCTION("GOOGLETRANSLATE(C38,""zh-tw"",""KO"")"),"체력은 자동으로 회복됩니다.")</f>
        <v>체력은 자동으로 회복됩니다.</v>
      </c>
      <c r="X38" s="208" t="str">
        <f>IFERROR(__xludf.DUMMYFUNCTION("GOOGLETRANSLATE(D38,""zh-tw"",""KO"")"),"내 여동생의 속옷")</f>
        <v>내 여동생의 속옷</v>
      </c>
      <c r="Y38" s="209" t="s">
        <v>12439</v>
      </c>
      <c r="Z38" s="210" t="s">
        <v>12440</v>
      </c>
      <c r="AA38" s="390" t="s">
        <v>12441</v>
      </c>
      <c r="AB38" s="208" t="s">
        <v>12442</v>
      </c>
      <c r="AC38" s="394" t="str">
        <f>IFERROR(__xludf.DUMMYFUNCTION("GOOGLETRANSLATE(A38,""zh-tw"",""DE"")"),"Die Höschen meiner Schwester")</f>
        <v>Die Höschen meiner Schwester</v>
      </c>
      <c r="AD38" s="430" t="str">
        <f>IFERROR(__xludf.DUMMYFUNCTION("GOOGLETRANSLATE(B38,""zh-tw"",""DE"")"),"Es fühlt sich an, als wäre meine Schwester direkt neben mir...")</f>
        <v>Es fühlt sich an, als wäre meine Schwester direkt neben mir...</v>
      </c>
      <c r="AE38" s="395" t="str">
        <f>IFERROR(__xludf.DUMMYFUNCTION("GOOGLETRANSLATE(C38,""zh-tw"",""DE"")"),"Die Ausdauer regeneriert sich automatisch.")</f>
        <v>Die Ausdauer regeneriert sich automatisch.</v>
      </c>
      <c r="AF38" s="529" t="str">
        <f>IFERROR(__xludf.DUMMYFUNCTION("GOOGLETRANSLATE(D38,""zh-tw"",""DE"")"),"Die Unterwäsche meiner Schwester")</f>
        <v>Die Unterwäsche meiner Schwester</v>
      </c>
      <c r="AG38" s="133" t="s">
        <v>12443</v>
      </c>
      <c r="AH38" s="223" t="s">
        <v>12444</v>
      </c>
      <c r="AI38" s="534" t="s">
        <v>12445</v>
      </c>
      <c r="AJ38" s="532" t="s">
        <v>12446</v>
      </c>
      <c r="AK38" s="164" t="s">
        <v>12447</v>
      </c>
      <c r="AL38" s="166" t="s">
        <v>12448</v>
      </c>
      <c r="AM38" s="391" t="s">
        <v>12449</v>
      </c>
      <c r="AN38" s="165" t="s">
        <v>12450</v>
      </c>
      <c r="AO38" s="527"/>
      <c r="AP38" s="214"/>
      <c r="AQ38" s="398"/>
      <c r="AR38" s="528"/>
      <c r="AS38" s="533"/>
      <c r="AT38" s="533"/>
    </row>
    <row r="39">
      <c r="A39" s="527" t="s">
        <v>12451</v>
      </c>
      <c r="B39" s="214" t="s">
        <v>12452</v>
      </c>
      <c r="C39" s="398" t="s">
        <v>12453</v>
      </c>
      <c r="D39" s="528" t="s">
        <v>12454</v>
      </c>
      <c r="E39" s="527" t="s">
        <v>12455</v>
      </c>
      <c r="F39" s="214" t="s">
        <v>12456</v>
      </c>
      <c r="G39" s="398" t="s">
        <v>12457</v>
      </c>
      <c r="H39" s="528" t="s">
        <v>12458</v>
      </c>
      <c r="I39" s="527" t="s">
        <v>12459</v>
      </c>
      <c r="J39" s="214" t="s">
        <v>12460</v>
      </c>
      <c r="K39" s="398" t="s">
        <v>12461</v>
      </c>
      <c r="L39" s="528" t="s">
        <v>12462</v>
      </c>
      <c r="M39" s="394" t="str">
        <f>IFERROR(__xludf.DUMMYFUNCTION("GOOGLETRANSLATE(A39,""zh-tw"",""zh"")"),"咕噜咕噜")</f>
        <v>咕噜咕噜</v>
      </c>
      <c r="N39" s="430" t="str">
        <f>IFERROR(__xludf.DUMMYFUNCTION("GOOGLETRANSLATE(B39,""zh-tw"",""zh"")"),"吃坏了肚子......")</f>
        <v>吃坏了肚子......</v>
      </c>
      <c r="O39" s="395" t="str">
        <f>IFERROR(__xludf.DUMMYFUNCTION("GOOGLETRANSLATE(C39,""zh-tw"",""zh"")"),"腹痛不止！")</f>
        <v>腹痛不止！</v>
      </c>
      <c r="P39" s="529" t="str">
        <f>IFERROR(__xludf.DUMMYFUNCTION("GOOGLETRANSLATE(D39,""zh-tw"",""zh"")"),"毒料理")</f>
        <v>毒料理</v>
      </c>
      <c r="Q39" s="209" t="str">
        <f>IFERROR(__xludf.DUMMYFUNCTION("GOOGLETRANSLATE(A39,""zh-tw"",""es-MX"")"),"Glug glug")</f>
        <v>Glug glug</v>
      </c>
      <c r="R39" s="210" t="str">
        <f>IFERROR(__xludf.DUMMYFUNCTION("GOOGLETRANSLATE(B39,""zh-tw"",""es-MX"")"),"Me duele el estómago...")</f>
        <v>Me duele el estómago...</v>
      </c>
      <c r="S39" s="390" t="str">
        <f>IFERROR(__xludf.DUMMYFUNCTION("GOOGLETRANSLATE(C39,""zh-tw"",""es-MX"")"),"¡No se me quita el dolor de estómago!")</f>
        <v>¡No se me quita el dolor de estómago!</v>
      </c>
      <c r="T39" s="208" t="str">
        <f>IFERROR(__xludf.DUMMYFUNCTION("GOOGLETRANSLATE(D39,""zh-tw"",""es-MX"")"),"cocina venenosa")</f>
        <v>cocina venenosa</v>
      </c>
      <c r="U39" s="209" t="str">
        <f>IFERROR(__xludf.DUMMYFUNCTION("GOOGLETRANSLATE(A39,""zh-tw"",""KO"")"),"꿀꺽꿀꺽")</f>
        <v>꿀꺽꿀꺽</v>
      </c>
      <c r="V39" s="210" t="str">
        <f>IFERROR(__xludf.DUMMYFUNCTION("GOOGLETRANSLATE(B39,""zh-tw"",""KO"")"),"배탈이 났어요...")</f>
        <v>배탈이 났어요...</v>
      </c>
      <c r="W39" s="390" t="str">
        <f>IFERROR(__xludf.DUMMYFUNCTION("GOOGLETRANSLATE(C39,""zh-tw"",""KO"")"),"배가 너무 아파요! 멈추지 않아요!")</f>
        <v>배가 너무 아파요! 멈추지 않아요!</v>
      </c>
      <c r="X39" s="208" t="str">
        <f>IFERROR(__xludf.DUMMYFUNCTION("GOOGLETRANSLATE(D39,""zh-tw"",""KO"")"),"독성 음식")</f>
        <v>독성 음식</v>
      </c>
      <c r="Y39" s="209" t="s">
        <v>12463</v>
      </c>
      <c r="Z39" s="210" t="s">
        <v>12464</v>
      </c>
      <c r="AA39" s="390" t="s">
        <v>12465</v>
      </c>
      <c r="AB39" s="208" t="s">
        <v>12466</v>
      </c>
      <c r="AC39" s="394" t="str">
        <f>IFERROR(__xludf.DUMMYFUNCTION("GOOGLETRANSLATE(A39,""zh-tw"",""DE"")"),"Glucks, glucks")</f>
        <v>Glucks, glucks</v>
      </c>
      <c r="AD39" s="430" t="str">
        <f>IFERROR(__xludf.DUMMYFUNCTION("GOOGLETRANSLATE(B39,""zh-tw"",""DE"")"),"Ich habe Magenbeschwerden...")</f>
        <v>Ich habe Magenbeschwerden...</v>
      </c>
      <c r="AE39" s="395" t="str">
        <f>IFERROR(__xludf.DUMMYFUNCTION("GOOGLETRANSLATE(C39,""zh-tw"",""DE"")"),"Meine Magenschmerzen hören nicht auf!")</f>
        <v>Meine Magenschmerzen hören nicht auf!</v>
      </c>
      <c r="AF39" s="529" t="str">
        <f>IFERROR(__xludf.DUMMYFUNCTION("GOOGLETRANSLATE(D39,""zh-tw"",""DE"")"),"giftige Küche")</f>
        <v>giftige Küche</v>
      </c>
      <c r="AG39" s="133" t="s">
        <v>12467</v>
      </c>
      <c r="AH39" s="223" t="s">
        <v>12468</v>
      </c>
      <c r="AI39" s="534" t="s">
        <v>12469</v>
      </c>
      <c r="AJ39" s="532" t="s">
        <v>12470</v>
      </c>
      <c r="AK39" s="164" t="s">
        <v>12459</v>
      </c>
      <c r="AL39" s="166" t="s">
        <v>12471</v>
      </c>
      <c r="AM39" s="391" t="s">
        <v>12472</v>
      </c>
      <c r="AN39" s="165" t="s">
        <v>12473</v>
      </c>
      <c r="AO39" s="527"/>
      <c r="AP39" s="214"/>
      <c r="AQ39" s="398"/>
      <c r="AR39" s="528"/>
      <c r="AS39" s="533"/>
      <c r="AT39" s="533"/>
    </row>
    <row r="40">
      <c r="A40" s="527" t="s">
        <v>12474</v>
      </c>
      <c r="B40" s="214" t="s">
        <v>12475</v>
      </c>
      <c r="C40" s="398" t="s">
        <v>12476</v>
      </c>
      <c r="D40" s="528" t="s">
        <v>12477</v>
      </c>
      <c r="E40" s="527" t="s">
        <v>12478</v>
      </c>
      <c r="F40" s="214" t="s">
        <v>12479</v>
      </c>
      <c r="G40" s="398" t="s">
        <v>12480</v>
      </c>
      <c r="H40" s="528" t="s">
        <v>12481</v>
      </c>
      <c r="I40" s="527" t="s">
        <v>12482</v>
      </c>
      <c r="J40" s="214" t="s">
        <v>12483</v>
      </c>
      <c r="K40" s="398" t="s">
        <v>12484</v>
      </c>
      <c r="L40" s="528" t="s">
        <v>12485</v>
      </c>
      <c r="M40" s="394" t="str">
        <f>IFERROR(__xludf.DUMMYFUNCTION("GOOGLETRANSLATE(A40,""zh-tw"",""zh"")"),"咕噜咕噜咕噜")</f>
        <v>咕噜咕噜咕噜</v>
      </c>
      <c r="N40" s="430" t="str">
        <f>IFERROR(__xludf.DUMMYFUNCTION("GOOGLETRANSLATE(B40,""zh-tw"",""zh"")"),"菊花残、满地伤...")</f>
        <v>菊花残、满地伤...</v>
      </c>
      <c r="O40" s="395" t="str">
        <f>IFERROR(__xludf.DUMMYFUNCTION("GOOGLETRANSLATE(C40,""zh-tw"",""zh"")"),"因屁股疼痛无法奔跑和冲刺！")</f>
        <v>因屁股疼痛无法奔跑和冲刺！</v>
      </c>
      <c r="P40" s="529" t="str">
        <f>IFERROR(__xludf.DUMMYFUNCTION("GOOGLETRANSLATE(D40,""zh-tw"",""zh"")"),"毒辣料理")</f>
        <v>毒辣料理</v>
      </c>
      <c r="Q40" s="209" t="str">
        <f>IFERROR(__xludf.DUMMYFUNCTION("GOOGLETRANSLATE(A40,""zh-tw"",""es-MX"")"),"Glug glug glug")</f>
        <v>Glug glug glug</v>
      </c>
      <c r="R40" s="210" t="str">
        <f>IFERROR(__xludf.DUMMYFUNCTION("GOOGLETRANSLATE(B40,""zh-tw"",""es-MX"")"),"Los crisantemos se marchitaron, las heridas quedaron esparcidas por el suelo...")</f>
        <v>Los crisantemos se marchitaron, las heridas quedaron esparcidas por el suelo...</v>
      </c>
      <c r="S40" s="390" t="str">
        <f>IFERROR(__xludf.DUMMYFUNCTION("GOOGLETRANSLATE(C40,""zh-tw"",""es-MX"")"),"¡No puedo correr ni esprintar por el dolor en los glúteos!")</f>
        <v>¡No puedo correr ni esprintar por el dolor en los glúteos!</v>
      </c>
      <c r="T40" s="208" t="str">
        <f>IFERROR(__xludf.DUMMYFUNCTION("GOOGLETRANSLATE(D40,""zh-tw"",""es-MX"")"),"Comida picante")</f>
        <v>Comida picante</v>
      </c>
      <c r="U40" s="209" t="str">
        <f>IFERROR(__xludf.DUMMYFUNCTION("GOOGLETRANSLATE(A40,""zh-tw"",""KO"")"),"꿀꺽꿀꺽꿀꺽")</f>
        <v>꿀꺽꿀꺽꿀꺽</v>
      </c>
      <c r="V40" s="210" t="str">
        <f>IFERROR(__xludf.DUMMYFUNCTION("GOOGLETRANSLATE(B40,""zh-tw"",""KO"")"),"시든 국화, 땅에 흩어진 상처들...")</f>
        <v>시든 국화, 땅에 흩어진 상처들...</v>
      </c>
      <c r="W40" s="390" t="str">
        <f>IFERROR(__xludf.DUMMYFUNCTION("GOOGLETRANSLATE(C40,""zh-tw"",""KO"")"),"엉덩이 통증 때문에 뛰거나 전력 질주를 할 수 없어요!")</f>
        <v>엉덩이 통증 때문에 뛰거나 전력 질주를 할 수 없어요!</v>
      </c>
      <c r="X40" s="208" t="str">
        <f>IFERROR(__xludf.DUMMYFUNCTION("GOOGLETRANSLATE(D40,""zh-tw"",""KO"")"),"매운 음식")</f>
        <v>매운 음식</v>
      </c>
      <c r="Y40" s="209" t="s">
        <v>12486</v>
      </c>
      <c r="Z40" s="210" t="s">
        <v>12487</v>
      </c>
      <c r="AA40" s="390" t="s">
        <v>12488</v>
      </c>
      <c r="AB40" s="208" t="s">
        <v>12489</v>
      </c>
      <c r="AC40" s="394" t="str">
        <f>IFERROR(__xludf.DUMMYFUNCTION("GOOGLETRANSLATE(A40,""zh-tw"",""DE"")"),"Glucks, glucks, glucks")</f>
        <v>Glucks, glucks, glucks</v>
      </c>
      <c r="AD40" s="430" t="str">
        <f>IFERROR(__xludf.DUMMYFUNCTION("GOOGLETRANSLATE(B40,""zh-tw"",""DE"")"),"Chrysanthemen verwelkten, Wunden lagen verstreut auf dem Boden...")</f>
        <v>Chrysanthemen verwelkten, Wunden lagen verstreut auf dem Boden...</v>
      </c>
      <c r="AE40" s="395" t="str">
        <f>IFERROR(__xludf.DUMMYFUNCTION("GOOGLETRANSLATE(C40,""zh-tw"",""DE"")"),"Ich kann wegen der Schmerzen im Gesäßbereich weder rennen noch sprinten!")</f>
        <v>Ich kann wegen der Schmerzen im Gesäßbereich weder rennen noch sprinten!</v>
      </c>
      <c r="AF40" s="529" t="str">
        <f>IFERROR(__xludf.DUMMYFUNCTION("GOOGLETRANSLATE(D40,""zh-tw"",""DE"")"),"scharfes Essen")</f>
        <v>scharfes Essen</v>
      </c>
      <c r="AG40" s="133" t="s">
        <v>12490</v>
      </c>
      <c r="AH40" s="223" t="s">
        <v>12491</v>
      </c>
      <c r="AI40" s="534" t="s">
        <v>12492</v>
      </c>
      <c r="AJ40" s="532" t="s">
        <v>12493</v>
      </c>
      <c r="AK40" s="164" t="s">
        <v>12482</v>
      </c>
      <c r="AL40" s="166" t="s">
        <v>12494</v>
      </c>
      <c r="AM40" s="391" t="s">
        <v>12495</v>
      </c>
      <c r="AN40" s="165" t="s">
        <v>12496</v>
      </c>
      <c r="AO40" s="527"/>
      <c r="AP40" s="214"/>
      <c r="AQ40" s="398"/>
      <c r="AR40" s="528"/>
      <c r="AS40" s="533"/>
      <c r="AT40" s="533"/>
    </row>
    <row r="41">
      <c r="A41" s="527" t="s">
        <v>12497</v>
      </c>
      <c r="B41" s="214" t="s">
        <v>12498</v>
      </c>
      <c r="C41" s="398" t="s">
        <v>12499</v>
      </c>
      <c r="D41" s="528" t="s">
        <v>12500</v>
      </c>
      <c r="E41" s="527" t="s">
        <v>12501</v>
      </c>
      <c r="F41" s="214" t="s">
        <v>12502</v>
      </c>
      <c r="G41" s="398" t="s">
        <v>12503</v>
      </c>
      <c r="H41" s="528" t="s">
        <v>12504</v>
      </c>
      <c r="I41" s="527" t="s">
        <v>12505</v>
      </c>
      <c r="J41" s="214" t="s">
        <v>12506</v>
      </c>
      <c r="K41" s="398" t="s">
        <v>12507</v>
      </c>
      <c r="L41" s="529"/>
      <c r="M41" s="394" t="str">
        <f>IFERROR(__xludf.DUMMYFUNCTION("GOOGLETRANSLATE(A41,""zh-tw"",""zh"")"),"早点回家吧")</f>
        <v>早点回家吧</v>
      </c>
      <c r="N41" s="430" t="str">
        <f>IFERROR(__xludf.DUMMYFUNCTION("GOOGLETRANSLATE(B41,""zh-tw"",""zh"")"),"热死了.....")</f>
        <v>热死了.....</v>
      </c>
      <c r="O41" s="395" t="str">
        <f>IFERROR(__xludf.DUMMYFUNCTION("GOOGLETRANSLATE(C41,""zh-tw"",""zh"")"),"因为炎热浑身无力...")</f>
        <v>因为炎热浑身无力...</v>
      </c>
      <c r="P41" s="529" t="str">
        <f>IFERROR(__xludf.DUMMYFUNCTION("GOOGLETRANSLATE(D41,""zh-tw"",""zh"")"),"炎热天气")</f>
        <v>炎热天气</v>
      </c>
      <c r="Q41" s="209" t="str">
        <f>IFERROR(__xludf.DUMMYFUNCTION("GOOGLETRANSLATE(A41,""zh-tw"",""es-MX"")"),"Vuelve a casa temprano.")</f>
        <v>Vuelve a casa temprano.</v>
      </c>
      <c r="R41" s="210" t="str">
        <f>IFERROR(__xludf.DUMMYFUNCTION("GOOGLETRANSLATE(B41,""zh-tw"",""es-MX"")"),"Hace muchísimo calor...")</f>
        <v>Hace muchísimo calor...</v>
      </c>
      <c r="S41" s="390" t="str">
        <f>IFERROR(__xludf.DUMMYFUNCTION("GOOGLETRANSLATE(C41,""zh-tw"",""es-MX"")"),"Me siento débil por completo a causa del calor...")</f>
        <v>Me siento débil por completo a causa del calor...</v>
      </c>
      <c r="T41" s="208" t="str">
        <f>IFERROR(__xludf.DUMMYFUNCTION("GOOGLETRANSLATE(D41,""zh-tw"",""es-MX"")"),"clima cálido")</f>
        <v>clima cálido</v>
      </c>
      <c r="U41" s="209" t="str">
        <f>IFERROR(__xludf.DUMMYFUNCTION("GOOGLETRANSLATE(A41,""zh-tw"",""KO"")"),"일찍 집에 가세요.")</f>
        <v>일찍 집에 가세요.</v>
      </c>
      <c r="V41" s="210" t="str">
        <f>IFERROR(__xludf.DUMMYFUNCTION("GOOGLETRANSLATE(B41,""zh-tw"",""KO"")"),"너무 덥다.....")</f>
        <v>너무 덥다.....</v>
      </c>
      <c r="W41" s="390" t="str">
        <f>IFERROR(__xludf.DUMMYFUNCTION("GOOGLETRANSLATE(C41,""zh-tw"",""KO"")"),"더위 때문에 온몸이 힘이 빠지는 것 같아요...")</f>
        <v>더위 때문에 온몸이 힘이 빠지는 것 같아요...</v>
      </c>
      <c r="X41" s="208" t="str">
        <f>IFERROR(__xludf.DUMMYFUNCTION("GOOGLETRANSLATE(D41,""zh-tw"",""KO"")"),"더운 날씨")</f>
        <v>더운 날씨</v>
      </c>
      <c r="Y41" s="209" t="s">
        <v>12508</v>
      </c>
      <c r="Z41" s="210" t="s">
        <v>12509</v>
      </c>
      <c r="AA41" s="390" t="s">
        <v>12510</v>
      </c>
      <c r="AB41" s="208" t="s">
        <v>12511</v>
      </c>
      <c r="AC41" s="394" t="str">
        <f>IFERROR(__xludf.DUMMYFUNCTION("GOOGLETRANSLATE(A41,""zh-tw"",""DE"")"),"Geh früh nach Hause.")</f>
        <v>Geh früh nach Hause.</v>
      </c>
      <c r="AD41" s="430" t="str">
        <f>IFERROR(__xludf.DUMMYFUNCTION("GOOGLETRANSLATE(B41,""zh-tw"",""DE"")"),"Es ist so heiß.....")</f>
        <v>Es ist so heiß.....</v>
      </c>
      <c r="AE41" s="395" t="str">
        <f>IFERROR(__xludf.DUMMYFUNCTION("GOOGLETRANSLATE(C41,""zh-tw"",""DE"")"),"Mir ist wegen der Hitze ganz schwindelig...")</f>
        <v>Mir ist wegen der Hitze ganz schwindelig...</v>
      </c>
      <c r="AF41" s="529" t="str">
        <f>IFERROR(__xludf.DUMMYFUNCTION("GOOGLETRANSLATE(D41,""zh-tw"",""DE"")"),"heißes Wetter")</f>
        <v>heißes Wetter</v>
      </c>
      <c r="AG41" s="133" t="s">
        <v>3499</v>
      </c>
      <c r="AH41" s="446" t="s">
        <v>12512</v>
      </c>
      <c r="AI41" s="534" t="s">
        <v>12513</v>
      </c>
      <c r="AJ41" s="536"/>
      <c r="AK41" s="164" t="s">
        <v>3502</v>
      </c>
      <c r="AL41" s="166" t="s">
        <v>12514</v>
      </c>
      <c r="AM41" s="391" t="s">
        <v>12515</v>
      </c>
      <c r="AN41" s="537"/>
      <c r="AO41" s="527"/>
      <c r="AP41" s="214"/>
      <c r="AQ41" s="398"/>
      <c r="AR41" s="528"/>
      <c r="AS41" s="533"/>
      <c r="AT41" s="533"/>
    </row>
    <row r="42">
      <c r="A42" s="527" t="s">
        <v>12516</v>
      </c>
      <c r="B42" s="214" t="s">
        <v>12517</v>
      </c>
      <c r="C42" s="398" t="s">
        <v>12518</v>
      </c>
      <c r="D42" s="528" t="s">
        <v>12519</v>
      </c>
      <c r="E42" s="527" t="s">
        <v>12520</v>
      </c>
      <c r="F42" s="214" t="s">
        <v>12521</v>
      </c>
      <c r="G42" s="398" t="s">
        <v>12522</v>
      </c>
      <c r="H42" s="528" t="s">
        <v>12523</v>
      </c>
      <c r="I42" s="527" t="s">
        <v>12524</v>
      </c>
      <c r="J42" s="214" t="s">
        <v>12525</v>
      </c>
      <c r="K42" s="398" t="s">
        <v>12526</v>
      </c>
      <c r="L42" s="528"/>
      <c r="M42" s="394" t="str">
        <f>IFERROR(__xludf.DUMMYFUNCTION("GOOGLETRANSLATE(A42,""zh-tw"",""zh"")"),"杂鱼哥哥")</f>
        <v>杂鱼哥哥</v>
      </c>
      <c r="N42" s="430" t="str">
        <f>IFERROR(__xludf.DUMMYFUNCTION("GOOGLETRANSLATE(B42,""zh-tw"",""zh"")"),"这么简单的游戏也不会玩，真是杂鱼呢~")</f>
        <v>这么简单的游戏也不会玩，真是杂鱼呢~</v>
      </c>
      <c r="O42" s="395" t="str">
        <f>IFERROR(__xludf.DUMMYFUNCTION("GOOGLETRANSLATE(C42,""zh-tw"",""zh"")"),"因作弊而获得了杂鱼认证！")</f>
        <v>因作弊而获得了杂鱼认证！</v>
      </c>
      <c r="P42" s="529" t="str">
        <f>IFERROR(__xludf.DUMMYFUNCTION("GOOGLETRANSLATE(D42,""zh-tw"",""zh"")"),"使用作弊码")</f>
        <v>使用作弊码</v>
      </c>
      <c r="Q42" s="209" t="str">
        <f>IFERROR(__xludf.DUMMYFUNCTION("GOOGLETRANSLATE(A42,""zh-tw"",""es-MX"")"),"Hermano, peces varios")</f>
        <v>Hermano, peces varios</v>
      </c>
      <c r="R42" s="210" t="str">
        <f>IFERROR(__xludf.DUMMYFUNCTION("GOOGLETRANSLATE(B42,""zh-tw"",""es-MX"")"),"¿Ni siquiera puedes jugar a un juego tan simple? ¡Eres un novato!")</f>
        <v>¿Ni siquiera puedes jugar a un juego tan simple? ¡Eres un novato!</v>
      </c>
      <c r="S42" s="390" t="str">
        <f>IFERROR(__xludf.DUMMYFUNCTION("GOOGLETRANSLATE(C42,""zh-tw"",""es-MX"")"),"¡Obtuvo la certificación de ""pez pequeño"" haciendo trampa!")</f>
        <v>¡Obtuvo la certificación de "pez pequeño" haciendo trampa!</v>
      </c>
      <c r="T42" s="208" t="str">
        <f>IFERROR(__xludf.DUMMYFUNCTION("GOOGLETRANSLATE(D42,""zh-tw"",""es-MX"")"),"Usa códigos de trucos")</f>
        <v>Usa códigos de trucos</v>
      </c>
      <c r="U42" s="209" t="str">
        <f>IFERROR(__xludf.DUMMYFUNCTION("GOOGLETRANSLATE(A42,""zh-tw"",""KO"")"),"형제 잡어")</f>
        <v>형제 잡어</v>
      </c>
      <c r="V42" s="210" t="str">
        <f>IFERROR(__xludf.DUMMYFUNCTION("GOOGLETRANSLATE(B42,""zh-tw"",""KO"")"),"이렇게 간단한 게임도 못 한다고? 완전 초보네!")</f>
        <v>이렇게 간단한 게임도 못 한다고? 완전 초보네!</v>
      </c>
      <c r="W42" s="390" t="str">
        <f>IFERROR(__xludf.DUMMYFUNCTION("GOOGLETRANSLATE(C42,""zh-tw"",""KO"")"),"그는 부정행위를 통해 ""하찮은 존재""라는 인증을 받았다!")</f>
        <v>그는 부정행위를 통해 "하찮은 존재"라는 인증을 받았다!</v>
      </c>
      <c r="X42" s="208" t="str">
        <f>IFERROR(__xludf.DUMMYFUNCTION("GOOGLETRANSLATE(D42,""zh-tw"",""KO"")"),"치트 코드를 사용하세요")</f>
        <v>치트 코드를 사용하세요</v>
      </c>
      <c r="Y42" s="209" t="s">
        <v>12527</v>
      </c>
      <c r="Z42" s="210" t="s">
        <v>12528</v>
      </c>
      <c r="AA42" s="390" t="s">
        <v>12529</v>
      </c>
      <c r="AB42" s="208" t="s">
        <v>12530</v>
      </c>
      <c r="AC42" s="394" t="str">
        <f>IFERROR(__xludf.DUMMYFUNCTION("GOOGLETRANSLATE(A42,""zh-tw"",""DE"")"),"Bruder Verschiedene Fische")</f>
        <v>Bruder Verschiedene Fische</v>
      </c>
      <c r="AD42" s="430" t="str">
        <f>IFERROR(__xludf.DUMMYFUNCTION("GOOGLETRANSLATE(B42,""zh-tw"",""DE"")"),"Du kannst nicht mal so ein einfaches Spiel spielen? Du bist echt ein Anfänger!")</f>
        <v>Du kannst nicht mal so ein einfaches Spiel spielen? Du bist echt ein Anfänger!</v>
      </c>
      <c r="AE42" s="395" t="str">
        <f>IFERROR(__xludf.DUMMYFUNCTION("GOOGLETRANSLATE(C42,""zh-tw"",""DE"")"),"Er hat das „kleine Fisch“-Zertifikat durch Betrug erlangt!")</f>
        <v>Er hat das „kleine Fisch“-Zertifikat durch Betrug erlangt!</v>
      </c>
      <c r="AF42" s="529" t="str">
        <f>IFERROR(__xludf.DUMMYFUNCTION("GOOGLETRANSLATE(D42,""zh-tw"",""DE"")"),"Cheat-Codes verwenden")</f>
        <v>Cheat-Codes verwenden</v>
      </c>
      <c r="AG42" s="133" t="s">
        <v>12531</v>
      </c>
      <c r="AH42" s="223" t="s">
        <v>12532</v>
      </c>
      <c r="AI42" s="534" t="s">
        <v>12533</v>
      </c>
      <c r="AJ42" s="536"/>
      <c r="AK42" s="164" t="s">
        <v>12524</v>
      </c>
      <c r="AL42" s="166" t="s">
        <v>12534</v>
      </c>
      <c r="AM42" s="391" t="s">
        <v>12535</v>
      </c>
      <c r="AN42" s="537"/>
      <c r="AO42" s="527"/>
      <c r="AP42" s="214"/>
      <c r="AQ42" s="398"/>
      <c r="AR42" s="528"/>
      <c r="AS42" s="533"/>
      <c r="AT42" s="533"/>
    </row>
    <row r="43">
      <c r="A43" s="527" t="s">
        <v>12536</v>
      </c>
      <c r="B43" s="214" t="s">
        <v>12537</v>
      </c>
      <c r="C43" s="398" t="s">
        <v>1273</v>
      </c>
      <c r="D43" s="528" t="s">
        <v>8990</v>
      </c>
      <c r="E43" s="527" t="s">
        <v>12538</v>
      </c>
      <c r="F43" s="214" t="s">
        <v>12539</v>
      </c>
      <c r="G43" s="398" t="s">
        <v>1273</v>
      </c>
      <c r="H43" s="528" t="s">
        <v>12540</v>
      </c>
      <c r="I43" s="527" t="s">
        <v>8994</v>
      </c>
      <c r="J43" s="214" t="s">
        <v>12541</v>
      </c>
      <c r="K43" s="398" t="s">
        <v>1273</v>
      </c>
      <c r="L43" s="529"/>
      <c r="M43" s="394" t="str">
        <f>IFERROR(__xludf.DUMMYFUNCTION("GOOGLETRANSLATE(A43,""zh-tw"",""zh"")"),"世界的勇者")</f>
        <v>世界的勇者</v>
      </c>
      <c r="N43" s="430" t="str">
        <f>IFERROR(__xludf.DUMMYFUNCTION("GOOGLETRANSLATE(B43,""zh-tw"",""zh"")"),"如此可得世界荣耀，远离黑暗蒙昧")</f>
        <v>如此可得世界荣耀，远离黑暗蒙昧</v>
      </c>
      <c r="O43" s="395" t="str">
        <f>IFERROR(__xludf.DUMMYFUNCTION("GOOGLETRANSLATE(C43,""zh-tw"",""zh"")"),"-")</f>
        <v>-</v>
      </c>
      <c r="P43" s="529" t="str">
        <f>IFERROR(__xludf.DUMMYFUNCTION("GOOGLETRANSLATE(D43,""zh-tw"",""zh"")"),"红髓玉吊坠")</f>
        <v>红髓玉吊坠</v>
      </c>
      <c r="Q43" s="209" t="str">
        <f>IFERROR(__xludf.DUMMYFUNCTION("GOOGLETRANSLATE(A43,""zh-tw"",""es-MX"")"),"Los héroes del mundo")</f>
        <v>Los héroes del mundo</v>
      </c>
      <c r="R43" s="210" t="str">
        <f>IFERROR(__xludf.DUMMYFUNCTION("GOOGLETRANSLATE(B43,""zh-tw"",""es-MX"")"),"De esta forma, uno puede alcanzar la gloria mundial y escapar de la oscuridad y la ignorancia.")</f>
        <v>De esta forma, uno puede alcanzar la gloria mundial y escapar de la oscuridad y la ignorancia.</v>
      </c>
      <c r="S43" s="390" t="str">
        <f>IFERROR(__xludf.DUMMYFUNCTION("GOOGLETRANSLATE(C43,""zh-tw"",""es-MX"")"),"-")</f>
        <v>-</v>
      </c>
      <c r="T43" s="208" t="str">
        <f>IFERROR(__xludf.DUMMYFUNCTION("GOOGLETRANSLATE(D43,""zh-tw"",""es-MX"")"),"Colgante de cornalina roja")</f>
        <v>Colgante de cornalina roja</v>
      </c>
      <c r="U43" s="209" t="str">
        <f>IFERROR(__xludf.DUMMYFUNCTION("GOOGLETRANSLATE(A43,""zh-tw"",""KO"")"),"세계의 영웅들")</f>
        <v>세계의 영웅들</v>
      </c>
      <c r="V43" s="210" t="str">
        <f>IFERROR(__xludf.DUMMYFUNCTION("GOOGLETRANSLATE(B43,""zh-tw"",""KO"")"),"이렇게 하면 세상의 영광을 얻고 어둠과 무지에서 벗어날 수 있다.")</f>
        <v>이렇게 하면 세상의 영광을 얻고 어둠과 무지에서 벗어날 수 있다.</v>
      </c>
      <c r="W43" s="390" t="str">
        <f>IFERROR(__xludf.DUMMYFUNCTION("GOOGLETRANSLATE(C43,""zh-tw"",""KO"")"),"-")</f>
        <v>-</v>
      </c>
      <c r="X43" s="208" t="str">
        <f>IFERROR(__xludf.DUMMYFUNCTION("GOOGLETRANSLATE(D43,""zh-tw"",""KO"")"),"붉은 카넬리언 펜던트")</f>
        <v>붉은 카넬리언 펜던트</v>
      </c>
      <c r="Y43" s="209" t="s">
        <v>12542</v>
      </c>
      <c r="Z43" s="210" t="s">
        <v>12543</v>
      </c>
      <c r="AA43" s="390" t="s">
        <v>1273</v>
      </c>
      <c r="AB43" s="208" t="s">
        <v>8996</v>
      </c>
      <c r="AC43" s="394" t="str">
        <f>IFERROR(__xludf.DUMMYFUNCTION("GOOGLETRANSLATE(A43,""zh-tw"",""DE"")"),"Die Helden der Welt")</f>
        <v>Die Helden der Welt</v>
      </c>
      <c r="AD43" s="430" t="str">
        <f>IFERROR(__xludf.DUMMYFUNCTION("GOOGLETRANSLATE(B43,""zh-tw"",""DE"")"),"Auf diese Weise kann man weltlichen Ruhm erlangen und Dunkelheit und Unwissenheit entfliehen.")</f>
        <v>Auf diese Weise kann man weltlichen Ruhm erlangen und Dunkelheit und Unwissenheit entfliehen.</v>
      </c>
      <c r="AE43" s="395" t="str">
        <f>IFERROR(__xludf.DUMMYFUNCTION("GOOGLETRANSLATE(C43,""zh-tw"",""DE"")"),"-")</f>
        <v>-</v>
      </c>
      <c r="AF43" s="529" t="str">
        <f>IFERROR(__xludf.DUMMYFUNCTION("GOOGLETRANSLATE(D43,""zh-tw"",""DE"")"),"Anhänger aus rotem Karneol")</f>
        <v>Anhänger aus rotem Karneol</v>
      </c>
      <c r="AG43" s="133" t="s">
        <v>12544</v>
      </c>
      <c r="AH43" s="223" t="s">
        <v>12545</v>
      </c>
      <c r="AI43" s="538"/>
      <c r="AJ43" s="536"/>
      <c r="AK43" s="164" t="s">
        <v>8994</v>
      </c>
      <c r="AL43" s="166" t="s">
        <v>12541</v>
      </c>
      <c r="AM43" s="539"/>
      <c r="AN43" s="537"/>
      <c r="AO43" s="527"/>
      <c r="AP43" s="214"/>
      <c r="AQ43" s="398"/>
      <c r="AR43" s="528"/>
      <c r="AS43" s="533"/>
      <c r="AT43" s="533"/>
    </row>
    <row r="44">
      <c r="A44" s="527" t="s">
        <v>12546</v>
      </c>
      <c r="B44" s="214" t="s">
        <v>12547</v>
      </c>
      <c r="C44" s="398" t="s">
        <v>12548</v>
      </c>
      <c r="D44" s="528" t="s">
        <v>9062</v>
      </c>
      <c r="E44" s="527" t="s">
        <v>12549</v>
      </c>
      <c r="F44" s="214" t="s">
        <v>12550</v>
      </c>
      <c r="G44" s="398" t="s">
        <v>12551</v>
      </c>
      <c r="H44" s="529" t="str">
        <f>IFERROR(__xludf.DUMMYFUNCTION("GOOGLETRANSLATE(D44,""zh-tw"",""ja"")"),"欲張りな貯金箱")</f>
        <v>欲張りな貯金箱</v>
      </c>
      <c r="I44" s="527" t="s">
        <v>12552</v>
      </c>
      <c r="J44" s="214" t="s">
        <v>12553</v>
      </c>
      <c r="K44" s="398" t="s">
        <v>12554</v>
      </c>
      <c r="L44" s="529"/>
      <c r="M44" s="394" t="str">
        <f>IFERROR(__xludf.DUMMYFUNCTION("GOOGLETRANSLATE(A44,""zh-tw"",""zh"")"),"贪财!贪财!")</f>
        <v>贪财!贪财!</v>
      </c>
      <c r="N44" s="430" t="str">
        <f>IFERROR(__xludf.DUMMYFUNCTION("GOOGLETRANSLATE(B44,""zh-tw"",""zh"")"),"无尽的贪欲最终也盯上你– –")</f>
        <v>无尽的贪欲最终也盯上你– –</v>
      </c>
      <c r="O44" s="395" t="str">
        <f>IFERROR(__xludf.DUMMYFUNCTION("GOOGLETRANSLATE(C44,""zh-tw"",""zh"")"),"受伤时强制掉落金币")</f>
        <v>受伤时强制掉落金币</v>
      </c>
      <c r="P44" s="529" t="str">
        <f>IFERROR(__xludf.DUMMYFUNCTION("GOOGLETRANSLATE(D44,""zh-tw"",""zh"")"),"贪欲存钱罐")</f>
        <v>贪欲存钱罐</v>
      </c>
      <c r="Q44" s="209" t="str">
        <f>IFERROR(__xludf.DUMMYFUNCTION("GOOGLETRANSLATE(A44,""zh-tw"",""es-MX"")"),"¡Codicioso! ¡Codicioso!")</f>
        <v>¡Codicioso! ¡Codicioso!</v>
      </c>
      <c r="R44" s="210" t="str">
        <f>IFERROR(__xludf.DUMMYFUNCTION("GOOGLETRANSLATE(B44,""zh-tw"",""es-MX"")"),"La codicia sin límites acabará fijándose también en ti.")</f>
        <v>La codicia sin límites acabará fijándose también en ti.</v>
      </c>
      <c r="S44" s="390" t="str">
        <f>IFERROR(__xludf.DUMMYFUNCTION("GOOGLETRANSLATE(C44,""zh-tw"",""es-MX"")"),"Obligado a soltar monedas de oro cuando resultó herido")</f>
        <v>Obligado a soltar monedas de oro cuando resultó herido</v>
      </c>
      <c r="T44" s="208" t="str">
        <f>IFERROR(__xludf.DUMMYFUNCTION("GOOGLETRANSLATE(D44,""zh-tw"",""es-MX"")"),"Hucha codiciosa")</f>
        <v>Hucha codiciosa</v>
      </c>
      <c r="U44" s="209" t="str">
        <f>IFERROR(__xludf.DUMMYFUNCTION("GOOGLETRANSLATE(A44,""zh-tw"",""KO"")"),"욕심쟁이! 욕심쟁이!")</f>
        <v>욕심쟁이! 욕심쟁이!</v>
      </c>
      <c r="V44" s="210" t="str">
        <f>IFERROR(__xludf.DUMMYFUNCTION("GOOGLETRANSLATE(B44,""zh-tw"",""KO"")"),"끝없는 탐욕은 결국 당신을 노릴 것입니다.")</f>
        <v>끝없는 탐욕은 결국 당신을 노릴 것입니다.</v>
      </c>
      <c r="W44" s="390" t="str">
        <f>IFERROR(__xludf.DUMMYFUNCTION("GOOGLETRANSLATE(C44,""zh-tw"",""KO"")"),"부상으로 인해 금화를 떨어뜨릴 수밖에 없었다.")</f>
        <v>부상으로 인해 금화를 떨어뜨릴 수밖에 없었다.</v>
      </c>
      <c r="X44" s="208" t="str">
        <f>IFERROR(__xludf.DUMMYFUNCTION("GOOGLETRANSLATE(D44,""zh-tw"",""KO"")"),"욕심쟁이 돼지 저금통")</f>
        <v>욕심쟁이 돼지 저금통</v>
      </c>
      <c r="Y44" s="209" t="s">
        <v>12555</v>
      </c>
      <c r="Z44" s="210" t="s">
        <v>12556</v>
      </c>
      <c r="AA44" s="390" t="s">
        <v>12557</v>
      </c>
      <c r="AB44" s="208" t="s">
        <v>9068</v>
      </c>
      <c r="AC44" s="394" t="str">
        <f>IFERROR(__xludf.DUMMYFUNCTION("GOOGLETRANSLATE(A44,""zh-tw"",""DE"")"),"Gierig! Gierig!")</f>
        <v>Gierig! Gierig!</v>
      </c>
      <c r="AD44" s="430" t="str">
        <f>IFERROR(__xludf.DUMMYFUNCTION("GOOGLETRANSLATE(B44,""zh-tw"",""DE"")"),"Unstillbare Gier wird irgendwann auch dich ins Visier nehmen.")</f>
        <v>Unstillbare Gier wird irgendwann auch dich ins Visier nehmen.</v>
      </c>
      <c r="AE44" s="395" t="str">
        <f>IFERROR(__xludf.DUMMYFUNCTION("GOOGLETRANSLATE(C44,""zh-tw"",""DE"")"),"Gezwungen, Goldmünzen fallen zu lassen, wenn er verletzt ist")</f>
        <v>Gezwungen, Goldmünzen fallen zu lassen, wenn er verletzt ist</v>
      </c>
      <c r="AF44" s="529" t="str">
        <f>IFERROR(__xludf.DUMMYFUNCTION("GOOGLETRANSLATE(D44,""zh-tw"",""DE"")"),"Gieriges Sparschwein")</f>
        <v>Gieriges Sparschwein</v>
      </c>
      <c r="AG44" s="224" t="s">
        <v>12558</v>
      </c>
      <c r="AH44" s="223" t="s">
        <v>12559</v>
      </c>
      <c r="AI44" s="534" t="s">
        <v>12560</v>
      </c>
      <c r="AJ44" s="540"/>
      <c r="AK44" s="209" t="s">
        <v>12561</v>
      </c>
      <c r="AL44" s="210" t="s">
        <v>12562</v>
      </c>
      <c r="AM44" s="390" t="s">
        <v>12563</v>
      </c>
      <c r="AN44" s="541"/>
      <c r="AO44" s="527"/>
      <c r="AP44" s="214"/>
      <c r="AQ44" s="398"/>
      <c r="AR44" s="528"/>
      <c r="AS44" s="542"/>
      <c r="AT44" s="542"/>
    </row>
    <row r="45">
      <c r="A45" s="527" t="s">
        <v>12564</v>
      </c>
      <c r="B45" s="214" t="s">
        <v>12565</v>
      </c>
      <c r="C45" s="398" t="s">
        <v>12566</v>
      </c>
      <c r="D45" s="528" t="s">
        <v>8760</v>
      </c>
      <c r="E45" s="527" t="s">
        <v>12567</v>
      </c>
      <c r="F45" s="214" t="s">
        <v>12568</v>
      </c>
      <c r="G45" s="398" t="s">
        <v>12569</v>
      </c>
      <c r="H45" s="529" t="str">
        <f>IFERROR(__xludf.DUMMYFUNCTION("GOOGLETRANSLATE(D45,""zh-tw"",""ja"")"),"夜霧の幻影")</f>
        <v>夜霧の幻影</v>
      </c>
      <c r="I45" s="527" t="s">
        <v>12570</v>
      </c>
      <c r="J45" s="214" t="s">
        <v>12571</v>
      </c>
      <c r="K45" s="398" t="s">
        <v>12572</v>
      </c>
      <c r="L45" s="529"/>
      <c r="M45" s="394" t="str">
        <f>IFERROR(__xludf.DUMMYFUNCTION("GOOGLETRANSLATE(A45,""zh-tw"",""zh"")"),"你看不见我")</f>
        <v>你看不见我</v>
      </c>
      <c r="N45" s="430" t="str">
        <f>IFERROR(__xludf.DUMMYFUNCTION("GOOGLETRANSLATE(B45,""zh-tw"",""zh"")"),"LOOK INTI MY EVIL EYEZ SEE SOMETHIN'INSIDE！")</f>
        <v>LOOK INTI MY EVIL EYEZ SEE SOMETHIN'INSIDE！</v>
      </c>
      <c r="O45" s="395" t="str">
        <f>IFERROR(__xludf.DUMMYFUNCTION("GOOGLETRANSLATE(C45,""zh-tw"",""zh"")"),"每六秒短暂进入透明状态！")</f>
        <v>每六秒短暂进入透明状态！</v>
      </c>
      <c r="P45" s="529" t="str">
        <f>IFERROR(__xludf.DUMMYFUNCTION("GOOGLETRANSLATE(D45,""zh-tw"",""zh"")"),"夜雾幻影")</f>
        <v>夜雾幻影</v>
      </c>
      <c r="Q45" s="209" t="str">
        <f>IFERROR(__xludf.DUMMYFUNCTION("GOOGLETRANSLATE(A45,""zh-tw"",""es-MX"")"),"No puedes verme")</f>
        <v>No puedes verme</v>
      </c>
      <c r="R45" s="210" t="str">
        <f>IFERROR(__xludf.DUMMYFUNCTION("GOOGLETRANSLATE(B45,""zh-tw"",""es-MX"")"),"¡MIRA MIS OJOS MALIGNOS, MIRA ALGO DENTRO!")</f>
        <v>¡MIRA MIS OJOS MALIGNOS, MIRA ALGO DENTRO!</v>
      </c>
      <c r="S45" s="390" t="str">
        <f>IFERROR(__xludf.DUMMYFUNCTION("GOOGLETRANSLATE(C45,""zh-tw"",""es-MX"")"),"¡Entra brevemente en un estado transparente cada seis segundos!")</f>
        <v>¡Entra brevemente en un estado transparente cada seis segundos!</v>
      </c>
      <c r="T45" s="208" t="str">
        <f>IFERROR(__xludf.DUMMYFUNCTION("GOOGLETRANSLATE(D45,""zh-tw"",""es-MX"")"),"Fantasma de la Niebla Nocturna")</f>
        <v>Fantasma de la Niebla Nocturna</v>
      </c>
      <c r="U45" s="209" t="str">
        <f>IFERROR(__xludf.DUMMYFUNCTION("GOOGLETRANSLATE(A45,""zh-tw"",""KO"")"),"당신은 나를 볼 수 없어요")</f>
        <v>당신은 나를 볼 수 없어요</v>
      </c>
      <c r="V45" s="210" t="str">
        <f>IFERROR(__xludf.DUMMYFUNCTION("GOOGLETRANSLATE(B45,""zh-tw"",""KO"")"),"내 사악한 눈을 들여다봐, 그 안에 무언가가 보일 거야!")</f>
        <v>내 사악한 눈을 들여다봐, 그 안에 무언가가 보일 거야!</v>
      </c>
      <c r="W45" s="390" t="str">
        <f>IFERROR(__xludf.DUMMYFUNCTION("GOOGLETRANSLATE(C45,""zh-tw"",""KO"")"),"6초마다 잠시 투명한 상태가 됩니다!")</f>
        <v>6초마다 잠시 투명한 상태가 됩니다!</v>
      </c>
      <c r="X45" s="208" t="str">
        <f>IFERROR(__xludf.DUMMYFUNCTION("GOOGLETRANSLATE(D45,""zh-tw"",""KO"")"),"밤안개 유령")</f>
        <v>밤안개 유령</v>
      </c>
      <c r="Y45" s="209" t="s">
        <v>12573</v>
      </c>
      <c r="Z45" s="210" t="s">
        <v>12574</v>
      </c>
      <c r="AA45" s="390" t="s">
        <v>12575</v>
      </c>
      <c r="AB45" s="208" t="s">
        <v>8768</v>
      </c>
      <c r="AC45" s="394" t="str">
        <f>IFERROR(__xludf.DUMMYFUNCTION("GOOGLETRANSLATE(A45,""zh-tw"",""DE"")"),"Du kannst mich nicht sehen")</f>
        <v>Du kannst mich nicht sehen</v>
      </c>
      <c r="AD45" s="430" t="str">
        <f>IFERROR(__xludf.DUMMYFUNCTION("GOOGLETRANSLATE(B45,""zh-tw"",""DE"")"),"SCHAU IN MEINE BÖSEN AUGEN, SIEH ETWAS DARIN!")</f>
        <v>SCHAU IN MEINE BÖSEN AUGEN, SIEH ETWAS DARIN!</v>
      </c>
      <c r="AE45" s="395" t="str">
        <f>IFERROR(__xludf.DUMMYFUNCTION("GOOGLETRANSLATE(C45,""zh-tw"",""DE"")"),"Es wechselt alle sechs Sekunden kurz in einen transparenten Zustand!")</f>
        <v>Es wechselt alle sechs Sekunden kurz in einen transparenten Zustand!</v>
      </c>
      <c r="AF45" s="529" t="str">
        <f>IFERROR(__xludf.DUMMYFUNCTION("GOOGLETRANSLATE(D45,""zh-tw"",""DE"")"),"Nachtnebel-Phantom")</f>
        <v>Nachtnebel-Phantom</v>
      </c>
      <c r="AG45" s="224" t="s">
        <v>12576</v>
      </c>
      <c r="AH45" s="223" t="s">
        <v>12577</v>
      </c>
      <c r="AI45" s="534" t="s">
        <v>12578</v>
      </c>
      <c r="AJ45" s="543"/>
      <c r="AK45" s="209" t="s">
        <v>12579</v>
      </c>
      <c r="AL45" s="210" t="s">
        <v>12580</v>
      </c>
      <c r="AM45" s="390" t="s">
        <v>12581</v>
      </c>
      <c r="AN45" s="541"/>
      <c r="AO45" s="527"/>
      <c r="AP45" s="214"/>
      <c r="AQ45" s="398"/>
      <c r="AR45" s="528"/>
      <c r="AS45" s="542"/>
      <c r="AT45" s="542"/>
    </row>
    <row r="46">
      <c r="A46" s="209" t="s">
        <v>12582</v>
      </c>
      <c r="B46" s="210" t="s">
        <v>12583</v>
      </c>
      <c r="C46" s="390" t="s">
        <v>12584</v>
      </c>
      <c r="D46" s="208" t="s">
        <v>12585</v>
      </c>
      <c r="E46" s="209" t="s">
        <v>12586</v>
      </c>
      <c r="F46" s="210" t="s">
        <v>12587</v>
      </c>
      <c r="G46" s="390" t="s">
        <v>12588</v>
      </c>
      <c r="H46" s="208" t="s">
        <v>12589</v>
      </c>
      <c r="I46" s="527" t="s">
        <v>12590</v>
      </c>
      <c r="J46" s="210" t="s">
        <v>12591</v>
      </c>
      <c r="K46" s="390" t="s">
        <v>12592</v>
      </c>
      <c r="L46" s="172" t="s">
        <v>12593</v>
      </c>
      <c r="M46" s="209" t="s">
        <v>12594</v>
      </c>
      <c r="N46" s="210" t="s">
        <v>12583</v>
      </c>
      <c r="O46" s="390" t="s">
        <v>12595</v>
      </c>
      <c r="P46" s="208" t="s">
        <v>12596</v>
      </c>
      <c r="Q46" s="209" t="str">
        <f>IFERROR(__xludf.DUMMYFUNCTION("GOOGLETRANSLATE(A46,""zh-tw"",""es-MX"")"),"Siempre tengo la sensación de que algo me sigue.")</f>
        <v>Siempre tengo la sensación de que algo me sigue.</v>
      </c>
      <c r="R46" s="210" t="str">
        <f>IFERROR(__xludf.DUMMYFUNCTION("GOOGLETRANSLATE(B46,""zh-tw"",""es-MX"")"),"susurro...susurro...")</f>
        <v>susurro...susurro...</v>
      </c>
      <c r="S46" s="390" t="str">
        <f>IFERROR(__xludf.DUMMYFUNCTION("GOOGLETRANSLATE(C46,""zh-tw"",""es-MX"")"),"Un grupo de pequeñas criaturas te está observando atentamente.")</f>
        <v>Un grupo de pequeñas criaturas te está observando atentamente.</v>
      </c>
      <c r="T46" s="208" t="str">
        <f>IFERROR(__xludf.DUMMYFUNCTION("GOOGLETRANSLATE(D46,""zh-tw"",""es-MX"")"),"Enredados por Z")</f>
        <v>Enredados por Z</v>
      </c>
      <c r="U46" s="209" t="str">
        <f>IFERROR(__xludf.DUMMYFUNCTION("GOOGLETRANSLATE(A46,""zh-tw"",""KO"")"),"항상 무언가가 나를 따라다니는 것 같은 느낌이 들어요.")</f>
        <v>항상 무언가가 나를 따라다니는 것 같은 느낌이 들어요.</v>
      </c>
      <c r="V46" s="210" t="str">
        <f>IFERROR(__xludf.DUMMYFUNCTION("GOOGLETRANSLATE(B46,""zh-tw"",""KO"")"),"바스락거리는 소리…바스락거리는 소리…")</f>
        <v>바스락거리는 소리…바스락거리는 소리…</v>
      </c>
      <c r="W46" s="390" t="str">
        <f>IFERROR(__xludf.DUMMYFUNCTION("GOOGLETRANSLATE(C46,""zh-tw"",""KO"")"),"당신은 작은 생물 무리에게 면밀히 관찰당하고 있습니다.")</f>
        <v>당신은 작은 생물 무리에게 면밀히 관찰당하고 있습니다.</v>
      </c>
      <c r="X46" s="208" t="str">
        <f>IFERROR(__xludf.DUMMYFUNCTION("GOOGLETRANSLATE(D46,""zh-tw"",""KO"")"),"Z에 얽매이다")</f>
        <v>Z에 얽매이다</v>
      </c>
      <c r="Y46" s="209" t="s">
        <v>12597</v>
      </c>
      <c r="Z46" s="210" t="s">
        <v>12598</v>
      </c>
      <c r="AA46" s="390" t="s">
        <v>12599</v>
      </c>
      <c r="AB46" s="208" t="s">
        <v>6234</v>
      </c>
      <c r="AC46" s="394" t="str">
        <f>IFERROR(__xludf.DUMMYFUNCTION("GOOGLETRANSLATE(A46,""zh-tw"",""DE"")"),"Ich habe immer das Gefühl, dass mich etwas verfolgt.")</f>
        <v>Ich habe immer das Gefühl, dass mich etwas verfolgt.</v>
      </c>
      <c r="AD46" s="210" t="s">
        <v>12600</v>
      </c>
      <c r="AE46" s="390" t="s">
        <v>12601</v>
      </c>
      <c r="AF46" s="208" t="s">
        <v>12602</v>
      </c>
      <c r="AG46" s="419" t="s">
        <v>12603</v>
      </c>
      <c r="AH46" s="544" t="s">
        <v>12604</v>
      </c>
      <c r="AI46" s="545" t="s">
        <v>12605</v>
      </c>
      <c r="AJ46" s="546" t="s">
        <v>12606</v>
      </c>
      <c r="AK46" s="209" t="s">
        <v>12607</v>
      </c>
      <c r="AL46" s="210" t="s">
        <v>12608</v>
      </c>
      <c r="AM46" s="390" t="s">
        <v>12609</v>
      </c>
      <c r="AN46" s="208" t="s">
        <v>12610</v>
      </c>
      <c r="AO46" s="209"/>
      <c r="AP46" s="210"/>
      <c r="AQ46" s="390"/>
      <c r="AR46" s="208"/>
      <c r="AS46" s="542"/>
      <c r="AT46" s="542"/>
    </row>
    <row r="47">
      <c r="A47" s="394"/>
      <c r="B47" s="430"/>
      <c r="C47" s="395"/>
      <c r="D47" s="529"/>
      <c r="E47" s="394"/>
      <c r="F47" s="430"/>
      <c r="G47" s="395"/>
      <c r="H47" s="529"/>
      <c r="I47" s="394"/>
      <c r="J47" s="430"/>
      <c r="K47" s="395"/>
      <c r="L47" s="529"/>
      <c r="M47" s="394"/>
      <c r="N47" s="430"/>
      <c r="O47" s="395"/>
      <c r="P47" s="529"/>
      <c r="Q47" s="547"/>
      <c r="R47" s="548"/>
      <c r="S47" s="549"/>
      <c r="T47" s="541"/>
      <c r="U47" s="547"/>
      <c r="V47" s="548"/>
      <c r="W47" s="549"/>
      <c r="X47" s="541"/>
      <c r="Y47" s="550"/>
      <c r="Z47" s="551"/>
      <c r="AA47" s="552"/>
      <c r="AB47" s="553"/>
      <c r="AC47" s="550"/>
      <c r="AD47" s="551"/>
      <c r="AE47" s="552"/>
      <c r="AF47" s="553"/>
      <c r="AG47" s="547"/>
      <c r="AH47" s="548"/>
      <c r="AI47" s="549"/>
      <c r="AJ47" s="541"/>
      <c r="AK47" s="394"/>
      <c r="AL47" s="430"/>
      <c r="AM47" s="395"/>
      <c r="AN47" s="529"/>
      <c r="AO47" s="394"/>
      <c r="AP47" s="430"/>
      <c r="AQ47" s="395"/>
      <c r="AR47" s="529"/>
      <c r="AS47" s="542"/>
      <c r="AT47" s="542"/>
    </row>
    <row r="48">
      <c r="A48" s="394"/>
      <c r="B48" s="430"/>
      <c r="C48" s="395"/>
      <c r="D48" s="529"/>
      <c r="E48" s="394"/>
      <c r="F48" s="430"/>
      <c r="G48" s="395"/>
      <c r="H48" s="529"/>
      <c r="I48" s="394"/>
      <c r="J48" s="430"/>
      <c r="K48" s="395"/>
      <c r="L48" s="529"/>
      <c r="M48" s="394"/>
      <c r="N48" s="430"/>
      <c r="O48" s="395"/>
      <c r="P48" s="529"/>
      <c r="Q48" s="547"/>
      <c r="R48" s="548"/>
      <c r="S48" s="549"/>
      <c r="T48" s="541"/>
      <c r="U48" s="547"/>
      <c r="V48" s="548"/>
      <c r="W48" s="549"/>
      <c r="X48" s="541"/>
      <c r="Y48" s="550"/>
      <c r="Z48" s="551"/>
      <c r="AA48" s="552"/>
      <c r="AB48" s="553"/>
      <c r="AC48" s="550"/>
      <c r="AD48" s="551"/>
      <c r="AE48" s="552"/>
      <c r="AF48" s="553"/>
      <c r="AG48" s="547"/>
      <c r="AH48" s="548"/>
      <c r="AI48" s="549"/>
      <c r="AJ48" s="541"/>
      <c r="AK48" s="394"/>
      <c r="AL48" s="430"/>
      <c r="AM48" s="395"/>
      <c r="AN48" s="529"/>
      <c r="AO48" s="394"/>
      <c r="AP48" s="430"/>
      <c r="AQ48" s="395"/>
      <c r="AR48" s="529"/>
      <c r="AS48" s="542"/>
      <c r="AT48" s="542"/>
    </row>
    <row r="49">
      <c r="A49" s="394"/>
      <c r="B49" s="430"/>
      <c r="C49" s="395"/>
      <c r="D49" s="529"/>
      <c r="E49" s="394"/>
      <c r="F49" s="430"/>
      <c r="G49" s="395"/>
      <c r="H49" s="529"/>
      <c r="I49" s="394"/>
      <c r="J49" s="430"/>
      <c r="K49" s="395"/>
      <c r="L49" s="529"/>
      <c r="M49" s="394"/>
      <c r="N49" s="430"/>
      <c r="O49" s="395"/>
      <c r="P49" s="529"/>
      <c r="Q49" s="547"/>
      <c r="R49" s="548"/>
      <c r="S49" s="549"/>
      <c r="T49" s="541"/>
      <c r="U49" s="547"/>
      <c r="V49" s="548"/>
      <c r="W49" s="549"/>
      <c r="X49" s="541"/>
      <c r="Y49" s="550"/>
      <c r="Z49" s="551"/>
      <c r="AA49" s="552"/>
      <c r="AB49" s="553"/>
      <c r="AC49" s="550"/>
      <c r="AD49" s="551"/>
      <c r="AE49" s="552"/>
      <c r="AF49" s="553"/>
      <c r="AG49" s="547"/>
      <c r="AH49" s="548"/>
      <c r="AI49" s="549"/>
      <c r="AJ49" s="541"/>
      <c r="AK49" s="394"/>
      <c r="AL49" s="430"/>
      <c r="AM49" s="395"/>
      <c r="AN49" s="529"/>
      <c r="AO49" s="394"/>
      <c r="AP49" s="430"/>
      <c r="AQ49" s="395"/>
      <c r="AR49" s="529"/>
      <c r="AS49" s="542"/>
      <c r="AT49" s="542"/>
    </row>
    <row r="50">
      <c r="A50" s="394"/>
      <c r="B50" s="430"/>
      <c r="C50" s="395"/>
      <c r="D50" s="529"/>
      <c r="E50" s="394"/>
      <c r="F50" s="430"/>
      <c r="G50" s="395"/>
      <c r="H50" s="529"/>
      <c r="I50" s="394"/>
      <c r="J50" s="430"/>
      <c r="K50" s="395"/>
      <c r="L50" s="529"/>
      <c r="M50" s="394"/>
      <c r="N50" s="430"/>
      <c r="O50" s="395"/>
      <c r="P50" s="529"/>
      <c r="Q50" s="547"/>
      <c r="R50" s="548"/>
      <c r="S50" s="549"/>
      <c r="T50" s="541"/>
      <c r="U50" s="547"/>
      <c r="V50" s="548"/>
      <c r="W50" s="549"/>
      <c r="X50" s="541"/>
      <c r="Y50" s="550"/>
      <c r="Z50" s="551"/>
      <c r="AA50" s="552"/>
      <c r="AB50" s="553"/>
      <c r="AC50" s="550"/>
      <c r="AD50" s="551"/>
      <c r="AE50" s="552"/>
      <c r="AF50" s="553"/>
      <c r="AG50" s="547"/>
      <c r="AH50" s="548"/>
      <c r="AI50" s="549"/>
      <c r="AJ50" s="541"/>
      <c r="AK50" s="394"/>
      <c r="AL50" s="430"/>
      <c r="AM50" s="395"/>
      <c r="AN50" s="529"/>
      <c r="AO50" s="394"/>
      <c r="AP50" s="430"/>
      <c r="AQ50" s="395"/>
      <c r="AR50" s="529"/>
      <c r="AS50" s="542"/>
      <c r="AT50" s="542"/>
    </row>
    <row r="51">
      <c r="A51" s="394"/>
      <c r="B51" s="430"/>
      <c r="C51" s="395"/>
      <c r="D51" s="529"/>
      <c r="E51" s="394"/>
      <c r="F51" s="430"/>
      <c r="G51" s="395"/>
      <c r="H51" s="529"/>
      <c r="I51" s="394"/>
      <c r="J51" s="430"/>
      <c r="K51" s="395"/>
      <c r="L51" s="529"/>
      <c r="M51" s="394"/>
      <c r="N51" s="430"/>
      <c r="O51" s="395"/>
      <c r="P51" s="529"/>
      <c r="Q51" s="547"/>
      <c r="R51" s="548"/>
      <c r="S51" s="549"/>
      <c r="T51" s="541"/>
      <c r="U51" s="547"/>
      <c r="V51" s="548"/>
      <c r="W51" s="549"/>
      <c r="X51" s="541"/>
      <c r="Y51" s="547"/>
      <c r="Z51" s="548"/>
      <c r="AA51" s="549"/>
      <c r="AB51" s="541"/>
      <c r="AC51" s="547"/>
      <c r="AD51" s="548"/>
      <c r="AE51" s="549"/>
      <c r="AF51" s="541"/>
      <c r="AG51" s="547"/>
      <c r="AH51" s="548"/>
      <c r="AI51" s="549"/>
      <c r="AJ51" s="541"/>
      <c r="AK51" s="394"/>
      <c r="AL51" s="430"/>
      <c r="AM51" s="395"/>
      <c r="AN51" s="529"/>
      <c r="AO51" s="394"/>
      <c r="AP51" s="430"/>
      <c r="AQ51" s="395"/>
      <c r="AR51" s="529"/>
      <c r="AS51" s="542"/>
      <c r="AT51" s="542"/>
    </row>
    <row r="52">
      <c r="A52" s="394"/>
      <c r="B52" s="430"/>
      <c r="C52" s="395"/>
      <c r="D52" s="529"/>
      <c r="E52" s="394"/>
      <c r="F52" s="430"/>
      <c r="G52" s="395"/>
      <c r="H52" s="529"/>
      <c r="I52" s="394"/>
      <c r="J52" s="430"/>
      <c r="K52" s="395"/>
      <c r="L52" s="529"/>
      <c r="M52" s="394"/>
      <c r="N52" s="430"/>
      <c r="O52" s="395"/>
      <c r="P52" s="529"/>
      <c r="Q52" s="547"/>
      <c r="R52" s="548"/>
      <c r="S52" s="549"/>
      <c r="T52" s="541"/>
      <c r="U52" s="547"/>
      <c r="V52" s="548"/>
      <c r="W52" s="549"/>
      <c r="X52" s="541"/>
      <c r="Y52" s="547"/>
      <c r="Z52" s="548"/>
      <c r="AA52" s="549"/>
      <c r="AB52" s="541"/>
      <c r="AC52" s="547"/>
      <c r="AD52" s="548"/>
      <c r="AE52" s="549"/>
      <c r="AF52" s="541"/>
      <c r="AG52" s="547"/>
      <c r="AH52" s="548"/>
      <c r="AI52" s="549"/>
      <c r="AJ52" s="541"/>
      <c r="AK52" s="394"/>
      <c r="AL52" s="430"/>
      <c r="AM52" s="395"/>
      <c r="AN52" s="529"/>
      <c r="AO52" s="394"/>
      <c r="AP52" s="430"/>
      <c r="AQ52" s="395"/>
      <c r="AR52" s="529"/>
      <c r="AS52" s="542"/>
      <c r="AT52" s="542"/>
    </row>
    <row r="53">
      <c r="A53" s="394"/>
      <c r="B53" s="430"/>
      <c r="C53" s="395"/>
      <c r="D53" s="529"/>
      <c r="E53" s="394"/>
      <c r="F53" s="430"/>
      <c r="G53" s="395"/>
      <c r="H53" s="529"/>
      <c r="I53" s="394"/>
      <c r="J53" s="430"/>
      <c r="K53" s="395"/>
      <c r="L53" s="529"/>
      <c r="M53" s="394"/>
      <c r="N53" s="430"/>
      <c r="O53" s="395"/>
      <c r="P53" s="529"/>
      <c r="Q53" s="547"/>
      <c r="R53" s="548"/>
      <c r="S53" s="549"/>
      <c r="T53" s="541"/>
      <c r="U53" s="547"/>
      <c r="V53" s="548"/>
      <c r="W53" s="549"/>
      <c r="X53" s="541"/>
      <c r="Y53" s="547"/>
      <c r="Z53" s="548"/>
      <c r="AA53" s="549"/>
      <c r="AB53" s="541"/>
      <c r="AC53" s="547"/>
      <c r="AD53" s="548"/>
      <c r="AE53" s="549"/>
      <c r="AF53" s="541"/>
      <c r="AG53" s="547"/>
      <c r="AH53" s="548"/>
      <c r="AI53" s="549"/>
      <c r="AJ53" s="541"/>
      <c r="AK53" s="394"/>
      <c r="AL53" s="430"/>
      <c r="AM53" s="395"/>
      <c r="AN53" s="529"/>
      <c r="AO53" s="394"/>
      <c r="AP53" s="430"/>
      <c r="AQ53" s="395"/>
      <c r="AR53" s="529"/>
      <c r="AS53" s="542"/>
      <c r="AT53" s="542"/>
    </row>
    <row r="54">
      <c r="A54" s="394"/>
      <c r="B54" s="430"/>
      <c r="C54" s="395"/>
      <c r="D54" s="529"/>
      <c r="E54" s="394"/>
      <c r="F54" s="430"/>
      <c r="G54" s="395"/>
      <c r="H54" s="529"/>
      <c r="I54" s="394"/>
      <c r="J54" s="430"/>
      <c r="K54" s="395"/>
      <c r="L54" s="529"/>
      <c r="M54" s="394"/>
      <c r="N54" s="430"/>
      <c r="O54" s="395"/>
      <c r="P54" s="529"/>
      <c r="Q54" s="547"/>
      <c r="R54" s="548"/>
      <c r="S54" s="549"/>
      <c r="T54" s="541"/>
      <c r="U54" s="547"/>
      <c r="V54" s="548"/>
      <c r="W54" s="549"/>
      <c r="X54" s="541"/>
      <c r="Y54" s="547"/>
      <c r="Z54" s="548"/>
      <c r="AA54" s="549"/>
      <c r="AB54" s="541"/>
      <c r="AC54" s="547"/>
      <c r="AD54" s="548"/>
      <c r="AE54" s="549"/>
      <c r="AF54" s="541"/>
      <c r="AG54" s="547"/>
      <c r="AH54" s="548"/>
      <c r="AI54" s="549"/>
      <c r="AJ54" s="541"/>
      <c r="AK54" s="394"/>
      <c r="AL54" s="430"/>
      <c r="AM54" s="395"/>
      <c r="AN54" s="529"/>
      <c r="AO54" s="394"/>
      <c r="AP54" s="430"/>
      <c r="AQ54" s="395"/>
      <c r="AR54" s="529"/>
      <c r="AS54" s="542"/>
      <c r="AT54" s="542"/>
    </row>
    <row r="55">
      <c r="A55" s="394"/>
      <c r="B55" s="430"/>
      <c r="C55" s="395"/>
      <c r="D55" s="529"/>
      <c r="E55" s="394"/>
      <c r="F55" s="430"/>
      <c r="G55" s="395"/>
      <c r="H55" s="529"/>
      <c r="I55" s="394"/>
      <c r="J55" s="430"/>
      <c r="K55" s="395"/>
      <c r="L55" s="529"/>
      <c r="M55" s="394"/>
      <c r="N55" s="430"/>
      <c r="O55" s="395"/>
      <c r="P55" s="529"/>
      <c r="Q55" s="547"/>
      <c r="R55" s="548"/>
      <c r="S55" s="549"/>
      <c r="T55" s="541"/>
      <c r="U55" s="547"/>
      <c r="V55" s="548"/>
      <c r="W55" s="549"/>
      <c r="X55" s="541"/>
      <c r="Y55" s="547"/>
      <c r="Z55" s="548"/>
      <c r="AA55" s="549"/>
      <c r="AB55" s="541"/>
      <c r="AC55" s="547"/>
      <c r="AD55" s="548"/>
      <c r="AE55" s="549"/>
      <c r="AF55" s="541"/>
      <c r="AG55" s="547"/>
      <c r="AH55" s="548"/>
      <c r="AI55" s="549"/>
      <c r="AJ55" s="541"/>
      <c r="AK55" s="394"/>
      <c r="AL55" s="430"/>
      <c r="AM55" s="395"/>
      <c r="AN55" s="529"/>
      <c r="AO55" s="394"/>
      <c r="AP55" s="430"/>
      <c r="AQ55" s="395"/>
      <c r="AR55" s="529"/>
      <c r="AS55" s="542"/>
      <c r="AT55" s="542"/>
    </row>
    <row r="56">
      <c r="A56" s="394"/>
      <c r="B56" s="430"/>
      <c r="C56" s="395"/>
      <c r="D56" s="529"/>
      <c r="E56" s="394"/>
      <c r="F56" s="430"/>
      <c r="G56" s="395"/>
      <c r="H56" s="529"/>
      <c r="I56" s="394"/>
      <c r="J56" s="430"/>
      <c r="K56" s="395"/>
      <c r="L56" s="529"/>
      <c r="M56" s="394"/>
      <c r="N56" s="430"/>
      <c r="O56" s="395"/>
      <c r="P56" s="529"/>
      <c r="Q56" s="547"/>
      <c r="R56" s="548"/>
      <c r="S56" s="549"/>
      <c r="T56" s="541"/>
      <c r="U56" s="547"/>
      <c r="V56" s="548"/>
      <c r="W56" s="549"/>
      <c r="X56" s="541"/>
      <c r="Y56" s="547"/>
      <c r="Z56" s="548"/>
      <c r="AA56" s="549"/>
      <c r="AB56" s="541"/>
      <c r="AC56" s="547"/>
      <c r="AD56" s="548"/>
      <c r="AE56" s="549"/>
      <c r="AF56" s="541"/>
      <c r="AG56" s="547"/>
      <c r="AH56" s="548"/>
      <c r="AI56" s="549"/>
      <c r="AJ56" s="541"/>
      <c r="AK56" s="394"/>
      <c r="AL56" s="430"/>
      <c r="AM56" s="395"/>
      <c r="AN56" s="529"/>
      <c r="AO56" s="394"/>
      <c r="AP56" s="430"/>
      <c r="AQ56" s="395"/>
      <c r="AR56" s="529"/>
      <c r="AS56" s="542"/>
      <c r="AT56" s="542"/>
    </row>
    <row r="57">
      <c r="A57" s="394"/>
      <c r="B57" s="430"/>
      <c r="C57" s="395"/>
      <c r="D57" s="529"/>
      <c r="E57" s="394"/>
      <c r="F57" s="430"/>
      <c r="G57" s="395"/>
      <c r="H57" s="529"/>
      <c r="I57" s="394"/>
      <c r="J57" s="430"/>
      <c r="K57" s="395"/>
      <c r="L57" s="529"/>
      <c r="M57" s="394"/>
      <c r="N57" s="430"/>
      <c r="O57" s="395"/>
      <c r="P57" s="529"/>
      <c r="Q57" s="547"/>
      <c r="R57" s="548"/>
      <c r="S57" s="549"/>
      <c r="T57" s="541"/>
      <c r="U57" s="547"/>
      <c r="V57" s="548"/>
      <c r="W57" s="549"/>
      <c r="X57" s="541"/>
      <c r="Y57" s="547"/>
      <c r="Z57" s="548"/>
      <c r="AA57" s="549"/>
      <c r="AB57" s="541"/>
      <c r="AC57" s="547"/>
      <c r="AD57" s="548"/>
      <c r="AE57" s="549"/>
      <c r="AF57" s="541"/>
      <c r="AG57" s="547"/>
      <c r="AH57" s="548"/>
      <c r="AI57" s="549"/>
      <c r="AJ57" s="541"/>
      <c r="AK57" s="394"/>
      <c r="AL57" s="430"/>
      <c r="AM57" s="395"/>
      <c r="AN57" s="529"/>
      <c r="AO57" s="394"/>
      <c r="AP57" s="430"/>
      <c r="AQ57" s="395"/>
      <c r="AR57" s="529"/>
      <c r="AS57" s="542"/>
      <c r="AT57" s="542"/>
    </row>
    <row r="58">
      <c r="A58" s="394"/>
      <c r="B58" s="430"/>
      <c r="C58" s="395"/>
      <c r="D58" s="529"/>
      <c r="E58" s="394"/>
      <c r="F58" s="430"/>
      <c r="G58" s="395"/>
      <c r="H58" s="529"/>
      <c r="I58" s="394"/>
      <c r="J58" s="430"/>
      <c r="K58" s="395"/>
      <c r="L58" s="529"/>
      <c r="M58" s="394"/>
      <c r="N58" s="430"/>
      <c r="O58" s="395"/>
      <c r="P58" s="529"/>
      <c r="Q58" s="547"/>
      <c r="R58" s="548"/>
      <c r="S58" s="549"/>
      <c r="T58" s="541"/>
      <c r="U58" s="547"/>
      <c r="V58" s="548"/>
      <c r="W58" s="549"/>
      <c r="X58" s="541"/>
      <c r="Y58" s="547"/>
      <c r="Z58" s="548"/>
      <c r="AA58" s="549"/>
      <c r="AB58" s="541"/>
      <c r="AC58" s="547"/>
      <c r="AD58" s="548"/>
      <c r="AE58" s="549"/>
      <c r="AF58" s="541"/>
      <c r="AG58" s="547"/>
      <c r="AH58" s="548"/>
      <c r="AI58" s="549"/>
      <c r="AJ58" s="541"/>
      <c r="AK58" s="394"/>
      <c r="AL58" s="430"/>
      <c r="AM58" s="395"/>
      <c r="AN58" s="529"/>
      <c r="AO58" s="394"/>
      <c r="AP58" s="430"/>
      <c r="AQ58" s="395"/>
      <c r="AR58" s="529"/>
      <c r="AS58" s="542"/>
      <c r="AT58" s="542"/>
    </row>
    <row r="59">
      <c r="A59" s="394"/>
      <c r="B59" s="430"/>
      <c r="C59" s="395"/>
      <c r="D59" s="529"/>
      <c r="E59" s="394"/>
      <c r="F59" s="430"/>
      <c r="G59" s="395"/>
      <c r="H59" s="529"/>
      <c r="I59" s="394"/>
      <c r="J59" s="430"/>
      <c r="K59" s="395"/>
      <c r="L59" s="529"/>
      <c r="M59" s="394"/>
      <c r="N59" s="430"/>
      <c r="O59" s="395"/>
      <c r="P59" s="529"/>
      <c r="Q59" s="547"/>
      <c r="R59" s="548"/>
      <c r="S59" s="549"/>
      <c r="T59" s="541"/>
      <c r="U59" s="547"/>
      <c r="V59" s="548"/>
      <c r="W59" s="549"/>
      <c r="X59" s="541"/>
      <c r="Y59" s="547"/>
      <c r="Z59" s="548"/>
      <c r="AA59" s="549"/>
      <c r="AB59" s="541"/>
      <c r="AC59" s="547"/>
      <c r="AD59" s="548"/>
      <c r="AE59" s="549"/>
      <c r="AF59" s="541"/>
      <c r="AG59" s="547"/>
      <c r="AH59" s="548"/>
      <c r="AI59" s="549"/>
      <c r="AJ59" s="541"/>
      <c r="AK59" s="394"/>
      <c r="AL59" s="430"/>
      <c r="AM59" s="395"/>
      <c r="AN59" s="529"/>
      <c r="AO59" s="394"/>
      <c r="AP59" s="430"/>
      <c r="AQ59" s="395"/>
      <c r="AR59" s="529"/>
      <c r="AS59" s="542"/>
      <c r="AT59" s="542"/>
    </row>
    <row r="60">
      <c r="A60" s="394"/>
      <c r="B60" s="430"/>
      <c r="C60" s="395"/>
      <c r="D60" s="529"/>
      <c r="E60" s="394"/>
      <c r="F60" s="430"/>
      <c r="G60" s="395"/>
      <c r="H60" s="529"/>
      <c r="I60" s="394"/>
      <c r="J60" s="430"/>
      <c r="K60" s="395"/>
      <c r="L60" s="529"/>
      <c r="M60" s="394"/>
      <c r="N60" s="430"/>
      <c r="O60" s="395"/>
      <c r="P60" s="529"/>
      <c r="Q60" s="547"/>
      <c r="R60" s="548"/>
      <c r="S60" s="549"/>
      <c r="T60" s="541"/>
      <c r="U60" s="547"/>
      <c r="V60" s="548"/>
      <c r="W60" s="549"/>
      <c r="X60" s="541"/>
      <c r="Y60" s="547"/>
      <c r="Z60" s="548"/>
      <c r="AA60" s="549"/>
      <c r="AB60" s="541"/>
      <c r="AC60" s="547"/>
      <c r="AD60" s="548"/>
      <c r="AE60" s="549"/>
      <c r="AF60" s="541"/>
      <c r="AG60" s="547"/>
      <c r="AH60" s="548"/>
      <c r="AI60" s="549"/>
      <c r="AJ60" s="541"/>
      <c r="AK60" s="394"/>
      <c r="AL60" s="430"/>
      <c r="AM60" s="395"/>
      <c r="AN60" s="529"/>
      <c r="AO60" s="394"/>
      <c r="AP60" s="430"/>
      <c r="AQ60" s="395"/>
      <c r="AR60" s="529"/>
      <c r="AS60" s="542"/>
      <c r="AT60" s="542"/>
    </row>
    <row r="61">
      <c r="A61" s="394"/>
      <c r="B61" s="430"/>
      <c r="C61" s="395"/>
      <c r="D61" s="529"/>
      <c r="E61" s="394"/>
      <c r="F61" s="430"/>
      <c r="G61" s="395"/>
      <c r="H61" s="529"/>
      <c r="I61" s="394"/>
      <c r="J61" s="430"/>
      <c r="K61" s="395"/>
      <c r="L61" s="529"/>
      <c r="M61" s="394"/>
      <c r="N61" s="430"/>
      <c r="O61" s="395"/>
      <c r="P61" s="529"/>
      <c r="Q61" s="547"/>
      <c r="R61" s="548"/>
      <c r="S61" s="549"/>
      <c r="T61" s="541"/>
      <c r="U61" s="547"/>
      <c r="V61" s="548"/>
      <c r="W61" s="549"/>
      <c r="X61" s="541"/>
      <c r="Y61" s="547"/>
      <c r="Z61" s="548"/>
      <c r="AA61" s="549"/>
      <c r="AB61" s="541"/>
      <c r="AC61" s="547"/>
      <c r="AD61" s="548"/>
      <c r="AE61" s="549"/>
      <c r="AF61" s="541"/>
      <c r="AG61" s="547"/>
      <c r="AH61" s="548"/>
      <c r="AI61" s="549"/>
      <c r="AJ61" s="541"/>
      <c r="AK61" s="394"/>
      <c r="AL61" s="430"/>
      <c r="AM61" s="395"/>
      <c r="AN61" s="529"/>
      <c r="AO61" s="394"/>
      <c r="AP61" s="430"/>
      <c r="AQ61" s="395"/>
      <c r="AR61" s="529"/>
      <c r="AS61" s="542"/>
      <c r="AT61" s="542"/>
    </row>
    <row r="62">
      <c r="A62" s="394"/>
      <c r="B62" s="430"/>
      <c r="C62" s="395"/>
      <c r="D62" s="529"/>
      <c r="E62" s="394"/>
      <c r="F62" s="430"/>
      <c r="G62" s="395"/>
      <c r="H62" s="529"/>
      <c r="I62" s="394"/>
      <c r="J62" s="430"/>
      <c r="K62" s="395"/>
      <c r="L62" s="529"/>
      <c r="M62" s="394"/>
      <c r="N62" s="430"/>
      <c r="O62" s="395"/>
      <c r="P62" s="529"/>
      <c r="Q62" s="547"/>
      <c r="R62" s="548"/>
      <c r="S62" s="549"/>
      <c r="T62" s="541"/>
      <c r="U62" s="547"/>
      <c r="V62" s="548"/>
      <c r="W62" s="549"/>
      <c r="X62" s="541"/>
      <c r="Y62" s="547"/>
      <c r="Z62" s="548"/>
      <c r="AA62" s="549"/>
      <c r="AB62" s="541"/>
      <c r="AC62" s="547"/>
      <c r="AD62" s="548"/>
      <c r="AE62" s="549"/>
      <c r="AF62" s="541"/>
      <c r="AG62" s="547"/>
      <c r="AH62" s="548"/>
      <c r="AI62" s="549"/>
      <c r="AJ62" s="541"/>
      <c r="AK62" s="394"/>
      <c r="AL62" s="430"/>
      <c r="AM62" s="395"/>
      <c r="AN62" s="529"/>
      <c r="AO62" s="394"/>
      <c r="AP62" s="430"/>
      <c r="AQ62" s="395"/>
      <c r="AR62" s="529"/>
      <c r="AS62" s="542"/>
      <c r="AT62" s="542"/>
    </row>
    <row r="63">
      <c r="A63" s="394"/>
      <c r="B63" s="430"/>
      <c r="C63" s="395"/>
      <c r="D63" s="529"/>
      <c r="E63" s="394"/>
      <c r="F63" s="430"/>
      <c r="G63" s="395"/>
      <c r="H63" s="529"/>
      <c r="I63" s="394"/>
      <c r="J63" s="430"/>
      <c r="K63" s="395"/>
      <c r="L63" s="529"/>
      <c r="M63" s="394"/>
      <c r="N63" s="430"/>
      <c r="O63" s="395"/>
      <c r="P63" s="529"/>
      <c r="Q63" s="547"/>
      <c r="R63" s="548"/>
      <c r="S63" s="549"/>
      <c r="T63" s="541"/>
      <c r="U63" s="547"/>
      <c r="V63" s="548"/>
      <c r="W63" s="549"/>
      <c r="X63" s="541"/>
      <c r="Y63" s="547"/>
      <c r="Z63" s="548"/>
      <c r="AA63" s="549"/>
      <c r="AB63" s="541"/>
      <c r="AC63" s="547"/>
      <c r="AD63" s="548"/>
      <c r="AE63" s="549"/>
      <c r="AF63" s="541"/>
      <c r="AG63" s="547"/>
      <c r="AH63" s="548"/>
      <c r="AI63" s="549"/>
      <c r="AJ63" s="541"/>
      <c r="AK63" s="394"/>
      <c r="AL63" s="430"/>
      <c r="AM63" s="395"/>
      <c r="AN63" s="529"/>
      <c r="AO63" s="394"/>
      <c r="AP63" s="430"/>
      <c r="AQ63" s="395"/>
      <c r="AR63" s="529"/>
      <c r="AS63" s="542"/>
      <c r="AT63" s="542"/>
    </row>
    <row r="64">
      <c r="A64" s="394"/>
      <c r="B64" s="430"/>
      <c r="C64" s="395"/>
      <c r="D64" s="529"/>
      <c r="E64" s="394"/>
      <c r="F64" s="430"/>
      <c r="G64" s="395"/>
      <c r="H64" s="529"/>
      <c r="I64" s="394"/>
      <c r="J64" s="430"/>
      <c r="K64" s="395"/>
      <c r="L64" s="529"/>
      <c r="M64" s="394"/>
      <c r="N64" s="430"/>
      <c r="O64" s="395"/>
      <c r="P64" s="529"/>
      <c r="Q64" s="547"/>
      <c r="R64" s="548"/>
      <c r="S64" s="549"/>
      <c r="T64" s="541"/>
      <c r="U64" s="547"/>
      <c r="V64" s="548"/>
      <c r="W64" s="549"/>
      <c r="X64" s="541"/>
      <c r="Y64" s="547"/>
      <c r="Z64" s="548"/>
      <c r="AA64" s="549"/>
      <c r="AB64" s="541"/>
      <c r="AC64" s="547"/>
      <c r="AD64" s="548"/>
      <c r="AE64" s="549"/>
      <c r="AF64" s="541"/>
      <c r="AG64" s="547"/>
      <c r="AH64" s="548"/>
      <c r="AI64" s="549"/>
      <c r="AJ64" s="541"/>
      <c r="AK64" s="394"/>
      <c r="AL64" s="430"/>
      <c r="AM64" s="395"/>
      <c r="AN64" s="529"/>
      <c r="AO64" s="394"/>
      <c r="AP64" s="430"/>
      <c r="AQ64" s="395"/>
      <c r="AR64" s="529"/>
      <c r="AS64" s="542"/>
      <c r="AT64" s="542"/>
    </row>
    <row r="65">
      <c r="A65" s="394"/>
      <c r="B65" s="430"/>
      <c r="C65" s="395"/>
      <c r="D65" s="529"/>
      <c r="E65" s="394"/>
      <c r="F65" s="430"/>
      <c r="G65" s="395"/>
      <c r="H65" s="529"/>
      <c r="I65" s="394"/>
      <c r="J65" s="430"/>
      <c r="K65" s="395"/>
      <c r="L65" s="529"/>
      <c r="M65" s="394"/>
      <c r="N65" s="430"/>
      <c r="O65" s="395"/>
      <c r="P65" s="529"/>
      <c r="Q65" s="547"/>
      <c r="R65" s="548"/>
      <c r="S65" s="549"/>
      <c r="T65" s="541"/>
      <c r="U65" s="547"/>
      <c r="V65" s="548"/>
      <c r="W65" s="549"/>
      <c r="X65" s="541"/>
      <c r="Y65" s="547"/>
      <c r="Z65" s="548"/>
      <c r="AA65" s="549"/>
      <c r="AB65" s="541"/>
      <c r="AC65" s="547"/>
      <c r="AD65" s="548"/>
      <c r="AE65" s="549"/>
      <c r="AF65" s="541"/>
      <c r="AG65" s="547"/>
      <c r="AH65" s="548"/>
      <c r="AI65" s="549"/>
      <c r="AJ65" s="541"/>
      <c r="AK65" s="394"/>
      <c r="AL65" s="430"/>
      <c r="AM65" s="395"/>
      <c r="AN65" s="529"/>
      <c r="AO65" s="394"/>
      <c r="AP65" s="430"/>
      <c r="AQ65" s="395"/>
      <c r="AR65" s="529"/>
      <c r="AS65" s="542"/>
      <c r="AT65" s="542"/>
    </row>
    <row r="66">
      <c r="A66" s="394"/>
      <c r="B66" s="430"/>
      <c r="C66" s="395"/>
      <c r="D66" s="529"/>
      <c r="E66" s="394"/>
      <c r="F66" s="430"/>
      <c r="G66" s="395"/>
      <c r="H66" s="529"/>
      <c r="I66" s="394"/>
      <c r="J66" s="430"/>
      <c r="K66" s="395"/>
      <c r="L66" s="529"/>
      <c r="M66" s="394"/>
      <c r="N66" s="430"/>
      <c r="O66" s="395"/>
      <c r="P66" s="529"/>
      <c r="Q66" s="547"/>
      <c r="R66" s="548"/>
      <c r="S66" s="549"/>
      <c r="T66" s="541"/>
      <c r="U66" s="547"/>
      <c r="V66" s="548"/>
      <c r="W66" s="549"/>
      <c r="X66" s="541"/>
      <c r="Y66" s="547"/>
      <c r="Z66" s="548"/>
      <c r="AA66" s="549"/>
      <c r="AB66" s="541"/>
      <c r="AC66" s="547"/>
      <c r="AD66" s="548"/>
      <c r="AE66" s="549"/>
      <c r="AF66" s="541"/>
      <c r="AG66" s="547"/>
      <c r="AH66" s="548"/>
      <c r="AI66" s="549"/>
      <c r="AJ66" s="541"/>
      <c r="AK66" s="394"/>
      <c r="AL66" s="430"/>
      <c r="AM66" s="395"/>
      <c r="AN66" s="529"/>
      <c r="AO66" s="394"/>
      <c r="AP66" s="430"/>
      <c r="AQ66" s="395"/>
      <c r="AR66" s="529"/>
      <c r="AS66" s="542"/>
      <c r="AT66" s="542"/>
    </row>
    <row r="67">
      <c r="A67" s="394"/>
      <c r="B67" s="430"/>
      <c r="C67" s="395"/>
      <c r="D67" s="529"/>
      <c r="E67" s="394"/>
      <c r="F67" s="430"/>
      <c r="G67" s="395"/>
      <c r="H67" s="529"/>
      <c r="I67" s="394"/>
      <c r="J67" s="430"/>
      <c r="K67" s="395"/>
      <c r="L67" s="529"/>
      <c r="M67" s="394"/>
      <c r="N67" s="430"/>
      <c r="O67" s="395"/>
      <c r="P67" s="529"/>
      <c r="Q67" s="547"/>
      <c r="R67" s="548"/>
      <c r="S67" s="549"/>
      <c r="T67" s="541"/>
      <c r="U67" s="547"/>
      <c r="V67" s="548"/>
      <c r="W67" s="549"/>
      <c r="X67" s="541"/>
      <c r="Y67" s="547"/>
      <c r="Z67" s="548"/>
      <c r="AA67" s="549"/>
      <c r="AB67" s="541"/>
      <c r="AC67" s="547"/>
      <c r="AD67" s="548"/>
      <c r="AE67" s="549"/>
      <c r="AF67" s="541"/>
      <c r="AG67" s="547"/>
      <c r="AH67" s="548"/>
      <c r="AI67" s="549"/>
      <c r="AJ67" s="541"/>
      <c r="AK67" s="394"/>
      <c r="AL67" s="430"/>
      <c r="AM67" s="395"/>
      <c r="AN67" s="529"/>
      <c r="AO67" s="394"/>
      <c r="AP67" s="430"/>
      <c r="AQ67" s="395"/>
      <c r="AR67" s="529"/>
      <c r="AS67" s="542"/>
      <c r="AT67" s="542"/>
    </row>
    <row r="68">
      <c r="A68" s="394"/>
      <c r="B68" s="430"/>
      <c r="C68" s="395"/>
      <c r="D68" s="529"/>
      <c r="E68" s="394"/>
      <c r="F68" s="430"/>
      <c r="G68" s="395"/>
      <c r="H68" s="529"/>
      <c r="I68" s="394"/>
      <c r="J68" s="430"/>
      <c r="K68" s="395"/>
      <c r="L68" s="529"/>
      <c r="M68" s="394"/>
      <c r="N68" s="430"/>
      <c r="O68" s="395"/>
      <c r="P68" s="529"/>
      <c r="Q68" s="547"/>
      <c r="R68" s="548"/>
      <c r="S68" s="549"/>
      <c r="T68" s="541"/>
      <c r="U68" s="547"/>
      <c r="V68" s="548"/>
      <c r="W68" s="549"/>
      <c r="X68" s="541"/>
      <c r="Y68" s="547"/>
      <c r="Z68" s="548"/>
      <c r="AA68" s="549"/>
      <c r="AB68" s="541"/>
      <c r="AC68" s="547"/>
      <c r="AD68" s="548"/>
      <c r="AE68" s="549"/>
      <c r="AF68" s="541"/>
      <c r="AG68" s="547"/>
      <c r="AH68" s="548"/>
      <c r="AI68" s="549"/>
      <c r="AJ68" s="541"/>
      <c r="AK68" s="394"/>
      <c r="AL68" s="430"/>
      <c r="AM68" s="395"/>
      <c r="AN68" s="529"/>
      <c r="AO68" s="394"/>
      <c r="AP68" s="430"/>
      <c r="AQ68" s="395"/>
      <c r="AR68" s="529"/>
      <c r="AS68" s="542"/>
      <c r="AT68" s="542"/>
    </row>
    <row r="69">
      <c r="A69" s="394"/>
      <c r="B69" s="430"/>
      <c r="C69" s="395"/>
      <c r="D69" s="529"/>
      <c r="E69" s="394"/>
      <c r="F69" s="430"/>
      <c r="G69" s="395"/>
      <c r="H69" s="529"/>
      <c r="I69" s="394"/>
      <c r="J69" s="430"/>
      <c r="K69" s="395"/>
      <c r="L69" s="529"/>
      <c r="M69" s="394"/>
      <c r="N69" s="430"/>
      <c r="O69" s="395"/>
      <c r="P69" s="529"/>
      <c r="Q69" s="547"/>
      <c r="R69" s="548"/>
      <c r="S69" s="549"/>
      <c r="T69" s="541"/>
      <c r="U69" s="547"/>
      <c r="V69" s="548"/>
      <c r="W69" s="549"/>
      <c r="X69" s="541"/>
      <c r="Y69" s="547"/>
      <c r="Z69" s="548"/>
      <c r="AA69" s="549"/>
      <c r="AB69" s="541"/>
      <c r="AC69" s="547"/>
      <c r="AD69" s="548"/>
      <c r="AE69" s="549"/>
      <c r="AF69" s="541"/>
      <c r="AG69" s="547"/>
      <c r="AH69" s="548"/>
      <c r="AI69" s="549"/>
      <c r="AJ69" s="541"/>
      <c r="AK69" s="394"/>
      <c r="AL69" s="430"/>
      <c r="AM69" s="395"/>
      <c r="AN69" s="529"/>
      <c r="AO69" s="394"/>
      <c r="AP69" s="430"/>
      <c r="AQ69" s="395"/>
      <c r="AR69" s="529"/>
      <c r="AS69" s="542"/>
      <c r="AT69" s="542"/>
    </row>
    <row r="70">
      <c r="A70" s="394"/>
      <c r="B70" s="430"/>
      <c r="C70" s="395"/>
      <c r="D70" s="529"/>
      <c r="E70" s="394"/>
      <c r="F70" s="430"/>
      <c r="G70" s="395"/>
      <c r="H70" s="529"/>
      <c r="I70" s="394"/>
      <c r="J70" s="430"/>
      <c r="K70" s="395"/>
      <c r="L70" s="529"/>
      <c r="M70" s="394"/>
      <c r="N70" s="430"/>
      <c r="O70" s="395"/>
      <c r="P70" s="529"/>
      <c r="Q70" s="547"/>
      <c r="R70" s="548"/>
      <c r="S70" s="549"/>
      <c r="T70" s="541"/>
      <c r="U70" s="547"/>
      <c r="V70" s="548"/>
      <c r="W70" s="549"/>
      <c r="X70" s="541"/>
      <c r="Y70" s="547"/>
      <c r="Z70" s="548"/>
      <c r="AA70" s="549"/>
      <c r="AB70" s="541"/>
      <c r="AC70" s="547"/>
      <c r="AD70" s="548"/>
      <c r="AE70" s="549"/>
      <c r="AF70" s="541"/>
      <c r="AG70" s="547"/>
      <c r="AH70" s="548"/>
      <c r="AI70" s="549"/>
      <c r="AJ70" s="541"/>
      <c r="AK70" s="394"/>
      <c r="AL70" s="430"/>
      <c r="AM70" s="395"/>
      <c r="AN70" s="529"/>
      <c r="AO70" s="394"/>
      <c r="AP70" s="430"/>
      <c r="AQ70" s="395"/>
      <c r="AR70" s="529"/>
      <c r="AS70" s="542"/>
      <c r="AT70" s="542"/>
    </row>
    <row r="71">
      <c r="A71" s="394"/>
      <c r="B71" s="430"/>
      <c r="C71" s="395"/>
      <c r="D71" s="529"/>
      <c r="E71" s="394"/>
      <c r="F71" s="430"/>
      <c r="G71" s="395"/>
      <c r="H71" s="529"/>
      <c r="I71" s="394"/>
      <c r="J71" s="430"/>
      <c r="K71" s="395"/>
      <c r="L71" s="529"/>
      <c r="M71" s="394"/>
      <c r="N71" s="430"/>
      <c r="O71" s="395"/>
      <c r="P71" s="529"/>
      <c r="Q71" s="547"/>
      <c r="R71" s="548"/>
      <c r="S71" s="549"/>
      <c r="T71" s="541"/>
      <c r="U71" s="547"/>
      <c r="V71" s="548"/>
      <c r="W71" s="549"/>
      <c r="X71" s="541"/>
      <c r="Y71" s="547"/>
      <c r="Z71" s="548"/>
      <c r="AA71" s="549"/>
      <c r="AB71" s="541"/>
      <c r="AC71" s="547"/>
      <c r="AD71" s="548"/>
      <c r="AE71" s="549"/>
      <c r="AF71" s="541"/>
      <c r="AG71" s="547"/>
      <c r="AH71" s="548"/>
      <c r="AI71" s="549"/>
      <c r="AJ71" s="541"/>
      <c r="AK71" s="394"/>
      <c r="AL71" s="430"/>
      <c r="AM71" s="395"/>
      <c r="AN71" s="529"/>
      <c r="AO71" s="394"/>
      <c r="AP71" s="430"/>
      <c r="AQ71" s="395"/>
      <c r="AR71" s="529"/>
      <c r="AS71" s="542"/>
      <c r="AT71" s="542"/>
    </row>
    <row r="72">
      <c r="A72" s="394"/>
      <c r="B72" s="430"/>
      <c r="C72" s="395"/>
      <c r="D72" s="529"/>
      <c r="E72" s="394"/>
      <c r="F72" s="430"/>
      <c r="G72" s="395"/>
      <c r="H72" s="529"/>
      <c r="I72" s="394"/>
      <c r="J72" s="430"/>
      <c r="K72" s="395"/>
      <c r="L72" s="529"/>
      <c r="M72" s="394"/>
      <c r="N72" s="430"/>
      <c r="O72" s="395"/>
      <c r="P72" s="529"/>
      <c r="Q72" s="547"/>
      <c r="R72" s="548"/>
      <c r="S72" s="549"/>
      <c r="T72" s="541"/>
      <c r="U72" s="547"/>
      <c r="V72" s="548"/>
      <c r="W72" s="549"/>
      <c r="X72" s="541"/>
      <c r="Y72" s="547"/>
      <c r="Z72" s="548"/>
      <c r="AA72" s="549"/>
      <c r="AB72" s="541"/>
      <c r="AC72" s="547"/>
      <c r="AD72" s="548"/>
      <c r="AE72" s="549"/>
      <c r="AF72" s="541"/>
      <c r="AG72" s="547"/>
      <c r="AH72" s="548"/>
      <c r="AI72" s="549"/>
      <c r="AJ72" s="541"/>
      <c r="AK72" s="394"/>
      <c r="AL72" s="430"/>
      <c r="AM72" s="395"/>
      <c r="AN72" s="529"/>
      <c r="AO72" s="394"/>
      <c r="AP72" s="430"/>
      <c r="AQ72" s="395"/>
      <c r="AR72" s="529"/>
      <c r="AS72" s="542"/>
      <c r="AT72" s="542"/>
    </row>
    <row r="73">
      <c r="A73" s="394"/>
      <c r="B73" s="430"/>
      <c r="C73" s="395"/>
      <c r="D73" s="529"/>
      <c r="E73" s="394"/>
      <c r="F73" s="430"/>
      <c r="G73" s="395"/>
      <c r="H73" s="529"/>
      <c r="I73" s="394"/>
      <c r="J73" s="430"/>
      <c r="K73" s="395"/>
      <c r="L73" s="529"/>
      <c r="M73" s="394"/>
      <c r="N73" s="430"/>
      <c r="O73" s="395"/>
      <c r="P73" s="529"/>
      <c r="Q73" s="547"/>
      <c r="R73" s="548"/>
      <c r="S73" s="549"/>
      <c r="T73" s="541"/>
      <c r="U73" s="547"/>
      <c r="V73" s="548"/>
      <c r="W73" s="549"/>
      <c r="X73" s="541"/>
      <c r="Y73" s="547"/>
      <c r="Z73" s="548"/>
      <c r="AA73" s="549"/>
      <c r="AB73" s="541"/>
      <c r="AC73" s="547"/>
      <c r="AD73" s="548"/>
      <c r="AE73" s="549"/>
      <c r="AF73" s="541"/>
      <c r="AG73" s="547"/>
      <c r="AH73" s="548"/>
      <c r="AI73" s="549"/>
      <c r="AJ73" s="541"/>
      <c r="AK73" s="394"/>
      <c r="AL73" s="430"/>
      <c r="AM73" s="395"/>
      <c r="AN73" s="529"/>
      <c r="AO73" s="394"/>
      <c r="AP73" s="430"/>
      <c r="AQ73" s="395"/>
      <c r="AR73" s="529"/>
      <c r="AS73" s="542"/>
      <c r="AT73" s="542"/>
    </row>
    <row r="74">
      <c r="A74" s="394"/>
      <c r="B74" s="430"/>
      <c r="C74" s="395"/>
      <c r="D74" s="529"/>
      <c r="E74" s="394"/>
      <c r="F74" s="430"/>
      <c r="G74" s="395"/>
      <c r="H74" s="529"/>
      <c r="I74" s="394"/>
      <c r="J74" s="430"/>
      <c r="K74" s="395"/>
      <c r="L74" s="529"/>
      <c r="M74" s="394"/>
      <c r="N74" s="430"/>
      <c r="O74" s="395"/>
      <c r="P74" s="529"/>
      <c r="Q74" s="547"/>
      <c r="R74" s="548"/>
      <c r="S74" s="549"/>
      <c r="T74" s="541"/>
      <c r="U74" s="547"/>
      <c r="V74" s="548"/>
      <c r="W74" s="549"/>
      <c r="X74" s="541"/>
      <c r="Y74" s="547"/>
      <c r="Z74" s="548"/>
      <c r="AA74" s="549"/>
      <c r="AB74" s="541"/>
      <c r="AC74" s="547"/>
      <c r="AD74" s="548"/>
      <c r="AE74" s="549"/>
      <c r="AF74" s="541"/>
      <c r="AG74" s="547"/>
      <c r="AH74" s="548"/>
      <c r="AI74" s="549"/>
      <c r="AJ74" s="541"/>
      <c r="AK74" s="394"/>
      <c r="AL74" s="430"/>
      <c r="AM74" s="395"/>
      <c r="AN74" s="529"/>
      <c r="AO74" s="394"/>
      <c r="AP74" s="430"/>
      <c r="AQ74" s="395"/>
      <c r="AR74" s="529"/>
      <c r="AS74" s="542"/>
      <c r="AT74" s="542"/>
    </row>
    <row r="75">
      <c r="A75" s="394"/>
      <c r="B75" s="430"/>
      <c r="C75" s="395"/>
      <c r="D75" s="529"/>
      <c r="E75" s="394"/>
      <c r="F75" s="430"/>
      <c r="G75" s="395"/>
      <c r="H75" s="529"/>
      <c r="I75" s="394"/>
      <c r="J75" s="430"/>
      <c r="K75" s="395"/>
      <c r="L75" s="529"/>
      <c r="M75" s="394"/>
      <c r="N75" s="430"/>
      <c r="O75" s="395"/>
      <c r="P75" s="529"/>
      <c r="Q75" s="547"/>
      <c r="R75" s="548"/>
      <c r="S75" s="549"/>
      <c r="T75" s="541"/>
      <c r="U75" s="547"/>
      <c r="V75" s="548"/>
      <c r="W75" s="549"/>
      <c r="X75" s="541"/>
      <c r="Y75" s="547"/>
      <c r="Z75" s="548"/>
      <c r="AA75" s="549"/>
      <c r="AB75" s="541"/>
      <c r="AC75" s="547"/>
      <c r="AD75" s="548"/>
      <c r="AE75" s="549"/>
      <c r="AF75" s="541"/>
      <c r="AG75" s="547"/>
      <c r="AH75" s="548"/>
      <c r="AI75" s="549"/>
      <c r="AJ75" s="541"/>
      <c r="AK75" s="394"/>
      <c r="AL75" s="430"/>
      <c r="AM75" s="395"/>
      <c r="AN75" s="529"/>
      <c r="AO75" s="394"/>
      <c r="AP75" s="430"/>
      <c r="AQ75" s="395"/>
      <c r="AR75" s="529"/>
      <c r="AS75" s="542"/>
      <c r="AT75" s="542"/>
    </row>
    <row r="76">
      <c r="A76" s="394"/>
      <c r="B76" s="430"/>
      <c r="C76" s="395"/>
      <c r="D76" s="529"/>
      <c r="E76" s="394"/>
      <c r="F76" s="430"/>
      <c r="G76" s="395"/>
      <c r="H76" s="529"/>
      <c r="I76" s="394"/>
      <c r="J76" s="430"/>
      <c r="K76" s="395"/>
      <c r="L76" s="529"/>
      <c r="M76" s="394"/>
      <c r="N76" s="430"/>
      <c r="O76" s="395"/>
      <c r="P76" s="529"/>
      <c r="Q76" s="547"/>
      <c r="R76" s="548"/>
      <c r="S76" s="549"/>
      <c r="T76" s="541"/>
      <c r="U76" s="547"/>
      <c r="V76" s="548"/>
      <c r="W76" s="549"/>
      <c r="X76" s="541"/>
      <c r="Y76" s="547"/>
      <c r="Z76" s="548"/>
      <c r="AA76" s="549"/>
      <c r="AB76" s="541"/>
      <c r="AC76" s="547"/>
      <c r="AD76" s="548"/>
      <c r="AE76" s="549"/>
      <c r="AF76" s="541"/>
      <c r="AG76" s="547"/>
      <c r="AH76" s="548"/>
      <c r="AI76" s="549"/>
      <c r="AJ76" s="541"/>
      <c r="AK76" s="394"/>
      <c r="AL76" s="430"/>
      <c r="AM76" s="395"/>
      <c r="AN76" s="529"/>
      <c r="AO76" s="394"/>
      <c r="AP76" s="430"/>
      <c r="AQ76" s="395"/>
      <c r="AR76" s="529"/>
      <c r="AS76" s="542"/>
      <c r="AT76" s="542"/>
    </row>
    <row r="77">
      <c r="A77" s="394"/>
      <c r="B77" s="430"/>
      <c r="C77" s="395"/>
      <c r="D77" s="529"/>
      <c r="E77" s="394"/>
      <c r="F77" s="430"/>
      <c r="G77" s="395"/>
      <c r="H77" s="529"/>
      <c r="I77" s="394"/>
      <c r="J77" s="430"/>
      <c r="K77" s="395"/>
      <c r="L77" s="529"/>
      <c r="M77" s="394"/>
      <c r="N77" s="430"/>
      <c r="O77" s="395"/>
      <c r="P77" s="529"/>
      <c r="Q77" s="547"/>
      <c r="R77" s="548"/>
      <c r="S77" s="549"/>
      <c r="T77" s="541"/>
      <c r="U77" s="547"/>
      <c r="V77" s="548"/>
      <c r="W77" s="549"/>
      <c r="X77" s="541"/>
      <c r="Y77" s="547"/>
      <c r="Z77" s="548"/>
      <c r="AA77" s="549"/>
      <c r="AB77" s="541"/>
      <c r="AC77" s="547"/>
      <c r="AD77" s="548"/>
      <c r="AE77" s="549"/>
      <c r="AF77" s="541"/>
      <c r="AG77" s="547"/>
      <c r="AH77" s="548"/>
      <c r="AI77" s="549"/>
      <c r="AJ77" s="541"/>
      <c r="AK77" s="394"/>
      <c r="AL77" s="430"/>
      <c r="AM77" s="395"/>
      <c r="AN77" s="529"/>
      <c r="AO77" s="394"/>
      <c r="AP77" s="430"/>
      <c r="AQ77" s="395"/>
      <c r="AR77" s="529"/>
      <c r="AS77" s="542"/>
      <c r="AT77" s="542"/>
    </row>
    <row r="78">
      <c r="A78" s="394"/>
      <c r="B78" s="430"/>
      <c r="C78" s="395"/>
      <c r="D78" s="529"/>
      <c r="E78" s="394"/>
      <c r="F78" s="430"/>
      <c r="G78" s="395"/>
      <c r="H78" s="529"/>
      <c r="I78" s="394"/>
      <c r="J78" s="430"/>
      <c r="K78" s="395"/>
      <c r="L78" s="529"/>
      <c r="M78" s="394"/>
      <c r="N78" s="430"/>
      <c r="O78" s="395"/>
      <c r="P78" s="529"/>
      <c r="Q78" s="547"/>
      <c r="R78" s="548"/>
      <c r="S78" s="549"/>
      <c r="T78" s="541"/>
      <c r="U78" s="547"/>
      <c r="V78" s="548"/>
      <c r="W78" s="549"/>
      <c r="X78" s="541"/>
      <c r="Y78" s="547"/>
      <c r="Z78" s="548"/>
      <c r="AA78" s="549"/>
      <c r="AB78" s="541"/>
      <c r="AC78" s="547"/>
      <c r="AD78" s="548"/>
      <c r="AE78" s="549"/>
      <c r="AF78" s="541"/>
      <c r="AG78" s="547"/>
      <c r="AH78" s="548"/>
      <c r="AI78" s="549"/>
      <c r="AJ78" s="541"/>
      <c r="AK78" s="394"/>
      <c r="AL78" s="430"/>
      <c r="AM78" s="395"/>
      <c r="AN78" s="529"/>
      <c r="AO78" s="394"/>
      <c r="AP78" s="430"/>
      <c r="AQ78" s="395"/>
      <c r="AR78" s="529"/>
      <c r="AS78" s="542"/>
      <c r="AT78" s="542"/>
    </row>
    <row r="79">
      <c r="A79" s="394"/>
      <c r="B79" s="430"/>
      <c r="C79" s="395"/>
      <c r="D79" s="529"/>
      <c r="E79" s="394"/>
      <c r="F79" s="430"/>
      <c r="G79" s="395"/>
      <c r="H79" s="529"/>
      <c r="I79" s="394"/>
      <c r="J79" s="430"/>
      <c r="K79" s="395"/>
      <c r="L79" s="529"/>
      <c r="M79" s="394"/>
      <c r="N79" s="430"/>
      <c r="O79" s="395"/>
      <c r="P79" s="529"/>
      <c r="Q79" s="547"/>
      <c r="R79" s="548"/>
      <c r="S79" s="549"/>
      <c r="T79" s="541"/>
      <c r="U79" s="547"/>
      <c r="V79" s="548"/>
      <c r="W79" s="549"/>
      <c r="X79" s="541"/>
      <c r="Y79" s="547"/>
      <c r="Z79" s="548"/>
      <c r="AA79" s="549"/>
      <c r="AB79" s="541"/>
      <c r="AC79" s="547"/>
      <c r="AD79" s="548"/>
      <c r="AE79" s="549"/>
      <c r="AF79" s="541"/>
      <c r="AG79" s="547"/>
      <c r="AH79" s="548"/>
      <c r="AI79" s="549"/>
      <c r="AJ79" s="541"/>
      <c r="AK79" s="394"/>
      <c r="AL79" s="430"/>
      <c r="AM79" s="395"/>
      <c r="AN79" s="529"/>
      <c r="AO79" s="394"/>
      <c r="AP79" s="430"/>
      <c r="AQ79" s="395"/>
      <c r="AR79" s="529"/>
      <c r="AS79" s="542"/>
      <c r="AT79" s="542"/>
    </row>
    <row r="80">
      <c r="A80" s="394"/>
      <c r="B80" s="430"/>
      <c r="C80" s="395"/>
      <c r="D80" s="529"/>
      <c r="E80" s="394"/>
      <c r="F80" s="430"/>
      <c r="G80" s="395"/>
      <c r="H80" s="529"/>
      <c r="I80" s="394"/>
      <c r="J80" s="430"/>
      <c r="K80" s="395"/>
      <c r="L80" s="529"/>
      <c r="M80" s="394"/>
      <c r="N80" s="430"/>
      <c r="O80" s="395"/>
      <c r="P80" s="529"/>
      <c r="Q80" s="547"/>
      <c r="R80" s="548"/>
      <c r="S80" s="549"/>
      <c r="T80" s="541"/>
      <c r="U80" s="547"/>
      <c r="V80" s="548"/>
      <c r="W80" s="549"/>
      <c r="X80" s="541"/>
      <c r="Y80" s="547"/>
      <c r="Z80" s="548"/>
      <c r="AA80" s="549"/>
      <c r="AB80" s="541"/>
      <c r="AC80" s="547"/>
      <c r="AD80" s="548"/>
      <c r="AE80" s="549"/>
      <c r="AF80" s="541"/>
      <c r="AG80" s="547"/>
      <c r="AH80" s="548"/>
      <c r="AI80" s="549"/>
      <c r="AJ80" s="541"/>
      <c r="AK80" s="394"/>
      <c r="AL80" s="430"/>
      <c r="AM80" s="395"/>
      <c r="AN80" s="529"/>
      <c r="AO80" s="394"/>
      <c r="AP80" s="430"/>
      <c r="AQ80" s="395"/>
      <c r="AR80" s="529"/>
      <c r="AS80" s="542"/>
      <c r="AT80" s="542"/>
    </row>
    <row r="81">
      <c r="A81" s="394"/>
      <c r="B81" s="430"/>
      <c r="C81" s="395"/>
      <c r="D81" s="529"/>
      <c r="E81" s="394"/>
      <c r="F81" s="430"/>
      <c r="G81" s="395"/>
      <c r="H81" s="529"/>
      <c r="I81" s="394"/>
      <c r="J81" s="430"/>
      <c r="K81" s="395"/>
      <c r="L81" s="529"/>
      <c r="M81" s="394"/>
      <c r="N81" s="430"/>
      <c r="O81" s="395"/>
      <c r="P81" s="529"/>
      <c r="Q81" s="547"/>
      <c r="R81" s="548"/>
      <c r="S81" s="549"/>
      <c r="T81" s="541"/>
      <c r="U81" s="547"/>
      <c r="V81" s="548"/>
      <c r="W81" s="549"/>
      <c r="X81" s="541"/>
      <c r="Y81" s="547"/>
      <c r="Z81" s="548"/>
      <c r="AA81" s="549"/>
      <c r="AB81" s="541"/>
      <c r="AC81" s="547"/>
      <c r="AD81" s="548"/>
      <c r="AE81" s="549"/>
      <c r="AF81" s="541"/>
      <c r="AG81" s="547"/>
      <c r="AH81" s="548"/>
      <c r="AI81" s="549"/>
      <c r="AJ81" s="541"/>
      <c r="AK81" s="394"/>
      <c r="AL81" s="430"/>
      <c r="AM81" s="395"/>
      <c r="AN81" s="529"/>
      <c r="AO81" s="394"/>
      <c r="AP81" s="430"/>
      <c r="AQ81" s="395"/>
      <c r="AR81" s="529"/>
      <c r="AS81" s="542"/>
      <c r="AT81" s="542"/>
    </row>
    <row r="82">
      <c r="A82" s="394"/>
      <c r="B82" s="430"/>
      <c r="C82" s="395"/>
      <c r="D82" s="529"/>
      <c r="E82" s="394"/>
      <c r="F82" s="430"/>
      <c r="G82" s="395"/>
      <c r="H82" s="529"/>
      <c r="I82" s="394"/>
      <c r="J82" s="430"/>
      <c r="K82" s="395"/>
      <c r="L82" s="529"/>
      <c r="M82" s="394"/>
      <c r="N82" s="430"/>
      <c r="O82" s="395"/>
      <c r="P82" s="529"/>
      <c r="Q82" s="547"/>
      <c r="R82" s="548"/>
      <c r="S82" s="549"/>
      <c r="T82" s="541"/>
      <c r="U82" s="547"/>
      <c r="V82" s="548"/>
      <c r="W82" s="549"/>
      <c r="X82" s="541"/>
      <c r="Y82" s="547"/>
      <c r="Z82" s="548"/>
      <c r="AA82" s="549"/>
      <c r="AB82" s="541"/>
      <c r="AC82" s="547"/>
      <c r="AD82" s="548"/>
      <c r="AE82" s="549"/>
      <c r="AF82" s="541"/>
      <c r="AG82" s="547"/>
      <c r="AH82" s="548"/>
      <c r="AI82" s="549"/>
      <c r="AJ82" s="541"/>
      <c r="AK82" s="394"/>
      <c r="AL82" s="430"/>
      <c r="AM82" s="395"/>
      <c r="AN82" s="529"/>
      <c r="AO82" s="394"/>
      <c r="AP82" s="430"/>
      <c r="AQ82" s="395"/>
      <c r="AR82" s="529"/>
      <c r="AS82" s="542"/>
      <c r="AT82" s="542"/>
    </row>
    <row r="83">
      <c r="A83" s="394"/>
      <c r="B83" s="430"/>
      <c r="C83" s="395"/>
      <c r="D83" s="529"/>
      <c r="E83" s="394"/>
      <c r="F83" s="430"/>
      <c r="G83" s="395"/>
      <c r="H83" s="529"/>
      <c r="I83" s="394"/>
      <c r="J83" s="430"/>
      <c r="K83" s="395"/>
      <c r="L83" s="529"/>
      <c r="M83" s="394"/>
      <c r="N83" s="430"/>
      <c r="O83" s="395"/>
      <c r="P83" s="529"/>
      <c r="Q83" s="547"/>
      <c r="R83" s="548"/>
      <c r="S83" s="549"/>
      <c r="T83" s="541"/>
      <c r="U83" s="547"/>
      <c r="V83" s="548"/>
      <c r="W83" s="549"/>
      <c r="X83" s="541"/>
      <c r="Y83" s="547"/>
      <c r="Z83" s="548"/>
      <c r="AA83" s="549"/>
      <c r="AB83" s="541"/>
      <c r="AC83" s="547"/>
      <c r="AD83" s="548"/>
      <c r="AE83" s="549"/>
      <c r="AF83" s="541"/>
      <c r="AG83" s="547"/>
      <c r="AH83" s="548"/>
      <c r="AI83" s="549"/>
      <c r="AJ83" s="541"/>
      <c r="AK83" s="394"/>
      <c r="AL83" s="430"/>
      <c r="AM83" s="395"/>
      <c r="AN83" s="529"/>
      <c r="AO83" s="394"/>
      <c r="AP83" s="430"/>
      <c r="AQ83" s="395"/>
      <c r="AR83" s="529"/>
      <c r="AS83" s="542"/>
      <c r="AT83" s="542"/>
    </row>
    <row r="84">
      <c r="A84" s="394"/>
      <c r="B84" s="430"/>
      <c r="C84" s="395"/>
      <c r="D84" s="529"/>
      <c r="E84" s="394"/>
      <c r="F84" s="430"/>
      <c r="G84" s="395"/>
      <c r="H84" s="529"/>
      <c r="I84" s="394"/>
      <c r="J84" s="430"/>
      <c r="K84" s="395"/>
      <c r="L84" s="529"/>
      <c r="M84" s="394"/>
      <c r="N84" s="430"/>
      <c r="O84" s="395"/>
      <c r="P84" s="529"/>
      <c r="Q84" s="547"/>
      <c r="R84" s="548"/>
      <c r="S84" s="549"/>
      <c r="T84" s="541"/>
      <c r="U84" s="547"/>
      <c r="V84" s="548"/>
      <c r="W84" s="549"/>
      <c r="X84" s="541"/>
      <c r="Y84" s="547"/>
      <c r="Z84" s="548"/>
      <c r="AA84" s="549"/>
      <c r="AB84" s="541"/>
      <c r="AC84" s="547"/>
      <c r="AD84" s="548"/>
      <c r="AE84" s="549"/>
      <c r="AF84" s="541"/>
      <c r="AG84" s="547"/>
      <c r="AH84" s="548"/>
      <c r="AI84" s="549"/>
      <c r="AJ84" s="541"/>
      <c r="AK84" s="394"/>
      <c r="AL84" s="430"/>
      <c r="AM84" s="395"/>
      <c r="AN84" s="529"/>
      <c r="AO84" s="394"/>
      <c r="AP84" s="430"/>
      <c r="AQ84" s="395"/>
      <c r="AR84" s="529"/>
      <c r="AS84" s="542"/>
      <c r="AT84" s="542"/>
    </row>
    <row r="85">
      <c r="A85" s="394"/>
      <c r="B85" s="430"/>
      <c r="C85" s="395"/>
      <c r="D85" s="529"/>
      <c r="E85" s="394"/>
      <c r="F85" s="430"/>
      <c r="G85" s="395"/>
      <c r="H85" s="529"/>
      <c r="I85" s="394"/>
      <c r="J85" s="430"/>
      <c r="K85" s="395"/>
      <c r="L85" s="529"/>
      <c r="M85" s="394"/>
      <c r="N85" s="430"/>
      <c r="O85" s="395"/>
      <c r="P85" s="529"/>
      <c r="Q85" s="547"/>
      <c r="R85" s="548"/>
      <c r="S85" s="549"/>
      <c r="T85" s="541"/>
      <c r="U85" s="547"/>
      <c r="V85" s="548"/>
      <c r="W85" s="549"/>
      <c r="X85" s="541"/>
      <c r="Y85" s="547"/>
      <c r="Z85" s="548"/>
      <c r="AA85" s="549"/>
      <c r="AB85" s="541"/>
      <c r="AC85" s="547"/>
      <c r="AD85" s="548"/>
      <c r="AE85" s="549"/>
      <c r="AF85" s="541"/>
      <c r="AG85" s="547"/>
      <c r="AH85" s="548"/>
      <c r="AI85" s="549"/>
      <c r="AJ85" s="541"/>
      <c r="AK85" s="394"/>
      <c r="AL85" s="430"/>
      <c r="AM85" s="395"/>
      <c r="AN85" s="529"/>
      <c r="AO85" s="394"/>
      <c r="AP85" s="430"/>
      <c r="AQ85" s="395"/>
      <c r="AR85" s="529"/>
      <c r="AS85" s="542"/>
      <c r="AT85" s="542"/>
    </row>
    <row r="86">
      <c r="A86" s="394"/>
      <c r="B86" s="430"/>
      <c r="C86" s="395"/>
      <c r="D86" s="529"/>
      <c r="E86" s="394"/>
      <c r="F86" s="430"/>
      <c r="G86" s="395"/>
      <c r="H86" s="529"/>
      <c r="I86" s="394"/>
      <c r="J86" s="430"/>
      <c r="K86" s="395"/>
      <c r="L86" s="529"/>
      <c r="M86" s="394"/>
      <c r="N86" s="430"/>
      <c r="O86" s="395"/>
      <c r="P86" s="529"/>
      <c r="Q86" s="547"/>
      <c r="R86" s="548"/>
      <c r="S86" s="549"/>
      <c r="T86" s="541"/>
      <c r="U86" s="547"/>
      <c r="V86" s="548"/>
      <c r="W86" s="549"/>
      <c r="X86" s="541"/>
      <c r="Y86" s="547"/>
      <c r="Z86" s="548"/>
      <c r="AA86" s="549"/>
      <c r="AB86" s="541"/>
      <c r="AC86" s="547"/>
      <c r="AD86" s="548"/>
      <c r="AE86" s="549"/>
      <c r="AF86" s="541"/>
      <c r="AG86" s="547"/>
      <c r="AH86" s="548"/>
      <c r="AI86" s="549"/>
      <c r="AJ86" s="541"/>
      <c r="AK86" s="394"/>
      <c r="AL86" s="430"/>
      <c r="AM86" s="395"/>
      <c r="AN86" s="529"/>
      <c r="AO86" s="394"/>
      <c r="AP86" s="430"/>
      <c r="AQ86" s="395"/>
      <c r="AR86" s="529"/>
      <c r="AS86" s="542"/>
      <c r="AT86" s="542"/>
    </row>
    <row r="87">
      <c r="A87" s="394"/>
      <c r="B87" s="430"/>
      <c r="C87" s="395"/>
      <c r="D87" s="529"/>
      <c r="E87" s="394"/>
      <c r="F87" s="430"/>
      <c r="G87" s="395"/>
      <c r="H87" s="529"/>
      <c r="I87" s="394"/>
      <c r="J87" s="430"/>
      <c r="K87" s="395"/>
      <c r="L87" s="529"/>
      <c r="M87" s="394"/>
      <c r="N87" s="430"/>
      <c r="O87" s="395"/>
      <c r="P87" s="529"/>
      <c r="Q87" s="547"/>
      <c r="R87" s="548"/>
      <c r="S87" s="549"/>
      <c r="T87" s="541"/>
      <c r="U87" s="547"/>
      <c r="V87" s="548"/>
      <c r="W87" s="549"/>
      <c r="X87" s="541"/>
      <c r="Y87" s="547"/>
      <c r="Z87" s="548"/>
      <c r="AA87" s="549"/>
      <c r="AB87" s="541"/>
      <c r="AC87" s="547"/>
      <c r="AD87" s="548"/>
      <c r="AE87" s="549"/>
      <c r="AF87" s="541"/>
      <c r="AG87" s="547"/>
      <c r="AH87" s="548"/>
      <c r="AI87" s="549"/>
      <c r="AJ87" s="541"/>
      <c r="AK87" s="394"/>
      <c r="AL87" s="430"/>
      <c r="AM87" s="395"/>
      <c r="AN87" s="529"/>
      <c r="AO87" s="394"/>
      <c r="AP87" s="430"/>
      <c r="AQ87" s="395"/>
      <c r="AR87" s="529"/>
      <c r="AS87" s="542"/>
      <c r="AT87" s="542"/>
    </row>
    <row r="88">
      <c r="A88" s="394"/>
      <c r="B88" s="430"/>
      <c r="C88" s="395"/>
      <c r="D88" s="529"/>
      <c r="E88" s="394"/>
      <c r="F88" s="430"/>
      <c r="G88" s="395"/>
      <c r="H88" s="529"/>
      <c r="I88" s="394"/>
      <c r="J88" s="430"/>
      <c r="K88" s="395"/>
      <c r="L88" s="529"/>
      <c r="M88" s="394"/>
      <c r="N88" s="430"/>
      <c r="O88" s="395"/>
      <c r="P88" s="529"/>
      <c r="Q88" s="547"/>
      <c r="R88" s="548"/>
      <c r="S88" s="549"/>
      <c r="T88" s="541"/>
      <c r="U88" s="547"/>
      <c r="V88" s="548"/>
      <c r="W88" s="549"/>
      <c r="X88" s="541"/>
      <c r="Y88" s="547"/>
      <c r="Z88" s="548"/>
      <c r="AA88" s="549"/>
      <c r="AB88" s="541"/>
      <c r="AC88" s="547"/>
      <c r="AD88" s="548"/>
      <c r="AE88" s="549"/>
      <c r="AF88" s="541"/>
      <c r="AG88" s="547"/>
      <c r="AH88" s="548"/>
      <c r="AI88" s="549"/>
      <c r="AJ88" s="541"/>
      <c r="AK88" s="394"/>
      <c r="AL88" s="430"/>
      <c r="AM88" s="395"/>
      <c r="AN88" s="529"/>
      <c r="AO88" s="394"/>
      <c r="AP88" s="430"/>
      <c r="AQ88" s="395"/>
      <c r="AR88" s="529"/>
      <c r="AS88" s="542"/>
      <c r="AT88" s="542"/>
    </row>
    <row r="89">
      <c r="A89" s="394"/>
      <c r="B89" s="430"/>
      <c r="C89" s="395"/>
      <c r="D89" s="529"/>
      <c r="E89" s="394"/>
      <c r="F89" s="430"/>
      <c r="G89" s="395"/>
      <c r="H89" s="529"/>
      <c r="I89" s="394"/>
      <c r="J89" s="430"/>
      <c r="K89" s="395"/>
      <c r="L89" s="529"/>
      <c r="M89" s="394"/>
      <c r="N89" s="430"/>
      <c r="O89" s="395"/>
      <c r="P89" s="529"/>
      <c r="Q89" s="547"/>
      <c r="R89" s="548"/>
      <c r="S89" s="549"/>
      <c r="T89" s="541"/>
      <c r="U89" s="547"/>
      <c r="V89" s="548"/>
      <c r="W89" s="549"/>
      <c r="X89" s="541"/>
      <c r="Y89" s="547"/>
      <c r="Z89" s="548"/>
      <c r="AA89" s="549"/>
      <c r="AB89" s="541"/>
      <c r="AC89" s="547"/>
      <c r="AD89" s="548"/>
      <c r="AE89" s="549"/>
      <c r="AF89" s="541"/>
      <c r="AG89" s="547"/>
      <c r="AH89" s="548"/>
      <c r="AI89" s="549"/>
      <c r="AJ89" s="541"/>
      <c r="AK89" s="394"/>
      <c r="AL89" s="430"/>
      <c r="AM89" s="395"/>
      <c r="AN89" s="529"/>
      <c r="AO89" s="394"/>
      <c r="AP89" s="430"/>
      <c r="AQ89" s="395"/>
      <c r="AR89" s="529"/>
      <c r="AS89" s="542"/>
      <c r="AT89" s="542"/>
    </row>
    <row r="90">
      <c r="A90" s="394"/>
      <c r="B90" s="430"/>
      <c r="C90" s="395"/>
      <c r="D90" s="529"/>
      <c r="E90" s="394"/>
      <c r="F90" s="430"/>
      <c r="G90" s="395"/>
      <c r="H90" s="529"/>
      <c r="I90" s="394"/>
      <c r="J90" s="430"/>
      <c r="K90" s="395"/>
      <c r="L90" s="529"/>
      <c r="M90" s="394"/>
      <c r="N90" s="430"/>
      <c r="O90" s="395"/>
      <c r="P90" s="529"/>
      <c r="Q90" s="547"/>
      <c r="R90" s="548"/>
      <c r="S90" s="549"/>
      <c r="T90" s="541"/>
      <c r="U90" s="547"/>
      <c r="V90" s="548"/>
      <c r="W90" s="549"/>
      <c r="X90" s="541"/>
      <c r="Y90" s="547"/>
      <c r="Z90" s="548"/>
      <c r="AA90" s="549"/>
      <c r="AB90" s="541"/>
      <c r="AC90" s="547"/>
      <c r="AD90" s="548"/>
      <c r="AE90" s="549"/>
      <c r="AF90" s="541"/>
      <c r="AG90" s="547"/>
      <c r="AH90" s="548"/>
      <c r="AI90" s="549"/>
      <c r="AJ90" s="541"/>
      <c r="AK90" s="394"/>
      <c r="AL90" s="430"/>
      <c r="AM90" s="395"/>
      <c r="AN90" s="529"/>
      <c r="AO90" s="394"/>
      <c r="AP90" s="430"/>
      <c r="AQ90" s="395"/>
      <c r="AR90" s="529"/>
      <c r="AS90" s="542"/>
      <c r="AT90" s="542"/>
    </row>
    <row r="91">
      <c r="A91" s="394"/>
      <c r="B91" s="430"/>
      <c r="C91" s="395"/>
      <c r="D91" s="529"/>
      <c r="E91" s="394"/>
      <c r="F91" s="430"/>
      <c r="G91" s="395"/>
      <c r="H91" s="529"/>
      <c r="I91" s="394"/>
      <c r="J91" s="430"/>
      <c r="K91" s="395"/>
      <c r="L91" s="529"/>
      <c r="M91" s="394"/>
      <c r="N91" s="430"/>
      <c r="O91" s="395"/>
      <c r="P91" s="529"/>
      <c r="Q91" s="547"/>
      <c r="R91" s="548"/>
      <c r="S91" s="549"/>
      <c r="T91" s="541"/>
      <c r="U91" s="547"/>
      <c r="V91" s="548"/>
      <c r="W91" s="549"/>
      <c r="X91" s="541"/>
      <c r="Y91" s="547"/>
      <c r="Z91" s="548"/>
      <c r="AA91" s="549"/>
      <c r="AB91" s="541"/>
      <c r="AC91" s="547"/>
      <c r="AD91" s="548"/>
      <c r="AE91" s="549"/>
      <c r="AF91" s="541"/>
      <c r="AG91" s="547"/>
      <c r="AH91" s="548"/>
      <c r="AI91" s="549"/>
      <c r="AJ91" s="541"/>
      <c r="AK91" s="394"/>
      <c r="AL91" s="430"/>
      <c r="AM91" s="395"/>
      <c r="AN91" s="529"/>
      <c r="AO91" s="394"/>
      <c r="AP91" s="430"/>
      <c r="AQ91" s="395"/>
      <c r="AR91" s="529"/>
      <c r="AS91" s="542"/>
      <c r="AT91" s="542"/>
    </row>
    <row r="92">
      <c r="A92" s="394"/>
      <c r="B92" s="430"/>
      <c r="C92" s="395"/>
      <c r="D92" s="529"/>
      <c r="E92" s="394"/>
      <c r="F92" s="430"/>
      <c r="G92" s="395"/>
      <c r="H92" s="529"/>
      <c r="I92" s="394"/>
      <c r="J92" s="430"/>
      <c r="K92" s="395"/>
      <c r="L92" s="529"/>
      <c r="M92" s="394"/>
      <c r="N92" s="430"/>
      <c r="O92" s="395"/>
      <c r="P92" s="529"/>
      <c r="Q92" s="547"/>
      <c r="R92" s="548"/>
      <c r="S92" s="549"/>
      <c r="T92" s="541"/>
      <c r="U92" s="547"/>
      <c r="V92" s="548"/>
      <c r="W92" s="549"/>
      <c r="X92" s="541"/>
      <c r="Y92" s="547"/>
      <c r="Z92" s="548"/>
      <c r="AA92" s="549"/>
      <c r="AB92" s="541"/>
      <c r="AC92" s="547"/>
      <c r="AD92" s="548"/>
      <c r="AE92" s="549"/>
      <c r="AF92" s="541"/>
      <c r="AG92" s="547"/>
      <c r="AH92" s="548"/>
      <c r="AI92" s="549"/>
      <c r="AJ92" s="541"/>
      <c r="AK92" s="394"/>
      <c r="AL92" s="430"/>
      <c r="AM92" s="395"/>
      <c r="AN92" s="529"/>
      <c r="AO92" s="394"/>
      <c r="AP92" s="430"/>
      <c r="AQ92" s="395"/>
      <c r="AR92" s="529"/>
      <c r="AS92" s="542"/>
      <c r="AT92" s="542"/>
    </row>
    <row r="93">
      <c r="A93" s="394"/>
      <c r="B93" s="430"/>
      <c r="C93" s="395"/>
      <c r="D93" s="529"/>
      <c r="E93" s="394"/>
      <c r="F93" s="430"/>
      <c r="G93" s="395"/>
      <c r="H93" s="529"/>
      <c r="I93" s="394"/>
      <c r="J93" s="430"/>
      <c r="K93" s="395"/>
      <c r="L93" s="529"/>
      <c r="M93" s="394"/>
      <c r="N93" s="430"/>
      <c r="O93" s="395"/>
      <c r="P93" s="529"/>
      <c r="Q93" s="547"/>
      <c r="R93" s="548"/>
      <c r="S93" s="549"/>
      <c r="T93" s="541"/>
      <c r="U93" s="547"/>
      <c r="V93" s="548"/>
      <c r="W93" s="549"/>
      <c r="X93" s="541"/>
      <c r="Y93" s="547"/>
      <c r="Z93" s="548"/>
      <c r="AA93" s="549"/>
      <c r="AB93" s="541"/>
      <c r="AC93" s="547"/>
      <c r="AD93" s="548"/>
      <c r="AE93" s="549"/>
      <c r="AF93" s="541"/>
      <c r="AG93" s="547"/>
      <c r="AH93" s="548"/>
      <c r="AI93" s="549"/>
      <c r="AJ93" s="541"/>
      <c r="AK93" s="394"/>
      <c r="AL93" s="430"/>
      <c r="AM93" s="395"/>
      <c r="AN93" s="529"/>
      <c r="AO93" s="394"/>
      <c r="AP93" s="430"/>
      <c r="AQ93" s="395"/>
      <c r="AR93" s="529"/>
      <c r="AS93" s="542"/>
      <c r="AT93" s="542"/>
    </row>
    <row r="94">
      <c r="A94" s="394"/>
      <c r="B94" s="430"/>
      <c r="C94" s="395"/>
      <c r="D94" s="529"/>
      <c r="E94" s="394"/>
      <c r="F94" s="430"/>
      <c r="G94" s="395"/>
      <c r="H94" s="529"/>
      <c r="I94" s="394"/>
      <c r="J94" s="430"/>
      <c r="K94" s="395"/>
      <c r="L94" s="529"/>
      <c r="M94" s="394"/>
      <c r="N94" s="430"/>
      <c r="O94" s="395"/>
      <c r="P94" s="529"/>
      <c r="Q94" s="547"/>
      <c r="R94" s="548"/>
      <c r="S94" s="549"/>
      <c r="T94" s="541"/>
      <c r="U94" s="547"/>
      <c r="V94" s="548"/>
      <c r="W94" s="549"/>
      <c r="X94" s="541"/>
      <c r="Y94" s="547"/>
      <c r="Z94" s="548"/>
      <c r="AA94" s="549"/>
      <c r="AB94" s="541"/>
      <c r="AC94" s="547"/>
      <c r="AD94" s="548"/>
      <c r="AE94" s="549"/>
      <c r="AF94" s="541"/>
      <c r="AG94" s="547"/>
      <c r="AH94" s="548"/>
      <c r="AI94" s="549"/>
      <c r="AJ94" s="541"/>
      <c r="AK94" s="394"/>
      <c r="AL94" s="430"/>
      <c r="AM94" s="395"/>
      <c r="AN94" s="529"/>
      <c r="AO94" s="394"/>
      <c r="AP94" s="430"/>
      <c r="AQ94" s="395"/>
      <c r="AR94" s="529"/>
      <c r="AS94" s="542"/>
      <c r="AT94" s="542"/>
    </row>
    <row r="95">
      <c r="A95" s="394"/>
      <c r="B95" s="430"/>
      <c r="C95" s="395"/>
      <c r="D95" s="529"/>
      <c r="E95" s="394"/>
      <c r="F95" s="430"/>
      <c r="G95" s="395"/>
      <c r="H95" s="529"/>
      <c r="I95" s="394"/>
      <c r="J95" s="430"/>
      <c r="K95" s="395"/>
      <c r="L95" s="529"/>
      <c r="M95" s="394"/>
      <c r="N95" s="430"/>
      <c r="O95" s="395"/>
      <c r="P95" s="529"/>
      <c r="Q95" s="547"/>
      <c r="R95" s="548"/>
      <c r="S95" s="549"/>
      <c r="T95" s="541"/>
      <c r="U95" s="547"/>
      <c r="V95" s="548"/>
      <c r="W95" s="549"/>
      <c r="X95" s="541"/>
      <c r="Y95" s="547"/>
      <c r="Z95" s="548"/>
      <c r="AA95" s="549"/>
      <c r="AB95" s="541"/>
      <c r="AC95" s="547"/>
      <c r="AD95" s="548"/>
      <c r="AE95" s="549"/>
      <c r="AF95" s="541"/>
      <c r="AG95" s="547"/>
      <c r="AH95" s="548"/>
      <c r="AI95" s="549"/>
      <c r="AJ95" s="541"/>
      <c r="AK95" s="394"/>
      <c r="AL95" s="430"/>
      <c r="AM95" s="395"/>
      <c r="AN95" s="529"/>
      <c r="AO95" s="394"/>
      <c r="AP95" s="430"/>
      <c r="AQ95" s="395"/>
      <c r="AR95" s="529"/>
      <c r="AS95" s="542"/>
      <c r="AT95" s="542"/>
    </row>
    <row r="96">
      <c r="A96" s="394"/>
      <c r="B96" s="430"/>
      <c r="C96" s="395"/>
      <c r="D96" s="529"/>
      <c r="E96" s="394"/>
      <c r="F96" s="430"/>
      <c r="G96" s="395"/>
      <c r="H96" s="529"/>
      <c r="I96" s="394"/>
      <c r="J96" s="430"/>
      <c r="K96" s="395"/>
      <c r="L96" s="529"/>
      <c r="M96" s="394"/>
      <c r="N96" s="430"/>
      <c r="O96" s="395"/>
      <c r="P96" s="529"/>
      <c r="Q96" s="547"/>
      <c r="R96" s="548"/>
      <c r="S96" s="549"/>
      <c r="T96" s="541"/>
      <c r="U96" s="547"/>
      <c r="V96" s="548"/>
      <c r="W96" s="549"/>
      <c r="X96" s="541"/>
      <c r="Y96" s="547"/>
      <c r="Z96" s="548"/>
      <c r="AA96" s="549"/>
      <c r="AB96" s="541"/>
      <c r="AC96" s="547"/>
      <c r="AD96" s="548"/>
      <c r="AE96" s="549"/>
      <c r="AF96" s="541"/>
      <c r="AG96" s="547"/>
      <c r="AH96" s="548"/>
      <c r="AI96" s="549"/>
      <c r="AJ96" s="541"/>
      <c r="AK96" s="394"/>
      <c r="AL96" s="430"/>
      <c r="AM96" s="395"/>
      <c r="AN96" s="529"/>
      <c r="AO96" s="394"/>
      <c r="AP96" s="430"/>
      <c r="AQ96" s="395"/>
      <c r="AR96" s="529"/>
      <c r="AS96" s="542"/>
      <c r="AT96" s="542"/>
    </row>
    <row r="97">
      <c r="A97" s="394"/>
      <c r="B97" s="430"/>
      <c r="C97" s="395"/>
      <c r="D97" s="529"/>
      <c r="E97" s="394"/>
      <c r="F97" s="430"/>
      <c r="G97" s="395"/>
      <c r="H97" s="529"/>
      <c r="I97" s="394"/>
      <c r="J97" s="430"/>
      <c r="K97" s="395"/>
      <c r="L97" s="529"/>
      <c r="M97" s="394"/>
      <c r="N97" s="430"/>
      <c r="O97" s="395"/>
      <c r="P97" s="529"/>
      <c r="Q97" s="547"/>
      <c r="R97" s="548"/>
      <c r="S97" s="549"/>
      <c r="T97" s="541"/>
      <c r="U97" s="547"/>
      <c r="V97" s="548"/>
      <c r="W97" s="549"/>
      <c r="X97" s="541"/>
      <c r="Y97" s="547"/>
      <c r="Z97" s="548"/>
      <c r="AA97" s="549"/>
      <c r="AB97" s="541"/>
      <c r="AC97" s="547"/>
      <c r="AD97" s="548"/>
      <c r="AE97" s="549"/>
      <c r="AF97" s="541"/>
      <c r="AG97" s="547"/>
      <c r="AH97" s="548"/>
      <c r="AI97" s="549"/>
      <c r="AJ97" s="541"/>
      <c r="AK97" s="394"/>
      <c r="AL97" s="430"/>
      <c r="AM97" s="395"/>
      <c r="AN97" s="529"/>
      <c r="AO97" s="394"/>
      <c r="AP97" s="430"/>
      <c r="AQ97" s="395"/>
      <c r="AR97" s="529"/>
      <c r="AS97" s="542"/>
      <c r="AT97" s="542"/>
    </row>
    <row r="98">
      <c r="A98" s="394"/>
      <c r="B98" s="430"/>
      <c r="C98" s="395"/>
      <c r="D98" s="529"/>
      <c r="E98" s="394"/>
      <c r="F98" s="430"/>
      <c r="G98" s="395"/>
      <c r="H98" s="529"/>
      <c r="I98" s="394"/>
      <c r="J98" s="430"/>
      <c r="K98" s="395"/>
      <c r="L98" s="529"/>
      <c r="M98" s="394"/>
      <c r="N98" s="430"/>
      <c r="O98" s="395"/>
      <c r="P98" s="529"/>
      <c r="Q98" s="547"/>
      <c r="R98" s="548"/>
      <c r="S98" s="549"/>
      <c r="T98" s="541"/>
      <c r="U98" s="547"/>
      <c r="V98" s="548"/>
      <c r="W98" s="549"/>
      <c r="X98" s="541"/>
      <c r="Y98" s="547"/>
      <c r="Z98" s="548"/>
      <c r="AA98" s="549"/>
      <c r="AB98" s="541"/>
      <c r="AC98" s="547"/>
      <c r="AD98" s="548"/>
      <c r="AE98" s="549"/>
      <c r="AF98" s="541"/>
      <c r="AG98" s="547"/>
      <c r="AH98" s="548"/>
      <c r="AI98" s="549"/>
      <c r="AJ98" s="541"/>
      <c r="AK98" s="394"/>
      <c r="AL98" s="430"/>
      <c r="AM98" s="395"/>
      <c r="AN98" s="529"/>
      <c r="AO98" s="394"/>
      <c r="AP98" s="430"/>
      <c r="AQ98" s="395"/>
      <c r="AR98" s="529"/>
      <c r="AS98" s="542"/>
      <c r="AT98" s="542"/>
    </row>
    <row r="99">
      <c r="A99" s="394"/>
      <c r="B99" s="430"/>
      <c r="C99" s="395"/>
      <c r="D99" s="529"/>
      <c r="E99" s="394"/>
      <c r="F99" s="430"/>
      <c r="G99" s="395"/>
      <c r="H99" s="529"/>
      <c r="I99" s="394"/>
      <c r="J99" s="430"/>
      <c r="K99" s="395"/>
      <c r="L99" s="529"/>
      <c r="M99" s="394"/>
      <c r="N99" s="430"/>
      <c r="O99" s="395"/>
      <c r="P99" s="529"/>
      <c r="Q99" s="547"/>
      <c r="R99" s="548"/>
      <c r="S99" s="549"/>
      <c r="T99" s="541"/>
      <c r="U99" s="547"/>
      <c r="V99" s="548"/>
      <c r="W99" s="549"/>
      <c r="X99" s="541"/>
      <c r="Y99" s="547"/>
      <c r="Z99" s="548"/>
      <c r="AA99" s="549"/>
      <c r="AB99" s="541"/>
      <c r="AC99" s="547"/>
      <c r="AD99" s="548"/>
      <c r="AE99" s="549"/>
      <c r="AF99" s="541"/>
      <c r="AG99" s="547"/>
      <c r="AH99" s="548"/>
      <c r="AI99" s="549"/>
      <c r="AJ99" s="541"/>
      <c r="AK99" s="394"/>
      <c r="AL99" s="430"/>
      <c r="AM99" s="395"/>
      <c r="AN99" s="529"/>
      <c r="AO99" s="394"/>
      <c r="AP99" s="430"/>
      <c r="AQ99" s="395"/>
      <c r="AR99" s="529"/>
      <c r="AS99" s="542"/>
      <c r="AT99" s="542"/>
    </row>
    <row r="100">
      <c r="A100" s="394"/>
      <c r="B100" s="430"/>
      <c r="C100" s="395"/>
      <c r="D100" s="529"/>
      <c r="E100" s="394"/>
      <c r="F100" s="430"/>
      <c r="G100" s="395"/>
      <c r="H100" s="529"/>
      <c r="I100" s="394"/>
      <c r="J100" s="430"/>
      <c r="K100" s="395"/>
      <c r="L100" s="529"/>
      <c r="M100" s="394"/>
      <c r="N100" s="430"/>
      <c r="O100" s="395"/>
      <c r="P100" s="529"/>
      <c r="Q100" s="547"/>
      <c r="R100" s="548"/>
      <c r="S100" s="549"/>
      <c r="T100" s="541"/>
      <c r="U100" s="547"/>
      <c r="V100" s="548"/>
      <c r="W100" s="549"/>
      <c r="X100" s="541"/>
      <c r="Y100" s="547"/>
      <c r="Z100" s="548"/>
      <c r="AA100" s="549"/>
      <c r="AB100" s="541"/>
      <c r="AC100" s="547"/>
      <c r="AD100" s="548"/>
      <c r="AE100" s="549"/>
      <c r="AF100" s="541"/>
      <c r="AG100" s="547"/>
      <c r="AH100" s="548"/>
      <c r="AI100" s="549"/>
      <c r="AJ100" s="541"/>
      <c r="AK100" s="394"/>
      <c r="AL100" s="430"/>
      <c r="AM100" s="395"/>
      <c r="AN100" s="529"/>
      <c r="AO100" s="394"/>
      <c r="AP100" s="430"/>
      <c r="AQ100" s="395"/>
      <c r="AR100" s="529"/>
      <c r="AS100" s="542"/>
      <c r="AT100" s="542"/>
    </row>
    <row r="101">
      <c r="A101" s="394"/>
      <c r="B101" s="430"/>
      <c r="C101" s="395"/>
      <c r="D101" s="529"/>
      <c r="E101" s="394"/>
      <c r="F101" s="430"/>
      <c r="G101" s="395"/>
      <c r="H101" s="529"/>
      <c r="I101" s="394"/>
      <c r="J101" s="430"/>
      <c r="K101" s="395"/>
      <c r="L101" s="529"/>
      <c r="M101" s="394"/>
      <c r="N101" s="430"/>
      <c r="O101" s="395"/>
      <c r="P101" s="529"/>
      <c r="Q101" s="547"/>
      <c r="R101" s="548"/>
      <c r="S101" s="549"/>
      <c r="T101" s="541"/>
      <c r="U101" s="547"/>
      <c r="V101" s="548"/>
      <c r="W101" s="549"/>
      <c r="X101" s="541"/>
      <c r="Y101" s="547"/>
      <c r="Z101" s="548"/>
      <c r="AA101" s="549"/>
      <c r="AB101" s="541"/>
      <c r="AC101" s="547"/>
      <c r="AD101" s="548"/>
      <c r="AE101" s="549"/>
      <c r="AF101" s="541"/>
      <c r="AG101" s="547"/>
      <c r="AH101" s="548"/>
      <c r="AI101" s="549"/>
      <c r="AJ101" s="541"/>
      <c r="AK101" s="394"/>
      <c r="AL101" s="430"/>
      <c r="AM101" s="395"/>
      <c r="AN101" s="529"/>
      <c r="AO101" s="394"/>
      <c r="AP101" s="430"/>
      <c r="AQ101" s="395"/>
      <c r="AR101" s="529"/>
      <c r="AS101" s="542"/>
      <c r="AT101" s="542"/>
    </row>
    <row r="102">
      <c r="A102" s="394"/>
      <c r="B102" s="430"/>
      <c r="C102" s="395"/>
      <c r="D102" s="529"/>
      <c r="E102" s="394"/>
      <c r="F102" s="430"/>
      <c r="G102" s="395"/>
      <c r="H102" s="529"/>
      <c r="I102" s="394"/>
      <c r="J102" s="430"/>
      <c r="K102" s="395"/>
      <c r="L102" s="529"/>
      <c r="M102" s="394"/>
      <c r="N102" s="430"/>
      <c r="O102" s="395"/>
      <c r="P102" s="529"/>
      <c r="Q102" s="547"/>
      <c r="R102" s="548"/>
      <c r="S102" s="549"/>
      <c r="T102" s="541"/>
      <c r="U102" s="547"/>
      <c r="V102" s="548"/>
      <c r="W102" s="549"/>
      <c r="X102" s="541"/>
      <c r="Y102" s="547"/>
      <c r="Z102" s="548"/>
      <c r="AA102" s="549"/>
      <c r="AB102" s="541"/>
      <c r="AC102" s="547"/>
      <c r="AD102" s="548"/>
      <c r="AE102" s="549"/>
      <c r="AF102" s="541"/>
      <c r="AG102" s="547"/>
      <c r="AH102" s="548"/>
      <c r="AI102" s="549"/>
      <c r="AJ102" s="541"/>
      <c r="AK102" s="394"/>
      <c r="AL102" s="430"/>
      <c r="AM102" s="395"/>
      <c r="AN102" s="529"/>
      <c r="AO102" s="394"/>
      <c r="AP102" s="430"/>
      <c r="AQ102" s="395"/>
      <c r="AR102" s="529"/>
      <c r="AS102" s="542"/>
      <c r="AT102" s="542"/>
    </row>
    <row r="103">
      <c r="A103" s="394"/>
      <c r="B103" s="430"/>
      <c r="C103" s="395"/>
      <c r="D103" s="529"/>
      <c r="E103" s="394"/>
      <c r="F103" s="430"/>
      <c r="G103" s="395"/>
      <c r="H103" s="529"/>
      <c r="I103" s="394"/>
      <c r="J103" s="430"/>
      <c r="K103" s="395"/>
      <c r="L103" s="529"/>
      <c r="M103" s="394"/>
      <c r="N103" s="430"/>
      <c r="O103" s="395"/>
      <c r="P103" s="529"/>
      <c r="Q103" s="547"/>
      <c r="R103" s="548"/>
      <c r="S103" s="549"/>
      <c r="T103" s="541"/>
      <c r="U103" s="547"/>
      <c r="V103" s="548"/>
      <c r="W103" s="549"/>
      <c r="X103" s="541"/>
      <c r="Y103" s="547"/>
      <c r="Z103" s="548"/>
      <c r="AA103" s="549"/>
      <c r="AB103" s="541"/>
      <c r="AC103" s="547"/>
      <c r="AD103" s="548"/>
      <c r="AE103" s="549"/>
      <c r="AF103" s="541"/>
      <c r="AG103" s="547"/>
      <c r="AH103" s="548"/>
      <c r="AI103" s="549"/>
      <c r="AJ103" s="541"/>
      <c r="AK103" s="394"/>
      <c r="AL103" s="430"/>
      <c r="AM103" s="395"/>
      <c r="AN103" s="529"/>
      <c r="AO103" s="394"/>
      <c r="AP103" s="430"/>
      <c r="AQ103" s="395"/>
      <c r="AR103" s="529"/>
      <c r="AS103" s="542"/>
      <c r="AT103" s="542"/>
    </row>
    <row r="104">
      <c r="A104" s="394"/>
      <c r="B104" s="430"/>
      <c r="C104" s="395"/>
      <c r="D104" s="529"/>
      <c r="E104" s="394"/>
      <c r="F104" s="430"/>
      <c r="G104" s="395"/>
      <c r="H104" s="529"/>
      <c r="I104" s="394"/>
      <c r="J104" s="430"/>
      <c r="K104" s="395"/>
      <c r="L104" s="529"/>
      <c r="M104" s="394"/>
      <c r="N104" s="430"/>
      <c r="O104" s="395"/>
      <c r="P104" s="529"/>
      <c r="Q104" s="547"/>
      <c r="R104" s="548"/>
      <c r="S104" s="549"/>
      <c r="T104" s="541"/>
      <c r="U104" s="547"/>
      <c r="V104" s="548"/>
      <c r="W104" s="549"/>
      <c r="X104" s="541"/>
      <c r="Y104" s="547"/>
      <c r="Z104" s="548"/>
      <c r="AA104" s="549"/>
      <c r="AB104" s="541"/>
      <c r="AC104" s="547"/>
      <c r="AD104" s="548"/>
      <c r="AE104" s="549"/>
      <c r="AF104" s="541"/>
      <c r="AG104" s="547"/>
      <c r="AH104" s="548"/>
      <c r="AI104" s="549"/>
      <c r="AJ104" s="541"/>
      <c r="AK104" s="394"/>
      <c r="AL104" s="430"/>
      <c r="AM104" s="395"/>
      <c r="AN104" s="529"/>
      <c r="AO104" s="394"/>
      <c r="AP104" s="430"/>
      <c r="AQ104" s="395"/>
      <c r="AR104" s="529"/>
      <c r="AS104" s="542"/>
      <c r="AT104" s="542"/>
    </row>
    <row r="105">
      <c r="A105" s="394"/>
      <c r="B105" s="430"/>
      <c r="C105" s="395"/>
      <c r="D105" s="529"/>
      <c r="E105" s="394"/>
      <c r="F105" s="430"/>
      <c r="G105" s="395"/>
      <c r="H105" s="529"/>
      <c r="I105" s="394"/>
      <c r="J105" s="430"/>
      <c r="K105" s="395"/>
      <c r="L105" s="529"/>
      <c r="M105" s="394"/>
      <c r="N105" s="430"/>
      <c r="O105" s="395"/>
      <c r="P105" s="529"/>
      <c r="Q105" s="547"/>
      <c r="R105" s="548"/>
      <c r="S105" s="549"/>
      <c r="T105" s="541"/>
      <c r="U105" s="547"/>
      <c r="V105" s="548"/>
      <c r="W105" s="549"/>
      <c r="X105" s="541"/>
      <c r="Y105" s="547"/>
      <c r="Z105" s="548"/>
      <c r="AA105" s="549"/>
      <c r="AB105" s="541"/>
      <c r="AC105" s="547"/>
      <c r="AD105" s="548"/>
      <c r="AE105" s="549"/>
      <c r="AF105" s="541"/>
      <c r="AG105" s="547"/>
      <c r="AH105" s="548"/>
      <c r="AI105" s="549"/>
      <c r="AJ105" s="541"/>
      <c r="AK105" s="394"/>
      <c r="AL105" s="430"/>
      <c r="AM105" s="395"/>
      <c r="AN105" s="529"/>
      <c r="AO105" s="394"/>
      <c r="AP105" s="430"/>
      <c r="AQ105" s="395"/>
      <c r="AR105" s="529"/>
      <c r="AS105" s="542"/>
      <c r="AT105" s="542"/>
    </row>
    <row r="106">
      <c r="A106" s="394"/>
      <c r="B106" s="430"/>
      <c r="C106" s="395"/>
      <c r="D106" s="529"/>
      <c r="E106" s="394"/>
      <c r="F106" s="430"/>
      <c r="G106" s="395"/>
      <c r="H106" s="529"/>
      <c r="I106" s="394"/>
      <c r="J106" s="430"/>
      <c r="K106" s="395"/>
      <c r="L106" s="529"/>
      <c r="M106" s="394"/>
      <c r="N106" s="430"/>
      <c r="O106" s="395"/>
      <c r="P106" s="529"/>
      <c r="Q106" s="547"/>
      <c r="R106" s="548"/>
      <c r="S106" s="549"/>
      <c r="T106" s="541"/>
      <c r="U106" s="547"/>
      <c r="V106" s="548"/>
      <c r="W106" s="549"/>
      <c r="X106" s="541"/>
      <c r="Y106" s="547"/>
      <c r="Z106" s="548"/>
      <c r="AA106" s="549"/>
      <c r="AB106" s="541"/>
      <c r="AC106" s="547"/>
      <c r="AD106" s="548"/>
      <c r="AE106" s="549"/>
      <c r="AF106" s="541"/>
      <c r="AG106" s="547"/>
      <c r="AH106" s="548"/>
      <c r="AI106" s="549"/>
      <c r="AJ106" s="541"/>
      <c r="AK106" s="394"/>
      <c r="AL106" s="430"/>
      <c r="AM106" s="395"/>
      <c r="AN106" s="529"/>
      <c r="AO106" s="394"/>
      <c r="AP106" s="430"/>
      <c r="AQ106" s="395"/>
      <c r="AR106" s="529"/>
      <c r="AS106" s="542"/>
      <c r="AT106" s="542"/>
    </row>
    <row r="107">
      <c r="A107" s="394"/>
      <c r="B107" s="430"/>
      <c r="C107" s="395"/>
      <c r="D107" s="529"/>
      <c r="E107" s="394"/>
      <c r="F107" s="430"/>
      <c r="G107" s="395"/>
      <c r="H107" s="529"/>
      <c r="I107" s="394"/>
      <c r="J107" s="430"/>
      <c r="K107" s="395"/>
      <c r="L107" s="529"/>
      <c r="M107" s="394"/>
      <c r="N107" s="430"/>
      <c r="O107" s="395"/>
      <c r="P107" s="529"/>
      <c r="Q107" s="547"/>
      <c r="R107" s="548"/>
      <c r="S107" s="549"/>
      <c r="T107" s="541"/>
      <c r="U107" s="547"/>
      <c r="V107" s="548"/>
      <c r="W107" s="549"/>
      <c r="X107" s="541"/>
      <c r="Y107" s="547"/>
      <c r="Z107" s="548"/>
      <c r="AA107" s="549"/>
      <c r="AB107" s="541"/>
      <c r="AC107" s="547"/>
      <c r="AD107" s="548"/>
      <c r="AE107" s="549"/>
      <c r="AF107" s="541"/>
      <c r="AG107" s="547"/>
      <c r="AH107" s="548"/>
      <c r="AI107" s="549"/>
      <c r="AJ107" s="541"/>
      <c r="AK107" s="394"/>
      <c r="AL107" s="430"/>
      <c r="AM107" s="395"/>
      <c r="AN107" s="529"/>
      <c r="AO107" s="394"/>
      <c r="AP107" s="430"/>
      <c r="AQ107" s="395"/>
      <c r="AR107" s="529"/>
      <c r="AS107" s="542"/>
      <c r="AT107" s="542"/>
    </row>
    <row r="108">
      <c r="A108" s="394"/>
      <c r="B108" s="430"/>
      <c r="C108" s="395"/>
      <c r="D108" s="529"/>
      <c r="E108" s="394"/>
      <c r="F108" s="430"/>
      <c r="G108" s="395"/>
      <c r="H108" s="529"/>
      <c r="I108" s="394"/>
      <c r="J108" s="430"/>
      <c r="K108" s="395"/>
      <c r="L108" s="529"/>
      <c r="M108" s="394"/>
      <c r="N108" s="430"/>
      <c r="O108" s="395"/>
      <c r="P108" s="529"/>
      <c r="Q108" s="547"/>
      <c r="R108" s="548"/>
      <c r="S108" s="549"/>
      <c r="T108" s="541"/>
      <c r="U108" s="547"/>
      <c r="V108" s="548"/>
      <c r="W108" s="549"/>
      <c r="X108" s="541"/>
      <c r="Y108" s="547"/>
      <c r="Z108" s="548"/>
      <c r="AA108" s="549"/>
      <c r="AB108" s="541"/>
      <c r="AC108" s="547"/>
      <c r="AD108" s="548"/>
      <c r="AE108" s="549"/>
      <c r="AF108" s="541"/>
      <c r="AG108" s="547"/>
      <c r="AH108" s="548"/>
      <c r="AI108" s="549"/>
      <c r="AJ108" s="541"/>
      <c r="AK108" s="394"/>
      <c r="AL108" s="430"/>
      <c r="AM108" s="395"/>
      <c r="AN108" s="529"/>
      <c r="AO108" s="394"/>
      <c r="AP108" s="430"/>
      <c r="AQ108" s="395"/>
      <c r="AR108" s="529"/>
      <c r="AS108" s="542"/>
      <c r="AT108" s="542"/>
    </row>
    <row r="109">
      <c r="A109" s="394"/>
      <c r="B109" s="430"/>
      <c r="C109" s="395"/>
      <c r="D109" s="529"/>
      <c r="E109" s="394"/>
      <c r="F109" s="430"/>
      <c r="G109" s="395"/>
      <c r="H109" s="529"/>
      <c r="I109" s="394"/>
      <c r="J109" s="430"/>
      <c r="K109" s="395"/>
      <c r="L109" s="529"/>
      <c r="M109" s="394"/>
      <c r="N109" s="430"/>
      <c r="O109" s="395"/>
      <c r="P109" s="529"/>
      <c r="Q109" s="547"/>
      <c r="R109" s="548"/>
      <c r="S109" s="549"/>
      <c r="T109" s="541"/>
      <c r="U109" s="547"/>
      <c r="V109" s="548"/>
      <c r="W109" s="549"/>
      <c r="X109" s="541"/>
      <c r="Y109" s="547"/>
      <c r="Z109" s="548"/>
      <c r="AA109" s="549"/>
      <c r="AB109" s="541"/>
      <c r="AC109" s="547"/>
      <c r="AD109" s="548"/>
      <c r="AE109" s="549"/>
      <c r="AF109" s="541"/>
      <c r="AG109" s="547"/>
      <c r="AH109" s="548"/>
      <c r="AI109" s="549"/>
      <c r="AJ109" s="541"/>
      <c r="AK109" s="394"/>
      <c r="AL109" s="430"/>
      <c r="AM109" s="395"/>
      <c r="AN109" s="529"/>
      <c r="AO109" s="394"/>
      <c r="AP109" s="430"/>
      <c r="AQ109" s="395"/>
      <c r="AR109" s="529"/>
      <c r="AS109" s="542"/>
      <c r="AT109" s="542"/>
    </row>
    <row r="110">
      <c r="A110" s="394"/>
      <c r="B110" s="430"/>
      <c r="C110" s="395"/>
      <c r="D110" s="529"/>
      <c r="E110" s="394"/>
      <c r="F110" s="430"/>
      <c r="G110" s="395"/>
      <c r="H110" s="529"/>
      <c r="I110" s="394"/>
      <c r="J110" s="430"/>
      <c r="K110" s="395"/>
      <c r="L110" s="529"/>
      <c r="M110" s="394"/>
      <c r="N110" s="430"/>
      <c r="O110" s="395"/>
      <c r="P110" s="529"/>
      <c r="Q110" s="547"/>
      <c r="R110" s="548"/>
      <c r="S110" s="549"/>
      <c r="T110" s="541"/>
      <c r="U110" s="547"/>
      <c r="V110" s="548"/>
      <c r="W110" s="549"/>
      <c r="X110" s="541"/>
      <c r="Y110" s="547"/>
      <c r="Z110" s="548"/>
      <c r="AA110" s="549"/>
      <c r="AB110" s="541"/>
      <c r="AC110" s="547"/>
      <c r="AD110" s="548"/>
      <c r="AE110" s="549"/>
      <c r="AF110" s="541"/>
      <c r="AG110" s="547"/>
      <c r="AH110" s="548"/>
      <c r="AI110" s="549"/>
      <c r="AJ110" s="541"/>
      <c r="AK110" s="394"/>
      <c r="AL110" s="430"/>
      <c r="AM110" s="395"/>
      <c r="AN110" s="529"/>
      <c r="AO110" s="394"/>
      <c r="AP110" s="430"/>
      <c r="AQ110" s="395"/>
      <c r="AR110" s="529"/>
      <c r="AS110" s="542"/>
      <c r="AT110" s="542"/>
    </row>
    <row r="111">
      <c r="A111" s="394"/>
      <c r="B111" s="430"/>
      <c r="C111" s="395"/>
      <c r="D111" s="529"/>
      <c r="E111" s="394"/>
      <c r="F111" s="430"/>
      <c r="G111" s="395"/>
      <c r="H111" s="529"/>
      <c r="I111" s="394"/>
      <c r="J111" s="430"/>
      <c r="K111" s="395"/>
      <c r="L111" s="529"/>
      <c r="M111" s="394"/>
      <c r="N111" s="430"/>
      <c r="O111" s="395"/>
      <c r="P111" s="529"/>
      <c r="Q111" s="547"/>
      <c r="R111" s="548"/>
      <c r="S111" s="549"/>
      <c r="T111" s="541"/>
      <c r="U111" s="547"/>
      <c r="V111" s="548"/>
      <c r="W111" s="549"/>
      <c r="X111" s="541"/>
      <c r="Y111" s="547"/>
      <c r="Z111" s="548"/>
      <c r="AA111" s="549"/>
      <c r="AB111" s="541"/>
      <c r="AC111" s="547"/>
      <c r="AD111" s="548"/>
      <c r="AE111" s="549"/>
      <c r="AF111" s="541"/>
      <c r="AG111" s="547"/>
      <c r="AH111" s="548"/>
      <c r="AI111" s="549"/>
      <c r="AJ111" s="541"/>
      <c r="AK111" s="394"/>
      <c r="AL111" s="430"/>
      <c r="AM111" s="395"/>
      <c r="AN111" s="529"/>
      <c r="AO111" s="394"/>
      <c r="AP111" s="430"/>
      <c r="AQ111" s="395"/>
      <c r="AR111" s="529"/>
      <c r="AS111" s="542"/>
      <c r="AT111" s="542"/>
    </row>
    <row r="112">
      <c r="A112" s="394"/>
      <c r="B112" s="430"/>
      <c r="C112" s="395"/>
      <c r="D112" s="529"/>
      <c r="E112" s="394"/>
      <c r="F112" s="430"/>
      <c r="G112" s="395"/>
      <c r="H112" s="529"/>
      <c r="I112" s="394"/>
      <c r="J112" s="430"/>
      <c r="K112" s="395"/>
      <c r="L112" s="529"/>
      <c r="M112" s="394"/>
      <c r="N112" s="430"/>
      <c r="O112" s="395"/>
      <c r="P112" s="529"/>
      <c r="Q112" s="547"/>
      <c r="R112" s="548"/>
      <c r="S112" s="549"/>
      <c r="T112" s="541"/>
      <c r="U112" s="547"/>
      <c r="V112" s="548"/>
      <c r="W112" s="549"/>
      <c r="X112" s="541"/>
      <c r="Y112" s="547"/>
      <c r="Z112" s="548"/>
      <c r="AA112" s="549"/>
      <c r="AB112" s="541"/>
      <c r="AC112" s="547"/>
      <c r="AD112" s="548"/>
      <c r="AE112" s="549"/>
      <c r="AF112" s="541"/>
      <c r="AG112" s="547"/>
      <c r="AH112" s="548"/>
      <c r="AI112" s="549"/>
      <c r="AJ112" s="541"/>
      <c r="AK112" s="394"/>
      <c r="AL112" s="430"/>
      <c r="AM112" s="395"/>
      <c r="AN112" s="529"/>
      <c r="AO112" s="394"/>
      <c r="AP112" s="430"/>
      <c r="AQ112" s="395"/>
      <c r="AR112" s="529"/>
      <c r="AS112" s="542"/>
      <c r="AT112" s="542"/>
    </row>
    <row r="113">
      <c r="A113" s="394"/>
      <c r="B113" s="430"/>
      <c r="C113" s="395"/>
      <c r="D113" s="529"/>
      <c r="E113" s="394"/>
      <c r="F113" s="430"/>
      <c r="G113" s="395"/>
      <c r="H113" s="529"/>
      <c r="I113" s="394"/>
      <c r="J113" s="430"/>
      <c r="K113" s="395"/>
      <c r="L113" s="529"/>
      <c r="M113" s="394"/>
      <c r="N113" s="430"/>
      <c r="O113" s="395"/>
      <c r="P113" s="529"/>
      <c r="Q113" s="547"/>
      <c r="R113" s="548"/>
      <c r="S113" s="549"/>
      <c r="T113" s="541"/>
      <c r="U113" s="547"/>
      <c r="V113" s="548"/>
      <c r="W113" s="549"/>
      <c r="X113" s="541"/>
      <c r="Y113" s="547"/>
      <c r="Z113" s="548"/>
      <c r="AA113" s="549"/>
      <c r="AB113" s="541"/>
      <c r="AC113" s="547"/>
      <c r="AD113" s="548"/>
      <c r="AE113" s="549"/>
      <c r="AF113" s="541"/>
      <c r="AG113" s="547"/>
      <c r="AH113" s="548"/>
      <c r="AI113" s="549"/>
      <c r="AJ113" s="541"/>
      <c r="AK113" s="394"/>
      <c r="AL113" s="430"/>
      <c r="AM113" s="395"/>
      <c r="AN113" s="529"/>
      <c r="AO113" s="394"/>
      <c r="AP113" s="430"/>
      <c r="AQ113" s="395"/>
      <c r="AR113" s="529"/>
      <c r="AS113" s="542"/>
      <c r="AT113" s="542"/>
    </row>
    <row r="114">
      <c r="A114" s="394"/>
      <c r="B114" s="430"/>
      <c r="C114" s="395"/>
      <c r="D114" s="529"/>
      <c r="E114" s="394"/>
      <c r="F114" s="430"/>
      <c r="G114" s="395"/>
      <c r="H114" s="529"/>
      <c r="I114" s="394"/>
      <c r="J114" s="430"/>
      <c r="K114" s="395"/>
      <c r="L114" s="529"/>
      <c r="M114" s="394"/>
      <c r="N114" s="430"/>
      <c r="O114" s="395"/>
      <c r="P114" s="529"/>
      <c r="Q114" s="547"/>
      <c r="R114" s="548"/>
      <c r="S114" s="549"/>
      <c r="T114" s="541"/>
      <c r="U114" s="547"/>
      <c r="V114" s="548"/>
      <c r="W114" s="549"/>
      <c r="X114" s="541"/>
      <c r="Y114" s="547"/>
      <c r="Z114" s="548"/>
      <c r="AA114" s="549"/>
      <c r="AB114" s="541"/>
      <c r="AC114" s="547"/>
      <c r="AD114" s="548"/>
      <c r="AE114" s="549"/>
      <c r="AF114" s="541"/>
      <c r="AG114" s="547"/>
      <c r="AH114" s="548"/>
      <c r="AI114" s="549"/>
      <c r="AJ114" s="541"/>
      <c r="AK114" s="394"/>
      <c r="AL114" s="430"/>
      <c r="AM114" s="395"/>
      <c r="AN114" s="529"/>
      <c r="AO114" s="394"/>
      <c r="AP114" s="430"/>
      <c r="AQ114" s="395"/>
      <c r="AR114" s="529"/>
      <c r="AS114" s="542"/>
      <c r="AT114" s="542"/>
    </row>
    <row r="115">
      <c r="A115" s="394"/>
      <c r="B115" s="430"/>
      <c r="C115" s="395"/>
      <c r="D115" s="529"/>
      <c r="E115" s="394"/>
      <c r="F115" s="430"/>
      <c r="G115" s="395"/>
      <c r="H115" s="529"/>
      <c r="I115" s="394"/>
      <c r="J115" s="430"/>
      <c r="K115" s="395"/>
      <c r="L115" s="529"/>
      <c r="M115" s="394"/>
      <c r="N115" s="430"/>
      <c r="O115" s="395"/>
      <c r="P115" s="529"/>
      <c r="Q115" s="547"/>
      <c r="R115" s="548"/>
      <c r="S115" s="549"/>
      <c r="T115" s="541"/>
      <c r="U115" s="547"/>
      <c r="V115" s="548"/>
      <c r="W115" s="549"/>
      <c r="X115" s="541"/>
      <c r="Y115" s="547"/>
      <c r="Z115" s="548"/>
      <c r="AA115" s="549"/>
      <c r="AB115" s="541"/>
      <c r="AC115" s="547"/>
      <c r="AD115" s="548"/>
      <c r="AE115" s="549"/>
      <c r="AF115" s="541"/>
      <c r="AG115" s="547"/>
      <c r="AH115" s="548"/>
      <c r="AI115" s="549"/>
      <c r="AJ115" s="541"/>
      <c r="AK115" s="394"/>
      <c r="AL115" s="430"/>
      <c r="AM115" s="395"/>
      <c r="AN115" s="529"/>
      <c r="AO115" s="394"/>
      <c r="AP115" s="430"/>
      <c r="AQ115" s="395"/>
      <c r="AR115" s="529"/>
      <c r="AS115" s="542"/>
      <c r="AT115" s="542"/>
    </row>
    <row r="116">
      <c r="A116" s="394"/>
      <c r="B116" s="430"/>
      <c r="C116" s="395"/>
      <c r="D116" s="529"/>
      <c r="E116" s="394"/>
      <c r="F116" s="430"/>
      <c r="G116" s="395"/>
      <c r="H116" s="529"/>
      <c r="I116" s="394"/>
      <c r="J116" s="430"/>
      <c r="K116" s="395"/>
      <c r="L116" s="529"/>
      <c r="M116" s="394"/>
      <c r="N116" s="430"/>
      <c r="O116" s="395"/>
      <c r="P116" s="529"/>
      <c r="Q116" s="547"/>
      <c r="R116" s="548"/>
      <c r="S116" s="549"/>
      <c r="T116" s="541"/>
      <c r="U116" s="547"/>
      <c r="V116" s="548"/>
      <c r="W116" s="549"/>
      <c r="X116" s="541"/>
      <c r="Y116" s="547"/>
      <c r="Z116" s="548"/>
      <c r="AA116" s="549"/>
      <c r="AB116" s="541"/>
      <c r="AC116" s="547"/>
      <c r="AD116" s="548"/>
      <c r="AE116" s="549"/>
      <c r="AF116" s="541"/>
      <c r="AG116" s="547"/>
      <c r="AH116" s="548"/>
      <c r="AI116" s="549"/>
      <c r="AJ116" s="541"/>
      <c r="AK116" s="394"/>
      <c r="AL116" s="430"/>
      <c r="AM116" s="395"/>
      <c r="AN116" s="529"/>
      <c r="AO116" s="394"/>
      <c r="AP116" s="430"/>
      <c r="AQ116" s="395"/>
      <c r="AR116" s="529"/>
      <c r="AS116" s="542"/>
      <c r="AT116" s="542"/>
    </row>
    <row r="117">
      <c r="A117" s="394"/>
      <c r="B117" s="430"/>
      <c r="C117" s="395"/>
      <c r="D117" s="529"/>
      <c r="E117" s="394"/>
      <c r="F117" s="430"/>
      <c r="G117" s="395"/>
      <c r="H117" s="529"/>
      <c r="I117" s="394"/>
      <c r="J117" s="430"/>
      <c r="K117" s="395"/>
      <c r="L117" s="529"/>
      <c r="M117" s="394"/>
      <c r="N117" s="430"/>
      <c r="O117" s="395"/>
      <c r="P117" s="529"/>
      <c r="Q117" s="547"/>
      <c r="R117" s="548"/>
      <c r="S117" s="549"/>
      <c r="T117" s="541"/>
      <c r="U117" s="547"/>
      <c r="V117" s="548"/>
      <c r="W117" s="549"/>
      <c r="X117" s="541"/>
      <c r="Y117" s="547"/>
      <c r="Z117" s="548"/>
      <c r="AA117" s="549"/>
      <c r="AB117" s="541"/>
      <c r="AC117" s="547"/>
      <c r="AD117" s="548"/>
      <c r="AE117" s="549"/>
      <c r="AF117" s="541"/>
      <c r="AG117" s="547"/>
      <c r="AH117" s="548"/>
      <c r="AI117" s="549"/>
      <c r="AJ117" s="541"/>
      <c r="AK117" s="394"/>
      <c r="AL117" s="430"/>
      <c r="AM117" s="395"/>
      <c r="AN117" s="529"/>
      <c r="AO117" s="394"/>
      <c r="AP117" s="430"/>
      <c r="AQ117" s="395"/>
      <c r="AR117" s="529"/>
      <c r="AS117" s="542"/>
      <c r="AT117" s="542"/>
    </row>
    <row r="118">
      <c r="A118" s="394"/>
      <c r="B118" s="430"/>
      <c r="C118" s="395"/>
      <c r="D118" s="529"/>
      <c r="E118" s="394"/>
      <c r="F118" s="430"/>
      <c r="G118" s="395"/>
      <c r="H118" s="529"/>
      <c r="I118" s="394"/>
      <c r="J118" s="430"/>
      <c r="K118" s="395"/>
      <c r="L118" s="529"/>
      <c r="M118" s="394"/>
      <c r="N118" s="430"/>
      <c r="O118" s="395"/>
      <c r="P118" s="529"/>
      <c r="Q118" s="547"/>
      <c r="R118" s="548"/>
      <c r="S118" s="549"/>
      <c r="T118" s="541"/>
      <c r="U118" s="547"/>
      <c r="V118" s="548"/>
      <c r="W118" s="549"/>
      <c r="X118" s="541"/>
      <c r="Y118" s="547"/>
      <c r="Z118" s="548"/>
      <c r="AA118" s="549"/>
      <c r="AB118" s="541"/>
      <c r="AC118" s="547"/>
      <c r="AD118" s="548"/>
      <c r="AE118" s="549"/>
      <c r="AF118" s="541"/>
      <c r="AG118" s="547"/>
      <c r="AH118" s="548"/>
      <c r="AI118" s="549"/>
      <c r="AJ118" s="541"/>
      <c r="AK118" s="394"/>
      <c r="AL118" s="430"/>
      <c r="AM118" s="395"/>
      <c r="AN118" s="529"/>
      <c r="AO118" s="394"/>
      <c r="AP118" s="430"/>
      <c r="AQ118" s="395"/>
      <c r="AR118" s="529"/>
      <c r="AS118" s="542"/>
      <c r="AT118" s="542"/>
    </row>
    <row r="119">
      <c r="A119" s="394"/>
      <c r="B119" s="430"/>
      <c r="C119" s="395"/>
      <c r="D119" s="529"/>
      <c r="E119" s="394"/>
      <c r="F119" s="430"/>
      <c r="G119" s="395"/>
      <c r="H119" s="529"/>
      <c r="I119" s="394"/>
      <c r="J119" s="430"/>
      <c r="K119" s="395"/>
      <c r="L119" s="529"/>
      <c r="M119" s="394"/>
      <c r="N119" s="430"/>
      <c r="O119" s="395"/>
      <c r="P119" s="529"/>
      <c r="Q119" s="547"/>
      <c r="R119" s="548"/>
      <c r="S119" s="549"/>
      <c r="T119" s="541"/>
      <c r="U119" s="547"/>
      <c r="V119" s="548"/>
      <c r="W119" s="549"/>
      <c r="X119" s="541"/>
      <c r="Y119" s="547"/>
      <c r="Z119" s="548"/>
      <c r="AA119" s="549"/>
      <c r="AB119" s="541"/>
      <c r="AC119" s="547"/>
      <c r="AD119" s="548"/>
      <c r="AE119" s="549"/>
      <c r="AF119" s="541"/>
      <c r="AG119" s="547"/>
      <c r="AH119" s="548"/>
      <c r="AI119" s="549"/>
      <c r="AJ119" s="541"/>
      <c r="AK119" s="394"/>
      <c r="AL119" s="430"/>
      <c r="AM119" s="395"/>
      <c r="AN119" s="529"/>
      <c r="AO119" s="394"/>
      <c r="AP119" s="430"/>
      <c r="AQ119" s="395"/>
      <c r="AR119" s="529"/>
      <c r="AS119" s="542"/>
      <c r="AT119" s="542"/>
    </row>
    <row r="120">
      <c r="A120" s="394"/>
      <c r="B120" s="430"/>
      <c r="C120" s="395"/>
      <c r="D120" s="529"/>
      <c r="E120" s="394"/>
      <c r="F120" s="430"/>
      <c r="G120" s="395"/>
      <c r="H120" s="529"/>
      <c r="I120" s="394"/>
      <c r="J120" s="430"/>
      <c r="K120" s="395"/>
      <c r="L120" s="529"/>
      <c r="M120" s="394"/>
      <c r="N120" s="430"/>
      <c r="O120" s="395"/>
      <c r="P120" s="529"/>
      <c r="Q120" s="547"/>
      <c r="R120" s="548"/>
      <c r="S120" s="549"/>
      <c r="T120" s="541"/>
      <c r="U120" s="547"/>
      <c r="V120" s="548"/>
      <c r="W120" s="549"/>
      <c r="X120" s="541"/>
      <c r="Y120" s="547"/>
      <c r="Z120" s="548"/>
      <c r="AA120" s="549"/>
      <c r="AB120" s="541"/>
      <c r="AC120" s="547"/>
      <c r="AD120" s="548"/>
      <c r="AE120" s="549"/>
      <c r="AF120" s="541"/>
      <c r="AG120" s="547"/>
      <c r="AH120" s="548"/>
      <c r="AI120" s="549"/>
      <c r="AJ120" s="541"/>
      <c r="AK120" s="394"/>
      <c r="AL120" s="430"/>
      <c r="AM120" s="395"/>
      <c r="AN120" s="529"/>
      <c r="AO120" s="394"/>
      <c r="AP120" s="430"/>
      <c r="AQ120" s="395"/>
      <c r="AR120" s="529"/>
      <c r="AS120" s="542"/>
      <c r="AT120" s="542"/>
    </row>
    <row r="121">
      <c r="A121" s="394"/>
      <c r="B121" s="430"/>
      <c r="C121" s="395"/>
      <c r="D121" s="529"/>
      <c r="E121" s="394"/>
      <c r="F121" s="430"/>
      <c r="G121" s="395"/>
      <c r="H121" s="529"/>
      <c r="I121" s="394"/>
      <c r="J121" s="430"/>
      <c r="K121" s="395"/>
      <c r="L121" s="529"/>
      <c r="M121" s="394"/>
      <c r="N121" s="430"/>
      <c r="O121" s="395"/>
      <c r="P121" s="529"/>
      <c r="Q121" s="547"/>
      <c r="R121" s="548"/>
      <c r="S121" s="549"/>
      <c r="T121" s="541"/>
      <c r="U121" s="547"/>
      <c r="V121" s="548"/>
      <c r="W121" s="549"/>
      <c r="X121" s="541"/>
      <c r="Y121" s="547"/>
      <c r="Z121" s="548"/>
      <c r="AA121" s="549"/>
      <c r="AB121" s="541"/>
      <c r="AC121" s="547"/>
      <c r="AD121" s="548"/>
      <c r="AE121" s="549"/>
      <c r="AF121" s="541"/>
      <c r="AG121" s="547"/>
      <c r="AH121" s="548"/>
      <c r="AI121" s="549"/>
      <c r="AJ121" s="541"/>
      <c r="AK121" s="394"/>
      <c r="AL121" s="430"/>
      <c r="AM121" s="395"/>
      <c r="AN121" s="529"/>
      <c r="AO121" s="394"/>
      <c r="AP121" s="430"/>
      <c r="AQ121" s="395"/>
      <c r="AR121" s="529"/>
      <c r="AS121" s="542"/>
      <c r="AT121" s="542"/>
    </row>
    <row r="122">
      <c r="A122" s="394"/>
      <c r="B122" s="430"/>
      <c r="C122" s="395"/>
      <c r="D122" s="529"/>
      <c r="E122" s="394"/>
      <c r="F122" s="430"/>
      <c r="G122" s="395"/>
      <c r="H122" s="529"/>
      <c r="I122" s="394"/>
      <c r="J122" s="430"/>
      <c r="K122" s="395"/>
      <c r="L122" s="529"/>
      <c r="M122" s="394"/>
      <c r="N122" s="430"/>
      <c r="O122" s="395"/>
      <c r="P122" s="529"/>
      <c r="Q122" s="547"/>
      <c r="R122" s="548"/>
      <c r="S122" s="549"/>
      <c r="T122" s="541"/>
      <c r="U122" s="547"/>
      <c r="V122" s="548"/>
      <c r="W122" s="549"/>
      <c r="X122" s="541"/>
      <c r="Y122" s="547"/>
      <c r="Z122" s="548"/>
      <c r="AA122" s="549"/>
      <c r="AB122" s="541"/>
      <c r="AC122" s="547"/>
      <c r="AD122" s="548"/>
      <c r="AE122" s="549"/>
      <c r="AF122" s="541"/>
      <c r="AG122" s="547"/>
      <c r="AH122" s="548"/>
      <c r="AI122" s="549"/>
      <c r="AJ122" s="541"/>
      <c r="AK122" s="394"/>
      <c r="AL122" s="430"/>
      <c r="AM122" s="395"/>
      <c r="AN122" s="529"/>
      <c r="AO122" s="394"/>
      <c r="AP122" s="430"/>
      <c r="AQ122" s="395"/>
      <c r="AR122" s="529"/>
      <c r="AS122" s="542"/>
      <c r="AT122" s="542"/>
    </row>
    <row r="123">
      <c r="A123" s="394"/>
      <c r="B123" s="430"/>
      <c r="C123" s="395"/>
      <c r="D123" s="529"/>
      <c r="E123" s="394"/>
      <c r="F123" s="430"/>
      <c r="G123" s="395"/>
      <c r="H123" s="529"/>
      <c r="I123" s="394"/>
      <c r="J123" s="430"/>
      <c r="K123" s="395"/>
      <c r="L123" s="529"/>
      <c r="M123" s="394"/>
      <c r="N123" s="430"/>
      <c r="O123" s="395"/>
      <c r="P123" s="529"/>
      <c r="Q123" s="547"/>
      <c r="R123" s="548"/>
      <c r="S123" s="549"/>
      <c r="T123" s="541"/>
      <c r="U123" s="547"/>
      <c r="V123" s="548"/>
      <c r="W123" s="549"/>
      <c r="X123" s="541"/>
      <c r="Y123" s="547"/>
      <c r="Z123" s="548"/>
      <c r="AA123" s="549"/>
      <c r="AB123" s="541"/>
      <c r="AC123" s="547"/>
      <c r="AD123" s="548"/>
      <c r="AE123" s="549"/>
      <c r="AF123" s="541"/>
      <c r="AG123" s="547"/>
      <c r="AH123" s="548"/>
      <c r="AI123" s="549"/>
      <c r="AJ123" s="541"/>
      <c r="AK123" s="394"/>
      <c r="AL123" s="430"/>
      <c r="AM123" s="395"/>
      <c r="AN123" s="529"/>
      <c r="AO123" s="394"/>
      <c r="AP123" s="430"/>
      <c r="AQ123" s="395"/>
      <c r="AR123" s="529"/>
      <c r="AS123" s="542"/>
      <c r="AT123" s="542"/>
    </row>
    <row r="124">
      <c r="A124" s="394"/>
      <c r="B124" s="430"/>
      <c r="C124" s="395"/>
      <c r="D124" s="529"/>
      <c r="E124" s="394"/>
      <c r="F124" s="430"/>
      <c r="G124" s="395"/>
      <c r="H124" s="529"/>
      <c r="I124" s="394"/>
      <c r="J124" s="430"/>
      <c r="K124" s="395"/>
      <c r="L124" s="529"/>
      <c r="M124" s="394"/>
      <c r="N124" s="430"/>
      <c r="O124" s="395"/>
      <c r="P124" s="529"/>
      <c r="Q124" s="547"/>
      <c r="R124" s="548"/>
      <c r="S124" s="549"/>
      <c r="T124" s="541"/>
      <c r="U124" s="547"/>
      <c r="V124" s="548"/>
      <c r="W124" s="549"/>
      <c r="X124" s="541"/>
      <c r="Y124" s="547"/>
      <c r="Z124" s="548"/>
      <c r="AA124" s="549"/>
      <c r="AB124" s="541"/>
      <c r="AC124" s="547"/>
      <c r="AD124" s="548"/>
      <c r="AE124" s="549"/>
      <c r="AF124" s="541"/>
      <c r="AG124" s="547"/>
      <c r="AH124" s="548"/>
      <c r="AI124" s="549"/>
      <c r="AJ124" s="541"/>
      <c r="AK124" s="394"/>
      <c r="AL124" s="430"/>
      <c r="AM124" s="395"/>
      <c r="AN124" s="529"/>
      <c r="AO124" s="394"/>
      <c r="AP124" s="430"/>
      <c r="AQ124" s="395"/>
      <c r="AR124" s="529"/>
      <c r="AS124" s="542"/>
      <c r="AT124" s="542"/>
    </row>
    <row r="125">
      <c r="A125" s="394"/>
      <c r="B125" s="430"/>
      <c r="C125" s="395"/>
      <c r="D125" s="529"/>
      <c r="E125" s="394"/>
      <c r="F125" s="430"/>
      <c r="G125" s="395"/>
      <c r="H125" s="529"/>
      <c r="I125" s="394"/>
      <c r="J125" s="430"/>
      <c r="K125" s="395"/>
      <c r="L125" s="529"/>
      <c r="M125" s="394"/>
      <c r="N125" s="430"/>
      <c r="O125" s="395"/>
      <c r="P125" s="529"/>
      <c r="Q125" s="547"/>
      <c r="R125" s="548"/>
      <c r="S125" s="549"/>
      <c r="T125" s="541"/>
      <c r="U125" s="547"/>
      <c r="V125" s="548"/>
      <c r="W125" s="549"/>
      <c r="X125" s="541"/>
      <c r="Y125" s="547"/>
      <c r="Z125" s="548"/>
      <c r="AA125" s="549"/>
      <c r="AB125" s="541"/>
      <c r="AC125" s="547"/>
      <c r="AD125" s="548"/>
      <c r="AE125" s="549"/>
      <c r="AF125" s="541"/>
      <c r="AG125" s="547"/>
      <c r="AH125" s="548"/>
      <c r="AI125" s="549"/>
      <c r="AJ125" s="541"/>
      <c r="AK125" s="394"/>
      <c r="AL125" s="430"/>
      <c r="AM125" s="395"/>
      <c r="AN125" s="529"/>
      <c r="AO125" s="394"/>
      <c r="AP125" s="430"/>
      <c r="AQ125" s="395"/>
      <c r="AR125" s="529"/>
      <c r="AS125" s="542"/>
      <c r="AT125" s="542"/>
    </row>
    <row r="126">
      <c r="A126" s="394"/>
      <c r="B126" s="430"/>
      <c r="C126" s="395"/>
      <c r="D126" s="529"/>
      <c r="E126" s="394"/>
      <c r="F126" s="430"/>
      <c r="G126" s="395"/>
      <c r="H126" s="529"/>
      <c r="I126" s="394"/>
      <c r="J126" s="430"/>
      <c r="K126" s="395"/>
      <c r="L126" s="529"/>
      <c r="M126" s="394"/>
      <c r="N126" s="430"/>
      <c r="O126" s="395"/>
      <c r="P126" s="529"/>
      <c r="Q126" s="547"/>
      <c r="R126" s="548"/>
      <c r="S126" s="549"/>
      <c r="T126" s="541"/>
      <c r="U126" s="547"/>
      <c r="V126" s="548"/>
      <c r="W126" s="549"/>
      <c r="X126" s="541"/>
      <c r="Y126" s="547"/>
      <c r="Z126" s="548"/>
      <c r="AA126" s="549"/>
      <c r="AB126" s="541"/>
      <c r="AC126" s="547"/>
      <c r="AD126" s="548"/>
      <c r="AE126" s="549"/>
      <c r="AF126" s="541"/>
      <c r="AG126" s="547"/>
      <c r="AH126" s="548"/>
      <c r="AI126" s="549"/>
      <c r="AJ126" s="541"/>
      <c r="AK126" s="394"/>
      <c r="AL126" s="430"/>
      <c r="AM126" s="395"/>
      <c r="AN126" s="529"/>
      <c r="AO126" s="394"/>
      <c r="AP126" s="430"/>
      <c r="AQ126" s="395"/>
      <c r="AR126" s="529"/>
      <c r="AS126" s="542"/>
      <c r="AT126" s="542"/>
    </row>
    <row r="127">
      <c r="A127" s="394"/>
      <c r="B127" s="430"/>
      <c r="C127" s="395"/>
      <c r="D127" s="529"/>
      <c r="E127" s="394"/>
      <c r="F127" s="430"/>
      <c r="G127" s="395"/>
      <c r="H127" s="529"/>
      <c r="I127" s="394"/>
      <c r="J127" s="430"/>
      <c r="K127" s="395"/>
      <c r="L127" s="529"/>
      <c r="M127" s="394"/>
      <c r="N127" s="430"/>
      <c r="O127" s="395"/>
      <c r="P127" s="529"/>
      <c r="Q127" s="547"/>
      <c r="R127" s="548"/>
      <c r="S127" s="549"/>
      <c r="T127" s="541"/>
      <c r="U127" s="547"/>
      <c r="V127" s="548"/>
      <c r="W127" s="549"/>
      <c r="X127" s="541"/>
      <c r="Y127" s="547"/>
      <c r="Z127" s="548"/>
      <c r="AA127" s="549"/>
      <c r="AB127" s="541"/>
      <c r="AC127" s="547"/>
      <c r="AD127" s="548"/>
      <c r="AE127" s="549"/>
      <c r="AF127" s="541"/>
      <c r="AG127" s="547"/>
      <c r="AH127" s="548"/>
      <c r="AI127" s="549"/>
      <c r="AJ127" s="541"/>
      <c r="AK127" s="394"/>
      <c r="AL127" s="430"/>
      <c r="AM127" s="395"/>
      <c r="AN127" s="529"/>
      <c r="AO127" s="394"/>
      <c r="AP127" s="430"/>
      <c r="AQ127" s="395"/>
      <c r="AR127" s="529"/>
      <c r="AS127" s="542"/>
      <c r="AT127" s="542"/>
    </row>
    <row r="128">
      <c r="A128" s="394"/>
      <c r="B128" s="430"/>
      <c r="C128" s="395"/>
      <c r="D128" s="529"/>
      <c r="E128" s="394"/>
      <c r="F128" s="430"/>
      <c r="G128" s="395"/>
      <c r="H128" s="529"/>
      <c r="I128" s="394"/>
      <c r="J128" s="430"/>
      <c r="K128" s="395"/>
      <c r="L128" s="529"/>
      <c r="M128" s="394"/>
      <c r="N128" s="430"/>
      <c r="O128" s="395"/>
      <c r="P128" s="529"/>
      <c r="Q128" s="547"/>
      <c r="R128" s="548"/>
      <c r="S128" s="549"/>
      <c r="T128" s="541"/>
      <c r="U128" s="547"/>
      <c r="V128" s="548"/>
      <c r="W128" s="549"/>
      <c r="X128" s="541"/>
      <c r="Y128" s="547"/>
      <c r="Z128" s="548"/>
      <c r="AA128" s="549"/>
      <c r="AB128" s="541"/>
      <c r="AC128" s="547"/>
      <c r="AD128" s="548"/>
      <c r="AE128" s="549"/>
      <c r="AF128" s="541"/>
      <c r="AG128" s="547"/>
      <c r="AH128" s="548"/>
      <c r="AI128" s="549"/>
      <c r="AJ128" s="541"/>
      <c r="AK128" s="394"/>
      <c r="AL128" s="430"/>
      <c r="AM128" s="395"/>
      <c r="AN128" s="529"/>
      <c r="AO128" s="394"/>
      <c r="AP128" s="430"/>
      <c r="AQ128" s="395"/>
      <c r="AR128" s="529"/>
      <c r="AS128" s="542"/>
      <c r="AT128" s="542"/>
    </row>
    <row r="129">
      <c r="A129" s="394"/>
      <c r="B129" s="430"/>
      <c r="C129" s="395"/>
      <c r="D129" s="529"/>
      <c r="E129" s="394"/>
      <c r="F129" s="430"/>
      <c r="G129" s="395"/>
      <c r="H129" s="529"/>
      <c r="I129" s="394"/>
      <c r="J129" s="430"/>
      <c r="K129" s="395"/>
      <c r="L129" s="529"/>
      <c r="M129" s="394"/>
      <c r="N129" s="430"/>
      <c r="O129" s="395"/>
      <c r="P129" s="529"/>
      <c r="Q129" s="547"/>
      <c r="R129" s="548"/>
      <c r="S129" s="549"/>
      <c r="T129" s="541"/>
      <c r="U129" s="547"/>
      <c r="V129" s="548"/>
      <c r="W129" s="549"/>
      <c r="X129" s="541"/>
      <c r="Y129" s="547"/>
      <c r="Z129" s="548"/>
      <c r="AA129" s="549"/>
      <c r="AB129" s="541"/>
      <c r="AC129" s="547"/>
      <c r="AD129" s="548"/>
      <c r="AE129" s="549"/>
      <c r="AF129" s="541"/>
      <c r="AG129" s="547"/>
      <c r="AH129" s="548"/>
      <c r="AI129" s="549"/>
      <c r="AJ129" s="541"/>
      <c r="AK129" s="394"/>
      <c r="AL129" s="430"/>
      <c r="AM129" s="395"/>
      <c r="AN129" s="529"/>
      <c r="AO129" s="394"/>
      <c r="AP129" s="430"/>
      <c r="AQ129" s="395"/>
      <c r="AR129" s="529"/>
      <c r="AS129" s="542"/>
      <c r="AT129" s="542"/>
    </row>
    <row r="130">
      <c r="A130" s="394"/>
      <c r="B130" s="430"/>
      <c r="C130" s="395"/>
      <c r="D130" s="529"/>
      <c r="E130" s="394"/>
      <c r="F130" s="430"/>
      <c r="G130" s="395"/>
      <c r="H130" s="529"/>
      <c r="I130" s="394"/>
      <c r="J130" s="430"/>
      <c r="K130" s="395"/>
      <c r="L130" s="529"/>
      <c r="M130" s="394"/>
      <c r="N130" s="430"/>
      <c r="O130" s="395"/>
      <c r="P130" s="529"/>
      <c r="Q130" s="547"/>
      <c r="R130" s="548"/>
      <c r="S130" s="549"/>
      <c r="T130" s="541"/>
      <c r="U130" s="547"/>
      <c r="V130" s="548"/>
      <c r="W130" s="549"/>
      <c r="X130" s="541"/>
      <c r="Y130" s="547"/>
      <c r="Z130" s="548"/>
      <c r="AA130" s="549"/>
      <c r="AB130" s="541"/>
      <c r="AC130" s="547"/>
      <c r="AD130" s="548"/>
      <c r="AE130" s="549"/>
      <c r="AF130" s="541"/>
      <c r="AG130" s="547"/>
      <c r="AH130" s="548"/>
      <c r="AI130" s="549"/>
      <c r="AJ130" s="541"/>
      <c r="AK130" s="394"/>
      <c r="AL130" s="430"/>
      <c r="AM130" s="395"/>
      <c r="AN130" s="529"/>
      <c r="AO130" s="394"/>
      <c r="AP130" s="430"/>
      <c r="AQ130" s="395"/>
      <c r="AR130" s="529"/>
      <c r="AS130" s="542"/>
      <c r="AT130" s="542"/>
    </row>
    <row r="131">
      <c r="A131" s="394"/>
      <c r="B131" s="430"/>
      <c r="C131" s="395"/>
      <c r="D131" s="529"/>
      <c r="E131" s="394"/>
      <c r="F131" s="430"/>
      <c r="G131" s="395"/>
      <c r="H131" s="529"/>
      <c r="I131" s="394"/>
      <c r="J131" s="430"/>
      <c r="K131" s="395"/>
      <c r="L131" s="529"/>
      <c r="M131" s="394"/>
      <c r="N131" s="430"/>
      <c r="O131" s="395"/>
      <c r="P131" s="529"/>
      <c r="Q131" s="547"/>
      <c r="R131" s="548"/>
      <c r="S131" s="549"/>
      <c r="T131" s="541"/>
      <c r="U131" s="547"/>
      <c r="V131" s="548"/>
      <c r="W131" s="549"/>
      <c r="X131" s="541"/>
      <c r="Y131" s="547"/>
      <c r="Z131" s="548"/>
      <c r="AA131" s="549"/>
      <c r="AB131" s="541"/>
      <c r="AC131" s="547"/>
      <c r="AD131" s="548"/>
      <c r="AE131" s="549"/>
      <c r="AF131" s="541"/>
      <c r="AG131" s="547"/>
      <c r="AH131" s="548"/>
      <c r="AI131" s="549"/>
      <c r="AJ131" s="541"/>
      <c r="AK131" s="394"/>
      <c r="AL131" s="430"/>
      <c r="AM131" s="395"/>
      <c r="AN131" s="529"/>
      <c r="AO131" s="394"/>
      <c r="AP131" s="430"/>
      <c r="AQ131" s="395"/>
      <c r="AR131" s="529"/>
      <c r="AS131" s="542"/>
      <c r="AT131" s="542"/>
    </row>
    <row r="132">
      <c r="A132" s="394"/>
      <c r="B132" s="430"/>
      <c r="C132" s="395"/>
      <c r="D132" s="529"/>
      <c r="E132" s="394"/>
      <c r="F132" s="430"/>
      <c r="G132" s="395"/>
      <c r="H132" s="529"/>
      <c r="I132" s="394"/>
      <c r="J132" s="430"/>
      <c r="K132" s="395"/>
      <c r="L132" s="529"/>
      <c r="M132" s="394"/>
      <c r="N132" s="430"/>
      <c r="O132" s="395"/>
      <c r="P132" s="529"/>
      <c r="Q132" s="547"/>
      <c r="R132" s="548"/>
      <c r="S132" s="549"/>
      <c r="T132" s="541"/>
      <c r="U132" s="547"/>
      <c r="V132" s="548"/>
      <c r="W132" s="549"/>
      <c r="X132" s="541"/>
      <c r="Y132" s="547"/>
      <c r="Z132" s="548"/>
      <c r="AA132" s="549"/>
      <c r="AB132" s="541"/>
      <c r="AC132" s="547"/>
      <c r="AD132" s="548"/>
      <c r="AE132" s="549"/>
      <c r="AF132" s="541"/>
      <c r="AG132" s="547"/>
      <c r="AH132" s="548"/>
      <c r="AI132" s="549"/>
      <c r="AJ132" s="541"/>
      <c r="AK132" s="394"/>
      <c r="AL132" s="430"/>
      <c r="AM132" s="395"/>
      <c r="AN132" s="529"/>
      <c r="AO132" s="394"/>
      <c r="AP132" s="430"/>
      <c r="AQ132" s="395"/>
      <c r="AR132" s="529"/>
      <c r="AS132" s="542"/>
      <c r="AT132" s="542"/>
    </row>
    <row r="133">
      <c r="A133" s="394"/>
      <c r="B133" s="430"/>
      <c r="C133" s="395"/>
      <c r="D133" s="529"/>
      <c r="E133" s="394"/>
      <c r="F133" s="430"/>
      <c r="G133" s="395"/>
      <c r="H133" s="529"/>
      <c r="I133" s="394"/>
      <c r="J133" s="430"/>
      <c r="K133" s="395"/>
      <c r="L133" s="529"/>
      <c r="M133" s="394"/>
      <c r="N133" s="430"/>
      <c r="O133" s="395"/>
      <c r="P133" s="529"/>
      <c r="Q133" s="547"/>
      <c r="R133" s="548"/>
      <c r="S133" s="549"/>
      <c r="T133" s="541"/>
      <c r="U133" s="547"/>
      <c r="V133" s="548"/>
      <c r="W133" s="549"/>
      <c r="X133" s="541"/>
      <c r="Y133" s="547"/>
      <c r="Z133" s="548"/>
      <c r="AA133" s="549"/>
      <c r="AB133" s="541"/>
      <c r="AC133" s="547"/>
      <c r="AD133" s="548"/>
      <c r="AE133" s="549"/>
      <c r="AF133" s="541"/>
      <c r="AG133" s="547"/>
      <c r="AH133" s="548"/>
      <c r="AI133" s="549"/>
      <c r="AJ133" s="541"/>
      <c r="AK133" s="394"/>
      <c r="AL133" s="430"/>
      <c r="AM133" s="395"/>
      <c r="AN133" s="529"/>
      <c r="AO133" s="394"/>
      <c r="AP133" s="430"/>
      <c r="AQ133" s="395"/>
      <c r="AR133" s="529"/>
      <c r="AS133" s="542"/>
      <c r="AT133" s="542"/>
    </row>
    <row r="134">
      <c r="A134" s="394"/>
      <c r="B134" s="430"/>
      <c r="C134" s="395"/>
      <c r="D134" s="529"/>
      <c r="E134" s="394"/>
      <c r="F134" s="430"/>
      <c r="G134" s="395"/>
      <c r="H134" s="529"/>
      <c r="I134" s="394"/>
      <c r="J134" s="430"/>
      <c r="K134" s="395"/>
      <c r="L134" s="529"/>
      <c r="M134" s="394"/>
      <c r="N134" s="430"/>
      <c r="O134" s="395"/>
      <c r="P134" s="529"/>
      <c r="Q134" s="547"/>
      <c r="R134" s="548"/>
      <c r="S134" s="549"/>
      <c r="T134" s="541"/>
      <c r="U134" s="547"/>
      <c r="V134" s="548"/>
      <c r="W134" s="549"/>
      <c r="X134" s="541"/>
      <c r="Y134" s="547"/>
      <c r="Z134" s="548"/>
      <c r="AA134" s="549"/>
      <c r="AB134" s="541"/>
      <c r="AC134" s="547"/>
      <c r="AD134" s="548"/>
      <c r="AE134" s="549"/>
      <c r="AF134" s="541"/>
      <c r="AG134" s="547"/>
      <c r="AH134" s="548"/>
      <c r="AI134" s="549"/>
      <c r="AJ134" s="541"/>
      <c r="AK134" s="394"/>
      <c r="AL134" s="430"/>
      <c r="AM134" s="395"/>
      <c r="AN134" s="529"/>
      <c r="AO134" s="394"/>
      <c r="AP134" s="430"/>
      <c r="AQ134" s="395"/>
      <c r="AR134" s="529"/>
      <c r="AS134" s="542"/>
      <c r="AT134" s="542"/>
    </row>
    <row r="135">
      <c r="A135" s="394"/>
      <c r="B135" s="430"/>
      <c r="C135" s="395"/>
      <c r="D135" s="529"/>
      <c r="E135" s="394"/>
      <c r="F135" s="430"/>
      <c r="G135" s="395"/>
      <c r="H135" s="529"/>
      <c r="I135" s="394"/>
      <c r="J135" s="430"/>
      <c r="K135" s="395"/>
      <c r="L135" s="529"/>
      <c r="M135" s="394"/>
      <c r="N135" s="430"/>
      <c r="O135" s="395"/>
      <c r="P135" s="529"/>
      <c r="Q135" s="547"/>
      <c r="R135" s="548"/>
      <c r="S135" s="549"/>
      <c r="T135" s="541"/>
      <c r="U135" s="547"/>
      <c r="V135" s="548"/>
      <c r="W135" s="549"/>
      <c r="X135" s="541"/>
      <c r="Y135" s="547"/>
      <c r="Z135" s="548"/>
      <c r="AA135" s="549"/>
      <c r="AB135" s="541"/>
      <c r="AC135" s="547"/>
      <c r="AD135" s="548"/>
      <c r="AE135" s="549"/>
      <c r="AF135" s="541"/>
      <c r="AG135" s="547"/>
      <c r="AH135" s="548"/>
      <c r="AI135" s="549"/>
      <c r="AJ135" s="541"/>
      <c r="AK135" s="394"/>
      <c r="AL135" s="430"/>
      <c r="AM135" s="395"/>
      <c r="AN135" s="529"/>
      <c r="AO135" s="394"/>
      <c r="AP135" s="430"/>
      <c r="AQ135" s="395"/>
      <c r="AR135" s="529"/>
      <c r="AS135" s="542"/>
      <c r="AT135" s="542"/>
    </row>
    <row r="136">
      <c r="A136" s="394"/>
      <c r="B136" s="430"/>
      <c r="C136" s="395"/>
      <c r="D136" s="529"/>
      <c r="E136" s="394"/>
      <c r="F136" s="430"/>
      <c r="G136" s="395"/>
      <c r="H136" s="529"/>
      <c r="I136" s="394"/>
      <c r="J136" s="430"/>
      <c r="K136" s="395"/>
      <c r="L136" s="529"/>
      <c r="M136" s="394"/>
      <c r="N136" s="430"/>
      <c r="O136" s="395"/>
      <c r="P136" s="529"/>
      <c r="Q136" s="547"/>
      <c r="R136" s="548"/>
      <c r="S136" s="549"/>
      <c r="T136" s="541"/>
      <c r="U136" s="547"/>
      <c r="V136" s="548"/>
      <c r="W136" s="549"/>
      <c r="X136" s="541"/>
      <c r="Y136" s="547"/>
      <c r="Z136" s="548"/>
      <c r="AA136" s="549"/>
      <c r="AB136" s="541"/>
      <c r="AC136" s="547"/>
      <c r="AD136" s="548"/>
      <c r="AE136" s="549"/>
      <c r="AF136" s="541"/>
      <c r="AG136" s="547"/>
      <c r="AH136" s="548"/>
      <c r="AI136" s="549"/>
      <c r="AJ136" s="541"/>
      <c r="AK136" s="394"/>
      <c r="AL136" s="430"/>
      <c r="AM136" s="395"/>
      <c r="AN136" s="529"/>
      <c r="AO136" s="394"/>
      <c r="AP136" s="430"/>
      <c r="AQ136" s="395"/>
      <c r="AR136" s="529"/>
      <c r="AS136" s="542"/>
      <c r="AT136" s="542"/>
    </row>
    <row r="137">
      <c r="A137" s="394"/>
      <c r="B137" s="430"/>
      <c r="C137" s="395"/>
      <c r="D137" s="529"/>
      <c r="E137" s="394"/>
      <c r="F137" s="430"/>
      <c r="G137" s="395"/>
      <c r="H137" s="529"/>
      <c r="I137" s="394"/>
      <c r="J137" s="430"/>
      <c r="K137" s="395"/>
      <c r="L137" s="529"/>
      <c r="M137" s="394"/>
      <c r="N137" s="430"/>
      <c r="O137" s="395"/>
      <c r="P137" s="529"/>
      <c r="Q137" s="547"/>
      <c r="R137" s="548"/>
      <c r="S137" s="549"/>
      <c r="T137" s="541"/>
      <c r="U137" s="547"/>
      <c r="V137" s="548"/>
      <c r="W137" s="549"/>
      <c r="X137" s="541"/>
      <c r="Y137" s="547"/>
      <c r="Z137" s="548"/>
      <c r="AA137" s="549"/>
      <c r="AB137" s="541"/>
      <c r="AC137" s="547"/>
      <c r="AD137" s="548"/>
      <c r="AE137" s="549"/>
      <c r="AF137" s="541"/>
      <c r="AG137" s="547"/>
      <c r="AH137" s="548"/>
      <c r="AI137" s="549"/>
      <c r="AJ137" s="541"/>
      <c r="AK137" s="394"/>
      <c r="AL137" s="430"/>
      <c r="AM137" s="395"/>
      <c r="AN137" s="529"/>
      <c r="AO137" s="394"/>
      <c r="AP137" s="430"/>
      <c r="AQ137" s="395"/>
      <c r="AR137" s="529"/>
      <c r="AS137" s="542"/>
      <c r="AT137" s="542"/>
    </row>
    <row r="138">
      <c r="A138" s="394"/>
      <c r="B138" s="430"/>
      <c r="C138" s="395"/>
      <c r="D138" s="529"/>
      <c r="E138" s="394"/>
      <c r="F138" s="430"/>
      <c r="G138" s="395"/>
      <c r="H138" s="529"/>
      <c r="I138" s="394"/>
      <c r="J138" s="430"/>
      <c r="K138" s="395"/>
      <c r="L138" s="529"/>
      <c r="M138" s="394"/>
      <c r="N138" s="430"/>
      <c r="O138" s="395"/>
      <c r="P138" s="529"/>
      <c r="Q138" s="547"/>
      <c r="R138" s="548"/>
      <c r="S138" s="549"/>
      <c r="T138" s="541"/>
      <c r="U138" s="547"/>
      <c r="V138" s="548"/>
      <c r="W138" s="549"/>
      <c r="X138" s="541"/>
      <c r="Y138" s="547"/>
      <c r="Z138" s="548"/>
      <c r="AA138" s="549"/>
      <c r="AB138" s="541"/>
      <c r="AC138" s="547"/>
      <c r="AD138" s="548"/>
      <c r="AE138" s="549"/>
      <c r="AF138" s="541"/>
      <c r="AG138" s="547"/>
      <c r="AH138" s="548"/>
      <c r="AI138" s="549"/>
      <c r="AJ138" s="541"/>
      <c r="AK138" s="394"/>
      <c r="AL138" s="430"/>
      <c r="AM138" s="395"/>
      <c r="AN138" s="529"/>
      <c r="AO138" s="394"/>
      <c r="AP138" s="430"/>
      <c r="AQ138" s="395"/>
      <c r="AR138" s="529"/>
      <c r="AS138" s="542"/>
      <c r="AT138" s="542"/>
    </row>
    <row r="139">
      <c r="A139" s="394"/>
      <c r="B139" s="430"/>
      <c r="C139" s="395"/>
      <c r="D139" s="529"/>
      <c r="E139" s="394"/>
      <c r="F139" s="430"/>
      <c r="G139" s="395"/>
      <c r="H139" s="529"/>
      <c r="I139" s="394"/>
      <c r="J139" s="430"/>
      <c r="K139" s="395"/>
      <c r="L139" s="529"/>
      <c r="M139" s="394"/>
      <c r="N139" s="430"/>
      <c r="O139" s="395"/>
      <c r="P139" s="529"/>
      <c r="Q139" s="547"/>
      <c r="R139" s="548"/>
      <c r="S139" s="549"/>
      <c r="T139" s="541"/>
      <c r="U139" s="547"/>
      <c r="V139" s="548"/>
      <c r="W139" s="549"/>
      <c r="X139" s="541"/>
      <c r="Y139" s="547"/>
      <c r="Z139" s="548"/>
      <c r="AA139" s="549"/>
      <c r="AB139" s="541"/>
      <c r="AC139" s="547"/>
      <c r="AD139" s="548"/>
      <c r="AE139" s="549"/>
      <c r="AF139" s="541"/>
      <c r="AG139" s="547"/>
      <c r="AH139" s="548"/>
      <c r="AI139" s="549"/>
      <c r="AJ139" s="541"/>
      <c r="AK139" s="394"/>
      <c r="AL139" s="430"/>
      <c r="AM139" s="395"/>
      <c r="AN139" s="529"/>
      <c r="AO139" s="394"/>
      <c r="AP139" s="430"/>
      <c r="AQ139" s="395"/>
      <c r="AR139" s="529"/>
      <c r="AS139" s="542"/>
      <c r="AT139" s="542"/>
    </row>
    <row r="140">
      <c r="A140" s="394"/>
      <c r="B140" s="430"/>
      <c r="C140" s="395"/>
      <c r="D140" s="529"/>
      <c r="E140" s="394"/>
      <c r="F140" s="430"/>
      <c r="G140" s="395"/>
      <c r="H140" s="529"/>
      <c r="I140" s="394"/>
      <c r="J140" s="430"/>
      <c r="K140" s="395"/>
      <c r="L140" s="529"/>
      <c r="M140" s="394"/>
      <c r="N140" s="430"/>
      <c r="O140" s="395"/>
      <c r="P140" s="529"/>
      <c r="Q140" s="547"/>
      <c r="R140" s="548"/>
      <c r="S140" s="549"/>
      <c r="T140" s="541"/>
      <c r="U140" s="547"/>
      <c r="V140" s="548"/>
      <c r="W140" s="549"/>
      <c r="X140" s="541"/>
      <c r="Y140" s="547"/>
      <c r="Z140" s="548"/>
      <c r="AA140" s="549"/>
      <c r="AB140" s="541"/>
      <c r="AC140" s="547"/>
      <c r="AD140" s="548"/>
      <c r="AE140" s="549"/>
      <c r="AF140" s="541"/>
      <c r="AG140" s="547"/>
      <c r="AH140" s="548"/>
      <c r="AI140" s="549"/>
      <c r="AJ140" s="541"/>
      <c r="AK140" s="394"/>
      <c r="AL140" s="430"/>
      <c r="AM140" s="395"/>
      <c r="AN140" s="529"/>
      <c r="AO140" s="394"/>
      <c r="AP140" s="430"/>
      <c r="AQ140" s="395"/>
      <c r="AR140" s="529"/>
      <c r="AS140" s="542"/>
      <c r="AT140" s="542"/>
    </row>
    <row r="141">
      <c r="A141" s="394"/>
      <c r="B141" s="430"/>
      <c r="C141" s="395"/>
      <c r="D141" s="529"/>
      <c r="E141" s="394"/>
      <c r="F141" s="430"/>
      <c r="G141" s="395"/>
      <c r="H141" s="529"/>
      <c r="I141" s="394"/>
      <c r="J141" s="430"/>
      <c r="K141" s="395"/>
      <c r="L141" s="529"/>
      <c r="M141" s="394"/>
      <c r="N141" s="430"/>
      <c r="O141" s="395"/>
      <c r="P141" s="529"/>
      <c r="Q141" s="547"/>
      <c r="R141" s="548"/>
      <c r="S141" s="549"/>
      <c r="T141" s="541"/>
      <c r="U141" s="547"/>
      <c r="V141" s="548"/>
      <c r="W141" s="549"/>
      <c r="X141" s="541"/>
      <c r="Y141" s="547"/>
      <c r="Z141" s="548"/>
      <c r="AA141" s="549"/>
      <c r="AB141" s="541"/>
      <c r="AC141" s="547"/>
      <c r="AD141" s="548"/>
      <c r="AE141" s="549"/>
      <c r="AF141" s="541"/>
      <c r="AG141" s="547"/>
      <c r="AH141" s="548"/>
      <c r="AI141" s="549"/>
      <c r="AJ141" s="541"/>
      <c r="AK141" s="394"/>
      <c r="AL141" s="430"/>
      <c r="AM141" s="395"/>
      <c r="AN141" s="529"/>
      <c r="AO141" s="394"/>
      <c r="AP141" s="430"/>
      <c r="AQ141" s="395"/>
      <c r="AR141" s="529"/>
      <c r="AS141" s="542"/>
      <c r="AT141" s="542"/>
    </row>
    <row r="142">
      <c r="A142" s="394"/>
      <c r="B142" s="430"/>
      <c r="C142" s="395"/>
      <c r="D142" s="529"/>
      <c r="E142" s="394"/>
      <c r="F142" s="430"/>
      <c r="G142" s="395"/>
      <c r="H142" s="529"/>
      <c r="I142" s="394"/>
      <c r="J142" s="430"/>
      <c r="K142" s="395"/>
      <c r="L142" s="529"/>
      <c r="M142" s="394"/>
      <c r="N142" s="430"/>
      <c r="O142" s="395"/>
      <c r="P142" s="529"/>
      <c r="Q142" s="547"/>
      <c r="R142" s="548"/>
      <c r="S142" s="549"/>
      <c r="T142" s="541"/>
      <c r="U142" s="547"/>
      <c r="V142" s="548"/>
      <c r="W142" s="549"/>
      <c r="X142" s="541"/>
      <c r="Y142" s="547"/>
      <c r="Z142" s="548"/>
      <c r="AA142" s="549"/>
      <c r="AB142" s="541"/>
      <c r="AC142" s="547"/>
      <c r="AD142" s="548"/>
      <c r="AE142" s="549"/>
      <c r="AF142" s="541"/>
      <c r="AG142" s="547"/>
      <c r="AH142" s="548"/>
      <c r="AI142" s="549"/>
      <c r="AJ142" s="541"/>
      <c r="AK142" s="394"/>
      <c r="AL142" s="430"/>
      <c r="AM142" s="395"/>
      <c r="AN142" s="529"/>
      <c r="AO142" s="394"/>
      <c r="AP142" s="430"/>
      <c r="AQ142" s="395"/>
      <c r="AR142" s="529"/>
      <c r="AS142" s="542"/>
      <c r="AT142" s="542"/>
    </row>
    <row r="143">
      <c r="A143" s="394"/>
      <c r="B143" s="430"/>
      <c r="C143" s="395"/>
      <c r="D143" s="529"/>
      <c r="E143" s="394"/>
      <c r="F143" s="430"/>
      <c r="G143" s="395"/>
      <c r="H143" s="529"/>
      <c r="I143" s="394"/>
      <c r="J143" s="430"/>
      <c r="K143" s="395"/>
      <c r="L143" s="529"/>
      <c r="M143" s="394"/>
      <c r="N143" s="430"/>
      <c r="O143" s="395"/>
      <c r="P143" s="529"/>
      <c r="Q143" s="547"/>
      <c r="R143" s="548"/>
      <c r="S143" s="549"/>
      <c r="T143" s="541"/>
      <c r="U143" s="547"/>
      <c r="V143" s="548"/>
      <c r="W143" s="549"/>
      <c r="X143" s="541"/>
      <c r="Y143" s="547"/>
      <c r="Z143" s="548"/>
      <c r="AA143" s="549"/>
      <c r="AB143" s="541"/>
      <c r="AC143" s="547"/>
      <c r="AD143" s="548"/>
      <c r="AE143" s="549"/>
      <c r="AF143" s="541"/>
      <c r="AG143" s="547"/>
      <c r="AH143" s="548"/>
      <c r="AI143" s="549"/>
      <c r="AJ143" s="541"/>
      <c r="AK143" s="394"/>
      <c r="AL143" s="430"/>
      <c r="AM143" s="395"/>
      <c r="AN143" s="529"/>
      <c r="AO143" s="394"/>
      <c r="AP143" s="430"/>
      <c r="AQ143" s="395"/>
      <c r="AR143" s="529"/>
      <c r="AS143" s="542"/>
      <c r="AT143" s="542"/>
    </row>
    <row r="144">
      <c r="A144" s="394"/>
      <c r="B144" s="430"/>
      <c r="C144" s="395"/>
      <c r="D144" s="529"/>
      <c r="E144" s="394"/>
      <c r="F144" s="430"/>
      <c r="G144" s="395"/>
      <c r="H144" s="529"/>
      <c r="I144" s="394"/>
      <c r="J144" s="430"/>
      <c r="K144" s="395"/>
      <c r="L144" s="529"/>
      <c r="M144" s="394"/>
      <c r="N144" s="430"/>
      <c r="O144" s="395"/>
      <c r="P144" s="529"/>
      <c r="Q144" s="547"/>
      <c r="R144" s="548"/>
      <c r="S144" s="549"/>
      <c r="T144" s="541"/>
      <c r="U144" s="547"/>
      <c r="V144" s="548"/>
      <c r="W144" s="549"/>
      <c r="X144" s="541"/>
      <c r="Y144" s="547"/>
      <c r="Z144" s="548"/>
      <c r="AA144" s="549"/>
      <c r="AB144" s="541"/>
      <c r="AC144" s="547"/>
      <c r="AD144" s="548"/>
      <c r="AE144" s="549"/>
      <c r="AF144" s="541"/>
      <c r="AG144" s="547"/>
      <c r="AH144" s="548"/>
      <c r="AI144" s="549"/>
      <c r="AJ144" s="541"/>
      <c r="AK144" s="394"/>
      <c r="AL144" s="430"/>
      <c r="AM144" s="395"/>
      <c r="AN144" s="529"/>
      <c r="AO144" s="394"/>
      <c r="AP144" s="430"/>
      <c r="AQ144" s="395"/>
      <c r="AR144" s="529"/>
      <c r="AS144" s="542"/>
      <c r="AT144" s="542"/>
    </row>
    <row r="145">
      <c r="A145" s="394"/>
      <c r="B145" s="430"/>
      <c r="C145" s="395"/>
      <c r="D145" s="529"/>
      <c r="E145" s="394"/>
      <c r="F145" s="430"/>
      <c r="G145" s="395"/>
      <c r="H145" s="529"/>
      <c r="I145" s="394"/>
      <c r="J145" s="430"/>
      <c r="K145" s="395"/>
      <c r="L145" s="529"/>
      <c r="M145" s="394"/>
      <c r="N145" s="430"/>
      <c r="O145" s="395"/>
      <c r="P145" s="529"/>
      <c r="Q145" s="547"/>
      <c r="R145" s="548"/>
      <c r="S145" s="549"/>
      <c r="T145" s="541"/>
      <c r="U145" s="547"/>
      <c r="V145" s="548"/>
      <c r="W145" s="549"/>
      <c r="X145" s="541"/>
      <c r="Y145" s="547"/>
      <c r="Z145" s="548"/>
      <c r="AA145" s="549"/>
      <c r="AB145" s="541"/>
      <c r="AC145" s="547"/>
      <c r="AD145" s="548"/>
      <c r="AE145" s="549"/>
      <c r="AF145" s="541"/>
      <c r="AG145" s="547"/>
      <c r="AH145" s="548"/>
      <c r="AI145" s="549"/>
      <c r="AJ145" s="541"/>
      <c r="AK145" s="394"/>
      <c r="AL145" s="430"/>
      <c r="AM145" s="395"/>
      <c r="AN145" s="529"/>
      <c r="AO145" s="394"/>
      <c r="AP145" s="430"/>
      <c r="AQ145" s="395"/>
      <c r="AR145" s="529"/>
      <c r="AS145" s="542"/>
      <c r="AT145" s="542"/>
    </row>
    <row r="146">
      <c r="A146" s="394"/>
      <c r="B146" s="430"/>
      <c r="C146" s="395"/>
      <c r="D146" s="529"/>
      <c r="E146" s="394"/>
      <c r="F146" s="430"/>
      <c r="G146" s="395"/>
      <c r="H146" s="529"/>
      <c r="I146" s="394"/>
      <c r="J146" s="430"/>
      <c r="K146" s="395"/>
      <c r="L146" s="529"/>
      <c r="M146" s="394"/>
      <c r="N146" s="430"/>
      <c r="O146" s="395"/>
      <c r="P146" s="529"/>
      <c r="Q146" s="547"/>
      <c r="R146" s="548"/>
      <c r="S146" s="549"/>
      <c r="T146" s="541"/>
      <c r="U146" s="547"/>
      <c r="V146" s="548"/>
      <c r="W146" s="549"/>
      <c r="X146" s="541"/>
      <c r="Y146" s="547"/>
      <c r="Z146" s="548"/>
      <c r="AA146" s="549"/>
      <c r="AB146" s="541"/>
      <c r="AC146" s="547"/>
      <c r="AD146" s="548"/>
      <c r="AE146" s="549"/>
      <c r="AF146" s="541"/>
      <c r="AG146" s="547"/>
      <c r="AH146" s="548"/>
      <c r="AI146" s="549"/>
      <c r="AJ146" s="541"/>
      <c r="AK146" s="394"/>
      <c r="AL146" s="430"/>
      <c r="AM146" s="395"/>
      <c r="AN146" s="529"/>
      <c r="AO146" s="394"/>
      <c r="AP146" s="430"/>
      <c r="AQ146" s="395"/>
      <c r="AR146" s="529"/>
      <c r="AS146" s="542"/>
      <c r="AT146" s="542"/>
    </row>
    <row r="147">
      <c r="A147" s="394"/>
      <c r="B147" s="430"/>
      <c r="C147" s="395"/>
      <c r="D147" s="529"/>
      <c r="E147" s="394"/>
      <c r="F147" s="430"/>
      <c r="G147" s="395"/>
      <c r="H147" s="529"/>
      <c r="I147" s="394"/>
      <c r="J147" s="430"/>
      <c r="K147" s="395"/>
      <c r="L147" s="529"/>
      <c r="M147" s="394"/>
      <c r="N147" s="430"/>
      <c r="O147" s="395"/>
      <c r="P147" s="529"/>
      <c r="Q147" s="547"/>
      <c r="R147" s="548"/>
      <c r="S147" s="549"/>
      <c r="T147" s="541"/>
      <c r="U147" s="547"/>
      <c r="V147" s="548"/>
      <c r="W147" s="549"/>
      <c r="X147" s="541"/>
      <c r="Y147" s="547"/>
      <c r="Z147" s="548"/>
      <c r="AA147" s="549"/>
      <c r="AB147" s="541"/>
      <c r="AC147" s="547"/>
      <c r="AD147" s="548"/>
      <c r="AE147" s="549"/>
      <c r="AF147" s="541"/>
      <c r="AG147" s="547"/>
      <c r="AH147" s="548"/>
      <c r="AI147" s="549"/>
      <c r="AJ147" s="541"/>
      <c r="AK147" s="394"/>
      <c r="AL147" s="430"/>
      <c r="AM147" s="395"/>
      <c r="AN147" s="529"/>
      <c r="AO147" s="394"/>
      <c r="AP147" s="430"/>
      <c r="AQ147" s="395"/>
      <c r="AR147" s="529"/>
      <c r="AS147" s="542"/>
      <c r="AT147" s="542"/>
    </row>
    <row r="148">
      <c r="A148" s="394"/>
      <c r="B148" s="430"/>
      <c r="C148" s="395"/>
      <c r="D148" s="529"/>
      <c r="E148" s="394"/>
      <c r="F148" s="430"/>
      <c r="G148" s="395"/>
      <c r="H148" s="529"/>
      <c r="I148" s="394"/>
      <c r="J148" s="430"/>
      <c r="K148" s="395"/>
      <c r="L148" s="529"/>
      <c r="M148" s="394"/>
      <c r="N148" s="430"/>
      <c r="O148" s="395"/>
      <c r="P148" s="529"/>
      <c r="Q148" s="547"/>
      <c r="R148" s="548"/>
      <c r="S148" s="549"/>
      <c r="T148" s="541"/>
      <c r="U148" s="547"/>
      <c r="V148" s="548"/>
      <c r="W148" s="549"/>
      <c r="X148" s="541"/>
      <c r="Y148" s="547"/>
      <c r="Z148" s="548"/>
      <c r="AA148" s="549"/>
      <c r="AB148" s="541"/>
      <c r="AC148" s="547"/>
      <c r="AD148" s="548"/>
      <c r="AE148" s="549"/>
      <c r="AF148" s="541"/>
      <c r="AG148" s="547"/>
      <c r="AH148" s="548"/>
      <c r="AI148" s="549"/>
      <c r="AJ148" s="541"/>
      <c r="AK148" s="394"/>
      <c r="AL148" s="430"/>
      <c r="AM148" s="395"/>
      <c r="AN148" s="529"/>
      <c r="AO148" s="394"/>
      <c r="AP148" s="430"/>
      <c r="AQ148" s="395"/>
      <c r="AR148" s="529"/>
      <c r="AS148" s="542"/>
      <c r="AT148" s="542"/>
    </row>
    <row r="149">
      <c r="A149" s="394"/>
      <c r="B149" s="430"/>
      <c r="C149" s="395"/>
      <c r="D149" s="529"/>
      <c r="E149" s="394"/>
      <c r="F149" s="430"/>
      <c r="G149" s="395"/>
      <c r="H149" s="529"/>
      <c r="I149" s="394"/>
      <c r="J149" s="430"/>
      <c r="K149" s="395"/>
      <c r="L149" s="529"/>
      <c r="M149" s="394"/>
      <c r="N149" s="430"/>
      <c r="O149" s="395"/>
      <c r="P149" s="529"/>
      <c r="Q149" s="547"/>
      <c r="R149" s="548"/>
      <c r="S149" s="549"/>
      <c r="T149" s="541"/>
      <c r="U149" s="547"/>
      <c r="V149" s="548"/>
      <c r="W149" s="549"/>
      <c r="X149" s="541"/>
      <c r="Y149" s="547"/>
      <c r="Z149" s="548"/>
      <c r="AA149" s="549"/>
      <c r="AB149" s="541"/>
      <c r="AC149" s="547"/>
      <c r="AD149" s="548"/>
      <c r="AE149" s="549"/>
      <c r="AF149" s="541"/>
      <c r="AG149" s="547"/>
      <c r="AH149" s="548"/>
      <c r="AI149" s="549"/>
      <c r="AJ149" s="541"/>
      <c r="AK149" s="394"/>
      <c r="AL149" s="430"/>
      <c r="AM149" s="395"/>
      <c r="AN149" s="529"/>
      <c r="AO149" s="394"/>
      <c r="AP149" s="430"/>
      <c r="AQ149" s="395"/>
      <c r="AR149" s="529"/>
      <c r="AS149" s="542"/>
      <c r="AT149" s="542"/>
    </row>
    <row r="150">
      <c r="A150" s="394"/>
      <c r="B150" s="430"/>
      <c r="C150" s="395"/>
      <c r="D150" s="529"/>
      <c r="E150" s="394"/>
      <c r="F150" s="430"/>
      <c r="G150" s="395"/>
      <c r="H150" s="529"/>
      <c r="I150" s="394"/>
      <c r="J150" s="430"/>
      <c r="K150" s="395"/>
      <c r="L150" s="529"/>
      <c r="M150" s="394"/>
      <c r="N150" s="430"/>
      <c r="O150" s="395"/>
      <c r="P150" s="529"/>
      <c r="Q150" s="547"/>
      <c r="R150" s="548"/>
      <c r="S150" s="549"/>
      <c r="T150" s="541"/>
      <c r="U150" s="547"/>
      <c r="V150" s="548"/>
      <c r="W150" s="549"/>
      <c r="X150" s="541"/>
      <c r="Y150" s="547"/>
      <c r="Z150" s="548"/>
      <c r="AA150" s="549"/>
      <c r="AB150" s="541"/>
      <c r="AC150" s="547"/>
      <c r="AD150" s="548"/>
      <c r="AE150" s="549"/>
      <c r="AF150" s="541"/>
      <c r="AG150" s="547"/>
      <c r="AH150" s="548"/>
      <c r="AI150" s="549"/>
      <c r="AJ150" s="541"/>
      <c r="AK150" s="394"/>
      <c r="AL150" s="430"/>
      <c r="AM150" s="395"/>
      <c r="AN150" s="529"/>
      <c r="AO150" s="394"/>
      <c r="AP150" s="430"/>
      <c r="AQ150" s="395"/>
      <c r="AR150" s="529"/>
      <c r="AS150" s="542"/>
      <c r="AT150" s="542"/>
    </row>
    <row r="151">
      <c r="A151" s="394"/>
      <c r="B151" s="430"/>
      <c r="C151" s="395"/>
      <c r="D151" s="529"/>
      <c r="E151" s="394"/>
      <c r="F151" s="430"/>
      <c r="G151" s="395"/>
      <c r="H151" s="529"/>
      <c r="I151" s="394"/>
      <c r="J151" s="430"/>
      <c r="K151" s="395"/>
      <c r="L151" s="529"/>
      <c r="M151" s="394"/>
      <c r="N151" s="430"/>
      <c r="O151" s="395"/>
      <c r="P151" s="529"/>
      <c r="Q151" s="547"/>
      <c r="R151" s="548"/>
      <c r="S151" s="549"/>
      <c r="T151" s="541"/>
      <c r="U151" s="547"/>
      <c r="V151" s="548"/>
      <c r="W151" s="549"/>
      <c r="X151" s="541"/>
      <c r="Y151" s="547"/>
      <c r="Z151" s="548"/>
      <c r="AA151" s="549"/>
      <c r="AB151" s="541"/>
      <c r="AC151" s="547"/>
      <c r="AD151" s="548"/>
      <c r="AE151" s="549"/>
      <c r="AF151" s="541"/>
      <c r="AG151" s="547"/>
      <c r="AH151" s="548"/>
      <c r="AI151" s="549"/>
      <c r="AJ151" s="541"/>
      <c r="AK151" s="394"/>
      <c r="AL151" s="430"/>
      <c r="AM151" s="395"/>
      <c r="AN151" s="529"/>
      <c r="AO151" s="394"/>
      <c r="AP151" s="430"/>
      <c r="AQ151" s="395"/>
      <c r="AR151" s="529"/>
      <c r="AS151" s="542"/>
      <c r="AT151" s="542"/>
    </row>
    <row r="152">
      <c r="A152" s="394"/>
      <c r="B152" s="430"/>
      <c r="C152" s="395"/>
      <c r="D152" s="529"/>
      <c r="E152" s="394"/>
      <c r="F152" s="430"/>
      <c r="G152" s="395"/>
      <c r="H152" s="529"/>
      <c r="I152" s="394"/>
      <c r="J152" s="430"/>
      <c r="K152" s="395"/>
      <c r="L152" s="529"/>
      <c r="M152" s="394"/>
      <c r="N152" s="430"/>
      <c r="O152" s="395"/>
      <c r="P152" s="529"/>
      <c r="Q152" s="547"/>
      <c r="R152" s="548"/>
      <c r="S152" s="549"/>
      <c r="T152" s="541"/>
      <c r="U152" s="547"/>
      <c r="V152" s="548"/>
      <c r="W152" s="549"/>
      <c r="X152" s="541"/>
      <c r="Y152" s="547"/>
      <c r="Z152" s="548"/>
      <c r="AA152" s="549"/>
      <c r="AB152" s="541"/>
      <c r="AC152" s="547"/>
      <c r="AD152" s="548"/>
      <c r="AE152" s="549"/>
      <c r="AF152" s="541"/>
      <c r="AG152" s="547"/>
      <c r="AH152" s="548"/>
      <c r="AI152" s="549"/>
      <c r="AJ152" s="541"/>
      <c r="AK152" s="394"/>
      <c r="AL152" s="430"/>
      <c r="AM152" s="395"/>
      <c r="AN152" s="529"/>
      <c r="AO152" s="394"/>
      <c r="AP152" s="430"/>
      <c r="AQ152" s="395"/>
      <c r="AR152" s="529"/>
      <c r="AS152" s="542"/>
      <c r="AT152" s="542"/>
    </row>
    <row r="153">
      <c r="A153" s="394"/>
      <c r="B153" s="430"/>
      <c r="C153" s="395"/>
      <c r="D153" s="529"/>
      <c r="E153" s="394"/>
      <c r="F153" s="430"/>
      <c r="G153" s="395"/>
      <c r="H153" s="529"/>
      <c r="I153" s="394"/>
      <c r="J153" s="430"/>
      <c r="K153" s="395"/>
      <c r="L153" s="529"/>
      <c r="M153" s="394"/>
      <c r="N153" s="430"/>
      <c r="O153" s="395"/>
      <c r="P153" s="529"/>
      <c r="Q153" s="547"/>
      <c r="R153" s="548"/>
      <c r="S153" s="549"/>
      <c r="T153" s="541"/>
      <c r="U153" s="547"/>
      <c r="V153" s="548"/>
      <c r="W153" s="549"/>
      <c r="X153" s="541"/>
      <c r="Y153" s="547"/>
      <c r="Z153" s="548"/>
      <c r="AA153" s="549"/>
      <c r="AB153" s="541"/>
      <c r="AC153" s="547"/>
      <c r="AD153" s="548"/>
      <c r="AE153" s="549"/>
      <c r="AF153" s="541"/>
      <c r="AG153" s="547"/>
      <c r="AH153" s="548"/>
      <c r="AI153" s="549"/>
      <c r="AJ153" s="541"/>
      <c r="AK153" s="394"/>
      <c r="AL153" s="430"/>
      <c r="AM153" s="395"/>
      <c r="AN153" s="529"/>
      <c r="AO153" s="394"/>
      <c r="AP153" s="430"/>
      <c r="AQ153" s="395"/>
      <c r="AR153" s="529"/>
      <c r="AS153" s="542"/>
      <c r="AT153" s="542"/>
    </row>
    <row r="154">
      <c r="A154" s="394"/>
      <c r="B154" s="430"/>
      <c r="C154" s="395"/>
      <c r="D154" s="529"/>
      <c r="E154" s="394"/>
      <c r="F154" s="430"/>
      <c r="G154" s="395"/>
      <c r="H154" s="529"/>
      <c r="I154" s="394"/>
      <c r="J154" s="430"/>
      <c r="K154" s="395"/>
      <c r="L154" s="529"/>
      <c r="M154" s="394"/>
      <c r="N154" s="430"/>
      <c r="O154" s="395"/>
      <c r="P154" s="529"/>
      <c r="Q154" s="547"/>
      <c r="R154" s="548"/>
      <c r="S154" s="549"/>
      <c r="T154" s="541"/>
      <c r="U154" s="547"/>
      <c r="V154" s="548"/>
      <c r="W154" s="549"/>
      <c r="X154" s="541"/>
      <c r="Y154" s="547"/>
      <c r="Z154" s="548"/>
      <c r="AA154" s="549"/>
      <c r="AB154" s="541"/>
      <c r="AC154" s="547"/>
      <c r="AD154" s="548"/>
      <c r="AE154" s="549"/>
      <c r="AF154" s="541"/>
      <c r="AG154" s="547"/>
      <c r="AH154" s="548"/>
      <c r="AI154" s="549"/>
      <c r="AJ154" s="541"/>
      <c r="AK154" s="394"/>
      <c r="AL154" s="430"/>
      <c r="AM154" s="395"/>
      <c r="AN154" s="529"/>
      <c r="AO154" s="394"/>
      <c r="AP154" s="430"/>
      <c r="AQ154" s="395"/>
      <c r="AR154" s="529"/>
      <c r="AS154" s="542"/>
      <c r="AT154" s="542"/>
    </row>
    <row r="155">
      <c r="A155" s="394"/>
      <c r="B155" s="430"/>
      <c r="C155" s="395"/>
      <c r="D155" s="529"/>
      <c r="E155" s="394"/>
      <c r="F155" s="430"/>
      <c r="G155" s="395"/>
      <c r="H155" s="529"/>
      <c r="I155" s="394"/>
      <c r="J155" s="430"/>
      <c r="K155" s="395"/>
      <c r="L155" s="529"/>
      <c r="M155" s="394"/>
      <c r="N155" s="430"/>
      <c r="O155" s="395"/>
      <c r="P155" s="529"/>
      <c r="Q155" s="547"/>
      <c r="R155" s="548"/>
      <c r="S155" s="549"/>
      <c r="T155" s="541"/>
      <c r="U155" s="547"/>
      <c r="V155" s="548"/>
      <c r="W155" s="549"/>
      <c r="X155" s="541"/>
      <c r="Y155" s="547"/>
      <c r="Z155" s="548"/>
      <c r="AA155" s="549"/>
      <c r="AB155" s="541"/>
      <c r="AC155" s="547"/>
      <c r="AD155" s="548"/>
      <c r="AE155" s="549"/>
      <c r="AF155" s="541"/>
      <c r="AG155" s="547"/>
      <c r="AH155" s="548"/>
      <c r="AI155" s="549"/>
      <c r="AJ155" s="541"/>
      <c r="AK155" s="394"/>
      <c r="AL155" s="430"/>
      <c r="AM155" s="395"/>
      <c r="AN155" s="529"/>
      <c r="AO155" s="394"/>
      <c r="AP155" s="430"/>
      <c r="AQ155" s="395"/>
      <c r="AR155" s="529"/>
      <c r="AS155" s="542"/>
      <c r="AT155" s="542"/>
    </row>
    <row r="156">
      <c r="A156" s="394"/>
      <c r="B156" s="430"/>
      <c r="C156" s="395"/>
      <c r="D156" s="529"/>
      <c r="E156" s="394"/>
      <c r="F156" s="430"/>
      <c r="G156" s="395"/>
      <c r="H156" s="529"/>
      <c r="I156" s="394"/>
      <c r="J156" s="430"/>
      <c r="K156" s="395"/>
      <c r="L156" s="529"/>
      <c r="M156" s="394"/>
      <c r="N156" s="430"/>
      <c r="O156" s="395"/>
      <c r="P156" s="529"/>
      <c r="Q156" s="547"/>
      <c r="R156" s="548"/>
      <c r="S156" s="549"/>
      <c r="T156" s="541"/>
      <c r="U156" s="547"/>
      <c r="V156" s="548"/>
      <c r="W156" s="549"/>
      <c r="X156" s="541"/>
      <c r="Y156" s="547"/>
      <c r="Z156" s="548"/>
      <c r="AA156" s="549"/>
      <c r="AB156" s="541"/>
      <c r="AC156" s="547"/>
      <c r="AD156" s="548"/>
      <c r="AE156" s="549"/>
      <c r="AF156" s="541"/>
      <c r="AG156" s="547"/>
      <c r="AH156" s="548"/>
      <c r="AI156" s="549"/>
      <c r="AJ156" s="541"/>
      <c r="AK156" s="394"/>
      <c r="AL156" s="430"/>
      <c r="AM156" s="395"/>
      <c r="AN156" s="529"/>
      <c r="AO156" s="394"/>
      <c r="AP156" s="430"/>
      <c r="AQ156" s="395"/>
      <c r="AR156" s="529"/>
      <c r="AS156" s="542"/>
      <c r="AT156" s="542"/>
    </row>
    <row r="157">
      <c r="A157" s="394"/>
      <c r="B157" s="430"/>
      <c r="C157" s="395"/>
      <c r="D157" s="529"/>
      <c r="E157" s="394"/>
      <c r="F157" s="430"/>
      <c r="G157" s="395"/>
      <c r="H157" s="529"/>
      <c r="I157" s="394"/>
      <c r="J157" s="430"/>
      <c r="K157" s="395"/>
      <c r="L157" s="529"/>
      <c r="M157" s="394"/>
      <c r="N157" s="430"/>
      <c r="O157" s="395"/>
      <c r="P157" s="529"/>
      <c r="Q157" s="547"/>
      <c r="R157" s="548"/>
      <c r="S157" s="549"/>
      <c r="T157" s="541"/>
      <c r="U157" s="547"/>
      <c r="V157" s="548"/>
      <c r="W157" s="549"/>
      <c r="X157" s="541"/>
      <c r="Y157" s="547"/>
      <c r="Z157" s="548"/>
      <c r="AA157" s="549"/>
      <c r="AB157" s="541"/>
      <c r="AC157" s="547"/>
      <c r="AD157" s="548"/>
      <c r="AE157" s="549"/>
      <c r="AF157" s="541"/>
      <c r="AG157" s="547"/>
      <c r="AH157" s="548"/>
      <c r="AI157" s="549"/>
      <c r="AJ157" s="541"/>
      <c r="AK157" s="394"/>
      <c r="AL157" s="430"/>
      <c r="AM157" s="395"/>
      <c r="AN157" s="529"/>
      <c r="AO157" s="394"/>
      <c r="AP157" s="430"/>
      <c r="AQ157" s="395"/>
      <c r="AR157" s="529"/>
      <c r="AS157" s="542"/>
      <c r="AT157" s="542"/>
    </row>
    <row r="158">
      <c r="A158" s="394"/>
      <c r="B158" s="430"/>
      <c r="C158" s="395"/>
      <c r="D158" s="529"/>
      <c r="E158" s="394"/>
      <c r="F158" s="430"/>
      <c r="G158" s="395"/>
      <c r="H158" s="529"/>
      <c r="I158" s="394"/>
      <c r="J158" s="430"/>
      <c r="K158" s="395"/>
      <c r="L158" s="529"/>
      <c r="M158" s="394"/>
      <c r="N158" s="430"/>
      <c r="O158" s="395"/>
      <c r="P158" s="529"/>
      <c r="Q158" s="547"/>
      <c r="R158" s="548"/>
      <c r="S158" s="549"/>
      <c r="T158" s="541"/>
      <c r="U158" s="547"/>
      <c r="V158" s="548"/>
      <c r="W158" s="549"/>
      <c r="X158" s="541"/>
      <c r="Y158" s="547"/>
      <c r="Z158" s="548"/>
      <c r="AA158" s="549"/>
      <c r="AB158" s="541"/>
      <c r="AC158" s="547"/>
      <c r="AD158" s="548"/>
      <c r="AE158" s="549"/>
      <c r="AF158" s="541"/>
      <c r="AG158" s="547"/>
      <c r="AH158" s="548"/>
      <c r="AI158" s="549"/>
      <c r="AJ158" s="541"/>
      <c r="AK158" s="394"/>
      <c r="AL158" s="430"/>
      <c r="AM158" s="395"/>
      <c r="AN158" s="529"/>
      <c r="AO158" s="394"/>
      <c r="AP158" s="430"/>
      <c r="AQ158" s="395"/>
      <c r="AR158" s="529"/>
      <c r="AS158" s="542"/>
      <c r="AT158" s="542"/>
    </row>
    <row r="159">
      <c r="A159" s="394"/>
      <c r="B159" s="430"/>
      <c r="C159" s="395"/>
      <c r="D159" s="529"/>
      <c r="E159" s="394"/>
      <c r="F159" s="430"/>
      <c r="G159" s="395"/>
      <c r="H159" s="529"/>
      <c r="I159" s="394"/>
      <c r="J159" s="430"/>
      <c r="K159" s="395"/>
      <c r="L159" s="529"/>
      <c r="M159" s="394"/>
      <c r="N159" s="430"/>
      <c r="O159" s="395"/>
      <c r="P159" s="529"/>
      <c r="Q159" s="547"/>
      <c r="R159" s="548"/>
      <c r="S159" s="549"/>
      <c r="T159" s="541"/>
      <c r="U159" s="547"/>
      <c r="V159" s="548"/>
      <c r="W159" s="549"/>
      <c r="X159" s="541"/>
      <c r="Y159" s="547"/>
      <c r="Z159" s="548"/>
      <c r="AA159" s="549"/>
      <c r="AB159" s="541"/>
      <c r="AC159" s="547"/>
      <c r="AD159" s="548"/>
      <c r="AE159" s="549"/>
      <c r="AF159" s="541"/>
      <c r="AG159" s="547"/>
      <c r="AH159" s="548"/>
      <c r="AI159" s="549"/>
      <c r="AJ159" s="541"/>
      <c r="AK159" s="394"/>
      <c r="AL159" s="430"/>
      <c r="AM159" s="395"/>
      <c r="AN159" s="529"/>
      <c r="AO159" s="394"/>
      <c r="AP159" s="430"/>
      <c r="AQ159" s="395"/>
      <c r="AR159" s="529"/>
      <c r="AS159" s="542"/>
      <c r="AT159" s="542"/>
    </row>
    <row r="160">
      <c r="A160" s="394"/>
      <c r="B160" s="430"/>
      <c r="C160" s="395"/>
      <c r="D160" s="529"/>
      <c r="E160" s="394"/>
      <c r="F160" s="430"/>
      <c r="G160" s="395"/>
      <c r="H160" s="529"/>
      <c r="I160" s="394"/>
      <c r="J160" s="430"/>
      <c r="K160" s="395"/>
      <c r="L160" s="529"/>
      <c r="M160" s="394"/>
      <c r="N160" s="430"/>
      <c r="O160" s="395"/>
      <c r="P160" s="529"/>
      <c r="Q160" s="547"/>
      <c r="R160" s="548"/>
      <c r="S160" s="549"/>
      <c r="T160" s="541"/>
      <c r="U160" s="547"/>
      <c r="V160" s="548"/>
      <c r="W160" s="549"/>
      <c r="X160" s="541"/>
      <c r="Y160" s="547"/>
      <c r="Z160" s="548"/>
      <c r="AA160" s="549"/>
      <c r="AB160" s="541"/>
      <c r="AC160" s="547"/>
      <c r="AD160" s="548"/>
      <c r="AE160" s="549"/>
      <c r="AF160" s="541"/>
      <c r="AG160" s="547"/>
      <c r="AH160" s="548"/>
      <c r="AI160" s="549"/>
      <c r="AJ160" s="541"/>
      <c r="AK160" s="394"/>
      <c r="AL160" s="430"/>
      <c r="AM160" s="395"/>
      <c r="AN160" s="529"/>
      <c r="AO160" s="394"/>
      <c r="AP160" s="430"/>
      <c r="AQ160" s="395"/>
      <c r="AR160" s="529"/>
      <c r="AS160" s="542"/>
      <c r="AT160" s="542"/>
    </row>
    <row r="161">
      <c r="A161" s="394"/>
      <c r="B161" s="430"/>
      <c r="C161" s="395"/>
      <c r="D161" s="529"/>
      <c r="E161" s="394"/>
      <c r="F161" s="430"/>
      <c r="G161" s="395"/>
      <c r="H161" s="529"/>
      <c r="I161" s="394"/>
      <c r="J161" s="430"/>
      <c r="K161" s="395"/>
      <c r="L161" s="529"/>
      <c r="M161" s="394"/>
      <c r="N161" s="430"/>
      <c r="O161" s="395"/>
      <c r="P161" s="529"/>
      <c r="Q161" s="547"/>
      <c r="R161" s="548"/>
      <c r="S161" s="549"/>
      <c r="T161" s="541"/>
      <c r="U161" s="547"/>
      <c r="V161" s="548"/>
      <c r="W161" s="549"/>
      <c r="X161" s="541"/>
      <c r="Y161" s="547"/>
      <c r="Z161" s="548"/>
      <c r="AA161" s="549"/>
      <c r="AB161" s="541"/>
      <c r="AC161" s="547"/>
      <c r="AD161" s="548"/>
      <c r="AE161" s="549"/>
      <c r="AF161" s="541"/>
      <c r="AG161" s="547"/>
      <c r="AH161" s="548"/>
      <c r="AI161" s="549"/>
      <c r="AJ161" s="541"/>
      <c r="AK161" s="394"/>
      <c r="AL161" s="430"/>
      <c r="AM161" s="395"/>
      <c r="AN161" s="529"/>
      <c r="AO161" s="394"/>
      <c r="AP161" s="430"/>
      <c r="AQ161" s="395"/>
      <c r="AR161" s="529"/>
      <c r="AS161" s="542"/>
      <c r="AT161" s="542"/>
    </row>
    <row r="162">
      <c r="A162" s="394"/>
      <c r="B162" s="430"/>
      <c r="C162" s="395"/>
      <c r="D162" s="529"/>
      <c r="E162" s="394"/>
      <c r="F162" s="430"/>
      <c r="G162" s="395"/>
      <c r="H162" s="529"/>
      <c r="I162" s="394"/>
      <c r="J162" s="430"/>
      <c r="K162" s="395"/>
      <c r="L162" s="529"/>
      <c r="M162" s="394"/>
      <c r="N162" s="430"/>
      <c r="O162" s="395"/>
      <c r="P162" s="529"/>
      <c r="Q162" s="547"/>
      <c r="R162" s="548"/>
      <c r="S162" s="549"/>
      <c r="T162" s="541"/>
      <c r="U162" s="547"/>
      <c r="V162" s="548"/>
      <c r="W162" s="549"/>
      <c r="X162" s="541"/>
      <c r="Y162" s="547"/>
      <c r="Z162" s="548"/>
      <c r="AA162" s="549"/>
      <c r="AB162" s="541"/>
      <c r="AC162" s="547"/>
      <c r="AD162" s="548"/>
      <c r="AE162" s="549"/>
      <c r="AF162" s="541"/>
      <c r="AG162" s="547"/>
      <c r="AH162" s="548"/>
      <c r="AI162" s="549"/>
      <c r="AJ162" s="541"/>
      <c r="AK162" s="394"/>
      <c r="AL162" s="430"/>
      <c r="AM162" s="395"/>
      <c r="AN162" s="529"/>
      <c r="AO162" s="394"/>
      <c r="AP162" s="430"/>
      <c r="AQ162" s="395"/>
      <c r="AR162" s="529"/>
      <c r="AS162" s="542"/>
      <c r="AT162" s="542"/>
    </row>
    <row r="163">
      <c r="A163" s="394"/>
      <c r="B163" s="430"/>
      <c r="C163" s="395"/>
      <c r="D163" s="529"/>
      <c r="E163" s="394"/>
      <c r="F163" s="430"/>
      <c r="G163" s="395"/>
      <c r="H163" s="529"/>
      <c r="I163" s="394"/>
      <c r="J163" s="430"/>
      <c r="K163" s="395"/>
      <c r="L163" s="529"/>
      <c r="M163" s="394"/>
      <c r="N163" s="430"/>
      <c r="O163" s="395"/>
      <c r="P163" s="529"/>
      <c r="Q163" s="547"/>
      <c r="R163" s="548"/>
      <c r="S163" s="549"/>
      <c r="T163" s="541"/>
      <c r="U163" s="547"/>
      <c r="V163" s="548"/>
      <c r="W163" s="549"/>
      <c r="X163" s="541"/>
      <c r="Y163" s="547"/>
      <c r="Z163" s="548"/>
      <c r="AA163" s="549"/>
      <c r="AB163" s="541"/>
      <c r="AC163" s="547"/>
      <c r="AD163" s="548"/>
      <c r="AE163" s="549"/>
      <c r="AF163" s="541"/>
      <c r="AG163" s="547"/>
      <c r="AH163" s="548"/>
      <c r="AI163" s="549"/>
      <c r="AJ163" s="541"/>
      <c r="AK163" s="394"/>
      <c r="AL163" s="430"/>
      <c r="AM163" s="395"/>
      <c r="AN163" s="529"/>
      <c r="AO163" s="394"/>
      <c r="AP163" s="430"/>
      <c r="AQ163" s="395"/>
      <c r="AR163" s="529"/>
      <c r="AS163" s="542"/>
      <c r="AT163" s="542"/>
    </row>
    <row r="164">
      <c r="A164" s="394"/>
      <c r="B164" s="430"/>
      <c r="C164" s="395"/>
      <c r="D164" s="529"/>
      <c r="E164" s="394"/>
      <c r="F164" s="430"/>
      <c r="G164" s="395"/>
      <c r="H164" s="529"/>
      <c r="I164" s="394"/>
      <c r="J164" s="430"/>
      <c r="K164" s="395"/>
      <c r="L164" s="529"/>
      <c r="M164" s="394"/>
      <c r="N164" s="430"/>
      <c r="O164" s="395"/>
      <c r="P164" s="529"/>
      <c r="Q164" s="547"/>
      <c r="R164" s="548"/>
      <c r="S164" s="549"/>
      <c r="T164" s="541"/>
      <c r="U164" s="547"/>
      <c r="V164" s="548"/>
      <c r="W164" s="549"/>
      <c r="X164" s="541"/>
      <c r="Y164" s="547"/>
      <c r="Z164" s="548"/>
      <c r="AA164" s="549"/>
      <c r="AB164" s="541"/>
      <c r="AC164" s="547"/>
      <c r="AD164" s="548"/>
      <c r="AE164" s="549"/>
      <c r="AF164" s="541"/>
      <c r="AG164" s="547"/>
      <c r="AH164" s="548"/>
      <c r="AI164" s="549"/>
      <c r="AJ164" s="541"/>
      <c r="AK164" s="394"/>
      <c r="AL164" s="430"/>
      <c r="AM164" s="395"/>
      <c r="AN164" s="529"/>
      <c r="AO164" s="394"/>
      <c r="AP164" s="430"/>
      <c r="AQ164" s="395"/>
      <c r="AR164" s="529"/>
      <c r="AS164" s="542"/>
      <c r="AT164" s="542"/>
    </row>
    <row r="165">
      <c r="A165" s="394"/>
      <c r="B165" s="430"/>
      <c r="C165" s="395"/>
      <c r="D165" s="529"/>
      <c r="E165" s="394"/>
      <c r="F165" s="430"/>
      <c r="G165" s="395"/>
      <c r="H165" s="529"/>
      <c r="I165" s="394"/>
      <c r="J165" s="430"/>
      <c r="K165" s="395"/>
      <c r="L165" s="529"/>
      <c r="M165" s="394"/>
      <c r="N165" s="430"/>
      <c r="O165" s="395"/>
      <c r="P165" s="529"/>
      <c r="Q165" s="547"/>
      <c r="R165" s="548"/>
      <c r="S165" s="549"/>
      <c r="T165" s="541"/>
      <c r="U165" s="547"/>
      <c r="V165" s="548"/>
      <c r="W165" s="549"/>
      <c r="X165" s="541"/>
      <c r="Y165" s="547"/>
      <c r="Z165" s="548"/>
      <c r="AA165" s="549"/>
      <c r="AB165" s="541"/>
      <c r="AC165" s="547"/>
      <c r="AD165" s="548"/>
      <c r="AE165" s="549"/>
      <c r="AF165" s="541"/>
      <c r="AG165" s="547"/>
      <c r="AH165" s="548"/>
      <c r="AI165" s="549"/>
      <c r="AJ165" s="541"/>
      <c r="AK165" s="394"/>
      <c r="AL165" s="430"/>
      <c r="AM165" s="395"/>
      <c r="AN165" s="529"/>
      <c r="AO165" s="394"/>
      <c r="AP165" s="430"/>
      <c r="AQ165" s="395"/>
      <c r="AR165" s="529"/>
      <c r="AS165" s="542"/>
      <c r="AT165" s="542"/>
    </row>
    <row r="166">
      <c r="A166" s="394"/>
      <c r="B166" s="430"/>
      <c r="C166" s="395"/>
      <c r="D166" s="529"/>
      <c r="E166" s="394"/>
      <c r="F166" s="430"/>
      <c r="G166" s="395"/>
      <c r="H166" s="529"/>
      <c r="I166" s="394"/>
      <c r="J166" s="430"/>
      <c r="K166" s="395"/>
      <c r="L166" s="529"/>
      <c r="M166" s="394"/>
      <c r="N166" s="430"/>
      <c r="O166" s="395"/>
      <c r="P166" s="529"/>
      <c r="Q166" s="547"/>
      <c r="R166" s="548"/>
      <c r="S166" s="549"/>
      <c r="T166" s="541"/>
      <c r="U166" s="547"/>
      <c r="V166" s="548"/>
      <c r="W166" s="549"/>
      <c r="X166" s="541"/>
      <c r="Y166" s="547"/>
      <c r="Z166" s="548"/>
      <c r="AA166" s="549"/>
      <c r="AB166" s="541"/>
      <c r="AC166" s="547"/>
      <c r="AD166" s="548"/>
      <c r="AE166" s="549"/>
      <c r="AF166" s="541"/>
      <c r="AG166" s="547"/>
      <c r="AH166" s="548"/>
      <c r="AI166" s="549"/>
      <c r="AJ166" s="541"/>
      <c r="AK166" s="394"/>
      <c r="AL166" s="430"/>
      <c r="AM166" s="395"/>
      <c r="AN166" s="529"/>
      <c r="AO166" s="394"/>
      <c r="AP166" s="430"/>
      <c r="AQ166" s="395"/>
      <c r="AR166" s="529"/>
      <c r="AS166" s="542"/>
      <c r="AT166" s="542"/>
    </row>
    <row r="167">
      <c r="A167" s="394"/>
      <c r="B167" s="430"/>
      <c r="C167" s="395"/>
      <c r="D167" s="529"/>
      <c r="E167" s="394"/>
      <c r="F167" s="430"/>
      <c r="G167" s="395"/>
      <c r="H167" s="529"/>
      <c r="I167" s="394"/>
      <c r="J167" s="430"/>
      <c r="K167" s="395"/>
      <c r="L167" s="529"/>
      <c r="M167" s="394"/>
      <c r="N167" s="430"/>
      <c r="O167" s="395"/>
      <c r="P167" s="529"/>
      <c r="Q167" s="547"/>
      <c r="R167" s="548"/>
      <c r="S167" s="549"/>
      <c r="T167" s="541"/>
      <c r="U167" s="547"/>
      <c r="V167" s="548"/>
      <c r="W167" s="549"/>
      <c r="X167" s="541"/>
      <c r="Y167" s="547"/>
      <c r="Z167" s="548"/>
      <c r="AA167" s="549"/>
      <c r="AB167" s="541"/>
      <c r="AC167" s="547"/>
      <c r="AD167" s="548"/>
      <c r="AE167" s="549"/>
      <c r="AF167" s="541"/>
      <c r="AG167" s="547"/>
      <c r="AH167" s="548"/>
      <c r="AI167" s="549"/>
      <c r="AJ167" s="541"/>
      <c r="AK167" s="394"/>
      <c r="AL167" s="430"/>
      <c r="AM167" s="395"/>
      <c r="AN167" s="529"/>
      <c r="AO167" s="394"/>
      <c r="AP167" s="430"/>
      <c r="AQ167" s="395"/>
      <c r="AR167" s="529"/>
      <c r="AS167" s="542"/>
      <c r="AT167" s="542"/>
    </row>
    <row r="168">
      <c r="A168" s="394"/>
      <c r="B168" s="430"/>
      <c r="C168" s="395"/>
      <c r="D168" s="529"/>
      <c r="E168" s="394"/>
      <c r="F168" s="430"/>
      <c r="G168" s="395"/>
      <c r="H168" s="529"/>
      <c r="I168" s="394"/>
      <c r="J168" s="430"/>
      <c r="K168" s="395"/>
      <c r="L168" s="529"/>
      <c r="M168" s="394"/>
      <c r="N168" s="430"/>
      <c r="O168" s="395"/>
      <c r="P168" s="529"/>
      <c r="Q168" s="547"/>
      <c r="R168" s="548"/>
      <c r="S168" s="549"/>
      <c r="T168" s="541"/>
      <c r="U168" s="547"/>
      <c r="V168" s="548"/>
      <c r="W168" s="549"/>
      <c r="X168" s="541"/>
      <c r="Y168" s="547"/>
      <c r="Z168" s="548"/>
      <c r="AA168" s="549"/>
      <c r="AB168" s="541"/>
      <c r="AC168" s="547"/>
      <c r="AD168" s="548"/>
      <c r="AE168" s="549"/>
      <c r="AF168" s="541"/>
      <c r="AG168" s="547"/>
      <c r="AH168" s="548"/>
      <c r="AI168" s="549"/>
      <c r="AJ168" s="541"/>
      <c r="AK168" s="394"/>
      <c r="AL168" s="430"/>
      <c r="AM168" s="395"/>
      <c r="AN168" s="529"/>
      <c r="AO168" s="394"/>
      <c r="AP168" s="430"/>
      <c r="AQ168" s="395"/>
      <c r="AR168" s="529"/>
      <c r="AS168" s="542"/>
      <c r="AT168" s="542"/>
    </row>
    <row r="169">
      <c r="A169" s="394"/>
      <c r="B169" s="430"/>
      <c r="C169" s="395"/>
      <c r="D169" s="529"/>
      <c r="E169" s="394"/>
      <c r="F169" s="430"/>
      <c r="G169" s="395"/>
      <c r="H169" s="529"/>
      <c r="I169" s="394"/>
      <c r="J169" s="430"/>
      <c r="K169" s="395"/>
      <c r="L169" s="529"/>
      <c r="M169" s="394"/>
      <c r="N169" s="430"/>
      <c r="O169" s="395"/>
      <c r="P169" s="529"/>
      <c r="Q169" s="547"/>
      <c r="R169" s="548"/>
      <c r="S169" s="549"/>
      <c r="T169" s="541"/>
      <c r="U169" s="547"/>
      <c r="V169" s="548"/>
      <c r="W169" s="549"/>
      <c r="X169" s="541"/>
      <c r="Y169" s="547"/>
      <c r="Z169" s="548"/>
      <c r="AA169" s="549"/>
      <c r="AB169" s="541"/>
      <c r="AC169" s="547"/>
      <c r="AD169" s="548"/>
      <c r="AE169" s="549"/>
      <c r="AF169" s="541"/>
      <c r="AG169" s="547"/>
      <c r="AH169" s="548"/>
      <c r="AI169" s="549"/>
      <c r="AJ169" s="541"/>
      <c r="AK169" s="394"/>
      <c r="AL169" s="430"/>
      <c r="AM169" s="395"/>
      <c r="AN169" s="529"/>
      <c r="AO169" s="394"/>
      <c r="AP169" s="430"/>
      <c r="AQ169" s="395"/>
      <c r="AR169" s="529"/>
      <c r="AS169" s="542"/>
      <c r="AT169" s="542"/>
    </row>
    <row r="170">
      <c r="A170" s="394"/>
      <c r="B170" s="430"/>
      <c r="C170" s="395"/>
      <c r="D170" s="529"/>
      <c r="E170" s="394"/>
      <c r="F170" s="430"/>
      <c r="G170" s="395"/>
      <c r="H170" s="529"/>
      <c r="I170" s="394"/>
      <c r="J170" s="430"/>
      <c r="K170" s="395"/>
      <c r="L170" s="529"/>
      <c r="M170" s="394"/>
      <c r="N170" s="430"/>
      <c r="O170" s="395"/>
      <c r="P170" s="529"/>
      <c r="Q170" s="547"/>
      <c r="R170" s="548"/>
      <c r="S170" s="549"/>
      <c r="T170" s="541"/>
      <c r="U170" s="547"/>
      <c r="V170" s="548"/>
      <c r="W170" s="549"/>
      <c r="X170" s="541"/>
      <c r="Y170" s="547"/>
      <c r="Z170" s="548"/>
      <c r="AA170" s="549"/>
      <c r="AB170" s="541"/>
      <c r="AC170" s="547"/>
      <c r="AD170" s="548"/>
      <c r="AE170" s="549"/>
      <c r="AF170" s="541"/>
      <c r="AG170" s="547"/>
      <c r="AH170" s="548"/>
      <c r="AI170" s="549"/>
      <c r="AJ170" s="541"/>
      <c r="AK170" s="394"/>
      <c r="AL170" s="430"/>
      <c r="AM170" s="395"/>
      <c r="AN170" s="529"/>
      <c r="AO170" s="394"/>
      <c r="AP170" s="430"/>
      <c r="AQ170" s="395"/>
      <c r="AR170" s="529"/>
      <c r="AS170" s="542"/>
      <c r="AT170" s="542"/>
    </row>
    <row r="171">
      <c r="A171" s="394"/>
      <c r="B171" s="430"/>
      <c r="C171" s="395"/>
      <c r="D171" s="529"/>
      <c r="E171" s="394"/>
      <c r="F171" s="430"/>
      <c r="G171" s="395"/>
      <c r="H171" s="529"/>
      <c r="I171" s="394"/>
      <c r="J171" s="430"/>
      <c r="K171" s="395"/>
      <c r="L171" s="529"/>
      <c r="M171" s="394"/>
      <c r="N171" s="430"/>
      <c r="O171" s="395"/>
      <c r="P171" s="529"/>
      <c r="Q171" s="547"/>
      <c r="R171" s="548"/>
      <c r="S171" s="549"/>
      <c r="T171" s="541"/>
      <c r="U171" s="547"/>
      <c r="V171" s="548"/>
      <c r="W171" s="549"/>
      <c r="X171" s="541"/>
      <c r="Y171" s="547"/>
      <c r="Z171" s="548"/>
      <c r="AA171" s="549"/>
      <c r="AB171" s="541"/>
      <c r="AC171" s="547"/>
      <c r="AD171" s="548"/>
      <c r="AE171" s="549"/>
      <c r="AF171" s="541"/>
      <c r="AG171" s="547"/>
      <c r="AH171" s="548"/>
      <c r="AI171" s="549"/>
      <c r="AJ171" s="541"/>
      <c r="AK171" s="394"/>
      <c r="AL171" s="430"/>
      <c r="AM171" s="395"/>
      <c r="AN171" s="529"/>
      <c r="AO171" s="394"/>
      <c r="AP171" s="430"/>
      <c r="AQ171" s="395"/>
      <c r="AR171" s="529"/>
      <c r="AS171" s="542"/>
      <c r="AT171" s="542"/>
    </row>
    <row r="172">
      <c r="A172" s="394"/>
      <c r="B172" s="430"/>
      <c r="C172" s="395"/>
      <c r="D172" s="529"/>
      <c r="E172" s="394"/>
      <c r="F172" s="430"/>
      <c r="G172" s="395"/>
      <c r="H172" s="529"/>
      <c r="I172" s="394"/>
      <c r="J172" s="430"/>
      <c r="K172" s="395"/>
      <c r="L172" s="529"/>
      <c r="M172" s="394"/>
      <c r="N172" s="430"/>
      <c r="O172" s="395"/>
      <c r="P172" s="529"/>
      <c r="Q172" s="547"/>
      <c r="R172" s="548"/>
      <c r="S172" s="549"/>
      <c r="T172" s="541"/>
      <c r="U172" s="547"/>
      <c r="V172" s="548"/>
      <c r="W172" s="549"/>
      <c r="X172" s="541"/>
      <c r="Y172" s="547"/>
      <c r="Z172" s="548"/>
      <c r="AA172" s="549"/>
      <c r="AB172" s="541"/>
      <c r="AC172" s="547"/>
      <c r="AD172" s="548"/>
      <c r="AE172" s="549"/>
      <c r="AF172" s="541"/>
      <c r="AG172" s="547"/>
      <c r="AH172" s="548"/>
      <c r="AI172" s="549"/>
      <c r="AJ172" s="541"/>
      <c r="AK172" s="394"/>
      <c r="AL172" s="430"/>
      <c r="AM172" s="395"/>
      <c r="AN172" s="529"/>
      <c r="AO172" s="394"/>
      <c r="AP172" s="430"/>
      <c r="AQ172" s="395"/>
      <c r="AR172" s="529"/>
      <c r="AS172" s="542"/>
      <c r="AT172" s="542"/>
    </row>
    <row r="173">
      <c r="A173" s="394"/>
      <c r="B173" s="430"/>
      <c r="C173" s="395"/>
      <c r="D173" s="529"/>
      <c r="E173" s="394"/>
      <c r="F173" s="430"/>
      <c r="G173" s="395"/>
      <c r="H173" s="529"/>
      <c r="I173" s="394"/>
      <c r="J173" s="430"/>
      <c r="K173" s="395"/>
      <c r="L173" s="529"/>
      <c r="M173" s="394"/>
      <c r="N173" s="430"/>
      <c r="O173" s="395"/>
      <c r="P173" s="529"/>
      <c r="Q173" s="547"/>
      <c r="R173" s="548"/>
      <c r="S173" s="549"/>
      <c r="T173" s="541"/>
      <c r="U173" s="547"/>
      <c r="V173" s="548"/>
      <c r="W173" s="549"/>
      <c r="X173" s="541"/>
      <c r="Y173" s="547"/>
      <c r="Z173" s="548"/>
      <c r="AA173" s="549"/>
      <c r="AB173" s="541"/>
      <c r="AC173" s="547"/>
      <c r="AD173" s="548"/>
      <c r="AE173" s="549"/>
      <c r="AF173" s="541"/>
      <c r="AG173" s="547"/>
      <c r="AH173" s="548"/>
      <c r="AI173" s="549"/>
      <c r="AJ173" s="541"/>
      <c r="AK173" s="394"/>
      <c r="AL173" s="430"/>
      <c r="AM173" s="395"/>
      <c r="AN173" s="529"/>
      <c r="AO173" s="394"/>
      <c r="AP173" s="430"/>
      <c r="AQ173" s="395"/>
      <c r="AR173" s="529"/>
      <c r="AS173" s="542"/>
      <c r="AT173" s="542"/>
    </row>
    <row r="174">
      <c r="A174" s="394"/>
      <c r="B174" s="430"/>
      <c r="C174" s="395"/>
      <c r="D174" s="529"/>
      <c r="E174" s="394"/>
      <c r="F174" s="430"/>
      <c r="G174" s="395"/>
      <c r="H174" s="529"/>
      <c r="I174" s="394"/>
      <c r="J174" s="430"/>
      <c r="K174" s="395"/>
      <c r="L174" s="529"/>
      <c r="M174" s="394"/>
      <c r="N174" s="430"/>
      <c r="O174" s="395"/>
      <c r="P174" s="529"/>
      <c r="Q174" s="547"/>
      <c r="R174" s="548"/>
      <c r="S174" s="549"/>
      <c r="T174" s="541"/>
      <c r="U174" s="547"/>
      <c r="V174" s="548"/>
      <c r="W174" s="549"/>
      <c r="X174" s="541"/>
      <c r="Y174" s="547"/>
      <c r="Z174" s="548"/>
      <c r="AA174" s="549"/>
      <c r="AB174" s="541"/>
      <c r="AC174" s="547"/>
      <c r="AD174" s="548"/>
      <c r="AE174" s="549"/>
      <c r="AF174" s="541"/>
      <c r="AG174" s="547"/>
      <c r="AH174" s="548"/>
      <c r="AI174" s="549"/>
      <c r="AJ174" s="541"/>
      <c r="AK174" s="394"/>
      <c r="AL174" s="430"/>
      <c r="AM174" s="395"/>
      <c r="AN174" s="529"/>
      <c r="AO174" s="394"/>
      <c r="AP174" s="430"/>
      <c r="AQ174" s="395"/>
      <c r="AR174" s="529"/>
      <c r="AS174" s="542"/>
      <c r="AT174" s="542"/>
    </row>
    <row r="175">
      <c r="A175" s="394"/>
      <c r="B175" s="430"/>
      <c r="C175" s="395"/>
      <c r="D175" s="529"/>
      <c r="E175" s="394"/>
      <c r="F175" s="430"/>
      <c r="G175" s="395"/>
      <c r="H175" s="529"/>
      <c r="I175" s="394"/>
      <c r="J175" s="430"/>
      <c r="K175" s="395"/>
      <c r="L175" s="529"/>
      <c r="M175" s="394"/>
      <c r="N175" s="430"/>
      <c r="O175" s="395"/>
      <c r="P175" s="529"/>
      <c r="Q175" s="547"/>
      <c r="R175" s="548"/>
      <c r="S175" s="549"/>
      <c r="T175" s="541"/>
      <c r="U175" s="547"/>
      <c r="V175" s="548"/>
      <c r="W175" s="549"/>
      <c r="X175" s="541"/>
      <c r="Y175" s="547"/>
      <c r="Z175" s="548"/>
      <c r="AA175" s="549"/>
      <c r="AB175" s="541"/>
      <c r="AC175" s="547"/>
      <c r="AD175" s="548"/>
      <c r="AE175" s="549"/>
      <c r="AF175" s="541"/>
      <c r="AG175" s="547"/>
      <c r="AH175" s="548"/>
      <c r="AI175" s="549"/>
      <c r="AJ175" s="541"/>
      <c r="AK175" s="394"/>
      <c r="AL175" s="430"/>
      <c r="AM175" s="395"/>
      <c r="AN175" s="529"/>
      <c r="AO175" s="394"/>
      <c r="AP175" s="430"/>
      <c r="AQ175" s="395"/>
      <c r="AR175" s="529"/>
      <c r="AS175" s="542"/>
      <c r="AT175" s="542"/>
    </row>
    <row r="176">
      <c r="A176" s="394"/>
      <c r="B176" s="430"/>
      <c r="C176" s="395"/>
      <c r="D176" s="529"/>
      <c r="E176" s="394"/>
      <c r="F176" s="430"/>
      <c r="G176" s="395"/>
      <c r="H176" s="529"/>
      <c r="I176" s="394"/>
      <c r="J176" s="430"/>
      <c r="K176" s="395"/>
      <c r="L176" s="529"/>
      <c r="M176" s="394"/>
      <c r="N176" s="430"/>
      <c r="O176" s="395"/>
      <c r="P176" s="529"/>
      <c r="Q176" s="547"/>
      <c r="R176" s="548"/>
      <c r="S176" s="549"/>
      <c r="T176" s="541"/>
      <c r="U176" s="547"/>
      <c r="V176" s="548"/>
      <c r="W176" s="549"/>
      <c r="X176" s="541"/>
      <c r="Y176" s="547"/>
      <c r="Z176" s="548"/>
      <c r="AA176" s="549"/>
      <c r="AB176" s="541"/>
      <c r="AC176" s="547"/>
      <c r="AD176" s="548"/>
      <c r="AE176" s="549"/>
      <c r="AF176" s="541"/>
      <c r="AG176" s="547"/>
      <c r="AH176" s="548"/>
      <c r="AI176" s="549"/>
      <c r="AJ176" s="541"/>
      <c r="AK176" s="394"/>
      <c r="AL176" s="430"/>
      <c r="AM176" s="395"/>
      <c r="AN176" s="529"/>
      <c r="AO176" s="394"/>
      <c r="AP176" s="430"/>
      <c r="AQ176" s="395"/>
      <c r="AR176" s="529"/>
      <c r="AS176" s="542"/>
      <c r="AT176" s="542"/>
    </row>
    <row r="177">
      <c r="A177" s="394"/>
      <c r="B177" s="430"/>
      <c r="C177" s="395"/>
      <c r="D177" s="529"/>
      <c r="E177" s="394"/>
      <c r="F177" s="430"/>
      <c r="G177" s="395"/>
      <c r="H177" s="529"/>
      <c r="I177" s="394"/>
      <c r="J177" s="430"/>
      <c r="K177" s="395"/>
      <c r="L177" s="529"/>
      <c r="M177" s="394"/>
      <c r="N177" s="430"/>
      <c r="O177" s="395"/>
      <c r="P177" s="529"/>
      <c r="Q177" s="547"/>
      <c r="R177" s="548"/>
      <c r="S177" s="549"/>
      <c r="T177" s="541"/>
      <c r="U177" s="547"/>
      <c r="V177" s="548"/>
      <c r="W177" s="549"/>
      <c r="X177" s="541"/>
      <c r="Y177" s="547"/>
      <c r="Z177" s="548"/>
      <c r="AA177" s="549"/>
      <c r="AB177" s="541"/>
      <c r="AC177" s="547"/>
      <c r="AD177" s="548"/>
      <c r="AE177" s="549"/>
      <c r="AF177" s="541"/>
      <c r="AG177" s="547"/>
      <c r="AH177" s="548"/>
      <c r="AI177" s="549"/>
      <c r="AJ177" s="541"/>
      <c r="AK177" s="394"/>
      <c r="AL177" s="430"/>
      <c r="AM177" s="395"/>
      <c r="AN177" s="529"/>
      <c r="AO177" s="394"/>
      <c r="AP177" s="430"/>
      <c r="AQ177" s="395"/>
      <c r="AR177" s="529"/>
      <c r="AS177" s="542"/>
      <c r="AT177" s="542"/>
    </row>
    <row r="178">
      <c r="A178" s="394"/>
      <c r="B178" s="430"/>
      <c r="C178" s="395"/>
      <c r="D178" s="529"/>
      <c r="E178" s="394"/>
      <c r="F178" s="430"/>
      <c r="G178" s="395"/>
      <c r="H178" s="529"/>
      <c r="I178" s="394"/>
      <c r="J178" s="430"/>
      <c r="K178" s="395"/>
      <c r="L178" s="529"/>
      <c r="M178" s="394"/>
      <c r="N178" s="430"/>
      <c r="O178" s="395"/>
      <c r="P178" s="529"/>
      <c r="Q178" s="547"/>
      <c r="R178" s="548"/>
      <c r="S178" s="549"/>
      <c r="T178" s="541"/>
      <c r="U178" s="547"/>
      <c r="V178" s="548"/>
      <c r="W178" s="549"/>
      <c r="X178" s="541"/>
      <c r="Y178" s="547"/>
      <c r="Z178" s="548"/>
      <c r="AA178" s="549"/>
      <c r="AB178" s="541"/>
      <c r="AC178" s="547"/>
      <c r="AD178" s="548"/>
      <c r="AE178" s="549"/>
      <c r="AF178" s="541"/>
      <c r="AG178" s="547"/>
      <c r="AH178" s="548"/>
      <c r="AI178" s="549"/>
      <c r="AJ178" s="541"/>
      <c r="AK178" s="394"/>
      <c r="AL178" s="430"/>
      <c r="AM178" s="395"/>
      <c r="AN178" s="529"/>
      <c r="AO178" s="394"/>
      <c r="AP178" s="430"/>
      <c r="AQ178" s="395"/>
      <c r="AR178" s="529"/>
      <c r="AS178" s="542"/>
      <c r="AT178" s="542"/>
    </row>
    <row r="179">
      <c r="A179" s="394"/>
      <c r="B179" s="430"/>
      <c r="C179" s="395"/>
      <c r="D179" s="529"/>
      <c r="E179" s="394"/>
      <c r="F179" s="430"/>
      <c r="G179" s="395"/>
      <c r="H179" s="529"/>
      <c r="I179" s="394"/>
      <c r="J179" s="430"/>
      <c r="K179" s="395"/>
      <c r="L179" s="529"/>
      <c r="M179" s="394"/>
      <c r="N179" s="430"/>
      <c r="O179" s="395"/>
      <c r="P179" s="529"/>
      <c r="Q179" s="547"/>
      <c r="R179" s="548"/>
      <c r="S179" s="549"/>
      <c r="T179" s="541"/>
      <c r="U179" s="547"/>
      <c r="V179" s="548"/>
      <c r="W179" s="549"/>
      <c r="X179" s="541"/>
      <c r="Y179" s="547"/>
      <c r="Z179" s="548"/>
      <c r="AA179" s="549"/>
      <c r="AB179" s="541"/>
      <c r="AC179" s="547"/>
      <c r="AD179" s="548"/>
      <c r="AE179" s="549"/>
      <c r="AF179" s="541"/>
      <c r="AG179" s="547"/>
      <c r="AH179" s="548"/>
      <c r="AI179" s="549"/>
      <c r="AJ179" s="541"/>
      <c r="AK179" s="394"/>
      <c r="AL179" s="430"/>
      <c r="AM179" s="395"/>
      <c r="AN179" s="529"/>
      <c r="AO179" s="394"/>
      <c r="AP179" s="430"/>
      <c r="AQ179" s="395"/>
      <c r="AR179" s="529"/>
      <c r="AS179" s="542"/>
      <c r="AT179" s="542"/>
    </row>
    <row r="180">
      <c r="A180" s="394"/>
      <c r="B180" s="430"/>
      <c r="C180" s="395"/>
      <c r="D180" s="529"/>
      <c r="E180" s="394"/>
      <c r="F180" s="430"/>
      <c r="G180" s="395"/>
      <c r="H180" s="529"/>
      <c r="I180" s="394"/>
      <c r="J180" s="430"/>
      <c r="K180" s="395"/>
      <c r="L180" s="529"/>
      <c r="M180" s="394"/>
      <c r="N180" s="430"/>
      <c r="O180" s="395"/>
      <c r="P180" s="529"/>
      <c r="Q180" s="547"/>
      <c r="R180" s="548"/>
      <c r="S180" s="549"/>
      <c r="T180" s="541"/>
      <c r="U180" s="547"/>
      <c r="V180" s="548"/>
      <c r="W180" s="549"/>
      <c r="X180" s="541"/>
      <c r="Y180" s="547"/>
      <c r="Z180" s="548"/>
      <c r="AA180" s="549"/>
      <c r="AB180" s="541"/>
      <c r="AC180" s="547"/>
      <c r="AD180" s="548"/>
      <c r="AE180" s="549"/>
      <c r="AF180" s="541"/>
      <c r="AG180" s="547"/>
      <c r="AH180" s="548"/>
      <c r="AI180" s="549"/>
      <c r="AJ180" s="541"/>
      <c r="AK180" s="394"/>
      <c r="AL180" s="430"/>
      <c r="AM180" s="395"/>
      <c r="AN180" s="529"/>
      <c r="AO180" s="394"/>
      <c r="AP180" s="430"/>
      <c r="AQ180" s="395"/>
      <c r="AR180" s="529"/>
      <c r="AS180" s="542"/>
      <c r="AT180" s="542"/>
    </row>
    <row r="181">
      <c r="A181" s="394"/>
      <c r="B181" s="430"/>
      <c r="C181" s="395"/>
      <c r="D181" s="529"/>
      <c r="E181" s="394"/>
      <c r="F181" s="430"/>
      <c r="G181" s="395"/>
      <c r="H181" s="529"/>
      <c r="I181" s="394"/>
      <c r="J181" s="430"/>
      <c r="K181" s="395"/>
      <c r="L181" s="529"/>
      <c r="M181" s="394"/>
      <c r="N181" s="430"/>
      <c r="O181" s="395"/>
      <c r="P181" s="529"/>
      <c r="Q181" s="547"/>
      <c r="R181" s="548"/>
      <c r="S181" s="549"/>
      <c r="T181" s="541"/>
      <c r="U181" s="547"/>
      <c r="V181" s="548"/>
      <c r="W181" s="549"/>
      <c r="X181" s="541"/>
      <c r="Y181" s="547"/>
      <c r="Z181" s="548"/>
      <c r="AA181" s="549"/>
      <c r="AB181" s="541"/>
      <c r="AC181" s="547"/>
      <c r="AD181" s="548"/>
      <c r="AE181" s="549"/>
      <c r="AF181" s="541"/>
      <c r="AG181" s="547"/>
      <c r="AH181" s="548"/>
      <c r="AI181" s="549"/>
      <c r="AJ181" s="541"/>
      <c r="AK181" s="394"/>
      <c r="AL181" s="430"/>
      <c r="AM181" s="395"/>
      <c r="AN181" s="529"/>
      <c r="AO181" s="394"/>
      <c r="AP181" s="430"/>
      <c r="AQ181" s="395"/>
      <c r="AR181" s="529"/>
      <c r="AS181" s="542"/>
      <c r="AT181" s="542"/>
    </row>
    <row r="182">
      <c r="A182" s="394"/>
      <c r="B182" s="430"/>
      <c r="C182" s="395"/>
      <c r="D182" s="529"/>
      <c r="E182" s="394"/>
      <c r="F182" s="430"/>
      <c r="G182" s="395"/>
      <c r="H182" s="529"/>
      <c r="I182" s="394"/>
      <c r="J182" s="430"/>
      <c r="K182" s="395"/>
      <c r="L182" s="529"/>
      <c r="M182" s="394"/>
      <c r="N182" s="430"/>
      <c r="O182" s="395"/>
      <c r="P182" s="529"/>
      <c r="Q182" s="547"/>
      <c r="R182" s="548"/>
      <c r="S182" s="549"/>
      <c r="T182" s="541"/>
      <c r="U182" s="547"/>
      <c r="V182" s="548"/>
      <c r="W182" s="549"/>
      <c r="X182" s="541"/>
      <c r="Y182" s="547"/>
      <c r="Z182" s="548"/>
      <c r="AA182" s="549"/>
      <c r="AB182" s="541"/>
      <c r="AC182" s="547"/>
      <c r="AD182" s="548"/>
      <c r="AE182" s="549"/>
      <c r="AF182" s="541"/>
      <c r="AG182" s="547"/>
      <c r="AH182" s="548"/>
      <c r="AI182" s="549"/>
      <c r="AJ182" s="541"/>
      <c r="AK182" s="394"/>
      <c r="AL182" s="430"/>
      <c r="AM182" s="395"/>
      <c r="AN182" s="529"/>
      <c r="AO182" s="394"/>
      <c r="AP182" s="430"/>
      <c r="AQ182" s="395"/>
      <c r="AR182" s="529"/>
      <c r="AS182" s="542"/>
      <c r="AT182" s="542"/>
    </row>
    <row r="183">
      <c r="A183" s="394"/>
      <c r="B183" s="430"/>
      <c r="C183" s="395"/>
      <c r="D183" s="529"/>
      <c r="E183" s="394"/>
      <c r="F183" s="430"/>
      <c r="G183" s="395"/>
      <c r="H183" s="529"/>
      <c r="I183" s="394"/>
      <c r="J183" s="430"/>
      <c r="K183" s="395"/>
      <c r="L183" s="529"/>
      <c r="M183" s="394"/>
      <c r="N183" s="430"/>
      <c r="O183" s="395"/>
      <c r="P183" s="529"/>
      <c r="Q183" s="547"/>
      <c r="R183" s="548"/>
      <c r="S183" s="549"/>
      <c r="T183" s="541"/>
      <c r="U183" s="547"/>
      <c r="V183" s="548"/>
      <c r="W183" s="549"/>
      <c r="X183" s="541"/>
      <c r="Y183" s="547"/>
      <c r="Z183" s="548"/>
      <c r="AA183" s="549"/>
      <c r="AB183" s="541"/>
      <c r="AC183" s="547"/>
      <c r="AD183" s="548"/>
      <c r="AE183" s="549"/>
      <c r="AF183" s="541"/>
      <c r="AG183" s="547"/>
      <c r="AH183" s="548"/>
      <c r="AI183" s="549"/>
      <c r="AJ183" s="541"/>
      <c r="AK183" s="394"/>
      <c r="AL183" s="430"/>
      <c r="AM183" s="395"/>
      <c r="AN183" s="529"/>
      <c r="AO183" s="394"/>
      <c r="AP183" s="430"/>
      <c r="AQ183" s="395"/>
      <c r="AR183" s="529"/>
      <c r="AS183" s="542"/>
      <c r="AT183" s="542"/>
    </row>
    <row r="184">
      <c r="A184" s="394"/>
      <c r="B184" s="430"/>
      <c r="C184" s="395"/>
      <c r="D184" s="529"/>
      <c r="E184" s="394"/>
      <c r="F184" s="430"/>
      <c r="G184" s="395"/>
      <c r="H184" s="529"/>
      <c r="I184" s="394"/>
      <c r="J184" s="430"/>
      <c r="K184" s="395"/>
      <c r="L184" s="529"/>
      <c r="M184" s="394"/>
      <c r="N184" s="430"/>
      <c r="O184" s="395"/>
      <c r="P184" s="529"/>
      <c r="Q184" s="547"/>
      <c r="R184" s="548"/>
      <c r="S184" s="549"/>
      <c r="T184" s="541"/>
      <c r="U184" s="547"/>
      <c r="V184" s="548"/>
      <c r="W184" s="549"/>
      <c r="X184" s="541"/>
      <c r="Y184" s="547"/>
      <c r="Z184" s="548"/>
      <c r="AA184" s="549"/>
      <c r="AB184" s="541"/>
      <c r="AC184" s="547"/>
      <c r="AD184" s="548"/>
      <c r="AE184" s="549"/>
      <c r="AF184" s="541"/>
      <c r="AG184" s="547"/>
      <c r="AH184" s="548"/>
      <c r="AI184" s="549"/>
      <c r="AJ184" s="541"/>
      <c r="AK184" s="394"/>
      <c r="AL184" s="430"/>
      <c r="AM184" s="395"/>
      <c r="AN184" s="529"/>
      <c r="AO184" s="394"/>
      <c r="AP184" s="430"/>
      <c r="AQ184" s="395"/>
      <c r="AR184" s="529"/>
      <c r="AS184" s="542"/>
      <c r="AT184" s="542"/>
    </row>
    <row r="185">
      <c r="A185" s="394"/>
      <c r="B185" s="430"/>
      <c r="C185" s="395"/>
      <c r="D185" s="529"/>
      <c r="E185" s="394"/>
      <c r="F185" s="430"/>
      <c r="G185" s="395"/>
      <c r="H185" s="529"/>
      <c r="I185" s="394"/>
      <c r="J185" s="430"/>
      <c r="K185" s="395"/>
      <c r="L185" s="529"/>
      <c r="M185" s="394"/>
      <c r="N185" s="430"/>
      <c r="O185" s="395"/>
      <c r="P185" s="529"/>
      <c r="Q185" s="547"/>
      <c r="R185" s="548"/>
      <c r="S185" s="549"/>
      <c r="T185" s="541"/>
      <c r="U185" s="547"/>
      <c r="V185" s="548"/>
      <c r="W185" s="549"/>
      <c r="X185" s="541"/>
      <c r="Y185" s="547"/>
      <c r="Z185" s="548"/>
      <c r="AA185" s="549"/>
      <c r="AB185" s="541"/>
      <c r="AC185" s="547"/>
      <c r="AD185" s="548"/>
      <c r="AE185" s="549"/>
      <c r="AF185" s="541"/>
      <c r="AG185" s="547"/>
      <c r="AH185" s="548"/>
      <c r="AI185" s="549"/>
      <c r="AJ185" s="541"/>
      <c r="AK185" s="394"/>
      <c r="AL185" s="430"/>
      <c r="AM185" s="395"/>
      <c r="AN185" s="529"/>
      <c r="AO185" s="394"/>
      <c r="AP185" s="430"/>
      <c r="AQ185" s="395"/>
      <c r="AR185" s="529"/>
      <c r="AS185" s="542"/>
      <c r="AT185" s="542"/>
    </row>
    <row r="186">
      <c r="A186" s="394"/>
      <c r="B186" s="430"/>
      <c r="C186" s="395"/>
      <c r="D186" s="529"/>
      <c r="E186" s="394"/>
      <c r="F186" s="430"/>
      <c r="G186" s="395"/>
      <c r="H186" s="529"/>
      <c r="I186" s="394"/>
      <c r="J186" s="430"/>
      <c r="K186" s="395"/>
      <c r="L186" s="529"/>
      <c r="M186" s="394"/>
      <c r="N186" s="430"/>
      <c r="O186" s="395"/>
      <c r="P186" s="529"/>
      <c r="Q186" s="547"/>
      <c r="R186" s="548"/>
      <c r="S186" s="549"/>
      <c r="T186" s="541"/>
      <c r="U186" s="547"/>
      <c r="V186" s="548"/>
      <c r="W186" s="549"/>
      <c r="X186" s="541"/>
      <c r="Y186" s="547"/>
      <c r="Z186" s="548"/>
      <c r="AA186" s="549"/>
      <c r="AB186" s="541"/>
      <c r="AC186" s="547"/>
      <c r="AD186" s="548"/>
      <c r="AE186" s="549"/>
      <c r="AF186" s="541"/>
      <c r="AG186" s="547"/>
      <c r="AH186" s="548"/>
      <c r="AI186" s="549"/>
      <c r="AJ186" s="541"/>
      <c r="AK186" s="394"/>
      <c r="AL186" s="430"/>
      <c r="AM186" s="395"/>
      <c r="AN186" s="529"/>
      <c r="AO186" s="394"/>
      <c r="AP186" s="430"/>
      <c r="AQ186" s="395"/>
      <c r="AR186" s="529"/>
      <c r="AS186" s="542"/>
      <c r="AT186" s="542"/>
    </row>
    <row r="187">
      <c r="A187" s="394"/>
      <c r="B187" s="430"/>
      <c r="C187" s="395"/>
      <c r="D187" s="529"/>
      <c r="E187" s="394"/>
      <c r="F187" s="430"/>
      <c r="G187" s="395"/>
      <c r="H187" s="529"/>
      <c r="I187" s="394"/>
      <c r="J187" s="430"/>
      <c r="K187" s="395"/>
      <c r="L187" s="529"/>
      <c r="M187" s="394"/>
      <c r="N187" s="430"/>
      <c r="O187" s="395"/>
      <c r="P187" s="529"/>
      <c r="Q187" s="547"/>
      <c r="R187" s="548"/>
      <c r="S187" s="549"/>
      <c r="T187" s="541"/>
      <c r="U187" s="547"/>
      <c r="V187" s="548"/>
      <c r="W187" s="549"/>
      <c r="X187" s="541"/>
      <c r="Y187" s="547"/>
      <c r="Z187" s="548"/>
      <c r="AA187" s="549"/>
      <c r="AB187" s="541"/>
      <c r="AC187" s="547"/>
      <c r="AD187" s="548"/>
      <c r="AE187" s="549"/>
      <c r="AF187" s="541"/>
      <c r="AG187" s="547"/>
      <c r="AH187" s="548"/>
      <c r="AI187" s="549"/>
      <c r="AJ187" s="541"/>
      <c r="AK187" s="394"/>
      <c r="AL187" s="430"/>
      <c r="AM187" s="395"/>
      <c r="AN187" s="529"/>
      <c r="AO187" s="394"/>
      <c r="AP187" s="430"/>
      <c r="AQ187" s="395"/>
      <c r="AR187" s="529"/>
      <c r="AS187" s="542"/>
      <c r="AT187" s="542"/>
    </row>
    <row r="188">
      <c r="A188" s="394"/>
      <c r="B188" s="430"/>
      <c r="C188" s="395"/>
      <c r="D188" s="529"/>
      <c r="E188" s="394"/>
      <c r="F188" s="430"/>
      <c r="G188" s="395"/>
      <c r="H188" s="529"/>
      <c r="I188" s="394"/>
      <c r="J188" s="430"/>
      <c r="K188" s="395"/>
      <c r="L188" s="529"/>
      <c r="M188" s="394"/>
      <c r="N188" s="430"/>
      <c r="O188" s="395"/>
      <c r="P188" s="529"/>
      <c r="Q188" s="547"/>
      <c r="R188" s="548"/>
      <c r="S188" s="549"/>
      <c r="T188" s="541"/>
      <c r="U188" s="547"/>
      <c r="V188" s="548"/>
      <c r="W188" s="549"/>
      <c r="X188" s="541"/>
      <c r="Y188" s="547"/>
      <c r="Z188" s="548"/>
      <c r="AA188" s="549"/>
      <c r="AB188" s="541"/>
      <c r="AC188" s="547"/>
      <c r="AD188" s="548"/>
      <c r="AE188" s="549"/>
      <c r="AF188" s="541"/>
      <c r="AG188" s="547"/>
      <c r="AH188" s="548"/>
      <c r="AI188" s="549"/>
      <c r="AJ188" s="541"/>
      <c r="AK188" s="394"/>
      <c r="AL188" s="430"/>
      <c r="AM188" s="395"/>
      <c r="AN188" s="529"/>
      <c r="AO188" s="394"/>
      <c r="AP188" s="430"/>
      <c r="AQ188" s="395"/>
      <c r="AR188" s="529"/>
      <c r="AS188" s="542"/>
      <c r="AT188" s="542"/>
    </row>
    <row r="189">
      <c r="A189" s="394"/>
      <c r="B189" s="430"/>
      <c r="C189" s="395"/>
      <c r="D189" s="529"/>
      <c r="E189" s="394"/>
      <c r="F189" s="430"/>
      <c r="G189" s="395"/>
      <c r="H189" s="529"/>
      <c r="I189" s="394"/>
      <c r="J189" s="430"/>
      <c r="K189" s="395"/>
      <c r="L189" s="529"/>
      <c r="M189" s="394"/>
      <c r="N189" s="430"/>
      <c r="O189" s="395"/>
      <c r="P189" s="529"/>
      <c r="Q189" s="547"/>
      <c r="R189" s="548"/>
      <c r="S189" s="549"/>
      <c r="T189" s="541"/>
      <c r="U189" s="547"/>
      <c r="V189" s="548"/>
      <c r="W189" s="549"/>
      <c r="X189" s="541"/>
      <c r="Y189" s="547"/>
      <c r="Z189" s="548"/>
      <c r="AA189" s="549"/>
      <c r="AB189" s="541"/>
      <c r="AC189" s="547"/>
      <c r="AD189" s="548"/>
      <c r="AE189" s="549"/>
      <c r="AF189" s="541"/>
      <c r="AG189" s="547"/>
      <c r="AH189" s="548"/>
      <c r="AI189" s="549"/>
      <c r="AJ189" s="541"/>
      <c r="AK189" s="394"/>
      <c r="AL189" s="430"/>
      <c r="AM189" s="395"/>
      <c r="AN189" s="529"/>
      <c r="AO189" s="394"/>
      <c r="AP189" s="430"/>
      <c r="AQ189" s="395"/>
      <c r="AR189" s="529"/>
      <c r="AS189" s="542"/>
      <c r="AT189" s="542"/>
    </row>
    <row r="190">
      <c r="A190" s="394"/>
      <c r="B190" s="430"/>
      <c r="C190" s="395"/>
      <c r="D190" s="529"/>
      <c r="E190" s="394"/>
      <c r="F190" s="430"/>
      <c r="G190" s="395"/>
      <c r="H190" s="529"/>
      <c r="I190" s="394"/>
      <c r="J190" s="430"/>
      <c r="K190" s="395"/>
      <c r="L190" s="529"/>
      <c r="M190" s="394"/>
      <c r="N190" s="430"/>
      <c r="O190" s="395"/>
      <c r="P190" s="529"/>
      <c r="Q190" s="547"/>
      <c r="R190" s="548"/>
      <c r="S190" s="549"/>
      <c r="T190" s="541"/>
      <c r="U190" s="547"/>
      <c r="V190" s="548"/>
      <c r="W190" s="549"/>
      <c r="X190" s="541"/>
      <c r="Y190" s="547"/>
      <c r="Z190" s="548"/>
      <c r="AA190" s="549"/>
      <c r="AB190" s="541"/>
      <c r="AC190" s="547"/>
      <c r="AD190" s="548"/>
      <c r="AE190" s="549"/>
      <c r="AF190" s="541"/>
      <c r="AG190" s="547"/>
      <c r="AH190" s="548"/>
      <c r="AI190" s="549"/>
      <c r="AJ190" s="541"/>
      <c r="AK190" s="394"/>
      <c r="AL190" s="430"/>
      <c r="AM190" s="395"/>
      <c r="AN190" s="529"/>
      <c r="AO190" s="394"/>
      <c r="AP190" s="430"/>
      <c r="AQ190" s="395"/>
      <c r="AR190" s="529"/>
      <c r="AS190" s="542"/>
      <c r="AT190" s="542"/>
    </row>
    <row r="191">
      <c r="A191" s="394"/>
      <c r="B191" s="430"/>
      <c r="C191" s="395"/>
      <c r="D191" s="529"/>
      <c r="E191" s="394"/>
      <c r="F191" s="430"/>
      <c r="G191" s="395"/>
      <c r="H191" s="529"/>
      <c r="I191" s="394"/>
      <c r="J191" s="430"/>
      <c r="K191" s="395"/>
      <c r="L191" s="529"/>
      <c r="M191" s="394"/>
      <c r="N191" s="430"/>
      <c r="O191" s="395"/>
      <c r="P191" s="529"/>
      <c r="Q191" s="547"/>
      <c r="R191" s="548"/>
      <c r="S191" s="549"/>
      <c r="T191" s="541"/>
      <c r="U191" s="547"/>
      <c r="V191" s="548"/>
      <c r="W191" s="549"/>
      <c r="X191" s="541"/>
      <c r="Y191" s="547"/>
      <c r="Z191" s="548"/>
      <c r="AA191" s="549"/>
      <c r="AB191" s="541"/>
      <c r="AC191" s="547"/>
      <c r="AD191" s="548"/>
      <c r="AE191" s="549"/>
      <c r="AF191" s="541"/>
      <c r="AG191" s="547"/>
      <c r="AH191" s="548"/>
      <c r="AI191" s="549"/>
      <c r="AJ191" s="541"/>
      <c r="AK191" s="394"/>
      <c r="AL191" s="430"/>
      <c r="AM191" s="395"/>
      <c r="AN191" s="529"/>
      <c r="AO191" s="394"/>
      <c r="AP191" s="430"/>
      <c r="AQ191" s="395"/>
      <c r="AR191" s="529"/>
      <c r="AS191" s="542"/>
      <c r="AT191" s="542"/>
    </row>
    <row r="192">
      <c r="A192" s="394"/>
      <c r="B192" s="430"/>
      <c r="C192" s="395"/>
      <c r="D192" s="529"/>
      <c r="E192" s="394"/>
      <c r="F192" s="430"/>
      <c r="G192" s="395"/>
      <c r="H192" s="529"/>
      <c r="I192" s="394"/>
      <c r="J192" s="430"/>
      <c r="K192" s="395"/>
      <c r="L192" s="529"/>
      <c r="M192" s="394"/>
      <c r="N192" s="430"/>
      <c r="O192" s="395"/>
      <c r="P192" s="529"/>
      <c r="Q192" s="547"/>
      <c r="R192" s="548"/>
      <c r="S192" s="549"/>
      <c r="T192" s="541"/>
      <c r="U192" s="547"/>
      <c r="V192" s="548"/>
      <c r="W192" s="549"/>
      <c r="X192" s="541"/>
      <c r="Y192" s="547"/>
      <c r="Z192" s="548"/>
      <c r="AA192" s="549"/>
      <c r="AB192" s="541"/>
      <c r="AC192" s="547"/>
      <c r="AD192" s="548"/>
      <c r="AE192" s="549"/>
      <c r="AF192" s="541"/>
      <c r="AG192" s="547"/>
      <c r="AH192" s="548"/>
      <c r="AI192" s="549"/>
      <c r="AJ192" s="541"/>
      <c r="AK192" s="394"/>
      <c r="AL192" s="430"/>
      <c r="AM192" s="395"/>
      <c r="AN192" s="529"/>
      <c r="AO192" s="394"/>
      <c r="AP192" s="430"/>
      <c r="AQ192" s="395"/>
      <c r="AR192" s="529"/>
      <c r="AS192" s="542"/>
      <c r="AT192" s="542"/>
    </row>
    <row r="193">
      <c r="A193" s="394"/>
      <c r="B193" s="430"/>
      <c r="C193" s="395"/>
      <c r="D193" s="529"/>
      <c r="E193" s="394"/>
      <c r="F193" s="430"/>
      <c r="G193" s="395"/>
      <c r="H193" s="529"/>
      <c r="I193" s="394"/>
      <c r="J193" s="430"/>
      <c r="K193" s="395"/>
      <c r="L193" s="529"/>
      <c r="M193" s="394"/>
      <c r="N193" s="430"/>
      <c r="O193" s="395"/>
      <c r="P193" s="529"/>
      <c r="Q193" s="547"/>
      <c r="R193" s="548"/>
      <c r="S193" s="549"/>
      <c r="T193" s="541"/>
      <c r="U193" s="547"/>
      <c r="V193" s="548"/>
      <c r="W193" s="549"/>
      <c r="X193" s="541"/>
      <c r="Y193" s="547"/>
      <c r="Z193" s="548"/>
      <c r="AA193" s="549"/>
      <c r="AB193" s="541"/>
      <c r="AC193" s="547"/>
      <c r="AD193" s="548"/>
      <c r="AE193" s="549"/>
      <c r="AF193" s="541"/>
      <c r="AG193" s="547"/>
      <c r="AH193" s="548"/>
      <c r="AI193" s="549"/>
      <c r="AJ193" s="541"/>
      <c r="AK193" s="394"/>
      <c r="AL193" s="430"/>
      <c r="AM193" s="395"/>
      <c r="AN193" s="529"/>
      <c r="AO193" s="394"/>
      <c r="AP193" s="430"/>
      <c r="AQ193" s="395"/>
      <c r="AR193" s="529"/>
      <c r="AS193" s="542"/>
      <c r="AT193" s="542"/>
    </row>
    <row r="194">
      <c r="A194" s="394"/>
      <c r="B194" s="430"/>
      <c r="C194" s="395"/>
      <c r="D194" s="529"/>
      <c r="E194" s="394"/>
      <c r="F194" s="430"/>
      <c r="G194" s="395"/>
      <c r="H194" s="529"/>
      <c r="I194" s="394"/>
      <c r="J194" s="430"/>
      <c r="K194" s="395"/>
      <c r="L194" s="529"/>
      <c r="M194" s="394"/>
      <c r="N194" s="430"/>
      <c r="O194" s="395"/>
      <c r="P194" s="529"/>
      <c r="Q194" s="547"/>
      <c r="R194" s="548"/>
      <c r="S194" s="549"/>
      <c r="T194" s="541"/>
      <c r="U194" s="547"/>
      <c r="V194" s="548"/>
      <c r="W194" s="549"/>
      <c r="X194" s="541"/>
      <c r="Y194" s="547"/>
      <c r="Z194" s="548"/>
      <c r="AA194" s="549"/>
      <c r="AB194" s="541"/>
      <c r="AC194" s="547"/>
      <c r="AD194" s="548"/>
      <c r="AE194" s="549"/>
      <c r="AF194" s="541"/>
      <c r="AG194" s="547"/>
      <c r="AH194" s="548"/>
      <c r="AI194" s="549"/>
      <c r="AJ194" s="541"/>
      <c r="AK194" s="394"/>
      <c r="AL194" s="430"/>
      <c r="AM194" s="395"/>
      <c r="AN194" s="529"/>
      <c r="AO194" s="394"/>
      <c r="AP194" s="430"/>
      <c r="AQ194" s="395"/>
      <c r="AR194" s="529"/>
      <c r="AS194" s="542"/>
      <c r="AT194" s="542"/>
    </row>
    <row r="195">
      <c r="A195" s="394"/>
      <c r="B195" s="430"/>
      <c r="C195" s="395"/>
      <c r="D195" s="529"/>
      <c r="E195" s="394"/>
      <c r="F195" s="430"/>
      <c r="G195" s="395"/>
      <c r="H195" s="529"/>
      <c r="I195" s="394"/>
      <c r="J195" s="430"/>
      <c r="K195" s="395"/>
      <c r="L195" s="529"/>
      <c r="M195" s="394"/>
      <c r="N195" s="430"/>
      <c r="O195" s="395"/>
      <c r="P195" s="529"/>
      <c r="Q195" s="547"/>
      <c r="R195" s="548"/>
      <c r="S195" s="549"/>
      <c r="T195" s="541"/>
      <c r="U195" s="547"/>
      <c r="V195" s="548"/>
      <c r="W195" s="549"/>
      <c r="X195" s="541"/>
      <c r="Y195" s="547"/>
      <c r="Z195" s="548"/>
      <c r="AA195" s="549"/>
      <c r="AB195" s="541"/>
      <c r="AC195" s="547"/>
      <c r="AD195" s="548"/>
      <c r="AE195" s="549"/>
      <c r="AF195" s="541"/>
      <c r="AG195" s="547"/>
      <c r="AH195" s="548"/>
      <c r="AI195" s="549"/>
      <c r="AJ195" s="541"/>
      <c r="AK195" s="394"/>
      <c r="AL195" s="430"/>
      <c r="AM195" s="395"/>
      <c r="AN195" s="529"/>
      <c r="AO195" s="394"/>
      <c r="AP195" s="430"/>
      <c r="AQ195" s="395"/>
      <c r="AR195" s="529"/>
      <c r="AS195" s="542"/>
      <c r="AT195" s="542"/>
    </row>
    <row r="196">
      <c r="A196" s="394"/>
      <c r="B196" s="430"/>
      <c r="C196" s="395"/>
      <c r="D196" s="529"/>
      <c r="E196" s="394"/>
      <c r="F196" s="430"/>
      <c r="G196" s="395"/>
      <c r="H196" s="529"/>
      <c r="I196" s="394"/>
      <c r="J196" s="430"/>
      <c r="K196" s="395"/>
      <c r="L196" s="529"/>
      <c r="M196" s="394"/>
      <c r="N196" s="430"/>
      <c r="O196" s="395"/>
      <c r="P196" s="529"/>
      <c r="Q196" s="547"/>
      <c r="R196" s="548"/>
      <c r="S196" s="549"/>
      <c r="T196" s="541"/>
      <c r="U196" s="547"/>
      <c r="V196" s="548"/>
      <c r="W196" s="549"/>
      <c r="X196" s="541"/>
      <c r="Y196" s="547"/>
      <c r="Z196" s="548"/>
      <c r="AA196" s="549"/>
      <c r="AB196" s="541"/>
      <c r="AC196" s="547"/>
      <c r="AD196" s="548"/>
      <c r="AE196" s="549"/>
      <c r="AF196" s="541"/>
      <c r="AG196" s="547"/>
      <c r="AH196" s="548"/>
      <c r="AI196" s="549"/>
      <c r="AJ196" s="541"/>
      <c r="AK196" s="394"/>
      <c r="AL196" s="430"/>
      <c r="AM196" s="395"/>
      <c r="AN196" s="529"/>
      <c r="AO196" s="394"/>
      <c r="AP196" s="430"/>
      <c r="AQ196" s="395"/>
      <c r="AR196" s="529"/>
      <c r="AS196" s="542"/>
      <c r="AT196" s="542"/>
    </row>
    <row r="197">
      <c r="A197" s="394"/>
      <c r="B197" s="430"/>
      <c r="C197" s="395"/>
      <c r="D197" s="529"/>
      <c r="E197" s="394"/>
      <c r="F197" s="430"/>
      <c r="G197" s="395"/>
      <c r="H197" s="529"/>
      <c r="I197" s="394"/>
      <c r="J197" s="430"/>
      <c r="K197" s="395"/>
      <c r="L197" s="529"/>
      <c r="M197" s="394"/>
      <c r="N197" s="430"/>
      <c r="O197" s="395"/>
      <c r="P197" s="529"/>
      <c r="Q197" s="547"/>
      <c r="R197" s="548"/>
      <c r="S197" s="549"/>
      <c r="T197" s="541"/>
      <c r="U197" s="547"/>
      <c r="V197" s="548"/>
      <c r="W197" s="549"/>
      <c r="X197" s="541"/>
      <c r="Y197" s="547"/>
      <c r="Z197" s="548"/>
      <c r="AA197" s="549"/>
      <c r="AB197" s="541"/>
      <c r="AC197" s="547"/>
      <c r="AD197" s="548"/>
      <c r="AE197" s="549"/>
      <c r="AF197" s="541"/>
      <c r="AG197" s="547"/>
      <c r="AH197" s="548"/>
      <c r="AI197" s="549"/>
      <c r="AJ197" s="541"/>
      <c r="AK197" s="394"/>
      <c r="AL197" s="430"/>
      <c r="AM197" s="395"/>
      <c r="AN197" s="529"/>
      <c r="AO197" s="394"/>
      <c r="AP197" s="430"/>
      <c r="AQ197" s="395"/>
      <c r="AR197" s="529"/>
      <c r="AS197" s="542"/>
      <c r="AT197" s="542"/>
    </row>
    <row r="198">
      <c r="A198" s="394"/>
      <c r="B198" s="430"/>
      <c r="C198" s="395"/>
      <c r="D198" s="529"/>
      <c r="E198" s="394"/>
      <c r="F198" s="430"/>
      <c r="G198" s="395"/>
      <c r="H198" s="529"/>
      <c r="I198" s="394"/>
      <c r="J198" s="430"/>
      <c r="K198" s="395"/>
      <c r="L198" s="529"/>
      <c r="M198" s="394"/>
      <c r="N198" s="430"/>
      <c r="O198" s="395"/>
      <c r="P198" s="529"/>
      <c r="Q198" s="547"/>
      <c r="R198" s="548"/>
      <c r="S198" s="549"/>
      <c r="T198" s="541"/>
      <c r="U198" s="547"/>
      <c r="V198" s="548"/>
      <c r="W198" s="549"/>
      <c r="X198" s="541"/>
      <c r="Y198" s="547"/>
      <c r="Z198" s="548"/>
      <c r="AA198" s="549"/>
      <c r="AB198" s="541"/>
      <c r="AC198" s="547"/>
      <c r="AD198" s="548"/>
      <c r="AE198" s="549"/>
      <c r="AF198" s="541"/>
      <c r="AG198" s="547"/>
      <c r="AH198" s="548"/>
      <c r="AI198" s="549"/>
      <c r="AJ198" s="541"/>
      <c r="AK198" s="394"/>
      <c r="AL198" s="430"/>
      <c r="AM198" s="395"/>
      <c r="AN198" s="529"/>
      <c r="AO198" s="394"/>
      <c r="AP198" s="430"/>
      <c r="AQ198" s="395"/>
      <c r="AR198" s="529"/>
      <c r="AS198" s="542"/>
      <c r="AT198" s="542"/>
    </row>
    <row r="199">
      <c r="A199" s="394"/>
      <c r="B199" s="430"/>
      <c r="C199" s="395"/>
      <c r="D199" s="529"/>
      <c r="E199" s="394"/>
      <c r="F199" s="430"/>
      <c r="G199" s="395"/>
      <c r="H199" s="529"/>
      <c r="I199" s="394"/>
      <c r="J199" s="430"/>
      <c r="K199" s="395"/>
      <c r="L199" s="529"/>
      <c r="M199" s="394"/>
      <c r="N199" s="430"/>
      <c r="O199" s="395"/>
      <c r="P199" s="529"/>
      <c r="Q199" s="547"/>
      <c r="R199" s="548"/>
      <c r="S199" s="549"/>
      <c r="T199" s="541"/>
      <c r="U199" s="547"/>
      <c r="V199" s="548"/>
      <c r="W199" s="549"/>
      <c r="X199" s="541"/>
      <c r="Y199" s="547"/>
      <c r="Z199" s="548"/>
      <c r="AA199" s="549"/>
      <c r="AB199" s="541"/>
      <c r="AC199" s="547"/>
      <c r="AD199" s="548"/>
      <c r="AE199" s="549"/>
      <c r="AF199" s="541"/>
      <c r="AG199" s="547"/>
      <c r="AH199" s="548"/>
      <c r="AI199" s="549"/>
      <c r="AJ199" s="541"/>
      <c r="AK199" s="394"/>
      <c r="AL199" s="430"/>
      <c r="AM199" s="395"/>
      <c r="AN199" s="529"/>
      <c r="AO199" s="394"/>
      <c r="AP199" s="430"/>
      <c r="AQ199" s="395"/>
      <c r="AR199" s="529"/>
      <c r="AS199" s="542"/>
      <c r="AT199" s="542"/>
    </row>
    <row r="200">
      <c r="A200" s="394"/>
      <c r="B200" s="430"/>
      <c r="C200" s="395"/>
      <c r="D200" s="529"/>
      <c r="E200" s="394"/>
      <c r="F200" s="430"/>
      <c r="G200" s="395"/>
      <c r="H200" s="529"/>
      <c r="I200" s="394"/>
      <c r="J200" s="430"/>
      <c r="K200" s="395"/>
      <c r="L200" s="529"/>
      <c r="M200" s="394"/>
      <c r="N200" s="430"/>
      <c r="O200" s="395"/>
      <c r="P200" s="529"/>
      <c r="Q200" s="547"/>
      <c r="R200" s="548"/>
      <c r="S200" s="549"/>
      <c r="T200" s="541"/>
      <c r="U200" s="547"/>
      <c r="V200" s="548"/>
      <c r="W200" s="549"/>
      <c r="X200" s="541"/>
      <c r="Y200" s="547"/>
      <c r="Z200" s="548"/>
      <c r="AA200" s="549"/>
      <c r="AB200" s="541"/>
      <c r="AC200" s="547"/>
      <c r="AD200" s="548"/>
      <c r="AE200" s="549"/>
      <c r="AF200" s="541"/>
      <c r="AG200" s="547"/>
      <c r="AH200" s="548"/>
      <c r="AI200" s="549"/>
      <c r="AJ200" s="541"/>
      <c r="AK200" s="394"/>
      <c r="AL200" s="430"/>
      <c r="AM200" s="395"/>
      <c r="AN200" s="529"/>
      <c r="AO200" s="394"/>
      <c r="AP200" s="430"/>
      <c r="AQ200" s="395"/>
      <c r="AR200" s="529"/>
      <c r="AS200" s="542"/>
      <c r="AT200" s="542"/>
    </row>
    <row r="201">
      <c r="A201" s="394"/>
      <c r="B201" s="430"/>
      <c r="C201" s="395"/>
      <c r="D201" s="529"/>
      <c r="E201" s="394"/>
      <c r="F201" s="430"/>
      <c r="G201" s="395"/>
      <c r="H201" s="529"/>
      <c r="I201" s="394"/>
      <c r="J201" s="430"/>
      <c r="K201" s="395"/>
      <c r="L201" s="529"/>
      <c r="M201" s="394"/>
      <c r="N201" s="430"/>
      <c r="O201" s="395"/>
      <c r="P201" s="529"/>
      <c r="Q201" s="547"/>
      <c r="R201" s="548"/>
      <c r="S201" s="549"/>
      <c r="T201" s="541"/>
      <c r="U201" s="547"/>
      <c r="V201" s="548"/>
      <c r="W201" s="549"/>
      <c r="X201" s="541"/>
      <c r="Y201" s="547"/>
      <c r="Z201" s="548"/>
      <c r="AA201" s="549"/>
      <c r="AB201" s="541"/>
      <c r="AC201" s="547"/>
      <c r="AD201" s="548"/>
      <c r="AE201" s="549"/>
      <c r="AF201" s="541"/>
      <c r="AG201" s="547"/>
      <c r="AH201" s="548"/>
      <c r="AI201" s="549"/>
      <c r="AJ201" s="541"/>
      <c r="AK201" s="394"/>
      <c r="AL201" s="430"/>
      <c r="AM201" s="395"/>
      <c r="AN201" s="529"/>
      <c r="AO201" s="394"/>
      <c r="AP201" s="430"/>
      <c r="AQ201" s="395"/>
      <c r="AR201" s="529"/>
      <c r="AS201" s="542"/>
      <c r="AT201" s="542"/>
    </row>
    <row r="202">
      <c r="A202" s="394"/>
      <c r="B202" s="430"/>
      <c r="C202" s="395"/>
      <c r="D202" s="529"/>
      <c r="E202" s="394"/>
      <c r="F202" s="430"/>
      <c r="G202" s="395"/>
      <c r="H202" s="529"/>
      <c r="I202" s="394"/>
      <c r="J202" s="430"/>
      <c r="K202" s="395"/>
      <c r="L202" s="529"/>
      <c r="M202" s="394"/>
      <c r="N202" s="430"/>
      <c r="O202" s="395"/>
      <c r="P202" s="529"/>
      <c r="Q202" s="547"/>
      <c r="R202" s="548"/>
      <c r="S202" s="549"/>
      <c r="T202" s="541"/>
      <c r="U202" s="547"/>
      <c r="V202" s="548"/>
      <c r="W202" s="549"/>
      <c r="X202" s="541"/>
      <c r="Y202" s="547"/>
      <c r="Z202" s="548"/>
      <c r="AA202" s="549"/>
      <c r="AB202" s="541"/>
      <c r="AC202" s="547"/>
      <c r="AD202" s="548"/>
      <c r="AE202" s="549"/>
      <c r="AF202" s="541"/>
      <c r="AG202" s="547"/>
      <c r="AH202" s="548"/>
      <c r="AI202" s="549"/>
      <c r="AJ202" s="541"/>
      <c r="AK202" s="394"/>
      <c r="AL202" s="430"/>
      <c r="AM202" s="395"/>
      <c r="AN202" s="529"/>
      <c r="AO202" s="394"/>
      <c r="AP202" s="430"/>
      <c r="AQ202" s="395"/>
      <c r="AR202" s="529"/>
      <c r="AS202" s="542"/>
      <c r="AT202" s="542"/>
    </row>
    <row r="203">
      <c r="A203" s="394"/>
      <c r="B203" s="430"/>
      <c r="C203" s="395"/>
      <c r="D203" s="529"/>
      <c r="E203" s="394"/>
      <c r="F203" s="430"/>
      <c r="G203" s="395"/>
      <c r="H203" s="529"/>
      <c r="I203" s="394"/>
      <c r="J203" s="430"/>
      <c r="K203" s="395"/>
      <c r="L203" s="529"/>
      <c r="M203" s="394"/>
      <c r="N203" s="430"/>
      <c r="O203" s="395"/>
      <c r="P203" s="529"/>
      <c r="Q203" s="547"/>
      <c r="R203" s="548"/>
      <c r="S203" s="549"/>
      <c r="T203" s="541"/>
      <c r="U203" s="547"/>
      <c r="V203" s="548"/>
      <c r="W203" s="549"/>
      <c r="X203" s="541"/>
      <c r="Y203" s="547"/>
      <c r="Z203" s="548"/>
      <c r="AA203" s="549"/>
      <c r="AB203" s="541"/>
      <c r="AC203" s="547"/>
      <c r="AD203" s="548"/>
      <c r="AE203" s="549"/>
      <c r="AF203" s="541"/>
      <c r="AG203" s="547"/>
      <c r="AH203" s="548"/>
      <c r="AI203" s="549"/>
      <c r="AJ203" s="541"/>
      <c r="AK203" s="394"/>
      <c r="AL203" s="430"/>
      <c r="AM203" s="395"/>
      <c r="AN203" s="529"/>
      <c r="AO203" s="394"/>
      <c r="AP203" s="430"/>
      <c r="AQ203" s="395"/>
      <c r="AR203" s="529"/>
      <c r="AS203" s="542"/>
      <c r="AT203" s="542"/>
    </row>
    <row r="204">
      <c r="A204" s="394"/>
      <c r="B204" s="430"/>
      <c r="C204" s="395"/>
      <c r="D204" s="529"/>
      <c r="E204" s="394"/>
      <c r="F204" s="430"/>
      <c r="G204" s="395"/>
      <c r="H204" s="529"/>
      <c r="I204" s="394"/>
      <c r="J204" s="430"/>
      <c r="K204" s="395"/>
      <c r="L204" s="529"/>
      <c r="M204" s="394"/>
      <c r="N204" s="430"/>
      <c r="O204" s="395"/>
      <c r="P204" s="529"/>
      <c r="Q204" s="547"/>
      <c r="R204" s="548"/>
      <c r="S204" s="549"/>
      <c r="T204" s="541"/>
      <c r="U204" s="547"/>
      <c r="V204" s="548"/>
      <c r="W204" s="549"/>
      <c r="X204" s="541"/>
      <c r="Y204" s="547"/>
      <c r="Z204" s="548"/>
      <c r="AA204" s="549"/>
      <c r="AB204" s="541"/>
      <c r="AC204" s="547"/>
      <c r="AD204" s="548"/>
      <c r="AE204" s="549"/>
      <c r="AF204" s="541"/>
      <c r="AG204" s="547"/>
      <c r="AH204" s="548"/>
      <c r="AI204" s="549"/>
      <c r="AJ204" s="541"/>
      <c r="AK204" s="394"/>
      <c r="AL204" s="430"/>
      <c r="AM204" s="395"/>
      <c r="AN204" s="529"/>
      <c r="AO204" s="394"/>
      <c r="AP204" s="430"/>
      <c r="AQ204" s="395"/>
      <c r="AR204" s="529"/>
      <c r="AS204" s="542"/>
      <c r="AT204" s="542"/>
    </row>
    <row r="205">
      <c r="A205" s="394"/>
      <c r="B205" s="430"/>
      <c r="C205" s="395"/>
      <c r="D205" s="529"/>
      <c r="E205" s="394"/>
      <c r="F205" s="430"/>
      <c r="G205" s="395"/>
      <c r="H205" s="529"/>
      <c r="I205" s="394"/>
      <c r="J205" s="430"/>
      <c r="K205" s="395"/>
      <c r="L205" s="529"/>
      <c r="M205" s="394"/>
      <c r="N205" s="430"/>
      <c r="O205" s="395"/>
      <c r="P205" s="529"/>
      <c r="Q205" s="547"/>
      <c r="R205" s="548"/>
      <c r="S205" s="549"/>
      <c r="T205" s="541"/>
      <c r="U205" s="547"/>
      <c r="V205" s="548"/>
      <c r="W205" s="549"/>
      <c r="X205" s="541"/>
      <c r="Y205" s="547"/>
      <c r="Z205" s="548"/>
      <c r="AA205" s="549"/>
      <c r="AB205" s="541"/>
      <c r="AC205" s="547"/>
      <c r="AD205" s="548"/>
      <c r="AE205" s="549"/>
      <c r="AF205" s="541"/>
      <c r="AG205" s="547"/>
      <c r="AH205" s="548"/>
      <c r="AI205" s="549"/>
      <c r="AJ205" s="541"/>
      <c r="AK205" s="394"/>
      <c r="AL205" s="430"/>
      <c r="AM205" s="395"/>
      <c r="AN205" s="529"/>
      <c r="AO205" s="394"/>
      <c r="AP205" s="430"/>
      <c r="AQ205" s="395"/>
      <c r="AR205" s="529"/>
      <c r="AS205" s="542"/>
      <c r="AT205" s="542"/>
    </row>
    <row r="206">
      <c r="A206" s="394"/>
      <c r="B206" s="430"/>
      <c r="C206" s="395"/>
      <c r="D206" s="529"/>
      <c r="E206" s="394"/>
      <c r="F206" s="430"/>
      <c r="G206" s="395"/>
      <c r="H206" s="529"/>
      <c r="I206" s="394"/>
      <c r="J206" s="430"/>
      <c r="K206" s="395"/>
      <c r="L206" s="529"/>
      <c r="M206" s="394"/>
      <c r="N206" s="430"/>
      <c r="O206" s="395"/>
      <c r="P206" s="529"/>
      <c r="Q206" s="547"/>
      <c r="R206" s="548"/>
      <c r="S206" s="549"/>
      <c r="T206" s="541"/>
      <c r="U206" s="547"/>
      <c r="V206" s="548"/>
      <c r="W206" s="549"/>
      <c r="X206" s="541"/>
      <c r="Y206" s="547"/>
      <c r="Z206" s="548"/>
      <c r="AA206" s="549"/>
      <c r="AB206" s="541"/>
      <c r="AC206" s="547"/>
      <c r="AD206" s="548"/>
      <c r="AE206" s="549"/>
      <c r="AF206" s="541"/>
      <c r="AG206" s="547"/>
      <c r="AH206" s="548"/>
      <c r="AI206" s="549"/>
      <c r="AJ206" s="541"/>
      <c r="AK206" s="394"/>
      <c r="AL206" s="430"/>
      <c r="AM206" s="395"/>
      <c r="AN206" s="529"/>
      <c r="AO206" s="394"/>
      <c r="AP206" s="430"/>
      <c r="AQ206" s="395"/>
      <c r="AR206" s="529"/>
      <c r="AS206" s="542"/>
      <c r="AT206" s="542"/>
    </row>
    <row r="207">
      <c r="A207" s="394"/>
      <c r="B207" s="430"/>
      <c r="C207" s="395"/>
      <c r="D207" s="529"/>
      <c r="E207" s="394"/>
      <c r="F207" s="430"/>
      <c r="G207" s="395"/>
      <c r="H207" s="529"/>
      <c r="I207" s="394"/>
      <c r="J207" s="430"/>
      <c r="K207" s="395"/>
      <c r="L207" s="529"/>
      <c r="M207" s="394"/>
      <c r="N207" s="430"/>
      <c r="O207" s="395"/>
      <c r="P207" s="529"/>
      <c r="Q207" s="547"/>
      <c r="R207" s="548"/>
      <c r="S207" s="549"/>
      <c r="T207" s="541"/>
      <c r="U207" s="547"/>
      <c r="V207" s="548"/>
      <c r="W207" s="549"/>
      <c r="X207" s="541"/>
      <c r="Y207" s="547"/>
      <c r="Z207" s="548"/>
      <c r="AA207" s="549"/>
      <c r="AB207" s="541"/>
      <c r="AC207" s="547"/>
      <c r="AD207" s="548"/>
      <c r="AE207" s="549"/>
      <c r="AF207" s="541"/>
      <c r="AG207" s="547"/>
      <c r="AH207" s="548"/>
      <c r="AI207" s="549"/>
      <c r="AJ207" s="541"/>
      <c r="AK207" s="394"/>
      <c r="AL207" s="430"/>
      <c r="AM207" s="395"/>
      <c r="AN207" s="529"/>
      <c r="AO207" s="394"/>
      <c r="AP207" s="430"/>
      <c r="AQ207" s="395"/>
      <c r="AR207" s="529"/>
      <c r="AS207" s="542"/>
      <c r="AT207" s="542"/>
    </row>
    <row r="208">
      <c r="A208" s="394"/>
      <c r="B208" s="430"/>
      <c r="C208" s="395"/>
      <c r="D208" s="529"/>
      <c r="E208" s="394"/>
      <c r="F208" s="430"/>
      <c r="G208" s="395"/>
      <c r="H208" s="529"/>
      <c r="I208" s="394"/>
      <c r="J208" s="430"/>
      <c r="K208" s="395"/>
      <c r="L208" s="529"/>
      <c r="M208" s="394"/>
      <c r="N208" s="430"/>
      <c r="O208" s="395"/>
      <c r="P208" s="529"/>
      <c r="Q208" s="547"/>
      <c r="R208" s="548"/>
      <c r="S208" s="549"/>
      <c r="T208" s="541"/>
      <c r="U208" s="547"/>
      <c r="V208" s="548"/>
      <c r="W208" s="549"/>
      <c r="X208" s="541"/>
      <c r="Y208" s="547"/>
      <c r="Z208" s="548"/>
      <c r="AA208" s="549"/>
      <c r="AB208" s="541"/>
      <c r="AC208" s="547"/>
      <c r="AD208" s="548"/>
      <c r="AE208" s="549"/>
      <c r="AF208" s="541"/>
      <c r="AG208" s="547"/>
      <c r="AH208" s="548"/>
      <c r="AI208" s="549"/>
      <c r="AJ208" s="541"/>
      <c r="AK208" s="394"/>
      <c r="AL208" s="430"/>
      <c r="AM208" s="395"/>
      <c r="AN208" s="529"/>
      <c r="AO208" s="394"/>
      <c r="AP208" s="430"/>
      <c r="AQ208" s="395"/>
      <c r="AR208" s="529"/>
      <c r="AS208" s="542"/>
      <c r="AT208" s="542"/>
    </row>
    <row r="209">
      <c r="A209" s="394"/>
      <c r="B209" s="430"/>
      <c r="C209" s="395"/>
      <c r="D209" s="529"/>
      <c r="E209" s="394"/>
      <c r="F209" s="430"/>
      <c r="G209" s="395"/>
      <c r="H209" s="529"/>
      <c r="I209" s="394"/>
      <c r="J209" s="430"/>
      <c r="K209" s="395"/>
      <c r="L209" s="529"/>
      <c r="M209" s="394"/>
      <c r="N209" s="430"/>
      <c r="O209" s="395"/>
      <c r="P209" s="529"/>
      <c r="Q209" s="547"/>
      <c r="R209" s="548"/>
      <c r="S209" s="549"/>
      <c r="T209" s="541"/>
      <c r="U209" s="547"/>
      <c r="V209" s="548"/>
      <c r="W209" s="549"/>
      <c r="X209" s="541"/>
      <c r="Y209" s="547"/>
      <c r="Z209" s="548"/>
      <c r="AA209" s="549"/>
      <c r="AB209" s="541"/>
      <c r="AC209" s="547"/>
      <c r="AD209" s="548"/>
      <c r="AE209" s="549"/>
      <c r="AF209" s="541"/>
      <c r="AG209" s="547"/>
      <c r="AH209" s="548"/>
      <c r="AI209" s="549"/>
      <c r="AJ209" s="541"/>
      <c r="AK209" s="394"/>
      <c r="AL209" s="430"/>
      <c r="AM209" s="395"/>
      <c r="AN209" s="529"/>
      <c r="AO209" s="394"/>
      <c r="AP209" s="430"/>
      <c r="AQ209" s="395"/>
      <c r="AR209" s="529"/>
      <c r="AS209" s="542"/>
      <c r="AT209" s="542"/>
    </row>
    <row r="210">
      <c r="A210" s="394"/>
      <c r="B210" s="430"/>
      <c r="C210" s="395"/>
      <c r="D210" s="529"/>
      <c r="E210" s="394"/>
      <c r="F210" s="430"/>
      <c r="G210" s="395"/>
      <c r="H210" s="529"/>
      <c r="I210" s="394"/>
      <c r="J210" s="430"/>
      <c r="K210" s="395"/>
      <c r="L210" s="529"/>
      <c r="M210" s="394"/>
      <c r="N210" s="430"/>
      <c r="O210" s="395"/>
      <c r="P210" s="529"/>
      <c r="Q210" s="547"/>
      <c r="R210" s="548"/>
      <c r="S210" s="549"/>
      <c r="T210" s="541"/>
      <c r="U210" s="547"/>
      <c r="V210" s="548"/>
      <c r="W210" s="549"/>
      <c r="X210" s="541"/>
      <c r="Y210" s="547"/>
      <c r="Z210" s="548"/>
      <c r="AA210" s="549"/>
      <c r="AB210" s="541"/>
      <c r="AC210" s="547"/>
      <c r="AD210" s="548"/>
      <c r="AE210" s="549"/>
      <c r="AF210" s="541"/>
      <c r="AG210" s="547"/>
      <c r="AH210" s="548"/>
      <c r="AI210" s="549"/>
      <c r="AJ210" s="541"/>
      <c r="AK210" s="394"/>
      <c r="AL210" s="430"/>
      <c r="AM210" s="395"/>
      <c r="AN210" s="529"/>
      <c r="AO210" s="394"/>
      <c r="AP210" s="430"/>
      <c r="AQ210" s="395"/>
      <c r="AR210" s="529"/>
      <c r="AS210" s="542"/>
      <c r="AT210" s="542"/>
    </row>
    <row r="211">
      <c r="A211" s="394"/>
      <c r="B211" s="430"/>
      <c r="C211" s="395"/>
      <c r="D211" s="529"/>
      <c r="E211" s="394"/>
      <c r="F211" s="430"/>
      <c r="G211" s="395"/>
      <c r="H211" s="529"/>
      <c r="I211" s="394"/>
      <c r="J211" s="430"/>
      <c r="K211" s="395"/>
      <c r="L211" s="529"/>
      <c r="M211" s="394"/>
      <c r="N211" s="430"/>
      <c r="O211" s="395"/>
      <c r="P211" s="529"/>
      <c r="Q211" s="547"/>
      <c r="R211" s="548"/>
      <c r="S211" s="549"/>
      <c r="T211" s="541"/>
      <c r="U211" s="547"/>
      <c r="V211" s="548"/>
      <c r="W211" s="549"/>
      <c r="X211" s="541"/>
      <c r="Y211" s="547"/>
      <c r="Z211" s="548"/>
      <c r="AA211" s="549"/>
      <c r="AB211" s="541"/>
      <c r="AC211" s="547"/>
      <c r="AD211" s="548"/>
      <c r="AE211" s="549"/>
      <c r="AF211" s="541"/>
      <c r="AG211" s="547"/>
      <c r="AH211" s="548"/>
      <c r="AI211" s="549"/>
      <c r="AJ211" s="541"/>
      <c r="AK211" s="394"/>
      <c r="AL211" s="430"/>
      <c r="AM211" s="395"/>
      <c r="AN211" s="529"/>
      <c r="AO211" s="394"/>
      <c r="AP211" s="430"/>
      <c r="AQ211" s="395"/>
      <c r="AR211" s="529"/>
      <c r="AS211" s="542"/>
      <c r="AT211" s="542"/>
    </row>
    <row r="212">
      <c r="A212" s="394"/>
      <c r="B212" s="430"/>
      <c r="C212" s="395"/>
      <c r="D212" s="529"/>
      <c r="E212" s="394"/>
      <c r="F212" s="430"/>
      <c r="G212" s="395"/>
      <c r="H212" s="529"/>
      <c r="I212" s="394"/>
      <c r="J212" s="430"/>
      <c r="K212" s="395"/>
      <c r="L212" s="529"/>
      <c r="M212" s="394"/>
      <c r="N212" s="430"/>
      <c r="O212" s="395"/>
      <c r="P212" s="529"/>
      <c r="Q212" s="547"/>
      <c r="R212" s="548"/>
      <c r="S212" s="549"/>
      <c r="T212" s="541"/>
      <c r="U212" s="547"/>
      <c r="V212" s="548"/>
      <c r="W212" s="549"/>
      <c r="X212" s="541"/>
      <c r="Y212" s="547"/>
      <c r="Z212" s="548"/>
      <c r="AA212" s="549"/>
      <c r="AB212" s="541"/>
      <c r="AC212" s="547"/>
      <c r="AD212" s="548"/>
      <c r="AE212" s="549"/>
      <c r="AF212" s="541"/>
      <c r="AG212" s="547"/>
      <c r="AH212" s="548"/>
      <c r="AI212" s="549"/>
      <c r="AJ212" s="541"/>
      <c r="AK212" s="394"/>
      <c r="AL212" s="430"/>
      <c r="AM212" s="395"/>
      <c r="AN212" s="529"/>
      <c r="AO212" s="394"/>
      <c r="AP212" s="430"/>
      <c r="AQ212" s="395"/>
      <c r="AR212" s="529"/>
      <c r="AS212" s="542"/>
      <c r="AT212" s="542"/>
    </row>
    <row r="213">
      <c r="A213" s="394"/>
      <c r="B213" s="430"/>
      <c r="C213" s="395"/>
      <c r="D213" s="529"/>
      <c r="E213" s="394"/>
      <c r="F213" s="430"/>
      <c r="G213" s="395"/>
      <c r="H213" s="529"/>
      <c r="I213" s="394"/>
      <c r="J213" s="430"/>
      <c r="K213" s="395"/>
      <c r="L213" s="529"/>
      <c r="M213" s="394"/>
      <c r="N213" s="430"/>
      <c r="O213" s="395"/>
      <c r="P213" s="529"/>
      <c r="Q213" s="547"/>
      <c r="R213" s="548"/>
      <c r="S213" s="549"/>
      <c r="T213" s="541"/>
      <c r="U213" s="547"/>
      <c r="V213" s="548"/>
      <c r="W213" s="549"/>
      <c r="X213" s="541"/>
      <c r="Y213" s="547"/>
      <c r="Z213" s="548"/>
      <c r="AA213" s="549"/>
      <c r="AB213" s="541"/>
      <c r="AC213" s="547"/>
      <c r="AD213" s="548"/>
      <c r="AE213" s="549"/>
      <c r="AF213" s="541"/>
      <c r="AG213" s="547"/>
      <c r="AH213" s="548"/>
      <c r="AI213" s="549"/>
      <c r="AJ213" s="541"/>
      <c r="AK213" s="394"/>
      <c r="AL213" s="430"/>
      <c r="AM213" s="395"/>
      <c r="AN213" s="529"/>
      <c r="AO213" s="394"/>
      <c r="AP213" s="430"/>
      <c r="AQ213" s="395"/>
      <c r="AR213" s="529"/>
      <c r="AS213" s="542"/>
      <c r="AT213" s="542"/>
    </row>
    <row r="214">
      <c r="A214" s="394"/>
      <c r="B214" s="430"/>
      <c r="C214" s="395"/>
      <c r="D214" s="529"/>
      <c r="E214" s="394"/>
      <c r="F214" s="430"/>
      <c r="G214" s="395"/>
      <c r="H214" s="529"/>
      <c r="I214" s="394"/>
      <c r="J214" s="430"/>
      <c r="K214" s="395"/>
      <c r="L214" s="529"/>
      <c r="M214" s="394"/>
      <c r="N214" s="430"/>
      <c r="O214" s="395"/>
      <c r="P214" s="529"/>
      <c r="Q214" s="547"/>
      <c r="R214" s="548"/>
      <c r="S214" s="549"/>
      <c r="T214" s="541"/>
      <c r="U214" s="547"/>
      <c r="V214" s="548"/>
      <c r="W214" s="549"/>
      <c r="X214" s="541"/>
      <c r="Y214" s="547"/>
      <c r="Z214" s="548"/>
      <c r="AA214" s="549"/>
      <c r="AB214" s="541"/>
      <c r="AC214" s="547"/>
      <c r="AD214" s="548"/>
      <c r="AE214" s="549"/>
      <c r="AF214" s="541"/>
      <c r="AG214" s="547"/>
      <c r="AH214" s="548"/>
      <c r="AI214" s="549"/>
      <c r="AJ214" s="541"/>
      <c r="AK214" s="394"/>
      <c r="AL214" s="430"/>
      <c r="AM214" s="395"/>
      <c r="AN214" s="529"/>
      <c r="AO214" s="394"/>
      <c r="AP214" s="430"/>
      <c r="AQ214" s="395"/>
      <c r="AR214" s="529"/>
      <c r="AS214" s="542"/>
      <c r="AT214" s="542"/>
    </row>
    <row r="215">
      <c r="A215" s="394"/>
      <c r="B215" s="430"/>
      <c r="C215" s="395"/>
      <c r="D215" s="529"/>
      <c r="E215" s="394"/>
      <c r="F215" s="430"/>
      <c r="G215" s="395"/>
      <c r="H215" s="529"/>
      <c r="I215" s="394"/>
      <c r="J215" s="430"/>
      <c r="K215" s="395"/>
      <c r="L215" s="529"/>
      <c r="M215" s="394"/>
      <c r="N215" s="430"/>
      <c r="O215" s="395"/>
      <c r="P215" s="529"/>
      <c r="Q215" s="547"/>
      <c r="R215" s="548"/>
      <c r="S215" s="549"/>
      <c r="T215" s="541"/>
      <c r="U215" s="547"/>
      <c r="V215" s="548"/>
      <c r="W215" s="549"/>
      <c r="X215" s="541"/>
      <c r="Y215" s="547"/>
      <c r="Z215" s="548"/>
      <c r="AA215" s="549"/>
      <c r="AB215" s="541"/>
      <c r="AC215" s="547"/>
      <c r="AD215" s="548"/>
      <c r="AE215" s="549"/>
      <c r="AF215" s="541"/>
      <c r="AG215" s="547"/>
      <c r="AH215" s="548"/>
      <c r="AI215" s="549"/>
      <c r="AJ215" s="541"/>
      <c r="AK215" s="394"/>
      <c r="AL215" s="430"/>
      <c r="AM215" s="395"/>
      <c r="AN215" s="529"/>
      <c r="AO215" s="394"/>
      <c r="AP215" s="430"/>
      <c r="AQ215" s="395"/>
      <c r="AR215" s="529"/>
      <c r="AS215" s="542"/>
      <c r="AT215" s="542"/>
    </row>
    <row r="216">
      <c r="A216" s="394"/>
      <c r="B216" s="430"/>
      <c r="C216" s="395"/>
      <c r="D216" s="529"/>
      <c r="E216" s="394"/>
      <c r="F216" s="430"/>
      <c r="G216" s="395"/>
      <c r="H216" s="529"/>
      <c r="I216" s="394"/>
      <c r="J216" s="430"/>
      <c r="K216" s="395"/>
      <c r="L216" s="529"/>
      <c r="M216" s="394"/>
      <c r="N216" s="430"/>
      <c r="O216" s="395"/>
      <c r="P216" s="529"/>
      <c r="Q216" s="547"/>
      <c r="R216" s="548"/>
      <c r="S216" s="549"/>
      <c r="T216" s="541"/>
      <c r="U216" s="547"/>
      <c r="V216" s="548"/>
      <c r="W216" s="549"/>
      <c r="X216" s="541"/>
      <c r="Y216" s="547"/>
      <c r="Z216" s="548"/>
      <c r="AA216" s="549"/>
      <c r="AB216" s="541"/>
      <c r="AC216" s="547"/>
      <c r="AD216" s="548"/>
      <c r="AE216" s="549"/>
      <c r="AF216" s="541"/>
      <c r="AG216" s="547"/>
      <c r="AH216" s="548"/>
      <c r="AI216" s="549"/>
      <c r="AJ216" s="541"/>
      <c r="AK216" s="394"/>
      <c r="AL216" s="430"/>
      <c r="AM216" s="395"/>
      <c r="AN216" s="529"/>
      <c r="AO216" s="394"/>
      <c r="AP216" s="430"/>
      <c r="AQ216" s="395"/>
      <c r="AR216" s="529"/>
      <c r="AS216" s="542"/>
      <c r="AT216" s="542"/>
    </row>
    <row r="217">
      <c r="A217" s="394"/>
      <c r="B217" s="430"/>
      <c r="C217" s="395"/>
      <c r="D217" s="529"/>
      <c r="E217" s="394"/>
      <c r="F217" s="430"/>
      <c r="G217" s="395"/>
      <c r="H217" s="529"/>
      <c r="I217" s="394"/>
      <c r="J217" s="430"/>
      <c r="K217" s="395"/>
      <c r="L217" s="529"/>
      <c r="M217" s="394"/>
      <c r="N217" s="430"/>
      <c r="O217" s="395"/>
      <c r="P217" s="529"/>
      <c r="Q217" s="547"/>
      <c r="R217" s="548"/>
      <c r="S217" s="549"/>
      <c r="T217" s="541"/>
      <c r="U217" s="547"/>
      <c r="V217" s="548"/>
      <c r="W217" s="549"/>
      <c r="X217" s="541"/>
      <c r="Y217" s="547"/>
      <c r="Z217" s="548"/>
      <c r="AA217" s="549"/>
      <c r="AB217" s="541"/>
      <c r="AC217" s="547"/>
      <c r="AD217" s="548"/>
      <c r="AE217" s="549"/>
      <c r="AF217" s="541"/>
      <c r="AG217" s="547"/>
      <c r="AH217" s="548"/>
      <c r="AI217" s="549"/>
      <c r="AJ217" s="541"/>
      <c r="AK217" s="394"/>
      <c r="AL217" s="430"/>
      <c r="AM217" s="395"/>
      <c r="AN217" s="529"/>
      <c r="AO217" s="394"/>
      <c r="AP217" s="430"/>
      <c r="AQ217" s="395"/>
      <c r="AR217" s="529"/>
      <c r="AS217" s="542"/>
      <c r="AT217" s="542"/>
    </row>
    <row r="218">
      <c r="A218" s="394"/>
      <c r="B218" s="430"/>
      <c r="C218" s="395"/>
      <c r="D218" s="529"/>
      <c r="E218" s="394"/>
      <c r="F218" s="430"/>
      <c r="G218" s="395"/>
      <c r="H218" s="529"/>
      <c r="I218" s="394"/>
      <c r="J218" s="430"/>
      <c r="K218" s="395"/>
      <c r="L218" s="529"/>
      <c r="M218" s="394"/>
      <c r="N218" s="430"/>
      <c r="O218" s="395"/>
      <c r="P218" s="529"/>
      <c r="Q218" s="547"/>
      <c r="R218" s="548"/>
      <c r="S218" s="549"/>
      <c r="T218" s="541"/>
      <c r="U218" s="547"/>
      <c r="V218" s="548"/>
      <c r="W218" s="549"/>
      <c r="X218" s="541"/>
      <c r="Y218" s="547"/>
      <c r="Z218" s="548"/>
      <c r="AA218" s="549"/>
      <c r="AB218" s="541"/>
      <c r="AC218" s="547"/>
      <c r="AD218" s="548"/>
      <c r="AE218" s="549"/>
      <c r="AF218" s="541"/>
      <c r="AG218" s="547"/>
      <c r="AH218" s="548"/>
      <c r="AI218" s="549"/>
      <c r="AJ218" s="541"/>
      <c r="AK218" s="394"/>
      <c r="AL218" s="430"/>
      <c r="AM218" s="395"/>
      <c r="AN218" s="529"/>
      <c r="AO218" s="394"/>
      <c r="AP218" s="430"/>
      <c r="AQ218" s="395"/>
      <c r="AR218" s="529"/>
      <c r="AS218" s="542"/>
      <c r="AT218" s="542"/>
    </row>
    <row r="219">
      <c r="A219" s="394"/>
      <c r="B219" s="430"/>
      <c r="C219" s="395"/>
      <c r="D219" s="529"/>
      <c r="E219" s="394"/>
      <c r="F219" s="430"/>
      <c r="G219" s="395"/>
      <c r="H219" s="529"/>
      <c r="I219" s="394"/>
      <c r="J219" s="430"/>
      <c r="K219" s="395"/>
      <c r="L219" s="529"/>
      <c r="M219" s="394"/>
      <c r="N219" s="430"/>
      <c r="O219" s="395"/>
      <c r="P219" s="529"/>
      <c r="Q219" s="547"/>
      <c r="R219" s="548"/>
      <c r="S219" s="549"/>
      <c r="T219" s="541"/>
      <c r="U219" s="547"/>
      <c r="V219" s="548"/>
      <c r="W219" s="549"/>
      <c r="X219" s="541"/>
      <c r="Y219" s="547"/>
      <c r="Z219" s="548"/>
      <c r="AA219" s="549"/>
      <c r="AB219" s="541"/>
      <c r="AC219" s="547"/>
      <c r="AD219" s="548"/>
      <c r="AE219" s="549"/>
      <c r="AF219" s="541"/>
      <c r="AG219" s="547"/>
      <c r="AH219" s="548"/>
      <c r="AI219" s="549"/>
      <c r="AJ219" s="541"/>
      <c r="AK219" s="394"/>
      <c r="AL219" s="430"/>
      <c r="AM219" s="395"/>
      <c r="AN219" s="529"/>
      <c r="AO219" s="394"/>
      <c r="AP219" s="430"/>
      <c r="AQ219" s="395"/>
      <c r="AR219" s="529"/>
      <c r="AS219" s="542"/>
      <c r="AT219" s="542"/>
    </row>
    <row r="220">
      <c r="A220" s="394"/>
      <c r="B220" s="430"/>
      <c r="C220" s="395"/>
      <c r="D220" s="529"/>
      <c r="E220" s="394"/>
      <c r="F220" s="430"/>
      <c r="G220" s="395"/>
      <c r="H220" s="529"/>
      <c r="I220" s="394"/>
      <c r="J220" s="430"/>
      <c r="K220" s="395"/>
      <c r="L220" s="529"/>
      <c r="M220" s="394"/>
      <c r="N220" s="430"/>
      <c r="O220" s="395"/>
      <c r="P220" s="529"/>
      <c r="Q220" s="547"/>
      <c r="R220" s="548"/>
      <c r="S220" s="549"/>
      <c r="T220" s="541"/>
      <c r="U220" s="547"/>
      <c r="V220" s="548"/>
      <c r="W220" s="549"/>
      <c r="X220" s="541"/>
      <c r="Y220" s="547"/>
      <c r="Z220" s="548"/>
      <c r="AA220" s="549"/>
      <c r="AB220" s="541"/>
      <c r="AC220" s="547"/>
      <c r="AD220" s="548"/>
      <c r="AE220" s="549"/>
      <c r="AF220" s="541"/>
      <c r="AG220" s="547"/>
      <c r="AH220" s="548"/>
      <c r="AI220" s="549"/>
      <c r="AJ220" s="541"/>
      <c r="AK220" s="394"/>
      <c r="AL220" s="430"/>
      <c r="AM220" s="395"/>
      <c r="AN220" s="529"/>
      <c r="AO220" s="394"/>
      <c r="AP220" s="430"/>
      <c r="AQ220" s="395"/>
      <c r="AR220" s="529"/>
      <c r="AS220" s="542"/>
      <c r="AT220" s="542"/>
    </row>
    <row r="221">
      <c r="A221" s="394"/>
      <c r="B221" s="430"/>
      <c r="C221" s="395"/>
      <c r="D221" s="529"/>
      <c r="E221" s="394"/>
      <c r="F221" s="430"/>
      <c r="G221" s="395"/>
      <c r="H221" s="529"/>
      <c r="I221" s="394"/>
      <c r="J221" s="430"/>
      <c r="K221" s="395"/>
      <c r="L221" s="529"/>
      <c r="M221" s="394"/>
      <c r="N221" s="430"/>
      <c r="O221" s="395"/>
      <c r="P221" s="529"/>
      <c r="Q221" s="547"/>
      <c r="R221" s="548"/>
      <c r="S221" s="549"/>
      <c r="T221" s="541"/>
      <c r="U221" s="547"/>
      <c r="V221" s="548"/>
      <c r="W221" s="549"/>
      <c r="X221" s="541"/>
      <c r="Y221" s="547"/>
      <c r="Z221" s="548"/>
      <c r="AA221" s="549"/>
      <c r="AB221" s="541"/>
      <c r="AC221" s="547"/>
      <c r="AD221" s="548"/>
      <c r="AE221" s="549"/>
      <c r="AF221" s="541"/>
      <c r="AG221" s="547"/>
      <c r="AH221" s="548"/>
      <c r="AI221" s="549"/>
      <c r="AJ221" s="541"/>
      <c r="AK221" s="394"/>
      <c r="AL221" s="430"/>
      <c r="AM221" s="395"/>
      <c r="AN221" s="529"/>
      <c r="AO221" s="394"/>
      <c r="AP221" s="430"/>
      <c r="AQ221" s="395"/>
      <c r="AR221" s="529"/>
      <c r="AS221" s="542"/>
      <c r="AT221" s="542"/>
    </row>
    <row r="222">
      <c r="A222" s="394"/>
      <c r="B222" s="430"/>
      <c r="C222" s="395"/>
      <c r="D222" s="529"/>
      <c r="E222" s="394"/>
      <c r="F222" s="430"/>
      <c r="G222" s="395"/>
      <c r="H222" s="529"/>
      <c r="I222" s="394"/>
      <c r="J222" s="430"/>
      <c r="K222" s="395"/>
      <c r="L222" s="529"/>
      <c r="M222" s="394"/>
      <c r="N222" s="430"/>
      <c r="O222" s="395"/>
      <c r="P222" s="529"/>
      <c r="Q222" s="547"/>
      <c r="R222" s="548"/>
      <c r="S222" s="549"/>
      <c r="T222" s="541"/>
      <c r="U222" s="547"/>
      <c r="V222" s="548"/>
      <c r="W222" s="549"/>
      <c r="X222" s="541"/>
      <c r="Y222" s="547"/>
      <c r="Z222" s="548"/>
      <c r="AA222" s="549"/>
      <c r="AB222" s="541"/>
      <c r="AC222" s="547"/>
      <c r="AD222" s="548"/>
      <c r="AE222" s="549"/>
      <c r="AF222" s="541"/>
      <c r="AG222" s="547"/>
      <c r="AH222" s="548"/>
      <c r="AI222" s="549"/>
      <c r="AJ222" s="541"/>
      <c r="AK222" s="394"/>
      <c r="AL222" s="430"/>
      <c r="AM222" s="395"/>
      <c r="AN222" s="529"/>
      <c r="AO222" s="394"/>
      <c r="AP222" s="430"/>
      <c r="AQ222" s="395"/>
      <c r="AR222" s="529"/>
      <c r="AS222" s="542"/>
      <c r="AT222" s="542"/>
    </row>
    <row r="223">
      <c r="A223" s="394"/>
      <c r="B223" s="430"/>
      <c r="C223" s="395"/>
      <c r="D223" s="529"/>
      <c r="E223" s="394"/>
      <c r="F223" s="430"/>
      <c r="G223" s="395"/>
      <c r="H223" s="529"/>
      <c r="I223" s="394"/>
      <c r="J223" s="430"/>
      <c r="K223" s="395"/>
      <c r="L223" s="529"/>
      <c r="M223" s="394"/>
      <c r="N223" s="430"/>
      <c r="O223" s="395"/>
      <c r="P223" s="529"/>
      <c r="Q223" s="547"/>
      <c r="R223" s="548"/>
      <c r="S223" s="549"/>
      <c r="T223" s="541"/>
      <c r="U223" s="547"/>
      <c r="V223" s="548"/>
      <c r="W223" s="549"/>
      <c r="X223" s="541"/>
      <c r="Y223" s="547"/>
      <c r="Z223" s="548"/>
      <c r="AA223" s="549"/>
      <c r="AB223" s="541"/>
      <c r="AC223" s="547"/>
      <c r="AD223" s="548"/>
      <c r="AE223" s="549"/>
      <c r="AF223" s="541"/>
      <c r="AG223" s="547"/>
      <c r="AH223" s="548"/>
      <c r="AI223" s="549"/>
      <c r="AJ223" s="541"/>
      <c r="AK223" s="394"/>
      <c r="AL223" s="430"/>
      <c r="AM223" s="395"/>
      <c r="AN223" s="529"/>
      <c r="AO223" s="394"/>
      <c r="AP223" s="430"/>
      <c r="AQ223" s="395"/>
      <c r="AR223" s="529"/>
      <c r="AS223" s="542"/>
      <c r="AT223" s="542"/>
    </row>
    <row r="224">
      <c r="A224" s="394"/>
      <c r="B224" s="430"/>
      <c r="C224" s="395"/>
      <c r="D224" s="529"/>
      <c r="E224" s="394"/>
      <c r="F224" s="430"/>
      <c r="G224" s="395"/>
      <c r="H224" s="529"/>
      <c r="I224" s="394"/>
      <c r="J224" s="430"/>
      <c r="K224" s="395"/>
      <c r="L224" s="529"/>
      <c r="M224" s="394"/>
      <c r="N224" s="430"/>
      <c r="O224" s="395"/>
      <c r="P224" s="529"/>
      <c r="Q224" s="547"/>
      <c r="R224" s="548"/>
      <c r="S224" s="549"/>
      <c r="T224" s="541"/>
      <c r="U224" s="547"/>
      <c r="V224" s="548"/>
      <c r="W224" s="549"/>
      <c r="X224" s="541"/>
      <c r="Y224" s="547"/>
      <c r="Z224" s="548"/>
      <c r="AA224" s="549"/>
      <c r="AB224" s="541"/>
      <c r="AC224" s="547"/>
      <c r="AD224" s="548"/>
      <c r="AE224" s="549"/>
      <c r="AF224" s="541"/>
      <c r="AG224" s="547"/>
      <c r="AH224" s="548"/>
      <c r="AI224" s="549"/>
      <c r="AJ224" s="541"/>
      <c r="AK224" s="394"/>
      <c r="AL224" s="430"/>
      <c r="AM224" s="395"/>
      <c r="AN224" s="529"/>
      <c r="AO224" s="394"/>
      <c r="AP224" s="430"/>
      <c r="AQ224" s="395"/>
      <c r="AR224" s="529"/>
      <c r="AS224" s="542"/>
      <c r="AT224" s="542"/>
    </row>
    <row r="225">
      <c r="A225" s="394"/>
      <c r="B225" s="430"/>
      <c r="C225" s="395"/>
      <c r="D225" s="529"/>
      <c r="E225" s="394"/>
      <c r="F225" s="430"/>
      <c r="G225" s="395"/>
      <c r="H225" s="529"/>
      <c r="I225" s="394"/>
      <c r="J225" s="430"/>
      <c r="K225" s="395"/>
      <c r="L225" s="529"/>
      <c r="M225" s="394"/>
      <c r="N225" s="430"/>
      <c r="O225" s="395"/>
      <c r="P225" s="529"/>
      <c r="Q225" s="547"/>
      <c r="R225" s="548"/>
      <c r="S225" s="549"/>
      <c r="T225" s="541"/>
      <c r="U225" s="547"/>
      <c r="V225" s="548"/>
      <c r="W225" s="549"/>
      <c r="X225" s="541"/>
      <c r="Y225" s="547"/>
      <c r="Z225" s="548"/>
      <c r="AA225" s="549"/>
      <c r="AB225" s="541"/>
      <c r="AC225" s="547"/>
      <c r="AD225" s="548"/>
      <c r="AE225" s="549"/>
      <c r="AF225" s="541"/>
      <c r="AG225" s="547"/>
      <c r="AH225" s="548"/>
      <c r="AI225" s="549"/>
      <c r="AJ225" s="541"/>
      <c r="AK225" s="394"/>
      <c r="AL225" s="430"/>
      <c r="AM225" s="395"/>
      <c r="AN225" s="529"/>
      <c r="AO225" s="394"/>
      <c r="AP225" s="430"/>
      <c r="AQ225" s="395"/>
      <c r="AR225" s="529"/>
      <c r="AS225" s="542"/>
      <c r="AT225" s="542"/>
    </row>
    <row r="226">
      <c r="A226" s="394"/>
      <c r="B226" s="430"/>
      <c r="C226" s="395"/>
      <c r="D226" s="529"/>
      <c r="E226" s="394"/>
      <c r="F226" s="430"/>
      <c r="G226" s="395"/>
      <c r="H226" s="529"/>
      <c r="I226" s="394"/>
      <c r="J226" s="430"/>
      <c r="K226" s="395"/>
      <c r="L226" s="529"/>
      <c r="M226" s="394"/>
      <c r="N226" s="430"/>
      <c r="O226" s="395"/>
      <c r="P226" s="529"/>
      <c r="Q226" s="547"/>
      <c r="R226" s="548"/>
      <c r="S226" s="549"/>
      <c r="T226" s="541"/>
      <c r="U226" s="547"/>
      <c r="V226" s="548"/>
      <c r="W226" s="549"/>
      <c r="X226" s="541"/>
      <c r="Y226" s="547"/>
      <c r="Z226" s="548"/>
      <c r="AA226" s="549"/>
      <c r="AB226" s="541"/>
      <c r="AC226" s="547"/>
      <c r="AD226" s="548"/>
      <c r="AE226" s="549"/>
      <c r="AF226" s="541"/>
      <c r="AG226" s="547"/>
      <c r="AH226" s="548"/>
      <c r="AI226" s="549"/>
      <c r="AJ226" s="541"/>
      <c r="AK226" s="394"/>
      <c r="AL226" s="430"/>
      <c r="AM226" s="395"/>
      <c r="AN226" s="529"/>
      <c r="AO226" s="394"/>
      <c r="AP226" s="430"/>
      <c r="AQ226" s="395"/>
      <c r="AR226" s="529"/>
      <c r="AS226" s="542"/>
      <c r="AT226" s="542"/>
    </row>
    <row r="227">
      <c r="A227" s="394"/>
      <c r="B227" s="430"/>
      <c r="C227" s="395"/>
      <c r="D227" s="529"/>
      <c r="E227" s="394"/>
      <c r="F227" s="430"/>
      <c r="G227" s="395"/>
      <c r="H227" s="529"/>
      <c r="I227" s="394"/>
      <c r="J227" s="430"/>
      <c r="K227" s="395"/>
      <c r="L227" s="529"/>
      <c r="M227" s="394"/>
      <c r="N227" s="430"/>
      <c r="O227" s="395"/>
      <c r="P227" s="529"/>
      <c r="Q227" s="547"/>
      <c r="R227" s="548"/>
      <c r="S227" s="549"/>
      <c r="T227" s="541"/>
      <c r="U227" s="547"/>
      <c r="V227" s="548"/>
      <c r="W227" s="549"/>
      <c r="X227" s="541"/>
      <c r="Y227" s="547"/>
      <c r="Z227" s="548"/>
      <c r="AA227" s="549"/>
      <c r="AB227" s="541"/>
      <c r="AC227" s="547"/>
      <c r="AD227" s="548"/>
      <c r="AE227" s="549"/>
      <c r="AF227" s="541"/>
      <c r="AG227" s="547"/>
      <c r="AH227" s="548"/>
      <c r="AI227" s="549"/>
      <c r="AJ227" s="541"/>
      <c r="AK227" s="394"/>
      <c r="AL227" s="430"/>
      <c r="AM227" s="395"/>
      <c r="AN227" s="529"/>
      <c r="AO227" s="394"/>
      <c r="AP227" s="430"/>
      <c r="AQ227" s="395"/>
      <c r="AR227" s="529"/>
      <c r="AS227" s="542"/>
      <c r="AT227" s="542"/>
    </row>
    <row r="228">
      <c r="A228" s="394"/>
      <c r="B228" s="430"/>
      <c r="C228" s="395"/>
      <c r="D228" s="529"/>
      <c r="E228" s="394"/>
      <c r="F228" s="430"/>
      <c r="G228" s="395"/>
      <c r="H228" s="529"/>
      <c r="I228" s="394"/>
      <c r="J228" s="430"/>
      <c r="K228" s="395"/>
      <c r="L228" s="529"/>
      <c r="M228" s="394"/>
      <c r="N228" s="430"/>
      <c r="O228" s="395"/>
      <c r="P228" s="529"/>
      <c r="Q228" s="547"/>
      <c r="R228" s="548"/>
      <c r="S228" s="549"/>
      <c r="T228" s="541"/>
      <c r="U228" s="547"/>
      <c r="V228" s="548"/>
      <c r="W228" s="549"/>
      <c r="X228" s="541"/>
      <c r="Y228" s="547"/>
      <c r="Z228" s="548"/>
      <c r="AA228" s="549"/>
      <c r="AB228" s="541"/>
      <c r="AC228" s="547"/>
      <c r="AD228" s="548"/>
      <c r="AE228" s="549"/>
      <c r="AF228" s="541"/>
      <c r="AG228" s="547"/>
      <c r="AH228" s="548"/>
      <c r="AI228" s="549"/>
      <c r="AJ228" s="541"/>
      <c r="AK228" s="394"/>
      <c r="AL228" s="430"/>
      <c r="AM228" s="395"/>
      <c r="AN228" s="529"/>
      <c r="AO228" s="394"/>
      <c r="AP228" s="430"/>
      <c r="AQ228" s="395"/>
      <c r="AR228" s="529"/>
      <c r="AS228" s="542"/>
      <c r="AT228" s="542"/>
    </row>
    <row r="229">
      <c r="A229" s="394"/>
      <c r="B229" s="430"/>
      <c r="C229" s="395"/>
      <c r="D229" s="529"/>
      <c r="E229" s="394"/>
      <c r="F229" s="430"/>
      <c r="G229" s="395"/>
      <c r="H229" s="529"/>
      <c r="I229" s="394"/>
      <c r="J229" s="430"/>
      <c r="K229" s="395"/>
      <c r="L229" s="529"/>
      <c r="M229" s="394"/>
      <c r="N229" s="430"/>
      <c r="O229" s="395"/>
      <c r="P229" s="529"/>
      <c r="Q229" s="547"/>
      <c r="R229" s="548"/>
      <c r="S229" s="549"/>
      <c r="T229" s="541"/>
      <c r="U229" s="547"/>
      <c r="V229" s="548"/>
      <c r="W229" s="549"/>
      <c r="X229" s="541"/>
      <c r="Y229" s="547"/>
      <c r="Z229" s="548"/>
      <c r="AA229" s="549"/>
      <c r="AB229" s="541"/>
      <c r="AC229" s="547"/>
      <c r="AD229" s="548"/>
      <c r="AE229" s="549"/>
      <c r="AF229" s="541"/>
      <c r="AG229" s="547"/>
      <c r="AH229" s="548"/>
      <c r="AI229" s="549"/>
      <c r="AJ229" s="541"/>
      <c r="AK229" s="394"/>
      <c r="AL229" s="430"/>
      <c r="AM229" s="395"/>
      <c r="AN229" s="529"/>
      <c r="AO229" s="394"/>
      <c r="AP229" s="430"/>
      <c r="AQ229" s="395"/>
      <c r="AR229" s="529"/>
      <c r="AS229" s="542"/>
      <c r="AT229" s="542"/>
    </row>
    <row r="230">
      <c r="A230" s="394"/>
      <c r="B230" s="430"/>
      <c r="C230" s="395"/>
      <c r="D230" s="529"/>
      <c r="E230" s="394"/>
      <c r="F230" s="430"/>
      <c r="G230" s="395"/>
      <c r="H230" s="529"/>
      <c r="I230" s="394"/>
      <c r="J230" s="430"/>
      <c r="K230" s="395"/>
      <c r="L230" s="529"/>
      <c r="M230" s="394"/>
      <c r="N230" s="430"/>
      <c r="O230" s="395"/>
      <c r="P230" s="529"/>
      <c r="Q230" s="547"/>
      <c r="R230" s="548"/>
      <c r="S230" s="549"/>
      <c r="T230" s="541"/>
      <c r="U230" s="547"/>
      <c r="V230" s="548"/>
      <c r="W230" s="549"/>
      <c r="X230" s="541"/>
      <c r="Y230" s="547"/>
      <c r="Z230" s="548"/>
      <c r="AA230" s="549"/>
      <c r="AB230" s="541"/>
      <c r="AC230" s="547"/>
      <c r="AD230" s="548"/>
      <c r="AE230" s="549"/>
      <c r="AF230" s="541"/>
      <c r="AG230" s="547"/>
      <c r="AH230" s="548"/>
      <c r="AI230" s="549"/>
      <c r="AJ230" s="541"/>
      <c r="AK230" s="394"/>
      <c r="AL230" s="430"/>
      <c r="AM230" s="395"/>
      <c r="AN230" s="529"/>
      <c r="AO230" s="394"/>
      <c r="AP230" s="430"/>
      <c r="AQ230" s="395"/>
      <c r="AR230" s="529"/>
      <c r="AS230" s="542"/>
      <c r="AT230" s="542"/>
    </row>
    <row r="231">
      <c r="A231" s="394"/>
      <c r="B231" s="430"/>
      <c r="C231" s="395"/>
      <c r="D231" s="529"/>
      <c r="E231" s="394"/>
      <c r="F231" s="430"/>
      <c r="G231" s="395"/>
      <c r="H231" s="529"/>
      <c r="I231" s="394"/>
      <c r="J231" s="430"/>
      <c r="K231" s="395"/>
      <c r="L231" s="529"/>
      <c r="M231" s="394"/>
      <c r="N231" s="430"/>
      <c r="O231" s="395"/>
      <c r="P231" s="529"/>
      <c r="Q231" s="547"/>
      <c r="R231" s="548"/>
      <c r="S231" s="549"/>
      <c r="T231" s="541"/>
      <c r="U231" s="547"/>
      <c r="V231" s="548"/>
      <c r="W231" s="549"/>
      <c r="X231" s="541"/>
      <c r="Y231" s="547"/>
      <c r="Z231" s="548"/>
      <c r="AA231" s="549"/>
      <c r="AB231" s="541"/>
      <c r="AC231" s="547"/>
      <c r="AD231" s="548"/>
      <c r="AE231" s="549"/>
      <c r="AF231" s="541"/>
      <c r="AG231" s="547"/>
      <c r="AH231" s="548"/>
      <c r="AI231" s="549"/>
      <c r="AJ231" s="541"/>
      <c r="AK231" s="394"/>
      <c r="AL231" s="430"/>
      <c r="AM231" s="395"/>
      <c r="AN231" s="529"/>
      <c r="AO231" s="394"/>
      <c r="AP231" s="430"/>
      <c r="AQ231" s="395"/>
      <c r="AR231" s="529"/>
      <c r="AS231" s="542"/>
      <c r="AT231" s="542"/>
    </row>
    <row r="232">
      <c r="A232" s="394"/>
      <c r="B232" s="430"/>
      <c r="C232" s="395"/>
      <c r="D232" s="529"/>
      <c r="E232" s="394"/>
      <c r="F232" s="430"/>
      <c r="G232" s="395"/>
      <c r="H232" s="529"/>
      <c r="I232" s="394"/>
      <c r="J232" s="430"/>
      <c r="K232" s="395"/>
      <c r="L232" s="529"/>
      <c r="M232" s="394"/>
      <c r="N232" s="430"/>
      <c r="O232" s="395"/>
      <c r="P232" s="529"/>
      <c r="Q232" s="547"/>
      <c r="R232" s="548"/>
      <c r="S232" s="549"/>
      <c r="T232" s="541"/>
      <c r="U232" s="547"/>
      <c r="V232" s="548"/>
      <c r="W232" s="549"/>
      <c r="X232" s="541"/>
      <c r="Y232" s="547"/>
      <c r="Z232" s="548"/>
      <c r="AA232" s="549"/>
      <c r="AB232" s="541"/>
      <c r="AC232" s="547"/>
      <c r="AD232" s="548"/>
      <c r="AE232" s="549"/>
      <c r="AF232" s="541"/>
      <c r="AG232" s="547"/>
      <c r="AH232" s="548"/>
      <c r="AI232" s="549"/>
      <c r="AJ232" s="541"/>
      <c r="AK232" s="394"/>
      <c r="AL232" s="430"/>
      <c r="AM232" s="395"/>
      <c r="AN232" s="529"/>
      <c r="AO232" s="394"/>
      <c r="AP232" s="430"/>
      <c r="AQ232" s="395"/>
      <c r="AR232" s="529"/>
      <c r="AS232" s="542"/>
      <c r="AT232" s="542"/>
    </row>
    <row r="233">
      <c r="A233" s="394"/>
      <c r="B233" s="430"/>
      <c r="C233" s="395"/>
      <c r="D233" s="529"/>
      <c r="E233" s="394"/>
      <c r="F233" s="430"/>
      <c r="G233" s="395"/>
      <c r="H233" s="529"/>
      <c r="I233" s="394"/>
      <c r="J233" s="430"/>
      <c r="K233" s="395"/>
      <c r="L233" s="529"/>
      <c r="M233" s="394"/>
      <c r="N233" s="430"/>
      <c r="O233" s="395"/>
      <c r="P233" s="529"/>
      <c r="Q233" s="547"/>
      <c r="R233" s="548"/>
      <c r="S233" s="549"/>
      <c r="T233" s="541"/>
      <c r="U233" s="547"/>
      <c r="V233" s="548"/>
      <c r="W233" s="549"/>
      <c r="X233" s="541"/>
      <c r="Y233" s="547"/>
      <c r="Z233" s="548"/>
      <c r="AA233" s="549"/>
      <c r="AB233" s="541"/>
      <c r="AC233" s="547"/>
      <c r="AD233" s="548"/>
      <c r="AE233" s="549"/>
      <c r="AF233" s="541"/>
      <c r="AG233" s="547"/>
      <c r="AH233" s="548"/>
      <c r="AI233" s="549"/>
      <c r="AJ233" s="541"/>
      <c r="AK233" s="394"/>
      <c r="AL233" s="430"/>
      <c r="AM233" s="395"/>
      <c r="AN233" s="529"/>
      <c r="AO233" s="394"/>
      <c r="AP233" s="430"/>
      <c r="AQ233" s="395"/>
      <c r="AR233" s="529"/>
      <c r="AS233" s="542"/>
      <c r="AT233" s="542"/>
    </row>
    <row r="234">
      <c r="A234" s="394"/>
      <c r="B234" s="430"/>
      <c r="C234" s="395"/>
      <c r="D234" s="529"/>
      <c r="E234" s="394"/>
      <c r="F234" s="430"/>
      <c r="G234" s="395"/>
      <c r="H234" s="529"/>
      <c r="I234" s="394"/>
      <c r="J234" s="430"/>
      <c r="K234" s="395"/>
      <c r="L234" s="529"/>
      <c r="M234" s="394"/>
      <c r="N234" s="430"/>
      <c r="O234" s="395"/>
      <c r="P234" s="529"/>
      <c r="Q234" s="547"/>
      <c r="R234" s="548"/>
      <c r="S234" s="549"/>
      <c r="T234" s="541"/>
      <c r="U234" s="547"/>
      <c r="V234" s="548"/>
      <c r="W234" s="549"/>
      <c r="X234" s="541"/>
      <c r="Y234" s="547"/>
      <c r="Z234" s="548"/>
      <c r="AA234" s="549"/>
      <c r="AB234" s="541"/>
      <c r="AC234" s="547"/>
      <c r="AD234" s="548"/>
      <c r="AE234" s="549"/>
      <c r="AF234" s="541"/>
      <c r="AG234" s="547"/>
      <c r="AH234" s="548"/>
      <c r="AI234" s="549"/>
      <c r="AJ234" s="541"/>
      <c r="AK234" s="394"/>
      <c r="AL234" s="430"/>
      <c r="AM234" s="395"/>
      <c r="AN234" s="529"/>
      <c r="AO234" s="394"/>
      <c r="AP234" s="430"/>
      <c r="AQ234" s="395"/>
      <c r="AR234" s="529"/>
      <c r="AS234" s="542"/>
      <c r="AT234" s="542"/>
    </row>
    <row r="235">
      <c r="A235" s="394"/>
      <c r="B235" s="430"/>
      <c r="C235" s="395"/>
      <c r="D235" s="529"/>
      <c r="E235" s="394"/>
      <c r="F235" s="430"/>
      <c r="G235" s="395"/>
      <c r="H235" s="529"/>
      <c r="I235" s="394"/>
      <c r="J235" s="430"/>
      <c r="K235" s="395"/>
      <c r="L235" s="529"/>
      <c r="M235" s="394"/>
      <c r="N235" s="430"/>
      <c r="O235" s="395"/>
      <c r="P235" s="529"/>
      <c r="Q235" s="547"/>
      <c r="R235" s="548"/>
      <c r="S235" s="549"/>
      <c r="T235" s="541"/>
      <c r="U235" s="547"/>
      <c r="V235" s="548"/>
      <c r="W235" s="549"/>
      <c r="X235" s="541"/>
      <c r="Y235" s="547"/>
      <c r="Z235" s="548"/>
      <c r="AA235" s="549"/>
      <c r="AB235" s="541"/>
      <c r="AC235" s="547"/>
      <c r="AD235" s="548"/>
      <c r="AE235" s="549"/>
      <c r="AF235" s="541"/>
      <c r="AG235" s="547"/>
      <c r="AH235" s="548"/>
      <c r="AI235" s="549"/>
      <c r="AJ235" s="541"/>
      <c r="AK235" s="394"/>
      <c r="AL235" s="430"/>
      <c r="AM235" s="395"/>
      <c r="AN235" s="529"/>
      <c r="AO235" s="394"/>
      <c r="AP235" s="430"/>
      <c r="AQ235" s="395"/>
      <c r="AR235" s="529"/>
      <c r="AS235" s="542"/>
      <c r="AT235" s="542"/>
    </row>
    <row r="236">
      <c r="A236" s="394"/>
      <c r="B236" s="430"/>
      <c r="C236" s="395"/>
      <c r="D236" s="529"/>
      <c r="E236" s="394"/>
      <c r="F236" s="430"/>
      <c r="G236" s="395"/>
      <c r="H236" s="529"/>
      <c r="I236" s="394"/>
      <c r="J236" s="430"/>
      <c r="K236" s="395"/>
      <c r="L236" s="529"/>
      <c r="M236" s="394"/>
      <c r="N236" s="430"/>
      <c r="O236" s="395"/>
      <c r="P236" s="529"/>
      <c r="Q236" s="547"/>
      <c r="R236" s="548"/>
      <c r="S236" s="549"/>
      <c r="T236" s="541"/>
      <c r="U236" s="547"/>
      <c r="V236" s="548"/>
      <c r="W236" s="549"/>
      <c r="X236" s="541"/>
      <c r="Y236" s="547"/>
      <c r="Z236" s="548"/>
      <c r="AA236" s="549"/>
      <c r="AB236" s="541"/>
      <c r="AC236" s="547"/>
      <c r="AD236" s="548"/>
      <c r="AE236" s="549"/>
      <c r="AF236" s="541"/>
      <c r="AG236" s="547"/>
      <c r="AH236" s="548"/>
      <c r="AI236" s="549"/>
      <c r="AJ236" s="541"/>
      <c r="AK236" s="394"/>
      <c r="AL236" s="430"/>
      <c r="AM236" s="395"/>
      <c r="AN236" s="529"/>
      <c r="AO236" s="394"/>
      <c r="AP236" s="430"/>
      <c r="AQ236" s="395"/>
      <c r="AR236" s="529"/>
      <c r="AS236" s="542"/>
      <c r="AT236" s="542"/>
    </row>
    <row r="237">
      <c r="A237" s="394"/>
      <c r="B237" s="430"/>
      <c r="C237" s="395"/>
      <c r="D237" s="529"/>
      <c r="E237" s="394"/>
      <c r="F237" s="430"/>
      <c r="G237" s="395"/>
      <c r="H237" s="529"/>
      <c r="I237" s="394"/>
      <c r="J237" s="430"/>
      <c r="K237" s="395"/>
      <c r="L237" s="529"/>
      <c r="M237" s="394"/>
      <c r="N237" s="430"/>
      <c r="O237" s="395"/>
      <c r="P237" s="529"/>
      <c r="Q237" s="547"/>
      <c r="R237" s="548"/>
      <c r="S237" s="549"/>
      <c r="T237" s="541"/>
      <c r="U237" s="547"/>
      <c r="V237" s="548"/>
      <c r="W237" s="549"/>
      <c r="X237" s="541"/>
      <c r="Y237" s="547"/>
      <c r="Z237" s="548"/>
      <c r="AA237" s="549"/>
      <c r="AB237" s="541"/>
      <c r="AC237" s="547"/>
      <c r="AD237" s="548"/>
      <c r="AE237" s="549"/>
      <c r="AF237" s="541"/>
      <c r="AG237" s="547"/>
      <c r="AH237" s="548"/>
      <c r="AI237" s="549"/>
      <c r="AJ237" s="541"/>
      <c r="AK237" s="394"/>
      <c r="AL237" s="430"/>
      <c r="AM237" s="395"/>
      <c r="AN237" s="529"/>
      <c r="AO237" s="394"/>
      <c r="AP237" s="430"/>
      <c r="AQ237" s="395"/>
      <c r="AR237" s="529"/>
      <c r="AS237" s="542"/>
      <c r="AT237" s="542"/>
    </row>
    <row r="238">
      <c r="A238" s="394"/>
      <c r="B238" s="430"/>
      <c r="C238" s="395"/>
      <c r="D238" s="529"/>
      <c r="E238" s="394"/>
      <c r="F238" s="430"/>
      <c r="G238" s="395"/>
      <c r="H238" s="529"/>
      <c r="I238" s="394"/>
      <c r="J238" s="430"/>
      <c r="K238" s="395"/>
      <c r="L238" s="529"/>
      <c r="M238" s="394"/>
      <c r="N238" s="430"/>
      <c r="O238" s="395"/>
      <c r="P238" s="529"/>
      <c r="Q238" s="547"/>
      <c r="R238" s="548"/>
      <c r="S238" s="549"/>
      <c r="T238" s="541"/>
      <c r="U238" s="547"/>
      <c r="V238" s="548"/>
      <c r="W238" s="549"/>
      <c r="X238" s="541"/>
      <c r="Y238" s="547"/>
      <c r="Z238" s="548"/>
      <c r="AA238" s="549"/>
      <c r="AB238" s="541"/>
      <c r="AC238" s="547"/>
      <c r="AD238" s="548"/>
      <c r="AE238" s="549"/>
      <c r="AF238" s="541"/>
      <c r="AG238" s="547"/>
      <c r="AH238" s="548"/>
      <c r="AI238" s="549"/>
      <c r="AJ238" s="541"/>
      <c r="AK238" s="394"/>
      <c r="AL238" s="430"/>
      <c r="AM238" s="395"/>
      <c r="AN238" s="529"/>
      <c r="AO238" s="394"/>
      <c r="AP238" s="430"/>
      <c r="AQ238" s="395"/>
      <c r="AR238" s="529"/>
      <c r="AS238" s="542"/>
      <c r="AT238" s="542"/>
    </row>
    <row r="239">
      <c r="A239" s="394"/>
      <c r="B239" s="430"/>
      <c r="C239" s="395"/>
      <c r="D239" s="529"/>
      <c r="E239" s="394"/>
      <c r="F239" s="430"/>
      <c r="G239" s="395"/>
      <c r="H239" s="529"/>
      <c r="I239" s="394"/>
      <c r="J239" s="430"/>
      <c r="K239" s="395"/>
      <c r="L239" s="529"/>
      <c r="M239" s="394"/>
      <c r="N239" s="430"/>
      <c r="O239" s="395"/>
      <c r="P239" s="529"/>
      <c r="Q239" s="547"/>
      <c r="R239" s="548"/>
      <c r="S239" s="549"/>
      <c r="T239" s="541"/>
      <c r="U239" s="547"/>
      <c r="V239" s="548"/>
      <c r="W239" s="549"/>
      <c r="X239" s="541"/>
      <c r="Y239" s="547"/>
      <c r="Z239" s="548"/>
      <c r="AA239" s="549"/>
      <c r="AB239" s="541"/>
      <c r="AC239" s="547"/>
      <c r="AD239" s="548"/>
      <c r="AE239" s="549"/>
      <c r="AF239" s="541"/>
      <c r="AG239" s="547"/>
      <c r="AH239" s="548"/>
      <c r="AI239" s="549"/>
      <c r="AJ239" s="541"/>
      <c r="AK239" s="394"/>
      <c r="AL239" s="430"/>
      <c r="AM239" s="395"/>
      <c r="AN239" s="529"/>
      <c r="AO239" s="394"/>
      <c r="AP239" s="430"/>
      <c r="AQ239" s="395"/>
      <c r="AR239" s="529"/>
      <c r="AS239" s="542"/>
      <c r="AT239" s="542"/>
    </row>
    <row r="240">
      <c r="A240" s="394"/>
      <c r="B240" s="430"/>
      <c r="C240" s="395"/>
      <c r="D240" s="529"/>
      <c r="E240" s="394"/>
      <c r="F240" s="430"/>
      <c r="G240" s="395"/>
      <c r="H240" s="529"/>
      <c r="I240" s="394"/>
      <c r="J240" s="430"/>
      <c r="K240" s="395"/>
      <c r="L240" s="529"/>
      <c r="M240" s="394"/>
      <c r="N240" s="430"/>
      <c r="O240" s="395"/>
      <c r="P240" s="529"/>
      <c r="Q240" s="547"/>
      <c r="R240" s="548"/>
      <c r="S240" s="549"/>
      <c r="T240" s="541"/>
      <c r="U240" s="547"/>
      <c r="V240" s="548"/>
      <c r="W240" s="549"/>
      <c r="X240" s="541"/>
      <c r="Y240" s="547"/>
      <c r="Z240" s="548"/>
      <c r="AA240" s="549"/>
      <c r="AB240" s="541"/>
      <c r="AC240" s="547"/>
      <c r="AD240" s="548"/>
      <c r="AE240" s="549"/>
      <c r="AF240" s="541"/>
      <c r="AG240" s="547"/>
      <c r="AH240" s="548"/>
      <c r="AI240" s="549"/>
      <c r="AJ240" s="541"/>
      <c r="AK240" s="394"/>
      <c r="AL240" s="430"/>
      <c r="AM240" s="395"/>
      <c r="AN240" s="529"/>
      <c r="AO240" s="394"/>
      <c r="AP240" s="430"/>
      <c r="AQ240" s="395"/>
      <c r="AR240" s="529"/>
      <c r="AS240" s="542"/>
      <c r="AT240" s="542"/>
    </row>
    <row r="241">
      <c r="A241" s="394"/>
      <c r="B241" s="430"/>
      <c r="C241" s="395"/>
      <c r="D241" s="529"/>
      <c r="E241" s="394"/>
      <c r="F241" s="430"/>
      <c r="G241" s="395"/>
      <c r="H241" s="529"/>
      <c r="I241" s="394"/>
      <c r="J241" s="430"/>
      <c r="K241" s="395"/>
      <c r="L241" s="529"/>
      <c r="M241" s="394"/>
      <c r="N241" s="430"/>
      <c r="O241" s="395"/>
      <c r="P241" s="529"/>
      <c r="Q241" s="547"/>
      <c r="R241" s="548"/>
      <c r="S241" s="549"/>
      <c r="T241" s="541"/>
      <c r="U241" s="547"/>
      <c r="V241" s="548"/>
      <c r="W241" s="549"/>
      <c r="X241" s="541"/>
      <c r="Y241" s="547"/>
      <c r="Z241" s="548"/>
      <c r="AA241" s="549"/>
      <c r="AB241" s="541"/>
      <c r="AC241" s="547"/>
      <c r="AD241" s="548"/>
      <c r="AE241" s="549"/>
      <c r="AF241" s="541"/>
      <c r="AG241" s="547"/>
      <c r="AH241" s="548"/>
      <c r="AI241" s="549"/>
      <c r="AJ241" s="541"/>
      <c r="AK241" s="394"/>
      <c r="AL241" s="430"/>
      <c r="AM241" s="395"/>
      <c r="AN241" s="529"/>
      <c r="AO241" s="394"/>
      <c r="AP241" s="430"/>
      <c r="AQ241" s="395"/>
      <c r="AR241" s="529"/>
      <c r="AS241" s="542"/>
      <c r="AT241" s="542"/>
    </row>
    <row r="242">
      <c r="A242" s="394"/>
      <c r="B242" s="430"/>
      <c r="C242" s="395"/>
      <c r="D242" s="529"/>
      <c r="E242" s="394"/>
      <c r="F242" s="430"/>
      <c r="G242" s="395"/>
      <c r="H242" s="529"/>
      <c r="I242" s="394"/>
      <c r="J242" s="430"/>
      <c r="K242" s="395"/>
      <c r="L242" s="529"/>
      <c r="M242" s="394"/>
      <c r="N242" s="430"/>
      <c r="O242" s="395"/>
      <c r="P242" s="529"/>
      <c r="Q242" s="547"/>
      <c r="R242" s="548"/>
      <c r="S242" s="549"/>
      <c r="T242" s="541"/>
      <c r="U242" s="547"/>
      <c r="V242" s="548"/>
      <c r="W242" s="549"/>
      <c r="X242" s="541"/>
      <c r="Y242" s="547"/>
      <c r="Z242" s="548"/>
      <c r="AA242" s="549"/>
      <c r="AB242" s="541"/>
      <c r="AC242" s="547"/>
      <c r="AD242" s="548"/>
      <c r="AE242" s="549"/>
      <c r="AF242" s="541"/>
      <c r="AG242" s="547"/>
      <c r="AH242" s="548"/>
      <c r="AI242" s="549"/>
      <c r="AJ242" s="541"/>
      <c r="AK242" s="394"/>
      <c r="AL242" s="430"/>
      <c r="AM242" s="395"/>
      <c r="AN242" s="529"/>
      <c r="AO242" s="394"/>
      <c r="AP242" s="430"/>
      <c r="AQ242" s="395"/>
      <c r="AR242" s="529"/>
      <c r="AS242" s="542"/>
      <c r="AT242" s="542"/>
    </row>
    <row r="243">
      <c r="A243" s="394"/>
      <c r="B243" s="430"/>
      <c r="C243" s="395"/>
      <c r="D243" s="529"/>
      <c r="E243" s="394"/>
      <c r="F243" s="430"/>
      <c r="G243" s="395"/>
      <c r="H243" s="529"/>
      <c r="I243" s="394"/>
      <c r="J243" s="430"/>
      <c r="K243" s="395"/>
      <c r="L243" s="529"/>
      <c r="M243" s="394"/>
      <c r="N243" s="430"/>
      <c r="O243" s="395"/>
      <c r="P243" s="529"/>
      <c r="Q243" s="547"/>
      <c r="R243" s="548"/>
      <c r="S243" s="549"/>
      <c r="T243" s="541"/>
      <c r="U243" s="547"/>
      <c r="V243" s="548"/>
      <c r="W243" s="549"/>
      <c r="X243" s="541"/>
      <c r="Y243" s="547"/>
      <c r="Z243" s="548"/>
      <c r="AA243" s="549"/>
      <c r="AB243" s="541"/>
      <c r="AC243" s="547"/>
      <c r="AD243" s="548"/>
      <c r="AE243" s="549"/>
      <c r="AF243" s="541"/>
      <c r="AG243" s="547"/>
      <c r="AH243" s="548"/>
      <c r="AI243" s="549"/>
      <c r="AJ243" s="541"/>
      <c r="AK243" s="394"/>
      <c r="AL243" s="430"/>
      <c r="AM243" s="395"/>
      <c r="AN243" s="529"/>
      <c r="AO243" s="394"/>
      <c r="AP243" s="430"/>
      <c r="AQ243" s="395"/>
      <c r="AR243" s="529"/>
      <c r="AS243" s="542"/>
      <c r="AT243" s="542"/>
    </row>
    <row r="244">
      <c r="A244" s="394"/>
      <c r="B244" s="430"/>
      <c r="C244" s="395"/>
      <c r="D244" s="529"/>
      <c r="E244" s="394"/>
      <c r="F244" s="430"/>
      <c r="G244" s="395"/>
      <c r="H244" s="529"/>
      <c r="I244" s="394"/>
      <c r="J244" s="430"/>
      <c r="K244" s="395"/>
      <c r="L244" s="529"/>
      <c r="M244" s="394"/>
      <c r="N244" s="430"/>
      <c r="O244" s="395"/>
      <c r="P244" s="529"/>
      <c r="Q244" s="547"/>
      <c r="R244" s="548"/>
      <c r="S244" s="549"/>
      <c r="T244" s="541"/>
      <c r="U244" s="547"/>
      <c r="V244" s="548"/>
      <c r="W244" s="549"/>
      <c r="X244" s="541"/>
      <c r="Y244" s="547"/>
      <c r="Z244" s="548"/>
      <c r="AA244" s="549"/>
      <c r="AB244" s="541"/>
      <c r="AC244" s="547"/>
      <c r="AD244" s="548"/>
      <c r="AE244" s="549"/>
      <c r="AF244" s="541"/>
      <c r="AG244" s="547"/>
      <c r="AH244" s="548"/>
      <c r="AI244" s="549"/>
      <c r="AJ244" s="541"/>
      <c r="AK244" s="394"/>
      <c r="AL244" s="430"/>
      <c r="AM244" s="395"/>
      <c r="AN244" s="529"/>
      <c r="AO244" s="394"/>
      <c r="AP244" s="430"/>
      <c r="AQ244" s="395"/>
      <c r="AR244" s="529"/>
      <c r="AS244" s="542"/>
      <c r="AT244" s="542"/>
    </row>
    <row r="245">
      <c r="A245" s="394"/>
      <c r="B245" s="430"/>
      <c r="C245" s="395"/>
      <c r="D245" s="529"/>
      <c r="E245" s="394"/>
      <c r="F245" s="430"/>
      <c r="G245" s="395"/>
      <c r="H245" s="529"/>
      <c r="I245" s="394"/>
      <c r="J245" s="430"/>
      <c r="K245" s="395"/>
      <c r="L245" s="529"/>
      <c r="M245" s="394"/>
      <c r="N245" s="430"/>
      <c r="O245" s="395"/>
      <c r="P245" s="529"/>
      <c r="Q245" s="547"/>
      <c r="R245" s="548"/>
      <c r="S245" s="549"/>
      <c r="T245" s="541"/>
      <c r="U245" s="547"/>
      <c r="V245" s="548"/>
      <c r="W245" s="549"/>
      <c r="X245" s="541"/>
      <c r="Y245" s="547"/>
      <c r="Z245" s="548"/>
      <c r="AA245" s="549"/>
      <c r="AB245" s="541"/>
      <c r="AC245" s="547"/>
      <c r="AD245" s="548"/>
      <c r="AE245" s="549"/>
      <c r="AF245" s="541"/>
      <c r="AG245" s="547"/>
      <c r="AH245" s="548"/>
      <c r="AI245" s="549"/>
      <c r="AJ245" s="541"/>
      <c r="AK245" s="394"/>
      <c r="AL245" s="430"/>
      <c r="AM245" s="395"/>
      <c r="AN245" s="529"/>
      <c r="AO245" s="394"/>
      <c r="AP245" s="430"/>
      <c r="AQ245" s="395"/>
      <c r="AR245" s="529"/>
      <c r="AS245" s="542"/>
      <c r="AT245" s="542"/>
    </row>
    <row r="246">
      <c r="A246" s="394"/>
      <c r="B246" s="430"/>
      <c r="C246" s="395"/>
      <c r="D246" s="529"/>
      <c r="E246" s="394"/>
      <c r="F246" s="430"/>
      <c r="G246" s="395"/>
      <c r="H246" s="529"/>
      <c r="I246" s="394"/>
      <c r="J246" s="430"/>
      <c r="K246" s="395"/>
      <c r="L246" s="529"/>
      <c r="M246" s="394"/>
      <c r="N246" s="430"/>
      <c r="O246" s="395"/>
      <c r="P246" s="529"/>
      <c r="Q246" s="547"/>
      <c r="R246" s="548"/>
      <c r="S246" s="549"/>
      <c r="T246" s="541"/>
      <c r="U246" s="547"/>
      <c r="V246" s="548"/>
      <c r="W246" s="549"/>
      <c r="X246" s="541"/>
      <c r="Y246" s="547"/>
      <c r="Z246" s="548"/>
      <c r="AA246" s="549"/>
      <c r="AB246" s="541"/>
      <c r="AC246" s="547"/>
      <c r="AD246" s="548"/>
      <c r="AE246" s="549"/>
      <c r="AF246" s="541"/>
      <c r="AG246" s="547"/>
      <c r="AH246" s="548"/>
      <c r="AI246" s="549"/>
      <c r="AJ246" s="541"/>
      <c r="AK246" s="394"/>
      <c r="AL246" s="430"/>
      <c r="AM246" s="395"/>
      <c r="AN246" s="529"/>
      <c r="AO246" s="394"/>
      <c r="AP246" s="430"/>
      <c r="AQ246" s="395"/>
      <c r="AR246" s="529"/>
      <c r="AS246" s="542"/>
      <c r="AT246" s="542"/>
    </row>
    <row r="247">
      <c r="A247" s="394"/>
      <c r="B247" s="430"/>
      <c r="C247" s="395"/>
      <c r="D247" s="529"/>
      <c r="E247" s="394"/>
      <c r="F247" s="430"/>
      <c r="G247" s="395"/>
      <c r="H247" s="529"/>
      <c r="I247" s="394"/>
      <c r="J247" s="430"/>
      <c r="K247" s="395"/>
      <c r="L247" s="529"/>
      <c r="M247" s="394"/>
      <c r="N247" s="430"/>
      <c r="O247" s="395"/>
      <c r="P247" s="529"/>
      <c r="Q247" s="547"/>
      <c r="R247" s="548"/>
      <c r="S247" s="549"/>
      <c r="T247" s="541"/>
      <c r="U247" s="547"/>
      <c r="V247" s="548"/>
      <c r="W247" s="549"/>
      <c r="X247" s="541"/>
      <c r="Y247" s="547"/>
      <c r="Z247" s="548"/>
      <c r="AA247" s="549"/>
      <c r="AB247" s="541"/>
      <c r="AC247" s="547"/>
      <c r="AD247" s="548"/>
      <c r="AE247" s="549"/>
      <c r="AF247" s="541"/>
      <c r="AG247" s="547"/>
      <c r="AH247" s="548"/>
      <c r="AI247" s="549"/>
      <c r="AJ247" s="541"/>
      <c r="AK247" s="394"/>
      <c r="AL247" s="430"/>
      <c r="AM247" s="395"/>
      <c r="AN247" s="529"/>
      <c r="AO247" s="394"/>
      <c r="AP247" s="430"/>
      <c r="AQ247" s="395"/>
      <c r="AR247" s="529"/>
      <c r="AS247" s="542"/>
      <c r="AT247" s="542"/>
    </row>
    <row r="248">
      <c r="A248" s="394"/>
      <c r="B248" s="430"/>
      <c r="C248" s="395"/>
      <c r="D248" s="529"/>
      <c r="E248" s="394"/>
      <c r="F248" s="430"/>
      <c r="G248" s="395"/>
      <c r="H248" s="529"/>
      <c r="I248" s="394"/>
      <c r="J248" s="430"/>
      <c r="K248" s="395"/>
      <c r="L248" s="529"/>
      <c r="M248" s="394"/>
      <c r="N248" s="430"/>
      <c r="O248" s="395"/>
      <c r="P248" s="529"/>
      <c r="Q248" s="547"/>
      <c r="R248" s="548"/>
      <c r="S248" s="549"/>
      <c r="T248" s="541"/>
      <c r="U248" s="547"/>
      <c r="V248" s="548"/>
      <c r="W248" s="549"/>
      <c r="X248" s="541"/>
      <c r="Y248" s="547"/>
      <c r="Z248" s="548"/>
      <c r="AA248" s="549"/>
      <c r="AB248" s="541"/>
      <c r="AC248" s="547"/>
      <c r="AD248" s="548"/>
      <c r="AE248" s="549"/>
      <c r="AF248" s="541"/>
      <c r="AG248" s="547"/>
      <c r="AH248" s="548"/>
      <c r="AI248" s="549"/>
      <c r="AJ248" s="541"/>
      <c r="AK248" s="394"/>
      <c r="AL248" s="430"/>
      <c r="AM248" s="395"/>
      <c r="AN248" s="529"/>
      <c r="AO248" s="394"/>
      <c r="AP248" s="430"/>
      <c r="AQ248" s="395"/>
      <c r="AR248" s="529"/>
      <c r="AS248" s="542"/>
      <c r="AT248" s="542"/>
    </row>
    <row r="249">
      <c r="A249" s="394"/>
      <c r="B249" s="430"/>
      <c r="C249" s="395"/>
      <c r="D249" s="529"/>
      <c r="E249" s="394"/>
      <c r="F249" s="430"/>
      <c r="G249" s="395"/>
      <c r="H249" s="529"/>
      <c r="I249" s="394"/>
      <c r="J249" s="430"/>
      <c r="K249" s="395"/>
      <c r="L249" s="529"/>
      <c r="M249" s="394"/>
      <c r="N249" s="430"/>
      <c r="O249" s="395"/>
      <c r="P249" s="529"/>
      <c r="Q249" s="547"/>
      <c r="R249" s="548"/>
      <c r="S249" s="549"/>
      <c r="T249" s="541"/>
      <c r="U249" s="547"/>
      <c r="V249" s="548"/>
      <c r="W249" s="549"/>
      <c r="X249" s="541"/>
      <c r="Y249" s="547"/>
      <c r="Z249" s="548"/>
      <c r="AA249" s="549"/>
      <c r="AB249" s="541"/>
      <c r="AC249" s="547"/>
      <c r="AD249" s="548"/>
      <c r="AE249" s="549"/>
      <c r="AF249" s="541"/>
      <c r="AG249" s="547"/>
      <c r="AH249" s="548"/>
      <c r="AI249" s="549"/>
      <c r="AJ249" s="541"/>
      <c r="AK249" s="394"/>
      <c r="AL249" s="430"/>
      <c r="AM249" s="395"/>
      <c r="AN249" s="529"/>
      <c r="AO249" s="394"/>
      <c r="AP249" s="430"/>
      <c r="AQ249" s="395"/>
      <c r="AR249" s="529"/>
      <c r="AS249" s="542"/>
      <c r="AT249" s="542"/>
    </row>
    <row r="250">
      <c r="A250" s="394"/>
      <c r="B250" s="430"/>
      <c r="C250" s="395"/>
      <c r="D250" s="529"/>
      <c r="E250" s="394"/>
      <c r="F250" s="430"/>
      <c r="G250" s="395"/>
      <c r="H250" s="529"/>
      <c r="I250" s="394"/>
      <c r="J250" s="430"/>
      <c r="K250" s="395"/>
      <c r="L250" s="529"/>
      <c r="M250" s="394"/>
      <c r="N250" s="430"/>
      <c r="O250" s="395"/>
      <c r="P250" s="529"/>
      <c r="Q250" s="547"/>
      <c r="R250" s="548"/>
      <c r="S250" s="549"/>
      <c r="T250" s="541"/>
      <c r="U250" s="547"/>
      <c r="V250" s="548"/>
      <c r="W250" s="549"/>
      <c r="X250" s="541"/>
      <c r="Y250" s="547"/>
      <c r="Z250" s="548"/>
      <c r="AA250" s="549"/>
      <c r="AB250" s="541"/>
      <c r="AC250" s="547"/>
      <c r="AD250" s="548"/>
      <c r="AE250" s="549"/>
      <c r="AF250" s="541"/>
      <c r="AG250" s="547"/>
      <c r="AH250" s="548"/>
      <c r="AI250" s="549"/>
      <c r="AJ250" s="541"/>
      <c r="AK250" s="394"/>
      <c r="AL250" s="430"/>
      <c r="AM250" s="395"/>
      <c r="AN250" s="529"/>
      <c r="AO250" s="394"/>
      <c r="AP250" s="430"/>
      <c r="AQ250" s="395"/>
      <c r="AR250" s="529"/>
      <c r="AS250" s="542"/>
      <c r="AT250" s="542"/>
    </row>
    <row r="251">
      <c r="A251" s="394"/>
      <c r="B251" s="430"/>
      <c r="C251" s="395"/>
      <c r="D251" s="529"/>
      <c r="E251" s="394"/>
      <c r="F251" s="430"/>
      <c r="G251" s="395"/>
      <c r="H251" s="529"/>
      <c r="I251" s="394"/>
      <c r="J251" s="430"/>
      <c r="K251" s="395"/>
      <c r="L251" s="529"/>
      <c r="M251" s="394"/>
      <c r="N251" s="430"/>
      <c r="O251" s="395"/>
      <c r="P251" s="529"/>
      <c r="Q251" s="547"/>
      <c r="R251" s="548"/>
      <c r="S251" s="549"/>
      <c r="T251" s="541"/>
      <c r="U251" s="547"/>
      <c r="V251" s="548"/>
      <c r="W251" s="549"/>
      <c r="X251" s="541"/>
      <c r="Y251" s="547"/>
      <c r="Z251" s="548"/>
      <c r="AA251" s="549"/>
      <c r="AB251" s="541"/>
      <c r="AC251" s="547"/>
      <c r="AD251" s="548"/>
      <c r="AE251" s="549"/>
      <c r="AF251" s="541"/>
      <c r="AG251" s="547"/>
      <c r="AH251" s="548"/>
      <c r="AI251" s="549"/>
      <c r="AJ251" s="541"/>
      <c r="AK251" s="394"/>
      <c r="AL251" s="430"/>
      <c r="AM251" s="395"/>
      <c r="AN251" s="529"/>
      <c r="AO251" s="394"/>
      <c r="AP251" s="430"/>
      <c r="AQ251" s="395"/>
      <c r="AR251" s="529"/>
      <c r="AS251" s="542"/>
      <c r="AT251" s="542"/>
    </row>
    <row r="252">
      <c r="A252" s="394"/>
      <c r="B252" s="430"/>
      <c r="C252" s="395"/>
      <c r="D252" s="529"/>
      <c r="E252" s="394"/>
      <c r="F252" s="430"/>
      <c r="G252" s="395"/>
      <c r="H252" s="529"/>
      <c r="I252" s="394"/>
      <c r="J252" s="430"/>
      <c r="K252" s="395"/>
      <c r="L252" s="529"/>
      <c r="M252" s="394"/>
      <c r="N252" s="430"/>
      <c r="O252" s="395"/>
      <c r="P252" s="529"/>
      <c r="Q252" s="547"/>
      <c r="R252" s="548"/>
      <c r="S252" s="549"/>
      <c r="T252" s="541"/>
      <c r="U252" s="547"/>
      <c r="V252" s="548"/>
      <c r="W252" s="549"/>
      <c r="X252" s="541"/>
      <c r="Y252" s="547"/>
      <c r="Z252" s="548"/>
      <c r="AA252" s="549"/>
      <c r="AB252" s="541"/>
      <c r="AC252" s="547"/>
      <c r="AD252" s="548"/>
      <c r="AE252" s="549"/>
      <c r="AF252" s="541"/>
      <c r="AG252" s="547"/>
      <c r="AH252" s="548"/>
      <c r="AI252" s="549"/>
      <c r="AJ252" s="541"/>
      <c r="AK252" s="394"/>
      <c r="AL252" s="430"/>
      <c r="AM252" s="395"/>
      <c r="AN252" s="529"/>
      <c r="AO252" s="394"/>
      <c r="AP252" s="430"/>
      <c r="AQ252" s="395"/>
      <c r="AR252" s="529"/>
      <c r="AS252" s="542"/>
      <c r="AT252" s="542"/>
    </row>
    <row r="253">
      <c r="A253" s="394"/>
      <c r="B253" s="430"/>
      <c r="C253" s="395"/>
      <c r="D253" s="529"/>
      <c r="E253" s="394"/>
      <c r="F253" s="430"/>
      <c r="G253" s="395"/>
      <c r="H253" s="529"/>
      <c r="I253" s="394"/>
      <c r="J253" s="430"/>
      <c r="K253" s="395"/>
      <c r="L253" s="529"/>
      <c r="M253" s="394"/>
      <c r="N253" s="430"/>
      <c r="O253" s="395"/>
      <c r="P253" s="529"/>
      <c r="Q253" s="547"/>
      <c r="R253" s="548"/>
      <c r="S253" s="549"/>
      <c r="T253" s="541"/>
      <c r="U253" s="547"/>
      <c r="V253" s="548"/>
      <c r="W253" s="549"/>
      <c r="X253" s="541"/>
      <c r="Y253" s="547"/>
      <c r="Z253" s="548"/>
      <c r="AA253" s="549"/>
      <c r="AB253" s="541"/>
      <c r="AC253" s="547"/>
      <c r="AD253" s="548"/>
      <c r="AE253" s="549"/>
      <c r="AF253" s="541"/>
      <c r="AG253" s="547"/>
      <c r="AH253" s="548"/>
      <c r="AI253" s="549"/>
      <c r="AJ253" s="541"/>
      <c r="AK253" s="394"/>
      <c r="AL253" s="430"/>
      <c r="AM253" s="395"/>
      <c r="AN253" s="529"/>
      <c r="AO253" s="394"/>
      <c r="AP253" s="430"/>
      <c r="AQ253" s="395"/>
      <c r="AR253" s="529"/>
      <c r="AS253" s="542"/>
      <c r="AT253" s="542"/>
    </row>
    <row r="254">
      <c r="A254" s="394"/>
      <c r="B254" s="430"/>
      <c r="C254" s="395"/>
      <c r="D254" s="529"/>
      <c r="E254" s="394"/>
      <c r="F254" s="430"/>
      <c r="G254" s="395"/>
      <c r="H254" s="529"/>
      <c r="I254" s="394"/>
      <c r="J254" s="430"/>
      <c r="K254" s="395"/>
      <c r="L254" s="529"/>
      <c r="M254" s="394"/>
      <c r="N254" s="430"/>
      <c r="O254" s="395"/>
      <c r="P254" s="529"/>
      <c r="Q254" s="547"/>
      <c r="R254" s="548"/>
      <c r="S254" s="549"/>
      <c r="T254" s="541"/>
      <c r="U254" s="547"/>
      <c r="V254" s="548"/>
      <c r="W254" s="549"/>
      <c r="X254" s="541"/>
      <c r="Y254" s="547"/>
      <c r="Z254" s="548"/>
      <c r="AA254" s="549"/>
      <c r="AB254" s="541"/>
      <c r="AC254" s="547"/>
      <c r="AD254" s="548"/>
      <c r="AE254" s="549"/>
      <c r="AF254" s="541"/>
      <c r="AG254" s="547"/>
      <c r="AH254" s="548"/>
      <c r="AI254" s="549"/>
      <c r="AJ254" s="541"/>
      <c r="AK254" s="394"/>
      <c r="AL254" s="430"/>
      <c r="AM254" s="395"/>
      <c r="AN254" s="529"/>
      <c r="AO254" s="394"/>
      <c r="AP254" s="430"/>
      <c r="AQ254" s="395"/>
      <c r="AR254" s="529"/>
      <c r="AS254" s="542"/>
      <c r="AT254" s="542"/>
    </row>
    <row r="255">
      <c r="A255" s="394"/>
      <c r="B255" s="430"/>
      <c r="C255" s="395"/>
      <c r="D255" s="529"/>
      <c r="E255" s="394"/>
      <c r="F255" s="430"/>
      <c r="G255" s="395"/>
      <c r="H255" s="529"/>
      <c r="I255" s="394"/>
      <c r="J255" s="430"/>
      <c r="K255" s="395"/>
      <c r="L255" s="529"/>
      <c r="M255" s="394"/>
      <c r="N255" s="430"/>
      <c r="O255" s="395"/>
      <c r="P255" s="529"/>
      <c r="Q255" s="547"/>
      <c r="R255" s="548"/>
      <c r="S255" s="549"/>
      <c r="T255" s="541"/>
      <c r="U255" s="547"/>
      <c r="V255" s="548"/>
      <c r="W255" s="549"/>
      <c r="X255" s="541"/>
      <c r="Y255" s="547"/>
      <c r="Z255" s="548"/>
      <c r="AA255" s="549"/>
      <c r="AB255" s="541"/>
      <c r="AC255" s="547"/>
      <c r="AD255" s="548"/>
      <c r="AE255" s="549"/>
      <c r="AF255" s="541"/>
      <c r="AG255" s="547"/>
      <c r="AH255" s="548"/>
      <c r="AI255" s="549"/>
      <c r="AJ255" s="541"/>
      <c r="AK255" s="394"/>
      <c r="AL255" s="430"/>
      <c r="AM255" s="395"/>
      <c r="AN255" s="529"/>
      <c r="AO255" s="394"/>
      <c r="AP255" s="430"/>
      <c r="AQ255" s="395"/>
      <c r="AR255" s="529"/>
      <c r="AS255" s="542"/>
      <c r="AT255" s="542"/>
    </row>
    <row r="256">
      <c r="A256" s="394"/>
      <c r="B256" s="430"/>
      <c r="C256" s="395"/>
      <c r="D256" s="529"/>
      <c r="E256" s="394"/>
      <c r="F256" s="430"/>
      <c r="G256" s="395"/>
      <c r="H256" s="529"/>
      <c r="I256" s="394"/>
      <c r="J256" s="430"/>
      <c r="K256" s="395"/>
      <c r="L256" s="529"/>
      <c r="M256" s="394"/>
      <c r="N256" s="430"/>
      <c r="O256" s="395"/>
      <c r="P256" s="529"/>
      <c r="Q256" s="547"/>
      <c r="R256" s="548"/>
      <c r="S256" s="549"/>
      <c r="T256" s="541"/>
      <c r="U256" s="547"/>
      <c r="V256" s="548"/>
      <c r="W256" s="549"/>
      <c r="X256" s="541"/>
      <c r="Y256" s="547"/>
      <c r="Z256" s="548"/>
      <c r="AA256" s="549"/>
      <c r="AB256" s="541"/>
      <c r="AC256" s="547"/>
      <c r="AD256" s="548"/>
      <c r="AE256" s="549"/>
      <c r="AF256" s="541"/>
      <c r="AG256" s="547"/>
      <c r="AH256" s="548"/>
      <c r="AI256" s="549"/>
      <c r="AJ256" s="541"/>
      <c r="AK256" s="394"/>
      <c r="AL256" s="430"/>
      <c r="AM256" s="395"/>
      <c r="AN256" s="529"/>
      <c r="AO256" s="394"/>
      <c r="AP256" s="430"/>
      <c r="AQ256" s="395"/>
      <c r="AR256" s="529"/>
      <c r="AS256" s="542"/>
      <c r="AT256" s="542"/>
    </row>
    <row r="257">
      <c r="A257" s="394"/>
      <c r="B257" s="430"/>
      <c r="C257" s="395"/>
      <c r="D257" s="529"/>
      <c r="E257" s="394"/>
      <c r="F257" s="430"/>
      <c r="G257" s="395"/>
      <c r="H257" s="529"/>
      <c r="I257" s="394"/>
      <c r="J257" s="430"/>
      <c r="K257" s="395"/>
      <c r="L257" s="529"/>
      <c r="M257" s="394"/>
      <c r="N257" s="430"/>
      <c r="O257" s="395"/>
      <c r="P257" s="529"/>
      <c r="Q257" s="547"/>
      <c r="R257" s="548"/>
      <c r="S257" s="549"/>
      <c r="T257" s="541"/>
      <c r="U257" s="547"/>
      <c r="V257" s="548"/>
      <c r="W257" s="549"/>
      <c r="X257" s="541"/>
      <c r="Y257" s="547"/>
      <c r="Z257" s="548"/>
      <c r="AA257" s="549"/>
      <c r="AB257" s="541"/>
      <c r="AC257" s="547"/>
      <c r="AD257" s="548"/>
      <c r="AE257" s="549"/>
      <c r="AF257" s="541"/>
      <c r="AG257" s="547"/>
      <c r="AH257" s="548"/>
      <c r="AI257" s="549"/>
      <c r="AJ257" s="541"/>
      <c r="AK257" s="394"/>
      <c r="AL257" s="430"/>
      <c r="AM257" s="395"/>
      <c r="AN257" s="529"/>
      <c r="AO257" s="394"/>
      <c r="AP257" s="430"/>
      <c r="AQ257" s="395"/>
      <c r="AR257" s="529"/>
      <c r="AS257" s="542"/>
      <c r="AT257" s="542"/>
    </row>
    <row r="258">
      <c r="A258" s="394"/>
      <c r="B258" s="430"/>
      <c r="C258" s="395"/>
      <c r="D258" s="529"/>
      <c r="E258" s="394"/>
      <c r="F258" s="430"/>
      <c r="G258" s="395"/>
      <c r="H258" s="529"/>
      <c r="I258" s="394"/>
      <c r="J258" s="430"/>
      <c r="K258" s="395"/>
      <c r="L258" s="529"/>
      <c r="M258" s="394"/>
      <c r="N258" s="430"/>
      <c r="O258" s="395"/>
      <c r="P258" s="529"/>
      <c r="Q258" s="547"/>
      <c r="R258" s="548"/>
      <c r="S258" s="549"/>
      <c r="T258" s="541"/>
      <c r="U258" s="547"/>
      <c r="V258" s="548"/>
      <c r="W258" s="549"/>
      <c r="X258" s="541"/>
      <c r="Y258" s="547"/>
      <c r="Z258" s="548"/>
      <c r="AA258" s="549"/>
      <c r="AB258" s="541"/>
      <c r="AC258" s="547"/>
      <c r="AD258" s="548"/>
      <c r="AE258" s="549"/>
      <c r="AF258" s="541"/>
      <c r="AG258" s="547"/>
      <c r="AH258" s="548"/>
      <c r="AI258" s="549"/>
      <c r="AJ258" s="541"/>
      <c r="AK258" s="394"/>
      <c r="AL258" s="430"/>
      <c r="AM258" s="395"/>
      <c r="AN258" s="529"/>
      <c r="AO258" s="394"/>
      <c r="AP258" s="430"/>
      <c r="AQ258" s="395"/>
      <c r="AR258" s="529"/>
      <c r="AS258" s="542"/>
      <c r="AT258" s="542"/>
    </row>
    <row r="259">
      <c r="A259" s="394"/>
      <c r="B259" s="430"/>
      <c r="C259" s="395"/>
      <c r="D259" s="529"/>
      <c r="E259" s="394"/>
      <c r="F259" s="430"/>
      <c r="G259" s="395"/>
      <c r="H259" s="529"/>
      <c r="I259" s="394"/>
      <c r="J259" s="430"/>
      <c r="K259" s="395"/>
      <c r="L259" s="529"/>
      <c r="M259" s="394"/>
      <c r="N259" s="430"/>
      <c r="O259" s="395"/>
      <c r="P259" s="529"/>
      <c r="Q259" s="547"/>
      <c r="R259" s="548"/>
      <c r="S259" s="549"/>
      <c r="T259" s="541"/>
      <c r="U259" s="547"/>
      <c r="V259" s="548"/>
      <c r="W259" s="549"/>
      <c r="X259" s="541"/>
      <c r="Y259" s="547"/>
      <c r="Z259" s="548"/>
      <c r="AA259" s="549"/>
      <c r="AB259" s="541"/>
      <c r="AC259" s="547"/>
      <c r="AD259" s="548"/>
      <c r="AE259" s="549"/>
      <c r="AF259" s="541"/>
      <c r="AG259" s="547"/>
      <c r="AH259" s="548"/>
      <c r="AI259" s="549"/>
      <c r="AJ259" s="541"/>
      <c r="AK259" s="394"/>
      <c r="AL259" s="430"/>
      <c r="AM259" s="395"/>
      <c r="AN259" s="529"/>
      <c r="AO259" s="394"/>
      <c r="AP259" s="430"/>
      <c r="AQ259" s="395"/>
      <c r="AR259" s="529"/>
      <c r="AS259" s="542"/>
      <c r="AT259" s="542"/>
    </row>
    <row r="260">
      <c r="A260" s="394"/>
      <c r="B260" s="430"/>
      <c r="C260" s="395"/>
      <c r="D260" s="529"/>
      <c r="E260" s="394"/>
      <c r="F260" s="430"/>
      <c r="G260" s="395"/>
      <c r="H260" s="529"/>
      <c r="I260" s="394"/>
      <c r="J260" s="430"/>
      <c r="K260" s="395"/>
      <c r="L260" s="529"/>
      <c r="M260" s="394"/>
      <c r="N260" s="430"/>
      <c r="O260" s="395"/>
      <c r="P260" s="529"/>
      <c r="Q260" s="547"/>
      <c r="R260" s="548"/>
      <c r="S260" s="549"/>
      <c r="T260" s="541"/>
      <c r="U260" s="547"/>
      <c r="V260" s="548"/>
      <c r="W260" s="549"/>
      <c r="X260" s="541"/>
      <c r="Y260" s="547"/>
      <c r="Z260" s="548"/>
      <c r="AA260" s="549"/>
      <c r="AB260" s="541"/>
      <c r="AC260" s="547"/>
      <c r="AD260" s="548"/>
      <c r="AE260" s="549"/>
      <c r="AF260" s="541"/>
      <c r="AG260" s="547"/>
      <c r="AH260" s="548"/>
      <c r="AI260" s="549"/>
      <c r="AJ260" s="541"/>
      <c r="AK260" s="394"/>
      <c r="AL260" s="430"/>
      <c r="AM260" s="395"/>
      <c r="AN260" s="529"/>
      <c r="AO260" s="394"/>
      <c r="AP260" s="430"/>
      <c r="AQ260" s="395"/>
      <c r="AR260" s="529"/>
      <c r="AS260" s="542"/>
      <c r="AT260" s="542"/>
    </row>
    <row r="261">
      <c r="A261" s="394"/>
      <c r="B261" s="430"/>
      <c r="C261" s="395"/>
      <c r="D261" s="529"/>
      <c r="E261" s="394"/>
      <c r="F261" s="430"/>
      <c r="G261" s="395"/>
      <c r="H261" s="529"/>
      <c r="I261" s="394"/>
      <c r="J261" s="430"/>
      <c r="K261" s="395"/>
      <c r="L261" s="529"/>
      <c r="M261" s="394"/>
      <c r="N261" s="430"/>
      <c r="O261" s="395"/>
      <c r="P261" s="529"/>
      <c r="Q261" s="547"/>
      <c r="R261" s="548"/>
      <c r="S261" s="549"/>
      <c r="T261" s="541"/>
      <c r="U261" s="547"/>
      <c r="V261" s="548"/>
      <c r="W261" s="549"/>
      <c r="X261" s="541"/>
      <c r="Y261" s="547"/>
      <c r="Z261" s="548"/>
      <c r="AA261" s="549"/>
      <c r="AB261" s="541"/>
      <c r="AC261" s="547"/>
      <c r="AD261" s="548"/>
      <c r="AE261" s="549"/>
      <c r="AF261" s="541"/>
      <c r="AG261" s="547"/>
      <c r="AH261" s="548"/>
      <c r="AI261" s="549"/>
      <c r="AJ261" s="541"/>
      <c r="AK261" s="394"/>
      <c r="AL261" s="430"/>
      <c r="AM261" s="395"/>
      <c r="AN261" s="529"/>
      <c r="AO261" s="394"/>
      <c r="AP261" s="430"/>
      <c r="AQ261" s="395"/>
      <c r="AR261" s="529"/>
      <c r="AS261" s="542"/>
      <c r="AT261" s="542"/>
    </row>
    <row r="262">
      <c r="A262" s="394"/>
      <c r="B262" s="430"/>
      <c r="C262" s="395"/>
      <c r="D262" s="529"/>
      <c r="E262" s="394"/>
      <c r="F262" s="430"/>
      <c r="G262" s="395"/>
      <c r="H262" s="529"/>
      <c r="I262" s="394"/>
      <c r="J262" s="430"/>
      <c r="K262" s="395"/>
      <c r="L262" s="529"/>
      <c r="M262" s="394"/>
      <c r="N262" s="430"/>
      <c r="O262" s="395"/>
      <c r="P262" s="529"/>
      <c r="Q262" s="547"/>
      <c r="R262" s="548"/>
      <c r="S262" s="549"/>
      <c r="T262" s="541"/>
      <c r="U262" s="547"/>
      <c r="V262" s="548"/>
      <c r="W262" s="549"/>
      <c r="X262" s="541"/>
      <c r="Y262" s="547"/>
      <c r="Z262" s="548"/>
      <c r="AA262" s="549"/>
      <c r="AB262" s="541"/>
      <c r="AC262" s="547"/>
      <c r="AD262" s="548"/>
      <c r="AE262" s="549"/>
      <c r="AF262" s="541"/>
      <c r="AG262" s="547"/>
      <c r="AH262" s="548"/>
      <c r="AI262" s="549"/>
      <c r="AJ262" s="541"/>
      <c r="AK262" s="394"/>
      <c r="AL262" s="430"/>
      <c r="AM262" s="395"/>
      <c r="AN262" s="529"/>
      <c r="AO262" s="394"/>
      <c r="AP262" s="430"/>
      <c r="AQ262" s="395"/>
      <c r="AR262" s="529"/>
      <c r="AS262" s="542"/>
      <c r="AT262" s="542"/>
    </row>
    <row r="263">
      <c r="A263" s="394"/>
      <c r="B263" s="430"/>
      <c r="C263" s="395"/>
      <c r="D263" s="529"/>
      <c r="E263" s="394"/>
      <c r="F263" s="430"/>
      <c r="G263" s="395"/>
      <c r="H263" s="529"/>
      <c r="I263" s="394"/>
      <c r="J263" s="430"/>
      <c r="K263" s="395"/>
      <c r="L263" s="529"/>
      <c r="M263" s="394"/>
      <c r="N263" s="430"/>
      <c r="O263" s="395"/>
      <c r="P263" s="529"/>
      <c r="Q263" s="547"/>
      <c r="R263" s="548"/>
      <c r="S263" s="549"/>
      <c r="T263" s="541"/>
      <c r="U263" s="547"/>
      <c r="V263" s="548"/>
      <c r="W263" s="549"/>
      <c r="X263" s="541"/>
      <c r="Y263" s="547"/>
      <c r="Z263" s="548"/>
      <c r="AA263" s="549"/>
      <c r="AB263" s="541"/>
      <c r="AC263" s="547"/>
      <c r="AD263" s="548"/>
      <c r="AE263" s="549"/>
      <c r="AF263" s="541"/>
      <c r="AG263" s="547"/>
      <c r="AH263" s="548"/>
      <c r="AI263" s="549"/>
      <c r="AJ263" s="541"/>
      <c r="AK263" s="394"/>
      <c r="AL263" s="430"/>
      <c r="AM263" s="395"/>
      <c r="AN263" s="529"/>
      <c r="AO263" s="394"/>
      <c r="AP263" s="430"/>
      <c r="AQ263" s="395"/>
      <c r="AR263" s="529"/>
      <c r="AS263" s="542"/>
      <c r="AT263" s="542"/>
    </row>
    <row r="264">
      <c r="A264" s="394"/>
      <c r="B264" s="430"/>
      <c r="C264" s="395"/>
      <c r="D264" s="529"/>
      <c r="E264" s="394"/>
      <c r="F264" s="430"/>
      <c r="G264" s="395"/>
      <c r="H264" s="529"/>
      <c r="I264" s="394"/>
      <c r="J264" s="430"/>
      <c r="K264" s="395"/>
      <c r="L264" s="529"/>
      <c r="M264" s="394"/>
      <c r="N264" s="430"/>
      <c r="O264" s="395"/>
      <c r="P264" s="529"/>
      <c r="Q264" s="547"/>
      <c r="R264" s="548"/>
      <c r="S264" s="549"/>
      <c r="T264" s="541"/>
      <c r="U264" s="547"/>
      <c r="V264" s="548"/>
      <c r="W264" s="549"/>
      <c r="X264" s="541"/>
      <c r="Y264" s="547"/>
      <c r="Z264" s="548"/>
      <c r="AA264" s="549"/>
      <c r="AB264" s="541"/>
      <c r="AC264" s="547"/>
      <c r="AD264" s="548"/>
      <c r="AE264" s="549"/>
      <c r="AF264" s="541"/>
      <c r="AG264" s="547"/>
      <c r="AH264" s="548"/>
      <c r="AI264" s="549"/>
      <c r="AJ264" s="541"/>
      <c r="AK264" s="394"/>
      <c r="AL264" s="430"/>
      <c r="AM264" s="395"/>
      <c r="AN264" s="529"/>
      <c r="AO264" s="394"/>
      <c r="AP264" s="430"/>
      <c r="AQ264" s="395"/>
      <c r="AR264" s="529"/>
      <c r="AS264" s="542"/>
      <c r="AT264" s="542"/>
    </row>
    <row r="265">
      <c r="A265" s="394"/>
      <c r="B265" s="430"/>
      <c r="C265" s="395"/>
      <c r="D265" s="529"/>
      <c r="E265" s="394"/>
      <c r="F265" s="430"/>
      <c r="G265" s="395"/>
      <c r="H265" s="529"/>
      <c r="I265" s="394"/>
      <c r="J265" s="430"/>
      <c r="K265" s="395"/>
      <c r="L265" s="529"/>
      <c r="M265" s="394"/>
      <c r="N265" s="430"/>
      <c r="O265" s="395"/>
      <c r="P265" s="529"/>
      <c r="Q265" s="547"/>
      <c r="R265" s="548"/>
      <c r="S265" s="549"/>
      <c r="T265" s="541"/>
      <c r="U265" s="547"/>
      <c r="V265" s="548"/>
      <c r="W265" s="549"/>
      <c r="X265" s="541"/>
      <c r="Y265" s="547"/>
      <c r="Z265" s="548"/>
      <c r="AA265" s="549"/>
      <c r="AB265" s="541"/>
      <c r="AC265" s="547"/>
      <c r="AD265" s="548"/>
      <c r="AE265" s="549"/>
      <c r="AF265" s="541"/>
      <c r="AG265" s="547"/>
      <c r="AH265" s="548"/>
      <c r="AI265" s="549"/>
      <c r="AJ265" s="541"/>
      <c r="AK265" s="394"/>
      <c r="AL265" s="430"/>
      <c r="AM265" s="395"/>
      <c r="AN265" s="529"/>
      <c r="AO265" s="394"/>
      <c r="AP265" s="430"/>
      <c r="AQ265" s="395"/>
      <c r="AR265" s="529"/>
      <c r="AS265" s="542"/>
      <c r="AT265" s="542"/>
    </row>
    <row r="266">
      <c r="A266" s="394"/>
      <c r="B266" s="430"/>
      <c r="C266" s="395"/>
      <c r="D266" s="529"/>
      <c r="E266" s="394"/>
      <c r="F266" s="430"/>
      <c r="G266" s="395"/>
      <c r="H266" s="529"/>
      <c r="I266" s="394"/>
      <c r="J266" s="430"/>
      <c r="K266" s="395"/>
      <c r="L266" s="529"/>
      <c r="M266" s="394"/>
      <c r="N266" s="430"/>
      <c r="O266" s="395"/>
      <c r="P266" s="529"/>
      <c r="Q266" s="547"/>
      <c r="R266" s="548"/>
      <c r="S266" s="549"/>
      <c r="T266" s="541"/>
      <c r="U266" s="547"/>
      <c r="V266" s="548"/>
      <c r="W266" s="549"/>
      <c r="X266" s="541"/>
      <c r="Y266" s="547"/>
      <c r="Z266" s="548"/>
      <c r="AA266" s="549"/>
      <c r="AB266" s="541"/>
      <c r="AC266" s="547"/>
      <c r="AD266" s="548"/>
      <c r="AE266" s="549"/>
      <c r="AF266" s="541"/>
      <c r="AG266" s="547"/>
      <c r="AH266" s="548"/>
      <c r="AI266" s="549"/>
      <c r="AJ266" s="541"/>
      <c r="AK266" s="394"/>
      <c r="AL266" s="430"/>
      <c r="AM266" s="395"/>
      <c r="AN266" s="529"/>
      <c r="AO266" s="394"/>
      <c r="AP266" s="430"/>
      <c r="AQ266" s="395"/>
      <c r="AR266" s="529"/>
      <c r="AS266" s="542"/>
      <c r="AT266" s="542"/>
    </row>
    <row r="267">
      <c r="A267" s="394"/>
      <c r="B267" s="430"/>
      <c r="C267" s="395"/>
      <c r="D267" s="529"/>
      <c r="E267" s="394"/>
      <c r="F267" s="430"/>
      <c r="G267" s="395"/>
      <c r="H267" s="529"/>
      <c r="I267" s="394"/>
      <c r="J267" s="430"/>
      <c r="K267" s="395"/>
      <c r="L267" s="529"/>
      <c r="M267" s="394"/>
      <c r="N267" s="430"/>
      <c r="O267" s="395"/>
      <c r="P267" s="529"/>
      <c r="Q267" s="547"/>
      <c r="R267" s="548"/>
      <c r="S267" s="549"/>
      <c r="T267" s="541"/>
      <c r="U267" s="547"/>
      <c r="V267" s="548"/>
      <c r="W267" s="549"/>
      <c r="X267" s="541"/>
      <c r="Y267" s="547"/>
      <c r="Z267" s="548"/>
      <c r="AA267" s="549"/>
      <c r="AB267" s="541"/>
      <c r="AC267" s="547"/>
      <c r="AD267" s="548"/>
      <c r="AE267" s="549"/>
      <c r="AF267" s="541"/>
      <c r="AG267" s="547"/>
      <c r="AH267" s="548"/>
      <c r="AI267" s="549"/>
      <c r="AJ267" s="541"/>
      <c r="AK267" s="394"/>
      <c r="AL267" s="430"/>
      <c r="AM267" s="395"/>
      <c r="AN267" s="529"/>
      <c r="AO267" s="394"/>
      <c r="AP267" s="430"/>
      <c r="AQ267" s="395"/>
      <c r="AR267" s="529"/>
      <c r="AS267" s="542"/>
      <c r="AT267" s="542"/>
    </row>
    <row r="268">
      <c r="A268" s="394"/>
      <c r="B268" s="430"/>
      <c r="C268" s="395"/>
      <c r="D268" s="529"/>
      <c r="E268" s="394"/>
      <c r="F268" s="430"/>
      <c r="G268" s="395"/>
      <c r="H268" s="529"/>
      <c r="I268" s="394"/>
      <c r="J268" s="430"/>
      <c r="K268" s="395"/>
      <c r="L268" s="529"/>
      <c r="M268" s="394"/>
      <c r="N268" s="430"/>
      <c r="O268" s="395"/>
      <c r="P268" s="529"/>
      <c r="Q268" s="547"/>
      <c r="R268" s="548"/>
      <c r="S268" s="549"/>
      <c r="T268" s="541"/>
      <c r="U268" s="547"/>
      <c r="V268" s="548"/>
      <c r="W268" s="549"/>
      <c r="X268" s="541"/>
      <c r="Y268" s="547"/>
      <c r="Z268" s="548"/>
      <c r="AA268" s="549"/>
      <c r="AB268" s="541"/>
      <c r="AC268" s="547"/>
      <c r="AD268" s="548"/>
      <c r="AE268" s="549"/>
      <c r="AF268" s="541"/>
      <c r="AG268" s="547"/>
      <c r="AH268" s="548"/>
      <c r="AI268" s="549"/>
      <c r="AJ268" s="541"/>
      <c r="AK268" s="394"/>
      <c r="AL268" s="430"/>
      <c r="AM268" s="395"/>
      <c r="AN268" s="529"/>
      <c r="AO268" s="394"/>
      <c r="AP268" s="430"/>
      <c r="AQ268" s="395"/>
      <c r="AR268" s="529"/>
      <c r="AS268" s="542"/>
      <c r="AT268" s="542"/>
    </row>
    <row r="269">
      <c r="A269" s="394"/>
      <c r="B269" s="430"/>
      <c r="C269" s="395"/>
      <c r="D269" s="529"/>
      <c r="E269" s="394"/>
      <c r="F269" s="430"/>
      <c r="G269" s="395"/>
      <c r="H269" s="529"/>
      <c r="I269" s="394"/>
      <c r="J269" s="430"/>
      <c r="K269" s="395"/>
      <c r="L269" s="529"/>
      <c r="M269" s="394"/>
      <c r="N269" s="430"/>
      <c r="O269" s="395"/>
      <c r="P269" s="529"/>
      <c r="Q269" s="547"/>
      <c r="R269" s="548"/>
      <c r="S269" s="549"/>
      <c r="T269" s="541"/>
      <c r="U269" s="547"/>
      <c r="V269" s="548"/>
      <c r="W269" s="549"/>
      <c r="X269" s="541"/>
      <c r="Y269" s="547"/>
      <c r="Z269" s="548"/>
      <c r="AA269" s="549"/>
      <c r="AB269" s="541"/>
      <c r="AC269" s="547"/>
      <c r="AD269" s="548"/>
      <c r="AE269" s="549"/>
      <c r="AF269" s="541"/>
      <c r="AG269" s="547"/>
      <c r="AH269" s="548"/>
      <c r="AI269" s="549"/>
      <c r="AJ269" s="541"/>
      <c r="AK269" s="394"/>
      <c r="AL269" s="430"/>
      <c r="AM269" s="395"/>
      <c r="AN269" s="529"/>
      <c r="AO269" s="394"/>
      <c r="AP269" s="430"/>
      <c r="AQ269" s="395"/>
      <c r="AR269" s="529"/>
      <c r="AS269" s="542"/>
      <c r="AT269" s="542"/>
    </row>
    <row r="270">
      <c r="A270" s="394"/>
      <c r="B270" s="430"/>
      <c r="C270" s="395"/>
      <c r="D270" s="529"/>
      <c r="E270" s="394"/>
      <c r="F270" s="430"/>
      <c r="G270" s="395"/>
      <c r="H270" s="529"/>
      <c r="I270" s="394"/>
      <c r="J270" s="430"/>
      <c r="K270" s="395"/>
      <c r="L270" s="529"/>
      <c r="M270" s="394"/>
      <c r="N270" s="430"/>
      <c r="O270" s="395"/>
      <c r="P270" s="529"/>
      <c r="Q270" s="547"/>
      <c r="R270" s="548"/>
      <c r="S270" s="549"/>
      <c r="T270" s="541"/>
      <c r="U270" s="547"/>
      <c r="V270" s="548"/>
      <c r="W270" s="549"/>
      <c r="X270" s="541"/>
      <c r="Y270" s="547"/>
      <c r="Z270" s="548"/>
      <c r="AA270" s="549"/>
      <c r="AB270" s="541"/>
      <c r="AC270" s="547"/>
      <c r="AD270" s="548"/>
      <c r="AE270" s="549"/>
      <c r="AF270" s="541"/>
      <c r="AG270" s="547"/>
      <c r="AH270" s="548"/>
      <c r="AI270" s="549"/>
      <c r="AJ270" s="541"/>
      <c r="AK270" s="394"/>
      <c r="AL270" s="430"/>
      <c r="AM270" s="395"/>
      <c r="AN270" s="529"/>
      <c r="AO270" s="394"/>
      <c r="AP270" s="430"/>
      <c r="AQ270" s="395"/>
      <c r="AR270" s="529"/>
      <c r="AS270" s="542"/>
      <c r="AT270" s="542"/>
    </row>
    <row r="271">
      <c r="A271" s="394"/>
      <c r="B271" s="430"/>
      <c r="C271" s="395"/>
      <c r="D271" s="529"/>
      <c r="E271" s="394"/>
      <c r="F271" s="430"/>
      <c r="G271" s="395"/>
      <c r="H271" s="529"/>
      <c r="I271" s="394"/>
      <c r="J271" s="430"/>
      <c r="K271" s="395"/>
      <c r="L271" s="529"/>
      <c r="M271" s="394"/>
      <c r="N271" s="430"/>
      <c r="O271" s="395"/>
      <c r="P271" s="529"/>
      <c r="Q271" s="547"/>
      <c r="R271" s="548"/>
      <c r="S271" s="549"/>
      <c r="T271" s="541"/>
      <c r="U271" s="547"/>
      <c r="V271" s="548"/>
      <c r="W271" s="549"/>
      <c r="X271" s="541"/>
      <c r="Y271" s="547"/>
      <c r="Z271" s="548"/>
      <c r="AA271" s="549"/>
      <c r="AB271" s="541"/>
      <c r="AC271" s="547"/>
      <c r="AD271" s="548"/>
      <c r="AE271" s="549"/>
      <c r="AF271" s="541"/>
      <c r="AG271" s="547"/>
      <c r="AH271" s="548"/>
      <c r="AI271" s="549"/>
      <c r="AJ271" s="541"/>
      <c r="AK271" s="394"/>
      <c r="AL271" s="430"/>
      <c r="AM271" s="395"/>
      <c r="AN271" s="529"/>
      <c r="AO271" s="394"/>
      <c r="AP271" s="430"/>
      <c r="AQ271" s="395"/>
      <c r="AR271" s="529"/>
      <c r="AS271" s="542"/>
      <c r="AT271" s="542"/>
    </row>
    <row r="272">
      <c r="A272" s="394"/>
      <c r="B272" s="430"/>
      <c r="C272" s="395"/>
      <c r="D272" s="529"/>
      <c r="E272" s="394"/>
      <c r="F272" s="430"/>
      <c r="G272" s="395"/>
      <c r="H272" s="529"/>
      <c r="I272" s="394"/>
      <c r="J272" s="430"/>
      <c r="K272" s="395"/>
      <c r="L272" s="529"/>
      <c r="M272" s="394"/>
      <c r="N272" s="430"/>
      <c r="O272" s="395"/>
      <c r="P272" s="529"/>
      <c r="Q272" s="547"/>
      <c r="R272" s="548"/>
      <c r="S272" s="549"/>
      <c r="T272" s="541"/>
      <c r="U272" s="547"/>
      <c r="V272" s="548"/>
      <c r="W272" s="549"/>
      <c r="X272" s="541"/>
      <c r="Y272" s="547"/>
      <c r="Z272" s="548"/>
      <c r="AA272" s="549"/>
      <c r="AB272" s="541"/>
      <c r="AC272" s="547"/>
      <c r="AD272" s="548"/>
      <c r="AE272" s="549"/>
      <c r="AF272" s="541"/>
      <c r="AG272" s="547"/>
      <c r="AH272" s="548"/>
      <c r="AI272" s="549"/>
      <c r="AJ272" s="541"/>
      <c r="AK272" s="394"/>
      <c r="AL272" s="430"/>
      <c r="AM272" s="395"/>
      <c r="AN272" s="529"/>
      <c r="AO272" s="394"/>
      <c r="AP272" s="430"/>
      <c r="AQ272" s="395"/>
      <c r="AR272" s="529"/>
      <c r="AS272" s="542"/>
      <c r="AT272" s="542"/>
    </row>
    <row r="273">
      <c r="A273" s="394"/>
      <c r="B273" s="430"/>
      <c r="C273" s="395"/>
      <c r="D273" s="529"/>
      <c r="E273" s="394"/>
      <c r="F273" s="430"/>
      <c r="G273" s="395"/>
      <c r="H273" s="529"/>
      <c r="I273" s="394"/>
      <c r="J273" s="430"/>
      <c r="K273" s="395"/>
      <c r="L273" s="529"/>
      <c r="M273" s="394"/>
      <c r="N273" s="430"/>
      <c r="O273" s="395"/>
      <c r="P273" s="529"/>
      <c r="Q273" s="547"/>
      <c r="R273" s="548"/>
      <c r="S273" s="549"/>
      <c r="T273" s="541"/>
      <c r="U273" s="547"/>
      <c r="V273" s="548"/>
      <c r="W273" s="549"/>
      <c r="X273" s="541"/>
      <c r="Y273" s="547"/>
      <c r="Z273" s="548"/>
      <c r="AA273" s="549"/>
      <c r="AB273" s="541"/>
      <c r="AC273" s="547"/>
      <c r="AD273" s="548"/>
      <c r="AE273" s="549"/>
      <c r="AF273" s="541"/>
      <c r="AG273" s="547"/>
      <c r="AH273" s="548"/>
      <c r="AI273" s="549"/>
      <c r="AJ273" s="541"/>
      <c r="AK273" s="394"/>
      <c r="AL273" s="430"/>
      <c r="AM273" s="395"/>
      <c r="AN273" s="529"/>
      <c r="AO273" s="394"/>
      <c r="AP273" s="430"/>
      <c r="AQ273" s="395"/>
      <c r="AR273" s="529"/>
      <c r="AS273" s="542"/>
      <c r="AT273" s="542"/>
    </row>
    <row r="274">
      <c r="A274" s="394"/>
      <c r="B274" s="430"/>
      <c r="C274" s="395"/>
      <c r="D274" s="529"/>
      <c r="E274" s="394"/>
      <c r="F274" s="430"/>
      <c r="G274" s="395"/>
      <c r="H274" s="529"/>
      <c r="I274" s="394"/>
      <c r="J274" s="430"/>
      <c r="K274" s="395"/>
      <c r="L274" s="529"/>
      <c r="M274" s="394"/>
      <c r="N274" s="430"/>
      <c r="O274" s="395"/>
      <c r="P274" s="529"/>
      <c r="Q274" s="547"/>
      <c r="R274" s="548"/>
      <c r="S274" s="549"/>
      <c r="T274" s="541"/>
      <c r="U274" s="547"/>
      <c r="V274" s="548"/>
      <c r="W274" s="549"/>
      <c r="X274" s="541"/>
      <c r="Y274" s="547"/>
      <c r="Z274" s="548"/>
      <c r="AA274" s="549"/>
      <c r="AB274" s="541"/>
      <c r="AC274" s="547"/>
      <c r="AD274" s="548"/>
      <c r="AE274" s="549"/>
      <c r="AF274" s="541"/>
      <c r="AG274" s="547"/>
      <c r="AH274" s="548"/>
      <c r="AI274" s="549"/>
      <c r="AJ274" s="541"/>
      <c r="AK274" s="394"/>
      <c r="AL274" s="430"/>
      <c r="AM274" s="395"/>
      <c r="AN274" s="529"/>
      <c r="AO274" s="394"/>
      <c r="AP274" s="430"/>
      <c r="AQ274" s="395"/>
      <c r="AR274" s="529"/>
      <c r="AS274" s="542"/>
      <c r="AT274" s="542"/>
    </row>
    <row r="275">
      <c r="A275" s="394"/>
      <c r="B275" s="430"/>
      <c r="C275" s="395"/>
      <c r="D275" s="529"/>
      <c r="E275" s="394"/>
      <c r="F275" s="430"/>
      <c r="G275" s="395"/>
      <c r="H275" s="529"/>
      <c r="I275" s="394"/>
      <c r="J275" s="430"/>
      <c r="K275" s="395"/>
      <c r="L275" s="529"/>
      <c r="M275" s="394"/>
      <c r="N275" s="430"/>
      <c r="O275" s="395"/>
      <c r="P275" s="529"/>
      <c r="Q275" s="547"/>
      <c r="R275" s="548"/>
      <c r="S275" s="549"/>
      <c r="T275" s="541"/>
      <c r="U275" s="547"/>
      <c r="V275" s="548"/>
      <c r="W275" s="549"/>
      <c r="X275" s="541"/>
      <c r="Y275" s="547"/>
      <c r="Z275" s="548"/>
      <c r="AA275" s="549"/>
      <c r="AB275" s="541"/>
      <c r="AC275" s="547"/>
      <c r="AD275" s="548"/>
      <c r="AE275" s="549"/>
      <c r="AF275" s="541"/>
      <c r="AG275" s="547"/>
      <c r="AH275" s="548"/>
      <c r="AI275" s="549"/>
      <c r="AJ275" s="541"/>
      <c r="AK275" s="394"/>
      <c r="AL275" s="430"/>
      <c r="AM275" s="395"/>
      <c r="AN275" s="529"/>
      <c r="AO275" s="394"/>
      <c r="AP275" s="430"/>
      <c r="AQ275" s="395"/>
      <c r="AR275" s="529"/>
      <c r="AS275" s="542"/>
      <c r="AT275" s="542"/>
    </row>
    <row r="276">
      <c r="A276" s="394"/>
      <c r="B276" s="430"/>
      <c r="C276" s="395"/>
      <c r="D276" s="529"/>
      <c r="E276" s="394"/>
      <c r="F276" s="430"/>
      <c r="G276" s="395"/>
      <c r="H276" s="529"/>
      <c r="I276" s="394"/>
      <c r="J276" s="430"/>
      <c r="K276" s="395"/>
      <c r="L276" s="529"/>
      <c r="M276" s="394"/>
      <c r="N276" s="430"/>
      <c r="O276" s="395"/>
      <c r="P276" s="529"/>
      <c r="Q276" s="547"/>
      <c r="R276" s="548"/>
      <c r="S276" s="549"/>
      <c r="T276" s="541"/>
      <c r="U276" s="547"/>
      <c r="V276" s="548"/>
      <c r="W276" s="549"/>
      <c r="X276" s="541"/>
      <c r="Y276" s="547"/>
      <c r="Z276" s="548"/>
      <c r="AA276" s="549"/>
      <c r="AB276" s="541"/>
      <c r="AC276" s="547"/>
      <c r="AD276" s="548"/>
      <c r="AE276" s="549"/>
      <c r="AF276" s="541"/>
      <c r="AG276" s="547"/>
      <c r="AH276" s="548"/>
      <c r="AI276" s="549"/>
      <c r="AJ276" s="541"/>
      <c r="AK276" s="394"/>
      <c r="AL276" s="430"/>
      <c r="AM276" s="395"/>
      <c r="AN276" s="529"/>
      <c r="AO276" s="394"/>
      <c r="AP276" s="430"/>
      <c r="AQ276" s="395"/>
      <c r="AR276" s="529"/>
      <c r="AS276" s="542"/>
      <c r="AT276" s="542"/>
    </row>
    <row r="277">
      <c r="A277" s="394"/>
      <c r="B277" s="430"/>
      <c r="C277" s="395"/>
      <c r="D277" s="529"/>
      <c r="E277" s="394"/>
      <c r="F277" s="430"/>
      <c r="G277" s="395"/>
      <c r="H277" s="529"/>
      <c r="I277" s="394"/>
      <c r="J277" s="430"/>
      <c r="K277" s="395"/>
      <c r="L277" s="529"/>
      <c r="M277" s="394"/>
      <c r="N277" s="430"/>
      <c r="O277" s="395"/>
      <c r="P277" s="529"/>
      <c r="Q277" s="547"/>
      <c r="R277" s="548"/>
      <c r="S277" s="549"/>
      <c r="T277" s="541"/>
      <c r="U277" s="547"/>
      <c r="V277" s="548"/>
      <c r="W277" s="549"/>
      <c r="X277" s="541"/>
      <c r="Y277" s="547"/>
      <c r="Z277" s="548"/>
      <c r="AA277" s="549"/>
      <c r="AB277" s="541"/>
      <c r="AC277" s="547"/>
      <c r="AD277" s="548"/>
      <c r="AE277" s="549"/>
      <c r="AF277" s="541"/>
      <c r="AG277" s="547"/>
      <c r="AH277" s="548"/>
      <c r="AI277" s="549"/>
      <c r="AJ277" s="541"/>
      <c r="AK277" s="394"/>
      <c r="AL277" s="430"/>
      <c r="AM277" s="395"/>
      <c r="AN277" s="529"/>
      <c r="AO277" s="394"/>
      <c r="AP277" s="430"/>
      <c r="AQ277" s="395"/>
      <c r="AR277" s="529"/>
      <c r="AS277" s="542"/>
      <c r="AT277" s="542"/>
    </row>
    <row r="278">
      <c r="A278" s="394"/>
      <c r="B278" s="430"/>
      <c r="C278" s="395"/>
      <c r="D278" s="529"/>
      <c r="E278" s="394"/>
      <c r="F278" s="430"/>
      <c r="G278" s="395"/>
      <c r="H278" s="529"/>
      <c r="I278" s="394"/>
      <c r="J278" s="430"/>
      <c r="K278" s="395"/>
      <c r="L278" s="529"/>
      <c r="M278" s="394"/>
      <c r="N278" s="430"/>
      <c r="O278" s="395"/>
      <c r="P278" s="529"/>
      <c r="Q278" s="547"/>
      <c r="R278" s="548"/>
      <c r="S278" s="549"/>
      <c r="T278" s="541"/>
      <c r="U278" s="547"/>
      <c r="V278" s="548"/>
      <c r="W278" s="549"/>
      <c r="X278" s="541"/>
      <c r="Y278" s="547"/>
      <c r="Z278" s="548"/>
      <c r="AA278" s="549"/>
      <c r="AB278" s="541"/>
      <c r="AC278" s="547"/>
      <c r="AD278" s="548"/>
      <c r="AE278" s="549"/>
      <c r="AF278" s="541"/>
      <c r="AG278" s="547"/>
      <c r="AH278" s="548"/>
      <c r="AI278" s="549"/>
      <c r="AJ278" s="541"/>
      <c r="AK278" s="394"/>
      <c r="AL278" s="430"/>
      <c r="AM278" s="395"/>
      <c r="AN278" s="529"/>
      <c r="AO278" s="394"/>
      <c r="AP278" s="430"/>
      <c r="AQ278" s="395"/>
      <c r="AR278" s="529"/>
      <c r="AS278" s="542"/>
      <c r="AT278" s="542"/>
    </row>
    <row r="279">
      <c r="A279" s="394"/>
      <c r="B279" s="430"/>
      <c r="C279" s="395"/>
      <c r="D279" s="529"/>
      <c r="E279" s="394"/>
      <c r="F279" s="430"/>
      <c r="G279" s="395"/>
      <c r="H279" s="529"/>
      <c r="I279" s="394"/>
      <c r="J279" s="430"/>
      <c r="K279" s="395"/>
      <c r="L279" s="529"/>
      <c r="M279" s="394"/>
      <c r="N279" s="430"/>
      <c r="O279" s="395"/>
      <c r="P279" s="529"/>
      <c r="Q279" s="547"/>
      <c r="R279" s="548"/>
      <c r="S279" s="549"/>
      <c r="T279" s="541"/>
      <c r="U279" s="547"/>
      <c r="V279" s="548"/>
      <c r="W279" s="549"/>
      <c r="X279" s="541"/>
      <c r="Y279" s="547"/>
      <c r="Z279" s="548"/>
      <c r="AA279" s="549"/>
      <c r="AB279" s="541"/>
      <c r="AC279" s="547"/>
      <c r="AD279" s="548"/>
      <c r="AE279" s="549"/>
      <c r="AF279" s="541"/>
      <c r="AG279" s="547"/>
      <c r="AH279" s="548"/>
      <c r="AI279" s="549"/>
      <c r="AJ279" s="541"/>
      <c r="AK279" s="394"/>
      <c r="AL279" s="430"/>
      <c r="AM279" s="395"/>
      <c r="AN279" s="529"/>
      <c r="AO279" s="394"/>
      <c r="AP279" s="430"/>
      <c r="AQ279" s="395"/>
      <c r="AR279" s="529"/>
      <c r="AS279" s="542"/>
      <c r="AT279" s="542"/>
    </row>
    <row r="280">
      <c r="A280" s="394"/>
      <c r="B280" s="430"/>
      <c r="C280" s="395"/>
      <c r="D280" s="529"/>
      <c r="E280" s="394"/>
      <c r="F280" s="430"/>
      <c r="G280" s="395"/>
      <c r="H280" s="529"/>
      <c r="I280" s="394"/>
      <c r="J280" s="430"/>
      <c r="K280" s="395"/>
      <c r="L280" s="529"/>
      <c r="M280" s="394"/>
      <c r="N280" s="430"/>
      <c r="O280" s="395"/>
      <c r="P280" s="529"/>
      <c r="Q280" s="547"/>
      <c r="R280" s="548"/>
      <c r="S280" s="549"/>
      <c r="T280" s="541"/>
      <c r="U280" s="547"/>
      <c r="V280" s="548"/>
      <c r="W280" s="549"/>
      <c r="X280" s="541"/>
      <c r="Y280" s="547"/>
      <c r="Z280" s="548"/>
      <c r="AA280" s="549"/>
      <c r="AB280" s="541"/>
      <c r="AC280" s="547"/>
      <c r="AD280" s="548"/>
      <c r="AE280" s="549"/>
      <c r="AF280" s="541"/>
      <c r="AG280" s="547"/>
      <c r="AH280" s="548"/>
      <c r="AI280" s="549"/>
      <c r="AJ280" s="541"/>
      <c r="AK280" s="394"/>
      <c r="AL280" s="430"/>
      <c r="AM280" s="395"/>
      <c r="AN280" s="529"/>
      <c r="AO280" s="394"/>
      <c r="AP280" s="430"/>
      <c r="AQ280" s="395"/>
      <c r="AR280" s="529"/>
      <c r="AS280" s="542"/>
      <c r="AT280" s="542"/>
    </row>
    <row r="281">
      <c r="A281" s="394"/>
      <c r="B281" s="430"/>
      <c r="C281" s="395"/>
      <c r="D281" s="529"/>
      <c r="E281" s="394"/>
      <c r="F281" s="430"/>
      <c r="G281" s="395"/>
      <c r="H281" s="529"/>
      <c r="I281" s="394"/>
      <c r="J281" s="430"/>
      <c r="K281" s="395"/>
      <c r="L281" s="529"/>
      <c r="M281" s="394"/>
      <c r="N281" s="430"/>
      <c r="O281" s="395"/>
      <c r="P281" s="529"/>
      <c r="Q281" s="547"/>
      <c r="R281" s="548"/>
      <c r="S281" s="549"/>
      <c r="T281" s="541"/>
      <c r="U281" s="547"/>
      <c r="V281" s="548"/>
      <c r="W281" s="549"/>
      <c r="X281" s="541"/>
      <c r="Y281" s="547"/>
      <c r="Z281" s="548"/>
      <c r="AA281" s="549"/>
      <c r="AB281" s="541"/>
      <c r="AC281" s="547"/>
      <c r="AD281" s="548"/>
      <c r="AE281" s="549"/>
      <c r="AF281" s="541"/>
      <c r="AG281" s="366"/>
      <c r="AH281" s="548"/>
      <c r="AI281" s="549"/>
      <c r="AJ281" s="541"/>
      <c r="AK281" s="394"/>
      <c r="AL281" s="430"/>
      <c r="AM281" s="395"/>
      <c r="AN281" s="529"/>
      <c r="AO281" s="394"/>
      <c r="AP281" s="430"/>
      <c r="AQ281" s="395"/>
      <c r="AR281" s="529"/>
      <c r="AS281" s="542"/>
      <c r="AT281" s="542"/>
    </row>
    <row r="282">
      <c r="A282" s="394"/>
      <c r="B282" s="430"/>
      <c r="C282" s="395"/>
      <c r="D282" s="529"/>
      <c r="E282" s="394"/>
      <c r="F282" s="430"/>
      <c r="G282" s="395"/>
      <c r="H282" s="529"/>
      <c r="I282" s="394"/>
      <c r="J282" s="430"/>
      <c r="K282" s="395"/>
      <c r="L282" s="529"/>
      <c r="M282" s="394"/>
      <c r="N282" s="430"/>
      <c r="O282" s="395"/>
      <c r="P282" s="529"/>
      <c r="Q282" s="547"/>
      <c r="R282" s="548"/>
      <c r="S282" s="549"/>
      <c r="T282" s="541"/>
      <c r="U282" s="547"/>
      <c r="V282" s="548"/>
      <c r="W282" s="549"/>
      <c r="X282" s="541"/>
      <c r="Y282" s="547"/>
      <c r="Z282" s="548"/>
      <c r="AA282" s="549"/>
      <c r="AB282" s="541"/>
      <c r="AC282" s="547"/>
      <c r="AD282" s="548"/>
      <c r="AE282" s="549"/>
      <c r="AF282" s="541"/>
      <c r="AG282" s="366"/>
      <c r="AH282" s="548"/>
      <c r="AI282" s="549"/>
      <c r="AJ282" s="541"/>
      <c r="AK282" s="394"/>
      <c r="AL282" s="430"/>
      <c r="AM282" s="395"/>
      <c r="AN282" s="529"/>
      <c r="AO282" s="394"/>
      <c r="AP282" s="430"/>
      <c r="AQ282" s="395"/>
      <c r="AR282" s="529"/>
      <c r="AS282" s="542"/>
      <c r="AT282" s="542"/>
    </row>
    <row r="283">
      <c r="A283" s="394"/>
      <c r="B283" s="430"/>
      <c r="C283" s="395"/>
      <c r="D283" s="529"/>
      <c r="E283" s="394"/>
      <c r="F283" s="430"/>
      <c r="G283" s="395"/>
      <c r="H283" s="529"/>
      <c r="I283" s="394"/>
      <c r="J283" s="430"/>
      <c r="K283" s="395"/>
      <c r="L283" s="529"/>
      <c r="M283" s="394"/>
      <c r="N283" s="430"/>
      <c r="O283" s="395"/>
      <c r="P283" s="529"/>
      <c r="Q283" s="547"/>
      <c r="R283" s="548"/>
      <c r="S283" s="549"/>
      <c r="T283" s="541"/>
      <c r="U283" s="547"/>
      <c r="V283" s="548"/>
      <c r="W283" s="549"/>
      <c r="X283" s="541"/>
      <c r="Y283" s="547"/>
      <c r="Z283" s="548"/>
      <c r="AA283" s="549"/>
      <c r="AB283" s="541"/>
      <c r="AC283" s="547"/>
      <c r="AD283" s="548"/>
      <c r="AE283" s="549"/>
      <c r="AF283" s="541"/>
      <c r="AG283" s="366"/>
      <c r="AH283" s="548"/>
      <c r="AI283" s="549"/>
      <c r="AJ283" s="541"/>
      <c r="AK283" s="394"/>
      <c r="AL283" s="430"/>
      <c r="AM283" s="395"/>
      <c r="AN283" s="529"/>
      <c r="AO283" s="394"/>
      <c r="AP283" s="430"/>
      <c r="AQ283" s="395"/>
      <c r="AR283" s="529"/>
      <c r="AS283" s="542"/>
      <c r="AT283" s="542"/>
    </row>
    <row r="284">
      <c r="A284" s="394"/>
      <c r="B284" s="430"/>
      <c r="C284" s="395"/>
      <c r="D284" s="529"/>
      <c r="E284" s="394"/>
      <c r="F284" s="430"/>
      <c r="G284" s="395"/>
      <c r="H284" s="529"/>
      <c r="I284" s="394"/>
      <c r="J284" s="430"/>
      <c r="K284" s="395"/>
      <c r="L284" s="529"/>
      <c r="M284" s="394"/>
      <c r="N284" s="430"/>
      <c r="O284" s="395"/>
      <c r="P284" s="529"/>
      <c r="Q284" s="547"/>
      <c r="R284" s="548"/>
      <c r="S284" s="549"/>
      <c r="T284" s="541"/>
      <c r="U284" s="547"/>
      <c r="V284" s="548"/>
      <c r="W284" s="549"/>
      <c r="X284" s="541"/>
      <c r="Y284" s="547"/>
      <c r="Z284" s="548"/>
      <c r="AA284" s="549"/>
      <c r="AB284" s="541"/>
      <c r="AC284" s="547"/>
      <c r="AD284" s="548"/>
      <c r="AE284" s="549"/>
      <c r="AF284" s="541"/>
      <c r="AG284" s="366"/>
      <c r="AH284" s="548"/>
      <c r="AI284" s="549"/>
      <c r="AJ284" s="541"/>
      <c r="AK284" s="394"/>
      <c r="AL284" s="430"/>
      <c r="AM284" s="395"/>
      <c r="AN284" s="529"/>
      <c r="AO284" s="394"/>
      <c r="AP284" s="430"/>
      <c r="AQ284" s="395"/>
      <c r="AR284" s="529"/>
      <c r="AS284" s="542"/>
      <c r="AT284" s="542"/>
    </row>
    <row r="285">
      <c r="A285" s="394"/>
      <c r="B285" s="430"/>
      <c r="C285" s="395"/>
      <c r="D285" s="529"/>
      <c r="E285" s="394"/>
      <c r="F285" s="430"/>
      <c r="G285" s="395"/>
      <c r="H285" s="529"/>
      <c r="I285" s="394"/>
      <c r="J285" s="430"/>
      <c r="K285" s="395"/>
      <c r="L285" s="529"/>
      <c r="M285" s="394"/>
      <c r="N285" s="430"/>
      <c r="O285" s="395"/>
      <c r="P285" s="529"/>
      <c r="Q285" s="547"/>
      <c r="R285" s="548"/>
      <c r="S285" s="549"/>
      <c r="T285" s="541"/>
      <c r="U285" s="547"/>
      <c r="V285" s="548"/>
      <c r="W285" s="549"/>
      <c r="X285" s="541"/>
      <c r="Y285" s="547"/>
      <c r="Z285" s="548"/>
      <c r="AA285" s="549"/>
      <c r="AB285" s="541"/>
      <c r="AC285" s="547"/>
      <c r="AD285" s="548"/>
      <c r="AE285" s="549"/>
      <c r="AF285" s="541"/>
      <c r="AG285" s="366"/>
      <c r="AH285" s="548"/>
      <c r="AI285" s="549"/>
      <c r="AJ285" s="541"/>
      <c r="AK285" s="394"/>
      <c r="AL285" s="430"/>
      <c r="AM285" s="395"/>
      <c r="AN285" s="529"/>
      <c r="AO285" s="394"/>
      <c r="AP285" s="430"/>
      <c r="AQ285" s="395"/>
      <c r="AR285" s="529"/>
      <c r="AS285" s="542"/>
      <c r="AT285" s="542"/>
    </row>
    <row r="286">
      <c r="A286" s="394"/>
      <c r="B286" s="430"/>
      <c r="C286" s="395"/>
      <c r="D286" s="529"/>
      <c r="E286" s="394"/>
      <c r="F286" s="430"/>
      <c r="G286" s="395"/>
      <c r="H286" s="529"/>
      <c r="I286" s="394"/>
      <c r="J286" s="430"/>
      <c r="K286" s="395"/>
      <c r="L286" s="529"/>
      <c r="M286" s="394"/>
      <c r="N286" s="430"/>
      <c r="O286" s="395"/>
      <c r="P286" s="529"/>
      <c r="Q286" s="547"/>
      <c r="R286" s="548"/>
      <c r="S286" s="549"/>
      <c r="T286" s="541"/>
      <c r="U286" s="547"/>
      <c r="V286" s="548"/>
      <c r="W286" s="549"/>
      <c r="X286" s="541"/>
      <c r="Y286" s="547"/>
      <c r="Z286" s="548"/>
      <c r="AA286" s="549"/>
      <c r="AB286" s="541"/>
      <c r="AC286" s="547"/>
      <c r="AD286" s="548"/>
      <c r="AE286" s="549"/>
      <c r="AF286" s="541"/>
      <c r="AG286" s="366"/>
      <c r="AH286" s="548"/>
      <c r="AI286" s="549"/>
      <c r="AJ286" s="541"/>
      <c r="AK286" s="394"/>
      <c r="AL286" s="430"/>
      <c r="AM286" s="395"/>
      <c r="AN286" s="529"/>
      <c r="AO286" s="394"/>
      <c r="AP286" s="430"/>
      <c r="AQ286" s="395"/>
      <c r="AR286" s="529"/>
      <c r="AS286" s="542"/>
      <c r="AT286" s="542"/>
    </row>
    <row r="287">
      <c r="A287" s="394"/>
      <c r="B287" s="430"/>
      <c r="C287" s="395"/>
      <c r="D287" s="529"/>
      <c r="E287" s="394"/>
      <c r="F287" s="430"/>
      <c r="G287" s="395"/>
      <c r="H287" s="529"/>
      <c r="I287" s="394"/>
      <c r="J287" s="430"/>
      <c r="K287" s="395"/>
      <c r="L287" s="529"/>
      <c r="M287" s="394"/>
      <c r="N287" s="430"/>
      <c r="O287" s="395"/>
      <c r="P287" s="529"/>
      <c r="Q287" s="547"/>
      <c r="R287" s="548"/>
      <c r="S287" s="549"/>
      <c r="T287" s="541"/>
      <c r="U287" s="547"/>
      <c r="V287" s="548"/>
      <c r="W287" s="549"/>
      <c r="X287" s="541"/>
      <c r="Y287" s="547"/>
      <c r="Z287" s="548"/>
      <c r="AA287" s="549"/>
      <c r="AB287" s="541"/>
      <c r="AC287" s="547"/>
      <c r="AD287" s="548"/>
      <c r="AE287" s="549"/>
      <c r="AF287" s="541"/>
      <c r="AG287" s="366"/>
      <c r="AH287" s="548"/>
      <c r="AI287" s="549"/>
      <c r="AJ287" s="541"/>
      <c r="AK287" s="394"/>
      <c r="AL287" s="430"/>
      <c r="AM287" s="395"/>
      <c r="AN287" s="529"/>
      <c r="AO287" s="394"/>
      <c r="AP287" s="430"/>
      <c r="AQ287" s="395"/>
      <c r="AR287" s="529"/>
      <c r="AS287" s="542"/>
      <c r="AT287" s="542"/>
    </row>
    <row r="288">
      <c r="A288" s="394"/>
      <c r="B288" s="430"/>
      <c r="C288" s="395"/>
      <c r="D288" s="529"/>
      <c r="E288" s="394"/>
      <c r="F288" s="430"/>
      <c r="G288" s="395"/>
      <c r="H288" s="529"/>
      <c r="I288" s="394"/>
      <c r="J288" s="430"/>
      <c r="K288" s="395"/>
      <c r="L288" s="529"/>
      <c r="M288" s="394"/>
      <c r="N288" s="430"/>
      <c r="O288" s="395"/>
      <c r="P288" s="529"/>
      <c r="Q288" s="547"/>
      <c r="R288" s="548"/>
      <c r="S288" s="549"/>
      <c r="T288" s="541"/>
      <c r="U288" s="547"/>
      <c r="V288" s="548"/>
      <c r="W288" s="549"/>
      <c r="X288" s="541"/>
      <c r="Y288" s="547"/>
      <c r="Z288" s="548"/>
      <c r="AA288" s="549"/>
      <c r="AB288" s="541"/>
      <c r="AC288" s="547"/>
      <c r="AD288" s="548"/>
      <c r="AE288" s="549"/>
      <c r="AF288" s="541"/>
      <c r="AG288" s="366"/>
      <c r="AH288" s="548"/>
      <c r="AI288" s="549"/>
      <c r="AJ288" s="541"/>
      <c r="AK288" s="394"/>
      <c r="AL288" s="430"/>
      <c r="AM288" s="395"/>
      <c r="AN288" s="529"/>
      <c r="AO288" s="394"/>
      <c r="AP288" s="430"/>
      <c r="AQ288" s="395"/>
      <c r="AR288" s="529"/>
      <c r="AS288" s="542"/>
      <c r="AT288" s="542"/>
    </row>
    <row r="289">
      <c r="A289" s="394"/>
      <c r="B289" s="430"/>
      <c r="C289" s="395"/>
      <c r="D289" s="529"/>
      <c r="E289" s="394"/>
      <c r="F289" s="430"/>
      <c r="G289" s="395"/>
      <c r="H289" s="529"/>
      <c r="I289" s="394"/>
      <c r="J289" s="430"/>
      <c r="K289" s="395"/>
      <c r="L289" s="529"/>
      <c r="M289" s="394"/>
      <c r="N289" s="430"/>
      <c r="O289" s="395"/>
      <c r="P289" s="529"/>
      <c r="Q289" s="547"/>
      <c r="R289" s="548"/>
      <c r="S289" s="549"/>
      <c r="T289" s="541"/>
      <c r="U289" s="547"/>
      <c r="V289" s="548"/>
      <c r="W289" s="549"/>
      <c r="X289" s="541"/>
      <c r="Y289" s="547"/>
      <c r="Z289" s="548"/>
      <c r="AA289" s="549"/>
      <c r="AB289" s="541"/>
      <c r="AC289" s="547"/>
      <c r="AD289" s="548"/>
      <c r="AE289" s="549"/>
      <c r="AF289" s="541"/>
      <c r="AG289" s="366"/>
      <c r="AH289" s="548"/>
      <c r="AI289" s="549"/>
      <c r="AJ289" s="541"/>
      <c r="AK289" s="394"/>
      <c r="AL289" s="430"/>
      <c r="AM289" s="395"/>
      <c r="AN289" s="529"/>
      <c r="AO289" s="394"/>
      <c r="AP289" s="430"/>
      <c r="AQ289" s="395"/>
      <c r="AR289" s="529"/>
      <c r="AS289" s="542"/>
      <c r="AT289" s="542"/>
    </row>
    <row r="290">
      <c r="A290" s="394"/>
      <c r="B290" s="430"/>
      <c r="C290" s="395"/>
      <c r="D290" s="529"/>
      <c r="E290" s="394"/>
      <c r="F290" s="430"/>
      <c r="G290" s="395"/>
      <c r="H290" s="529"/>
      <c r="I290" s="394"/>
      <c r="J290" s="430"/>
      <c r="K290" s="395"/>
      <c r="L290" s="529"/>
      <c r="M290" s="394"/>
      <c r="N290" s="430"/>
      <c r="O290" s="395"/>
      <c r="P290" s="529"/>
      <c r="Q290" s="547"/>
      <c r="R290" s="548"/>
      <c r="S290" s="549"/>
      <c r="T290" s="541"/>
      <c r="U290" s="547"/>
      <c r="V290" s="548"/>
      <c r="W290" s="549"/>
      <c r="X290" s="541"/>
      <c r="Y290" s="547"/>
      <c r="Z290" s="548"/>
      <c r="AA290" s="549"/>
      <c r="AB290" s="541"/>
      <c r="AC290" s="547"/>
      <c r="AD290" s="548"/>
      <c r="AE290" s="549"/>
      <c r="AF290" s="541"/>
      <c r="AG290" s="366"/>
      <c r="AH290" s="548"/>
      <c r="AI290" s="549"/>
      <c r="AJ290" s="541"/>
      <c r="AK290" s="394"/>
      <c r="AL290" s="430"/>
      <c r="AM290" s="395"/>
      <c r="AN290" s="529"/>
      <c r="AO290" s="394"/>
      <c r="AP290" s="430"/>
      <c r="AQ290" s="395"/>
      <c r="AR290" s="529"/>
      <c r="AS290" s="542"/>
      <c r="AT290" s="542"/>
    </row>
    <row r="291">
      <c r="A291" s="394"/>
      <c r="B291" s="430"/>
      <c r="C291" s="395"/>
      <c r="D291" s="529"/>
      <c r="E291" s="394"/>
      <c r="F291" s="430"/>
      <c r="G291" s="395"/>
      <c r="H291" s="529"/>
      <c r="I291" s="394"/>
      <c r="J291" s="430"/>
      <c r="K291" s="395"/>
      <c r="L291" s="529"/>
      <c r="M291" s="394"/>
      <c r="N291" s="430"/>
      <c r="O291" s="395"/>
      <c r="P291" s="529"/>
      <c r="Q291" s="547"/>
      <c r="R291" s="548"/>
      <c r="S291" s="549"/>
      <c r="T291" s="541"/>
      <c r="U291" s="547"/>
      <c r="V291" s="548"/>
      <c r="W291" s="549"/>
      <c r="X291" s="541"/>
      <c r="Y291" s="547"/>
      <c r="Z291" s="548"/>
      <c r="AA291" s="549"/>
      <c r="AB291" s="541"/>
      <c r="AC291" s="547"/>
      <c r="AD291" s="548"/>
      <c r="AE291" s="549"/>
      <c r="AF291" s="541"/>
      <c r="AG291" s="366"/>
      <c r="AH291" s="548"/>
      <c r="AI291" s="549"/>
      <c r="AJ291" s="541"/>
      <c r="AK291" s="394"/>
      <c r="AL291" s="430"/>
      <c r="AM291" s="395"/>
      <c r="AN291" s="529"/>
      <c r="AO291" s="394"/>
      <c r="AP291" s="430"/>
      <c r="AQ291" s="395"/>
      <c r="AR291" s="529"/>
      <c r="AS291" s="542"/>
      <c r="AT291" s="542"/>
    </row>
    <row r="292">
      <c r="A292" s="394"/>
      <c r="B292" s="430"/>
      <c r="C292" s="395"/>
      <c r="D292" s="529"/>
      <c r="E292" s="394"/>
      <c r="F292" s="430"/>
      <c r="G292" s="395"/>
      <c r="H292" s="529"/>
      <c r="I292" s="394"/>
      <c r="J292" s="430"/>
      <c r="K292" s="395"/>
      <c r="L292" s="529"/>
      <c r="M292" s="394"/>
      <c r="N292" s="430"/>
      <c r="O292" s="395"/>
      <c r="P292" s="529"/>
      <c r="Q292" s="547"/>
      <c r="R292" s="548"/>
      <c r="S292" s="549"/>
      <c r="T292" s="541"/>
      <c r="U292" s="547"/>
      <c r="V292" s="548"/>
      <c r="W292" s="549"/>
      <c r="X292" s="541"/>
      <c r="Y292" s="547"/>
      <c r="Z292" s="548"/>
      <c r="AA292" s="549"/>
      <c r="AB292" s="541"/>
      <c r="AC292" s="547"/>
      <c r="AD292" s="548"/>
      <c r="AE292" s="549"/>
      <c r="AF292" s="541"/>
      <c r="AG292" s="366"/>
      <c r="AH292" s="366"/>
      <c r="AI292" s="366"/>
      <c r="AJ292" s="366"/>
      <c r="AK292" s="394"/>
      <c r="AL292" s="430"/>
      <c r="AM292" s="395"/>
      <c r="AN292" s="529"/>
      <c r="AO292" s="394"/>
      <c r="AP292" s="430"/>
      <c r="AQ292" s="395"/>
      <c r="AR292" s="529"/>
      <c r="AS292" s="542"/>
      <c r="AT292" s="542"/>
    </row>
    <row r="293">
      <c r="A293" s="394"/>
      <c r="B293" s="430"/>
      <c r="C293" s="395"/>
      <c r="D293" s="529"/>
      <c r="E293" s="394"/>
      <c r="F293" s="430"/>
      <c r="G293" s="395"/>
      <c r="H293" s="529"/>
      <c r="I293" s="394"/>
      <c r="J293" s="430"/>
      <c r="K293" s="395"/>
      <c r="L293" s="529"/>
      <c r="M293" s="394"/>
      <c r="N293" s="430"/>
      <c r="O293" s="395"/>
      <c r="P293" s="529"/>
      <c r="Q293" s="547"/>
      <c r="R293" s="548"/>
      <c r="S293" s="549"/>
      <c r="T293" s="541"/>
      <c r="U293" s="547"/>
      <c r="V293" s="548"/>
      <c r="W293" s="549"/>
      <c r="X293" s="541"/>
      <c r="Y293" s="547"/>
      <c r="Z293" s="548"/>
      <c r="AA293" s="549"/>
      <c r="AB293" s="541"/>
      <c r="AC293" s="547"/>
      <c r="AD293" s="548"/>
      <c r="AE293" s="549"/>
      <c r="AF293" s="541"/>
      <c r="AG293" s="366"/>
      <c r="AH293" s="366"/>
      <c r="AI293" s="366"/>
      <c r="AJ293" s="366"/>
      <c r="AK293" s="394"/>
      <c r="AL293" s="430"/>
      <c r="AM293" s="395"/>
      <c r="AN293" s="529"/>
      <c r="AO293" s="394"/>
      <c r="AP293" s="430"/>
      <c r="AQ293" s="395"/>
      <c r="AR293" s="529"/>
      <c r="AS293" s="542"/>
      <c r="AT293" s="542"/>
    </row>
    <row r="294">
      <c r="A294" s="394"/>
      <c r="B294" s="430"/>
      <c r="C294" s="395"/>
      <c r="D294" s="529"/>
      <c r="E294" s="394"/>
      <c r="F294" s="430"/>
      <c r="G294" s="395"/>
      <c r="H294" s="529"/>
      <c r="I294" s="394"/>
      <c r="J294" s="430"/>
      <c r="K294" s="395"/>
      <c r="L294" s="529"/>
      <c r="M294" s="394"/>
      <c r="N294" s="430"/>
      <c r="O294" s="395"/>
      <c r="P294" s="529"/>
      <c r="Q294" s="547"/>
      <c r="R294" s="548"/>
      <c r="S294" s="549"/>
      <c r="T294" s="541"/>
      <c r="U294" s="547"/>
      <c r="V294" s="548"/>
      <c r="W294" s="549"/>
      <c r="X294" s="541"/>
      <c r="Y294" s="547"/>
      <c r="Z294" s="548"/>
      <c r="AA294" s="549"/>
      <c r="AB294" s="541"/>
      <c r="AC294" s="547"/>
      <c r="AD294" s="548"/>
      <c r="AE294" s="549"/>
      <c r="AF294" s="541"/>
      <c r="AG294" s="366"/>
      <c r="AH294" s="366"/>
      <c r="AI294" s="366"/>
      <c r="AJ294" s="366"/>
      <c r="AK294" s="394"/>
      <c r="AL294" s="430"/>
      <c r="AM294" s="395"/>
      <c r="AN294" s="529"/>
      <c r="AO294" s="394"/>
      <c r="AP294" s="430"/>
      <c r="AQ294" s="395"/>
      <c r="AR294" s="529"/>
      <c r="AS294" s="542"/>
      <c r="AT294" s="542"/>
    </row>
    <row r="295">
      <c r="A295" s="394"/>
      <c r="B295" s="430"/>
      <c r="C295" s="395"/>
      <c r="D295" s="529"/>
      <c r="E295" s="394"/>
      <c r="F295" s="430"/>
      <c r="G295" s="395"/>
      <c r="H295" s="529"/>
      <c r="I295" s="394"/>
      <c r="J295" s="430"/>
      <c r="K295" s="395"/>
      <c r="L295" s="529"/>
      <c r="M295" s="394"/>
      <c r="N295" s="430"/>
      <c r="O295" s="395"/>
      <c r="P295" s="529"/>
      <c r="Q295" s="547"/>
      <c r="R295" s="548"/>
      <c r="S295" s="549"/>
      <c r="T295" s="541"/>
      <c r="U295" s="547"/>
      <c r="V295" s="548"/>
      <c r="W295" s="549"/>
      <c r="X295" s="541"/>
      <c r="Y295" s="547"/>
      <c r="Z295" s="548"/>
      <c r="AA295" s="549"/>
      <c r="AB295" s="541"/>
      <c r="AC295" s="547"/>
      <c r="AD295" s="548"/>
      <c r="AE295" s="549"/>
      <c r="AF295" s="541"/>
      <c r="AG295" s="366"/>
      <c r="AH295" s="366"/>
      <c r="AI295" s="366"/>
      <c r="AJ295" s="366"/>
      <c r="AK295" s="394"/>
      <c r="AL295" s="430"/>
      <c r="AM295" s="395"/>
      <c r="AN295" s="529"/>
      <c r="AO295" s="394"/>
      <c r="AP295" s="430"/>
      <c r="AQ295" s="395"/>
      <c r="AR295" s="529"/>
      <c r="AS295" s="542"/>
      <c r="AT295" s="542"/>
    </row>
    <row r="296">
      <c r="A296" s="394"/>
      <c r="B296" s="430"/>
      <c r="C296" s="395"/>
      <c r="D296" s="529"/>
      <c r="E296" s="394"/>
      <c r="F296" s="430"/>
      <c r="G296" s="395"/>
      <c r="H296" s="529"/>
      <c r="I296" s="394"/>
      <c r="J296" s="430"/>
      <c r="K296" s="395"/>
      <c r="L296" s="529"/>
      <c r="M296" s="394"/>
      <c r="N296" s="430"/>
      <c r="O296" s="395"/>
      <c r="P296" s="529"/>
      <c r="Q296" s="547"/>
      <c r="R296" s="548"/>
      <c r="S296" s="549"/>
      <c r="T296" s="541"/>
      <c r="U296" s="547"/>
      <c r="V296" s="548"/>
      <c r="W296" s="549"/>
      <c r="X296" s="541"/>
      <c r="Y296" s="547"/>
      <c r="Z296" s="548"/>
      <c r="AA296" s="549"/>
      <c r="AB296" s="541"/>
      <c r="AC296" s="547"/>
      <c r="AD296" s="548"/>
      <c r="AE296" s="549"/>
      <c r="AF296" s="541"/>
      <c r="AG296" s="366"/>
      <c r="AH296" s="366"/>
      <c r="AI296" s="366"/>
      <c r="AJ296" s="366"/>
      <c r="AK296" s="394"/>
      <c r="AL296" s="430"/>
      <c r="AM296" s="395"/>
      <c r="AN296" s="529"/>
      <c r="AO296" s="394"/>
      <c r="AP296" s="430"/>
      <c r="AQ296" s="395"/>
      <c r="AR296" s="529"/>
      <c r="AS296" s="542"/>
      <c r="AT296" s="542"/>
    </row>
    <row r="297">
      <c r="A297" s="394"/>
      <c r="B297" s="430"/>
      <c r="C297" s="395"/>
      <c r="D297" s="529"/>
      <c r="E297" s="394"/>
      <c r="F297" s="430"/>
      <c r="G297" s="395"/>
      <c r="H297" s="529"/>
      <c r="I297" s="394"/>
      <c r="J297" s="430"/>
      <c r="K297" s="395"/>
      <c r="L297" s="529"/>
      <c r="M297" s="394"/>
      <c r="N297" s="430"/>
      <c r="O297" s="395"/>
      <c r="P297" s="529"/>
      <c r="Q297" s="547"/>
      <c r="R297" s="548"/>
      <c r="S297" s="549"/>
      <c r="T297" s="541"/>
      <c r="U297" s="547"/>
      <c r="V297" s="548"/>
      <c r="W297" s="549"/>
      <c r="X297" s="541"/>
      <c r="Y297" s="547"/>
      <c r="Z297" s="548"/>
      <c r="AA297" s="549"/>
      <c r="AB297" s="541"/>
      <c r="AC297" s="547"/>
      <c r="AD297" s="548"/>
      <c r="AE297" s="549"/>
      <c r="AF297" s="541"/>
      <c r="AG297" s="366"/>
      <c r="AH297" s="366"/>
      <c r="AI297" s="366"/>
      <c r="AJ297" s="366"/>
      <c r="AK297" s="394"/>
      <c r="AL297" s="430"/>
      <c r="AM297" s="395"/>
      <c r="AN297" s="529"/>
      <c r="AO297" s="394"/>
      <c r="AP297" s="430"/>
      <c r="AQ297" s="395"/>
      <c r="AR297" s="529"/>
      <c r="AS297" s="542"/>
      <c r="AT297" s="542"/>
    </row>
    <row r="298">
      <c r="A298" s="394"/>
      <c r="B298" s="430"/>
      <c r="C298" s="395"/>
      <c r="D298" s="529"/>
      <c r="E298" s="394"/>
      <c r="F298" s="430"/>
      <c r="G298" s="395"/>
      <c r="H298" s="529"/>
      <c r="I298" s="394"/>
      <c r="J298" s="430"/>
      <c r="K298" s="395"/>
      <c r="L298" s="529"/>
      <c r="M298" s="394"/>
      <c r="N298" s="430"/>
      <c r="O298" s="395"/>
      <c r="P298" s="529"/>
      <c r="Q298" s="547"/>
      <c r="R298" s="548"/>
      <c r="S298" s="549"/>
      <c r="T298" s="541"/>
      <c r="U298" s="547"/>
      <c r="V298" s="548"/>
      <c r="W298" s="549"/>
      <c r="X298" s="541"/>
      <c r="Y298" s="547"/>
      <c r="Z298" s="548"/>
      <c r="AA298" s="549"/>
      <c r="AB298" s="541"/>
      <c r="AC298" s="547"/>
      <c r="AD298" s="548"/>
      <c r="AE298" s="549"/>
      <c r="AF298" s="541"/>
      <c r="AG298" s="366"/>
      <c r="AH298" s="366"/>
      <c r="AI298" s="366"/>
      <c r="AJ298" s="366"/>
      <c r="AK298" s="394"/>
      <c r="AL298" s="430"/>
      <c r="AM298" s="395"/>
      <c r="AN298" s="529"/>
      <c r="AO298" s="394"/>
      <c r="AP298" s="430"/>
      <c r="AQ298" s="395"/>
      <c r="AR298" s="529"/>
      <c r="AS298" s="542"/>
      <c r="AT298" s="542"/>
    </row>
    <row r="299">
      <c r="A299" s="394"/>
      <c r="B299" s="430"/>
      <c r="C299" s="395"/>
      <c r="D299" s="529"/>
      <c r="E299" s="394"/>
      <c r="F299" s="430"/>
      <c r="G299" s="395"/>
      <c r="H299" s="529"/>
      <c r="I299" s="394"/>
      <c r="J299" s="430"/>
      <c r="K299" s="395"/>
      <c r="L299" s="529"/>
      <c r="M299" s="394"/>
      <c r="N299" s="430"/>
      <c r="O299" s="395"/>
      <c r="P299" s="529"/>
      <c r="Q299" s="547"/>
      <c r="R299" s="548"/>
      <c r="S299" s="549"/>
      <c r="T299" s="541"/>
      <c r="U299" s="547"/>
      <c r="V299" s="548"/>
      <c r="W299" s="549"/>
      <c r="X299" s="541"/>
      <c r="Y299" s="547"/>
      <c r="Z299" s="548"/>
      <c r="AA299" s="549"/>
      <c r="AB299" s="541"/>
      <c r="AC299" s="547"/>
      <c r="AD299" s="548"/>
      <c r="AE299" s="549"/>
      <c r="AF299" s="541"/>
      <c r="AG299" s="366"/>
      <c r="AH299" s="366"/>
      <c r="AI299" s="366"/>
      <c r="AJ299" s="366"/>
      <c r="AK299" s="394"/>
      <c r="AL299" s="430"/>
      <c r="AM299" s="395"/>
      <c r="AN299" s="529"/>
      <c r="AO299" s="394"/>
      <c r="AP299" s="430"/>
      <c r="AQ299" s="395"/>
      <c r="AR299" s="529"/>
      <c r="AS299" s="542"/>
      <c r="AT299" s="542"/>
    </row>
    <row r="300">
      <c r="A300" s="394"/>
      <c r="B300" s="430"/>
      <c r="C300" s="395"/>
      <c r="D300" s="529"/>
      <c r="E300" s="394"/>
      <c r="F300" s="430"/>
      <c r="G300" s="395"/>
      <c r="H300" s="529"/>
      <c r="I300" s="394"/>
      <c r="J300" s="430"/>
      <c r="K300" s="395"/>
      <c r="L300" s="529"/>
      <c r="M300" s="394"/>
      <c r="N300" s="430"/>
      <c r="O300" s="395"/>
      <c r="P300" s="529"/>
      <c r="Q300" s="547"/>
      <c r="R300" s="548"/>
      <c r="S300" s="549"/>
      <c r="T300" s="541"/>
      <c r="U300" s="547"/>
      <c r="V300" s="548"/>
      <c r="W300" s="549"/>
      <c r="X300" s="541"/>
      <c r="Y300" s="547"/>
      <c r="Z300" s="548"/>
      <c r="AA300" s="549"/>
      <c r="AB300" s="541"/>
      <c r="AC300" s="547"/>
      <c r="AD300" s="548"/>
      <c r="AE300" s="549"/>
      <c r="AF300" s="541"/>
      <c r="AG300" s="366"/>
      <c r="AH300" s="366"/>
      <c r="AI300" s="366"/>
      <c r="AJ300" s="366"/>
      <c r="AK300" s="394"/>
      <c r="AL300" s="430"/>
      <c r="AM300" s="395"/>
      <c r="AN300" s="529"/>
      <c r="AO300" s="394"/>
      <c r="AP300" s="430"/>
      <c r="AQ300" s="395"/>
      <c r="AR300" s="529"/>
      <c r="AS300" s="542"/>
      <c r="AT300" s="542"/>
    </row>
    <row r="301">
      <c r="A301" s="394"/>
      <c r="B301" s="430"/>
      <c r="C301" s="395"/>
      <c r="D301" s="529"/>
      <c r="E301" s="394"/>
      <c r="F301" s="430"/>
      <c r="G301" s="395"/>
      <c r="H301" s="529"/>
      <c r="I301" s="394"/>
      <c r="J301" s="430"/>
      <c r="K301" s="395"/>
      <c r="L301" s="529"/>
      <c r="M301" s="394"/>
      <c r="N301" s="430"/>
      <c r="O301" s="395"/>
      <c r="P301" s="529"/>
      <c r="Q301" s="547"/>
      <c r="R301" s="548"/>
      <c r="S301" s="549"/>
      <c r="T301" s="541"/>
      <c r="U301" s="547"/>
      <c r="V301" s="548"/>
      <c r="W301" s="549"/>
      <c r="X301" s="541"/>
      <c r="Y301" s="547"/>
      <c r="Z301" s="548"/>
      <c r="AA301" s="549"/>
      <c r="AB301" s="541"/>
      <c r="AC301" s="547"/>
      <c r="AD301" s="548"/>
      <c r="AE301" s="549"/>
      <c r="AF301" s="541"/>
      <c r="AG301" s="366"/>
      <c r="AH301" s="366"/>
      <c r="AI301" s="366"/>
      <c r="AJ301" s="366"/>
      <c r="AK301" s="394"/>
      <c r="AL301" s="430"/>
      <c r="AM301" s="395"/>
      <c r="AN301" s="529"/>
      <c r="AO301" s="394"/>
      <c r="AP301" s="430"/>
      <c r="AQ301" s="395"/>
      <c r="AR301" s="529"/>
      <c r="AS301" s="542"/>
      <c r="AT301" s="542"/>
    </row>
    <row r="302">
      <c r="A302" s="394"/>
      <c r="B302" s="430"/>
      <c r="C302" s="395"/>
      <c r="D302" s="529"/>
      <c r="E302" s="394"/>
      <c r="F302" s="430"/>
      <c r="G302" s="395"/>
      <c r="H302" s="529"/>
      <c r="I302" s="394"/>
      <c r="J302" s="430"/>
      <c r="K302" s="395"/>
      <c r="L302" s="529"/>
      <c r="M302" s="394"/>
      <c r="N302" s="430"/>
      <c r="O302" s="395"/>
      <c r="P302" s="529"/>
      <c r="Q302" s="547"/>
      <c r="R302" s="548"/>
      <c r="S302" s="549"/>
      <c r="T302" s="541"/>
      <c r="U302" s="547"/>
      <c r="V302" s="548"/>
      <c r="W302" s="549"/>
      <c r="X302" s="541"/>
      <c r="Y302" s="547"/>
      <c r="Z302" s="548"/>
      <c r="AA302" s="549"/>
      <c r="AB302" s="541"/>
      <c r="AC302" s="547"/>
      <c r="AD302" s="548"/>
      <c r="AE302" s="549"/>
      <c r="AF302" s="541"/>
      <c r="AG302" s="366"/>
      <c r="AH302" s="366"/>
      <c r="AI302" s="366"/>
      <c r="AJ302" s="366"/>
      <c r="AK302" s="394"/>
      <c r="AL302" s="430"/>
      <c r="AM302" s="395"/>
      <c r="AN302" s="529"/>
      <c r="AO302" s="394"/>
      <c r="AP302" s="430"/>
      <c r="AQ302" s="395"/>
      <c r="AR302" s="529"/>
      <c r="AS302" s="542"/>
      <c r="AT302" s="542"/>
    </row>
    <row r="303">
      <c r="A303" s="394"/>
      <c r="B303" s="430"/>
      <c r="C303" s="395"/>
      <c r="D303" s="529"/>
      <c r="E303" s="394"/>
      <c r="F303" s="430"/>
      <c r="G303" s="395"/>
      <c r="H303" s="529"/>
      <c r="I303" s="394"/>
      <c r="J303" s="430"/>
      <c r="K303" s="395"/>
      <c r="L303" s="529"/>
      <c r="M303" s="394"/>
      <c r="N303" s="430"/>
      <c r="O303" s="395"/>
      <c r="P303" s="529"/>
      <c r="Q303" s="547"/>
      <c r="R303" s="548"/>
      <c r="S303" s="549"/>
      <c r="T303" s="541"/>
      <c r="U303" s="547"/>
      <c r="V303" s="548"/>
      <c r="W303" s="549"/>
      <c r="X303" s="541"/>
      <c r="Y303" s="547"/>
      <c r="Z303" s="548"/>
      <c r="AA303" s="549"/>
      <c r="AB303" s="541"/>
      <c r="AC303" s="547"/>
      <c r="AD303" s="548"/>
      <c r="AE303" s="549"/>
      <c r="AF303" s="541"/>
      <c r="AG303" s="366"/>
      <c r="AH303" s="366"/>
      <c r="AI303" s="366"/>
      <c r="AJ303" s="366"/>
      <c r="AK303" s="394"/>
      <c r="AL303" s="430"/>
      <c r="AM303" s="395"/>
      <c r="AN303" s="529"/>
      <c r="AO303" s="394"/>
      <c r="AP303" s="430"/>
      <c r="AQ303" s="395"/>
      <c r="AR303" s="529"/>
      <c r="AS303" s="542"/>
      <c r="AT303" s="542"/>
    </row>
    <row r="304">
      <c r="A304" s="394"/>
      <c r="B304" s="430"/>
      <c r="C304" s="395"/>
      <c r="D304" s="529"/>
      <c r="E304" s="394"/>
      <c r="F304" s="430"/>
      <c r="G304" s="395"/>
      <c r="H304" s="529"/>
      <c r="I304" s="394"/>
      <c r="J304" s="430"/>
      <c r="K304" s="395"/>
      <c r="L304" s="529"/>
      <c r="M304" s="394"/>
      <c r="N304" s="430"/>
      <c r="O304" s="395"/>
      <c r="P304" s="529"/>
      <c r="Q304" s="547"/>
      <c r="R304" s="548"/>
      <c r="S304" s="549"/>
      <c r="T304" s="541"/>
      <c r="U304" s="547"/>
      <c r="V304" s="548"/>
      <c r="W304" s="549"/>
      <c r="X304" s="541"/>
      <c r="Y304" s="547"/>
      <c r="Z304" s="548"/>
      <c r="AA304" s="549"/>
      <c r="AB304" s="541"/>
      <c r="AC304" s="547"/>
      <c r="AD304" s="548"/>
      <c r="AE304" s="549"/>
      <c r="AF304" s="541"/>
      <c r="AG304" s="366"/>
      <c r="AH304" s="366"/>
      <c r="AI304" s="366"/>
      <c r="AJ304" s="366"/>
      <c r="AK304" s="394"/>
      <c r="AL304" s="430"/>
      <c r="AM304" s="395"/>
      <c r="AN304" s="529"/>
      <c r="AO304" s="394"/>
      <c r="AP304" s="430"/>
      <c r="AQ304" s="395"/>
      <c r="AR304" s="529"/>
      <c r="AS304" s="542"/>
      <c r="AT304" s="542"/>
    </row>
    <row r="305">
      <c r="A305" s="394"/>
      <c r="B305" s="430"/>
      <c r="C305" s="395"/>
      <c r="D305" s="529"/>
      <c r="E305" s="394"/>
      <c r="F305" s="430"/>
      <c r="G305" s="395"/>
      <c r="H305" s="529"/>
      <c r="I305" s="394"/>
      <c r="J305" s="430"/>
      <c r="K305" s="395"/>
      <c r="L305" s="529"/>
      <c r="M305" s="394"/>
      <c r="N305" s="430"/>
      <c r="O305" s="395"/>
      <c r="P305" s="529"/>
      <c r="Q305" s="547"/>
      <c r="R305" s="548"/>
      <c r="S305" s="549"/>
      <c r="T305" s="541"/>
      <c r="U305" s="547"/>
      <c r="V305" s="548"/>
      <c r="W305" s="549"/>
      <c r="X305" s="541"/>
      <c r="Y305" s="547"/>
      <c r="Z305" s="548"/>
      <c r="AA305" s="549"/>
      <c r="AB305" s="541"/>
      <c r="AC305" s="547"/>
      <c r="AD305" s="548"/>
      <c r="AE305" s="549"/>
      <c r="AF305" s="541"/>
      <c r="AG305" s="366"/>
      <c r="AH305" s="366"/>
      <c r="AI305" s="366"/>
      <c r="AJ305" s="366"/>
      <c r="AK305" s="394"/>
      <c r="AL305" s="430"/>
      <c r="AM305" s="395"/>
      <c r="AN305" s="529"/>
      <c r="AO305" s="394"/>
      <c r="AP305" s="430"/>
      <c r="AQ305" s="395"/>
      <c r="AR305" s="529"/>
      <c r="AS305" s="542"/>
      <c r="AT305" s="542"/>
    </row>
    <row r="306">
      <c r="A306" s="394"/>
      <c r="B306" s="430"/>
      <c r="C306" s="395"/>
      <c r="D306" s="529"/>
      <c r="E306" s="394"/>
      <c r="F306" s="430"/>
      <c r="G306" s="395"/>
      <c r="H306" s="529"/>
      <c r="I306" s="394"/>
      <c r="J306" s="430"/>
      <c r="K306" s="395"/>
      <c r="L306" s="529"/>
      <c r="M306" s="394"/>
      <c r="N306" s="430"/>
      <c r="O306" s="395"/>
      <c r="P306" s="529"/>
      <c r="Q306" s="547"/>
      <c r="R306" s="548"/>
      <c r="S306" s="549"/>
      <c r="T306" s="541"/>
      <c r="U306" s="547"/>
      <c r="V306" s="548"/>
      <c r="W306" s="549"/>
      <c r="X306" s="541"/>
      <c r="Y306" s="547"/>
      <c r="Z306" s="548"/>
      <c r="AA306" s="549"/>
      <c r="AB306" s="541"/>
      <c r="AC306" s="547"/>
      <c r="AD306" s="548"/>
      <c r="AE306" s="549"/>
      <c r="AF306" s="541"/>
      <c r="AG306" s="366"/>
      <c r="AH306" s="366"/>
      <c r="AI306" s="366"/>
      <c r="AJ306" s="366"/>
      <c r="AK306" s="394"/>
      <c r="AL306" s="430"/>
      <c r="AM306" s="395"/>
      <c r="AN306" s="529"/>
      <c r="AO306" s="394"/>
      <c r="AP306" s="430"/>
      <c r="AQ306" s="395"/>
      <c r="AR306" s="529"/>
      <c r="AS306" s="542"/>
      <c r="AT306" s="542"/>
    </row>
    <row r="307">
      <c r="A307" s="394"/>
      <c r="B307" s="430"/>
      <c r="C307" s="395"/>
      <c r="D307" s="529"/>
      <c r="E307" s="394"/>
      <c r="F307" s="430"/>
      <c r="G307" s="395"/>
      <c r="H307" s="529"/>
      <c r="I307" s="394"/>
      <c r="J307" s="430"/>
      <c r="K307" s="395"/>
      <c r="L307" s="529"/>
      <c r="M307" s="394"/>
      <c r="N307" s="430"/>
      <c r="O307" s="395"/>
      <c r="P307" s="529"/>
      <c r="Q307" s="547"/>
      <c r="R307" s="548"/>
      <c r="S307" s="549"/>
      <c r="T307" s="541"/>
      <c r="U307" s="547"/>
      <c r="V307" s="548"/>
      <c r="W307" s="549"/>
      <c r="X307" s="541"/>
      <c r="Y307" s="547"/>
      <c r="Z307" s="548"/>
      <c r="AA307" s="549"/>
      <c r="AB307" s="541"/>
      <c r="AC307" s="547"/>
      <c r="AD307" s="548"/>
      <c r="AE307" s="549"/>
      <c r="AF307" s="541"/>
      <c r="AG307" s="366"/>
      <c r="AH307" s="366"/>
      <c r="AI307" s="366"/>
      <c r="AJ307" s="366"/>
      <c r="AK307" s="394"/>
      <c r="AL307" s="430"/>
      <c r="AM307" s="395"/>
      <c r="AN307" s="529"/>
      <c r="AO307" s="394"/>
      <c r="AP307" s="430"/>
      <c r="AQ307" s="395"/>
      <c r="AR307" s="529"/>
      <c r="AS307" s="542"/>
      <c r="AT307" s="542"/>
    </row>
    <row r="308">
      <c r="A308" s="394"/>
      <c r="B308" s="430"/>
      <c r="C308" s="395"/>
      <c r="D308" s="529"/>
      <c r="E308" s="394"/>
      <c r="F308" s="430"/>
      <c r="G308" s="395"/>
      <c r="H308" s="529"/>
      <c r="I308" s="394"/>
      <c r="J308" s="430"/>
      <c r="K308" s="395"/>
      <c r="L308" s="529"/>
      <c r="M308" s="394"/>
      <c r="N308" s="430"/>
      <c r="O308" s="395"/>
      <c r="P308" s="529"/>
      <c r="Q308" s="547"/>
      <c r="R308" s="548"/>
      <c r="S308" s="549"/>
      <c r="T308" s="541"/>
      <c r="U308" s="547"/>
      <c r="V308" s="548"/>
      <c r="W308" s="549"/>
      <c r="X308" s="541"/>
      <c r="Y308" s="547"/>
      <c r="Z308" s="548"/>
      <c r="AA308" s="549"/>
      <c r="AB308" s="541"/>
      <c r="AC308" s="547"/>
      <c r="AD308" s="548"/>
      <c r="AE308" s="549"/>
      <c r="AF308" s="541"/>
      <c r="AG308" s="366"/>
      <c r="AH308" s="366"/>
      <c r="AI308" s="366"/>
      <c r="AJ308" s="366"/>
      <c r="AK308" s="394"/>
      <c r="AL308" s="430"/>
      <c r="AM308" s="395"/>
      <c r="AN308" s="529"/>
      <c r="AO308" s="394"/>
      <c r="AP308" s="430"/>
      <c r="AQ308" s="395"/>
      <c r="AR308" s="529"/>
      <c r="AS308" s="542"/>
      <c r="AT308" s="542"/>
    </row>
    <row r="309">
      <c r="A309" s="394"/>
      <c r="B309" s="430"/>
      <c r="C309" s="395"/>
      <c r="D309" s="529"/>
      <c r="E309" s="394"/>
      <c r="F309" s="430"/>
      <c r="G309" s="395"/>
      <c r="H309" s="529"/>
      <c r="I309" s="394"/>
      <c r="J309" s="430"/>
      <c r="K309" s="395"/>
      <c r="L309" s="529"/>
      <c r="M309" s="394"/>
      <c r="N309" s="430"/>
      <c r="O309" s="395"/>
      <c r="P309" s="529"/>
      <c r="Q309" s="547"/>
      <c r="R309" s="548"/>
      <c r="S309" s="549"/>
      <c r="T309" s="541"/>
      <c r="U309" s="547"/>
      <c r="V309" s="548"/>
      <c r="W309" s="549"/>
      <c r="X309" s="541"/>
      <c r="Y309" s="547"/>
      <c r="Z309" s="548"/>
      <c r="AA309" s="549"/>
      <c r="AB309" s="541"/>
      <c r="AC309" s="547"/>
      <c r="AD309" s="548"/>
      <c r="AE309" s="549"/>
      <c r="AF309" s="541"/>
      <c r="AG309" s="366"/>
      <c r="AH309" s="366"/>
      <c r="AI309" s="366"/>
      <c r="AJ309" s="366"/>
      <c r="AK309" s="394"/>
      <c r="AL309" s="430"/>
      <c r="AM309" s="395"/>
      <c r="AN309" s="529"/>
      <c r="AO309" s="394"/>
      <c r="AP309" s="430"/>
      <c r="AQ309" s="395"/>
      <c r="AR309" s="529"/>
      <c r="AS309" s="542"/>
      <c r="AT309" s="542"/>
    </row>
    <row r="310">
      <c r="A310" s="394"/>
      <c r="B310" s="430"/>
      <c r="C310" s="395"/>
      <c r="D310" s="529"/>
      <c r="E310" s="394"/>
      <c r="F310" s="430"/>
      <c r="G310" s="395"/>
      <c r="H310" s="529"/>
      <c r="I310" s="394"/>
      <c r="J310" s="430"/>
      <c r="K310" s="395"/>
      <c r="L310" s="529"/>
      <c r="M310" s="394"/>
      <c r="N310" s="430"/>
      <c r="O310" s="395"/>
      <c r="P310" s="529"/>
      <c r="Q310" s="547"/>
      <c r="R310" s="548"/>
      <c r="S310" s="549"/>
      <c r="T310" s="541"/>
      <c r="U310" s="547"/>
      <c r="V310" s="548"/>
      <c r="W310" s="549"/>
      <c r="X310" s="541"/>
      <c r="Y310" s="547"/>
      <c r="Z310" s="548"/>
      <c r="AA310" s="549"/>
      <c r="AB310" s="541"/>
      <c r="AC310" s="547"/>
      <c r="AD310" s="548"/>
      <c r="AE310" s="549"/>
      <c r="AF310" s="541"/>
      <c r="AG310" s="366"/>
      <c r="AH310" s="366"/>
      <c r="AI310" s="366"/>
      <c r="AJ310" s="366"/>
      <c r="AK310" s="394"/>
      <c r="AL310" s="430"/>
      <c r="AM310" s="395"/>
      <c r="AN310" s="529"/>
      <c r="AO310" s="394"/>
      <c r="AP310" s="430"/>
      <c r="AQ310" s="395"/>
      <c r="AR310" s="529"/>
      <c r="AS310" s="542"/>
      <c r="AT310" s="542"/>
    </row>
    <row r="311">
      <c r="A311" s="394"/>
      <c r="B311" s="430"/>
      <c r="C311" s="395"/>
      <c r="D311" s="529"/>
      <c r="E311" s="394"/>
      <c r="F311" s="430"/>
      <c r="G311" s="395"/>
      <c r="H311" s="529"/>
      <c r="I311" s="394"/>
      <c r="J311" s="430"/>
      <c r="K311" s="395"/>
      <c r="L311" s="529"/>
      <c r="M311" s="394"/>
      <c r="N311" s="430"/>
      <c r="O311" s="395"/>
      <c r="P311" s="529"/>
      <c r="Q311" s="547"/>
      <c r="R311" s="548"/>
      <c r="S311" s="549"/>
      <c r="T311" s="541"/>
      <c r="U311" s="547"/>
      <c r="V311" s="548"/>
      <c r="W311" s="549"/>
      <c r="X311" s="541"/>
      <c r="Y311" s="547"/>
      <c r="Z311" s="548"/>
      <c r="AA311" s="549"/>
      <c r="AB311" s="541"/>
      <c r="AC311" s="547"/>
      <c r="AD311" s="548"/>
      <c r="AE311" s="549"/>
      <c r="AF311" s="541"/>
      <c r="AG311" s="366"/>
      <c r="AH311" s="366"/>
      <c r="AI311" s="366"/>
      <c r="AJ311" s="366"/>
      <c r="AK311" s="394"/>
      <c r="AL311" s="430"/>
      <c r="AM311" s="395"/>
      <c r="AN311" s="529"/>
      <c r="AO311" s="394"/>
      <c r="AP311" s="430"/>
      <c r="AQ311" s="395"/>
      <c r="AR311" s="529"/>
      <c r="AS311" s="542"/>
      <c r="AT311" s="542"/>
    </row>
    <row r="312">
      <c r="A312" s="394"/>
      <c r="B312" s="430"/>
      <c r="C312" s="395"/>
      <c r="D312" s="529"/>
      <c r="E312" s="394"/>
      <c r="F312" s="430"/>
      <c r="G312" s="395"/>
      <c r="H312" s="529"/>
      <c r="I312" s="394"/>
      <c r="J312" s="430"/>
      <c r="K312" s="395"/>
      <c r="L312" s="529"/>
      <c r="M312" s="394"/>
      <c r="N312" s="430"/>
      <c r="O312" s="395"/>
      <c r="P312" s="529"/>
      <c r="Q312" s="547"/>
      <c r="R312" s="548"/>
      <c r="S312" s="549"/>
      <c r="T312" s="541"/>
      <c r="U312" s="547"/>
      <c r="V312" s="548"/>
      <c r="W312" s="549"/>
      <c r="X312" s="541"/>
      <c r="Y312" s="547"/>
      <c r="Z312" s="548"/>
      <c r="AA312" s="549"/>
      <c r="AB312" s="541"/>
      <c r="AC312" s="547"/>
      <c r="AD312" s="548"/>
      <c r="AE312" s="549"/>
      <c r="AF312" s="541"/>
      <c r="AG312" s="366"/>
      <c r="AH312" s="366"/>
      <c r="AI312" s="366"/>
      <c r="AJ312" s="366"/>
      <c r="AK312" s="394"/>
      <c r="AL312" s="430"/>
      <c r="AM312" s="395"/>
      <c r="AN312" s="529"/>
      <c r="AO312" s="394"/>
      <c r="AP312" s="430"/>
      <c r="AQ312" s="395"/>
      <c r="AR312" s="529"/>
      <c r="AS312" s="542"/>
      <c r="AT312" s="542"/>
    </row>
    <row r="313">
      <c r="A313" s="394"/>
      <c r="B313" s="430"/>
      <c r="C313" s="395"/>
      <c r="D313" s="529"/>
      <c r="E313" s="394"/>
      <c r="F313" s="430"/>
      <c r="G313" s="395"/>
      <c r="H313" s="529"/>
      <c r="I313" s="394"/>
      <c r="J313" s="430"/>
      <c r="K313" s="395"/>
      <c r="L313" s="529"/>
      <c r="M313" s="394"/>
      <c r="N313" s="430"/>
      <c r="O313" s="395"/>
      <c r="P313" s="529"/>
      <c r="Q313" s="547"/>
      <c r="R313" s="548"/>
      <c r="S313" s="549"/>
      <c r="T313" s="541"/>
      <c r="U313" s="547"/>
      <c r="V313" s="548"/>
      <c r="W313" s="549"/>
      <c r="X313" s="541"/>
      <c r="Y313" s="547"/>
      <c r="Z313" s="548"/>
      <c r="AA313" s="549"/>
      <c r="AB313" s="541"/>
      <c r="AC313" s="547"/>
      <c r="AD313" s="548"/>
      <c r="AE313" s="549"/>
      <c r="AF313" s="541"/>
      <c r="AG313" s="366"/>
      <c r="AH313" s="366"/>
      <c r="AI313" s="366"/>
      <c r="AJ313" s="366"/>
      <c r="AK313" s="394"/>
      <c r="AL313" s="430"/>
      <c r="AM313" s="395"/>
      <c r="AN313" s="529"/>
      <c r="AO313" s="394"/>
      <c r="AP313" s="430"/>
      <c r="AQ313" s="395"/>
      <c r="AR313" s="529"/>
      <c r="AS313" s="542"/>
      <c r="AT313" s="542"/>
    </row>
    <row r="314">
      <c r="A314" s="394"/>
      <c r="B314" s="430"/>
      <c r="C314" s="395"/>
      <c r="D314" s="529"/>
      <c r="E314" s="394"/>
      <c r="F314" s="430"/>
      <c r="G314" s="395"/>
      <c r="H314" s="529"/>
      <c r="I314" s="394"/>
      <c r="J314" s="430"/>
      <c r="K314" s="395"/>
      <c r="L314" s="529"/>
      <c r="M314" s="394"/>
      <c r="N314" s="430"/>
      <c r="O314" s="395"/>
      <c r="P314" s="529"/>
      <c r="Q314" s="547"/>
      <c r="R314" s="548"/>
      <c r="S314" s="549"/>
      <c r="T314" s="541"/>
      <c r="U314" s="547"/>
      <c r="V314" s="548"/>
      <c r="W314" s="549"/>
      <c r="X314" s="541"/>
      <c r="Y314" s="547"/>
      <c r="Z314" s="548"/>
      <c r="AA314" s="549"/>
      <c r="AB314" s="541"/>
      <c r="AC314" s="547"/>
      <c r="AD314" s="548"/>
      <c r="AE314" s="549"/>
      <c r="AF314" s="541"/>
      <c r="AG314" s="366"/>
      <c r="AH314" s="366"/>
      <c r="AI314" s="366"/>
      <c r="AJ314" s="366"/>
      <c r="AK314" s="394"/>
      <c r="AL314" s="430"/>
      <c r="AM314" s="395"/>
      <c r="AN314" s="529"/>
      <c r="AO314" s="394"/>
      <c r="AP314" s="430"/>
      <c r="AQ314" s="395"/>
      <c r="AR314" s="529"/>
      <c r="AS314" s="542"/>
      <c r="AT314" s="542"/>
    </row>
    <row r="315">
      <c r="A315" s="394"/>
      <c r="B315" s="430"/>
      <c r="C315" s="395"/>
      <c r="D315" s="529"/>
      <c r="E315" s="394"/>
      <c r="F315" s="430"/>
      <c r="G315" s="395"/>
      <c r="H315" s="529"/>
      <c r="I315" s="394"/>
      <c r="J315" s="430"/>
      <c r="K315" s="395"/>
      <c r="L315" s="529"/>
      <c r="M315" s="394"/>
      <c r="N315" s="430"/>
      <c r="O315" s="395"/>
      <c r="P315" s="529"/>
      <c r="Q315" s="547"/>
      <c r="R315" s="548"/>
      <c r="S315" s="549"/>
      <c r="T315" s="541"/>
      <c r="U315" s="547"/>
      <c r="V315" s="548"/>
      <c r="W315" s="549"/>
      <c r="X315" s="541"/>
      <c r="Y315" s="547"/>
      <c r="Z315" s="548"/>
      <c r="AA315" s="549"/>
      <c r="AB315" s="541"/>
      <c r="AC315" s="547"/>
      <c r="AD315" s="548"/>
      <c r="AE315" s="549"/>
      <c r="AF315" s="541"/>
      <c r="AG315" s="366"/>
      <c r="AH315" s="366"/>
      <c r="AI315" s="366"/>
      <c r="AJ315" s="366"/>
      <c r="AK315" s="394"/>
      <c r="AL315" s="430"/>
      <c r="AM315" s="395"/>
      <c r="AN315" s="529"/>
      <c r="AO315" s="394"/>
      <c r="AP315" s="430"/>
      <c r="AQ315" s="395"/>
      <c r="AR315" s="529"/>
      <c r="AS315" s="542"/>
      <c r="AT315" s="542"/>
    </row>
    <row r="316">
      <c r="A316" s="394"/>
      <c r="B316" s="430"/>
      <c r="C316" s="395"/>
      <c r="D316" s="529"/>
      <c r="E316" s="394"/>
      <c r="F316" s="430"/>
      <c r="G316" s="395"/>
      <c r="H316" s="529"/>
      <c r="I316" s="394"/>
      <c r="J316" s="430"/>
      <c r="K316" s="395"/>
      <c r="L316" s="529"/>
      <c r="M316" s="394"/>
      <c r="N316" s="430"/>
      <c r="O316" s="395"/>
      <c r="P316" s="529"/>
      <c r="Q316" s="547"/>
      <c r="R316" s="548"/>
      <c r="S316" s="549"/>
      <c r="T316" s="541"/>
      <c r="U316" s="547"/>
      <c r="V316" s="548"/>
      <c r="W316" s="549"/>
      <c r="X316" s="541"/>
      <c r="Y316" s="547"/>
      <c r="Z316" s="548"/>
      <c r="AA316" s="549"/>
      <c r="AB316" s="541"/>
      <c r="AC316" s="547"/>
      <c r="AD316" s="548"/>
      <c r="AE316" s="549"/>
      <c r="AF316" s="541"/>
      <c r="AG316" s="366"/>
      <c r="AH316" s="366"/>
      <c r="AI316" s="366"/>
      <c r="AJ316" s="366"/>
      <c r="AK316" s="394"/>
      <c r="AL316" s="430"/>
      <c r="AM316" s="395"/>
      <c r="AN316" s="529"/>
      <c r="AO316" s="394"/>
      <c r="AP316" s="430"/>
      <c r="AQ316" s="395"/>
      <c r="AR316" s="529"/>
      <c r="AS316" s="542"/>
      <c r="AT316" s="542"/>
    </row>
    <row r="317">
      <c r="A317" s="394"/>
      <c r="B317" s="430"/>
      <c r="C317" s="395"/>
      <c r="D317" s="529"/>
      <c r="E317" s="394"/>
      <c r="F317" s="430"/>
      <c r="G317" s="395"/>
      <c r="H317" s="529"/>
      <c r="I317" s="394"/>
      <c r="J317" s="430"/>
      <c r="K317" s="395"/>
      <c r="L317" s="529"/>
      <c r="M317" s="394"/>
      <c r="N317" s="430"/>
      <c r="O317" s="395"/>
      <c r="P317" s="529"/>
      <c r="Q317" s="547"/>
      <c r="R317" s="548"/>
      <c r="S317" s="549"/>
      <c r="T317" s="541"/>
      <c r="U317" s="547"/>
      <c r="V317" s="548"/>
      <c r="W317" s="549"/>
      <c r="X317" s="541"/>
      <c r="Y317" s="547"/>
      <c r="Z317" s="548"/>
      <c r="AA317" s="549"/>
      <c r="AB317" s="541"/>
      <c r="AC317" s="547"/>
      <c r="AD317" s="548"/>
      <c r="AE317" s="549"/>
      <c r="AF317" s="541"/>
      <c r="AG317" s="366"/>
      <c r="AH317" s="366"/>
      <c r="AI317" s="366"/>
      <c r="AJ317" s="366"/>
      <c r="AK317" s="394"/>
      <c r="AL317" s="430"/>
      <c r="AM317" s="395"/>
      <c r="AN317" s="529"/>
      <c r="AO317" s="394"/>
      <c r="AP317" s="430"/>
      <c r="AQ317" s="395"/>
      <c r="AR317" s="529"/>
      <c r="AS317" s="542"/>
      <c r="AT317" s="542"/>
    </row>
    <row r="318">
      <c r="A318" s="394"/>
      <c r="B318" s="430"/>
      <c r="C318" s="395"/>
      <c r="D318" s="529"/>
      <c r="E318" s="394"/>
      <c r="F318" s="430"/>
      <c r="G318" s="395"/>
      <c r="H318" s="529"/>
      <c r="I318" s="394"/>
      <c r="J318" s="430"/>
      <c r="K318" s="395"/>
      <c r="L318" s="529"/>
      <c r="M318" s="394"/>
      <c r="N318" s="430"/>
      <c r="O318" s="395"/>
      <c r="P318" s="529"/>
      <c r="Q318" s="547"/>
      <c r="R318" s="548"/>
      <c r="S318" s="549"/>
      <c r="T318" s="541"/>
      <c r="U318" s="547"/>
      <c r="V318" s="548"/>
      <c r="W318" s="549"/>
      <c r="X318" s="541"/>
      <c r="Y318" s="547"/>
      <c r="Z318" s="548"/>
      <c r="AA318" s="549"/>
      <c r="AB318" s="541"/>
      <c r="AC318" s="547"/>
      <c r="AD318" s="548"/>
      <c r="AE318" s="549"/>
      <c r="AF318" s="541"/>
      <c r="AG318" s="366"/>
      <c r="AH318" s="366"/>
      <c r="AI318" s="366"/>
      <c r="AJ318" s="366"/>
      <c r="AK318" s="394"/>
      <c r="AL318" s="430"/>
      <c r="AM318" s="395"/>
      <c r="AN318" s="529"/>
      <c r="AO318" s="394"/>
      <c r="AP318" s="430"/>
      <c r="AQ318" s="395"/>
      <c r="AR318" s="529"/>
      <c r="AS318" s="542"/>
      <c r="AT318" s="542"/>
    </row>
    <row r="319">
      <c r="A319" s="394"/>
      <c r="B319" s="430"/>
      <c r="C319" s="395"/>
      <c r="D319" s="529"/>
      <c r="E319" s="394"/>
      <c r="F319" s="430"/>
      <c r="G319" s="395"/>
      <c r="H319" s="529"/>
      <c r="I319" s="394"/>
      <c r="J319" s="430"/>
      <c r="K319" s="395"/>
      <c r="L319" s="529"/>
      <c r="M319" s="394"/>
      <c r="N319" s="430"/>
      <c r="O319" s="395"/>
      <c r="P319" s="529"/>
      <c r="Q319" s="547"/>
      <c r="R319" s="548"/>
      <c r="S319" s="549"/>
      <c r="T319" s="541"/>
      <c r="U319" s="547"/>
      <c r="V319" s="548"/>
      <c r="W319" s="549"/>
      <c r="X319" s="541"/>
      <c r="Y319" s="547"/>
      <c r="Z319" s="548"/>
      <c r="AA319" s="549"/>
      <c r="AB319" s="541"/>
      <c r="AC319" s="547"/>
      <c r="AD319" s="548"/>
      <c r="AE319" s="549"/>
      <c r="AF319" s="541"/>
      <c r="AG319" s="366"/>
      <c r="AH319" s="366"/>
      <c r="AI319" s="366"/>
      <c r="AJ319" s="366"/>
      <c r="AK319" s="394"/>
      <c r="AL319" s="430"/>
      <c r="AM319" s="395"/>
      <c r="AN319" s="529"/>
      <c r="AO319" s="394"/>
      <c r="AP319" s="430"/>
      <c r="AQ319" s="395"/>
      <c r="AR319" s="529"/>
      <c r="AS319" s="542"/>
      <c r="AT319" s="542"/>
    </row>
    <row r="320">
      <c r="A320" s="394"/>
      <c r="B320" s="430"/>
      <c r="C320" s="395"/>
      <c r="D320" s="529"/>
      <c r="E320" s="394"/>
      <c r="F320" s="430"/>
      <c r="G320" s="395"/>
      <c r="H320" s="529"/>
      <c r="I320" s="394"/>
      <c r="J320" s="430"/>
      <c r="K320" s="395"/>
      <c r="L320" s="529"/>
      <c r="M320" s="394"/>
      <c r="N320" s="430"/>
      <c r="O320" s="395"/>
      <c r="P320" s="529"/>
      <c r="Q320" s="547"/>
      <c r="R320" s="548"/>
      <c r="S320" s="549"/>
      <c r="T320" s="541"/>
      <c r="U320" s="547"/>
      <c r="V320" s="548"/>
      <c r="W320" s="549"/>
      <c r="X320" s="541"/>
      <c r="Y320" s="547"/>
      <c r="Z320" s="548"/>
      <c r="AA320" s="549"/>
      <c r="AB320" s="541"/>
      <c r="AC320" s="547"/>
      <c r="AD320" s="548"/>
      <c r="AE320" s="549"/>
      <c r="AF320" s="541"/>
      <c r="AG320" s="366"/>
      <c r="AH320" s="366"/>
      <c r="AI320" s="366"/>
      <c r="AJ320" s="366"/>
      <c r="AK320" s="394"/>
      <c r="AL320" s="430"/>
      <c r="AM320" s="395"/>
      <c r="AN320" s="529"/>
      <c r="AO320" s="394"/>
      <c r="AP320" s="430"/>
      <c r="AQ320" s="395"/>
      <c r="AR320" s="529"/>
      <c r="AS320" s="542"/>
      <c r="AT320" s="542"/>
    </row>
    <row r="321">
      <c r="A321" s="394"/>
      <c r="B321" s="430"/>
      <c r="C321" s="395"/>
      <c r="D321" s="529"/>
      <c r="E321" s="394"/>
      <c r="F321" s="430"/>
      <c r="G321" s="395"/>
      <c r="H321" s="529"/>
      <c r="I321" s="394"/>
      <c r="J321" s="430"/>
      <c r="K321" s="395"/>
      <c r="L321" s="529"/>
      <c r="M321" s="394"/>
      <c r="N321" s="430"/>
      <c r="O321" s="395"/>
      <c r="P321" s="529"/>
      <c r="Q321" s="547"/>
      <c r="R321" s="548"/>
      <c r="S321" s="549"/>
      <c r="T321" s="541"/>
      <c r="U321" s="547"/>
      <c r="V321" s="548"/>
      <c r="W321" s="549"/>
      <c r="X321" s="541"/>
      <c r="Y321" s="547"/>
      <c r="Z321" s="548"/>
      <c r="AA321" s="549"/>
      <c r="AB321" s="541"/>
      <c r="AC321" s="547"/>
      <c r="AD321" s="548"/>
      <c r="AE321" s="549"/>
      <c r="AF321" s="541"/>
      <c r="AG321" s="366"/>
      <c r="AH321" s="366"/>
      <c r="AI321" s="366"/>
      <c r="AJ321" s="366"/>
      <c r="AK321" s="394"/>
      <c r="AL321" s="430"/>
      <c r="AM321" s="395"/>
      <c r="AN321" s="529"/>
      <c r="AO321" s="394"/>
      <c r="AP321" s="430"/>
      <c r="AQ321" s="395"/>
      <c r="AR321" s="529"/>
      <c r="AS321" s="542"/>
      <c r="AT321" s="542"/>
    </row>
    <row r="322">
      <c r="A322" s="394"/>
      <c r="B322" s="430"/>
      <c r="C322" s="395"/>
      <c r="D322" s="529"/>
      <c r="E322" s="394"/>
      <c r="F322" s="430"/>
      <c r="G322" s="395"/>
      <c r="H322" s="529"/>
      <c r="I322" s="394"/>
      <c r="J322" s="430"/>
      <c r="K322" s="395"/>
      <c r="L322" s="529"/>
      <c r="M322" s="394"/>
      <c r="N322" s="430"/>
      <c r="O322" s="395"/>
      <c r="P322" s="529"/>
      <c r="Q322" s="547"/>
      <c r="R322" s="548"/>
      <c r="S322" s="549"/>
      <c r="T322" s="541"/>
      <c r="U322" s="547"/>
      <c r="V322" s="548"/>
      <c r="W322" s="549"/>
      <c r="X322" s="541"/>
      <c r="Y322" s="547"/>
      <c r="Z322" s="548"/>
      <c r="AA322" s="549"/>
      <c r="AB322" s="541"/>
      <c r="AC322" s="547"/>
      <c r="AD322" s="548"/>
      <c r="AE322" s="549"/>
      <c r="AF322" s="541"/>
      <c r="AG322" s="366"/>
      <c r="AH322" s="366"/>
      <c r="AI322" s="366"/>
      <c r="AJ322" s="366"/>
      <c r="AK322" s="394"/>
      <c r="AL322" s="430"/>
      <c r="AM322" s="395"/>
      <c r="AN322" s="529"/>
      <c r="AO322" s="394"/>
      <c r="AP322" s="430"/>
      <c r="AQ322" s="395"/>
      <c r="AR322" s="529"/>
      <c r="AS322" s="542"/>
      <c r="AT322" s="542"/>
    </row>
    <row r="323">
      <c r="A323" s="394"/>
      <c r="B323" s="430"/>
      <c r="C323" s="395"/>
      <c r="D323" s="529"/>
      <c r="E323" s="394"/>
      <c r="F323" s="430"/>
      <c r="G323" s="395"/>
      <c r="H323" s="529"/>
      <c r="I323" s="394"/>
      <c r="J323" s="430"/>
      <c r="K323" s="395"/>
      <c r="L323" s="529"/>
      <c r="M323" s="394"/>
      <c r="N323" s="430"/>
      <c r="O323" s="395"/>
      <c r="P323" s="529"/>
      <c r="Q323" s="547"/>
      <c r="R323" s="548"/>
      <c r="S323" s="549"/>
      <c r="T323" s="541"/>
      <c r="U323" s="547"/>
      <c r="V323" s="548"/>
      <c r="W323" s="549"/>
      <c r="X323" s="541"/>
      <c r="Y323" s="547"/>
      <c r="Z323" s="548"/>
      <c r="AA323" s="549"/>
      <c r="AB323" s="541"/>
      <c r="AC323" s="547"/>
      <c r="AD323" s="548"/>
      <c r="AE323" s="549"/>
      <c r="AF323" s="541"/>
      <c r="AG323" s="366"/>
      <c r="AH323" s="366"/>
      <c r="AI323" s="366"/>
      <c r="AJ323" s="366"/>
      <c r="AK323" s="394"/>
      <c r="AL323" s="430"/>
      <c r="AM323" s="395"/>
      <c r="AN323" s="529"/>
      <c r="AO323" s="394"/>
      <c r="AP323" s="430"/>
      <c r="AQ323" s="395"/>
      <c r="AR323" s="529"/>
      <c r="AS323" s="542"/>
      <c r="AT323" s="542"/>
    </row>
    <row r="324">
      <c r="A324" s="394"/>
      <c r="B324" s="430"/>
      <c r="C324" s="395"/>
      <c r="D324" s="529"/>
      <c r="E324" s="394"/>
      <c r="F324" s="430"/>
      <c r="G324" s="395"/>
      <c r="H324" s="529"/>
      <c r="I324" s="394"/>
      <c r="J324" s="430"/>
      <c r="K324" s="395"/>
      <c r="L324" s="529"/>
      <c r="M324" s="394"/>
      <c r="N324" s="430"/>
      <c r="O324" s="395"/>
      <c r="P324" s="529"/>
      <c r="Q324" s="547"/>
      <c r="R324" s="548"/>
      <c r="S324" s="549"/>
      <c r="T324" s="541"/>
      <c r="U324" s="547"/>
      <c r="V324" s="548"/>
      <c r="W324" s="549"/>
      <c r="X324" s="541"/>
      <c r="Y324" s="547"/>
      <c r="Z324" s="548"/>
      <c r="AA324" s="549"/>
      <c r="AB324" s="541"/>
      <c r="AC324" s="547"/>
      <c r="AD324" s="548"/>
      <c r="AE324" s="549"/>
      <c r="AF324" s="541"/>
      <c r="AG324" s="366"/>
      <c r="AH324" s="366"/>
      <c r="AI324" s="366"/>
      <c r="AJ324" s="366"/>
      <c r="AK324" s="394"/>
      <c r="AL324" s="430"/>
      <c r="AM324" s="395"/>
      <c r="AN324" s="529"/>
      <c r="AO324" s="394"/>
      <c r="AP324" s="430"/>
      <c r="AQ324" s="395"/>
      <c r="AR324" s="529"/>
      <c r="AS324" s="542"/>
      <c r="AT324" s="542"/>
    </row>
    <row r="325">
      <c r="A325" s="394"/>
      <c r="B325" s="430"/>
      <c r="C325" s="395"/>
      <c r="D325" s="529"/>
      <c r="E325" s="394"/>
      <c r="F325" s="430"/>
      <c r="G325" s="395"/>
      <c r="H325" s="529"/>
      <c r="I325" s="394"/>
      <c r="J325" s="430"/>
      <c r="K325" s="395"/>
      <c r="L325" s="529"/>
      <c r="M325" s="394"/>
      <c r="N325" s="430"/>
      <c r="O325" s="395"/>
      <c r="P325" s="529"/>
      <c r="Q325" s="547"/>
      <c r="R325" s="548"/>
      <c r="S325" s="549"/>
      <c r="T325" s="541"/>
      <c r="U325" s="547"/>
      <c r="V325" s="548"/>
      <c r="W325" s="549"/>
      <c r="X325" s="541"/>
      <c r="Y325" s="547"/>
      <c r="Z325" s="548"/>
      <c r="AA325" s="549"/>
      <c r="AB325" s="541"/>
      <c r="AC325" s="547"/>
      <c r="AD325" s="548"/>
      <c r="AE325" s="549"/>
      <c r="AF325" s="541"/>
      <c r="AG325" s="366"/>
      <c r="AH325" s="366"/>
      <c r="AI325" s="366"/>
      <c r="AJ325" s="366"/>
      <c r="AK325" s="394"/>
      <c r="AL325" s="430"/>
      <c r="AM325" s="395"/>
      <c r="AN325" s="529"/>
      <c r="AO325" s="394"/>
      <c r="AP325" s="430"/>
      <c r="AQ325" s="395"/>
      <c r="AR325" s="529"/>
      <c r="AS325" s="542"/>
      <c r="AT325" s="542"/>
    </row>
    <row r="326">
      <c r="A326" s="394"/>
      <c r="B326" s="430"/>
      <c r="C326" s="395"/>
      <c r="D326" s="529"/>
      <c r="E326" s="394"/>
      <c r="F326" s="430"/>
      <c r="G326" s="395"/>
      <c r="H326" s="529"/>
      <c r="I326" s="394"/>
      <c r="J326" s="430"/>
      <c r="K326" s="395"/>
      <c r="L326" s="529"/>
      <c r="M326" s="394"/>
      <c r="N326" s="430"/>
      <c r="O326" s="395"/>
      <c r="P326" s="529"/>
      <c r="Q326" s="547"/>
      <c r="R326" s="548"/>
      <c r="S326" s="549"/>
      <c r="T326" s="541"/>
      <c r="U326" s="547"/>
      <c r="V326" s="548"/>
      <c r="W326" s="549"/>
      <c r="X326" s="541"/>
      <c r="Y326" s="547"/>
      <c r="Z326" s="548"/>
      <c r="AA326" s="549"/>
      <c r="AB326" s="541"/>
      <c r="AC326" s="547"/>
      <c r="AD326" s="548"/>
      <c r="AE326" s="549"/>
      <c r="AF326" s="541"/>
      <c r="AG326" s="366"/>
      <c r="AH326" s="366"/>
      <c r="AI326" s="366"/>
      <c r="AJ326" s="366"/>
      <c r="AK326" s="394"/>
      <c r="AL326" s="430"/>
      <c r="AM326" s="395"/>
      <c r="AN326" s="529"/>
      <c r="AO326" s="394"/>
      <c r="AP326" s="430"/>
      <c r="AQ326" s="395"/>
      <c r="AR326" s="529"/>
      <c r="AS326" s="542"/>
      <c r="AT326" s="542"/>
    </row>
    <row r="327">
      <c r="A327" s="394"/>
      <c r="B327" s="430"/>
      <c r="C327" s="395"/>
      <c r="D327" s="529"/>
      <c r="E327" s="394"/>
      <c r="F327" s="430"/>
      <c r="G327" s="395"/>
      <c r="H327" s="529"/>
      <c r="I327" s="394"/>
      <c r="J327" s="430"/>
      <c r="K327" s="395"/>
      <c r="L327" s="529"/>
      <c r="M327" s="394"/>
      <c r="N327" s="430"/>
      <c r="O327" s="395"/>
      <c r="P327" s="529"/>
      <c r="Q327" s="547"/>
      <c r="R327" s="548"/>
      <c r="S327" s="549"/>
      <c r="T327" s="541"/>
      <c r="U327" s="547"/>
      <c r="V327" s="548"/>
      <c r="W327" s="549"/>
      <c r="X327" s="541"/>
      <c r="Y327" s="547"/>
      <c r="Z327" s="548"/>
      <c r="AA327" s="549"/>
      <c r="AB327" s="541"/>
      <c r="AC327" s="547"/>
      <c r="AD327" s="548"/>
      <c r="AE327" s="549"/>
      <c r="AF327" s="541"/>
      <c r="AG327" s="366"/>
      <c r="AH327" s="366"/>
      <c r="AI327" s="366"/>
      <c r="AJ327" s="366"/>
      <c r="AK327" s="394"/>
      <c r="AL327" s="430"/>
      <c r="AM327" s="395"/>
      <c r="AN327" s="529"/>
      <c r="AO327" s="394"/>
      <c r="AP327" s="430"/>
      <c r="AQ327" s="395"/>
      <c r="AR327" s="529"/>
      <c r="AS327" s="542"/>
      <c r="AT327" s="542"/>
    </row>
    <row r="328">
      <c r="A328" s="394"/>
      <c r="B328" s="430"/>
      <c r="C328" s="395"/>
      <c r="D328" s="529"/>
      <c r="E328" s="394"/>
      <c r="F328" s="430"/>
      <c r="G328" s="395"/>
      <c r="H328" s="529"/>
      <c r="I328" s="394"/>
      <c r="J328" s="430"/>
      <c r="K328" s="395"/>
      <c r="L328" s="529"/>
      <c r="M328" s="394"/>
      <c r="N328" s="430"/>
      <c r="O328" s="395"/>
      <c r="P328" s="529"/>
      <c r="Q328" s="547"/>
      <c r="R328" s="548"/>
      <c r="S328" s="549"/>
      <c r="T328" s="541"/>
      <c r="U328" s="547"/>
      <c r="V328" s="548"/>
      <c r="W328" s="549"/>
      <c r="X328" s="541"/>
      <c r="Y328" s="547"/>
      <c r="Z328" s="548"/>
      <c r="AA328" s="549"/>
      <c r="AB328" s="541"/>
      <c r="AC328" s="547"/>
      <c r="AD328" s="548"/>
      <c r="AE328" s="549"/>
      <c r="AF328" s="541"/>
      <c r="AG328" s="366"/>
      <c r="AH328" s="366"/>
      <c r="AI328" s="366"/>
      <c r="AJ328" s="366"/>
      <c r="AK328" s="394"/>
      <c r="AL328" s="430"/>
      <c r="AM328" s="395"/>
      <c r="AN328" s="529"/>
      <c r="AO328" s="394"/>
      <c r="AP328" s="430"/>
      <c r="AQ328" s="395"/>
      <c r="AR328" s="529"/>
      <c r="AS328" s="542"/>
      <c r="AT328" s="542"/>
    </row>
    <row r="329">
      <c r="A329" s="394"/>
      <c r="B329" s="430"/>
      <c r="C329" s="395"/>
      <c r="D329" s="529"/>
      <c r="E329" s="394"/>
      <c r="F329" s="430"/>
      <c r="G329" s="395"/>
      <c r="H329" s="529"/>
      <c r="I329" s="394"/>
      <c r="J329" s="430"/>
      <c r="K329" s="395"/>
      <c r="L329" s="529"/>
      <c r="M329" s="394"/>
      <c r="N329" s="430"/>
      <c r="O329" s="395"/>
      <c r="P329" s="529"/>
      <c r="Q329" s="547"/>
      <c r="R329" s="548"/>
      <c r="S329" s="549"/>
      <c r="T329" s="541"/>
      <c r="U329" s="547"/>
      <c r="V329" s="548"/>
      <c r="W329" s="549"/>
      <c r="X329" s="541"/>
      <c r="Y329" s="547"/>
      <c r="Z329" s="548"/>
      <c r="AA329" s="549"/>
      <c r="AB329" s="541"/>
      <c r="AC329" s="547"/>
      <c r="AD329" s="548"/>
      <c r="AE329" s="549"/>
      <c r="AF329" s="541"/>
      <c r="AG329" s="366"/>
      <c r="AH329" s="366"/>
      <c r="AI329" s="366"/>
      <c r="AJ329" s="366"/>
      <c r="AK329" s="394"/>
      <c r="AL329" s="430"/>
      <c r="AM329" s="395"/>
      <c r="AN329" s="529"/>
      <c r="AO329" s="394"/>
      <c r="AP329" s="430"/>
      <c r="AQ329" s="395"/>
      <c r="AR329" s="529"/>
      <c r="AS329" s="542"/>
      <c r="AT329" s="542"/>
    </row>
    <row r="330">
      <c r="A330" s="394"/>
      <c r="B330" s="430"/>
      <c r="C330" s="395"/>
      <c r="D330" s="529"/>
      <c r="E330" s="394"/>
      <c r="F330" s="430"/>
      <c r="G330" s="395"/>
      <c r="H330" s="529"/>
      <c r="I330" s="394"/>
      <c r="J330" s="430"/>
      <c r="K330" s="395"/>
      <c r="L330" s="529"/>
      <c r="M330" s="394"/>
      <c r="N330" s="430"/>
      <c r="O330" s="395"/>
      <c r="P330" s="529"/>
      <c r="Q330" s="547"/>
      <c r="R330" s="548"/>
      <c r="S330" s="549"/>
      <c r="T330" s="541"/>
      <c r="U330" s="547"/>
      <c r="V330" s="548"/>
      <c r="W330" s="549"/>
      <c r="X330" s="541"/>
      <c r="Y330" s="547"/>
      <c r="Z330" s="548"/>
      <c r="AA330" s="549"/>
      <c r="AB330" s="541"/>
      <c r="AC330" s="547"/>
      <c r="AD330" s="548"/>
      <c r="AE330" s="549"/>
      <c r="AF330" s="541"/>
      <c r="AG330" s="366"/>
      <c r="AH330" s="366"/>
      <c r="AI330" s="366"/>
      <c r="AJ330" s="366"/>
      <c r="AK330" s="394"/>
      <c r="AL330" s="430"/>
      <c r="AM330" s="395"/>
      <c r="AN330" s="529"/>
      <c r="AO330" s="394"/>
      <c r="AP330" s="430"/>
      <c r="AQ330" s="395"/>
      <c r="AR330" s="529"/>
      <c r="AS330" s="542"/>
      <c r="AT330" s="542"/>
    </row>
    <row r="331">
      <c r="A331" s="394"/>
      <c r="B331" s="430"/>
      <c r="C331" s="395"/>
      <c r="D331" s="529"/>
      <c r="E331" s="394"/>
      <c r="F331" s="430"/>
      <c r="G331" s="395"/>
      <c r="H331" s="529"/>
      <c r="I331" s="394"/>
      <c r="J331" s="430"/>
      <c r="K331" s="395"/>
      <c r="L331" s="529"/>
      <c r="M331" s="394"/>
      <c r="N331" s="430"/>
      <c r="O331" s="395"/>
      <c r="P331" s="529"/>
      <c r="Q331" s="547"/>
      <c r="R331" s="548"/>
      <c r="S331" s="549"/>
      <c r="T331" s="541"/>
      <c r="U331" s="547"/>
      <c r="V331" s="548"/>
      <c r="W331" s="549"/>
      <c r="X331" s="541"/>
      <c r="Y331" s="547"/>
      <c r="Z331" s="548"/>
      <c r="AA331" s="549"/>
      <c r="AB331" s="541"/>
      <c r="AC331" s="547"/>
      <c r="AD331" s="548"/>
      <c r="AE331" s="549"/>
      <c r="AF331" s="541"/>
      <c r="AG331" s="366"/>
      <c r="AH331" s="366"/>
      <c r="AI331" s="366"/>
      <c r="AJ331" s="366"/>
      <c r="AK331" s="394"/>
      <c r="AL331" s="430"/>
      <c r="AM331" s="395"/>
      <c r="AN331" s="529"/>
      <c r="AO331" s="394"/>
      <c r="AP331" s="430"/>
      <c r="AQ331" s="395"/>
      <c r="AR331" s="529"/>
      <c r="AS331" s="542"/>
      <c r="AT331" s="542"/>
    </row>
    <row r="332">
      <c r="A332" s="394"/>
      <c r="B332" s="430"/>
      <c r="C332" s="395"/>
      <c r="D332" s="529"/>
      <c r="E332" s="394"/>
      <c r="F332" s="430"/>
      <c r="G332" s="395"/>
      <c r="H332" s="529"/>
      <c r="I332" s="394"/>
      <c r="J332" s="430"/>
      <c r="K332" s="395"/>
      <c r="L332" s="529"/>
      <c r="M332" s="394"/>
      <c r="N332" s="430"/>
      <c r="O332" s="395"/>
      <c r="P332" s="529"/>
      <c r="Q332" s="547"/>
      <c r="R332" s="548"/>
      <c r="S332" s="549"/>
      <c r="T332" s="541"/>
      <c r="U332" s="547"/>
      <c r="V332" s="548"/>
      <c r="W332" s="549"/>
      <c r="X332" s="541"/>
      <c r="Y332" s="547"/>
      <c r="Z332" s="548"/>
      <c r="AA332" s="549"/>
      <c r="AB332" s="541"/>
      <c r="AC332" s="547"/>
      <c r="AD332" s="548"/>
      <c r="AE332" s="549"/>
      <c r="AF332" s="541"/>
      <c r="AG332" s="366"/>
      <c r="AH332" s="366"/>
      <c r="AI332" s="366"/>
      <c r="AJ332" s="366"/>
      <c r="AK332" s="394"/>
      <c r="AL332" s="430"/>
      <c r="AM332" s="395"/>
      <c r="AN332" s="529"/>
      <c r="AO332" s="394"/>
      <c r="AP332" s="430"/>
      <c r="AQ332" s="395"/>
      <c r="AR332" s="529"/>
      <c r="AS332" s="542"/>
      <c r="AT332" s="542"/>
    </row>
    <row r="333">
      <c r="A333" s="394"/>
      <c r="B333" s="430"/>
      <c r="C333" s="395"/>
      <c r="D333" s="529"/>
      <c r="E333" s="394"/>
      <c r="F333" s="430"/>
      <c r="G333" s="395"/>
      <c r="H333" s="529"/>
      <c r="I333" s="394"/>
      <c r="J333" s="430"/>
      <c r="K333" s="395"/>
      <c r="L333" s="529"/>
      <c r="M333" s="394"/>
      <c r="N333" s="430"/>
      <c r="O333" s="395"/>
      <c r="P333" s="529"/>
      <c r="Q333" s="547"/>
      <c r="R333" s="548"/>
      <c r="S333" s="549"/>
      <c r="T333" s="541"/>
      <c r="U333" s="547"/>
      <c r="V333" s="548"/>
      <c r="W333" s="549"/>
      <c r="X333" s="541"/>
      <c r="Y333" s="547"/>
      <c r="Z333" s="548"/>
      <c r="AA333" s="549"/>
      <c r="AB333" s="541"/>
      <c r="AC333" s="547"/>
      <c r="AD333" s="548"/>
      <c r="AE333" s="549"/>
      <c r="AF333" s="541"/>
      <c r="AG333" s="366"/>
      <c r="AH333" s="366"/>
      <c r="AI333" s="366"/>
      <c r="AJ333" s="366"/>
      <c r="AK333" s="394"/>
      <c r="AL333" s="430"/>
      <c r="AM333" s="395"/>
      <c r="AN333" s="529"/>
      <c r="AO333" s="394"/>
      <c r="AP333" s="430"/>
      <c r="AQ333" s="395"/>
      <c r="AR333" s="529"/>
      <c r="AS333" s="542"/>
      <c r="AT333" s="542"/>
    </row>
    <row r="334">
      <c r="A334" s="394"/>
      <c r="B334" s="430"/>
      <c r="C334" s="395"/>
      <c r="D334" s="529"/>
      <c r="E334" s="394"/>
      <c r="F334" s="430"/>
      <c r="G334" s="395"/>
      <c r="H334" s="529"/>
      <c r="I334" s="394"/>
      <c r="J334" s="430"/>
      <c r="K334" s="395"/>
      <c r="L334" s="529"/>
      <c r="M334" s="394"/>
      <c r="N334" s="430"/>
      <c r="O334" s="395"/>
      <c r="P334" s="529"/>
      <c r="Q334" s="547"/>
      <c r="R334" s="548"/>
      <c r="S334" s="549"/>
      <c r="T334" s="541"/>
      <c r="U334" s="547"/>
      <c r="V334" s="548"/>
      <c r="W334" s="549"/>
      <c r="X334" s="541"/>
      <c r="Y334" s="547"/>
      <c r="Z334" s="548"/>
      <c r="AA334" s="549"/>
      <c r="AB334" s="541"/>
      <c r="AC334" s="547"/>
      <c r="AD334" s="548"/>
      <c r="AE334" s="549"/>
      <c r="AF334" s="541"/>
      <c r="AG334" s="366"/>
      <c r="AH334" s="366"/>
      <c r="AI334" s="366"/>
      <c r="AJ334" s="366"/>
      <c r="AK334" s="394"/>
      <c r="AL334" s="430"/>
      <c r="AM334" s="395"/>
      <c r="AN334" s="529"/>
      <c r="AO334" s="394"/>
      <c r="AP334" s="430"/>
      <c r="AQ334" s="395"/>
      <c r="AR334" s="529"/>
      <c r="AS334" s="542"/>
      <c r="AT334" s="542"/>
    </row>
    <row r="335">
      <c r="A335" s="394"/>
      <c r="B335" s="430"/>
      <c r="C335" s="395"/>
      <c r="D335" s="529"/>
      <c r="E335" s="394"/>
      <c r="F335" s="430"/>
      <c r="G335" s="395"/>
      <c r="H335" s="529"/>
      <c r="I335" s="394"/>
      <c r="J335" s="430"/>
      <c r="K335" s="395"/>
      <c r="L335" s="529"/>
      <c r="M335" s="394"/>
      <c r="N335" s="430"/>
      <c r="O335" s="395"/>
      <c r="P335" s="529"/>
      <c r="Q335" s="547"/>
      <c r="R335" s="548"/>
      <c r="S335" s="549"/>
      <c r="T335" s="541"/>
      <c r="U335" s="547"/>
      <c r="V335" s="548"/>
      <c r="W335" s="549"/>
      <c r="X335" s="541"/>
      <c r="Y335" s="547"/>
      <c r="Z335" s="548"/>
      <c r="AA335" s="549"/>
      <c r="AB335" s="541"/>
      <c r="AC335" s="547"/>
      <c r="AD335" s="548"/>
      <c r="AE335" s="549"/>
      <c r="AF335" s="541"/>
      <c r="AG335" s="366"/>
      <c r="AH335" s="366"/>
      <c r="AI335" s="366"/>
      <c r="AJ335" s="366"/>
      <c r="AK335" s="394"/>
      <c r="AL335" s="430"/>
      <c r="AM335" s="395"/>
      <c r="AN335" s="529"/>
      <c r="AO335" s="394"/>
      <c r="AP335" s="430"/>
      <c r="AQ335" s="395"/>
      <c r="AR335" s="529"/>
      <c r="AS335" s="542"/>
      <c r="AT335" s="542"/>
    </row>
    <row r="336">
      <c r="A336" s="394"/>
      <c r="B336" s="430"/>
      <c r="C336" s="395"/>
      <c r="D336" s="529"/>
      <c r="E336" s="394"/>
      <c r="F336" s="430"/>
      <c r="G336" s="395"/>
      <c r="H336" s="529"/>
      <c r="I336" s="394"/>
      <c r="J336" s="430"/>
      <c r="K336" s="395"/>
      <c r="L336" s="529"/>
      <c r="M336" s="394"/>
      <c r="N336" s="430"/>
      <c r="O336" s="395"/>
      <c r="P336" s="529"/>
      <c r="Q336" s="547"/>
      <c r="R336" s="548"/>
      <c r="S336" s="549"/>
      <c r="T336" s="541"/>
      <c r="U336" s="547"/>
      <c r="V336" s="548"/>
      <c r="W336" s="549"/>
      <c r="X336" s="541"/>
      <c r="Y336" s="547"/>
      <c r="Z336" s="548"/>
      <c r="AA336" s="549"/>
      <c r="AB336" s="541"/>
      <c r="AC336" s="547"/>
      <c r="AD336" s="548"/>
      <c r="AE336" s="549"/>
      <c r="AF336" s="541"/>
      <c r="AG336" s="366"/>
      <c r="AH336" s="366"/>
      <c r="AI336" s="366"/>
      <c r="AJ336" s="366"/>
      <c r="AK336" s="394"/>
      <c r="AL336" s="430"/>
      <c r="AM336" s="395"/>
      <c r="AN336" s="529"/>
      <c r="AO336" s="394"/>
      <c r="AP336" s="430"/>
      <c r="AQ336" s="395"/>
      <c r="AR336" s="529"/>
      <c r="AS336" s="542"/>
      <c r="AT336" s="542"/>
    </row>
    <row r="337">
      <c r="A337" s="394"/>
      <c r="B337" s="430"/>
      <c r="C337" s="395"/>
      <c r="D337" s="529"/>
      <c r="E337" s="394"/>
      <c r="F337" s="430"/>
      <c r="G337" s="395"/>
      <c r="H337" s="529"/>
      <c r="I337" s="394"/>
      <c r="J337" s="430"/>
      <c r="K337" s="395"/>
      <c r="L337" s="529"/>
      <c r="M337" s="394"/>
      <c r="N337" s="430"/>
      <c r="O337" s="395"/>
      <c r="P337" s="529"/>
      <c r="Q337" s="547"/>
      <c r="R337" s="548"/>
      <c r="S337" s="549"/>
      <c r="T337" s="541"/>
      <c r="U337" s="547"/>
      <c r="V337" s="548"/>
      <c r="W337" s="549"/>
      <c r="X337" s="541"/>
      <c r="Y337" s="547"/>
      <c r="Z337" s="548"/>
      <c r="AA337" s="549"/>
      <c r="AB337" s="541"/>
      <c r="AC337" s="547"/>
      <c r="AD337" s="548"/>
      <c r="AE337" s="549"/>
      <c r="AF337" s="541"/>
      <c r="AG337" s="366"/>
      <c r="AH337" s="366"/>
      <c r="AI337" s="366"/>
      <c r="AJ337" s="366"/>
      <c r="AK337" s="394"/>
      <c r="AL337" s="430"/>
      <c r="AM337" s="395"/>
      <c r="AN337" s="529"/>
      <c r="AO337" s="394"/>
      <c r="AP337" s="430"/>
      <c r="AQ337" s="395"/>
      <c r="AR337" s="529"/>
      <c r="AS337" s="542"/>
      <c r="AT337" s="542"/>
    </row>
    <row r="338">
      <c r="A338" s="394"/>
      <c r="B338" s="430"/>
      <c r="C338" s="395"/>
      <c r="D338" s="529"/>
      <c r="E338" s="394"/>
      <c r="F338" s="430"/>
      <c r="G338" s="395"/>
      <c r="H338" s="529"/>
      <c r="I338" s="394"/>
      <c r="J338" s="430"/>
      <c r="K338" s="395"/>
      <c r="L338" s="529"/>
      <c r="M338" s="394"/>
      <c r="N338" s="430"/>
      <c r="O338" s="395"/>
      <c r="P338" s="529"/>
      <c r="Q338" s="547"/>
      <c r="R338" s="548"/>
      <c r="S338" s="549"/>
      <c r="T338" s="541"/>
      <c r="U338" s="547"/>
      <c r="V338" s="548"/>
      <c r="W338" s="549"/>
      <c r="X338" s="541"/>
      <c r="Y338" s="547"/>
      <c r="Z338" s="548"/>
      <c r="AA338" s="549"/>
      <c r="AB338" s="541"/>
      <c r="AC338" s="547"/>
      <c r="AD338" s="548"/>
      <c r="AE338" s="549"/>
      <c r="AF338" s="541"/>
      <c r="AG338" s="366"/>
      <c r="AH338" s="366"/>
      <c r="AI338" s="366"/>
      <c r="AJ338" s="366"/>
      <c r="AK338" s="394"/>
      <c r="AL338" s="430"/>
      <c r="AM338" s="395"/>
      <c r="AN338" s="529"/>
      <c r="AO338" s="394"/>
      <c r="AP338" s="430"/>
      <c r="AQ338" s="395"/>
      <c r="AR338" s="529"/>
      <c r="AS338" s="542"/>
      <c r="AT338" s="542"/>
    </row>
    <row r="339">
      <c r="A339" s="394"/>
      <c r="B339" s="430"/>
      <c r="C339" s="395"/>
      <c r="D339" s="529"/>
      <c r="E339" s="394"/>
      <c r="F339" s="430"/>
      <c r="G339" s="395"/>
      <c r="H339" s="529"/>
      <c r="I339" s="394"/>
      <c r="J339" s="430"/>
      <c r="K339" s="395"/>
      <c r="L339" s="529"/>
      <c r="M339" s="394"/>
      <c r="N339" s="430"/>
      <c r="O339" s="395"/>
      <c r="P339" s="529"/>
      <c r="Q339" s="547"/>
      <c r="R339" s="548"/>
      <c r="S339" s="549"/>
      <c r="T339" s="541"/>
      <c r="U339" s="547"/>
      <c r="V339" s="548"/>
      <c r="W339" s="549"/>
      <c r="X339" s="541"/>
      <c r="Y339" s="547"/>
      <c r="Z339" s="548"/>
      <c r="AA339" s="549"/>
      <c r="AB339" s="541"/>
      <c r="AC339" s="547"/>
      <c r="AD339" s="548"/>
      <c r="AE339" s="549"/>
      <c r="AF339" s="541"/>
      <c r="AG339" s="366"/>
      <c r="AH339" s="366"/>
      <c r="AI339" s="366"/>
      <c r="AJ339" s="366"/>
      <c r="AK339" s="394"/>
      <c r="AL339" s="430"/>
      <c r="AM339" s="395"/>
      <c r="AN339" s="529"/>
      <c r="AO339" s="394"/>
      <c r="AP339" s="430"/>
      <c r="AQ339" s="395"/>
      <c r="AR339" s="529"/>
      <c r="AS339" s="542"/>
      <c r="AT339" s="542"/>
    </row>
    <row r="340">
      <c r="A340" s="394"/>
      <c r="B340" s="430"/>
      <c r="C340" s="395"/>
      <c r="D340" s="529"/>
      <c r="E340" s="394"/>
      <c r="F340" s="430"/>
      <c r="G340" s="395"/>
      <c r="H340" s="529"/>
      <c r="I340" s="394"/>
      <c r="J340" s="430"/>
      <c r="K340" s="395"/>
      <c r="L340" s="529"/>
      <c r="M340" s="394"/>
      <c r="N340" s="430"/>
      <c r="O340" s="395"/>
      <c r="P340" s="529"/>
      <c r="Q340" s="547"/>
      <c r="R340" s="548"/>
      <c r="S340" s="549"/>
      <c r="T340" s="541"/>
      <c r="U340" s="547"/>
      <c r="V340" s="548"/>
      <c r="W340" s="549"/>
      <c r="X340" s="541"/>
      <c r="Y340" s="547"/>
      <c r="Z340" s="548"/>
      <c r="AA340" s="549"/>
      <c r="AB340" s="541"/>
      <c r="AC340" s="547"/>
      <c r="AD340" s="548"/>
      <c r="AE340" s="549"/>
      <c r="AF340" s="541"/>
      <c r="AG340" s="366"/>
      <c r="AH340" s="366"/>
      <c r="AI340" s="366"/>
      <c r="AJ340" s="366"/>
      <c r="AK340" s="394"/>
      <c r="AL340" s="430"/>
      <c r="AM340" s="395"/>
      <c r="AN340" s="529"/>
      <c r="AO340" s="394"/>
      <c r="AP340" s="430"/>
      <c r="AQ340" s="395"/>
      <c r="AR340" s="529"/>
      <c r="AS340" s="542"/>
      <c r="AT340" s="542"/>
    </row>
    <row r="341">
      <c r="A341" s="394"/>
      <c r="B341" s="430"/>
      <c r="C341" s="395"/>
      <c r="D341" s="529"/>
      <c r="E341" s="394"/>
      <c r="F341" s="430"/>
      <c r="G341" s="395"/>
      <c r="H341" s="529"/>
      <c r="I341" s="394"/>
      <c r="J341" s="430"/>
      <c r="K341" s="395"/>
      <c r="L341" s="529"/>
      <c r="M341" s="394"/>
      <c r="N341" s="430"/>
      <c r="O341" s="395"/>
      <c r="P341" s="529"/>
      <c r="Q341" s="547"/>
      <c r="R341" s="548"/>
      <c r="S341" s="549"/>
      <c r="T341" s="541"/>
      <c r="U341" s="547"/>
      <c r="V341" s="548"/>
      <c r="W341" s="549"/>
      <c r="X341" s="541"/>
      <c r="Y341" s="547"/>
      <c r="Z341" s="548"/>
      <c r="AA341" s="549"/>
      <c r="AB341" s="541"/>
      <c r="AC341" s="547"/>
      <c r="AD341" s="548"/>
      <c r="AE341" s="549"/>
      <c r="AF341" s="541"/>
      <c r="AG341" s="366"/>
      <c r="AH341" s="366"/>
      <c r="AI341" s="366"/>
      <c r="AJ341" s="366"/>
      <c r="AK341" s="394"/>
      <c r="AL341" s="430"/>
      <c r="AM341" s="395"/>
      <c r="AN341" s="529"/>
      <c r="AO341" s="394"/>
      <c r="AP341" s="430"/>
      <c r="AQ341" s="395"/>
      <c r="AR341" s="529"/>
      <c r="AS341" s="542"/>
      <c r="AT341" s="542"/>
    </row>
    <row r="342">
      <c r="A342" s="394"/>
      <c r="B342" s="430"/>
      <c r="C342" s="395"/>
      <c r="D342" s="529"/>
      <c r="E342" s="394"/>
      <c r="F342" s="430"/>
      <c r="G342" s="395"/>
      <c r="H342" s="529"/>
      <c r="I342" s="394"/>
      <c r="J342" s="430"/>
      <c r="K342" s="395"/>
      <c r="L342" s="529"/>
      <c r="M342" s="394"/>
      <c r="N342" s="430"/>
      <c r="O342" s="395"/>
      <c r="P342" s="529"/>
      <c r="Q342" s="547"/>
      <c r="R342" s="548"/>
      <c r="S342" s="549"/>
      <c r="T342" s="541"/>
      <c r="U342" s="547"/>
      <c r="V342" s="548"/>
      <c r="W342" s="549"/>
      <c r="X342" s="541"/>
      <c r="Y342" s="547"/>
      <c r="Z342" s="548"/>
      <c r="AA342" s="549"/>
      <c r="AB342" s="541"/>
      <c r="AC342" s="547"/>
      <c r="AD342" s="548"/>
      <c r="AE342" s="549"/>
      <c r="AF342" s="541"/>
      <c r="AG342" s="366"/>
      <c r="AH342" s="366"/>
      <c r="AI342" s="366"/>
      <c r="AJ342" s="366"/>
      <c r="AK342" s="394"/>
      <c r="AL342" s="430"/>
      <c r="AM342" s="395"/>
      <c r="AN342" s="529"/>
      <c r="AO342" s="394"/>
      <c r="AP342" s="430"/>
      <c r="AQ342" s="395"/>
      <c r="AR342" s="529"/>
      <c r="AS342" s="542"/>
      <c r="AT342" s="542"/>
    </row>
    <row r="343">
      <c r="A343" s="394"/>
      <c r="B343" s="430"/>
      <c r="C343" s="395"/>
      <c r="D343" s="529"/>
      <c r="E343" s="394"/>
      <c r="F343" s="430"/>
      <c r="G343" s="395"/>
      <c r="H343" s="529"/>
      <c r="I343" s="394"/>
      <c r="J343" s="430"/>
      <c r="K343" s="395"/>
      <c r="L343" s="529"/>
      <c r="M343" s="394"/>
      <c r="N343" s="430"/>
      <c r="O343" s="395"/>
      <c r="P343" s="529"/>
      <c r="Q343" s="547"/>
      <c r="R343" s="548"/>
      <c r="S343" s="549"/>
      <c r="T343" s="541"/>
      <c r="U343" s="547"/>
      <c r="V343" s="548"/>
      <c r="W343" s="549"/>
      <c r="X343" s="541"/>
      <c r="Y343" s="547"/>
      <c r="Z343" s="548"/>
      <c r="AA343" s="549"/>
      <c r="AB343" s="541"/>
      <c r="AC343" s="547"/>
      <c r="AD343" s="548"/>
      <c r="AE343" s="549"/>
      <c r="AF343" s="541"/>
      <c r="AG343" s="366"/>
      <c r="AH343" s="366"/>
      <c r="AI343" s="366"/>
      <c r="AJ343" s="366"/>
      <c r="AK343" s="394"/>
      <c r="AL343" s="430"/>
      <c r="AM343" s="395"/>
      <c r="AN343" s="529"/>
      <c r="AO343" s="394"/>
      <c r="AP343" s="430"/>
      <c r="AQ343" s="395"/>
      <c r="AR343" s="529"/>
      <c r="AS343" s="542"/>
      <c r="AT343" s="542"/>
    </row>
    <row r="344">
      <c r="A344" s="394"/>
      <c r="B344" s="430"/>
      <c r="C344" s="395"/>
      <c r="D344" s="529"/>
      <c r="E344" s="394"/>
      <c r="F344" s="430"/>
      <c r="G344" s="395"/>
      <c r="H344" s="529"/>
      <c r="I344" s="394"/>
      <c r="J344" s="430"/>
      <c r="K344" s="395"/>
      <c r="L344" s="529"/>
      <c r="M344" s="394"/>
      <c r="N344" s="430"/>
      <c r="O344" s="395"/>
      <c r="P344" s="529"/>
      <c r="Q344" s="547"/>
      <c r="R344" s="548"/>
      <c r="S344" s="549"/>
      <c r="T344" s="541"/>
      <c r="U344" s="547"/>
      <c r="V344" s="548"/>
      <c r="W344" s="549"/>
      <c r="X344" s="541"/>
      <c r="Y344" s="547"/>
      <c r="Z344" s="548"/>
      <c r="AA344" s="549"/>
      <c r="AB344" s="541"/>
      <c r="AC344" s="547"/>
      <c r="AD344" s="548"/>
      <c r="AE344" s="549"/>
      <c r="AF344" s="541"/>
      <c r="AG344" s="366"/>
      <c r="AH344" s="366"/>
      <c r="AI344" s="366"/>
      <c r="AJ344" s="366"/>
      <c r="AK344" s="394"/>
      <c r="AL344" s="430"/>
      <c r="AM344" s="395"/>
      <c r="AN344" s="529"/>
      <c r="AO344" s="394"/>
      <c r="AP344" s="430"/>
      <c r="AQ344" s="395"/>
      <c r="AR344" s="529"/>
      <c r="AS344" s="542"/>
      <c r="AT344" s="542"/>
    </row>
    <row r="345">
      <c r="A345" s="394"/>
      <c r="B345" s="430"/>
      <c r="C345" s="395"/>
      <c r="D345" s="529"/>
      <c r="E345" s="394"/>
      <c r="F345" s="430"/>
      <c r="G345" s="395"/>
      <c r="H345" s="529"/>
      <c r="I345" s="394"/>
      <c r="J345" s="430"/>
      <c r="K345" s="395"/>
      <c r="L345" s="529"/>
      <c r="M345" s="394"/>
      <c r="N345" s="430"/>
      <c r="O345" s="395"/>
      <c r="P345" s="529"/>
      <c r="Q345" s="547"/>
      <c r="R345" s="548"/>
      <c r="S345" s="549"/>
      <c r="T345" s="541"/>
      <c r="U345" s="547"/>
      <c r="V345" s="548"/>
      <c r="W345" s="549"/>
      <c r="X345" s="541"/>
      <c r="Y345" s="547"/>
      <c r="Z345" s="548"/>
      <c r="AA345" s="549"/>
      <c r="AB345" s="541"/>
      <c r="AC345" s="547"/>
      <c r="AD345" s="548"/>
      <c r="AE345" s="549"/>
      <c r="AF345" s="541"/>
      <c r="AG345" s="366"/>
      <c r="AH345" s="366"/>
      <c r="AI345" s="366"/>
      <c r="AJ345" s="366"/>
      <c r="AK345" s="394"/>
      <c r="AL345" s="430"/>
      <c r="AM345" s="395"/>
      <c r="AN345" s="529"/>
      <c r="AO345" s="394"/>
      <c r="AP345" s="430"/>
      <c r="AQ345" s="395"/>
      <c r="AR345" s="529"/>
      <c r="AS345" s="542"/>
      <c r="AT345" s="542"/>
    </row>
    <row r="346">
      <c r="A346" s="394"/>
      <c r="B346" s="430"/>
      <c r="C346" s="395"/>
      <c r="D346" s="529"/>
      <c r="E346" s="394"/>
      <c r="F346" s="430"/>
      <c r="G346" s="395"/>
      <c r="H346" s="529"/>
      <c r="I346" s="394"/>
      <c r="J346" s="430"/>
      <c r="K346" s="395"/>
      <c r="L346" s="529"/>
      <c r="M346" s="394"/>
      <c r="N346" s="430"/>
      <c r="O346" s="395"/>
      <c r="P346" s="529"/>
      <c r="Q346" s="547"/>
      <c r="R346" s="548"/>
      <c r="S346" s="549"/>
      <c r="T346" s="541"/>
      <c r="U346" s="547"/>
      <c r="V346" s="548"/>
      <c r="W346" s="549"/>
      <c r="X346" s="541"/>
      <c r="Y346" s="547"/>
      <c r="Z346" s="548"/>
      <c r="AA346" s="549"/>
      <c r="AB346" s="541"/>
      <c r="AC346" s="547"/>
      <c r="AD346" s="548"/>
      <c r="AE346" s="549"/>
      <c r="AF346" s="541"/>
      <c r="AG346" s="366"/>
      <c r="AH346" s="366"/>
      <c r="AI346" s="366"/>
      <c r="AJ346" s="366"/>
      <c r="AK346" s="394"/>
      <c r="AL346" s="430"/>
      <c r="AM346" s="395"/>
      <c r="AN346" s="529"/>
      <c r="AO346" s="394"/>
      <c r="AP346" s="430"/>
      <c r="AQ346" s="395"/>
      <c r="AR346" s="529"/>
      <c r="AS346" s="542"/>
      <c r="AT346" s="542"/>
    </row>
    <row r="347">
      <c r="A347" s="394"/>
      <c r="B347" s="430"/>
      <c r="C347" s="395"/>
      <c r="D347" s="529"/>
      <c r="E347" s="394"/>
      <c r="F347" s="430"/>
      <c r="G347" s="395"/>
      <c r="H347" s="529"/>
      <c r="I347" s="394"/>
      <c r="J347" s="430"/>
      <c r="K347" s="395"/>
      <c r="L347" s="529"/>
      <c r="M347" s="394"/>
      <c r="N347" s="430"/>
      <c r="O347" s="395"/>
      <c r="P347" s="529"/>
      <c r="Q347" s="547"/>
      <c r="R347" s="548"/>
      <c r="S347" s="549"/>
      <c r="T347" s="541"/>
      <c r="U347" s="547"/>
      <c r="V347" s="548"/>
      <c r="W347" s="549"/>
      <c r="X347" s="541"/>
      <c r="Y347" s="547"/>
      <c r="Z347" s="548"/>
      <c r="AA347" s="549"/>
      <c r="AB347" s="541"/>
      <c r="AC347" s="547"/>
      <c r="AD347" s="548"/>
      <c r="AE347" s="549"/>
      <c r="AF347" s="541"/>
      <c r="AG347" s="366"/>
      <c r="AH347" s="366"/>
      <c r="AI347" s="366"/>
      <c r="AJ347" s="366"/>
      <c r="AK347" s="394"/>
      <c r="AL347" s="430"/>
      <c r="AM347" s="395"/>
      <c r="AN347" s="529"/>
      <c r="AO347" s="394"/>
      <c r="AP347" s="430"/>
      <c r="AQ347" s="395"/>
      <c r="AR347" s="529"/>
      <c r="AS347" s="542"/>
      <c r="AT347" s="542"/>
    </row>
    <row r="348">
      <c r="A348" s="394"/>
      <c r="B348" s="430"/>
      <c r="C348" s="395"/>
      <c r="D348" s="529"/>
      <c r="E348" s="394"/>
      <c r="F348" s="430"/>
      <c r="G348" s="395"/>
      <c r="H348" s="529"/>
      <c r="I348" s="394"/>
      <c r="J348" s="430"/>
      <c r="K348" s="395"/>
      <c r="L348" s="529"/>
      <c r="M348" s="394"/>
      <c r="N348" s="430"/>
      <c r="O348" s="395"/>
      <c r="P348" s="529"/>
      <c r="Q348" s="547"/>
      <c r="R348" s="548"/>
      <c r="S348" s="549"/>
      <c r="T348" s="541"/>
      <c r="U348" s="547"/>
      <c r="V348" s="548"/>
      <c r="W348" s="549"/>
      <c r="X348" s="541"/>
      <c r="Y348" s="547"/>
      <c r="Z348" s="548"/>
      <c r="AA348" s="549"/>
      <c r="AB348" s="541"/>
      <c r="AC348" s="547"/>
      <c r="AD348" s="548"/>
      <c r="AE348" s="549"/>
      <c r="AF348" s="541"/>
      <c r="AG348" s="366"/>
      <c r="AH348" s="366"/>
      <c r="AI348" s="366"/>
      <c r="AJ348" s="366"/>
      <c r="AK348" s="394"/>
      <c r="AL348" s="430"/>
      <c r="AM348" s="395"/>
      <c r="AN348" s="529"/>
      <c r="AO348" s="394"/>
      <c r="AP348" s="430"/>
      <c r="AQ348" s="395"/>
      <c r="AR348" s="529"/>
      <c r="AS348" s="542"/>
      <c r="AT348" s="542"/>
    </row>
    <row r="349">
      <c r="A349" s="394"/>
      <c r="B349" s="430"/>
      <c r="C349" s="395"/>
      <c r="D349" s="529"/>
      <c r="E349" s="394"/>
      <c r="F349" s="430"/>
      <c r="G349" s="395"/>
      <c r="H349" s="529"/>
      <c r="I349" s="394"/>
      <c r="J349" s="430"/>
      <c r="K349" s="395"/>
      <c r="L349" s="529"/>
      <c r="M349" s="394"/>
      <c r="N349" s="430"/>
      <c r="O349" s="395"/>
      <c r="P349" s="529"/>
      <c r="Q349" s="547"/>
      <c r="R349" s="548"/>
      <c r="S349" s="549"/>
      <c r="T349" s="541"/>
      <c r="U349" s="547"/>
      <c r="V349" s="548"/>
      <c r="W349" s="549"/>
      <c r="X349" s="541"/>
      <c r="Y349" s="547"/>
      <c r="Z349" s="548"/>
      <c r="AA349" s="549"/>
      <c r="AB349" s="541"/>
      <c r="AC349" s="547"/>
      <c r="AD349" s="548"/>
      <c r="AE349" s="549"/>
      <c r="AF349" s="541"/>
      <c r="AG349" s="366"/>
      <c r="AH349" s="366"/>
      <c r="AI349" s="366"/>
      <c r="AJ349" s="366"/>
      <c r="AK349" s="394"/>
      <c r="AL349" s="430"/>
      <c r="AM349" s="395"/>
      <c r="AN349" s="529"/>
      <c r="AO349" s="394"/>
      <c r="AP349" s="430"/>
      <c r="AQ349" s="395"/>
      <c r="AR349" s="529"/>
      <c r="AS349" s="542"/>
      <c r="AT349" s="542"/>
    </row>
    <row r="350">
      <c r="A350" s="394"/>
      <c r="B350" s="430"/>
      <c r="C350" s="395"/>
      <c r="D350" s="529"/>
      <c r="E350" s="394"/>
      <c r="F350" s="430"/>
      <c r="G350" s="395"/>
      <c r="H350" s="529"/>
      <c r="I350" s="394"/>
      <c r="J350" s="430"/>
      <c r="K350" s="395"/>
      <c r="L350" s="529"/>
      <c r="M350" s="394"/>
      <c r="N350" s="430"/>
      <c r="O350" s="395"/>
      <c r="P350" s="529"/>
      <c r="Q350" s="547"/>
      <c r="R350" s="548"/>
      <c r="S350" s="549"/>
      <c r="T350" s="541"/>
      <c r="U350" s="547"/>
      <c r="V350" s="548"/>
      <c r="W350" s="549"/>
      <c r="X350" s="541"/>
      <c r="Y350" s="547"/>
      <c r="Z350" s="548"/>
      <c r="AA350" s="549"/>
      <c r="AB350" s="541"/>
      <c r="AC350" s="547"/>
      <c r="AD350" s="548"/>
      <c r="AE350" s="549"/>
      <c r="AF350" s="541"/>
      <c r="AG350" s="366"/>
      <c r="AH350" s="366"/>
      <c r="AI350" s="366"/>
      <c r="AJ350" s="366"/>
      <c r="AK350" s="394"/>
      <c r="AL350" s="430"/>
      <c r="AM350" s="395"/>
      <c r="AN350" s="529"/>
      <c r="AO350" s="394"/>
      <c r="AP350" s="430"/>
      <c r="AQ350" s="395"/>
      <c r="AR350" s="529"/>
      <c r="AS350" s="542"/>
      <c r="AT350" s="542"/>
    </row>
    <row r="351">
      <c r="A351" s="394"/>
      <c r="B351" s="430"/>
      <c r="C351" s="395"/>
      <c r="D351" s="529"/>
      <c r="E351" s="394"/>
      <c r="F351" s="430"/>
      <c r="G351" s="395"/>
      <c r="H351" s="529"/>
      <c r="I351" s="394"/>
      <c r="J351" s="430"/>
      <c r="K351" s="395"/>
      <c r="L351" s="529"/>
      <c r="M351" s="394"/>
      <c r="N351" s="430"/>
      <c r="O351" s="395"/>
      <c r="P351" s="529"/>
      <c r="Q351" s="547"/>
      <c r="R351" s="548"/>
      <c r="S351" s="549"/>
      <c r="T351" s="541"/>
      <c r="U351" s="547"/>
      <c r="V351" s="548"/>
      <c r="W351" s="549"/>
      <c r="X351" s="541"/>
      <c r="Y351" s="547"/>
      <c r="Z351" s="548"/>
      <c r="AA351" s="549"/>
      <c r="AB351" s="541"/>
      <c r="AC351" s="547"/>
      <c r="AD351" s="548"/>
      <c r="AE351" s="549"/>
      <c r="AF351" s="541"/>
      <c r="AG351" s="366"/>
      <c r="AH351" s="366"/>
      <c r="AI351" s="366"/>
      <c r="AJ351" s="366"/>
      <c r="AK351" s="394"/>
      <c r="AL351" s="430"/>
      <c r="AM351" s="395"/>
      <c r="AN351" s="529"/>
      <c r="AO351" s="394"/>
      <c r="AP351" s="430"/>
      <c r="AQ351" s="395"/>
      <c r="AR351" s="529"/>
      <c r="AS351" s="542"/>
      <c r="AT351" s="542"/>
    </row>
    <row r="352">
      <c r="A352" s="394"/>
      <c r="B352" s="430"/>
      <c r="C352" s="395"/>
      <c r="D352" s="529"/>
      <c r="E352" s="394"/>
      <c r="F352" s="430"/>
      <c r="G352" s="395"/>
      <c r="H352" s="529"/>
      <c r="I352" s="394"/>
      <c r="J352" s="430"/>
      <c r="K352" s="395"/>
      <c r="L352" s="529"/>
      <c r="M352" s="394"/>
      <c r="N352" s="430"/>
      <c r="O352" s="395"/>
      <c r="P352" s="529"/>
      <c r="Q352" s="547"/>
      <c r="R352" s="548"/>
      <c r="S352" s="549"/>
      <c r="T352" s="541"/>
      <c r="U352" s="547"/>
      <c r="V352" s="548"/>
      <c r="W352" s="549"/>
      <c r="X352" s="541"/>
      <c r="Y352" s="547"/>
      <c r="Z352" s="548"/>
      <c r="AA352" s="549"/>
      <c r="AB352" s="541"/>
      <c r="AC352" s="547"/>
      <c r="AD352" s="548"/>
      <c r="AE352" s="549"/>
      <c r="AF352" s="541"/>
      <c r="AG352" s="366"/>
      <c r="AH352" s="366"/>
      <c r="AI352" s="366"/>
      <c r="AJ352" s="366"/>
      <c r="AK352" s="394"/>
      <c r="AL352" s="430"/>
      <c r="AM352" s="395"/>
      <c r="AN352" s="529"/>
      <c r="AO352" s="394"/>
      <c r="AP352" s="430"/>
      <c r="AQ352" s="395"/>
      <c r="AR352" s="529"/>
      <c r="AS352" s="542"/>
      <c r="AT352" s="542"/>
    </row>
    <row r="353">
      <c r="A353" s="394"/>
      <c r="B353" s="430"/>
      <c r="C353" s="395"/>
      <c r="D353" s="529"/>
      <c r="E353" s="394"/>
      <c r="F353" s="430"/>
      <c r="G353" s="395"/>
      <c r="H353" s="529"/>
      <c r="I353" s="394"/>
      <c r="J353" s="430"/>
      <c r="K353" s="395"/>
      <c r="L353" s="529"/>
      <c r="M353" s="394"/>
      <c r="N353" s="430"/>
      <c r="O353" s="395"/>
      <c r="P353" s="529"/>
      <c r="Q353" s="547"/>
      <c r="R353" s="548"/>
      <c r="S353" s="549"/>
      <c r="T353" s="541"/>
      <c r="U353" s="547"/>
      <c r="V353" s="548"/>
      <c r="W353" s="549"/>
      <c r="X353" s="541"/>
      <c r="Y353" s="547"/>
      <c r="Z353" s="548"/>
      <c r="AA353" s="549"/>
      <c r="AB353" s="541"/>
      <c r="AC353" s="547"/>
      <c r="AD353" s="548"/>
      <c r="AE353" s="549"/>
      <c r="AF353" s="541"/>
      <c r="AG353" s="366"/>
      <c r="AH353" s="366"/>
      <c r="AI353" s="366"/>
      <c r="AJ353" s="366"/>
      <c r="AK353" s="394"/>
      <c r="AL353" s="430"/>
      <c r="AM353" s="395"/>
      <c r="AN353" s="529"/>
      <c r="AO353" s="394"/>
      <c r="AP353" s="430"/>
      <c r="AQ353" s="395"/>
      <c r="AR353" s="529"/>
      <c r="AS353" s="542"/>
      <c r="AT353" s="542"/>
    </row>
    <row r="354">
      <c r="A354" s="394"/>
      <c r="B354" s="430"/>
      <c r="C354" s="395"/>
      <c r="D354" s="529"/>
      <c r="E354" s="394"/>
      <c r="F354" s="430"/>
      <c r="G354" s="395"/>
      <c r="H354" s="529"/>
      <c r="I354" s="394"/>
      <c r="J354" s="430"/>
      <c r="K354" s="395"/>
      <c r="L354" s="529"/>
      <c r="M354" s="394"/>
      <c r="N354" s="430"/>
      <c r="O354" s="395"/>
      <c r="P354" s="529"/>
      <c r="Q354" s="547"/>
      <c r="R354" s="548"/>
      <c r="S354" s="549"/>
      <c r="T354" s="541"/>
      <c r="U354" s="547"/>
      <c r="V354" s="548"/>
      <c r="W354" s="549"/>
      <c r="X354" s="541"/>
      <c r="Y354" s="547"/>
      <c r="Z354" s="548"/>
      <c r="AA354" s="549"/>
      <c r="AB354" s="541"/>
      <c r="AC354" s="547"/>
      <c r="AD354" s="548"/>
      <c r="AE354" s="549"/>
      <c r="AF354" s="541"/>
      <c r="AG354" s="366"/>
      <c r="AH354" s="366"/>
      <c r="AI354" s="366"/>
      <c r="AJ354" s="366"/>
      <c r="AK354" s="394"/>
      <c r="AL354" s="430"/>
      <c r="AM354" s="395"/>
      <c r="AN354" s="529"/>
      <c r="AO354" s="394"/>
      <c r="AP354" s="430"/>
      <c r="AQ354" s="395"/>
      <c r="AR354" s="529"/>
      <c r="AS354" s="542"/>
      <c r="AT354" s="542"/>
    </row>
    <row r="355">
      <c r="A355" s="394"/>
      <c r="B355" s="430"/>
      <c r="C355" s="395"/>
      <c r="D355" s="529"/>
      <c r="E355" s="394"/>
      <c r="F355" s="430"/>
      <c r="G355" s="395"/>
      <c r="H355" s="529"/>
      <c r="I355" s="394"/>
      <c r="J355" s="430"/>
      <c r="K355" s="395"/>
      <c r="L355" s="529"/>
      <c r="M355" s="394"/>
      <c r="N355" s="430"/>
      <c r="O355" s="395"/>
      <c r="P355" s="529"/>
      <c r="Q355" s="547"/>
      <c r="R355" s="548"/>
      <c r="S355" s="549"/>
      <c r="T355" s="541"/>
      <c r="U355" s="547"/>
      <c r="V355" s="548"/>
      <c r="W355" s="549"/>
      <c r="X355" s="541"/>
      <c r="Y355" s="547"/>
      <c r="Z355" s="548"/>
      <c r="AA355" s="549"/>
      <c r="AB355" s="541"/>
      <c r="AC355" s="547"/>
      <c r="AD355" s="548"/>
      <c r="AE355" s="549"/>
      <c r="AF355" s="541"/>
      <c r="AG355" s="366"/>
      <c r="AH355" s="366"/>
      <c r="AI355" s="366"/>
      <c r="AJ355" s="366"/>
      <c r="AK355" s="394"/>
      <c r="AL355" s="430"/>
      <c r="AM355" s="395"/>
      <c r="AN355" s="529"/>
      <c r="AO355" s="394"/>
      <c r="AP355" s="430"/>
      <c r="AQ355" s="395"/>
      <c r="AR355" s="529"/>
      <c r="AS355" s="542"/>
      <c r="AT355" s="542"/>
    </row>
    <row r="356">
      <c r="A356" s="394"/>
      <c r="B356" s="430"/>
      <c r="C356" s="395"/>
      <c r="D356" s="529"/>
      <c r="E356" s="394"/>
      <c r="F356" s="430"/>
      <c r="G356" s="395"/>
      <c r="H356" s="529"/>
      <c r="I356" s="394"/>
      <c r="J356" s="430"/>
      <c r="K356" s="395"/>
      <c r="L356" s="529"/>
      <c r="M356" s="394"/>
      <c r="N356" s="430"/>
      <c r="O356" s="395"/>
      <c r="P356" s="529"/>
      <c r="Q356" s="547"/>
      <c r="R356" s="548"/>
      <c r="S356" s="549"/>
      <c r="T356" s="541"/>
      <c r="U356" s="547"/>
      <c r="V356" s="548"/>
      <c r="W356" s="549"/>
      <c r="X356" s="541"/>
      <c r="Y356" s="547"/>
      <c r="Z356" s="548"/>
      <c r="AA356" s="549"/>
      <c r="AB356" s="541"/>
      <c r="AC356" s="547"/>
      <c r="AD356" s="548"/>
      <c r="AE356" s="549"/>
      <c r="AF356" s="541"/>
      <c r="AG356" s="366"/>
      <c r="AH356" s="366"/>
      <c r="AI356" s="366"/>
      <c r="AJ356" s="366"/>
      <c r="AK356" s="394"/>
      <c r="AL356" s="430"/>
      <c r="AM356" s="395"/>
      <c r="AN356" s="529"/>
      <c r="AO356" s="394"/>
      <c r="AP356" s="430"/>
      <c r="AQ356" s="395"/>
      <c r="AR356" s="529"/>
      <c r="AS356" s="542"/>
      <c r="AT356" s="542"/>
    </row>
    <row r="357">
      <c r="A357" s="394"/>
      <c r="B357" s="430"/>
      <c r="C357" s="395"/>
      <c r="D357" s="529"/>
      <c r="E357" s="394"/>
      <c r="F357" s="430"/>
      <c r="G357" s="395"/>
      <c r="H357" s="529"/>
      <c r="I357" s="394"/>
      <c r="J357" s="430"/>
      <c r="K357" s="395"/>
      <c r="L357" s="529"/>
      <c r="M357" s="394"/>
      <c r="N357" s="430"/>
      <c r="O357" s="395"/>
      <c r="P357" s="529"/>
      <c r="Q357" s="547"/>
      <c r="R357" s="548"/>
      <c r="S357" s="549"/>
      <c r="T357" s="541"/>
      <c r="U357" s="547"/>
      <c r="V357" s="548"/>
      <c r="W357" s="549"/>
      <c r="X357" s="541"/>
      <c r="Y357" s="547"/>
      <c r="Z357" s="548"/>
      <c r="AA357" s="549"/>
      <c r="AB357" s="541"/>
      <c r="AC357" s="547"/>
      <c r="AD357" s="548"/>
      <c r="AE357" s="549"/>
      <c r="AF357" s="541"/>
      <c r="AG357" s="366"/>
      <c r="AH357" s="366"/>
      <c r="AI357" s="366"/>
      <c r="AJ357" s="366"/>
      <c r="AK357" s="394"/>
      <c r="AL357" s="430"/>
      <c r="AM357" s="395"/>
      <c r="AN357" s="529"/>
      <c r="AO357" s="394"/>
      <c r="AP357" s="430"/>
      <c r="AQ357" s="395"/>
      <c r="AR357" s="529"/>
      <c r="AS357" s="542"/>
      <c r="AT357" s="542"/>
    </row>
    <row r="358">
      <c r="A358" s="394"/>
      <c r="B358" s="430"/>
      <c r="C358" s="395"/>
      <c r="D358" s="529"/>
      <c r="E358" s="394"/>
      <c r="F358" s="430"/>
      <c r="G358" s="395"/>
      <c r="H358" s="529"/>
      <c r="I358" s="394"/>
      <c r="J358" s="430"/>
      <c r="K358" s="395"/>
      <c r="L358" s="529"/>
      <c r="M358" s="394"/>
      <c r="N358" s="430"/>
      <c r="O358" s="395"/>
      <c r="P358" s="529"/>
      <c r="Q358" s="547"/>
      <c r="R358" s="548"/>
      <c r="S358" s="549"/>
      <c r="T358" s="541"/>
      <c r="U358" s="547"/>
      <c r="V358" s="548"/>
      <c r="W358" s="549"/>
      <c r="X358" s="541"/>
      <c r="Y358" s="547"/>
      <c r="Z358" s="548"/>
      <c r="AA358" s="549"/>
      <c r="AB358" s="541"/>
      <c r="AC358" s="547"/>
      <c r="AD358" s="548"/>
      <c r="AE358" s="549"/>
      <c r="AF358" s="541"/>
      <c r="AG358" s="366"/>
      <c r="AH358" s="366"/>
      <c r="AI358" s="366"/>
      <c r="AJ358" s="366"/>
      <c r="AK358" s="394"/>
      <c r="AL358" s="430"/>
      <c r="AM358" s="395"/>
      <c r="AN358" s="529"/>
      <c r="AO358" s="394"/>
      <c r="AP358" s="430"/>
      <c r="AQ358" s="395"/>
      <c r="AR358" s="529"/>
      <c r="AS358" s="542"/>
      <c r="AT358" s="542"/>
    </row>
    <row r="359">
      <c r="A359" s="394"/>
      <c r="B359" s="430"/>
      <c r="C359" s="395"/>
      <c r="D359" s="529"/>
      <c r="E359" s="394"/>
      <c r="F359" s="430"/>
      <c r="G359" s="395"/>
      <c r="H359" s="529"/>
      <c r="I359" s="394"/>
      <c r="J359" s="430"/>
      <c r="K359" s="395"/>
      <c r="L359" s="529"/>
      <c r="M359" s="394"/>
      <c r="N359" s="430"/>
      <c r="O359" s="395"/>
      <c r="P359" s="529"/>
      <c r="Q359" s="547"/>
      <c r="R359" s="548"/>
      <c r="S359" s="549"/>
      <c r="T359" s="541"/>
      <c r="U359" s="547"/>
      <c r="V359" s="548"/>
      <c r="W359" s="549"/>
      <c r="X359" s="541"/>
      <c r="Y359" s="547"/>
      <c r="Z359" s="548"/>
      <c r="AA359" s="549"/>
      <c r="AB359" s="541"/>
      <c r="AC359" s="547"/>
      <c r="AD359" s="548"/>
      <c r="AE359" s="549"/>
      <c r="AF359" s="541"/>
      <c r="AG359" s="366"/>
      <c r="AH359" s="366"/>
      <c r="AI359" s="366"/>
      <c r="AJ359" s="366"/>
      <c r="AK359" s="394"/>
      <c r="AL359" s="430"/>
      <c r="AM359" s="395"/>
      <c r="AN359" s="529"/>
      <c r="AO359" s="394"/>
      <c r="AP359" s="430"/>
      <c r="AQ359" s="395"/>
      <c r="AR359" s="529"/>
      <c r="AS359" s="542"/>
      <c r="AT359" s="542"/>
    </row>
    <row r="360">
      <c r="A360" s="394"/>
      <c r="B360" s="430"/>
      <c r="C360" s="395"/>
      <c r="D360" s="529"/>
      <c r="E360" s="394"/>
      <c r="F360" s="430"/>
      <c r="G360" s="395"/>
      <c r="H360" s="529"/>
      <c r="I360" s="394"/>
      <c r="J360" s="430"/>
      <c r="K360" s="395"/>
      <c r="L360" s="529"/>
      <c r="M360" s="394"/>
      <c r="N360" s="430"/>
      <c r="O360" s="395"/>
      <c r="P360" s="529"/>
      <c r="Q360" s="547"/>
      <c r="R360" s="548"/>
      <c r="S360" s="549"/>
      <c r="T360" s="541"/>
      <c r="U360" s="547"/>
      <c r="V360" s="548"/>
      <c r="W360" s="549"/>
      <c r="X360" s="541"/>
      <c r="Y360" s="547"/>
      <c r="Z360" s="548"/>
      <c r="AA360" s="549"/>
      <c r="AB360" s="541"/>
      <c r="AC360" s="547"/>
      <c r="AD360" s="548"/>
      <c r="AE360" s="549"/>
      <c r="AF360" s="541"/>
      <c r="AG360" s="366"/>
      <c r="AH360" s="366"/>
      <c r="AI360" s="366"/>
      <c r="AJ360" s="366"/>
      <c r="AK360" s="394"/>
      <c r="AL360" s="430"/>
      <c r="AM360" s="395"/>
      <c r="AN360" s="529"/>
      <c r="AO360" s="394"/>
      <c r="AP360" s="430"/>
      <c r="AQ360" s="395"/>
      <c r="AR360" s="529"/>
      <c r="AS360" s="542"/>
      <c r="AT360" s="542"/>
    </row>
    <row r="361">
      <c r="A361" s="394"/>
      <c r="B361" s="430"/>
      <c r="C361" s="395"/>
      <c r="D361" s="529"/>
      <c r="E361" s="394"/>
      <c r="F361" s="430"/>
      <c r="G361" s="395"/>
      <c r="H361" s="529"/>
      <c r="I361" s="394"/>
      <c r="J361" s="430"/>
      <c r="K361" s="395"/>
      <c r="L361" s="529"/>
      <c r="M361" s="394"/>
      <c r="N361" s="430"/>
      <c r="O361" s="395"/>
      <c r="P361" s="529"/>
      <c r="Q361" s="547"/>
      <c r="R361" s="548"/>
      <c r="S361" s="549"/>
      <c r="T361" s="541"/>
      <c r="U361" s="547"/>
      <c r="V361" s="548"/>
      <c r="W361" s="549"/>
      <c r="X361" s="541"/>
      <c r="Y361" s="547"/>
      <c r="Z361" s="548"/>
      <c r="AA361" s="549"/>
      <c r="AB361" s="541"/>
      <c r="AC361" s="547"/>
      <c r="AD361" s="548"/>
      <c r="AE361" s="549"/>
      <c r="AF361" s="541"/>
      <c r="AG361" s="366"/>
      <c r="AH361" s="366"/>
      <c r="AI361" s="366"/>
      <c r="AJ361" s="366"/>
      <c r="AK361" s="394"/>
      <c r="AL361" s="430"/>
      <c r="AM361" s="395"/>
      <c r="AN361" s="529"/>
      <c r="AO361" s="394"/>
      <c r="AP361" s="430"/>
      <c r="AQ361" s="395"/>
      <c r="AR361" s="529"/>
      <c r="AS361" s="542"/>
      <c r="AT361" s="542"/>
    </row>
    <row r="362">
      <c r="A362" s="394"/>
      <c r="B362" s="430"/>
      <c r="C362" s="395"/>
      <c r="D362" s="529"/>
      <c r="E362" s="394"/>
      <c r="F362" s="430"/>
      <c r="G362" s="395"/>
      <c r="H362" s="529"/>
      <c r="I362" s="394"/>
      <c r="J362" s="430"/>
      <c r="K362" s="395"/>
      <c r="L362" s="529"/>
      <c r="M362" s="394"/>
      <c r="N362" s="430"/>
      <c r="O362" s="395"/>
      <c r="P362" s="529"/>
      <c r="Q362" s="547"/>
      <c r="R362" s="548"/>
      <c r="S362" s="549"/>
      <c r="T362" s="541"/>
      <c r="U362" s="547"/>
      <c r="V362" s="548"/>
      <c r="W362" s="549"/>
      <c r="X362" s="541"/>
      <c r="Y362" s="547"/>
      <c r="Z362" s="548"/>
      <c r="AA362" s="549"/>
      <c r="AB362" s="541"/>
      <c r="AC362" s="547"/>
      <c r="AD362" s="548"/>
      <c r="AE362" s="549"/>
      <c r="AF362" s="541"/>
      <c r="AG362" s="366"/>
      <c r="AH362" s="366"/>
      <c r="AI362" s="366"/>
      <c r="AJ362" s="366"/>
      <c r="AK362" s="394"/>
      <c r="AL362" s="430"/>
      <c r="AM362" s="395"/>
      <c r="AN362" s="529"/>
      <c r="AO362" s="394"/>
      <c r="AP362" s="430"/>
      <c r="AQ362" s="395"/>
      <c r="AR362" s="529"/>
      <c r="AS362" s="542"/>
      <c r="AT362" s="542"/>
    </row>
    <row r="363">
      <c r="A363" s="394"/>
      <c r="B363" s="430"/>
      <c r="C363" s="395"/>
      <c r="D363" s="529"/>
      <c r="E363" s="394"/>
      <c r="F363" s="430"/>
      <c r="G363" s="395"/>
      <c r="H363" s="529"/>
      <c r="I363" s="394"/>
      <c r="J363" s="430"/>
      <c r="K363" s="395"/>
      <c r="L363" s="529"/>
      <c r="M363" s="394"/>
      <c r="N363" s="430"/>
      <c r="O363" s="395"/>
      <c r="P363" s="529"/>
      <c r="Q363" s="547"/>
      <c r="R363" s="548"/>
      <c r="S363" s="549"/>
      <c r="T363" s="541"/>
      <c r="U363" s="547"/>
      <c r="V363" s="548"/>
      <c r="W363" s="549"/>
      <c r="X363" s="541"/>
      <c r="Y363" s="547"/>
      <c r="Z363" s="548"/>
      <c r="AA363" s="549"/>
      <c r="AB363" s="541"/>
      <c r="AC363" s="547"/>
      <c r="AD363" s="548"/>
      <c r="AE363" s="549"/>
      <c r="AF363" s="541"/>
      <c r="AG363" s="366"/>
      <c r="AH363" s="366"/>
      <c r="AI363" s="366"/>
      <c r="AJ363" s="366"/>
      <c r="AK363" s="394"/>
      <c r="AL363" s="430"/>
      <c r="AM363" s="395"/>
      <c r="AN363" s="529"/>
      <c r="AO363" s="394"/>
      <c r="AP363" s="430"/>
      <c r="AQ363" s="395"/>
      <c r="AR363" s="529"/>
      <c r="AS363" s="542"/>
      <c r="AT363" s="542"/>
    </row>
    <row r="364">
      <c r="A364" s="394"/>
      <c r="B364" s="430"/>
      <c r="C364" s="395"/>
      <c r="D364" s="529"/>
      <c r="E364" s="394"/>
      <c r="F364" s="430"/>
      <c r="G364" s="395"/>
      <c r="H364" s="529"/>
      <c r="I364" s="394"/>
      <c r="J364" s="430"/>
      <c r="K364" s="395"/>
      <c r="L364" s="529"/>
      <c r="M364" s="394"/>
      <c r="N364" s="430"/>
      <c r="O364" s="395"/>
      <c r="P364" s="529"/>
      <c r="Q364" s="547"/>
      <c r="R364" s="548"/>
      <c r="S364" s="549"/>
      <c r="T364" s="541"/>
      <c r="U364" s="547"/>
      <c r="V364" s="548"/>
      <c r="W364" s="549"/>
      <c r="X364" s="541"/>
      <c r="Y364" s="547"/>
      <c r="Z364" s="548"/>
      <c r="AA364" s="549"/>
      <c r="AB364" s="541"/>
      <c r="AC364" s="547"/>
      <c r="AD364" s="548"/>
      <c r="AE364" s="549"/>
      <c r="AF364" s="541"/>
      <c r="AG364" s="366"/>
      <c r="AH364" s="366"/>
      <c r="AI364" s="366"/>
      <c r="AJ364" s="366"/>
      <c r="AK364" s="394"/>
      <c r="AL364" s="430"/>
      <c r="AM364" s="395"/>
      <c r="AN364" s="529"/>
      <c r="AO364" s="394"/>
      <c r="AP364" s="430"/>
      <c r="AQ364" s="395"/>
      <c r="AR364" s="529"/>
      <c r="AS364" s="542"/>
      <c r="AT364" s="542"/>
    </row>
    <row r="365">
      <c r="A365" s="394"/>
      <c r="B365" s="430"/>
      <c r="C365" s="395"/>
      <c r="D365" s="529"/>
      <c r="E365" s="394"/>
      <c r="F365" s="430"/>
      <c r="G365" s="395"/>
      <c r="H365" s="529"/>
      <c r="I365" s="394"/>
      <c r="J365" s="430"/>
      <c r="K365" s="395"/>
      <c r="L365" s="529"/>
      <c r="M365" s="394"/>
      <c r="N365" s="430"/>
      <c r="O365" s="395"/>
      <c r="P365" s="529"/>
      <c r="Q365" s="547"/>
      <c r="R365" s="548"/>
      <c r="S365" s="549"/>
      <c r="T365" s="541"/>
      <c r="U365" s="547"/>
      <c r="V365" s="548"/>
      <c r="W365" s="549"/>
      <c r="X365" s="541"/>
      <c r="Y365" s="547"/>
      <c r="Z365" s="548"/>
      <c r="AA365" s="549"/>
      <c r="AB365" s="541"/>
      <c r="AC365" s="547"/>
      <c r="AD365" s="548"/>
      <c r="AE365" s="549"/>
      <c r="AF365" s="541"/>
      <c r="AG365" s="366"/>
      <c r="AH365" s="366"/>
      <c r="AI365" s="366"/>
      <c r="AJ365" s="366"/>
      <c r="AK365" s="394"/>
      <c r="AL365" s="430"/>
      <c r="AM365" s="395"/>
      <c r="AN365" s="529"/>
      <c r="AO365" s="394"/>
      <c r="AP365" s="430"/>
      <c r="AQ365" s="395"/>
      <c r="AR365" s="529"/>
      <c r="AS365" s="542"/>
      <c r="AT365" s="542"/>
    </row>
    <row r="366">
      <c r="A366" s="394"/>
      <c r="B366" s="430"/>
      <c r="C366" s="395"/>
      <c r="D366" s="529"/>
      <c r="E366" s="394"/>
      <c r="F366" s="430"/>
      <c r="G366" s="395"/>
      <c r="H366" s="529"/>
      <c r="I366" s="394"/>
      <c r="J366" s="430"/>
      <c r="K366" s="395"/>
      <c r="L366" s="529"/>
      <c r="M366" s="394"/>
      <c r="N366" s="430"/>
      <c r="O366" s="395"/>
      <c r="P366" s="529"/>
      <c r="Q366" s="547"/>
      <c r="R366" s="548"/>
      <c r="S366" s="549"/>
      <c r="T366" s="541"/>
      <c r="U366" s="547"/>
      <c r="V366" s="548"/>
      <c r="W366" s="549"/>
      <c r="X366" s="541"/>
      <c r="Y366" s="547"/>
      <c r="Z366" s="548"/>
      <c r="AA366" s="549"/>
      <c r="AB366" s="541"/>
      <c r="AC366" s="547"/>
      <c r="AD366" s="548"/>
      <c r="AE366" s="549"/>
      <c r="AF366" s="541"/>
      <c r="AG366" s="366"/>
      <c r="AH366" s="366"/>
      <c r="AI366" s="366"/>
      <c r="AJ366" s="366"/>
      <c r="AK366" s="394"/>
      <c r="AL366" s="430"/>
      <c r="AM366" s="395"/>
      <c r="AN366" s="529"/>
      <c r="AO366" s="394"/>
      <c r="AP366" s="430"/>
      <c r="AQ366" s="395"/>
      <c r="AR366" s="529"/>
      <c r="AS366" s="542"/>
      <c r="AT366" s="542"/>
    </row>
    <row r="367">
      <c r="A367" s="394"/>
      <c r="B367" s="430"/>
      <c r="C367" s="395"/>
      <c r="D367" s="529"/>
      <c r="E367" s="394"/>
      <c r="F367" s="430"/>
      <c r="G367" s="395"/>
      <c r="H367" s="529"/>
      <c r="I367" s="394"/>
      <c r="J367" s="430"/>
      <c r="K367" s="395"/>
      <c r="L367" s="529"/>
      <c r="M367" s="394"/>
      <c r="N367" s="430"/>
      <c r="O367" s="395"/>
      <c r="P367" s="529"/>
      <c r="Q367" s="547"/>
      <c r="R367" s="548"/>
      <c r="S367" s="549"/>
      <c r="T367" s="541"/>
      <c r="U367" s="547"/>
      <c r="V367" s="548"/>
      <c r="W367" s="549"/>
      <c r="X367" s="541"/>
      <c r="Y367" s="547"/>
      <c r="Z367" s="548"/>
      <c r="AA367" s="549"/>
      <c r="AB367" s="541"/>
      <c r="AC367" s="547"/>
      <c r="AD367" s="548"/>
      <c r="AE367" s="549"/>
      <c r="AF367" s="541"/>
      <c r="AG367" s="366"/>
      <c r="AH367" s="366"/>
      <c r="AI367" s="366"/>
      <c r="AJ367" s="366"/>
      <c r="AK367" s="394"/>
      <c r="AL367" s="430"/>
      <c r="AM367" s="395"/>
      <c r="AN367" s="529"/>
      <c r="AO367" s="394"/>
      <c r="AP367" s="430"/>
      <c r="AQ367" s="395"/>
      <c r="AR367" s="529"/>
      <c r="AS367" s="542"/>
      <c r="AT367" s="542"/>
    </row>
    <row r="368">
      <c r="A368" s="394"/>
      <c r="B368" s="430"/>
      <c r="C368" s="395"/>
      <c r="D368" s="529"/>
      <c r="E368" s="394"/>
      <c r="F368" s="430"/>
      <c r="G368" s="395"/>
      <c r="H368" s="529"/>
      <c r="I368" s="394"/>
      <c r="J368" s="430"/>
      <c r="K368" s="395"/>
      <c r="L368" s="529"/>
      <c r="M368" s="394"/>
      <c r="N368" s="430"/>
      <c r="O368" s="395"/>
      <c r="P368" s="529"/>
      <c r="Q368" s="547"/>
      <c r="R368" s="548"/>
      <c r="S368" s="549"/>
      <c r="T368" s="541"/>
      <c r="U368" s="547"/>
      <c r="V368" s="548"/>
      <c r="W368" s="549"/>
      <c r="X368" s="541"/>
      <c r="Y368" s="547"/>
      <c r="Z368" s="548"/>
      <c r="AA368" s="549"/>
      <c r="AB368" s="541"/>
      <c r="AC368" s="547"/>
      <c r="AD368" s="548"/>
      <c r="AE368" s="549"/>
      <c r="AF368" s="541"/>
      <c r="AG368" s="366"/>
      <c r="AH368" s="366"/>
      <c r="AI368" s="366"/>
      <c r="AJ368" s="366"/>
      <c r="AK368" s="394"/>
      <c r="AL368" s="430"/>
      <c r="AM368" s="395"/>
      <c r="AN368" s="529"/>
      <c r="AO368" s="394"/>
      <c r="AP368" s="430"/>
      <c r="AQ368" s="395"/>
      <c r="AR368" s="529"/>
      <c r="AS368" s="542"/>
      <c r="AT368" s="542"/>
    </row>
    <row r="369">
      <c r="A369" s="394"/>
      <c r="B369" s="430"/>
      <c r="C369" s="395"/>
      <c r="D369" s="529"/>
      <c r="E369" s="394"/>
      <c r="F369" s="430"/>
      <c r="G369" s="395"/>
      <c r="H369" s="529"/>
      <c r="I369" s="394"/>
      <c r="J369" s="430"/>
      <c r="K369" s="395"/>
      <c r="L369" s="529"/>
      <c r="M369" s="394"/>
      <c r="N369" s="430"/>
      <c r="O369" s="395"/>
      <c r="P369" s="529"/>
      <c r="Q369" s="547"/>
      <c r="R369" s="548"/>
      <c r="S369" s="549"/>
      <c r="T369" s="541"/>
      <c r="U369" s="547"/>
      <c r="V369" s="548"/>
      <c r="W369" s="549"/>
      <c r="X369" s="541"/>
      <c r="Y369" s="547"/>
      <c r="Z369" s="548"/>
      <c r="AA369" s="549"/>
      <c r="AB369" s="541"/>
      <c r="AC369" s="547"/>
      <c r="AD369" s="548"/>
      <c r="AE369" s="549"/>
      <c r="AF369" s="541"/>
      <c r="AG369" s="366"/>
      <c r="AH369" s="366"/>
      <c r="AI369" s="366"/>
      <c r="AJ369" s="366"/>
      <c r="AK369" s="394"/>
      <c r="AL369" s="430"/>
      <c r="AM369" s="395"/>
      <c r="AN369" s="529"/>
      <c r="AO369" s="394"/>
      <c r="AP369" s="430"/>
      <c r="AQ369" s="395"/>
      <c r="AR369" s="529"/>
      <c r="AS369" s="542"/>
      <c r="AT369" s="542"/>
    </row>
    <row r="370">
      <c r="A370" s="394"/>
      <c r="B370" s="430"/>
      <c r="C370" s="395"/>
      <c r="D370" s="529"/>
      <c r="E370" s="394"/>
      <c r="F370" s="430"/>
      <c r="G370" s="395"/>
      <c r="H370" s="529"/>
      <c r="I370" s="394"/>
      <c r="J370" s="430"/>
      <c r="K370" s="395"/>
      <c r="L370" s="529"/>
      <c r="M370" s="394"/>
      <c r="N370" s="430"/>
      <c r="O370" s="395"/>
      <c r="P370" s="529"/>
      <c r="Q370" s="547"/>
      <c r="R370" s="548"/>
      <c r="S370" s="549"/>
      <c r="T370" s="541"/>
      <c r="U370" s="547"/>
      <c r="V370" s="548"/>
      <c r="W370" s="549"/>
      <c r="X370" s="541"/>
      <c r="Y370" s="547"/>
      <c r="Z370" s="548"/>
      <c r="AA370" s="549"/>
      <c r="AB370" s="541"/>
      <c r="AC370" s="547"/>
      <c r="AD370" s="548"/>
      <c r="AE370" s="549"/>
      <c r="AF370" s="541"/>
      <c r="AG370" s="366"/>
      <c r="AH370" s="366"/>
      <c r="AI370" s="366"/>
      <c r="AJ370" s="366"/>
      <c r="AK370" s="394"/>
      <c r="AL370" s="430"/>
      <c r="AM370" s="395"/>
      <c r="AN370" s="529"/>
      <c r="AO370" s="394"/>
      <c r="AP370" s="430"/>
      <c r="AQ370" s="395"/>
      <c r="AR370" s="529"/>
      <c r="AS370" s="542"/>
      <c r="AT370" s="542"/>
    </row>
    <row r="371">
      <c r="A371" s="394"/>
      <c r="B371" s="430"/>
      <c r="C371" s="395"/>
      <c r="D371" s="529"/>
      <c r="E371" s="394"/>
      <c r="F371" s="430"/>
      <c r="G371" s="395"/>
      <c r="H371" s="529"/>
      <c r="I371" s="394"/>
      <c r="J371" s="430"/>
      <c r="K371" s="395"/>
      <c r="L371" s="529"/>
      <c r="M371" s="394"/>
      <c r="N371" s="430"/>
      <c r="O371" s="395"/>
      <c r="P371" s="529"/>
      <c r="Q371" s="547"/>
      <c r="R371" s="548"/>
      <c r="S371" s="549"/>
      <c r="T371" s="541"/>
      <c r="U371" s="547"/>
      <c r="V371" s="548"/>
      <c r="W371" s="549"/>
      <c r="X371" s="541"/>
      <c r="Y371" s="547"/>
      <c r="Z371" s="548"/>
      <c r="AA371" s="549"/>
      <c r="AB371" s="541"/>
      <c r="AC371" s="547"/>
      <c r="AD371" s="548"/>
      <c r="AE371" s="549"/>
      <c r="AF371" s="541"/>
      <c r="AG371" s="366"/>
      <c r="AH371" s="366"/>
      <c r="AI371" s="366"/>
      <c r="AJ371" s="366"/>
      <c r="AK371" s="394"/>
      <c r="AL371" s="430"/>
      <c r="AM371" s="395"/>
      <c r="AN371" s="529"/>
      <c r="AO371" s="394"/>
      <c r="AP371" s="430"/>
      <c r="AQ371" s="395"/>
      <c r="AR371" s="529"/>
      <c r="AS371" s="542"/>
      <c r="AT371" s="542"/>
    </row>
    <row r="372">
      <c r="A372" s="394"/>
      <c r="B372" s="430"/>
      <c r="C372" s="395"/>
      <c r="D372" s="529"/>
      <c r="E372" s="394"/>
      <c r="F372" s="430"/>
      <c r="G372" s="395"/>
      <c r="H372" s="529"/>
      <c r="I372" s="394"/>
      <c r="J372" s="430"/>
      <c r="K372" s="395"/>
      <c r="L372" s="529"/>
      <c r="M372" s="394"/>
      <c r="N372" s="430"/>
      <c r="O372" s="395"/>
      <c r="P372" s="529"/>
      <c r="Q372" s="547"/>
      <c r="R372" s="548"/>
      <c r="S372" s="549"/>
      <c r="T372" s="541"/>
      <c r="U372" s="547"/>
      <c r="V372" s="548"/>
      <c r="W372" s="549"/>
      <c r="X372" s="541"/>
      <c r="Y372" s="547"/>
      <c r="Z372" s="548"/>
      <c r="AA372" s="549"/>
      <c r="AB372" s="541"/>
      <c r="AC372" s="547"/>
      <c r="AD372" s="548"/>
      <c r="AE372" s="549"/>
      <c r="AF372" s="541"/>
      <c r="AG372" s="366"/>
      <c r="AH372" s="366"/>
      <c r="AI372" s="366"/>
      <c r="AJ372" s="366"/>
      <c r="AK372" s="394"/>
      <c r="AL372" s="430"/>
      <c r="AM372" s="395"/>
      <c r="AN372" s="529"/>
      <c r="AO372" s="394"/>
      <c r="AP372" s="430"/>
      <c r="AQ372" s="395"/>
      <c r="AR372" s="529"/>
      <c r="AS372" s="542"/>
      <c r="AT372" s="542"/>
    </row>
    <row r="373">
      <c r="A373" s="394"/>
      <c r="B373" s="430"/>
      <c r="C373" s="395"/>
      <c r="D373" s="529"/>
      <c r="E373" s="394"/>
      <c r="F373" s="430"/>
      <c r="G373" s="395"/>
      <c r="H373" s="529"/>
      <c r="I373" s="394"/>
      <c r="J373" s="430"/>
      <c r="K373" s="395"/>
      <c r="L373" s="529"/>
      <c r="M373" s="394"/>
      <c r="N373" s="430"/>
      <c r="O373" s="395"/>
      <c r="P373" s="529"/>
      <c r="Q373" s="547"/>
      <c r="R373" s="548"/>
      <c r="S373" s="549"/>
      <c r="T373" s="541"/>
      <c r="U373" s="547"/>
      <c r="V373" s="548"/>
      <c r="W373" s="549"/>
      <c r="X373" s="541"/>
      <c r="Y373" s="547"/>
      <c r="Z373" s="548"/>
      <c r="AA373" s="549"/>
      <c r="AB373" s="541"/>
      <c r="AC373" s="547"/>
      <c r="AD373" s="548"/>
      <c r="AE373" s="549"/>
      <c r="AF373" s="541"/>
      <c r="AG373" s="366"/>
      <c r="AH373" s="366"/>
      <c r="AI373" s="366"/>
      <c r="AJ373" s="366"/>
      <c r="AK373" s="394"/>
      <c r="AL373" s="430"/>
      <c r="AM373" s="395"/>
      <c r="AN373" s="529"/>
      <c r="AO373" s="394"/>
      <c r="AP373" s="430"/>
      <c r="AQ373" s="395"/>
      <c r="AR373" s="529"/>
      <c r="AS373" s="542"/>
      <c r="AT373" s="542"/>
    </row>
    <row r="374">
      <c r="A374" s="394"/>
      <c r="B374" s="430"/>
      <c r="C374" s="395"/>
      <c r="D374" s="529"/>
      <c r="E374" s="394"/>
      <c r="F374" s="430"/>
      <c r="G374" s="395"/>
      <c r="H374" s="529"/>
      <c r="I374" s="394"/>
      <c r="J374" s="430"/>
      <c r="K374" s="395"/>
      <c r="L374" s="529"/>
      <c r="M374" s="394"/>
      <c r="N374" s="430"/>
      <c r="O374" s="395"/>
      <c r="P374" s="529"/>
      <c r="Q374" s="547"/>
      <c r="R374" s="548"/>
      <c r="S374" s="549"/>
      <c r="T374" s="541"/>
      <c r="U374" s="547"/>
      <c r="V374" s="548"/>
      <c r="W374" s="549"/>
      <c r="X374" s="541"/>
      <c r="Y374" s="547"/>
      <c r="Z374" s="548"/>
      <c r="AA374" s="549"/>
      <c r="AB374" s="541"/>
      <c r="AC374" s="547"/>
      <c r="AD374" s="548"/>
      <c r="AE374" s="549"/>
      <c r="AF374" s="541"/>
      <c r="AG374" s="366"/>
      <c r="AH374" s="366"/>
      <c r="AI374" s="366"/>
      <c r="AJ374" s="366"/>
      <c r="AK374" s="394"/>
      <c r="AL374" s="430"/>
      <c r="AM374" s="395"/>
      <c r="AN374" s="529"/>
      <c r="AO374" s="394"/>
      <c r="AP374" s="430"/>
      <c r="AQ374" s="395"/>
      <c r="AR374" s="529"/>
      <c r="AS374" s="542"/>
      <c r="AT374" s="542"/>
    </row>
    <row r="375">
      <c r="A375" s="394"/>
      <c r="B375" s="430"/>
      <c r="C375" s="395"/>
      <c r="D375" s="529"/>
      <c r="E375" s="394"/>
      <c r="F375" s="430"/>
      <c r="G375" s="395"/>
      <c r="H375" s="529"/>
      <c r="I375" s="394"/>
      <c r="J375" s="430"/>
      <c r="K375" s="395"/>
      <c r="L375" s="529"/>
      <c r="M375" s="394"/>
      <c r="N375" s="430"/>
      <c r="O375" s="395"/>
      <c r="P375" s="529"/>
      <c r="Q375" s="547"/>
      <c r="R375" s="548"/>
      <c r="S375" s="549"/>
      <c r="T375" s="541"/>
      <c r="U375" s="547"/>
      <c r="V375" s="548"/>
      <c r="W375" s="549"/>
      <c r="X375" s="541"/>
      <c r="Y375" s="547"/>
      <c r="Z375" s="548"/>
      <c r="AA375" s="549"/>
      <c r="AB375" s="541"/>
      <c r="AC375" s="547"/>
      <c r="AD375" s="548"/>
      <c r="AE375" s="549"/>
      <c r="AF375" s="541"/>
      <c r="AG375" s="366"/>
      <c r="AH375" s="366"/>
      <c r="AI375" s="366"/>
      <c r="AJ375" s="366"/>
      <c r="AK375" s="394"/>
      <c r="AL375" s="430"/>
      <c r="AM375" s="395"/>
      <c r="AN375" s="529"/>
      <c r="AO375" s="394"/>
      <c r="AP375" s="430"/>
      <c r="AQ375" s="395"/>
      <c r="AR375" s="529"/>
      <c r="AS375" s="542"/>
      <c r="AT375" s="542"/>
    </row>
    <row r="376">
      <c r="A376" s="394"/>
      <c r="B376" s="430"/>
      <c r="C376" s="395"/>
      <c r="D376" s="529"/>
      <c r="E376" s="394"/>
      <c r="F376" s="430"/>
      <c r="G376" s="395"/>
      <c r="H376" s="529"/>
      <c r="I376" s="394"/>
      <c r="J376" s="430"/>
      <c r="K376" s="395"/>
      <c r="L376" s="529"/>
      <c r="M376" s="394"/>
      <c r="N376" s="430"/>
      <c r="O376" s="395"/>
      <c r="P376" s="529"/>
      <c r="Q376" s="547"/>
      <c r="R376" s="548"/>
      <c r="S376" s="549"/>
      <c r="T376" s="541"/>
      <c r="U376" s="547"/>
      <c r="V376" s="548"/>
      <c r="W376" s="549"/>
      <c r="X376" s="541"/>
      <c r="Y376" s="547"/>
      <c r="Z376" s="548"/>
      <c r="AA376" s="549"/>
      <c r="AB376" s="541"/>
      <c r="AC376" s="547"/>
      <c r="AD376" s="548"/>
      <c r="AE376" s="549"/>
      <c r="AF376" s="541"/>
      <c r="AG376" s="366"/>
      <c r="AH376" s="366"/>
      <c r="AI376" s="366"/>
      <c r="AJ376" s="366"/>
      <c r="AK376" s="394"/>
      <c r="AL376" s="430"/>
      <c r="AM376" s="395"/>
      <c r="AN376" s="529"/>
      <c r="AO376" s="394"/>
      <c r="AP376" s="430"/>
      <c r="AQ376" s="395"/>
      <c r="AR376" s="529"/>
      <c r="AS376" s="542"/>
      <c r="AT376" s="542"/>
    </row>
    <row r="377">
      <c r="A377" s="394"/>
      <c r="B377" s="430"/>
      <c r="C377" s="395"/>
      <c r="D377" s="529"/>
      <c r="E377" s="394"/>
      <c r="F377" s="430"/>
      <c r="G377" s="395"/>
      <c r="H377" s="529"/>
      <c r="I377" s="394"/>
      <c r="J377" s="430"/>
      <c r="K377" s="395"/>
      <c r="L377" s="529"/>
      <c r="M377" s="394"/>
      <c r="N377" s="430"/>
      <c r="O377" s="395"/>
      <c r="P377" s="529"/>
      <c r="Q377" s="547"/>
      <c r="R377" s="548"/>
      <c r="S377" s="549"/>
      <c r="T377" s="541"/>
      <c r="U377" s="547"/>
      <c r="V377" s="548"/>
      <c r="W377" s="549"/>
      <c r="X377" s="541"/>
      <c r="Y377" s="547"/>
      <c r="Z377" s="548"/>
      <c r="AA377" s="549"/>
      <c r="AB377" s="541"/>
      <c r="AC377" s="547"/>
      <c r="AD377" s="548"/>
      <c r="AE377" s="549"/>
      <c r="AF377" s="541"/>
      <c r="AG377" s="366"/>
      <c r="AH377" s="366"/>
      <c r="AI377" s="366"/>
      <c r="AJ377" s="366"/>
      <c r="AK377" s="394"/>
      <c r="AL377" s="430"/>
      <c r="AM377" s="395"/>
      <c r="AN377" s="529"/>
      <c r="AO377" s="394"/>
      <c r="AP377" s="430"/>
      <c r="AQ377" s="395"/>
      <c r="AR377" s="529"/>
      <c r="AS377" s="542"/>
      <c r="AT377" s="542"/>
    </row>
    <row r="378">
      <c r="A378" s="394"/>
      <c r="B378" s="430"/>
      <c r="C378" s="395"/>
      <c r="D378" s="529"/>
      <c r="E378" s="394"/>
      <c r="F378" s="430"/>
      <c r="G378" s="395"/>
      <c r="H378" s="529"/>
      <c r="I378" s="394"/>
      <c r="J378" s="430"/>
      <c r="K378" s="395"/>
      <c r="L378" s="529"/>
      <c r="M378" s="394"/>
      <c r="N378" s="430"/>
      <c r="O378" s="395"/>
      <c r="P378" s="529"/>
      <c r="Q378" s="547"/>
      <c r="R378" s="548"/>
      <c r="S378" s="549"/>
      <c r="T378" s="541"/>
      <c r="U378" s="547"/>
      <c r="V378" s="548"/>
      <c r="W378" s="549"/>
      <c r="X378" s="541"/>
      <c r="Y378" s="547"/>
      <c r="Z378" s="548"/>
      <c r="AA378" s="549"/>
      <c r="AB378" s="541"/>
      <c r="AC378" s="547"/>
      <c r="AD378" s="548"/>
      <c r="AE378" s="549"/>
      <c r="AF378" s="541"/>
      <c r="AG378" s="366"/>
      <c r="AH378" s="366"/>
      <c r="AI378" s="366"/>
      <c r="AJ378" s="366"/>
      <c r="AK378" s="394"/>
      <c r="AL378" s="430"/>
      <c r="AM378" s="395"/>
      <c r="AN378" s="529"/>
      <c r="AO378" s="394"/>
      <c r="AP378" s="430"/>
      <c r="AQ378" s="395"/>
      <c r="AR378" s="529"/>
      <c r="AS378" s="542"/>
      <c r="AT378" s="542"/>
    </row>
    <row r="379">
      <c r="A379" s="394"/>
      <c r="B379" s="430"/>
      <c r="C379" s="395"/>
      <c r="D379" s="529"/>
      <c r="E379" s="394"/>
      <c r="F379" s="430"/>
      <c r="G379" s="395"/>
      <c r="H379" s="529"/>
      <c r="I379" s="394"/>
      <c r="J379" s="430"/>
      <c r="K379" s="395"/>
      <c r="L379" s="529"/>
      <c r="M379" s="394"/>
      <c r="N379" s="430"/>
      <c r="O379" s="395"/>
      <c r="P379" s="529"/>
      <c r="Q379" s="547"/>
      <c r="R379" s="548"/>
      <c r="S379" s="549"/>
      <c r="T379" s="541"/>
      <c r="U379" s="547"/>
      <c r="V379" s="548"/>
      <c r="W379" s="549"/>
      <c r="X379" s="541"/>
      <c r="Y379" s="547"/>
      <c r="Z379" s="548"/>
      <c r="AA379" s="549"/>
      <c r="AB379" s="541"/>
      <c r="AC379" s="547"/>
      <c r="AD379" s="548"/>
      <c r="AE379" s="549"/>
      <c r="AF379" s="541"/>
      <c r="AG379" s="366"/>
      <c r="AH379" s="366"/>
      <c r="AI379" s="366"/>
      <c r="AJ379" s="366"/>
      <c r="AK379" s="394"/>
      <c r="AL379" s="430"/>
      <c r="AM379" s="395"/>
      <c r="AN379" s="529"/>
      <c r="AO379" s="394"/>
      <c r="AP379" s="430"/>
      <c r="AQ379" s="395"/>
      <c r="AR379" s="529"/>
      <c r="AS379" s="542"/>
      <c r="AT379" s="542"/>
    </row>
    <row r="380">
      <c r="A380" s="394"/>
      <c r="B380" s="430"/>
      <c r="C380" s="395"/>
      <c r="D380" s="529"/>
      <c r="E380" s="394"/>
      <c r="F380" s="430"/>
      <c r="G380" s="395"/>
      <c r="H380" s="529"/>
      <c r="I380" s="394"/>
      <c r="J380" s="430"/>
      <c r="K380" s="395"/>
      <c r="L380" s="529"/>
      <c r="M380" s="394"/>
      <c r="N380" s="430"/>
      <c r="O380" s="395"/>
      <c r="P380" s="529"/>
      <c r="Q380" s="547"/>
      <c r="R380" s="548"/>
      <c r="S380" s="549"/>
      <c r="T380" s="541"/>
      <c r="U380" s="547"/>
      <c r="V380" s="548"/>
      <c r="W380" s="549"/>
      <c r="X380" s="541"/>
      <c r="Y380" s="547"/>
      <c r="Z380" s="548"/>
      <c r="AA380" s="549"/>
      <c r="AB380" s="541"/>
      <c r="AC380" s="547"/>
      <c r="AD380" s="548"/>
      <c r="AE380" s="549"/>
      <c r="AF380" s="541"/>
      <c r="AG380" s="366"/>
      <c r="AH380" s="366"/>
      <c r="AI380" s="366"/>
      <c r="AJ380" s="366"/>
      <c r="AK380" s="394"/>
      <c r="AL380" s="430"/>
      <c r="AM380" s="395"/>
      <c r="AN380" s="529"/>
      <c r="AO380" s="394"/>
      <c r="AP380" s="430"/>
      <c r="AQ380" s="395"/>
      <c r="AR380" s="529"/>
      <c r="AS380" s="542"/>
      <c r="AT380" s="542"/>
    </row>
    <row r="381">
      <c r="A381" s="394"/>
      <c r="B381" s="430"/>
      <c r="C381" s="395"/>
      <c r="D381" s="529"/>
      <c r="E381" s="394"/>
      <c r="F381" s="430"/>
      <c r="G381" s="395"/>
      <c r="H381" s="529"/>
      <c r="I381" s="394"/>
      <c r="J381" s="430"/>
      <c r="K381" s="395"/>
      <c r="L381" s="529"/>
      <c r="M381" s="394"/>
      <c r="N381" s="430"/>
      <c r="O381" s="395"/>
      <c r="P381" s="529"/>
      <c r="Q381" s="547"/>
      <c r="R381" s="548"/>
      <c r="S381" s="549"/>
      <c r="T381" s="541"/>
      <c r="U381" s="547"/>
      <c r="V381" s="548"/>
      <c r="W381" s="549"/>
      <c r="X381" s="541"/>
      <c r="Y381" s="547"/>
      <c r="Z381" s="548"/>
      <c r="AA381" s="549"/>
      <c r="AB381" s="541"/>
      <c r="AC381" s="547"/>
      <c r="AD381" s="548"/>
      <c r="AE381" s="549"/>
      <c r="AF381" s="541"/>
      <c r="AG381" s="366"/>
      <c r="AH381" s="366"/>
      <c r="AI381" s="366"/>
      <c r="AJ381" s="366"/>
      <c r="AK381" s="394"/>
      <c r="AL381" s="430"/>
      <c r="AM381" s="395"/>
      <c r="AN381" s="529"/>
      <c r="AO381" s="394"/>
      <c r="AP381" s="430"/>
      <c r="AQ381" s="395"/>
      <c r="AR381" s="529"/>
      <c r="AS381" s="542"/>
      <c r="AT381" s="542"/>
    </row>
    <row r="382">
      <c r="A382" s="394"/>
      <c r="B382" s="430"/>
      <c r="C382" s="395"/>
      <c r="D382" s="529"/>
      <c r="E382" s="394"/>
      <c r="F382" s="430"/>
      <c r="G382" s="395"/>
      <c r="H382" s="529"/>
      <c r="I382" s="394"/>
      <c r="J382" s="430"/>
      <c r="K382" s="395"/>
      <c r="L382" s="529"/>
      <c r="M382" s="394"/>
      <c r="N382" s="430"/>
      <c r="O382" s="395"/>
      <c r="P382" s="529"/>
      <c r="Q382" s="547"/>
      <c r="R382" s="548"/>
      <c r="S382" s="549"/>
      <c r="T382" s="541"/>
      <c r="U382" s="547"/>
      <c r="V382" s="548"/>
      <c r="W382" s="549"/>
      <c r="X382" s="541"/>
      <c r="Y382" s="547"/>
      <c r="Z382" s="548"/>
      <c r="AA382" s="549"/>
      <c r="AB382" s="541"/>
      <c r="AC382" s="547"/>
      <c r="AD382" s="548"/>
      <c r="AE382" s="549"/>
      <c r="AF382" s="541"/>
      <c r="AG382" s="366"/>
      <c r="AH382" s="366"/>
      <c r="AI382" s="366"/>
      <c r="AJ382" s="366"/>
      <c r="AK382" s="394"/>
      <c r="AL382" s="430"/>
      <c r="AM382" s="395"/>
      <c r="AN382" s="529"/>
      <c r="AO382" s="394"/>
      <c r="AP382" s="430"/>
      <c r="AQ382" s="395"/>
      <c r="AR382" s="529"/>
      <c r="AS382" s="542"/>
      <c r="AT382" s="542"/>
    </row>
    <row r="383">
      <c r="A383" s="394"/>
      <c r="B383" s="430"/>
      <c r="C383" s="395"/>
      <c r="D383" s="529"/>
      <c r="E383" s="394"/>
      <c r="F383" s="430"/>
      <c r="G383" s="395"/>
      <c r="H383" s="529"/>
      <c r="I383" s="394"/>
      <c r="J383" s="430"/>
      <c r="K383" s="395"/>
      <c r="L383" s="529"/>
      <c r="M383" s="394"/>
      <c r="N383" s="430"/>
      <c r="O383" s="395"/>
      <c r="P383" s="529"/>
      <c r="Q383" s="547"/>
      <c r="R383" s="548"/>
      <c r="S383" s="549"/>
      <c r="T383" s="541"/>
      <c r="U383" s="547"/>
      <c r="V383" s="548"/>
      <c r="W383" s="549"/>
      <c r="X383" s="541"/>
      <c r="Y383" s="547"/>
      <c r="Z383" s="548"/>
      <c r="AA383" s="549"/>
      <c r="AB383" s="541"/>
      <c r="AC383" s="547"/>
      <c r="AD383" s="548"/>
      <c r="AE383" s="549"/>
      <c r="AF383" s="541"/>
      <c r="AG383" s="366"/>
      <c r="AH383" s="366"/>
      <c r="AI383" s="366"/>
      <c r="AJ383" s="366"/>
      <c r="AK383" s="394"/>
      <c r="AL383" s="430"/>
      <c r="AM383" s="395"/>
      <c r="AN383" s="529"/>
      <c r="AO383" s="394"/>
      <c r="AP383" s="430"/>
      <c r="AQ383" s="395"/>
      <c r="AR383" s="529"/>
      <c r="AS383" s="542"/>
      <c r="AT383" s="542"/>
    </row>
    <row r="384">
      <c r="A384" s="394"/>
      <c r="B384" s="430"/>
      <c r="C384" s="395"/>
      <c r="D384" s="529"/>
      <c r="E384" s="394"/>
      <c r="F384" s="430"/>
      <c r="G384" s="395"/>
      <c r="H384" s="529"/>
      <c r="I384" s="394"/>
      <c r="J384" s="430"/>
      <c r="K384" s="395"/>
      <c r="L384" s="529"/>
      <c r="M384" s="394"/>
      <c r="N384" s="430"/>
      <c r="O384" s="395"/>
      <c r="P384" s="529"/>
      <c r="Q384" s="547"/>
      <c r="R384" s="548"/>
      <c r="S384" s="549"/>
      <c r="T384" s="541"/>
      <c r="U384" s="547"/>
      <c r="V384" s="548"/>
      <c r="W384" s="549"/>
      <c r="X384" s="541"/>
      <c r="Y384" s="547"/>
      <c r="Z384" s="548"/>
      <c r="AA384" s="549"/>
      <c r="AB384" s="541"/>
      <c r="AC384" s="547"/>
      <c r="AD384" s="548"/>
      <c r="AE384" s="549"/>
      <c r="AF384" s="541"/>
      <c r="AG384" s="366"/>
      <c r="AH384" s="366"/>
      <c r="AI384" s="366"/>
      <c r="AJ384" s="366"/>
      <c r="AK384" s="394"/>
      <c r="AL384" s="430"/>
      <c r="AM384" s="395"/>
      <c r="AN384" s="529"/>
      <c r="AO384" s="394"/>
      <c r="AP384" s="430"/>
      <c r="AQ384" s="395"/>
      <c r="AR384" s="529"/>
      <c r="AS384" s="542"/>
      <c r="AT384" s="542"/>
    </row>
    <row r="385">
      <c r="A385" s="394"/>
      <c r="B385" s="430"/>
      <c r="C385" s="395"/>
      <c r="D385" s="529"/>
      <c r="E385" s="394"/>
      <c r="F385" s="430"/>
      <c r="G385" s="395"/>
      <c r="H385" s="529"/>
      <c r="I385" s="394"/>
      <c r="J385" s="430"/>
      <c r="K385" s="395"/>
      <c r="L385" s="529"/>
      <c r="M385" s="394"/>
      <c r="N385" s="430"/>
      <c r="O385" s="395"/>
      <c r="P385" s="529"/>
      <c r="Q385" s="547"/>
      <c r="R385" s="548"/>
      <c r="S385" s="549"/>
      <c r="T385" s="541"/>
      <c r="U385" s="547"/>
      <c r="V385" s="548"/>
      <c r="W385" s="549"/>
      <c r="X385" s="541"/>
      <c r="Y385" s="547"/>
      <c r="Z385" s="548"/>
      <c r="AA385" s="549"/>
      <c r="AB385" s="541"/>
      <c r="AC385" s="547"/>
      <c r="AD385" s="548"/>
      <c r="AE385" s="549"/>
      <c r="AF385" s="541"/>
      <c r="AG385" s="366"/>
      <c r="AH385" s="366"/>
      <c r="AI385" s="366"/>
      <c r="AJ385" s="366"/>
      <c r="AK385" s="394"/>
      <c r="AL385" s="430"/>
      <c r="AM385" s="395"/>
      <c r="AN385" s="529"/>
      <c r="AO385" s="394"/>
      <c r="AP385" s="430"/>
      <c r="AQ385" s="395"/>
      <c r="AR385" s="529"/>
      <c r="AS385" s="542"/>
      <c r="AT385" s="542"/>
    </row>
    <row r="386">
      <c r="A386" s="394"/>
      <c r="B386" s="430"/>
      <c r="C386" s="395"/>
      <c r="D386" s="529"/>
      <c r="E386" s="394"/>
      <c r="F386" s="430"/>
      <c r="G386" s="395"/>
      <c r="H386" s="529"/>
      <c r="I386" s="394"/>
      <c r="J386" s="430"/>
      <c r="K386" s="395"/>
      <c r="L386" s="529"/>
      <c r="M386" s="394"/>
      <c r="N386" s="430"/>
      <c r="O386" s="395"/>
      <c r="P386" s="529"/>
      <c r="Q386" s="547"/>
      <c r="R386" s="548"/>
      <c r="S386" s="549"/>
      <c r="T386" s="541"/>
      <c r="U386" s="547"/>
      <c r="V386" s="548"/>
      <c r="W386" s="549"/>
      <c r="X386" s="541"/>
      <c r="Y386" s="547"/>
      <c r="Z386" s="548"/>
      <c r="AA386" s="549"/>
      <c r="AB386" s="541"/>
      <c r="AC386" s="547"/>
      <c r="AD386" s="548"/>
      <c r="AE386" s="549"/>
      <c r="AF386" s="541"/>
      <c r="AG386" s="366"/>
      <c r="AH386" s="366"/>
      <c r="AI386" s="366"/>
      <c r="AJ386" s="366"/>
      <c r="AK386" s="394"/>
      <c r="AL386" s="430"/>
      <c r="AM386" s="395"/>
      <c r="AN386" s="529"/>
      <c r="AO386" s="394"/>
      <c r="AP386" s="430"/>
      <c r="AQ386" s="395"/>
      <c r="AR386" s="529"/>
      <c r="AS386" s="542"/>
      <c r="AT386" s="542"/>
    </row>
    <row r="387">
      <c r="A387" s="394"/>
      <c r="B387" s="430"/>
      <c r="C387" s="395"/>
      <c r="D387" s="529"/>
      <c r="E387" s="394"/>
      <c r="F387" s="430"/>
      <c r="G387" s="395"/>
      <c r="H387" s="529"/>
      <c r="I387" s="394"/>
      <c r="J387" s="430"/>
      <c r="K387" s="395"/>
      <c r="L387" s="529"/>
      <c r="M387" s="394"/>
      <c r="N387" s="430"/>
      <c r="O387" s="395"/>
      <c r="P387" s="529"/>
      <c r="Q387" s="547"/>
      <c r="R387" s="548"/>
      <c r="S387" s="549"/>
      <c r="T387" s="541"/>
      <c r="U387" s="547"/>
      <c r="V387" s="548"/>
      <c r="W387" s="549"/>
      <c r="X387" s="541"/>
      <c r="Y387" s="547"/>
      <c r="Z387" s="548"/>
      <c r="AA387" s="549"/>
      <c r="AB387" s="541"/>
      <c r="AC387" s="547"/>
      <c r="AD387" s="548"/>
      <c r="AE387" s="549"/>
      <c r="AF387" s="541"/>
      <c r="AG387" s="366"/>
      <c r="AH387" s="366"/>
      <c r="AI387" s="366"/>
      <c r="AJ387" s="366"/>
      <c r="AK387" s="394"/>
      <c r="AL387" s="430"/>
      <c r="AM387" s="395"/>
      <c r="AN387" s="529"/>
      <c r="AO387" s="394"/>
      <c r="AP387" s="430"/>
      <c r="AQ387" s="395"/>
      <c r="AR387" s="529"/>
      <c r="AS387" s="542"/>
      <c r="AT387" s="542"/>
    </row>
    <row r="388">
      <c r="A388" s="394"/>
      <c r="B388" s="430"/>
      <c r="C388" s="395"/>
      <c r="D388" s="529"/>
      <c r="E388" s="394"/>
      <c r="F388" s="430"/>
      <c r="G388" s="395"/>
      <c r="H388" s="529"/>
      <c r="I388" s="394"/>
      <c r="J388" s="430"/>
      <c r="K388" s="395"/>
      <c r="L388" s="529"/>
      <c r="M388" s="394"/>
      <c r="N388" s="430"/>
      <c r="O388" s="395"/>
      <c r="P388" s="529"/>
      <c r="Q388" s="547"/>
      <c r="R388" s="548"/>
      <c r="S388" s="549"/>
      <c r="T388" s="541"/>
      <c r="U388" s="547"/>
      <c r="V388" s="548"/>
      <c r="W388" s="549"/>
      <c r="X388" s="541"/>
      <c r="Y388" s="547"/>
      <c r="Z388" s="548"/>
      <c r="AA388" s="549"/>
      <c r="AB388" s="541"/>
      <c r="AC388" s="547"/>
      <c r="AD388" s="548"/>
      <c r="AE388" s="549"/>
      <c r="AF388" s="541"/>
      <c r="AG388" s="366"/>
      <c r="AH388" s="366"/>
      <c r="AI388" s="366"/>
      <c r="AJ388" s="366"/>
      <c r="AK388" s="394"/>
      <c r="AL388" s="430"/>
      <c r="AM388" s="395"/>
      <c r="AN388" s="529"/>
      <c r="AO388" s="394"/>
      <c r="AP388" s="430"/>
      <c r="AQ388" s="395"/>
      <c r="AR388" s="529"/>
      <c r="AS388" s="542"/>
      <c r="AT388" s="542"/>
    </row>
    <row r="389">
      <c r="A389" s="394"/>
      <c r="B389" s="430"/>
      <c r="C389" s="395"/>
      <c r="D389" s="529"/>
      <c r="E389" s="394"/>
      <c r="F389" s="430"/>
      <c r="G389" s="395"/>
      <c r="H389" s="529"/>
      <c r="I389" s="394"/>
      <c r="J389" s="430"/>
      <c r="K389" s="395"/>
      <c r="L389" s="529"/>
      <c r="M389" s="394"/>
      <c r="N389" s="430"/>
      <c r="O389" s="395"/>
      <c r="P389" s="529"/>
      <c r="Q389" s="547"/>
      <c r="R389" s="548"/>
      <c r="S389" s="549"/>
      <c r="T389" s="541"/>
      <c r="U389" s="547"/>
      <c r="V389" s="548"/>
      <c r="W389" s="549"/>
      <c r="X389" s="541"/>
      <c r="Y389" s="547"/>
      <c r="Z389" s="548"/>
      <c r="AA389" s="549"/>
      <c r="AB389" s="541"/>
      <c r="AC389" s="547"/>
      <c r="AD389" s="548"/>
      <c r="AE389" s="549"/>
      <c r="AF389" s="541"/>
      <c r="AG389" s="366"/>
      <c r="AH389" s="366"/>
      <c r="AI389" s="366"/>
      <c r="AJ389" s="366"/>
      <c r="AK389" s="394"/>
      <c r="AL389" s="430"/>
      <c r="AM389" s="395"/>
      <c r="AN389" s="529"/>
      <c r="AO389" s="394"/>
      <c r="AP389" s="430"/>
      <c r="AQ389" s="395"/>
      <c r="AR389" s="529"/>
      <c r="AS389" s="542"/>
      <c r="AT389" s="542"/>
    </row>
    <row r="390">
      <c r="A390" s="394"/>
      <c r="B390" s="430"/>
      <c r="C390" s="395"/>
      <c r="D390" s="529"/>
      <c r="E390" s="394"/>
      <c r="F390" s="430"/>
      <c r="G390" s="395"/>
      <c r="H390" s="529"/>
      <c r="I390" s="394"/>
      <c r="J390" s="430"/>
      <c r="K390" s="395"/>
      <c r="L390" s="529"/>
      <c r="M390" s="394"/>
      <c r="N390" s="430"/>
      <c r="O390" s="395"/>
      <c r="P390" s="529"/>
      <c r="Q390" s="547"/>
      <c r="R390" s="548"/>
      <c r="S390" s="549"/>
      <c r="T390" s="541"/>
      <c r="U390" s="547"/>
      <c r="V390" s="548"/>
      <c r="W390" s="549"/>
      <c r="X390" s="541"/>
      <c r="Y390" s="547"/>
      <c r="Z390" s="548"/>
      <c r="AA390" s="549"/>
      <c r="AB390" s="541"/>
      <c r="AC390" s="547"/>
      <c r="AD390" s="548"/>
      <c r="AE390" s="549"/>
      <c r="AF390" s="541"/>
      <c r="AG390" s="366"/>
      <c r="AH390" s="366"/>
      <c r="AI390" s="366"/>
      <c r="AJ390" s="366"/>
      <c r="AK390" s="394"/>
      <c r="AL390" s="430"/>
      <c r="AM390" s="395"/>
      <c r="AN390" s="529"/>
      <c r="AO390" s="394"/>
      <c r="AP390" s="430"/>
      <c r="AQ390" s="395"/>
      <c r="AR390" s="529"/>
      <c r="AS390" s="542"/>
      <c r="AT390" s="542"/>
    </row>
    <row r="391">
      <c r="A391" s="394"/>
      <c r="B391" s="430"/>
      <c r="C391" s="395"/>
      <c r="D391" s="529"/>
      <c r="E391" s="394"/>
      <c r="F391" s="430"/>
      <c r="G391" s="395"/>
      <c r="H391" s="529"/>
      <c r="I391" s="394"/>
      <c r="J391" s="430"/>
      <c r="K391" s="395"/>
      <c r="L391" s="529"/>
      <c r="M391" s="394"/>
      <c r="N391" s="430"/>
      <c r="O391" s="395"/>
      <c r="P391" s="529"/>
      <c r="Q391" s="547"/>
      <c r="R391" s="548"/>
      <c r="S391" s="549"/>
      <c r="T391" s="541"/>
      <c r="U391" s="547"/>
      <c r="V391" s="548"/>
      <c r="W391" s="549"/>
      <c r="X391" s="541"/>
      <c r="Y391" s="547"/>
      <c r="Z391" s="548"/>
      <c r="AA391" s="549"/>
      <c r="AB391" s="541"/>
      <c r="AC391" s="547"/>
      <c r="AD391" s="548"/>
      <c r="AE391" s="549"/>
      <c r="AF391" s="541"/>
      <c r="AG391" s="366"/>
      <c r="AH391" s="366"/>
      <c r="AI391" s="366"/>
      <c r="AJ391" s="366"/>
      <c r="AK391" s="394"/>
      <c r="AL391" s="430"/>
      <c r="AM391" s="395"/>
      <c r="AN391" s="529"/>
      <c r="AO391" s="394"/>
      <c r="AP391" s="430"/>
      <c r="AQ391" s="395"/>
      <c r="AR391" s="529"/>
      <c r="AS391" s="542"/>
      <c r="AT391" s="542"/>
    </row>
    <row r="392">
      <c r="A392" s="394"/>
      <c r="B392" s="430"/>
      <c r="C392" s="395"/>
      <c r="D392" s="529"/>
      <c r="E392" s="394"/>
      <c r="F392" s="430"/>
      <c r="G392" s="395"/>
      <c r="H392" s="529"/>
      <c r="I392" s="394"/>
      <c r="J392" s="430"/>
      <c r="K392" s="395"/>
      <c r="L392" s="529"/>
      <c r="M392" s="394"/>
      <c r="N392" s="430"/>
      <c r="O392" s="395"/>
      <c r="P392" s="529"/>
      <c r="Q392" s="547"/>
      <c r="R392" s="548"/>
      <c r="S392" s="549"/>
      <c r="T392" s="541"/>
      <c r="U392" s="547"/>
      <c r="V392" s="548"/>
      <c r="W392" s="549"/>
      <c r="X392" s="541"/>
      <c r="Y392" s="547"/>
      <c r="Z392" s="548"/>
      <c r="AA392" s="549"/>
      <c r="AB392" s="541"/>
      <c r="AC392" s="547"/>
      <c r="AD392" s="548"/>
      <c r="AE392" s="549"/>
      <c r="AF392" s="541"/>
      <c r="AG392" s="366"/>
      <c r="AH392" s="366"/>
      <c r="AI392" s="366"/>
      <c r="AJ392" s="366"/>
      <c r="AK392" s="394"/>
      <c r="AL392" s="430"/>
      <c r="AM392" s="395"/>
      <c r="AN392" s="529"/>
      <c r="AO392" s="394"/>
      <c r="AP392" s="430"/>
      <c r="AQ392" s="395"/>
      <c r="AR392" s="529"/>
      <c r="AS392" s="542"/>
      <c r="AT392" s="542"/>
    </row>
    <row r="393">
      <c r="A393" s="394"/>
      <c r="B393" s="430"/>
      <c r="C393" s="395"/>
      <c r="D393" s="529"/>
      <c r="E393" s="394"/>
      <c r="F393" s="430"/>
      <c r="G393" s="395"/>
      <c r="H393" s="529"/>
      <c r="I393" s="394"/>
      <c r="J393" s="430"/>
      <c r="K393" s="395"/>
      <c r="L393" s="529"/>
      <c r="M393" s="394"/>
      <c r="N393" s="430"/>
      <c r="O393" s="395"/>
      <c r="P393" s="529"/>
      <c r="Q393" s="547"/>
      <c r="R393" s="548"/>
      <c r="S393" s="549"/>
      <c r="T393" s="541"/>
      <c r="U393" s="547"/>
      <c r="V393" s="548"/>
      <c r="W393" s="549"/>
      <c r="X393" s="541"/>
      <c r="Y393" s="547"/>
      <c r="Z393" s="548"/>
      <c r="AA393" s="549"/>
      <c r="AB393" s="541"/>
      <c r="AC393" s="547"/>
      <c r="AD393" s="548"/>
      <c r="AE393" s="549"/>
      <c r="AF393" s="541"/>
      <c r="AG393" s="366"/>
      <c r="AH393" s="366"/>
      <c r="AI393" s="366"/>
      <c r="AJ393" s="366"/>
      <c r="AK393" s="394"/>
      <c r="AL393" s="430"/>
      <c r="AM393" s="395"/>
      <c r="AN393" s="529"/>
      <c r="AO393" s="394"/>
      <c r="AP393" s="430"/>
      <c r="AQ393" s="395"/>
      <c r="AR393" s="529"/>
      <c r="AS393" s="542"/>
      <c r="AT393" s="542"/>
    </row>
    <row r="394">
      <c r="A394" s="394"/>
      <c r="B394" s="430"/>
      <c r="C394" s="395"/>
      <c r="D394" s="529"/>
      <c r="E394" s="394"/>
      <c r="F394" s="430"/>
      <c r="G394" s="395"/>
      <c r="H394" s="529"/>
      <c r="I394" s="394"/>
      <c r="J394" s="430"/>
      <c r="K394" s="395"/>
      <c r="L394" s="529"/>
      <c r="M394" s="394"/>
      <c r="N394" s="430"/>
      <c r="O394" s="395"/>
      <c r="P394" s="529"/>
      <c r="Q394" s="547"/>
      <c r="R394" s="548"/>
      <c r="S394" s="549"/>
      <c r="T394" s="541"/>
      <c r="U394" s="547"/>
      <c r="V394" s="548"/>
      <c r="W394" s="549"/>
      <c r="X394" s="541"/>
      <c r="Y394" s="547"/>
      <c r="Z394" s="548"/>
      <c r="AA394" s="549"/>
      <c r="AB394" s="541"/>
      <c r="AC394" s="547"/>
      <c r="AD394" s="548"/>
      <c r="AE394" s="549"/>
      <c r="AF394" s="541"/>
      <c r="AG394" s="366"/>
      <c r="AH394" s="366"/>
      <c r="AI394" s="366"/>
      <c r="AJ394" s="366"/>
      <c r="AK394" s="394"/>
      <c r="AL394" s="430"/>
      <c r="AM394" s="395"/>
      <c r="AN394" s="529"/>
      <c r="AO394" s="394"/>
      <c r="AP394" s="430"/>
      <c r="AQ394" s="395"/>
      <c r="AR394" s="529"/>
      <c r="AS394" s="542"/>
      <c r="AT394" s="542"/>
    </row>
    <row r="395">
      <c r="A395" s="394"/>
      <c r="B395" s="430"/>
      <c r="C395" s="395"/>
      <c r="D395" s="529"/>
      <c r="E395" s="394"/>
      <c r="F395" s="430"/>
      <c r="G395" s="395"/>
      <c r="H395" s="529"/>
      <c r="I395" s="394"/>
      <c r="J395" s="430"/>
      <c r="K395" s="395"/>
      <c r="L395" s="529"/>
      <c r="M395" s="394"/>
      <c r="N395" s="430"/>
      <c r="O395" s="395"/>
      <c r="P395" s="529"/>
      <c r="Q395" s="547"/>
      <c r="R395" s="548"/>
      <c r="S395" s="549"/>
      <c r="T395" s="541"/>
      <c r="U395" s="547"/>
      <c r="V395" s="548"/>
      <c r="W395" s="549"/>
      <c r="X395" s="541"/>
      <c r="Y395" s="547"/>
      <c r="Z395" s="548"/>
      <c r="AA395" s="549"/>
      <c r="AB395" s="541"/>
      <c r="AC395" s="547"/>
      <c r="AD395" s="548"/>
      <c r="AE395" s="549"/>
      <c r="AF395" s="541"/>
      <c r="AG395" s="366"/>
      <c r="AH395" s="366"/>
      <c r="AI395" s="366"/>
      <c r="AJ395" s="366"/>
      <c r="AK395" s="394"/>
      <c r="AL395" s="430"/>
      <c r="AM395" s="395"/>
      <c r="AN395" s="529"/>
      <c r="AO395" s="394"/>
      <c r="AP395" s="430"/>
      <c r="AQ395" s="395"/>
      <c r="AR395" s="529"/>
      <c r="AS395" s="542"/>
      <c r="AT395" s="542"/>
    </row>
    <row r="396">
      <c r="A396" s="394"/>
      <c r="B396" s="430"/>
      <c r="C396" s="395"/>
      <c r="D396" s="529"/>
      <c r="E396" s="394"/>
      <c r="F396" s="430"/>
      <c r="G396" s="395"/>
      <c r="H396" s="529"/>
      <c r="I396" s="394"/>
      <c r="J396" s="430"/>
      <c r="K396" s="395"/>
      <c r="L396" s="529"/>
      <c r="M396" s="394"/>
      <c r="N396" s="430"/>
      <c r="O396" s="395"/>
      <c r="P396" s="529"/>
      <c r="Q396" s="547"/>
      <c r="R396" s="548"/>
      <c r="S396" s="549"/>
      <c r="T396" s="541"/>
      <c r="U396" s="547"/>
      <c r="V396" s="548"/>
      <c r="W396" s="549"/>
      <c r="X396" s="541"/>
      <c r="Y396" s="547"/>
      <c r="Z396" s="548"/>
      <c r="AA396" s="549"/>
      <c r="AB396" s="541"/>
      <c r="AC396" s="547"/>
      <c r="AD396" s="548"/>
      <c r="AE396" s="549"/>
      <c r="AF396" s="541"/>
      <c r="AG396" s="366"/>
      <c r="AH396" s="366"/>
      <c r="AI396" s="366"/>
      <c r="AJ396" s="366"/>
      <c r="AK396" s="394"/>
      <c r="AL396" s="430"/>
      <c r="AM396" s="395"/>
      <c r="AN396" s="529"/>
      <c r="AO396" s="394"/>
      <c r="AP396" s="430"/>
      <c r="AQ396" s="395"/>
      <c r="AR396" s="529"/>
      <c r="AS396" s="542"/>
      <c r="AT396" s="542"/>
    </row>
    <row r="397">
      <c r="A397" s="394"/>
      <c r="B397" s="430"/>
      <c r="C397" s="395"/>
      <c r="D397" s="529"/>
      <c r="E397" s="394"/>
      <c r="F397" s="430"/>
      <c r="G397" s="395"/>
      <c r="H397" s="529"/>
      <c r="I397" s="394"/>
      <c r="J397" s="430"/>
      <c r="K397" s="395"/>
      <c r="L397" s="529"/>
      <c r="M397" s="394"/>
      <c r="N397" s="430"/>
      <c r="O397" s="395"/>
      <c r="P397" s="529"/>
      <c r="Q397" s="547"/>
      <c r="R397" s="548"/>
      <c r="S397" s="549"/>
      <c r="T397" s="541"/>
      <c r="U397" s="547"/>
      <c r="V397" s="548"/>
      <c r="W397" s="549"/>
      <c r="X397" s="541"/>
      <c r="Y397" s="547"/>
      <c r="Z397" s="548"/>
      <c r="AA397" s="549"/>
      <c r="AB397" s="541"/>
      <c r="AC397" s="547"/>
      <c r="AD397" s="548"/>
      <c r="AE397" s="549"/>
      <c r="AF397" s="541"/>
      <c r="AG397" s="366"/>
      <c r="AH397" s="366"/>
      <c r="AI397" s="366"/>
      <c r="AJ397" s="366"/>
      <c r="AK397" s="394"/>
      <c r="AL397" s="430"/>
      <c r="AM397" s="395"/>
      <c r="AN397" s="529"/>
      <c r="AO397" s="394"/>
      <c r="AP397" s="430"/>
      <c r="AQ397" s="395"/>
      <c r="AR397" s="529"/>
      <c r="AS397" s="542"/>
      <c r="AT397" s="542"/>
    </row>
    <row r="398">
      <c r="A398" s="394"/>
      <c r="B398" s="430"/>
      <c r="C398" s="395"/>
      <c r="D398" s="529"/>
      <c r="E398" s="394"/>
      <c r="F398" s="430"/>
      <c r="G398" s="395"/>
      <c r="H398" s="529"/>
      <c r="I398" s="394"/>
      <c r="J398" s="430"/>
      <c r="K398" s="395"/>
      <c r="L398" s="529"/>
      <c r="M398" s="394"/>
      <c r="N398" s="430"/>
      <c r="O398" s="395"/>
      <c r="P398" s="529"/>
      <c r="Q398" s="547"/>
      <c r="R398" s="548"/>
      <c r="S398" s="549"/>
      <c r="T398" s="541"/>
      <c r="U398" s="547"/>
      <c r="V398" s="548"/>
      <c r="W398" s="549"/>
      <c r="X398" s="541"/>
      <c r="Y398" s="547"/>
      <c r="Z398" s="548"/>
      <c r="AA398" s="549"/>
      <c r="AB398" s="541"/>
      <c r="AC398" s="547"/>
      <c r="AD398" s="548"/>
      <c r="AE398" s="549"/>
      <c r="AF398" s="541"/>
      <c r="AG398" s="366"/>
      <c r="AH398" s="366"/>
      <c r="AI398" s="366"/>
      <c r="AJ398" s="366"/>
      <c r="AK398" s="394"/>
      <c r="AL398" s="430"/>
      <c r="AM398" s="395"/>
      <c r="AN398" s="529"/>
      <c r="AO398" s="394"/>
      <c r="AP398" s="430"/>
      <c r="AQ398" s="395"/>
      <c r="AR398" s="529"/>
      <c r="AS398" s="542"/>
      <c r="AT398" s="542"/>
    </row>
    <row r="399">
      <c r="A399" s="394"/>
      <c r="B399" s="430"/>
      <c r="C399" s="395"/>
      <c r="D399" s="529"/>
      <c r="E399" s="394"/>
      <c r="F399" s="430"/>
      <c r="G399" s="395"/>
      <c r="H399" s="529"/>
      <c r="I399" s="394"/>
      <c r="J399" s="430"/>
      <c r="K399" s="395"/>
      <c r="L399" s="529"/>
      <c r="M399" s="394"/>
      <c r="N399" s="430"/>
      <c r="O399" s="395"/>
      <c r="P399" s="529"/>
      <c r="Q399" s="547"/>
      <c r="R399" s="548"/>
      <c r="S399" s="549"/>
      <c r="T399" s="541"/>
      <c r="U399" s="547"/>
      <c r="V399" s="548"/>
      <c r="W399" s="549"/>
      <c r="X399" s="541"/>
      <c r="Y399" s="547"/>
      <c r="Z399" s="548"/>
      <c r="AA399" s="549"/>
      <c r="AB399" s="541"/>
      <c r="AC399" s="547"/>
      <c r="AD399" s="548"/>
      <c r="AE399" s="549"/>
      <c r="AF399" s="541"/>
      <c r="AG399" s="366"/>
      <c r="AH399" s="366"/>
      <c r="AI399" s="366"/>
      <c r="AJ399" s="366"/>
      <c r="AK399" s="394"/>
      <c r="AL399" s="430"/>
      <c r="AM399" s="395"/>
      <c r="AN399" s="529"/>
      <c r="AO399" s="394"/>
      <c r="AP399" s="430"/>
      <c r="AQ399" s="395"/>
      <c r="AR399" s="529"/>
      <c r="AS399" s="542"/>
      <c r="AT399" s="542"/>
    </row>
    <row r="400">
      <c r="A400" s="394"/>
      <c r="B400" s="430"/>
      <c r="C400" s="395"/>
      <c r="D400" s="529"/>
      <c r="E400" s="394"/>
      <c r="F400" s="430"/>
      <c r="G400" s="395"/>
      <c r="H400" s="529"/>
      <c r="I400" s="394"/>
      <c r="J400" s="430"/>
      <c r="K400" s="395"/>
      <c r="L400" s="529"/>
      <c r="M400" s="394"/>
      <c r="N400" s="430"/>
      <c r="O400" s="395"/>
      <c r="P400" s="529"/>
      <c r="Q400" s="547"/>
      <c r="R400" s="548"/>
      <c r="S400" s="549"/>
      <c r="T400" s="541"/>
      <c r="U400" s="547"/>
      <c r="V400" s="548"/>
      <c r="W400" s="549"/>
      <c r="X400" s="541"/>
      <c r="Y400" s="547"/>
      <c r="Z400" s="548"/>
      <c r="AA400" s="549"/>
      <c r="AB400" s="541"/>
      <c r="AC400" s="547"/>
      <c r="AD400" s="548"/>
      <c r="AE400" s="549"/>
      <c r="AF400" s="541"/>
      <c r="AG400" s="366"/>
      <c r="AH400" s="366"/>
      <c r="AI400" s="366"/>
      <c r="AJ400" s="366"/>
      <c r="AK400" s="394"/>
      <c r="AL400" s="430"/>
      <c r="AM400" s="395"/>
      <c r="AN400" s="529"/>
      <c r="AO400" s="394"/>
      <c r="AP400" s="430"/>
      <c r="AQ400" s="395"/>
      <c r="AR400" s="529"/>
      <c r="AS400" s="542"/>
      <c r="AT400" s="542"/>
    </row>
    <row r="401">
      <c r="A401" s="394"/>
      <c r="B401" s="430"/>
      <c r="C401" s="395"/>
      <c r="D401" s="529"/>
      <c r="E401" s="394"/>
      <c r="F401" s="430"/>
      <c r="G401" s="395"/>
      <c r="H401" s="529"/>
      <c r="I401" s="394"/>
      <c r="J401" s="430"/>
      <c r="K401" s="395"/>
      <c r="L401" s="529"/>
      <c r="M401" s="394"/>
      <c r="N401" s="430"/>
      <c r="O401" s="395"/>
      <c r="P401" s="529"/>
      <c r="Q401" s="547"/>
      <c r="R401" s="548"/>
      <c r="S401" s="549"/>
      <c r="T401" s="541"/>
      <c r="U401" s="547"/>
      <c r="V401" s="548"/>
      <c r="W401" s="549"/>
      <c r="X401" s="541"/>
      <c r="Y401" s="547"/>
      <c r="Z401" s="548"/>
      <c r="AA401" s="549"/>
      <c r="AB401" s="541"/>
      <c r="AC401" s="547"/>
      <c r="AD401" s="548"/>
      <c r="AE401" s="549"/>
      <c r="AF401" s="541"/>
      <c r="AG401" s="366"/>
      <c r="AH401" s="366"/>
      <c r="AI401" s="366"/>
      <c r="AJ401" s="366"/>
      <c r="AK401" s="394"/>
      <c r="AL401" s="430"/>
      <c r="AM401" s="395"/>
      <c r="AN401" s="529"/>
      <c r="AO401" s="394"/>
      <c r="AP401" s="430"/>
      <c r="AQ401" s="395"/>
      <c r="AR401" s="529"/>
      <c r="AS401" s="542"/>
      <c r="AT401" s="542"/>
    </row>
    <row r="402">
      <c r="A402" s="394"/>
      <c r="B402" s="430"/>
      <c r="C402" s="395"/>
      <c r="D402" s="529"/>
      <c r="E402" s="394"/>
      <c r="F402" s="430"/>
      <c r="G402" s="395"/>
      <c r="H402" s="529"/>
      <c r="I402" s="394"/>
      <c r="J402" s="430"/>
      <c r="K402" s="395"/>
      <c r="L402" s="529"/>
      <c r="M402" s="394"/>
      <c r="N402" s="430"/>
      <c r="O402" s="395"/>
      <c r="P402" s="529"/>
      <c r="Q402" s="547"/>
      <c r="R402" s="548"/>
      <c r="S402" s="549"/>
      <c r="T402" s="541"/>
      <c r="U402" s="547"/>
      <c r="V402" s="548"/>
      <c r="W402" s="549"/>
      <c r="X402" s="541"/>
      <c r="Y402" s="547"/>
      <c r="Z402" s="548"/>
      <c r="AA402" s="549"/>
      <c r="AB402" s="541"/>
      <c r="AC402" s="547"/>
      <c r="AD402" s="548"/>
      <c r="AE402" s="549"/>
      <c r="AF402" s="541"/>
      <c r="AG402" s="366"/>
      <c r="AH402" s="366"/>
      <c r="AI402" s="366"/>
      <c r="AJ402" s="366"/>
      <c r="AK402" s="394"/>
      <c r="AL402" s="430"/>
      <c r="AM402" s="395"/>
      <c r="AN402" s="529"/>
      <c r="AO402" s="394"/>
      <c r="AP402" s="430"/>
      <c r="AQ402" s="395"/>
      <c r="AR402" s="529"/>
      <c r="AS402" s="542"/>
      <c r="AT402" s="542"/>
    </row>
    <row r="403">
      <c r="A403" s="394"/>
      <c r="B403" s="430"/>
      <c r="C403" s="395"/>
      <c r="D403" s="529"/>
      <c r="E403" s="394"/>
      <c r="F403" s="430"/>
      <c r="G403" s="395"/>
      <c r="H403" s="529"/>
      <c r="I403" s="394"/>
      <c r="J403" s="430"/>
      <c r="K403" s="395"/>
      <c r="L403" s="529"/>
      <c r="M403" s="394"/>
      <c r="N403" s="430"/>
      <c r="O403" s="395"/>
      <c r="P403" s="529"/>
      <c r="Q403" s="547"/>
      <c r="R403" s="548"/>
      <c r="S403" s="549"/>
      <c r="T403" s="541"/>
      <c r="U403" s="547"/>
      <c r="V403" s="548"/>
      <c r="W403" s="549"/>
      <c r="X403" s="541"/>
      <c r="Y403" s="547"/>
      <c r="Z403" s="548"/>
      <c r="AA403" s="549"/>
      <c r="AB403" s="541"/>
      <c r="AC403" s="547"/>
      <c r="AD403" s="548"/>
      <c r="AE403" s="549"/>
      <c r="AF403" s="541"/>
      <c r="AG403" s="366"/>
      <c r="AH403" s="366"/>
      <c r="AI403" s="366"/>
      <c r="AJ403" s="366"/>
      <c r="AK403" s="394"/>
      <c r="AL403" s="430"/>
      <c r="AM403" s="395"/>
      <c r="AN403" s="529"/>
      <c r="AO403" s="394"/>
      <c r="AP403" s="430"/>
      <c r="AQ403" s="395"/>
      <c r="AR403" s="529"/>
      <c r="AS403" s="542"/>
      <c r="AT403" s="542"/>
    </row>
    <row r="404">
      <c r="A404" s="394"/>
      <c r="B404" s="430"/>
      <c r="C404" s="395"/>
      <c r="D404" s="529"/>
      <c r="E404" s="394"/>
      <c r="F404" s="430"/>
      <c r="G404" s="395"/>
      <c r="H404" s="529"/>
      <c r="I404" s="394"/>
      <c r="J404" s="430"/>
      <c r="K404" s="395"/>
      <c r="L404" s="529"/>
      <c r="M404" s="394"/>
      <c r="N404" s="430"/>
      <c r="O404" s="395"/>
      <c r="P404" s="529"/>
      <c r="Q404" s="547"/>
      <c r="R404" s="548"/>
      <c r="S404" s="549"/>
      <c r="T404" s="541"/>
      <c r="U404" s="547"/>
      <c r="V404" s="548"/>
      <c r="W404" s="549"/>
      <c r="X404" s="541"/>
      <c r="Y404" s="547"/>
      <c r="Z404" s="548"/>
      <c r="AA404" s="549"/>
      <c r="AB404" s="541"/>
      <c r="AC404" s="547"/>
      <c r="AD404" s="548"/>
      <c r="AE404" s="549"/>
      <c r="AF404" s="541"/>
      <c r="AG404" s="366"/>
      <c r="AH404" s="366"/>
      <c r="AI404" s="366"/>
      <c r="AJ404" s="366"/>
      <c r="AK404" s="394"/>
      <c r="AL404" s="430"/>
      <c r="AM404" s="395"/>
      <c r="AN404" s="529"/>
      <c r="AO404" s="394"/>
      <c r="AP404" s="430"/>
      <c r="AQ404" s="395"/>
      <c r="AR404" s="529"/>
      <c r="AS404" s="542"/>
      <c r="AT404" s="542"/>
    </row>
    <row r="405">
      <c r="A405" s="394"/>
      <c r="B405" s="430"/>
      <c r="C405" s="395"/>
      <c r="D405" s="529"/>
      <c r="E405" s="394"/>
      <c r="F405" s="430"/>
      <c r="G405" s="395"/>
      <c r="H405" s="529"/>
      <c r="I405" s="394"/>
      <c r="J405" s="430"/>
      <c r="K405" s="395"/>
      <c r="L405" s="529"/>
      <c r="M405" s="394"/>
      <c r="N405" s="430"/>
      <c r="O405" s="395"/>
      <c r="P405" s="529"/>
      <c r="Q405" s="547"/>
      <c r="R405" s="548"/>
      <c r="S405" s="549"/>
      <c r="T405" s="541"/>
      <c r="U405" s="547"/>
      <c r="V405" s="548"/>
      <c r="W405" s="549"/>
      <c r="X405" s="541"/>
      <c r="Y405" s="547"/>
      <c r="Z405" s="548"/>
      <c r="AA405" s="549"/>
      <c r="AB405" s="541"/>
      <c r="AC405" s="547"/>
      <c r="AD405" s="548"/>
      <c r="AE405" s="549"/>
      <c r="AF405" s="541"/>
      <c r="AG405" s="366"/>
      <c r="AH405" s="366"/>
      <c r="AI405" s="366"/>
      <c r="AJ405" s="366"/>
      <c r="AK405" s="394"/>
      <c r="AL405" s="430"/>
      <c r="AM405" s="395"/>
      <c r="AN405" s="529"/>
      <c r="AO405" s="394"/>
      <c r="AP405" s="430"/>
      <c r="AQ405" s="395"/>
      <c r="AR405" s="529"/>
      <c r="AS405" s="542"/>
      <c r="AT405" s="542"/>
    </row>
    <row r="406">
      <c r="A406" s="394"/>
      <c r="B406" s="430"/>
      <c r="C406" s="395"/>
      <c r="D406" s="529"/>
      <c r="E406" s="394"/>
      <c r="F406" s="430"/>
      <c r="G406" s="395"/>
      <c r="H406" s="529"/>
      <c r="I406" s="394"/>
      <c r="J406" s="430"/>
      <c r="K406" s="395"/>
      <c r="L406" s="529"/>
      <c r="M406" s="394"/>
      <c r="N406" s="430"/>
      <c r="O406" s="395"/>
      <c r="P406" s="529"/>
      <c r="Q406" s="547"/>
      <c r="R406" s="548"/>
      <c r="S406" s="549"/>
      <c r="T406" s="541"/>
      <c r="U406" s="547"/>
      <c r="V406" s="548"/>
      <c r="W406" s="549"/>
      <c r="X406" s="541"/>
      <c r="Y406" s="547"/>
      <c r="Z406" s="548"/>
      <c r="AA406" s="549"/>
      <c r="AB406" s="541"/>
      <c r="AC406" s="547"/>
      <c r="AD406" s="548"/>
      <c r="AE406" s="549"/>
      <c r="AF406" s="541"/>
      <c r="AG406" s="366"/>
      <c r="AH406" s="366"/>
      <c r="AI406" s="366"/>
      <c r="AJ406" s="366"/>
      <c r="AK406" s="394"/>
      <c r="AL406" s="430"/>
      <c r="AM406" s="395"/>
      <c r="AN406" s="529"/>
      <c r="AO406" s="394"/>
      <c r="AP406" s="430"/>
      <c r="AQ406" s="395"/>
      <c r="AR406" s="529"/>
      <c r="AS406" s="542"/>
      <c r="AT406" s="542"/>
    </row>
    <row r="407">
      <c r="A407" s="394"/>
      <c r="B407" s="430"/>
      <c r="C407" s="395"/>
      <c r="D407" s="529"/>
      <c r="E407" s="394"/>
      <c r="F407" s="430"/>
      <c r="G407" s="395"/>
      <c r="H407" s="529"/>
      <c r="I407" s="394"/>
      <c r="J407" s="430"/>
      <c r="K407" s="395"/>
      <c r="L407" s="529"/>
      <c r="M407" s="394"/>
      <c r="N407" s="430"/>
      <c r="O407" s="395"/>
      <c r="P407" s="529"/>
      <c r="Q407" s="547"/>
      <c r="R407" s="548"/>
      <c r="S407" s="549"/>
      <c r="T407" s="541"/>
      <c r="U407" s="547"/>
      <c r="V407" s="548"/>
      <c r="W407" s="549"/>
      <c r="X407" s="541"/>
      <c r="Y407" s="547"/>
      <c r="Z407" s="548"/>
      <c r="AA407" s="549"/>
      <c r="AB407" s="541"/>
      <c r="AC407" s="547"/>
      <c r="AD407" s="548"/>
      <c r="AE407" s="549"/>
      <c r="AF407" s="541"/>
      <c r="AG407" s="366"/>
      <c r="AH407" s="366"/>
      <c r="AI407" s="366"/>
      <c r="AJ407" s="366"/>
      <c r="AK407" s="394"/>
      <c r="AL407" s="430"/>
      <c r="AM407" s="395"/>
      <c r="AN407" s="529"/>
      <c r="AO407" s="394"/>
      <c r="AP407" s="430"/>
      <c r="AQ407" s="395"/>
      <c r="AR407" s="529"/>
      <c r="AS407" s="542"/>
      <c r="AT407" s="542"/>
    </row>
    <row r="408">
      <c r="A408" s="394"/>
      <c r="B408" s="430"/>
      <c r="C408" s="395"/>
      <c r="D408" s="529"/>
      <c r="E408" s="394"/>
      <c r="F408" s="430"/>
      <c r="G408" s="395"/>
      <c r="H408" s="529"/>
      <c r="I408" s="394"/>
      <c r="J408" s="430"/>
      <c r="K408" s="395"/>
      <c r="L408" s="529"/>
      <c r="M408" s="394"/>
      <c r="N408" s="430"/>
      <c r="O408" s="395"/>
      <c r="P408" s="529"/>
      <c r="Q408" s="547"/>
      <c r="R408" s="548"/>
      <c r="S408" s="549"/>
      <c r="T408" s="541"/>
      <c r="U408" s="547"/>
      <c r="V408" s="548"/>
      <c r="W408" s="549"/>
      <c r="X408" s="541"/>
      <c r="Y408" s="547"/>
      <c r="Z408" s="548"/>
      <c r="AA408" s="549"/>
      <c r="AB408" s="541"/>
      <c r="AC408" s="547"/>
      <c r="AD408" s="548"/>
      <c r="AE408" s="549"/>
      <c r="AF408" s="541"/>
      <c r="AG408" s="366"/>
      <c r="AH408" s="366"/>
      <c r="AI408" s="366"/>
      <c r="AJ408" s="366"/>
      <c r="AK408" s="394"/>
      <c r="AL408" s="430"/>
      <c r="AM408" s="395"/>
      <c r="AN408" s="529"/>
      <c r="AO408" s="394"/>
      <c r="AP408" s="430"/>
      <c r="AQ408" s="395"/>
      <c r="AR408" s="529"/>
      <c r="AS408" s="542"/>
      <c r="AT408" s="542"/>
    </row>
    <row r="409">
      <c r="A409" s="394"/>
      <c r="B409" s="430"/>
      <c r="C409" s="395"/>
      <c r="D409" s="529"/>
      <c r="E409" s="394"/>
      <c r="F409" s="430"/>
      <c r="G409" s="395"/>
      <c r="H409" s="529"/>
      <c r="I409" s="394"/>
      <c r="J409" s="430"/>
      <c r="K409" s="395"/>
      <c r="L409" s="529"/>
      <c r="M409" s="394"/>
      <c r="N409" s="430"/>
      <c r="O409" s="395"/>
      <c r="P409" s="529"/>
      <c r="Q409" s="547"/>
      <c r="R409" s="548"/>
      <c r="S409" s="549"/>
      <c r="T409" s="541"/>
      <c r="U409" s="547"/>
      <c r="V409" s="548"/>
      <c r="W409" s="549"/>
      <c r="X409" s="541"/>
      <c r="Y409" s="547"/>
      <c r="Z409" s="548"/>
      <c r="AA409" s="549"/>
      <c r="AB409" s="541"/>
      <c r="AC409" s="547"/>
      <c r="AD409" s="548"/>
      <c r="AE409" s="549"/>
      <c r="AF409" s="541"/>
      <c r="AG409" s="366"/>
      <c r="AH409" s="366"/>
      <c r="AI409" s="366"/>
      <c r="AJ409" s="366"/>
      <c r="AK409" s="394"/>
      <c r="AL409" s="430"/>
      <c r="AM409" s="395"/>
      <c r="AN409" s="529"/>
      <c r="AO409" s="394"/>
      <c r="AP409" s="430"/>
      <c r="AQ409" s="395"/>
      <c r="AR409" s="529"/>
      <c r="AS409" s="542"/>
      <c r="AT409" s="542"/>
    </row>
    <row r="410">
      <c r="A410" s="394"/>
      <c r="B410" s="430"/>
      <c r="C410" s="395"/>
      <c r="D410" s="529"/>
      <c r="E410" s="394"/>
      <c r="F410" s="430"/>
      <c r="G410" s="395"/>
      <c r="H410" s="529"/>
      <c r="I410" s="394"/>
      <c r="J410" s="430"/>
      <c r="K410" s="395"/>
      <c r="L410" s="529"/>
      <c r="M410" s="394"/>
      <c r="N410" s="430"/>
      <c r="O410" s="395"/>
      <c r="P410" s="529"/>
      <c r="Q410" s="547"/>
      <c r="R410" s="548"/>
      <c r="S410" s="549"/>
      <c r="T410" s="541"/>
      <c r="U410" s="547"/>
      <c r="V410" s="548"/>
      <c r="W410" s="549"/>
      <c r="X410" s="541"/>
      <c r="Y410" s="547"/>
      <c r="Z410" s="548"/>
      <c r="AA410" s="549"/>
      <c r="AB410" s="541"/>
      <c r="AC410" s="547"/>
      <c r="AD410" s="548"/>
      <c r="AE410" s="549"/>
      <c r="AF410" s="541"/>
      <c r="AG410" s="366"/>
      <c r="AH410" s="366"/>
      <c r="AI410" s="366"/>
      <c r="AJ410" s="366"/>
      <c r="AK410" s="394"/>
      <c r="AL410" s="430"/>
      <c r="AM410" s="395"/>
      <c r="AN410" s="529"/>
      <c r="AO410" s="394"/>
      <c r="AP410" s="430"/>
      <c r="AQ410" s="395"/>
      <c r="AR410" s="529"/>
      <c r="AS410" s="542"/>
      <c r="AT410" s="542"/>
    </row>
    <row r="411">
      <c r="A411" s="394"/>
      <c r="B411" s="430"/>
      <c r="C411" s="395"/>
      <c r="D411" s="529"/>
      <c r="E411" s="394"/>
      <c r="F411" s="430"/>
      <c r="G411" s="395"/>
      <c r="H411" s="529"/>
      <c r="I411" s="394"/>
      <c r="J411" s="430"/>
      <c r="K411" s="395"/>
      <c r="L411" s="529"/>
      <c r="M411" s="394"/>
      <c r="N411" s="430"/>
      <c r="O411" s="395"/>
      <c r="P411" s="529"/>
      <c r="Q411" s="547"/>
      <c r="R411" s="548"/>
      <c r="S411" s="549"/>
      <c r="T411" s="541"/>
      <c r="U411" s="547"/>
      <c r="V411" s="548"/>
      <c r="W411" s="549"/>
      <c r="X411" s="541"/>
      <c r="Y411" s="547"/>
      <c r="Z411" s="548"/>
      <c r="AA411" s="549"/>
      <c r="AB411" s="541"/>
      <c r="AC411" s="547"/>
      <c r="AD411" s="548"/>
      <c r="AE411" s="549"/>
      <c r="AF411" s="541"/>
      <c r="AG411" s="366"/>
      <c r="AH411" s="366"/>
      <c r="AI411" s="366"/>
      <c r="AJ411" s="366"/>
      <c r="AK411" s="394"/>
      <c r="AL411" s="430"/>
      <c r="AM411" s="395"/>
      <c r="AN411" s="529"/>
      <c r="AO411" s="394"/>
      <c r="AP411" s="430"/>
      <c r="AQ411" s="395"/>
      <c r="AR411" s="529"/>
      <c r="AS411" s="542"/>
      <c r="AT411" s="542"/>
    </row>
    <row r="412">
      <c r="A412" s="394"/>
      <c r="B412" s="430"/>
      <c r="C412" s="395"/>
      <c r="D412" s="529"/>
      <c r="E412" s="394"/>
      <c r="F412" s="430"/>
      <c r="G412" s="395"/>
      <c r="H412" s="529"/>
      <c r="I412" s="394"/>
      <c r="J412" s="430"/>
      <c r="K412" s="395"/>
      <c r="L412" s="529"/>
      <c r="M412" s="394"/>
      <c r="N412" s="430"/>
      <c r="O412" s="395"/>
      <c r="P412" s="529"/>
      <c r="Q412" s="547"/>
      <c r="R412" s="548"/>
      <c r="S412" s="549"/>
      <c r="T412" s="541"/>
      <c r="U412" s="547"/>
      <c r="V412" s="548"/>
      <c r="W412" s="549"/>
      <c r="X412" s="541"/>
      <c r="Y412" s="547"/>
      <c r="Z412" s="548"/>
      <c r="AA412" s="549"/>
      <c r="AB412" s="541"/>
      <c r="AC412" s="547"/>
      <c r="AD412" s="548"/>
      <c r="AE412" s="549"/>
      <c r="AF412" s="541"/>
      <c r="AG412" s="366"/>
      <c r="AH412" s="366"/>
      <c r="AI412" s="366"/>
      <c r="AJ412" s="366"/>
      <c r="AK412" s="394"/>
      <c r="AL412" s="430"/>
      <c r="AM412" s="395"/>
      <c r="AN412" s="529"/>
      <c r="AO412" s="394"/>
      <c r="AP412" s="430"/>
      <c r="AQ412" s="395"/>
      <c r="AR412" s="529"/>
      <c r="AS412" s="542"/>
      <c r="AT412" s="542"/>
    </row>
    <row r="413">
      <c r="A413" s="394"/>
      <c r="B413" s="430"/>
      <c r="C413" s="395"/>
      <c r="D413" s="529"/>
      <c r="E413" s="394"/>
      <c r="F413" s="430"/>
      <c r="G413" s="395"/>
      <c r="H413" s="529"/>
      <c r="I413" s="394"/>
      <c r="J413" s="430"/>
      <c r="K413" s="395"/>
      <c r="L413" s="529"/>
      <c r="M413" s="394"/>
      <c r="N413" s="430"/>
      <c r="O413" s="395"/>
      <c r="P413" s="529"/>
      <c r="Q413" s="547"/>
      <c r="R413" s="548"/>
      <c r="S413" s="549"/>
      <c r="T413" s="541"/>
      <c r="U413" s="547"/>
      <c r="V413" s="548"/>
      <c r="W413" s="549"/>
      <c r="X413" s="541"/>
      <c r="Y413" s="547"/>
      <c r="Z413" s="548"/>
      <c r="AA413" s="549"/>
      <c r="AB413" s="541"/>
      <c r="AC413" s="547"/>
      <c r="AD413" s="548"/>
      <c r="AE413" s="549"/>
      <c r="AF413" s="541"/>
      <c r="AG413" s="366"/>
      <c r="AH413" s="366"/>
      <c r="AI413" s="366"/>
      <c r="AJ413" s="366"/>
      <c r="AK413" s="394"/>
      <c r="AL413" s="430"/>
      <c r="AM413" s="395"/>
      <c r="AN413" s="529"/>
      <c r="AO413" s="394"/>
      <c r="AP413" s="430"/>
      <c r="AQ413" s="395"/>
      <c r="AR413" s="529"/>
      <c r="AS413" s="542"/>
      <c r="AT413" s="542"/>
    </row>
    <row r="414">
      <c r="A414" s="394"/>
      <c r="B414" s="430"/>
      <c r="C414" s="395"/>
      <c r="D414" s="529"/>
      <c r="E414" s="394"/>
      <c r="F414" s="430"/>
      <c r="G414" s="395"/>
      <c r="H414" s="529"/>
      <c r="I414" s="394"/>
      <c r="J414" s="430"/>
      <c r="K414" s="395"/>
      <c r="L414" s="529"/>
      <c r="M414" s="394"/>
      <c r="N414" s="430"/>
      <c r="O414" s="395"/>
      <c r="P414" s="529"/>
      <c r="Q414" s="547"/>
      <c r="R414" s="548"/>
      <c r="S414" s="549"/>
      <c r="T414" s="541"/>
      <c r="U414" s="547"/>
      <c r="V414" s="548"/>
      <c r="W414" s="549"/>
      <c r="X414" s="541"/>
      <c r="Y414" s="547"/>
      <c r="Z414" s="548"/>
      <c r="AA414" s="549"/>
      <c r="AB414" s="541"/>
      <c r="AC414" s="547"/>
      <c r="AD414" s="548"/>
      <c r="AE414" s="549"/>
      <c r="AF414" s="541"/>
      <c r="AG414" s="366"/>
      <c r="AH414" s="366"/>
      <c r="AI414" s="366"/>
      <c r="AJ414" s="366"/>
      <c r="AK414" s="394"/>
      <c r="AL414" s="430"/>
      <c r="AM414" s="395"/>
      <c r="AN414" s="529"/>
      <c r="AO414" s="394"/>
      <c r="AP414" s="430"/>
      <c r="AQ414" s="395"/>
      <c r="AR414" s="529"/>
      <c r="AS414" s="542"/>
      <c r="AT414" s="542"/>
    </row>
    <row r="415">
      <c r="A415" s="394"/>
      <c r="B415" s="430"/>
      <c r="C415" s="395"/>
      <c r="D415" s="529"/>
      <c r="E415" s="394"/>
      <c r="F415" s="430"/>
      <c r="G415" s="395"/>
      <c r="H415" s="529"/>
      <c r="I415" s="394"/>
      <c r="J415" s="430"/>
      <c r="K415" s="395"/>
      <c r="L415" s="529"/>
      <c r="M415" s="394"/>
      <c r="N415" s="430"/>
      <c r="O415" s="395"/>
      <c r="P415" s="529"/>
      <c r="Q415" s="547"/>
      <c r="R415" s="548"/>
      <c r="S415" s="549"/>
      <c r="T415" s="541"/>
      <c r="U415" s="547"/>
      <c r="V415" s="548"/>
      <c r="W415" s="549"/>
      <c r="X415" s="541"/>
      <c r="Y415" s="547"/>
      <c r="Z415" s="548"/>
      <c r="AA415" s="549"/>
      <c r="AB415" s="541"/>
      <c r="AC415" s="547"/>
      <c r="AD415" s="548"/>
      <c r="AE415" s="549"/>
      <c r="AF415" s="541"/>
      <c r="AG415" s="366"/>
      <c r="AH415" s="366"/>
      <c r="AI415" s="366"/>
      <c r="AJ415" s="366"/>
      <c r="AK415" s="394"/>
      <c r="AL415" s="430"/>
      <c r="AM415" s="395"/>
      <c r="AN415" s="529"/>
      <c r="AO415" s="394"/>
      <c r="AP415" s="430"/>
      <c r="AQ415" s="395"/>
      <c r="AR415" s="529"/>
      <c r="AS415" s="542"/>
      <c r="AT415" s="542"/>
    </row>
    <row r="416">
      <c r="A416" s="394"/>
      <c r="B416" s="430"/>
      <c r="C416" s="395"/>
      <c r="D416" s="529"/>
      <c r="E416" s="394"/>
      <c r="F416" s="430"/>
      <c r="G416" s="395"/>
      <c r="H416" s="529"/>
      <c r="I416" s="394"/>
      <c r="J416" s="430"/>
      <c r="K416" s="395"/>
      <c r="L416" s="529"/>
      <c r="M416" s="394"/>
      <c r="N416" s="430"/>
      <c r="O416" s="395"/>
      <c r="P416" s="529"/>
      <c r="Q416" s="547"/>
      <c r="R416" s="548"/>
      <c r="S416" s="549"/>
      <c r="T416" s="541"/>
      <c r="U416" s="547"/>
      <c r="V416" s="548"/>
      <c r="W416" s="549"/>
      <c r="X416" s="541"/>
      <c r="Y416" s="547"/>
      <c r="Z416" s="548"/>
      <c r="AA416" s="549"/>
      <c r="AB416" s="541"/>
      <c r="AC416" s="547"/>
      <c r="AD416" s="548"/>
      <c r="AE416" s="549"/>
      <c r="AF416" s="541"/>
      <c r="AG416" s="366"/>
      <c r="AH416" s="366"/>
      <c r="AI416" s="366"/>
      <c r="AJ416" s="366"/>
      <c r="AK416" s="394"/>
      <c r="AL416" s="430"/>
      <c r="AM416" s="395"/>
      <c r="AN416" s="529"/>
      <c r="AO416" s="394"/>
      <c r="AP416" s="430"/>
      <c r="AQ416" s="395"/>
      <c r="AR416" s="529"/>
      <c r="AS416" s="542"/>
      <c r="AT416" s="542"/>
    </row>
    <row r="417">
      <c r="A417" s="394"/>
      <c r="B417" s="430"/>
      <c r="C417" s="395"/>
      <c r="D417" s="529"/>
      <c r="E417" s="394"/>
      <c r="F417" s="430"/>
      <c r="G417" s="395"/>
      <c r="H417" s="529"/>
      <c r="I417" s="394"/>
      <c r="J417" s="430"/>
      <c r="K417" s="395"/>
      <c r="L417" s="529"/>
      <c r="M417" s="394"/>
      <c r="N417" s="430"/>
      <c r="O417" s="395"/>
      <c r="P417" s="529"/>
      <c r="Q417" s="547"/>
      <c r="R417" s="548"/>
      <c r="S417" s="549"/>
      <c r="T417" s="541"/>
      <c r="U417" s="547"/>
      <c r="V417" s="548"/>
      <c r="W417" s="549"/>
      <c r="X417" s="541"/>
      <c r="Y417" s="547"/>
      <c r="Z417" s="548"/>
      <c r="AA417" s="549"/>
      <c r="AB417" s="541"/>
      <c r="AC417" s="547"/>
      <c r="AD417" s="548"/>
      <c r="AE417" s="549"/>
      <c r="AF417" s="541"/>
      <c r="AG417" s="366"/>
      <c r="AH417" s="366"/>
      <c r="AI417" s="366"/>
      <c r="AJ417" s="366"/>
      <c r="AK417" s="394"/>
      <c r="AL417" s="430"/>
      <c r="AM417" s="395"/>
      <c r="AN417" s="529"/>
      <c r="AO417" s="394"/>
      <c r="AP417" s="430"/>
      <c r="AQ417" s="395"/>
      <c r="AR417" s="529"/>
      <c r="AS417" s="542"/>
      <c r="AT417" s="542"/>
    </row>
    <row r="418">
      <c r="A418" s="394"/>
      <c r="B418" s="430"/>
      <c r="C418" s="395"/>
      <c r="D418" s="529"/>
      <c r="E418" s="394"/>
      <c r="F418" s="430"/>
      <c r="G418" s="395"/>
      <c r="H418" s="529"/>
      <c r="I418" s="394"/>
      <c r="J418" s="430"/>
      <c r="K418" s="395"/>
      <c r="L418" s="529"/>
      <c r="M418" s="394"/>
      <c r="N418" s="430"/>
      <c r="O418" s="395"/>
      <c r="P418" s="529"/>
      <c r="Q418" s="547"/>
      <c r="R418" s="548"/>
      <c r="S418" s="549"/>
      <c r="T418" s="541"/>
      <c r="U418" s="547"/>
      <c r="V418" s="548"/>
      <c r="W418" s="549"/>
      <c r="X418" s="541"/>
      <c r="Y418" s="547"/>
      <c r="Z418" s="548"/>
      <c r="AA418" s="549"/>
      <c r="AB418" s="541"/>
      <c r="AC418" s="547"/>
      <c r="AD418" s="548"/>
      <c r="AE418" s="549"/>
      <c r="AF418" s="541"/>
      <c r="AG418" s="366"/>
      <c r="AH418" s="366"/>
      <c r="AI418" s="366"/>
      <c r="AJ418" s="366"/>
      <c r="AK418" s="394"/>
      <c r="AL418" s="430"/>
      <c r="AM418" s="395"/>
      <c r="AN418" s="529"/>
      <c r="AO418" s="394"/>
      <c r="AP418" s="430"/>
      <c r="AQ418" s="395"/>
      <c r="AR418" s="529"/>
      <c r="AS418" s="542"/>
      <c r="AT418" s="542"/>
    </row>
    <row r="419">
      <c r="A419" s="394"/>
      <c r="B419" s="430"/>
      <c r="C419" s="395"/>
      <c r="D419" s="529"/>
      <c r="E419" s="394"/>
      <c r="F419" s="430"/>
      <c r="G419" s="395"/>
      <c r="H419" s="529"/>
      <c r="I419" s="394"/>
      <c r="J419" s="430"/>
      <c r="K419" s="395"/>
      <c r="L419" s="529"/>
      <c r="M419" s="394"/>
      <c r="N419" s="430"/>
      <c r="O419" s="395"/>
      <c r="P419" s="529"/>
      <c r="Q419" s="547"/>
      <c r="R419" s="548"/>
      <c r="S419" s="549"/>
      <c r="T419" s="541"/>
      <c r="U419" s="547"/>
      <c r="V419" s="548"/>
      <c r="W419" s="549"/>
      <c r="X419" s="541"/>
      <c r="Y419" s="547"/>
      <c r="Z419" s="548"/>
      <c r="AA419" s="549"/>
      <c r="AB419" s="541"/>
      <c r="AC419" s="547"/>
      <c r="AD419" s="548"/>
      <c r="AE419" s="549"/>
      <c r="AF419" s="541"/>
      <c r="AG419" s="366"/>
      <c r="AH419" s="366"/>
      <c r="AI419" s="366"/>
      <c r="AJ419" s="366"/>
      <c r="AK419" s="394"/>
      <c r="AL419" s="430"/>
      <c r="AM419" s="395"/>
      <c r="AN419" s="529"/>
      <c r="AO419" s="394"/>
      <c r="AP419" s="430"/>
      <c r="AQ419" s="395"/>
      <c r="AR419" s="529"/>
      <c r="AS419" s="542"/>
      <c r="AT419" s="542"/>
    </row>
    <row r="420">
      <c r="A420" s="394"/>
      <c r="B420" s="430"/>
      <c r="C420" s="395"/>
      <c r="D420" s="529"/>
      <c r="E420" s="394"/>
      <c r="F420" s="430"/>
      <c r="G420" s="395"/>
      <c r="H420" s="529"/>
      <c r="I420" s="394"/>
      <c r="J420" s="430"/>
      <c r="K420" s="395"/>
      <c r="L420" s="529"/>
      <c r="M420" s="394"/>
      <c r="N420" s="430"/>
      <c r="O420" s="395"/>
      <c r="P420" s="529"/>
      <c r="Q420" s="547"/>
      <c r="R420" s="548"/>
      <c r="S420" s="549"/>
      <c r="T420" s="541"/>
      <c r="U420" s="547"/>
      <c r="V420" s="548"/>
      <c r="W420" s="549"/>
      <c r="X420" s="541"/>
      <c r="Y420" s="547"/>
      <c r="Z420" s="548"/>
      <c r="AA420" s="549"/>
      <c r="AB420" s="541"/>
      <c r="AC420" s="547"/>
      <c r="AD420" s="548"/>
      <c r="AE420" s="549"/>
      <c r="AF420" s="541"/>
      <c r="AG420" s="366"/>
      <c r="AH420" s="366"/>
      <c r="AI420" s="366"/>
      <c r="AJ420" s="366"/>
      <c r="AK420" s="394"/>
      <c r="AL420" s="430"/>
      <c r="AM420" s="395"/>
      <c r="AN420" s="529"/>
      <c r="AO420" s="394"/>
      <c r="AP420" s="430"/>
      <c r="AQ420" s="395"/>
      <c r="AR420" s="529"/>
      <c r="AS420" s="542"/>
      <c r="AT420" s="542"/>
    </row>
    <row r="421">
      <c r="A421" s="394"/>
      <c r="B421" s="430"/>
      <c r="C421" s="395"/>
      <c r="D421" s="529"/>
      <c r="E421" s="394"/>
      <c r="F421" s="430"/>
      <c r="G421" s="395"/>
      <c r="H421" s="529"/>
      <c r="I421" s="394"/>
      <c r="J421" s="430"/>
      <c r="K421" s="395"/>
      <c r="L421" s="529"/>
      <c r="M421" s="394"/>
      <c r="N421" s="430"/>
      <c r="O421" s="395"/>
      <c r="P421" s="529"/>
      <c r="Q421" s="547"/>
      <c r="R421" s="548"/>
      <c r="S421" s="549"/>
      <c r="T421" s="541"/>
      <c r="U421" s="547"/>
      <c r="V421" s="548"/>
      <c r="W421" s="549"/>
      <c r="X421" s="541"/>
      <c r="Y421" s="547"/>
      <c r="Z421" s="548"/>
      <c r="AA421" s="549"/>
      <c r="AB421" s="541"/>
      <c r="AC421" s="547"/>
      <c r="AD421" s="548"/>
      <c r="AE421" s="549"/>
      <c r="AF421" s="541"/>
      <c r="AG421" s="366"/>
      <c r="AH421" s="366"/>
      <c r="AI421" s="366"/>
      <c r="AJ421" s="366"/>
      <c r="AK421" s="394"/>
      <c r="AL421" s="430"/>
      <c r="AM421" s="395"/>
      <c r="AN421" s="529"/>
      <c r="AO421" s="394"/>
      <c r="AP421" s="430"/>
      <c r="AQ421" s="395"/>
      <c r="AR421" s="529"/>
      <c r="AS421" s="542"/>
      <c r="AT421" s="542"/>
    </row>
    <row r="422">
      <c r="A422" s="394"/>
      <c r="B422" s="430"/>
      <c r="C422" s="395"/>
      <c r="D422" s="529"/>
      <c r="E422" s="394"/>
      <c r="F422" s="430"/>
      <c r="G422" s="395"/>
      <c r="H422" s="529"/>
      <c r="I422" s="394"/>
      <c r="J422" s="430"/>
      <c r="K422" s="395"/>
      <c r="L422" s="529"/>
      <c r="M422" s="394"/>
      <c r="N422" s="430"/>
      <c r="O422" s="395"/>
      <c r="P422" s="529"/>
      <c r="Q422" s="547"/>
      <c r="R422" s="548"/>
      <c r="S422" s="549"/>
      <c r="T422" s="541"/>
      <c r="U422" s="547"/>
      <c r="V422" s="548"/>
      <c r="W422" s="549"/>
      <c r="X422" s="541"/>
      <c r="Y422" s="547"/>
      <c r="Z422" s="548"/>
      <c r="AA422" s="549"/>
      <c r="AB422" s="541"/>
      <c r="AC422" s="547"/>
      <c r="AD422" s="548"/>
      <c r="AE422" s="549"/>
      <c r="AF422" s="541"/>
      <c r="AG422" s="366"/>
      <c r="AH422" s="366"/>
      <c r="AI422" s="366"/>
      <c r="AJ422" s="366"/>
      <c r="AK422" s="394"/>
      <c r="AL422" s="430"/>
      <c r="AM422" s="395"/>
      <c r="AN422" s="529"/>
      <c r="AO422" s="394"/>
      <c r="AP422" s="430"/>
      <c r="AQ422" s="395"/>
      <c r="AR422" s="529"/>
      <c r="AS422" s="542"/>
      <c r="AT422" s="542"/>
    </row>
    <row r="423">
      <c r="A423" s="394"/>
      <c r="B423" s="430"/>
      <c r="C423" s="395"/>
      <c r="D423" s="529"/>
      <c r="E423" s="394"/>
      <c r="F423" s="430"/>
      <c r="G423" s="395"/>
      <c r="H423" s="529"/>
      <c r="I423" s="394"/>
      <c r="J423" s="430"/>
      <c r="K423" s="395"/>
      <c r="L423" s="529"/>
      <c r="M423" s="394"/>
      <c r="N423" s="430"/>
      <c r="O423" s="395"/>
      <c r="P423" s="529"/>
      <c r="Q423" s="547"/>
      <c r="R423" s="548"/>
      <c r="S423" s="549"/>
      <c r="T423" s="541"/>
      <c r="U423" s="547"/>
      <c r="V423" s="548"/>
      <c r="W423" s="549"/>
      <c r="X423" s="541"/>
      <c r="Y423" s="547"/>
      <c r="Z423" s="548"/>
      <c r="AA423" s="549"/>
      <c r="AB423" s="541"/>
      <c r="AC423" s="547"/>
      <c r="AD423" s="548"/>
      <c r="AE423" s="549"/>
      <c r="AF423" s="541"/>
      <c r="AG423" s="366"/>
      <c r="AH423" s="366"/>
      <c r="AI423" s="366"/>
      <c r="AJ423" s="366"/>
      <c r="AK423" s="394"/>
      <c r="AL423" s="430"/>
      <c r="AM423" s="395"/>
      <c r="AN423" s="529"/>
      <c r="AO423" s="394"/>
      <c r="AP423" s="430"/>
      <c r="AQ423" s="395"/>
      <c r="AR423" s="529"/>
      <c r="AS423" s="542"/>
      <c r="AT423" s="542"/>
    </row>
    <row r="424">
      <c r="A424" s="394"/>
      <c r="B424" s="430"/>
      <c r="C424" s="395"/>
      <c r="D424" s="529"/>
      <c r="E424" s="394"/>
      <c r="F424" s="430"/>
      <c r="G424" s="395"/>
      <c r="H424" s="529"/>
      <c r="I424" s="394"/>
      <c r="J424" s="430"/>
      <c r="K424" s="395"/>
      <c r="L424" s="529"/>
      <c r="M424" s="394"/>
      <c r="N424" s="430"/>
      <c r="O424" s="395"/>
      <c r="P424" s="529"/>
      <c r="Q424" s="547"/>
      <c r="R424" s="548"/>
      <c r="S424" s="549"/>
      <c r="T424" s="541"/>
      <c r="U424" s="547"/>
      <c r="V424" s="548"/>
      <c r="W424" s="549"/>
      <c r="X424" s="541"/>
      <c r="Y424" s="547"/>
      <c r="Z424" s="548"/>
      <c r="AA424" s="549"/>
      <c r="AB424" s="541"/>
      <c r="AC424" s="547"/>
      <c r="AD424" s="548"/>
      <c r="AE424" s="549"/>
      <c r="AF424" s="541"/>
      <c r="AG424" s="366"/>
      <c r="AH424" s="366"/>
      <c r="AI424" s="366"/>
      <c r="AJ424" s="366"/>
      <c r="AK424" s="394"/>
      <c r="AL424" s="430"/>
      <c r="AM424" s="395"/>
      <c r="AN424" s="529"/>
      <c r="AO424" s="394"/>
      <c r="AP424" s="430"/>
      <c r="AQ424" s="395"/>
      <c r="AR424" s="529"/>
      <c r="AS424" s="542"/>
      <c r="AT424" s="542"/>
    </row>
    <row r="425">
      <c r="A425" s="394"/>
      <c r="B425" s="430"/>
      <c r="C425" s="395"/>
      <c r="D425" s="529"/>
      <c r="E425" s="394"/>
      <c r="F425" s="430"/>
      <c r="G425" s="395"/>
      <c r="H425" s="529"/>
      <c r="I425" s="394"/>
      <c r="J425" s="430"/>
      <c r="K425" s="395"/>
      <c r="L425" s="529"/>
      <c r="M425" s="394"/>
      <c r="N425" s="430"/>
      <c r="O425" s="395"/>
      <c r="P425" s="529"/>
      <c r="Q425" s="547"/>
      <c r="R425" s="548"/>
      <c r="S425" s="549"/>
      <c r="T425" s="541"/>
      <c r="U425" s="547"/>
      <c r="V425" s="548"/>
      <c r="W425" s="549"/>
      <c r="X425" s="541"/>
      <c r="Y425" s="547"/>
      <c r="Z425" s="548"/>
      <c r="AA425" s="549"/>
      <c r="AB425" s="541"/>
      <c r="AC425" s="547"/>
      <c r="AD425" s="548"/>
      <c r="AE425" s="549"/>
      <c r="AF425" s="541"/>
      <c r="AG425" s="366"/>
      <c r="AH425" s="366"/>
      <c r="AI425" s="366"/>
      <c r="AJ425" s="366"/>
      <c r="AK425" s="394"/>
      <c r="AL425" s="430"/>
      <c r="AM425" s="395"/>
      <c r="AN425" s="529"/>
      <c r="AO425" s="394"/>
      <c r="AP425" s="430"/>
      <c r="AQ425" s="395"/>
      <c r="AR425" s="529"/>
      <c r="AS425" s="542"/>
      <c r="AT425" s="542"/>
    </row>
    <row r="426">
      <c r="A426" s="394"/>
      <c r="B426" s="430"/>
      <c r="C426" s="395"/>
      <c r="D426" s="529"/>
      <c r="E426" s="394"/>
      <c r="F426" s="430"/>
      <c r="G426" s="395"/>
      <c r="H426" s="529"/>
      <c r="I426" s="394"/>
      <c r="J426" s="430"/>
      <c r="K426" s="395"/>
      <c r="L426" s="529"/>
      <c r="M426" s="394"/>
      <c r="N426" s="430"/>
      <c r="O426" s="395"/>
      <c r="P426" s="529"/>
      <c r="Q426" s="547"/>
      <c r="R426" s="548"/>
      <c r="S426" s="549"/>
      <c r="T426" s="541"/>
      <c r="U426" s="547"/>
      <c r="V426" s="548"/>
      <c r="W426" s="549"/>
      <c r="X426" s="541"/>
      <c r="Y426" s="547"/>
      <c r="Z426" s="548"/>
      <c r="AA426" s="549"/>
      <c r="AB426" s="541"/>
      <c r="AC426" s="547"/>
      <c r="AD426" s="548"/>
      <c r="AE426" s="549"/>
      <c r="AF426" s="541"/>
      <c r="AG426" s="366"/>
      <c r="AH426" s="366"/>
      <c r="AI426" s="366"/>
      <c r="AJ426" s="366"/>
      <c r="AK426" s="394"/>
      <c r="AL426" s="430"/>
      <c r="AM426" s="395"/>
      <c r="AN426" s="529"/>
      <c r="AO426" s="394"/>
      <c r="AP426" s="430"/>
      <c r="AQ426" s="395"/>
      <c r="AR426" s="529"/>
      <c r="AS426" s="542"/>
      <c r="AT426" s="542"/>
    </row>
    <row r="427">
      <c r="A427" s="394"/>
      <c r="B427" s="430"/>
      <c r="C427" s="395"/>
      <c r="D427" s="529"/>
      <c r="E427" s="394"/>
      <c r="F427" s="430"/>
      <c r="G427" s="395"/>
      <c r="H427" s="529"/>
      <c r="I427" s="394"/>
      <c r="J427" s="430"/>
      <c r="K427" s="395"/>
      <c r="L427" s="529"/>
      <c r="M427" s="394"/>
      <c r="N427" s="430"/>
      <c r="O427" s="395"/>
      <c r="P427" s="529"/>
      <c r="Q427" s="547"/>
      <c r="R427" s="548"/>
      <c r="S427" s="549"/>
      <c r="T427" s="541"/>
      <c r="U427" s="547"/>
      <c r="V427" s="548"/>
      <c r="W427" s="549"/>
      <c r="X427" s="541"/>
      <c r="Y427" s="547"/>
      <c r="Z427" s="548"/>
      <c r="AA427" s="549"/>
      <c r="AB427" s="541"/>
      <c r="AC427" s="547"/>
      <c r="AD427" s="548"/>
      <c r="AE427" s="549"/>
      <c r="AF427" s="541"/>
      <c r="AG427" s="366"/>
      <c r="AH427" s="366"/>
      <c r="AI427" s="366"/>
      <c r="AJ427" s="366"/>
      <c r="AK427" s="394"/>
      <c r="AL427" s="430"/>
      <c r="AM427" s="395"/>
      <c r="AN427" s="529"/>
      <c r="AO427" s="394"/>
      <c r="AP427" s="430"/>
      <c r="AQ427" s="395"/>
      <c r="AR427" s="529"/>
      <c r="AS427" s="542"/>
      <c r="AT427" s="542"/>
    </row>
    <row r="428">
      <c r="A428" s="394"/>
      <c r="B428" s="430"/>
      <c r="C428" s="395"/>
      <c r="D428" s="529"/>
      <c r="E428" s="394"/>
      <c r="F428" s="430"/>
      <c r="G428" s="395"/>
      <c r="H428" s="529"/>
      <c r="I428" s="394"/>
      <c r="J428" s="430"/>
      <c r="K428" s="395"/>
      <c r="L428" s="529"/>
      <c r="M428" s="394"/>
      <c r="N428" s="430"/>
      <c r="O428" s="395"/>
      <c r="P428" s="529"/>
      <c r="Q428" s="547"/>
      <c r="R428" s="548"/>
      <c r="S428" s="549"/>
      <c r="T428" s="541"/>
      <c r="U428" s="547"/>
      <c r="V428" s="548"/>
      <c r="W428" s="549"/>
      <c r="X428" s="541"/>
      <c r="Y428" s="547"/>
      <c r="Z428" s="548"/>
      <c r="AA428" s="549"/>
      <c r="AB428" s="541"/>
      <c r="AC428" s="547"/>
      <c r="AD428" s="548"/>
      <c r="AE428" s="549"/>
      <c r="AF428" s="541"/>
      <c r="AG428" s="366"/>
      <c r="AH428" s="366"/>
      <c r="AI428" s="366"/>
      <c r="AJ428" s="366"/>
      <c r="AK428" s="394"/>
      <c r="AL428" s="430"/>
      <c r="AM428" s="395"/>
      <c r="AN428" s="529"/>
      <c r="AO428" s="394"/>
      <c r="AP428" s="430"/>
      <c r="AQ428" s="395"/>
      <c r="AR428" s="529"/>
      <c r="AS428" s="542"/>
      <c r="AT428" s="542"/>
    </row>
    <row r="429">
      <c r="A429" s="394"/>
      <c r="B429" s="430"/>
      <c r="C429" s="395"/>
      <c r="D429" s="529"/>
      <c r="E429" s="394"/>
      <c r="F429" s="430"/>
      <c r="G429" s="395"/>
      <c r="H429" s="529"/>
      <c r="I429" s="394"/>
      <c r="J429" s="430"/>
      <c r="K429" s="395"/>
      <c r="L429" s="529"/>
      <c r="M429" s="394"/>
      <c r="N429" s="430"/>
      <c r="O429" s="395"/>
      <c r="P429" s="529"/>
      <c r="Q429" s="547"/>
      <c r="R429" s="548"/>
      <c r="S429" s="549"/>
      <c r="T429" s="541"/>
      <c r="U429" s="547"/>
      <c r="V429" s="548"/>
      <c r="W429" s="549"/>
      <c r="X429" s="541"/>
      <c r="Y429" s="547"/>
      <c r="Z429" s="548"/>
      <c r="AA429" s="549"/>
      <c r="AB429" s="541"/>
      <c r="AC429" s="547"/>
      <c r="AD429" s="548"/>
      <c r="AE429" s="549"/>
      <c r="AF429" s="541"/>
      <c r="AG429" s="366"/>
      <c r="AH429" s="366"/>
      <c r="AI429" s="366"/>
      <c r="AJ429" s="366"/>
      <c r="AK429" s="394"/>
      <c r="AL429" s="430"/>
      <c r="AM429" s="395"/>
      <c r="AN429" s="529"/>
      <c r="AO429" s="394"/>
      <c r="AP429" s="430"/>
      <c r="AQ429" s="395"/>
      <c r="AR429" s="529"/>
      <c r="AS429" s="542"/>
      <c r="AT429" s="542"/>
    </row>
    <row r="430">
      <c r="A430" s="394"/>
      <c r="B430" s="430"/>
      <c r="C430" s="395"/>
      <c r="D430" s="529"/>
      <c r="E430" s="394"/>
      <c r="F430" s="430"/>
      <c r="G430" s="395"/>
      <c r="H430" s="529"/>
      <c r="I430" s="394"/>
      <c r="J430" s="430"/>
      <c r="K430" s="395"/>
      <c r="L430" s="529"/>
      <c r="M430" s="394"/>
      <c r="N430" s="430"/>
      <c r="O430" s="395"/>
      <c r="P430" s="529"/>
      <c r="Q430" s="547"/>
      <c r="R430" s="548"/>
      <c r="S430" s="549"/>
      <c r="T430" s="541"/>
      <c r="U430" s="547"/>
      <c r="V430" s="548"/>
      <c r="W430" s="549"/>
      <c r="X430" s="541"/>
      <c r="Y430" s="547"/>
      <c r="Z430" s="548"/>
      <c r="AA430" s="549"/>
      <c r="AB430" s="541"/>
      <c r="AC430" s="547"/>
      <c r="AD430" s="548"/>
      <c r="AE430" s="549"/>
      <c r="AF430" s="541"/>
      <c r="AG430" s="366"/>
      <c r="AH430" s="366"/>
      <c r="AI430" s="366"/>
      <c r="AJ430" s="366"/>
      <c r="AK430" s="394"/>
      <c r="AL430" s="430"/>
      <c r="AM430" s="395"/>
      <c r="AN430" s="529"/>
      <c r="AO430" s="394"/>
      <c r="AP430" s="430"/>
      <c r="AQ430" s="395"/>
      <c r="AR430" s="529"/>
      <c r="AS430" s="542"/>
      <c r="AT430" s="542"/>
    </row>
    <row r="431">
      <c r="A431" s="394"/>
      <c r="B431" s="430"/>
      <c r="C431" s="395"/>
      <c r="D431" s="529"/>
      <c r="E431" s="394"/>
      <c r="F431" s="430"/>
      <c r="G431" s="395"/>
      <c r="H431" s="529"/>
      <c r="I431" s="394"/>
      <c r="J431" s="430"/>
      <c r="K431" s="395"/>
      <c r="L431" s="529"/>
      <c r="M431" s="394"/>
      <c r="N431" s="430"/>
      <c r="O431" s="395"/>
      <c r="P431" s="529"/>
      <c r="Q431" s="547"/>
      <c r="R431" s="548"/>
      <c r="S431" s="549"/>
      <c r="T431" s="541"/>
      <c r="U431" s="547"/>
      <c r="V431" s="548"/>
      <c r="W431" s="549"/>
      <c r="X431" s="541"/>
      <c r="Y431" s="547"/>
      <c r="Z431" s="548"/>
      <c r="AA431" s="549"/>
      <c r="AB431" s="541"/>
      <c r="AC431" s="547"/>
      <c r="AD431" s="548"/>
      <c r="AE431" s="549"/>
      <c r="AF431" s="541"/>
      <c r="AG431" s="366"/>
      <c r="AH431" s="366"/>
      <c r="AI431" s="366"/>
      <c r="AJ431" s="366"/>
      <c r="AK431" s="394"/>
      <c r="AL431" s="430"/>
      <c r="AM431" s="395"/>
      <c r="AN431" s="529"/>
      <c r="AO431" s="394"/>
      <c r="AP431" s="430"/>
      <c r="AQ431" s="395"/>
      <c r="AR431" s="529"/>
      <c r="AS431" s="542"/>
      <c r="AT431" s="542"/>
    </row>
    <row r="432">
      <c r="A432" s="394"/>
      <c r="B432" s="430"/>
      <c r="C432" s="395"/>
      <c r="D432" s="529"/>
      <c r="E432" s="394"/>
      <c r="F432" s="430"/>
      <c r="G432" s="395"/>
      <c r="H432" s="529"/>
      <c r="I432" s="394"/>
      <c r="J432" s="430"/>
      <c r="K432" s="395"/>
      <c r="L432" s="529"/>
      <c r="M432" s="394"/>
      <c r="N432" s="430"/>
      <c r="O432" s="395"/>
      <c r="P432" s="529"/>
      <c r="Q432" s="547"/>
      <c r="R432" s="548"/>
      <c r="S432" s="549"/>
      <c r="T432" s="541"/>
      <c r="U432" s="547"/>
      <c r="V432" s="548"/>
      <c r="W432" s="549"/>
      <c r="X432" s="541"/>
      <c r="Y432" s="547"/>
      <c r="Z432" s="548"/>
      <c r="AA432" s="549"/>
      <c r="AB432" s="541"/>
      <c r="AC432" s="547"/>
      <c r="AD432" s="548"/>
      <c r="AE432" s="549"/>
      <c r="AF432" s="541"/>
      <c r="AG432" s="366"/>
      <c r="AH432" s="366"/>
      <c r="AI432" s="366"/>
      <c r="AJ432" s="366"/>
      <c r="AK432" s="394"/>
      <c r="AL432" s="430"/>
      <c r="AM432" s="395"/>
      <c r="AN432" s="529"/>
      <c r="AO432" s="394"/>
      <c r="AP432" s="430"/>
      <c r="AQ432" s="395"/>
      <c r="AR432" s="529"/>
      <c r="AS432" s="542"/>
      <c r="AT432" s="542"/>
    </row>
    <row r="433">
      <c r="A433" s="394"/>
      <c r="B433" s="430"/>
      <c r="C433" s="395"/>
      <c r="D433" s="529"/>
      <c r="E433" s="394"/>
      <c r="F433" s="430"/>
      <c r="G433" s="395"/>
      <c r="H433" s="529"/>
      <c r="I433" s="394"/>
      <c r="J433" s="430"/>
      <c r="K433" s="395"/>
      <c r="L433" s="529"/>
      <c r="M433" s="394"/>
      <c r="N433" s="430"/>
      <c r="O433" s="395"/>
      <c r="P433" s="529"/>
      <c r="Q433" s="547"/>
      <c r="R433" s="548"/>
      <c r="S433" s="549"/>
      <c r="T433" s="541"/>
      <c r="U433" s="547"/>
      <c r="V433" s="548"/>
      <c r="W433" s="549"/>
      <c r="X433" s="541"/>
      <c r="Y433" s="547"/>
      <c r="Z433" s="548"/>
      <c r="AA433" s="549"/>
      <c r="AB433" s="541"/>
      <c r="AC433" s="547"/>
      <c r="AD433" s="548"/>
      <c r="AE433" s="549"/>
      <c r="AF433" s="541"/>
      <c r="AG433" s="366"/>
      <c r="AH433" s="366"/>
      <c r="AI433" s="366"/>
      <c r="AJ433" s="366"/>
      <c r="AK433" s="394"/>
      <c r="AL433" s="430"/>
      <c r="AM433" s="395"/>
      <c r="AN433" s="529"/>
      <c r="AO433" s="394"/>
      <c r="AP433" s="430"/>
      <c r="AQ433" s="395"/>
      <c r="AR433" s="529"/>
      <c r="AS433" s="542"/>
      <c r="AT433" s="542"/>
    </row>
    <row r="434">
      <c r="A434" s="394"/>
      <c r="B434" s="430"/>
      <c r="C434" s="395"/>
      <c r="D434" s="529"/>
      <c r="E434" s="394"/>
      <c r="F434" s="430"/>
      <c r="G434" s="395"/>
      <c r="H434" s="529"/>
      <c r="I434" s="394"/>
      <c r="J434" s="430"/>
      <c r="K434" s="395"/>
      <c r="L434" s="529"/>
      <c r="M434" s="394"/>
      <c r="N434" s="430"/>
      <c r="O434" s="395"/>
      <c r="P434" s="529"/>
      <c r="Q434" s="547"/>
      <c r="R434" s="548"/>
      <c r="S434" s="549"/>
      <c r="T434" s="541"/>
      <c r="U434" s="547"/>
      <c r="V434" s="548"/>
      <c r="W434" s="549"/>
      <c r="X434" s="541"/>
      <c r="Y434" s="547"/>
      <c r="Z434" s="548"/>
      <c r="AA434" s="549"/>
      <c r="AB434" s="541"/>
      <c r="AC434" s="547"/>
      <c r="AD434" s="548"/>
      <c r="AE434" s="549"/>
      <c r="AF434" s="541"/>
      <c r="AG434" s="366"/>
      <c r="AH434" s="366"/>
      <c r="AI434" s="366"/>
      <c r="AJ434" s="366"/>
      <c r="AK434" s="394"/>
      <c r="AL434" s="430"/>
      <c r="AM434" s="395"/>
      <c r="AN434" s="529"/>
      <c r="AO434" s="394"/>
      <c r="AP434" s="430"/>
      <c r="AQ434" s="395"/>
      <c r="AR434" s="529"/>
      <c r="AS434" s="542"/>
      <c r="AT434" s="542"/>
    </row>
    <row r="435">
      <c r="A435" s="394"/>
      <c r="B435" s="430"/>
      <c r="C435" s="395"/>
      <c r="D435" s="529"/>
      <c r="E435" s="394"/>
      <c r="F435" s="430"/>
      <c r="G435" s="395"/>
      <c r="H435" s="529"/>
      <c r="I435" s="394"/>
      <c r="J435" s="430"/>
      <c r="K435" s="395"/>
      <c r="L435" s="529"/>
      <c r="M435" s="394"/>
      <c r="N435" s="430"/>
      <c r="O435" s="395"/>
      <c r="P435" s="529"/>
      <c r="Q435" s="547"/>
      <c r="R435" s="548"/>
      <c r="S435" s="549"/>
      <c r="T435" s="541"/>
      <c r="U435" s="547"/>
      <c r="V435" s="548"/>
      <c r="W435" s="549"/>
      <c r="X435" s="541"/>
      <c r="Y435" s="547"/>
      <c r="Z435" s="548"/>
      <c r="AA435" s="549"/>
      <c r="AB435" s="541"/>
      <c r="AC435" s="547"/>
      <c r="AD435" s="548"/>
      <c r="AE435" s="549"/>
      <c r="AF435" s="541"/>
      <c r="AG435" s="366"/>
      <c r="AH435" s="366"/>
      <c r="AI435" s="366"/>
      <c r="AJ435" s="366"/>
      <c r="AK435" s="394"/>
      <c r="AL435" s="430"/>
      <c r="AM435" s="395"/>
      <c r="AN435" s="529"/>
      <c r="AO435" s="394"/>
      <c r="AP435" s="430"/>
      <c r="AQ435" s="395"/>
      <c r="AR435" s="529"/>
      <c r="AS435" s="542"/>
      <c r="AT435" s="542"/>
    </row>
    <row r="436">
      <c r="A436" s="394"/>
      <c r="B436" s="430"/>
      <c r="C436" s="395"/>
      <c r="D436" s="529"/>
      <c r="E436" s="394"/>
      <c r="F436" s="430"/>
      <c r="G436" s="395"/>
      <c r="H436" s="529"/>
      <c r="I436" s="394"/>
      <c r="J436" s="430"/>
      <c r="K436" s="395"/>
      <c r="L436" s="529"/>
      <c r="M436" s="394"/>
      <c r="N436" s="430"/>
      <c r="O436" s="395"/>
      <c r="P436" s="529"/>
      <c r="Q436" s="547"/>
      <c r="R436" s="548"/>
      <c r="S436" s="549"/>
      <c r="T436" s="541"/>
      <c r="U436" s="547"/>
      <c r="V436" s="548"/>
      <c r="W436" s="549"/>
      <c r="X436" s="541"/>
      <c r="Y436" s="547"/>
      <c r="Z436" s="548"/>
      <c r="AA436" s="549"/>
      <c r="AB436" s="541"/>
      <c r="AC436" s="547"/>
      <c r="AD436" s="548"/>
      <c r="AE436" s="549"/>
      <c r="AF436" s="541"/>
      <c r="AG436" s="366"/>
      <c r="AH436" s="366"/>
      <c r="AI436" s="366"/>
      <c r="AJ436" s="366"/>
      <c r="AK436" s="394"/>
      <c r="AL436" s="430"/>
      <c r="AM436" s="395"/>
      <c r="AN436" s="529"/>
      <c r="AO436" s="394"/>
      <c r="AP436" s="430"/>
      <c r="AQ436" s="395"/>
      <c r="AR436" s="529"/>
      <c r="AS436" s="542"/>
      <c r="AT436" s="542"/>
    </row>
    <row r="437">
      <c r="A437" s="394"/>
      <c r="B437" s="430"/>
      <c r="C437" s="395"/>
      <c r="D437" s="529"/>
      <c r="E437" s="394"/>
      <c r="F437" s="430"/>
      <c r="G437" s="395"/>
      <c r="H437" s="529"/>
      <c r="I437" s="394"/>
      <c r="J437" s="430"/>
      <c r="K437" s="395"/>
      <c r="L437" s="529"/>
      <c r="M437" s="394"/>
      <c r="N437" s="430"/>
      <c r="O437" s="395"/>
      <c r="P437" s="529"/>
      <c r="Q437" s="547"/>
      <c r="R437" s="548"/>
      <c r="S437" s="549"/>
      <c r="T437" s="541"/>
      <c r="U437" s="547"/>
      <c r="V437" s="548"/>
      <c r="W437" s="549"/>
      <c r="X437" s="541"/>
      <c r="Y437" s="547"/>
      <c r="Z437" s="548"/>
      <c r="AA437" s="549"/>
      <c r="AB437" s="541"/>
      <c r="AC437" s="547"/>
      <c r="AD437" s="548"/>
      <c r="AE437" s="549"/>
      <c r="AF437" s="541"/>
      <c r="AG437" s="366"/>
      <c r="AH437" s="366"/>
      <c r="AI437" s="366"/>
      <c r="AJ437" s="366"/>
      <c r="AK437" s="394"/>
      <c r="AL437" s="430"/>
      <c r="AM437" s="395"/>
      <c r="AN437" s="529"/>
      <c r="AO437" s="394"/>
      <c r="AP437" s="430"/>
      <c r="AQ437" s="395"/>
      <c r="AR437" s="529"/>
      <c r="AS437" s="542"/>
      <c r="AT437" s="542"/>
    </row>
    <row r="438">
      <c r="A438" s="394"/>
      <c r="B438" s="430"/>
      <c r="C438" s="395"/>
      <c r="D438" s="529"/>
      <c r="E438" s="394"/>
      <c r="F438" s="430"/>
      <c r="G438" s="395"/>
      <c r="H438" s="529"/>
      <c r="I438" s="394"/>
      <c r="J438" s="430"/>
      <c r="K438" s="395"/>
      <c r="L438" s="529"/>
      <c r="M438" s="394"/>
      <c r="N438" s="430"/>
      <c r="O438" s="395"/>
      <c r="P438" s="529"/>
      <c r="Q438" s="547"/>
      <c r="R438" s="548"/>
      <c r="S438" s="549"/>
      <c r="T438" s="541"/>
      <c r="U438" s="547"/>
      <c r="V438" s="548"/>
      <c r="W438" s="549"/>
      <c r="X438" s="541"/>
      <c r="Y438" s="547"/>
      <c r="Z438" s="548"/>
      <c r="AA438" s="549"/>
      <c r="AB438" s="541"/>
      <c r="AC438" s="547"/>
      <c r="AD438" s="548"/>
      <c r="AE438" s="549"/>
      <c r="AF438" s="541"/>
      <c r="AG438" s="366"/>
      <c r="AH438" s="366"/>
      <c r="AI438" s="366"/>
      <c r="AJ438" s="366"/>
      <c r="AK438" s="394"/>
      <c r="AL438" s="430"/>
      <c r="AM438" s="395"/>
      <c r="AN438" s="529"/>
      <c r="AO438" s="394"/>
      <c r="AP438" s="430"/>
      <c r="AQ438" s="395"/>
      <c r="AR438" s="529"/>
      <c r="AS438" s="542"/>
      <c r="AT438" s="542"/>
    </row>
    <row r="439">
      <c r="A439" s="394"/>
      <c r="B439" s="430"/>
      <c r="C439" s="395"/>
      <c r="D439" s="529"/>
      <c r="E439" s="394"/>
      <c r="F439" s="430"/>
      <c r="G439" s="395"/>
      <c r="H439" s="529"/>
      <c r="I439" s="394"/>
      <c r="J439" s="430"/>
      <c r="K439" s="395"/>
      <c r="L439" s="529"/>
      <c r="M439" s="394"/>
      <c r="N439" s="430"/>
      <c r="O439" s="395"/>
      <c r="P439" s="529"/>
      <c r="Q439" s="547"/>
      <c r="R439" s="548"/>
      <c r="S439" s="549"/>
      <c r="T439" s="541"/>
      <c r="U439" s="547"/>
      <c r="V439" s="548"/>
      <c r="W439" s="549"/>
      <c r="X439" s="541"/>
      <c r="Y439" s="547"/>
      <c r="Z439" s="548"/>
      <c r="AA439" s="549"/>
      <c r="AB439" s="541"/>
      <c r="AC439" s="547"/>
      <c r="AD439" s="548"/>
      <c r="AE439" s="549"/>
      <c r="AF439" s="541"/>
      <c r="AG439" s="366"/>
      <c r="AH439" s="366"/>
      <c r="AI439" s="366"/>
      <c r="AJ439" s="366"/>
      <c r="AK439" s="394"/>
      <c r="AL439" s="430"/>
      <c r="AM439" s="395"/>
      <c r="AN439" s="529"/>
      <c r="AO439" s="394"/>
      <c r="AP439" s="430"/>
      <c r="AQ439" s="395"/>
      <c r="AR439" s="529"/>
      <c r="AS439" s="542"/>
      <c r="AT439" s="542"/>
    </row>
    <row r="440">
      <c r="A440" s="394"/>
      <c r="B440" s="430"/>
      <c r="C440" s="395"/>
      <c r="D440" s="529"/>
      <c r="E440" s="394"/>
      <c r="F440" s="430"/>
      <c r="G440" s="395"/>
      <c r="H440" s="529"/>
      <c r="I440" s="394"/>
      <c r="J440" s="430"/>
      <c r="K440" s="395"/>
      <c r="L440" s="529"/>
      <c r="M440" s="394"/>
      <c r="N440" s="430"/>
      <c r="O440" s="395"/>
      <c r="P440" s="529"/>
      <c r="Q440" s="547"/>
      <c r="R440" s="548"/>
      <c r="S440" s="549"/>
      <c r="T440" s="541"/>
      <c r="U440" s="547"/>
      <c r="V440" s="548"/>
      <c r="W440" s="549"/>
      <c r="X440" s="541"/>
      <c r="Y440" s="547"/>
      <c r="Z440" s="548"/>
      <c r="AA440" s="549"/>
      <c r="AB440" s="541"/>
      <c r="AC440" s="547"/>
      <c r="AD440" s="548"/>
      <c r="AE440" s="549"/>
      <c r="AF440" s="541"/>
      <c r="AG440" s="366"/>
      <c r="AH440" s="366"/>
      <c r="AI440" s="366"/>
      <c r="AJ440" s="366"/>
      <c r="AK440" s="394"/>
      <c r="AL440" s="430"/>
      <c r="AM440" s="395"/>
      <c r="AN440" s="529"/>
      <c r="AO440" s="394"/>
      <c r="AP440" s="430"/>
      <c r="AQ440" s="395"/>
      <c r="AR440" s="529"/>
      <c r="AS440" s="542"/>
      <c r="AT440" s="542"/>
    </row>
    <row r="441">
      <c r="A441" s="394"/>
      <c r="B441" s="430"/>
      <c r="C441" s="395"/>
      <c r="D441" s="529"/>
      <c r="E441" s="394"/>
      <c r="F441" s="430"/>
      <c r="G441" s="395"/>
      <c r="H441" s="529"/>
      <c r="I441" s="394"/>
      <c r="J441" s="430"/>
      <c r="K441" s="395"/>
      <c r="L441" s="529"/>
      <c r="M441" s="394"/>
      <c r="N441" s="430"/>
      <c r="O441" s="395"/>
      <c r="P441" s="529"/>
      <c r="Q441" s="547"/>
      <c r="R441" s="548"/>
      <c r="S441" s="549"/>
      <c r="T441" s="541"/>
      <c r="U441" s="547"/>
      <c r="V441" s="548"/>
      <c r="W441" s="549"/>
      <c r="X441" s="541"/>
      <c r="Y441" s="547"/>
      <c r="Z441" s="548"/>
      <c r="AA441" s="549"/>
      <c r="AB441" s="541"/>
      <c r="AC441" s="547"/>
      <c r="AD441" s="548"/>
      <c r="AE441" s="549"/>
      <c r="AF441" s="541"/>
      <c r="AG441" s="366"/>
      <c r="AH441" s="366"/>
      <c r="AI441" s="366"/>
      <c r="AJ441" s="366"/>
      <c r="AK441" s="394"/>
      <c r="AL441" s="430"/>
      <c r="AM441" s="395"/>
      <c r="AN441" s="529"/>
      <c r="AO441" s="394"/>
      <c r="AP441" s="430"/>
      <c r="AQ441" s="395"/>
      <c r="AR441" s="529"/>
      <c r="AS441" s="542"/>
      <c r="AT441" s="542"/>
    </row>
    <row r="442">
      <c r="A442" s="394"/>
      <c r="B442" s="430"/>
      <c r="C442" s="395"/>
      <c r="D442" s="529"/>
      <c r="E442" s="394"/>
      <c r="F442" s="430"/>
      <c r="G442" s="395"/>
      <c r="H442" s="529"/>
      <c r="I442" s="394"/>
      <c r="J442" s="430"/>
      <c r="K442" s="395"/>
      <c r="L442" s="529"/>
      <c r="M442" s="394"/>
      <c r="N442" s="430"/>
      <c r="O442" s="395"/>
      <c r="P442" s="529"/>
      <c r="Q442" s="547"/>
      <c r="R442" s="548"/>
      <c r="S442" s="549"/>
      <c r="T442" s="541"/>
      <c r="U442" s="547"/>
      <c r="V442" s="548"/>
      <c r="W442" s="549"/>
      <c r="X442" s="541"/>
      <c r="Y442" s="547"/>
      <c r="Z442" s="548"/>
      <c r="AA442" s="549"/>
      <c r="AB442" s="541"/>
      <c r="AC442" s="547"/>
      <c r="AD442" s="548"/>
      <c r="AE442" s="549"/>
      <c r="AF442" s="541"/>
      <c r="AG442" s="366"/>
      <c r="AH442" s="366"/>
      <c r="AI442" s="366"/>
      <c r="AJ442" s="366"/>
      <c r="AK442" s="394"/>
      <c r="AL442" s="430"/>
      <c r="AM442" s="395"/>
      <c r="AN442" s="529"/>
      <c r="AO442" s="394"/>
      <c r="AP442" s="430"/>
      <c r="AQ442" s="395"/>
      <c r="AR442" s="529"/>
      <c r="AS442" s="542"/>
      <c r="AT442" s="542"/>
    </row>
    <row r="443">
      <c r="A443" s="394"/>
      <c r="B443" s="430"/>
      <c r="C443" s="395"/>
      <c r="D443" s="529"/>
      <c r="E443" s="394"/>
      <c r="F443" s="430"/>
      <c r="G443" s="395"/>
      <c r="H443" s="529"/>
      <c r="I443" s="394"/>
      <c r="J443" s="430"/>
      <c r="K443" s="395"/>
      <c r="L443" s="529"/>
      <c r="M443" s="394"/>
      <c r="N443" s="430"/>
      <c r="O443" s="395"/>
      <c r="P443" s="529"/>
      <c r="Q443" s="547"/>
      <c r="R443" s="548"/>
      <c r="S443" s="549"/>
      <c r="T443" s="541"/>
      <c r="U443" s="547"/>
      <c r="V443" s="548"/>
      <c r="W443" s="549"/>
      <c r="X443" s="541"/>
      <c r="Y443" s="547"/>
      <c r="Z443" s="548"/>
      <c r="AA443" s="549"/>
      <c r="AB443" s="541"/>
      <c r="AC443" s="547"/>
      <c r="AD443" s="548"/>
      <c r="AE443" s="549"/>
      <c r="AF443" s="541"/>
      <c r="AG443" s="366"/>
      <c r="AH443" s="366"/>
      <c r="AI443" s="366"/>
      <c r="AJ443" s="366"/>
      <c r="AK443" s="394"/>
      <c r="AL443" s="430"/>
      <c r="AM443" s="395"/>
      <c r="AN443" s="529"/>
      <c r="AO443" s="394"/>
      <c r="AP443" s="430"/>
      <c r="AQ443" s="395"/>
      <c r="AR443" s="529"/>
      <c r="AS443" s="542"/>
      <c r="AT443" s="542"/>
    </row>
    <row r="444">
      <c r="A444" s="394"/>
      <c r="B444" s="430"/>
      <c r="C444" s="395"/>
      <c r="D444" s="529"/>
      <c r="E444" s="394"/>
      <c r="F444" s="430"/>
      <c r="G444" s="395"/>
      <c r="H444" s="529"/>
      <c r="I444" s="394"/>
      <c r="J444" s="430"/>
      <c r="K444" s="395"/>
      <c r="L444" s="529"/>
      <c r="M444" s="394"/>
      <c r="N444" s="430"/>
      <c r="O444" s="395"/>
      <c r="P444" s="529"/>
      <c r="Q444" s="547"/>
      <c r="R444" s="548"/>
      <c r="S444" s="549"/>
      <c r="T444" s="541"/>
      <c r="U444" s="547"/>
      <c r="V444" s="548"/>
      <c r="W444" s="549"/>
      <c r="X444" s="541"/>
      <c r="Y444" s="547"/>
      <c r="Z444" s="548"/>
      <c r="AA444" s="549"/>
      <c r="AB444" s="541"/>
      <c r="AC444" s="547"/>
      <c r="AD444" s="548"/>
      <c r="AE444" s="549"/>
      <c r="AF444" s="541"/>
      <c r="AG444" s="366"/>
      <c r="AH444" s="366"/>
      <c r="AI444" s="366"/>
      <c r="AJ444" s="366"/>
      <c r="AK444" s="394"/>
      <c r="AL444" s="430"/>
      <c r="AM444" s="395"/>
      <c r="AN444" s="529"/>
      <c r="AO444" s="394"/>
      <c r="AP444" s="430"/>
      <c r="AQ444" s="395"/>
      <c r="AR444" s="529"/>
      <c r="AS444" s="542"/>
      <c r="AT444" s="542"/>
    </row>
    <row r="445">
      <c r="A445" s="394"/>
      <c r="B445" s="430"/>
      <c r="C445" s="395"/>
      <c r="D445" s="529"/>
      <c r="E445" s="394"/>
      <c r="F445" s="430"/>
      <c r="G445" s="395"/>
      <c r="H445" s="529"/>
      <c r="I445" s="394"/>
      <c r="J445" s="430"/>
      <c r="K445" s="395"/>
      <c r="L445" s="529"/>
      <c r="M445" s="394"/>
      <c r="N445" s="430"/>
      <c r="O445" s="395"/>
      <c r="P445" s="529"/>
      <c r="Q445" s="547"/>
      <c r="R445" s="548"/>
      <c r="S445" s="549"/>
      <c r="T445" s="541"/>
      <c r="U445" s="547"/>
      <c r="V445" s="548"/>
      <c r="W445" s="549"/>
      <c r="X445" s="541"/>
      <c r="Y445" s="547"/>
      <c r="Z445" s="548"/>
      <c r="AA445" s="549"/>
      <c r="AB445" s="541"/>
      <c r="AC445" s="547"/>
      <c r="AD445" s="548"/>
      <c r="AE445" s="549"/>
      <c r="AF445" s="541"/>
      <c r="AG445" s="366"/>
      <c r="AH445" s="366"/>
      <c r="AI445" s="366"/>
      <c r="AJ445" s="366"/>
      <c r="AK445" s="394"/>
      <c r="AL445" s="430"/>
      <c r="AM445" s="395"/>
      <c r="AN445" s="529"/>
      <c r="AO445" s="394"/>
      <c r="AP445" s="430"/>
      <c r="AQ445" s="395"/>
      <c r="AR445" s="529"/>
      <c r="AS445" s="542"/>
      <c r="AT445" s="542"/>
    </row>
    <row r="446">
      <c r="A446" s="394"/>
      <c r="B446" s="430"/>
      <c r="C446" s="395"/>
      <c r="D446" s="529"/>
      <c r="E446" s="394"/>
      <c r="F446" s="430"/>
      <c r="G446" s="395"/>
      <c r="H446" s="529"/>
      <c r="I446" s="394"/>
      <c r="J446" s="430"/>
      <c r="K446" s="395"/>
      <c r="L446" s="529"/>
      <c r="M446" s="394"/>
      <c r="N446" s="430"/>
      <c r="O446" s="395"/>
      <c r="P446" s="529"/>
      <c r="Q446" s="547"/>
      <c r="R446" s="548"/>
      <c r="S446" s="549"/>
      <c r="T446" s="541"/>
      <c r="U446" s="547"/>
      <c r="V446" s="548"/>
      <c r="W446" s="549"/>
      <c r="X446" s="541"/>
      <c r="Y446" s="547"/>
      <c r="Z446" s="548"/>
      <c r="AA446" s="549"/>
      <c r="AB446" s="541"/>
      <c r="AC446" s="547"/>
      <c r="AD446" s="548"/>
      <c r="AE446" s="549"/>
      <c r="AF446" s="541"/>
      <c r="AG446" s="366"/>
      <c r="AH446" s="366"/>
      <c r="AI446" s="366"/>
      <c r="AJ446" s="366"/>
      <c r="AK446" s="394"/>
      <c r="AL446" s="430"/>
      <c r="AM446" s="395"/>
      <c r="AN446" s="529"/>
      <c r="AO446" s="394"/>
      <c r="AP446" s="430"/>
      <c r="AQ446" s="395"/>
      <c r="AR446" s="529"/>
      <c r="AS446" s="542"/>
      <c r="AT446" s="542"/>
    </row>
    <row r="447">
      <c r="A447" s="394"/>
      <c r="B447" s="430"/>
      <c r="C447" s="395"/>
      <c r="D447" s="529"/>
      <c r="E447" s="394"/>
      <c r="F447" s="430"/>
      <c r="G447" s="395"/>
      <c r="H447" s="529"/>
      <c r="I447" s="394"/>
      <c r="J447" s="430"/>
      <c r="K447" s="395"/>
      <c r="L447" s="529"/>
      <c r="M447" s="394"/>
      <c r="N447" s="430"/>
      <c r="O447" s="395"/>
      <c r="P447" s="529"/>
      <c r="Q447" s="547"/>
      <c r="R447" s="548"/>
      <c r="S447" s="549"/>
      <c r="T447" s="541"/>
      <c r="U447" s="547"/>
      <c r="V447" s="548"/>
      <c r="W447" s="549"/>
      <c r="X447" s="541"/>
      <c r="Y447" s="547"/>
      <c r="Z447" s="548"/>
      <c r="AA447" s="549"/>
      <c r="AB447" s="541"/>
      <c r="AC447" s="547"/>
      <c r="AD447" s="548"/>
      <c r="AE447" s="549"/>
      <c r="AF447" s="541"/>
      <c r="AG447" s="366"/>
      <c r="AH447" s="366"/>
      <c r="AI447" s="366"/>
      <c r="AJ447" s="366"/>
      <c r="AK447" s="394"/>
      <c r="AL447" s="430"/>
      <c r="AM447" s="395"/>
      <c r="AN447" s="529"/>
      <c r="AO447" s="394"/>
      <c r="AP447" s="430"/>
      <c r="AQ447" s="395"/>
      <c r="AR447" s="529"/>
      <c r="AS447" s="542"/>
      <c r="AT447" s="542"/>
    </row>
    <row r="448">
      <c r="A448" s="394"/>
      <c r="B448" s="430"/>
      <c r="C448" s="395"/>
      <c r="D448" s="529"/>
      <c r="E448" s="394"/>
      <c r="F448" s="430"/>
      <c r="G448" s="395"/>
      <c r="H448" s="529"/>
      <c r="I448" s="394"/>
      <c r="J448" s="430"/>
      <c r="K448" s="395"/>
      <c r="L448" s="529"/>
      <c r="M448" s="394"/>
      <c r="N448" s="430"/>
      <c r="O448" s="395"/>
      <c r="P448" s="529"/>
      <c r="Q448" s="547"/>
      <c r="R448" s="548"/>
      <c r="S448" s="549"/>
      <c r="T448" s="541"/>
      <c r="U448" s="547"/>
      <c r="V448" s="548"/>
      <c r="W448" s="549"/>
      <c r="X448" s="541"/>
      <c r="Y448" s="547"/>
      <c r="Z448" s="548"/>
      <c r="AA448" s="549"/>
      <c r="AB448" s="541"/>
      <c r="AC448" s="547"/>
      <c r="AD448" s="548"/>
      <c r="AE448" s="549"/>
      <c r="AF448" s="541"/>
      <c r="AG448" s="366"/>
      <c r="AH448" s="366"/>
      <c r="AI448" s="366"/>
      <c r="AJ448" s="366"/>
      <c r="AK448" s="394"/>
      <c r="AL448" s="430"/>
      <c r="AM448" s="395"/>
      <c r="AN448" s="529"/>
      <c r="AO448" s="394"/>
      <c r="AP448" s="430"/>
      <c r="AQ448" s="395"/>
      <c r="AR448" s="529"/>
      <c r="AS448" s="542"/>
      <c r="AT448" s="542"/>
    </row>
    <row r="449">
      <c r="A449" s="394"/>
      <c r="B449" s="430"/>
      <c r="C449" s="395"/>
      <c r="D449" s="529"/>
      <c r="E449" s="394"/>
      <c r="F449" s="430"/>
      <c r="G449" s="395"/>
      <c r="H449" s="529"/>
      <c r="I449" s="394"/>
      <c r="J449" s="430"/>
      <c r="K449" s="395"/>
      <c r="L449" s="529"/>
      <c r="M449" s="394"/>
      <c r="N449" s="430"/>
      <c r="O449" s="395"/>
      <c r="P449" s="529"/>
      <c r="Q449" s="547"/>
      <c r="R449" s="548"/>
      <c r="S449" s="549"/>
      <c r="T449" s="541"/>
      <c r="U449" s="547"/>
      <c r="V449" s="548"/>
      <c r="W449" s="549"/>
      <c r="X449" s="541"/>
      <c r="Y449" s="547"/>
      <c r="Z449" s="548"/>
      <c r="AA449" s="549"/>
      <c r="AB449" s="541"/>
      <c r="AC449" s="547"/>
      <c r="AD449" s="548"/>
      <c r="AE449" s="549"/>
      <c r="AF449" s="541"/>
      <c r="AG449" s="366"/>
      <c r="AH449" s="366"/>
      <c r="AI449" s="366"/>
      <c r="AJ449" s="366"/>
      <c r="AK449" s="394"/>
      <c r="AL449" s="430"/>
      <c r="AM449" s="395"/>
      <c r="AN449" s="529"/>
      <c r="AO449" s="394"/>
      <c r="AP449" s="430"/>
      <c r="AQ449" s="395"/>
      <c r="AR449" s="529"/>
      <c r="AS449" s="542"/>
      <c r="AT449" s="542"/>
    </row>
    <row r="450">
      <c r="A450" s="394"/>
      <c r="B450" s="430"/>
      <c r="C450" s="395"/>
      <c r="D450" s="529"/>
      <c r="E450" s="394"/>
      <c r="F450" s="430"/>
      <c r="G450" s="395"/>
      <c r="H450" s="529"/>
      <c r="I450" s="394"/>
      <c r="J450" s="430"/>
      <c r="K450" s="395"/>
      <c r="L450" s="529"/>
      <c r="M450" s="394"/>
      <c r="N450" s="430"/>
      <c r="O450" s="395"/>
      <c r="P450" s="529"/>
      <c r="Q450" s="547"/>
      <c r="R450" s="548"/>
      <c r="S450" s="549"/>
      <c r="T450" s="541"/>
      <c r="U450" s="547"/>
      <c r="V450" s="548"/>
      <c r="W450" s="549"/>
      <c r="X450" s="541"/>
      <c r="Y450" s="547"/>
      <c r="Z450" s="548"/>
      <c r="AA450" s="549"/>
      <c r="AB450" s="541"/>
      <c r="AC450" s="547"/>
      <c r="AD450" s="548"/>
      <c r="AE450" s="549"/>
      <c r="AF450" s="541"/>
      <c r="AG450" s="366"/>
      <c r="AH450" s="366"/>
      <c r="AI450" s="366"/>
      <c r="AJ450" s="366"/>
      <c r="AK450" s="394"/>
      <c r="AL450" s="430"/>
      <c r="AM450" s="395"/>
      <c r="AN450" s="529"/>
      <c r="AO450" s="394"/>
      <c r="AP450" s="430"/>
      <c r="AQ450" s="395"/>
      <c r="AR450" s="529"/>
      <c r="AS450" s="542"/>
      <c r="AT450" s="542"/>
    </row>
    <row r="451">
      <c r="A451" s="394"/>
      <c r="B451" s="430"/>
      <c r="C451" s="395"/>
      <c r="D451" s="529"/>
      <c r="E451" s="394"/>
      <c r="F451" s="430"/>
      <c r="G451" s="395"/>
      <c r="H451" s="529"/>
      <c r="I451" s="394"/>
      <c r="J451" s="430"/>
      <c r="K451" s="395"/>
      <c r="L451" s="529"/>
      <c r="M451" s="394"/>
      <c r="N451" s="430"/>
      <c r="O451" s="395"/>
      <c r="P451" s="529"/>
      <c r="Q451" s="547"/>
      <c r="R451" s="548"/>
      <c r="S451" s="549"/>
      <c r="T451" s="541"/>
      <c r="U451" s="547"/>
      <c r="V451" s="548"/>
      <c r="W451" s="549"/>
      <c r="X451" s="541"/>
      <c r="Y451" s="547"/>
      <c r="Z451" s="548"/>
      <c r="AA451" s="549"/>
      <c r="AB451" s="541"/>
      <c r="AC451" s="547"/>
      <c r="AD451" s="548"/>
      <c r="AE451" s="549"/>
      <c r="AF451" s="541"/>
      <c r="AG451" s="366"/>
      <c r="AH451" s="366"/>
      <c r="AI451" s="366"/>
      <c r="AJ451" s="366"/>
      <c r="AK451" s="394"/>
      <c r="AL451" s="430"/>
      <c r="AM451" s="395"/>
      <c r="AN451" s="529"/>
      <c r="AO451" s="394"/>
      <c r="AP451" s="430"/>
      <c r="AQ451" s="395"/>
      <c r="AR451" s="529"/>
      <c r="AS451" s="542"/>
      <c r="AT451" s="542"/>
    </row>
    <row r="452">
      <c r="A452" s="394"/>
      <c r="B452" s="430"/>
      <c r="C452" s="395"/>
      <c r="D452" s="529"/>
      <c r="E452" s="394"/>
      <c r="F452" s="430"/>
      <c r="G452" s="395"/>
      <c r="H452" s="529"/>
      <c r="I452" s="394"/>
      <c r="J452" s="430"/>
      <c r="K452" s="395"/>
      <c r="L452" s="529"/>
      <c r="M452" s="394"/>
      <c r="N452" s="430"/>
      <c r="O452" s="395"/>
      <c r="P452" s="529"/>
      <c r="Q452" s="547"/>
      <c r="R452" s="548"/>
      <c r="S452" s="549"/>
      <c r="T452" s="541"/>
      <c r="U452" s="547"/>
      <c r="V452" s="548"/>
      <c r="W452" s="549"/>
      <c r="X452" s="541"/>
      <c r="Y452" s="547"/>
      <c r="Z452" s="548"/>
      <c r="AA452" s="549"/>
      <c r="AB452" s="541"/>
      <c r="AC452" s="547"/>
      <c r="AD452" s="548"/>
      <c r="AE452" s="549"/>
      <c r="AF452" s="541"/>
      <c r="AG452" s="366"/>
      <c r="AH452" s="366"/>
      <c r="AI452" s="366"/>
      <c r="AJ452" s="366"/>
      <c r="AK452" s="394"/>
      <c r="AL452" s="430"/>
      <c r="AM452" s="395"/>
      <c r="AN452" s="529"/>
      <c r="AO452" s="394"/>
      <c r="AP452" s="430"/>
      <c r="AQ452" s="395"/>
      <c r="AR452" s="529"/>
      <c r="AS452" s="542"/>
      <c r="AT452" s="542"/>
    </row>
    <row r="453">
      <c r="A453" s="394"/>
      <c r="B453" s="430"/>
      <c r="C453" s="395"/>
      <c r="D453" s="529"/>
      <c r="E453" s="394"/>
      <c r="F453" s="430"/>
      <c r="G453" s="395"/>
      <c r="H453" s="529"/>
      <c r="I453" s="394"/>
      <c r="J453" s="430"/>
      <c r="K453" s="395"/>
      <c r="L453" s="529"/>
      <c r="M453" s="394"/>
      <c r="N453" s="430"/>
      <c r="O453" s="395"/>
      <c r="P453" s="529"/>
      <c r="Q453" s="547"/>
      <c r="R453" s="548"/>
      <c r="S453" s="549"/>
      <c r="T453" s="541"/>
      <c r="U453" s="547"/>
      <c r="V453" s="548"/>
      <c r="W453" s="549"/>
      <c r="X453" s="541"/>
      <c r="Y453" s="547"/>
      <c r="Z453" s="548"/>
      <c r="AA453" s="549"/>
      <c r="AB453" s="541"/>
      <c r="AC453" s="547"/>
      <c r="AD453" s="548"/>
      <c r="AE453" s="549"/>
      <c r="AF453" s="541"/>
      <c r="AG453" s="366"/>
      <c r="AH453" s="366"/>
      <c r="AI453" s="366"/>
      <c r="AJ453" s="366"/>
      <c r="AK453" s="394"/>
      <c r="AL453" s="430"/>
      <c r="AM453" s="395"/>
      <c r="AN453" s="529"/>
      <c r="AO453" s="394"/>
      <c r="AP453" s="430"/>
      <c r="AQ453" s="395"/>
      <c r="AR453" s="529"/>
      <c r="AS453" s="542"/>
      <c r="AT453" s="542"/>
    </row>
    <row r="454">
      <c r="A454" s="394"/>
      <c r="B454" s="430"/>
      <c r="C454" s="395"/>
      <c r="D454" s="529"/>
      <c r="E454" s="394"/>
      <c r="F454" s="430"/>
      <c r="G454" s="395"/>
      <c r="H454" s="529"/>
      <c r="I454" s="394"/>
      <c r="J454" s="430"/>
      <c r="K454" s="395"/>
      <c r="L454" s="529"/>
      <c r="M454" s="394"/>
      <c r="N454" s="430"/>
      <c r="O454" s="395"/>
      <c r="P454" s="529"/>
      <c r="Q454" s="547"/>
      <c r="R454" s="548"/>
      <c r="S454" s="549"/>
      <c r="T454" s="541"/>
      <c r="U454" s="547"/>
      <c r="V454" s="548"/>
      <c r="W454" s="549"/>
      <c r="X454" s="541"/>
      <c r="Y454" s="547"/>
      <c r="Z454" s="548"/>
      <c r="AA454" s="549"/>
      <c r="AB454" s="541"/>
      <c r="AC454" s="547"/>
      <c r="AD454" s="548"/>
      <c r="AE454" s="549"/>
      <c r="AF454" s="541"/>
      <c r="AG454" s="366"/>
      <c r="AH454" s="366"/>
      <c r="AI454" s="366"/>
      <c r="AJ454" s="366"/>
      <c r="AK454" s="394"/>
      <c r="AL454" s="430"/>
      <c r="AM454" s="395"/>
      <c r="AN454" s="529"/>
      <c r="AO454" s="394"/>
      <c r="AP454" s="430"/>
      <c r="AQ454" s="395"/>
      <c r="AR454" s="529"/>
      <c r="AS454" s="542"/>
      <c r="AT454" s="542"/>
    </row>
    <row r="455">
      <c r="A455" s="394"/>
      <c r="B455" s="430"/>
      <c r="C455" s="395"/>
      <c r="D455" s="529"/>
      <c r="E455" s="394"/>
      <c r="F455" s="430"/>
      <c r="G455" s="395"/>
      <c r="H455" s="529"/>
      <c r="I455" s="394"/>
      <c r="J455" s="430"/>
      <c r="K455" s="395"/>
      <c r="L455" s="529"/>
      <c r="M455" s="394"/>
      <c r="N455" s="430"/>
      <c r="O455" s="395"/>
      <c r="P455" s="529"/>
      <c r="Q455" s="547"/>
      <c r="R455" s="548"/>
      <c r="S455" s="549"/>
      <c r="T455" s="541"/>
      <c r="U455" s="547"/>
      <c r="V455" s="548"/>
      <c r="W455" s="549"/>
      <c r="X455" s="541"/>
      <c r="Y455" s="547"/>
      <c r="Z455" s="548"/>
      <c r="AA455" s="549"/>
      <c r="AB455" s="541"/>
      <c r="AC455" s="547"/>
      <c r="AD455" s="548"/>
      <c r="AE455" s="549"/>
      <c r="AF455" s="541"/>
      <c r="AG455" s="366"/>
      <c r="AH455" s="366"/>
      <c r="AI455" s="366"/>
      <c r="AJ455" s="366"/>
      <c r="AK455" s="394"/>
      <c r="AL455" s="430"/>
      <c r="AM455" s="395"/>
      <c r="AN455" s="529"/>
      <c r="AO455" s="394"/>
      <c r="AP455" s="430"/>
      <c r="AQ455" s="395"/>
      <c r="AR455" s="529"/>
      <c r="AS455" s="542"/>
      <c r="AT455" s="542"/>
    </row>
    <row r="456">
      <c r="A456" s="394"/>
      <c r="B456" s="430"/>
      <c r="C456" s="395"/>
      <c r="D456" s="529"/>
      <c r="E456" s="394"/>
      <c r="F456" s="430"/>
      <c r="G456" s="395"/>
      <c r="H456" s="529"/>
      <c r="I456" s="394"/>
      <c r="J456" s="430"/>
      <c r="K456" s="395"/>
      <c r="L456" s="529"/>
      <c r="M456" s="394"/>
      <c r="N456" s="430"/>
      <c r="O456" s="395"/>
      <c r="P456" s="529"/>
      <c r="Q456" s="547"/>
      <c r="R456" s="548"/>
      <c r="S456" s="549"/>
      <c r="T456" s="541"/>
      <c r="U456" s="547"/>
      <c r="V456" s="548"/>
      <c r="W456" s="549"/>
      <c r="X456" s="541"/>
      <c r="Y456" s="547"/>
      <c r="Z456" s="548"/>
      <c r="AA456" s="549"/>
      <c r="AB456" s="541"/>
      <c r="AC456" s="547"/>
      <c r="AD456" s="548"/>
      <c r="AE456" s="549"/>
      <c r="AF456" s="541"/>
      <c r="AG456" s="366"/>
      <c r="AH456" s="366"/>
      <c r="AI456" s="366"/>
      <c r="AJ456" s="366"/>
      <c r="AK456" s="394"/>
      <c r="AL456" s="430"/>
      <c r="AM456" s="395"/>
      <c r="AN456" s="529"/>
      <c r="AO456" s="394"/>
      <c r="AP456" s="430"/>
      <c r="AQ456" s="395"/>
      <c r="AR456" s="529"/>
      <c r="AS456" s="542"/>
      <c r="AT456" s="542"/>
    </row>
    <row r="457">
      <c r="A457" s="394"/>
      <c r="B457" s="430"/>
      <c r="C457" s="395"/>
      <c r="D457" s="529"/>
      <c r="E457" s="394"/>
      <c r="F457" s="430"/>
      <c r="G457" s="395"/>
      <c r="H457" s="529"/>
      <c r="I457" s="394"/>
      <c r="J457" s="430"/>
      <c r="K457" s="395"/>
      <c r="L457" s="529"/>
      <c r="M457" s="394"/>
      <c r="N457" s="430"/>
      <c r="O457" s="395"/>
      <c r="P457" s="529"/>
      <c r="Q457" s="547"/>
      <c r="R457" s="548"/>
      <c r="S457" s="549"/>
      <c r="T457" s="541"/>
      <c r="U457" s="547"/>
      <c r="V457" s="548"/>
      <c r="W457" s="549"/>
      <c r="X457" s="541"/>
      <c r="Y457" s="547"/>
      <c r="Z457" s="548"/>
      <c r="AA457" s="549"/>
      <c r="AB457" s="541"/>
      <c r="AC457" s="547"/>
      <c r="AD457" s="548"/>
      <c r="AE457" s="549"/>
      <c r="AF457" s="541"/>
      <c r="AG457" s="366"/>
      <c r="AH457" s="366"/>
      <c r="AI457" s="366"/>
      <c r="AJ457" s="366"/>
      <c r="AK457" s="394"/>
      <c r="AL457" s="430"/>
      <c r="AM457" s="395"/>
      <c r="AN457" s="529"/>
      <c r="AO457" s="394"/>
      <c r="AP457" s="430"/>
      <c r="AQ457" s="395"/>
      <c r="AR457" s="529"/>
      <c r="AS457" s="542"/>
      <c r="AT457" s="542"/>
    </row>
    <row r="458">
      <c r="A458" s="394"/>
      <c r="B458" s="430"/>
      <c r="C458" s="395"/>
      <c r="D458" s="529"/>
      <c r="E458" s="394"/>
      <c r="F458" s="430"/>
      <c r="G458" s="395"/>
      <c r="H458" s="529"/>
      <c r="I458" s="394"/>
      <c r="J458" s="430"/>
      <c r="K458" s="395"/>
      <c r="L458" s="529"/>
      <c r="M458" s="394"/>
      <c r="N458" s="430"/>
      <c r="O458" s="395"/>
      <c r="P458" s="529"/>
      <c r="Q458" s="547"/>
      <c r="R458" s="548"/>
      <c r="S458" s="549"/>
      <c r="T458" s="541"/>
      <c r="U458" s="547"/>
      <c r="V458" s="548"/>
      <c r="W458" s="549"/>
      <c r="X458" s="541"/>
      <c r="Y458" s="547"/>
      <c r="Z458" s="548"/>
      <c r="AA458" s="549"/>
      <c r="AB458" s="541"/>
      <c r="AC458" s="547"/>
      <c r="AD458" s="548"/>
      <c r="AE458" s="549"/>
      <c r="AF458" s="541"/>
      <c r="AG458" s="366"/>
      <c r="AH458" s="366"/>
      <c r="AI458" s="366"/>
      <c r="AJ458" s="366"/>
      <c r="AK458" s="394"/>
      <c r="AL458" s="430"/>
      <c r="AM458" s="395"/>
      <c r="AN458" s="529"/>
      <c r="AO458" s="394"/>
      <c r="AP458" s="430"/>
      <c r="AQ458" s="395"/>
      <c r="AR458" s="529"/>
      <c r="AS458" s="542"/>
      <c r="AT458" s="542"/>
    </row>
    <row r="459">
      <c r="A459" s="394"/>
      <c r="B459" s="430"/>
      <c r="C459" s="395"/>
      <c r="D459" s="529"/>
      <c r="E459" s="394"/>
      <c r="F459" s="430"/>
      <c r="G459" s="395"/>
      <c r="H459" s="529"/>
      <c r="I459" s="394"/>
      <c r="J459" s="430"/>
      <c r="K459" s="395"/>
      <c r="L459" s="529"/>
      <c r="M459" s="394"/>
      <c r="N459" s="430"/>
      <c r="O459" s="395"/>
      <c r="P459" s="529"/>
      <c r="Q459" s="547"/>
      <c r="R459" s="548"/>
      <c r="S459" s="549"/>
      <c r="T459" s="541"/>
      <c r="U459" s="547"/>
      <c r="V459" s="548"/>
      <c r="W459" s="549"/>
      <c r="X459" s="541"/>
      <c r="Y459" s="547"/>
      <c r="Z459" s="548"/>
      <c r="AA459" s="549"/>
      <c r="AB459" s="541"/>
      <c r="AC459" s="547"/>
      <c r="AD459" s="548"/>
      <c r="AE459" s="549"/>
      <c r="AF459" s="541"/>
      <c r="AG459" s="366"/>
      <c r="AH459" s="366"/>
      <c r="AI459" s="366"/>
      <c r="AJ459" s="366"/>
      <c r="AK459" s="394"/>
      <c r="AL459" s="430"/>
      <c r="AM459" s="395"/>
      <c r="AN459" s="529"/>
      <c r="AO459" s="394"/>
      <c r="AP459" s="430"/>
      <c r="AQ459" s="395"/>
      <c r="AR459" s="529"/>
      <c r="AS459" s="542"/>
      <c r="AT459" s="542"/>
    </row>
    <row r="460">
      <c r="A460" s="394"/>
      <c r="B460" s="430"/>
      <c r="C460" s="395"/>
      <c r="D460" s="529"/>
      <c r="E460" s="394"/>
      <c r="F460" s="430"/>
      <c r="G460" s="395"/>
      <c r="H460" s="529"/>
      <c r="I460" s="394"/>
      <c r="J460" s="430"/>
      <c r="K460" s="395"/>
      <c r="L460" s="529"/>
      <c r="M460" s="394"/>
      <c r="N460" s="430"/>
      <c r="O460" s="395"/>
      <c r="P460" s="529"/>
      <c r="Q460" s="547"/>
      <c r="R460" s="548"/>
      <c r="S460" s="549"/>
      <c r="T460" s="541"/>
      <c r="U460" s="547"/>
      <c r="V460" s="548"/>
      <c r="W460" s="549"/>
      <c r="X460" s="541"/>
      <c r="Y460" s="547"/>
      <c r="Z460" s="548"/>
      <c r="AA460" s="549"/>
      <c r="AB460" s="541"/>
      <c r="AC460" s="547"/>
      <c r="AD460" s="548"/>
      <c r="AE460" s="549"/>
      <c r="AF460" s="541"/>
      <c r="AG460" s="366"/>
      <c r="AH460" s="366"/>
      <c r="AI460" s="366"/>
      <c r="AJ460" s="366"/>
      <c r="AK460" s="394"/>
      <c r="AL460" s="430"/>
      <c r="AM460" s="395"/>
      <c r="AN460" s="529"/>
      <c r="AO460" s="394"/>
      <c r="AP460" s="430"/>
      <c r="AQ460" s="395"/>
      <c r="AR460" s="529"/>
      <c r="AS460" s="542"/>
      <c r="AT460" s="542"/>
    </row>
    <row r="461">
      <c r="A461" s="394"/>
      <c r="B461" s="430"/>
      <c r="C461" s="395"/>
      <c r="D461" s="529"/>
      <c r="E461" s="394"/>
      <c r="F461" s="430"/>
      <c r="G461" s="395"/>
      <c r="H461" s="529"/>
      <c r="I461" s="394"/>
      <c r="J461" s="430"/>
      <c r="K461" s="395"/>
      <c r="L461" s="529"/>
      <c r="M461" s="394"/>
      <c r="N461" s="430"/>
      <c r="O461" s="395"/>
      <c r="P461" s="529"/>
      <c r="Q461" s="547"/>
      <c r="R461" s="548"/>
      <c r="S461" s="549"/>
      <c r="T461" s="541"/>
      <c r="U461" s="547"/>
      <c r="V461" s="548"/>
      <c r="W461" s="549"/>
      <c r="X461" s="541"/>
      <c r="Y461" s="547"/>
      <c r="Z461" s="548"/>
      <c r="AA461" s="549"/>
      <c r="AB461" s="541"/>
      <c r="AC461" s="547"/>
      <c r="AD461" s="548"/>
      <c r="AE461" s="549"/>
      <c r="AF461" s="541"/>
      <c r="AG461" s="366"/>
      <c r="AH461" s="366"/>
      <c r="AI461" s="366"/>
      <c r="AJ461" s="366"/>
      <c r="AK461" s="394"/>
      <c r="AL461" s="430"/>
      <c r="AM461" s="395"/>
      <c r="AN461" s="529"/>
      <c r="AO461" s="394"/>
      <c r="AP461" s="430"/>
      <c r="AQ461" s="395"/>
      <c r="AR461" s="529"/>
      <c r="AS461" s="542"/>
      <c r="AT461" s="542"/>
    </row>
    <row r="462">
      <c r="A462" s="394"/>
      <c r="B462" s="430"/>
      <c r="C462" s="395"/>
      <c r="D462" s="529"/>
      <c r="E462" s="394"/>
      <c r="F462" s="430"/>
      <c r="G462" s="395"/>
      <c r="H462" s="529"/>
      <c r="I462" s="394"/>
      <c r="J462" s="430"/>
      <c r="K462" s="395"/>
      <c r="L462" s="529"/>
      <c r="M462" s="394"/>
      <c r="N462" s="430"/>
      <c r="O462" s="395"/>
      <c r="P462" s="529"/>
      <c r="Q462" s="547"/>
      <c r="R462" s="548"/>
      <c r="S462" s="549"/>
      <c r="T462" s="541"/>
      <c r="U462" s="547"/>
      <c r="V462" s="548"/>
      <c r="W462" s="549"/>
      <c r="X462" s="541"/>
      <c r="Y462" s="547"/>
      <c r="Z462" s="548"/>
      <c r="AA462" s="549"/>
      <c r="AB462" s="541"/>
      <c r="AC462" s="547"/>
      <c r="AD462" s="548"/>
      <c r="AE462" s="549"/>
      <c r="AF462" s="541"/>
      <c r="AG462" s="366"/>
      <c r="AH462" s="366"/>
      <c r="AI462" s="366"/>
      <c r="AJ462" s="366"/>
      <c r="AK462" s="394"/>
      <c r="AL462" s="430"/>
      <c r="AM462" s="395"/>
      <c r="AN462" s="529"/>
      <c r="AO462" s="394"/>
      <c r="AP462" s="430"/>
      <c r="AQ462" s="395"/>
      <c r="AR462" s="529"/>
      <c r="AS462" s="542"/>
      <c r="AT462" s="542"/>
    </row>
    <row r="463">
      <c r="A463" s="394"/>
      <c r="B463" s="430"/>
      <c r="C463" s="395"/>
      <c r="D463" s="529"/>
      <c r="E463" s="394"/>
      <c r="F463" s="430"/>
      <c r="G463" s="395"/>
      <c r="H463" s="529"/>
      <c r="I463" s="394"/>
      <c r="J463" s="430"/>
      <c r="K463" s="395"/>
      <c r="L463" s="529"/>
      <c r="M463" s="394"/>
      <c r="N463" s="430"/>
      <c r="O463" s="395"/>
      <c r="P463" s="529"/>
      <c r="Q463" s="547"/>
      <c r="R463" s="548"/>
      <c r="S463" s="549"/>
      <c r="T463" s="541"/>
      <c r="U463" s="547"/>
      <c r="V463" s="548"/>
      <c r="W463" s="549"/>
      <c r="X463" s="541"/>
      <c r="Y463" s="547"/>
      <c r="Z463" s="548"/>
      <c r="AA463" s="549"/>
      <c r="AB463" s="541"/>
      <c r="AC463" s="547"/>
      <c r="AD463" s="548"/>
      <c r="AE463" s="549"/>
      <c r="AF463" s="541"/>
      <c r="AG463" s="366"/>
      <c r="AH463" s="366"/>
      <c r="AI463" s="366"/>
      <c r="AJ463" s="366"/>
      <c r="AK463" s="394"/>
      <c r="AL463" s="430"/>
      <c r="AM463" s="395"/>
      <c r="AN463" s="529"/>
      <c r="AO463" s="394"/>
      <c r="AP463" s="430"/>
      <c r="AQ463" s="395"/>
      <c r="AR463" s="529"/>
      <c r="AS463" s="542"/>
      <c r="AT463" s="542"/>
    </row>
    <row r="464">
      <c r="A464" s="394"/>
      <c r="B464" s="430"/>
      <c r="C464" s="395"/>
      <c r="D464" s="529"/>
      <c r="E464" s="394"/>
      <c r="F464" s="430"/>
      <c r="G464" s="395"/>
      <c r="H464" s="529"/>
      <c r="I464" s="394"/>
      <c r="J464" s="430"/>
      <c r="K464" s="395"/>
      <c r="L464" s="529"/>
      <c r="M464" s="394"/>
      <c r="N464" s="430"/>
      <c r="O464" s="395"/>
      <c r="P464" s="529"/>
      <c r="Q464" s="547"/>
      <c r="R464" s="548"/>
      <c r="S464" s="549"/>
      <c r="T464" s="541"/>
      <c r="U464" s="547"/>
      <c r="V464" s="548"/>
      <c r="W464" s="549"/>
      <c r="X464" s="541"/>
      <c r="Y464" s="547"/>
      <c r="Z464" s="548"/>
      <c r="AA464" s="549"/>
      <c r="AB464" s="541"/>
      <c r="AC464" s="547"/>
      <c r="AD464" s="548"/>
      <c r="AE464" s="549"/>
      <c r="AF464" s="541"/>
      <c r="AG464" s="366"/>
      <c r="AH464" s="366"/>
      <c r="AI464" s="366"/>
      <c r="AJ464" s="366"/>
      <c r="AK464" s="394"/>
      <c r="AL464" s="430"/>
      <c r="AM464" s="395"/>
      <c r="AN464" s="529"/>
      <c r="AO464" s="394"/>
      <c r="AP464" s="430"/>
      <c r="AQ464" s="395"/>
      <c r="AR464" s="529"/>
      <c r="AS464" s="542"/>
      <c r="AT464" s="542"/>
    </row>
    <row r="465">
      <c r="A465" s="394"/>
      <c r="B465" s="430"/>
      <c r="C465" s="395"/>
      <c r="D465" s="529"/>
      <c r="E465" s="394"/>
      <c r="F465" s="430"/>
      <c r="G465" s="395"/>
      <c r="H465" s="529"/>
      <c r="I465" s="394"/>
      <c r="J465" s="430"/>
      <c r="K465" s="395"/>
      <c r="L465" s="529"/>
      <c r="M465" s="394"/>
      <c r="N465" s="430"/>
      <c r="O465" s="395"/>
      <c r="P465" s="529"/>
      <c r="Q465" s="547"/>
      <c r="R465" s="548"/>
      <c r="S465" s="549"/>
      <c r="T465" s="541"/>
      <c r="U465" s="547"/>
      <c r="V465" s="548"/>
      <c r="W465" s="549"/>
      <c r="X465" s="541"/>
      <c r="Y465" s="547"/>
      <c r="Z465" s="548"/>
      <c r="AA465" s="549"/>
      <c r="AB465" s="541"/>
      <c r="AC465" s="547"/>
      <c r="AD465" s="548"/>
      <c r="AE465" s="549"/>
      <c r="AF465" s="541"/>
      <c r="AG465" s="366"/>
      <c r="AH465" s="366"/>
      <c r="AI465" s="366"/>
      <c r="AJ465" s="366"/>
      <c r="AK465" s="394"/>
      <c r="AL465" s="430"/>
      <c r="AM465" s="395"/>
      <c r="AN465" s="529"/>
      <c r="AO465" s="394"/>
      <c r="AP465" s="430"/>
      <c r="AQ465" s="395"/>
      <c r="AR465" s="529"/>
      <c r="AS465" s="542"/>
      <c r="AT465" s="542"/>
    </row>
    <row r="466">
      <c r="A466" s="394"/>
      <c r="B466" s="430"/>
      <c r="C466" s="395"/>
      <c r="D466" s="529"/>
      <c r="E466" s="394"/>
      <c r="F466" s="430"/>
      <c r="G466" s="395"/>
      <c r="H466" s="529"/>
      <c r="I466" s="394"/>
      <c r="J466" s="430"/>
      <c r="K466" s="395"/>
      <c r="L466" s="529"/>
      <c r="M466" s="394"/>
      <c r="N466" s="430"/>
      <c r="O466" s="395"/>
      <c r="P466" s="529"/>
      <c r="Q466" s="547"/>
      <c r="R466" s="548"/>
      <c r="S466" s="549"/>
      <c r="T466" s="541"/>
      <c r="U466" s="547"/>
      <c r="V466" s="548"/>
      <c r="W466" s="549"/>
      <c r="X466" s="541"/>
      <c r="Y466" s="547"/>
      <c r="Z466" s="548"/>
      <c r="AA466" s="549"/>
      <c r="AB466" s="541"/>
      <c r="AC466" s="547"/>
      <c r="AD466" s="548"/>
      <c r="AE466" s="549"/>
      <c r="AF466" s="541"/>
      <c r="AG466" s="366"/>
      <c r="AH466" s="366"/>
      <c r="AI466" s="366"/>
      <c r="AJ466" s="366"/>
      <c r="AK466" s="394"/>
      <c r="AL466" s="430"/>
      <c r="AM466" s="395"/>
      <c r="AN466" s="529"/>
      <c r="AO466" s="394"/>
      <c r="AP466" s="430"/>
      <c r="AQ466" s="395"/>
      <c r="AR466" s="529"/>
      <c r="AS466" s="542"/>
      <c r="AT466" s="542"/>
    </row>
    <row r="467">
      <c r="A467" s="394"/>
      <c r="B467" s="430"/>
      <c r="C467" s="395"/>
      <c r="D467" s="529"/>
      <c r="E467" s="394"/>
      <c r="F467" s="430"/>
      <c r="G467" s="395"/>
      <c r="H467" s="529"/>
      <c r="I467" s="394"/>
      <c r="J467" s="430"/>
      <c r="K467" s="395"/>
      <c r="L467" s="529"/>
      <c r="M467" s="394"/>
      <c r="N467" s="430"/>
      <c r="O467" s="395"/>
      <c r="P467" s="529"/>
      <c r="Q467" s="547"/>
      <c r="R467" s="548"/>
      <c r="S467" s="549"/>
      <c r="T467" s="541"/>
      <c r="U467" s="547"/>
      <c r="V467" s="548"/>
      <c r="W467" s="549"/>
      <c r="X467" s="541"/>
      <c r="Y467" s="547"/>
      <c r="Z467" s="548"/>
      <c r="AA467" s="549"/>
      <c r="AB467" s="541"/>
      <c r="AC467" s="547"/>
      <c r="AD467" s="548"/>
      <c r="AE467" s="549"/>
      <c r="AF467" s="541"/>
      <c r="AG467" s="366"/>
      <c r="AH467" s="366"/>
      <c r="AI467" s="366"/>
      <c r="AJ467" s="366"/>
      <c r="AK467" s="394"/>
      <c r="AL467" s="430"/>
      <c r="AM467" s="395"/>
      <c r="AN467" s="529"/>
      <c r="AO467" s="394"/>
      <c r="AP467" s="430"/>
      <c r="AQ467" s="395"/>
      <c r="AR467" s="529"/>
      <c r="AS467" s="542"/>
      <c r="AT467" s="542"/>
    </row>
    <row r="468">
      <c r="A468" s="394"/>
      <c r="B468" s="430"/>
      <c r="C468" s="395"/>
      <c r="D468" s="529"/>
      <c r="E468" s="394"/>
      <c r="F468" s="430"/>
      <c r="G468" s="395"/>
      <c r="H468" s="529"/>
      <c r="I468" s="394"/>
      <c r="J468" s="430"/>
      <c r="K468" s="395"/>
      <c r="L468" s="529"/>
      <c r="M468" s="394"/>
      <c r="N468" s="430"/>
      <c r="O468" s="395"/>
      <c r="P468" s="529"/>
      <c r="Q468" s="547"/>
      <c r="R468" s="548"/>
      <c r="S468" s="549"/>
      <c r="T468" s="541"/>
      <c r="U468" s="547"/>
      <c r="V468" s="548"/>
      <c r="W468" s="549"/>
      <c r="X468" s="541"/>
      <c r="Y468" s="547"/>
      <c r="Z468" s="548"/>
      <c r="AA468" s="549"/>
      <c r="AB468" s="541"/>
      <c r="AC468" s="547"/>
      <c r="AD468" s="548"/>
      <c r="AE468" s="549"/>
      <c r="AF468" s="541"/>
      <c r="AG468" s="366"/>
      <c r="AH468" s="366"/>
      <c r="AI468" s="366"/>
      <c r="AJ468" s="366"/>
      <c r="AK468" s="394"/>
      <c r="AL468" s="430"/>
      <c r="AM468" s="395"/>
      <c r="AN468" s="529"/>
      <c r="AO468" s="394"/>
      <c r="AP468" s="430"/>
      <c r="AQ468" s="395"/>
      <c r="AR468" s="529"/>
      <c r="AS468" s="542"/>
      <c r="AT468" s="542"/>
    </row>
    <row r="469">
      <c r="A469" s="394"/>
      <c r="B469" s="430"/>
      <c r="C469" s="395"/>
      <c r="D469" s="529"/>
      <c r="E469" s="394"/>
      <c r="F469" s="430"/>
      <c r="G469" s="395"/>
      <c r="H469" s="529"/>
      <c r="I469" s="394"/>
      <c r="J469" s="430"/>
      <c r="K469" s="395"/>
      <c r="L469" s="529"/>
      <c r="M469" s="394"/>
      <c r="N469" s="430"/>
      <c r="O469" s="395"/>
      <c r="P469" s="529"/>
      <c r="Q469" s="547"/>
      <c r="R469" s="548"/>
      <c r="S469" s="549"/>
      <c r="T469" s="541"/>
      <c r="U469" s="547"/>
      <c r="V469" s="548"/>
      <c r="W469" s="549"/>
      <c r="X469" s="541"/>
      <c r="Y469" s="547"/>
      <c r="Z469" s="548"/>
      <c r="AA469" s="549"/>
      <c r="AB469" s="541"/>
      <c r="AC469" s="547"/>
      <c r="AD469" s="548"/>
      <c r="AE469" s="549"/>
      <c r="AF469" s="541"/>
      <c r="AG469" s="366"/>
      <c r="AH469" s="366"/>
      <c r="AI469" s="366"/>
      <c r="AJ469" s="366"/>
      <c r="AK469" s="394"/>
      <c r="AL469" s="430"/>
      <c r="AM469" s="395"/>
      <c r="AN469" s="529"/>
      <c r="AO469" s="394"/>
      <c r="AP469" s="430"/>
      <c r="AQ469" s="395"/>
      <c r="AR469" s="529"/>
      <c r="AS469" s="542"/>
      <c r="AT469" s="542"/>
    </row>
    <row r="470">
      <c r="A470" s="394"/>
      <c r="B470" s="430"/>
      <c r="C470" s="395"/>
      <c r="D470" s="529"/>
      <c r="E470" s="394"/>
      <c r="F470" s="430"/>
      <c r="G470" s="395"/>
      <c r="H470" s="529"/>
      <c r="I470" s="394"/>
      <c r="J470" s="430"/>
      <c r="K470" s="395"/>
      <c r="L470" s="529"/>
      <c r="M470" s="394"/>
      <c r="N470" s="430"/>
      <c r="O470" s="395"/>
      <c r="P470" s="529"/>
      <c r="Q470" s="547"/>
      <c r="R470" s="548"/>
      <c r="S470" s="549"/>
      <c r="T470" s="541"/>
      <c r="U470" s="547"/>
      <c r="V470" s="548"/>
      <c r="W470" s="549"/>
      <c r="X470" s="541"/>
      <c r="Y470" s="547"/>
      <c r="Z470" s="548"/>
      <c r="AA470" s="549"/>
      <c r="AB470" s="541"/>
      <c r="AC470" s="547"/>
      <c r="AD470" s="548"/>
      <c r="AE470" s="549"/>
      <c r="AF470" s="541"/>
      <c r="AG470" s="366"/>
      <c r="AH470" s="366"/>
      <c r="AI470" s="366"/>
      <c r="AJ470" s="366"/>
      <c r="AK470" s="394"/>
      <c r="AL470" s="430"/>
      <c r="AM470" s="395"/>
      <c r="AN470" s="529"/>
      <c r="AO470" s="394"/>
      <c r="AP470" s="430"/>
      <c r="AQ470" s="395"/>
      <c r="AR470" s="529"/>
      <c r="AS470" s="542"/>
      <c r="AT470" s="542"/>
    </row>
    <row r="471">
      <c r="A471" s="394"/>
      <c r="B471" s="430"/>
      <c r="C471" s="395"/>
      <c r="D471" s="529"/>
      <c r="E471" s="394"/>
      <c r="F471" s="430"/>
      <c r="G471" s="395"/>
      <c r="H471" s="529"/>
      <c r="I471" s="394"/>
      <c r="J471" s="430"/>
      <c r="K471" s="395"/>
      <c r="L471" s="529"/>
      <c r="M471" s="394"/>
      <c r="N471" s="430"/>
      <c r="O471" s="395"/>
      <c r="P471" s="529"/>
      <c r="Q471" s="547"/>
      <c r="R471" s="548"/>
      <c r="S471" s="549"/>
      <c r="T471" s="541"/>
      <c r="U471" s="547"/>
      <c r="V471" s="548"/>
      <c r="W471" s="549"/>
      <c r="X471" s="541"/>
      <c r="Y471" s="547"/>
      <c r="Z471" s="548"/>
      <c r="AA471" s="549"/>
      <c r="AB471" s="541"/>
      <c r="AC471" s="547"/>
      <c r="AD471" s="548"/>
      <c r="AE471" s="549"/>
      <c r="AF471" s="541"/>
      <c r="AG471" s="366"/>
      <c r="AH471" s="366"/>
      <c r="AI471" s="366"/>
      <c r="AJ471" s="366"/>
      <c r="AK471" s="394"/>
      <c r="AL471" s="430"/>
      <c r="AM471" s="395"/>
      <c r="AN471" s="529"/>
      <c r="AO471" s="394"/>
      <c r="AP471" s="430"/>
      <c r="AQ471" s="395"/>
      <c r="AR471" s="529"/>
      <c r="AS471" s="542"/>
      <c r="AT471" s="542"/>
    </row>
    <row r="472">
      <c r="A472" s="394"/>
      <c r="B472" s="430"/>
      <c r="C472" s="395"/>
      <c r="D472" s="529"/>
      <c r="E472" s="394"/>
      <c r="F472" s="430"/>
      <c r="G472" s="395"/>
      <c r="H472" s="529"/>
      <c r="I472" s="394"/>
      <c r="J472" s="430"/>
      <c r="K472" s="395"/>
      <c r="L472" s="529"/>
      <c r="M472" s="394"/>
      <c r="N472" s="430"/>
      <c r="O472" s="395"/>
      <c r="P472" s="529"/>
      <c r="Q472" s="547"/>
      <c r="R472" s="548"/>
      <c r="S472" s="549"/>
      <c r="T472" s="541"/>
      <c r="U472" s="547"/>
      <c r="V472" s="548"/>
      <c r="W472" s="549"/>
      <c r="X472" s="541"/>
      <c r="Y472" s="547"/>
      <c r="Z472" s="548"/>
      <c r="AA472" s="549"/>
      <c r="AB472" s="541"/>
      <c r="AC472" s="547"/>
      <c r="AD472" s="548"/>
      <c r="AE472" s="549"/>
      <c r="AF472" s="541"/>
      <c r="AG472" s="366"/>
      <c r="AH472" s="366"/>
      <c r="AI472" s="366"/>
      <c r="AJ472" s="366"/>
      <c r="AK472" s="394"/>
      <c r="AL472" s="430"/>
      <c r="AM472" s="395"/>
      <c r="AN472" s="529"/>
      <c r="AO472" s="394"/>
      <c r="AP472" s="430"/>
      <c r="AQ472" s="395"/>
      <c r="AR472" s="529"/>
      <c r="AS472" s="542"/>
      <c r="AT472" s="542"/>
    </row>
    <row r="473">
      <c r="A473" s="394"/>
      <c r="B473" s="430"/>
      <c r="C473" s="395"/>
      <c r="D473" s="529"/>
      <c r="E473" s="394"/>
      <c r="F473" s="430"/>
      <c r="G473" s="395"/>
      <c r="H473" s="529"/>
      <c r="I473" s="394"/>
      <c r="J473" s="430"/>
      <c r="K473" s="395"/>
      <c r="L473" s="529"/>
      <c r="M473" s="394"/>
      <c r="N473" s="430"/>
      <c r="O473" s="395"/>
      <c r="P473" s="529"/>
      <c r="Q473" s="547"/>
      <c r="R473" s="548"/>
      <c r="S473" s="549"/>
      <c r="T473" s="541"/>
      <c r="U473" s="547"/>
      <c r="V473" s="548"/>
      <c r="W473" s="549"/>
      <c r="X473" s="541"/>
      <c r="Y473" s="547"/>
      <c r="Z473" s="548"/>
      <c r="AA473" s="549"/>
      <c r="AB473" s="541"/>
      <c r="AC473" s="547"/>
      <c r="AD473" s="548"/>
      <c r="AE473" s="549"/>
      <c r="AF473" s="541"/>
      <c r="AG473" s="366"/>
      <c r="AH473" s="366"/>
      <c r="AI473" s="366"/>
      <c r="AJ473" s="366"/>
      <c r="AK473" s="394"/>
      <c r="AL473" s="430"/>
      <c r="AM473" s="395"/>
      <c r="AN473" s="529"/>
      <c r="AO473" s="394"/>
      <c r="AP473" s="430"/>
      <c r="AQ473" s="395"/>
      <c r="AR473" s="529"/>
      <c r="AS473" s="542"/>
      <c r="AT473" s="542"/>
    </row>
    <row r="474">
      <c r="A474" s="394"/>
      <c r="B474" s="430"/>
      <c r="C474" s="395"/>
      <c r="D474" s="529"/>
      <c r="E474" s="394"/>
      <c r="F474" s="430"/>
      <c r="G474" s="395"/>
      <c r="H474" s="529"/>
      <c r="I474" s="394"/>
      <c r="J474" s="430"/>
      <c r="K474" s="395"/>
      <c r="L474" s="529"/>
      <c r="M474" s="394"/>
      <c r="N474" s="430"/>
      <c r="O474" s="395"/>
      <c r="P474" s="529"/>
      <c r="Q474" s="547"/>
      <c r="R474" s="548"/>
      <c r="S474" s="549"/>
      <c r="T474" s="541"/>
      <c r="U474" s="547"/>
      <c r="V474" s="548"/>
      <c r="W474" s="549"/>
      <c r="X474" s="541"/>
      <c r="Y474" s="547"/>
      <c r="Z474" s="548"/>
      <c r="AA474" s="549"/>
      <c r="AB474" s="541"/>
      <c r="AC474" s="547"/>
      <c r="AD474" s="548"/>
      <c r="AE474" s="549"/>
      <c r="AF474" s="541"/>
      <c r="AG474" s="366"/>
      <c r="AH474" s="366"/>
      <c r="AI474" s="366"/>
      <c r="AJ474" s="366"/>
      <c r="AK474" s="394"/>
      <c r="AL474" s="430"/>
      <c r="AM474" s="395"/>
      <c r="AN474" s="529"/>
      <c r="AO474" s="394"/>
      <c r="AP474" s="430"/>
      <c r="AQ474" s="395"/>
      <c r="AR474" s="529"/>
      <c r="AS474" s="542"/>
      <c r="AT474" s="542"/>
    </row>
    <row r="475">
      <c r="A475" s="394"/>
      <c r="B475" s="430"/>
      <c r="C475" s="395"/>
      <c r="D475" s="529"/>
      <c r="E475" s="394"/>
      <c r="F475" s="430"/>
      <c r="G475" s="395"/>
      <c r="H475" s="529"/>
      <c r="I475" s="394"/>
      <c r="J475" s="430"/>
      <c r="K475" s="395"/>
      <c r="L475" s="529"/>
      <c r="M475" s="394"/>
      <c r="N475" s="430"/>
      <c r="O475" s="395"/>
      <c r="P475" s="529"/>
      <c r="Q475" s="547"/>
      <c r="R475" s="548"/>
      <c r="S475" s="549"/>
      <c r="T475" s="541"/>
      <c r="U475" s="547"/>
      <c r="V475" s="548"/>
      <c r="W475" s="549"/>
      <c r="X475" s="541"/>
      <c r="Y475" s="547"/>
      <c r="Z475" s="548"/>
      <c r="AA475" s="549"/>
      <c r="AB475" s="541"/>
      <c r="AC475" s="547"/>
      <c r="AD475" s="548"/>
      <c r="AE475" s="549"/>
      <c r="AF475" s="541"/>
      <c r="AG475" s="366"/>
      <c r="AH475" s="366"/>
      <c r="AI475" s="366"/>
      <c r="AJ475" s="366"/>
      <c r="AK475" s="394"/>
      <c r="AL475" s="430"/>
      <c r="AM475" s="395"/>
      <c r="AN475" s="529"/>
      <c r="AO475" s="394"/>
      <c r="AP475" s="430"/>
      <c r="AQ475" s="395"/>
      <c r="AR475" s="529"/>
      <c r="AS475" s="542"/>
      <c r="AT475" s="542"/>
    </row>
    <row r="476">
      <c r="A476" s="394"/>
      <c r="B476" s="430"/>
      <c r="C476" s="395"/>
      <c r="D476" s="529"/>
      <c r="E476" s="394"/>
      <c r="F476" s="430"/>
      <c r="G476" s="395"/>
      <c r="H476" s="529"/>
      <c r="I476" s="394"/>
      <c r="J476" s="430"/>
      <c r="K476" s="395"/>
      <c r="L476" s="529"/>
      <c r="M476" s="394"/>
      <c r="N476" s="430"/>
      <c r="O476" s="395"/>
      <c r="P476" s="529"/>
      <c r="Q476" s="547"/>
      <c r="R476" s="548"/>
      <c r="S476" s="549"/>
      <c r="T476" s="541"/>
      <c r="U476" s="547"/>
      <c r="V476" s="548"/>
      <c r="W476" s="549"/>
      <c r="X476" s="541"/>
      <c r="Y476" s="547"/>
      <c r="Z476" s="548"/>
      <c r="AA476" s="549"/>
      <c r="AB476" s="541"/>
      <c r="AC476" s="547"/>
      <c r="AD476" s="548"/>
      <c r="AE476" s="549"/>
      <c r="AF476" s="541"/>
      <c r="AG476" s="366"/>
      <c r="AH476" s="366"/>
      <c r="AI476" s="366"/>
      <c r="AJ476" s="366"/>
      <c r="AK476" s="394"/>
      <c r="AL476" s="430"/>
      <c r="AM476" s="395"/>
      <c r="AN476" s="529"/>
      <c r="AO476" s="394"/>
      <c r="AP476" s="430"/>
      <c r="AQ476" s="395"/>
      <c r="AR476" s="529"/>
      <c r="AS476" s="542"/>
      <c r="AT476" s="542"/>
    </row>
    <row r="477">
      <c r="A477" s="394"/>
      <c r="B477" s="430"/>
      <c r="C477" s="395"/>
      <c r="D477" s="529"/>
      <c r="E477" s="394"/>
      <c r="F477" s="430"/>
      <c r="G477" s="395"/>
      <c r="H477" s="529"/>
      <c r="I477" s="394"/>
      <c r="J477" s="430"/>
      <c r="K477" s="395"/>
      <c r="L477" s="529"/>
      <c r="M477" s="394"/>
      <c r="N477" s="430"/>
      <c r="O477" s="395"/>
      <c r="P477" s="529"/>
      <c r="Q477" s="547"/>
      <c r="R477" s="548"/>
      <c r="S477" s="549"/>
      <c r="T477" s="541"/>
      <c r="U477" s="547"/>
      <c r="V477" s="548"/>
      <c r="W477" s="549"/>
      <c r="X477" s="541"/>
      <c r="Y477" s="547"/>
      <c r="Z477" s="548"/>
      <c r="AA477" s="549"/>
      <c r="AB477" s="541"/>
      <c r="AC477" s="547"/>
      <c r="AD477" s="548"/>
      <c r="AE477" s="549"/>
      <c r="AF477" s="541"/>
      <c r="AG477" s="366"/>
      <c r="AH477" s="366"/>
      <c r="AI477" s="366"/>
      <c r="AJ477" s="366"/>
      <c r="AK477" s="394"/>
      <c r="AL477" s="430"/>
      <c r="AM477" s="395"/>
      <c r="AN477" s="529"/>
      <c r="AO477" s="394"/>
      <c r="AP477" s="430"/>
      <c r="AQ477" s="395"/>
      <c r="AR477" s="529"/>
      <c r="AS477" s="542"/>
      <c r="AT477" s="542"/>
    </row>
    <row r="478">
      <c r="A478" s="394"/>
      <c r="B478" s="430"/>
      <c r="C478" s="395"/>
      <c r="D478" s="529"/>
      <c r="E478" s="394"/>
      <c r="F478" s="430"/>
      <c r="G478" s="395"/>
      <c r="H478" s="529"/>
      <c r="I478" s="394"/>
      <c r="J478" s="430"/>
      <c r="K478" s="395"/>
      <c r="L478" s="529"/>
      <c r="M478" s="394"/>
      <c r="N478" s="430"/>
      <c r="O478" s="395"/>
      <c r="P478" s="529"/>
      <c r="Q478" s="547"/>
      <c r="R478" s="548"/>
      <c r="S478" s="549"/>
      <c r="T478" s="541"/>
      <c r="U478" s="547"/>
      <c r="V478" s="548"/>
      <c r="W478" s="549"/>
      <c r="X478" s="541"/>
      <c r="Y478" s="547"/>
      <c r="Z478" s="548"/>
      <c r="AA478" s="549"/>
      <c r="AB478" s="541"/>
      <c r="AC478" s="547"/>
      <c r="AD478" s="548"/>
      <c r="AE478" s="549"/>
      <c r="AF478" s="541"/>
      <c r="AG478" s="366"/>
      <c r="AH478" s="366"/>
      <c r="AI478" s="366"/>
      <c r="AJ478" s="366"/>
      <c r="AK478" s="394"/>
      <c r="AL478" s="430"/>
      <c r="AM478" s="395"/>
      <c r="AN478" s="529"/>
      <c r="AO478" s="394"/>
      <c r="AP478" s="430"/>
      <c r="AQ478" s="395"/>
      <c r="AR478" s="529"/>
      <c r="AS478" s="542"/>
      <c r="AT478" s="542"/>
    </row>
    <row r="479">
      <c r="A479" s="394"/>
      <c r="B479" s="430"/>
      <c r="C479" s="395"/>
      <c r="D479" s="529"/>
      <c r="E479" s="394"/>
      <c r="F479" s="430"/>
      <c r="G479" s="395"/>
      <c r="H479" s="529"/>
      <c r="I479" s="394"/>
      <c r="J479" s="430"/>
      <c r="K479" s="395"/>
      <c r="L479" s="529"/>
      <c r="M479" s="394"/>
      <c r="N479" s="430"/>
      <c r="O479" s="395"/>
      <c r="P479" s="529"/>
      <c r="Q479" s="547"/>
      <c r="R479" s="548"/>
      <c r="S479" s="549"/>
      <c r="T479" s="541"/>
      <c r="U479" s="547"/>
      <c r="V479" s="548"/>
      <c r="W479" s="549"/>
      <c r="X479" s="541"/>
      <c r="Y479" s="547"/>
      <c r="Z479" s="548"/>
      <c r="AA479" s="549"/>
      <c r="AB479" s="541"/>
      <c r="AC479" s="547"/>
      <c r="AD479" s="548"/>
      <c r="AE479" s="549"/>
      <c r="AF479" s="541"/>
      <c r="AG479" s="366"/>
      <c r="AH479" s="366"/>
      <c r="AI479" s="366"/>
      <c r="AJ479" s="366"/>
      <c r="AK479" s="394"/>
      <c r="AL479" s="430"/>
      <c r="AM479" s="395"/>
      <c r="AN479" s="529"/>
      <c r="AO479" s="394"/>
      <c r="AP479" s="430"/>
      <c r="AQ479" s="395"/>
      <c r="AR479" s="529"/>
      <c r="AS479" s="542"/>
      <c r="AT479" s="542"/>
    </row>
    <row r="480">
      <c r="A480" s="394"/>
      <c r="B480" s="430"/>
      <c r="C480" s="395"/>
      <c r="D480" s="529"/>
      <c r="E480" s="394"/>
      <c r="F480" s="430"/>
      <c r="G480" s="395"/>
      <c r="H480" s="529"/>
      <c r="I480" s="394"/>
      <c r="J480" s="430"/>
      <c r="K480" s="395"/>
      <c r="L480" s="529"/>
      <c r="M480" s="394"/>
      <c r="N480" s="430"/>
      <c r="O480" s="395"/>
      <c r="P480" s="529"/>
      <c r="Q480" s="547"/>
      <c r="R480" s="548"/>
      <c r="S480" s="549"/>
      <c r="T480" s="541"/>
      <c r="U480" s="547"/>
      <c r="V480" s="548"/>
      <c r="W480" s="549"/>
      <c r="X480" s="541"/>
      <c r="Y480" s="547"/>
      <c r="Z480" s="548"/>
      <c r="AA480" s="549"/>
      <c r="AB480" s="541"/>
      <c r="AC480" s="547"/>
      <c r="AD480" s="548"/>
      <c r="AE480" s="549"/>
      <c r="AF480" s="541"/>
      <c r="AG480" s="366"/>
      <c r="AH480" s="366"/>
      <c r="AI480" s="366"/>
      <c r="AJ480" s="366"/>
      <c r="AK480" s="394"/>
      <c r="AL480" s="430"/>
      <c r="AM480" s="395"/>
      <c r="AN480" s="529"/>
      <c r="AO480" s="394"/>
      <c r="AP480" s="430"/>
      <c r="AQ480" s="395"/>
      <c r="AR480" s="529"/>
      <c r="AS480" s="542"/>
      <c r="AT480" s="542"/>
    </row>
    <row r="481">
      <c r="A481" s="394"/>
      <c r="B481" s="430"/>
      <c r="C481" s="395"/>
      <c r="D481" s="529"/>
      <c r="E481" s="394"/>
      <c r="F481" s="430"/>
      <c r="G481" s="395"/>
      <c r="H481" s="529"/>
      <c r="I481" s="394"/>
      <c r="J481" s="430"/>
      <c r="K481" s="395"/>
      <c r="L481" s="529"/>
      <c r="M481" s="394"/>
      <c r="N481" s="430"/>
      <c r="O481" s="395"/>
      <c r="P481" s="529"/>
      <c r="Q481" s="547"/>
      <c r="R481" s="548"/>
      <c r="S481" s="549"/>
      <c r="T481" s="541"/>
      <c r="U481" s="547"/>
      <c r="V481" s="548"/>
      <c r="W481" s="549"/>
      <c r="X481" s="541"/>
      <c r="Y481" s="547"/>
      <c r="Z481" s="548"/>
      <c r="AA481" s="549"/>
      <c r="AB481" s="541"/>
      <c r="AC481" s="547"/>
      <c r="AD481" s="548"/>
      <c r="AE481" s="549"/>
      <c r="AF481" s="541"/>
      <c r="AG481" s="366"/>
      <c r="AH481" s="366"/>
      <c r="AI481" s="366"/>
      <c r="AJ481" s="366"/>
      <c r="AK481" s="394"/>
      <c r="AL481" s="430"/>
      <c r="AM481" s="395"/>
      <c r="AN481" s="529"/>
      <c r="AO481" s="394"/>
      <c r="AP481" s="430"/>
      <c r="AQ481" s="395"/>
      <c r="AR481" s="529"/>
      <c r="AS481" s="542"/>
      <c r="AT481" s="542"/>
    </row>
    <row r="482">
      <c r="A482" s="394"/>
      <c r="B482" s="430"/>
      <c r="C482" s="395"/>
      <c r="D482" s="529"/>
      <c r="E482" s="394"/>
      <c r="F482" s="430"/>
      <c r="G482" s="395"/>
      <c r="H482" s="529"/>
      <c r="I482" s="394"/>
      <c r="J482" s="430"/>
      <c r="K482" s="395"/>
      <c r="L482" s="529"/>
      <c r="M482" s="394"/>
      <c r="N482" s="430"/>
      <c r="O482" s="395"/>
      <c r="P482" s="529"/>
      <c r="Q482" s="547"/>
      <c r="R482" s="548"/>
      <c r="S482" s="549"/>
      <c r="T482" s="541"/>
      <c r="U482" s="547"/>
      <c r="V482" s="548"/>
      <c r="W482" s="549"/>
      <c r="X482" s="541"/>
      <c r="Y482" s="547"/>
      <c r="Z482" s="548"/>
      <c r="AA482" s="549"/>
      <c r="AB482" s="541"/>
      <c r="AC482" s="547"/>
      <c r="AD482" s="548"/>
      <c r="AE482" s="549"/>
      <c r="AF482" s="541"/>
      <c r="AG482" s="366"/>
      <c r="AH482" s="366"/>
      <c r="AI482" s="366"/>
      <c r="AJ482" s="366"/>
      <c r="AK482" s="394"/>
      <c r="AL482" s="430"/>
      <c r="AM482" s="395"/>
      <c r="AN482" s="529"/>
      <c r="AO482" s="394"/>
      <c r="AP482" s="430"/>
      <c r="AQ482" s="395"/>
      <c r="AR482" s="529"/>
      <c r="AS482" s="542"/>
      <c r="AT482" s="542"/>
    </row>
    <row r="483">
      <c r="A483" s="394"/>
      <c r="B483" s="430"/>
      <c r="C483" s="395"/>
      <c r="D483" s="529"/>
      <c r="E483" s="394"/>
      <c r="F483" s="430"/>
      <c r="G483" s="395"/>
      <c r="H483" s="529"/>
      <c r="I483" s="394"/>
      <c r="J483" s="430"/>
      <c r="K483" s="395"/>
      <c r="L483" s="529"/>
      <c r="M483" s="394"/>
      <c r="N483" s="430"/>
      <c r="O483" s="395"/>
      <c r="P483" s="529"/>
      <c r="Q483" s="547"/>
      <c r="R483" s="548"/>
      <c r="S483" s="549"/>
      <c r="T483" s="541"/>
      <c r="U483" s="547"/>
      <c r="V483" s="548"/>
      <c r="W483" s="549"/>
      <c r="X483" s="541"/>
      <c r="Y483" s="547"/>
      <c r="Z483" s="548"/>
      <c r="AA483" s="549"/>
      <c r="AB483" s="541"/>
      <c r="AC483" s="547"/>
      <c r="AD483" s="548"/>
      <c r="AE483" s="549"/>
      <c r="AF483" s="541"/>
      <c r="AG483" s="366"/>
      <c r="AH483" s="366"/>
      <c r="AI483" s="366"/>
      <c r="AJ483" s="366"/>
      <c r="AK483" s="394"/>
      <c r="AL483" s="430"/>
      <c r="AM483" s="395"/>
      <c r="AN483" s="529"/>
      <c r="AO483" s="394"/>
      <c r="AP483" s="430"/>
      <c r="AQ483" s="395"/>
      <c r="AR483" s="529"/>
      <c r="AS483" s="542"/>
      <c r="AT483" s="542"/>
    </row>
    <row r="484">
      <c r="A484" s="394"/>
      <c r="B484" s="430"/>
      <c r="C484" s="395"/>
      <c r="D484" s="529"/>
      <c r="E484" s="394"/>
      <c r="F484" s="430"/>
      <c r="G484" s="395"/>
      <c r="H484" s="529"/>
      <c r="I484" s="394"/>
      <c r="J484" s="430"/>
      <c r="K484" s="395"/>
      <c r="L484" s="529"/>
      <c r="M484" s="394"/>
      <c r="N484" s="430"/>
      <c r="O484" s="395"/>
      <c r="P484" s="529"/>
      <c r="Q484" s="547"/>
      <c r="R484" s="548"/>
      <c r="S484" s="549"/>
      <c r="T484" s="541"/>
      <c r="U484" s="547"/>
      <c r="V484" s="548"/>
      <c r="W484" s="549"/>
      <c r="X484" s="541"/>
      <c r="Y484" s="547"/>
      <c r="Z484" s="548"/>
      <c r="AA484" s="549"/>
      <c r="AB484" s="541"/>
      <c r="AC484" s="547"/>
      <c r="AD484" s="548"/>
      <c r="AE484" s="549"/>
      <c r="AF484" s="541"/>
      <c r="AG484" s="366"/>
      <c r="AH484" s="366"/>
      <c r="AI484" s="366"/>
      <c r="AJ484" s="366"/>
      <c r="AK484" s="394"/>
      <c r="AL484" s="430"/>
      <c r="AM484" s="395"/>
      <c r="AN484" s="529"/>
      <c r="AO484" s="394"/>
      <c r="AP484" s="430"/>
      <c r="AQ484" s="395"/>
      <c r="AR484" s="529"/>
      <c r="AS484" s="542"/>
      <c r="AT484" s="542"/>
    </row>
    <row r="485">
      <c r="A485" s="394"/>
      <c r="B485" s="430"/>
      <c r="C485" s="395"/>
      <c r="D485" s="529"/>
      <c r="E485" s="394"/>
      <c r="F485" s="430"/>
      <c r="G485" s="395"/>
      <c r="H485" s="529"/>
      <c r="I485" s="394"/>
      <c r="J485" s="430"/>
      <c r="K485" s="395"/>
      <c r="L485" s="529"/>
      <c r="M485" s="394"/>
      <c r="N485" s="430"/>
      <c r="O485" s="395"/>
      <c r="P485" s="529"/>
      <c r="Q485" s="547"/>
      <c r="R485" s="548"/>
      <c r="S485" s="549"/>
      <c r="T485" s="541"/>
      <c r="U485" s="547"/>
      <c r="V485" s="548"/>
      <c r="W485" s="549"/>
      <c r="X485" s="541"/>
      <c r="Y485" s="547"/>
      <c r="Z485" s="548"/>
      <c r="AA485" s="549"/>
      <c r="AB485" s="541"/>
      <c r="AC485" s="547"/>
      <c r="AD485" s="548"/>
      <c r="AE485" s="549"/>
      <c r="AF485" s="541"/>
      <c r="AG485" s="366"/>
      <c r="AH485" s="366"/>
      <c r="AI485" s="366"/>
      <c r="AJ485" s="366"/>
      <c r="AK485" s="394"/>
      <c r="AL485" s="430"/>
      <c r="AM485" s="395"/>
      <c r="AN485" s="529"/>
      <c r="AO485" s="394"/>
      <c r="AP485" s="430"/>
      <c r="AQ485" s="395"/>
      <c r="AR485" s="529"/>
      <c r="AS485" s="542"/>
      <c r="AT485" s="542"/>
    </row>
    <row r="486">
      <c r="A486" s="394"/>
      <c r="B486" s="430"/>
      <c r="C486" s="395"/>
      <c r="D486" s="529"/>
      <c r="E486" s="394"/>
      <c r="F486" s="430"/>
      <c r="G486" s="395"/>
      <c r="H486" s="529"/>
      <c r="I486" s="394"/>
      <c r="J486" s="430"/>
      <c r="K486" s="395"/>
      <c r="L486" s="529"/>
      <c r="M486" s="394"/>
      <c r="N486" s="430"/>
      <c r="O486" s="395"/>
      <c r="P486" s="529"/>
      <c r="Q486" s="547"/>
      <c r="R486" s="548"/>
      <c r="S486" s="549"/>
      <c r="T486" s="541"/>
      <c r="U486" s="547"/>
      <c r="V486" s="548"/>
      <c r="W486" s="549"/>
      <c r="X486" s="541"/>
      <c r="Y486" s="547"/>
      <c r="Z486" s="548"/>
      <c r="AA486" s="549"/>
      <c r="AB486" s="541"/>
      <c r="AC486" s="547"/>
      <c r="AD486" s="548"/>
      <c r="AE486" s="549"/>
      <c r="AF486" s="541"/>
      <c r="AG486" s="366"/>
      <c r="AH486" s="366"/>
      <c r="AI486" s="366"/>
      <c r="AJ486" s="366"/>
      <c r="AK486" s="394"/>
      <c r="AL486" s="430"/>
      <c r="AM486" s="395"/>
      <c r="AN486" s="529"/>
      <c r="AO486" s="394"/>
      <c r="AP486" s="430"/>
      <c r="AQ486" s="395"/>
      <c r="AR486" s="529"/>
      <c r="AS486" s="542"/>
      <c r="AT486" s="542"/>
    </row>
    <row r="487">
      <c r="A487" s="394"/>
      <c r="B487" s="430"/>
      <c r="C487" s="395"/>
      <c r="D487" s="529"/>
      <c r="E487" s="394"/>
      <c r="F487" s="430"/>
      <c r="G487" s="395"/>
      <c r="H487" s="529"/>
      <c r="I487" s="394"/>
      <c r="J487" s="430"/>
      <c r="K487" s="395"/>
      <c r="L487" s="529"/>
      <c r="M487" s="394"/>
      <c r="N487" s="430"/>
      <c r="O487" s="395"/>
      <c r="P487" s="529"/>
      <c r="Q487" s="547"/>
      <c r="R487" s="548"/>
      <c r="S487" s="549"/>
      <c r="T487" s="541"/>
      <c r="U487" s="547"/>
      <c r="V487" s="548"/>
      <c r="W487" s="549"/>
      <c r="X487" s="541"/>
      <c r="Y487" s="547"/>
      <c r="Z487" s="548"/>
      <c r="AA487" s="549"/>
      <c r="AB487" s="541"/>
      <c r="AC487" s="547"/>
      <c r="AD487" s="548"/>
      <c r="AE487" s="549"/>
      <c r="AF487" s="541"/>
      <c r="AG487" s="366"/>
      <c r="AH487" s="366"/>
      <c r="AI487" s="366"/>
      <c r="AJ487" s="366"/>
      <c r="AK487" s="394"/>
      <c r="AL487" s="430"/>
      <c r="AM487" s="395"/>
      <c r="AN487" s="529"/>
      <c r="AO487" s="394"/>
      <c r="AP487" s="430"/>
      <c r="AQ487" s="395"/>
      <c r="AR487" s="529"/>
      <c r="AS487" s="542"/>
      <c r="AT487" s="542"/>
    </row>
    <row r="488">
      <c r="A488" s="394"/>
      <c r="B488" s="430"/>
      <c r="C488" s="395"/>
      <c r="D488" s="529"/>
      <c r="E488" s="394"/>
      <c r="F488" s="430"/>
      <c r="G488" s="395"/>
      <c r="H488" s="529"/>
      <c r="I488" s="394"/>
      <c r="J488" s="430"/>
      <c r="K488" s="395"/>
      <c r="L488" s="529"/>
      <c r="M488" s="394"/>
      <c r="N488" s="430"/>
      <c r="O488" s="395"/>
      <c r="P488" s="529"/>
      <c r="Q488" s="547"/>
      <c r="R488" s="548"/>
      <c r="S488" s="549"/>
      <c r="T488" s="541"/>
      <c r="U488" s="547"/>
      <c r="V488" s="548"/>
      <c r="W488" s="549"/>
      <c r="X488" s="541"/>
      <c r="Y488" s="547"/>
      <c r="Z488" s="548"/>
      <c r="AA488" s="549"/>
      <c r="AB488" s="541"/>
      <c r="AC488" s="547"/>
      <c r="AD488" s="548"/>
      <c r="AE488" s="549"/>
      <c r="AF488" s="541"/>
      <c r="AG488" s="366"/>
      <c r="AH488" s="366"/>
      <c r="AI488" s="366"/>
      <c r="AJ488" s="366"/>
      <c r="AK488" s="394"/>
      <c r="AL488" s="430"/>
      <c r="AM488" s="395"/>
      <c r="AN488" s="529"/>
      <c r="AO488" s="394"/>
      <c r="AP488" s="430"/>
      <c r="AQ488" s="395"/>
      <c r="AR488" s="529"/>
      <c r="AS488" s="542"/>
      <c r="AT488" s="542"/>
    </row>
    <row r="489">
      <c r="A489" s="394"/>
      <c r="B489" s="430"/>
      <c r="C489" s="395"/>
      <c r="D489" s="529"/>
      <c r="E489" s="394"/>
      <c r="F489" s="430"/>
      <c r="G489" s="395"/>
      <c r="H489" s="529"/>
      <c r="I489" s="394"/>
      <c r="J489" s="430"/>
      <c r="K489" s="395"/>
      <c r="L489" s="529"/>
      <c r="M489" s="394"/>
      <c r="N489" s="430"/>
      <c r="O489" s="395"/>
      <c r="P489" s="529"/>
      <c r="Q489" s="547"/>
      <c r="R489" s="548"/>
      <c r="S489" s="549"/>
      <c r="T489" s="541"/>
      <c r="U489" s="547"/>
      <c r="V489" s="548"/>
      <c r="W489" s="549"/>
      <c r="X489" s="541"/>
      <c r="Y489" s="547"/>
      <c r="Z489" s="548"/>
      <c r="AA489" s="549"/>
      <c r="AB489" s="541"/>
      <c r="AC489" s="547"/>
      <c r="AD489" s="548"/>
      <c r="AE489" s="549"/>
      <c r="AF489" s="541"/>
      <c r="AG489" s="366"/>
      <c r="AH489" s="366"/>
      <c r="AI489" s="366"/>
      <c r="AJ489" s="366"/>
      <c r="AK489" s="394"/>
      <c r="AL489" s="430"/>
      <c r="AM489" s="395"/>
      <c r="AN489" s="529"/>
      <c r="AO489" s="394"/>
      <c r="AP489" s="430"/>
      <c r="AQ489" s="395"/>
      <c r="AR489" s="529"/>
      <c r="AS489" s="542"/>
      <c r="AT489" s="542"/>
    </row>
    <row r="490">
      <c r="A490" s="394"/>
      <c r="B490" s="430"/>
      <c r="C490" s="395"/>
      <c r="D490" s="529"/>
      <c r="E490" s="394"/>
      <c r="F490" s="430"/>
      <c r="G490" s="395"/>
      <c r="H490" s="529"/>
      <c r="I490" s="394"/>
      <c r="J490" s="430"/>
      <c r="K490" s="395"/>
      <c r="L490" s="529"/>
      <c r="M490" s="394"/>
      <c r="N490" s="430"/>
      <c r="O490" s="395"/>
      <c r="P490" s="529"/>
      <c r="Q490" s="547"/>
      <c r="R490" s="548"/>
      <c r="S490" s="549"/>
      <c r="T490" s="541"/>
      <c r="U490" s="547"/>
      <c r="V490" s="548"/>
      <c r="W490" s="549"/>
      <c r="X490" s="541"/>
      <c r="Y490" s="547"/>
      <c r="Z490" s="548"/>
      <c r="AA490" s="549"/>
      <c r="AB490" s="541"/>
      <c r="AC490" s="547"/>
      <c r="AD490" s="548"/>
      <c r="AE490" s="549"/>
      <c r="AF490" s="541"/>
      <c r="AG490" s="366"/>
      <c r="AH490" s="366"/>
      <c r="AI490" s="366"/>
      <c r="AJ490" s="366"/>
      <c r="AK490" s="394"/>
      <c r="AL490" s="430"/>
      <c r="AM490" s="395"/>
      <c r="AN490" s="529"/>
      <c r="AO490" s="394"/>
      <c r="AP490" s="430"/>
      <c r="AQ490" s="395"/>
      <c r="AR490" s="529"/>
      <c r="AS490" s="542"/>
      <c r="AT490" s="542"/>
    </row>
    <row r="491">
      <c r="A491" s="394"/>
      <c r="B491" s="430"/>
      <c r="C491" s="395"/>
      <c r="D491" s="529"/>
      <c r="E491" s="394"/>
      <c r="F491" s="430"/>
      <c r="G491" s="395"/>
      <c r="H491" s="529"/>
      <c r="I491" s="394"/>
      <c r="J491" s="430"/>
      <c r="K491" s="395"/>
      <c r="L491" s="529"/>
      <c r="M491" s="394"/>
      <c r="N491" s="430"/>
      <c r="O491" s="395"/>
      <c r="P491" s="529"/>
      <c r="Q491" s="547"/>
      <c r="R491" s="548"/>
      <c r="S491" s="549"/>
      <c r="T491" s="541"/>
      <c r="U491" s="547"/>
      <c r="V491" s="548"/>
      <c r="W491" s="549"/>
      <c r="X491" s="541"/>
      <c r="Y491" s="547"/>
      <c r="Z491" s="548"/>
      <c r="AA491" s="549"/>
      <c r="AB491" s="541"/>
      <c r="AC491" s="547"/>
      <c r="AD491" s="548"/>
      <c r="AE491" s="549"/>
      <c r="AF491" s="541"/>
      <c r="AG491" s="366"/>
      <c r="AH491" s="366"/>
      <c r="AI491" s="366"/>
      <c r="AJ491" s="366"/>
      <c r="AK491" s="394"/>
      <c r="AL491" s="430"/>
      <c r="AM491" s="395"/>
      <c r="AN491" s="529"/>
      <c r="AO491" s="394"/>
      <c r="AP491" s="430"/>
      <c r="AQ491" s="395"/>
      <c r="AR491" s="529"/>
      <c r="AS491" s="542"/>
      <c r="AT491" s="542"/>
    </row>
    <row r="492">
      <c r="A492" s="394"/>
      <c r="B492" s="430"/>
      <c r="C492" s="395"/>
      <c r="D492" s="529"/>
      <c r="E492" s="394"/>
      <c r="F492" s="430"/>
      <c r="G492" s="395"/>
      <c r="H492" s="529"/>
      <c r="I492" s="394"/>
      <c r="J492" s="430"/>
      <c r="K492" s="395"/>
      <c r="L492" s="529"/>
      <c r="M492" s="394"/>
      <c r="N492" s="430"/>
      <c r="O492" s="395"/>
      <c r="P492" s="529"/>
      <c r="Q492" s="547"/>
      <c r="R492" s="548"/>
      <c r="S492" s="549"/>
      <c r="T492" s="541"/>
      <c r="U492" s="547"/>
      <c r="V492" s="548"/>
      <c r="W492" s="549"/>
      <c r="X492" s="541"/>
      <c r="Y492" s="547"/>
      <c r="Z492" s="548"/>
      <c r="AA492" s="549"/>
      <c r="AB492" s="541"/>
      <c r="AC492" s="547"/>
      <c r="AD492" s="548"/>
      <c r="AE492" s="549"/>
      <c r="AF492" s="541"/>
      <c r="AG492" s="366"/>
      <c r="AH492" s="366"/>
      <c r="AI492" s="366"/>
      <c r="AJ492" s="366"/>
      <c r="AK492" s="394"/>
      <c r="AL492" s="430"/>
      <c r="AM492" s="395"/>
      <c r="AN492" s="529"/>
      <c r="AO492" s="394"/>
      <c r="AP492" s="430"/>
      <c r="AQ492" s="395"/>
      <c r="AR492" s="529"/>
      <c r="AS492" s="542"/>
      <c r="AT492" s="542"/>
    </row>
    <row r="493">
      <c r="A493" s="394"/>
      <c r="B493" s="430"/>
      <c r="C493" s="395"/>
      <c r="D493" s="529"/>
      <c r="E493" s="394"/>
      <c r="F493" s="430"/>
      <c r="G493" s="395"/>
      <c r="H493" s="529"/>
      <c r="I493" s="394"/>
      <c r="J493" s="430"/>
      <c r="K493" s="395"/>
      <c r="L493" s="529"/>
      <c r="M493" s="394"/>
      <c r="N493" s="430"/>
      <c r="O493" s="395"/>
      <c r="P493" s="529"/>
      <c r="Q493" s="547"/>
      <c r="R493" s="548"/>
      <c r="S493" s="549"/>
      <c r="T493" s="541"/>
      <c r="U493" s="547"/>
      <c r="V493" s="548"/>
      <c r="W493" s="549"/>
      <c r="X493" s="541"/>
      <c r="Y493" s="547"/>
      <c r="Z493" s="548"/>
      <c r="AA493" s="549"/>
      <c r="AB493" s="541"/>
      <c r="AC493" s="547"/>
      <c r="AD493" s="548"/>
      <c r="AE493" s="549"/>
      <c r="AF493" s="541"/>
      <c r="AG493" s="366"/>
      <c r="AH493" s="366"/>
      <c r="AI493" s="366"/>
      <c r="AJ493" s="366"/>
      <c r="AK493" s="394"/>
      <c r="AL493" s="430"/>
      <c r="AM493" s="395"/>
      <c r="AN493" s="529"/>
      <c r="AO493" s="394"/>
      <c r="AP493" s="430"/>
      <c r="AQ493" s="395"/>
      <c r="AR493" s="529"/>
      <c r="AS493" s="542"/>
      <c r="AT493" s="542"/>
    </row>
    <row r="494">
      <c r="A494" s="394"/>
      <c r="B494" s="430"/>
      <c r="C494" s="395"/>
      <c r="D494" s="529"/>
      <c r="E494" s="394"/>
      <c r="F494" s="430"/>
      <c r="G494" s="395"/>
      <c r="H494" s="529"/>
      <c r="I494" s="394"/>
      <c r="J494" s="430"/>
      <c r="K494" s="395"/>
      <c r="L494" s="529"/>
      <c r="M494" s="394"/>
      <c r="N494" s="430"/>
      <c r="O494" s="395"/>
      <c r="P494" s="529"/>
      <c r="Q494" s="547"/>
      <c r="R494" s="548"/>
      <c r="S494" s="549"/>
      <c r="T494" s="541"/>
      <c r="U494" s="547"/>
      <c r="V494" s="548"/>
      <c r="W494" s="549"/>
      <c r="X494" s="541"/>
      <c r="Y494" s="547"/>
      <c r="Z494" s="548"/>
      <c r="AA494" s="549"/>
      <c r="AB494" s="541"/>
      <c r="AC494" s="547"/>
      <c r="AD494" s="548"/>
      <c r="AE494" s="549"/>
      <c r="AF494" s="541"/>
      <c r="AG494" s="366"/>
      <c r="AH494" s="366"/>
      <c r="AI494" s="366"/>
      <c r="AJ494" s="366"/>
      <c r="AK494" s="394"/>
      <c r="AL494" s="430"/>
      <c r="AM494" s="395"/>
      <c r="AN494" s="529"/>
      <c r="AO494" s="394"/>
      <c r="AP494" s="430"/>
      <c r="AQ494" s="395"/>
      <c r="AR494" s="529"/>
      <c r="AS494" s="542"/>
      <c r="AT494" s="542"/>
    </row>
    <row r="495">
      <c r="A495" s="394"/>
      <c r="B495" s="430"/>
      <c r="C495" s="395"/>
      <c r="D495" s="529"/>
      <c r="E495" s="394"/>
      <c r="F495" s="430"/>
      <c r="G495" s="395"/>
      <c r="H495" s="529"/>
      <c r="I495" s="394"/>
      <c r="J495" s="430"/>
      <c r="K495" s="395"/>
      <c r="L495" s="529"/>
      <c r="M495" s="394"/>
      <c r="N495" s="430"/>
      <c r="O495" s="395"/>
      <c r="P495" s="529"/>
      <c r="Q495" s="547"/>
      <c r="R495" s="548"/>
      <c r="S495" s="549"/>
      <c r="T495" s="541"/>
      <c r="U495" s="547"/>
      <c r="V495" s="548"/>
      <c r="W495" s="549"/>
      <c r="X495" s="541"/>
      <c r="Y495" s="547"/>
      <c r="Z495" s="548"/>
      <c r="AA495" s="549"/>
      <c r="AB495" s="541"/>
      <c r="AC495" s="547"/>
      <c r="AD495" s="548"/>
      <c r="AE495" s="549"/>
      <c r="AF495" s="541"/>
      <c r="AG495" s="366"/>
      <c r="AH495" s="366"/>
      <c r="AI495" s="366"/>
      <c r="AJ495" s="366"/>
      <c r="AK495" s="394"/>
      <c r="AL495" s="430"/>
      <c r="AM495" s="395"/>
      <c r="AN495" s="529"/>
      <c r="AO495" s="394"/>
      <c r="AP495" s="430"/>
      <c r="AQ495" s="395"/>
      <c r="AR495" s="529"/>
      <c r="AS495" s="542"/>
      <c r="AT495" s="542"/>
    </row>
    <row r="496">
      <c r="A496" s="394"/>
      <c r="B496" s="430"/>
      <c r="C496" s="395"/>
      <c r="D496" s="529"/>
      <c r="E496" s="394"/>
      <c r="F496" s="430"/>
      <c r="G496" s="395"/>
      <c r="H496" s="529"/>
      <c r="I496" s="394"/>
      <c r="J496" s="430"/>
      <c r="K496" s="395"/>
      <c r="L496" s="529"/>
      <c r="M496" s="394"/>
      <c r="N496" s="430"/>
      <c r="O496" s="395"/>
      <c r="P496" s="529"/>
      <c r="Q496" s="547"/>
      <c r="R496" s="548"/>
      <c r="S496" s="549"/>
      <c r="T496" s="541"/>
      <c r="U496" s="547"/>
      <c r="V496" s="548"/>
      <c r="W496" s="549"/>
      <c r="X496" s="541"/>
      <c r="Y496" s="547"/>
      <c r="Z496" s="548"/>
      <c r="AA496" s="549"/>
      <c r="AB496" s="541"/>
      <c r="AC496" s="547"/>
      <c r="AD496" s="548"/>
      <c r="AE496" s="549"/>
      <c r="AF496" s="541"/>
      <c r="AG496" s="366"/>
      <c r="AH496" s="366"/>
      <c r="AI496" s="366"/>
      <c r="AJ496" s="366"/>
      <c r="AK496" s="394"/>
      <c r="AL496" s="430"/>
      <c r="AM496" s="395"/>
      <c r="AN496" s="529"/>
      <c r="AO496" s="394"/>
      <c r="AP496" s="430"/>
      <c r="AQ496" s="395"/>
      <c r="AR496" s="529"/>
      <c r="AS496" s="542"/>
      <c r="AT496" s="542"/>
    </row>
    <row r="497">
      <c r="A497" s="394"/>
      <c r="B497" s="430"/>
      <c r="C497" s="395"/>
      <c r="D497" s="529"/>
      <c r="E497" s="394"/>
      <c r="F497" s="430"/>
      <c r="G497" s="395"/>
      <c r="H497" s="529"/>
      <c r="I497" s="394"/>
      <c r="J497" s="430"/>
      <c r="K497" s="395"/>
      <c r="L497" s="529"/>
      <c r="M497" s="394"/>
      <c r="N497" s="430"/>
      <c r="O497" s="395"/>
      <c r="P497" s="529"/>
      <c r="Q497" s="547"/>
      <c r="R497" s="548"/>
      <c r="S497" s="549"/>
      <c r="T497" s="541"/>
      <c r="U497" s="547"/>
      <c r="V497" s="548"/>
      <c r="W497" s="549"/>
      <c r="X497" s="541"/>
      <c r="Y497" s="547"/>
      <c r="Z497" s="548"/>
      <c r="AA497" s="549"/>
      <c r="AB497" s="541"/>
      <c r="AC497" s="547"/>
      <c r="AD497" s="548"/>
      <c r="AE497" s="549"/>
      <c r="AF497" s="541"/>
      <c r="AG497" s="366"/>
      <c r="AH497" s="366"/>
      <c r="AI497" s="366"/>
      <c r="AJ497" s="366"/>
      <c r="AK497" s="394"/>
      <c r="AL497" s="430"/>
      <c r="AM497" s="395"/>
      <c r="AN497" s="529"/>
      <c r="AO497" s="394"/>
      <c r="AP497" s="430"/>
      <c r="AQ497" s="395"/>
      <c r="AR497" s="529"/>
      <c r="AS497" s="542"/>
      <c r="AT497" s="542"/>
    </row>
    <row r="498">
      <c r="A498" s="394"/>
      <c r="B498" s="430"/>
      <c r="C498" s="395"/>
      <c r="D498" s="529"/>
      <c r="E498" s="394"/>
      <c r="F498" s="430"/>
      <c r="G498" s="395"/>
      <c r="H498" s="529"/>
      <c r="I498" s="394"/>
      <c r="J498" s="430"/>
      <c r="K498" s="395"/>
      <c r="L498" s="529"/>
      <c r="M498" s="394"/>
      <c r="N498" s="430"/>
      <c r="O498" s="395"/>
      <c r="P498" s="529"/>
      <c r="Q498" s="547"/>
      <c r="R498" s="548"/>
      <c r="S498" s="549"/>
      <c r="T498" s="541"/>
      <c r="U498" s="547"/>
      <c r="V498" s="548"/>
      <c r="W498" s="549"/>
      <c r="X498" s="541"/>
      <c r="Y498" s="547"/>
      <c r="Z498" s="548"/>
      <c r="AA498" s="549"/>
      <c r="AB498" s="541"/>
      <c r="AC498" s="547"/>
      <c r="AD498" s="548"/>
      <c r="AE498" s="549"/>
      <c r="AF498" s="541"/>
      <c r="AG498" s="366"/>
      <c r="AH498" s="366"/>
      <c r="AI498" s="366"/>
      <c r="AJ498" s="366"/>
      <c r="AK498" s="394"/>
      <c r="AL498" s="430"/>
      <c r="AM498" s="395"/>
      <c r="AN498" s="529"/>
      <c r="AO498" s="394"/>
      <c r="AP498" s="430"/>
      <c r="AQ498" s="395"/>
      <c r="AR498" s="529"/>
      <c r="AS498" s="542"/>
      <c r="AT498" s="542"/>
    </row>
    <row r="499">
      <c r="A499" s="394"/>
      <c r="B499" s="430"/>
      <c r="C499" s="395"/>
      <c r="D499" s="529"/>
      <c r="E499" s="394"/>
      <c r="F499" s="430"/>
      <c r="G499" s="395"/>
      <c r="H499" s="529"/>
      <c r="I499" s="394"/>
      <c r="J499" s="430"/>
      <c r="K499" s="395"/>
      <c r="L499" s="529"/>
      <c r="M499" s="394"/>
      <c r="N499" s="430"/>
      <c r="O499" s="395"/>
      <c r="P499" s="529"/>
      <c r="Q499" s="547"/>
      <c r="R499" s="548"/>
      <c r="S499" s="549"/>
      <c r="T499" s="541"/>
      <c r="U499" s="547"/>
      <c r="V499" s="548"/>
      <c r="W499" s="549"/>
      <c r="X499" s="541"/>
      <c r="Y499" s="547"/>
      <c r="Z499" s="548"/>
      <c r="AA499" s="549"/>
      <c r="AB499" s="541"/>
      <c r="AC499" s="547"/>
      <c r="AD499" s="548"/>
      <c r="AE499" s="549"/>
      <c r="AF499" s="541"/>
      <c r="AG499" s="366"/>
      <c r="AH499" s="366"/>
      <c r="AI499" s="366"/>
      <c r="AJ499" s="366"/>
      <c r="AK499" s="394"/>
      <c r="AL499" s="430"/>
      <c r="AM499" s="395"/>
      <c r="AN499" s="529"/>
      <c r="AO499" s="394"/>
      <c r="AP499" s="430"/>
      <c r="AQ499" s="395"/>
      <c r="AR499" s="529"/>
      <c r="AS499" s="542"/>
      <c r="AT499" s="542"/>
    </row>
    <row r="500">
      <c r="A500" s="394"/>
      <c r="B500" s="430"/>
      <c r="C500" s="395"/>
      <c r="D500" s="529"/>
      <c r="E500" s="394"/>
      <c r="F500" s="430"/>
      <c r="G500" s="395"/>
      <c r="H500" s="529"/>
      <c r="I500" s="394"/>
      <c r="J500" s="430"/>
      <c r="K500" s="395"/>
      <c r="L500" s="529"/>
      <c r="M500" s="394"/>
      <c r="N500" s="430"/>
      <c r="O500" s="395"/>
      <c r="P500" s="529"/>
      <c r="Q500" s="547"/>
      <c r="R500" s="548"/>
      <c r="S500" s="549"/>
      <c r="T500" s="541"/>
      <c r="U500" s="547"/>
      <c r="V500" s="548"/>
      <c r="W500" s="549"/>
      <c r="X500" s="541"/>
      <c r="Y500" s="547"/>
      <c r="Z500" s="548"/>
      <c r="AA500" s="549"/>
      <c r="AB500" s="541"/>
      <c r="AC500" s="547"/>
      <c r="AD500" s="548"/>
      <c r="AE500" s="549"/>
      <c r="AF500" s="541"/>
      <c r="AG500" s="366"/>
      <c r="AH500" s="366"/>
      <c r="AI500" s="366"/>
      <c r="AJ500" s="366"/>
      <c r="AK500" s="394"/>
      <c r="AL500" s="430"/>
      <c r="AM500" s="395"/>
      <c r="AN500" s="529"/>
      <c r="AO500" s="394"/>
      <c r="AP500" s="430"/>
      <c r="AQ500" s="395"/>
      <c r="AR500" s="529"/>
      <c r="AS500" s="542"/>
      <c r="AT500" s="542"/>
    </row>
    <row r="501">
      <c r="A501" s="394"/>
      <c r="B501" s="430"/>
      <c r="C501" s="395"/>
      <c r="D501" s="529"/>
      <c r="E501" s="394"/>
      <c r="F501" s="430"/>
      <c r="G501" s="395"/>
      <c r="H501" s="529"/>
      <c r="I501" s="394"/>
      <c r="J501" s="430"/>
      <c r="K501" s="395"/>
      <c r="L501" s="529"/>
      <c r="M501" s="394"/>
      <c r="N501" s="430"/>
      <c r="O501" s="395"/>
      <c r="P501" s="529"/>
      <c r="Q501" s="547"/>
      <c r="R501" s="548"/>
      <c r="S501" s="549"/>
      <c r="T501" s="541"/>
      <c r="U501" s="547"/>
      <c r="V501" s="548"/>
      <c r="W501" s="549"/>
      <c r="X501" s="541"/>
      <c r="Y501" s="547"/>
      <c r="Z501" s="548"/>
      <c r="AA501" s="549"/>
      <c r="AB501" s="541"/>
      <c r="AC501" s="547"/>
      <c r="AD501" s="548"/>
      <c r="AE501" s="549"/>
      <c r="AF501" s="541"/>
      <c r="AG501" s="366"/>
      <c r="AH501" s="366"/>
      <c r="AI501" s="366"/>
      <c r="AJ501" s="366"/>
      <c r="AK501" s="394"/>
      <c r="AL501" s="430"/>
      <c r="AM501" s="395"/>
      <c r="AN501" s="529"/>
      <c r="AO501" s="394"/>
      <c r="AP501" s="430"/>
      <c r="AQ501" s="395"/>
      <c r="AR501" s="529"/>
      <c r="AS501" s="542"/>
      <c r="AT501" s="542"/>
    </row>
    <row r="502">
      <c r="A502" s="394"/>
      <c r="B502" s="430"/>
      <c r="C502" s="395"/>
      <c r="D502" s="529"/>
      <c r="E502" s="394"/>
      <c r="F502" s="430"/>
      <c r="G502" s="395"/>
      <c r="H502" s="529"/>
      <c r="I502" s="394"/>
      <c r="J502" s="430"/>
      <c r="K502" s="395"/>
      <c r="L502" s="529"/>
      <c r="M502" s="394"/>
      <c r="N502" s="430"/>
      <c r="O502" s="395"/>
      <c r="P502" s="529"/>
      <c r="Q502" s="547"/>
      <c r="R502" s="548"/>
      <c r="S502" s="549"/>
      <c r="T502" s="541"/>
      <c r="U502" s="547"/>
      <c r="V502" s="548"/>
      <c r="W502" s="549"/>
      <c r="X502" s="541"/>
      <c r="Y502" s="547"/>
      <c r="Z502" s="548"/>
      <c r="AA502" s="549"/>
      <c r="AB502" s="541"/>
      <c r="AC502" s="547"/>
      <c r="AD502" s="548"/>
      <c r="AE502" s="549"/>
      <c r="AF502" s="541"/>
      <c r="AG502" s="366"/>
      <c r="AH502" s="366"/>
      <c r="AI502" s="366"/>
      <c r="AJ502" s="366"/>
      <c r="AK502" s="394"/>
      <c r="AL502" s="430"/>
      <c r="AM502" s="395"/>
      <c r="AN502" s="529"/>
      <c r="AO502" s="394"/>
      <c r="AP502" s="430"/>
      <c r="AQ502" s="395"/>
      <c r="AR502" s="529"/>
      <c r="AS502" s="542"/>
      <c r="AT502" s="542"/>
    </row>
    <row r="503">
      <c r="A503" s="394"/>
      <c r="B503" s="430"/>
      <c r="C503" s="395"/>
      <c r="D503" s="529"/>
      <c r="E503" s="394"/>
      <c r="F503" s="430"/>
      <c r="G503" s="395"/>
      <c r="H503" s="529"/>
      <c r="I503" s="394"/>
      <c r="J503" s="430"/>
      <c r="K503" s="395"/>
      <c r="L503" s="529"/>
      <c r="M503" s="394"/>
      <c r="N503" s="430"/>
      <c r="O503" s="395"/>
      <c r="P503" s="529"/>
      <c r="Q503" s="547"/>
      <c r="R503" s="548"/>
      <c r="S503" s="549"/>
      <c r="T503" s="541"/>
      <c r="U503" s="547"/>
      <c r="V503" s="548"/>
      <c r="W503" s="549"/>
      <c r="X503" s="541"/>
      <c r="Y503" s="547"/>
      <c r="Z503" s="548"/>
      <c r="AA503" s="549"/>
      <c r="AB503" s="541"/>
      <c r="AC503" s="547"/>
      <c r="AD503" s="548"/>
      <c r="AE503" s="549"/>
      <c r="AF503" s="541"/>
      <c r="AG503" s="366"/>
      <c r="AH503" s="366"/>
      <c r="AI503" s="366"/>
      <c r="AJ503" s="366"/>
      <c r="AK503" s="394"/>
      <c r="AL503" s="430"/>
      <c r="AM503" s="395"/>
      <c r="AN503" s="529"/>
      <c r="AO503" s="394"/>
      <c r="AP503" s="430"/>
      <c r="AQ503" s="395"/>
      <c r="AR503" s="529"/>
      <c r="AS503" s="542"/>
      <c r="AT503" s="542"/>
    </row>
    <row r="504">
      <c r="A504" s="394"/>
      <c r="B504" s="430"/>
      <c r="C504" s="395"/>
      <c r="D504" s="529"/>
      <c r="E504" s="394"/>
      <c r="F504" s="430"/>
      <c r="G504" s="395"/>
      <c r="H504" s="529"/>
      <c r="I504" s="394"/>
      <c r="J504" s="430"/>
      <c r="K504" s="395"/>
      <c r="L504" s="529"/>
      <c r="M504" s="394"/>
      <c r="N504" s="430"/>
      <c r="O504" s="395"/>
      <c r="P504" s="529"/>
      <c r="Q504" s="547"/>
      <c r="R504" s="548"/>
      <c r="S504" s="549"/>
      <c r="T504" s="541"/>
      <c r="U504" s="547"/>
      <c r="V504" s="548"/>
      <c r="W504" s="549"/>
      <c r="X504" s="541"/>
      <c r="Y504" s="547"/>
      <c r="Z504" s="548"/>
      <c r="AA504" s="549"/>
      <c r="AB504" s="541"/>
      <c r="AC504" s="547"/>
      <c r="AD504" s="548"/>
      <c r="AE504" s="549"/>
      <c r="AF504" s="541"/>
      <c r="AG504" s="366"/>
      <c r="AH504" s="366"/>
      <c r="AI504" s="366"/>
      <c r="AJ504" s="366"/>
      <c r="AK504" s="394"/>
      <c r="AL504" s="430"/>
      <c r="AM504" s="395"/>
      <c r="AN504" s="529"/>
      <c r="AO504" s="394"/>
      <c r="AP504" s="430"/>
      <c r="AQ504" s="395"/>
      <c r="AR504" s="529"/>
      <c r="AS504" s="542"/>
      <c r="AT504" s="542"/>
    </row>
    <row r="505">
      <c r="A505" s="394"/>
      <c r="B505" s="430"/>
      <c r="C505" s="395"/>
      <c r="D505" s="529"/>
      <c r="E505" s="394"/>
      <c r="F505" s="430"/>
      <c r="G505" s="395"/>
      <c r="H505" s="529"/>
      <c r="I505" s="394"/>
      <c r="J505" s="430"/>
      <c r="K505" s="395"/>
      <c r="L505" s="529"/>
      <c r="M505" s="394"/>
      <c r="N505" s="430"/>
      <c r="O505" s="395"/>
      <c r="P505" s="529"/>
      <c r="Q505" s="547"/>
      <c r="R505" s="548"/>
      <c r="S505" s="549"/>
      <c r="T505" s="541"/>
      <c r="U505" s="547"/>
      <c r="V505" s="548"/>
      <c r="W505" s="549"/>
      <c r="X505" s="541"/>
      <c r="Y505" s="547"/>
      <c r="Z505" s="548"/>
      <c r="AA505" s="549"/>
      <c r="AB505" s="541"/>
      <c r="AC505" s="547"/>
      <c r="AD505" s="548"/>
      <c r="AE505" s="549"/>
      <c r="AF505" s="541"/>
      <c r="AG505" s="366"/>
      <c r="AH505" s="366"/>
      <c r="AI505" s="366"/>
      <c r="AJ505" s="366"/>
      <c r="AK505" s="394"/>
      <c r="AL505" s="430"/>
      <c r="AM505" s="395"/>
      <c r="AN505" s="529"/>
      <c r="AO505" s="394"/>
      <c r="AP505" s="430"/>
      <c r="AQ505" s="395"/>
      <c r="AR505" s="529"/>
      <c r="AS505" s="542"/>
      <c r="AT505" s="542"/>
    </row>
    <row r="506">
      <c r="A506" s="394"/>
      <c r="B506" s="430"/>
      <c r="C506" s="395"/>
      <c r="D506" s="529"/>
      <c r="E506" s="394"/>
      <c r="F506" s="430"/>
      <c r="G506" s="395"/>
      <c r="H506" s="529"/>
      <c r="I506" s="394"/>
      <c r="J506" s="430"/>
      <c r="K506" s="395"/>
      <c r="L506" s="529"/>
      <c r="M506" s="394"/>
      <c r="N506" s="430"/>
      <c r="O506" s="395"/>
      <c r="P506" s="529"/>
      <c r="Q506" s="547"/>
      <c r="R506" s="548"/>
      <c r="S506" s="549"/>
      <c r="T506" s="541"/>
      <c r="U506" s="547"/>
      <c r="V506" s="548"/>
      <c r="W506" s="549"/>
      <c r="X506" s="541"/>
      <c r="Y506" s="547"/>
      <c r="Z506" s="548"/>
      <c r="AA506" s="549"/>
      <c r="AB506" s="541"/>
      <c r="AC506" s="547"/>
      <c r="AD506" s="548"/>
      <c r="AE506" s="549"/>
      <c r="AF506" s="541"/>
      <c r="AG506" s="366"/>
      <c r="AH506" s="366"/>
      <c r="AI506" s="366"/>
      <c r="AJ506" s="366"/>
      <c r="AK506" s="394"/>
      <c r="AL506" s="430"/>
      <c r="AM506" s="395"/>
      <c r="AN506" s="529"/>
      <c r="AO506" s="394"/>
      <c r="AP506" s="430"/>
      <c r="AQ506" s="395"/>
      <c r="AR506" s="529"/>
      <c r="AS506" s="542"/>
      <c r="AT506" s="542"/>
    </row>
    <row r="507">
      <c r="A507" s="394"/>
      <c r="B507" s="430"/>
      <c r="C507" s="395"/>
      <c r="D507" s="529"/>
      <c r="E507" s="394"/>
      <c r="F507" s="430"/>
      <c r="G507" s="395"/>
      <c r="H507" s="529"/>
      <c r="I507" s="394"/>
      <c r="J507" s="430"/>
      <c r="K507" s="395"/>
      <c r="L507" s="529"/>
      <c r="M507" s="394"/>
      <c r="N507" s="430"/>
      <c r="O507" s="395"/>
      <c r="P507" s="529"/>
      <c r="Q507" s="547"/>
      <c r="R507" s="548"/>
      <c r="S507" s="549"/>
      <c r="T507" s="541"/>
      <c r="U507" s="547"/>
      <c r="V507" s="548"/>
      <c r="W507" s="549"/>
      <c r="X507" s="541"/>
      <c r="Y507" s="547"/>
      <c r="Z507" s="548"/>
      <c r="AA507" s="549"/>
      <c r="AB507" s="541"/>
      <c r="AC507" s="547"/>
      <c r="AD507" s="548"/>
      <c r="AE507" s="549"/>
      <c r="AF507" s="541"/>
      <c r="AG507" s="366"/>
      <c r="AH507" s="366"/>
      <c r="AI507" s="366"/>
      <c r="AJ507" s="366"/>
      <c r="AK507" s="394"/>
      <c r="AL507" s="430"/>
      <c r="AM507" s="395"/>
      <c r="AN507" s="529"/>
      <c r="AO507" s="394"/>
      <c r="AP507" s="430"/>
      <c r="AQ507" s="395"/>
      <c r="AR507" s="529"/>
      <c r="AS507" s="542"/>
      <c r="AT507" s="542"/>
    </row>
    <row r="508">
      <c r="A508" s="394"/>
      <c r="B508" s="430"/>
      <c r="C508" s="395"/>
      <c r="D508" s="529"/>
      <c r="E508" s="394"/>
      <c r="F508" s="430"/>
      <c r="G508" s="395"/>
      <c r="H508" s="529"/>
      <c r="I508" s="394"/>
      <c r="J508" s="430"/>
      <c r="K508" s="395"/>
      <c r="L508" s="529"/>
      <c r="M508" s="394"/>
      <c r="N508" s="430"/>
      <c r="O508" s="395"/>
      <c r="P508" s="529"/>
      <c r="Q508" s="547"/>
      <c r="R508" s="548"/>
      <c r="S508" s="549"/>
      <c r="T508" s="541"/>
      <c r="U508" s="547"/>
      <c r="V508" s="548"/>
      <c r="W508" s="549"/>
      <c r="X508" s="541"/>
      <c r="Y508" s="547"/>
      <c r="Z508" s="548"/>
      <c r="AA508" s="549"/>
      <c r="AB508" s="541"/>
      <c r="AC508" s="547"/>
      <c r="AD508" s="548"/>
      <c r="AE508" s="549"/>
      <c r="AF508" s="541"/>
      <c r="AG508" s="366"/>
      <c r="AH508" s="366"/>
      <c r="AI508" s="366"/>
      <c r="AJ508" s="366"/>
      <c r="AK508" s="394"/>
      <c r="AL508" s="430"/>
      <c r="AM508" s="395"/>
      <c r="AN508" s="529"/>
      <c r="AO508" s="394"/>
      <c r="AP508" s="430"/>
      <c r="AQ508" s="395"/>
      <c r="AR508" s="529"/>
      <c r="AS508" s="542"/>
      <c r="AT508" s="542"/>
    </row>
    <row r="509">
      <c r="A509" s="394"/>
      <c r="B509" s="430"/>
      <c r="C509" s="395"/>
      <c r="D509" s="529"/>
      <c r="E509" s="394"/>
      <c r="F509" s="430"/>
      <c r="G509" s="395"/>
      <c r="H509" s="529"/>
      <c r="I509" s="394"/>
      <c r="J509" s="430"/>
      <c r="K509" s="395"/>
      <c r="L509" s="529"/>
      <c r="M509" s="394"/>
      <c r="N509" s="430"/>
      <c r="O509" s="395"/>
      <c r="P509" s="529"/>
      <c r="Q509" s="547"/>
      <c r="R509" s="548"/>
      <c r="S509" s="549"/>
      <c r="T509" s="541"/>
      <c r="U509" s="547"/>
      <c r="V509" s="548"/>
      <c r="W509" s="549"/>
      <c r="X509" s="541"/>
      <c r="Y509" s="547"/>
      <c r="Z509" s="548"/>
      <c r="AA509" s="549"/>
      <c r="AB509" s="541"/>
      <c r="AC509" s="547"/>
      <c r="AD509" s="548"/>
      <c r="AE509" s="549"/>
      <c r="AF509" s="541"/>
      <c r="AG509" s="366"/>
      <c r="AH509" s="366"/>
      <c r="AI509" s="366"/>
      <c r="AJ509" s="366"/>
      <c r="AK509" s="394"/>
      <c r="AL509" s="430"/>
      <c r="AM509" s="395"/>
      <c r="AN509" s="529"/>
      <c r="AO509" s="394"/>
      <c r="AP509" s="430"/>
      <c r="AQ509" s="395"/>
      <c r="AR509" s="529"/>
      <c r="AS509" s="542"/>
      <c r="AT509" s="542"/>
    </row>
    <row r="510">
      <c r="A510" s="394"/>
      <c r="B510" s="430"/>
      <c r="C510" s="395"/>
      <c r="D510" s="529"/>
      <c r="E510" s="394"/>
      <c r="F510" s="430"/>
      <c r="G510" s="395"/>
      <c r="H510" s="529"/>
      <c r="I510" s="394"/>
      <c r="J510" s="430"/>
      <c r="K510" s="395"/>
      <c r="L510" s="529"/>
      <c r="M510" s="394"/>
      <c r="N510" s="430"/>
      <c r="O510" s="395"/>
      <c r="P510" s="529"/>
      <c r="Q510" s="547"/>
      <c r="R510" s="548"/>
      <c r="S510" s="549"/>
      <c r="T510" s="541"/>
      <c r="U510" s="547"/>
      <c r="V510" s="548"/>
      <c r="W510" s="549"/>
      <c r="X510" s="541"/>
      <c r="Y510" s="547"/>
      <c r="Z510" s="548"/>
      <c r="AA510" s="549"/>
      <c r="AB510" s="541"/>
      <c r="AC510" s="547"/>
      <c r="AD510" s="548"/>
      <c r="AE510" s="549"/>
      <c r="AF510" s="541"/>
      <c r="AG510" s="366"/>
      <c r="AH510" s="366"/>
      <c r="AI510" s="366"/>
      <c r="AJ510" s="366"/>
      <c r="AK510" s="394"/>
      <c r="AL510" s="430"/>
      <c r="AM510" s="395"/>
      <c r="AN510" s="529"/>
      <c r="AO510" s="394"/>
      <c r="AP510" s="430"/>
      <c r="AQ510" s="395"/>
      <c r="AR510" s="529"/>
      <c r="AS510" s="542"/>
      <c r="AT510" s="542"/>
    </row>
    <row r="511">
      <c r="A511" s="394"/>
      <c r="B511" s="430"/>
      <c r="C511" s="395"/>
      <c r="D511" s="529"/>
      <c r="E511" s="394"/>
      <c r="F511" s="430"/>
      <c r="G511" s="395"/>
      <c r="H511" s="529"/>
      <c r="I511" s="394"/>
      <c r="J511" s="430"/>
      <c r="K511" s="395"/>
      <c r="L511" s="529"/>
      <c r="M511" s="394"/>
      <c r="N511" s="430"/>
      <c r="O511" s="395"/>
      <c r="P511" s="529"/>
      <c r="Q511" s="547"/>
      <c r="R511" s="548"/>
      <c r="S511" s="549"/>
      <c r="T511" s="541"/>
      <c r="U511" s="547"/>
      <c r="V511" s="548"/>
      <c r="W511" s="549"/>
      <c r="X511" s="541"/>
      <c r="Y511" s="547"/>
      <c r="Z511" s="548"/>
      <c r="AA511" s="549"/>
      <c r="AB511" s="541"/>
      <c r="AC511" s="547"/>
      <c r="AD511" s="548"/>
      <c r="AE511" s="549"/>
      <c r="AF511" s="541"/>
      <c r="AG511" s="366"/>
      <c r="AH511" s="366"/>
      <c r="AI511" s="366"/>
      <c r="AJ511" s="366"/>
      <c r="AK511" s="394"/>
      <c r="AL511" s="430"/>
      <c r="AM511" s="395"/>
      <c r="AN511" s="529"/>
      <c r="AO511" s="394"/>
      <c r="AP511" s="430"/>
      <c r="AQ511" s="395"/>
      <c r="AR511" s="529"/>
      <c r="AS511" s="542"/>
      <c r="AT511" s="542"/>
    </row>
    <row r="512">
      <c r="A512" s="394"/>
      <c r="B512" s="430"/>
      <c r="C512" s="395"/>
      <c r="D512" s="529"/>
      <c r="E512" s="394"/>
      <c r="F512" s="430"/>
      <c r="G512" s="395"/>
      <c r="H512" s="529"/>
      <c r="I512" s="394"/>
      <c r="J512" s="430"/>
      <c r="K512" s="395"/>
      <c r="L512" s="529"/>
      <c r="M512" s="394"/>
      <c r="N512" s="430"/>
      <c r="O512" s="395"/>
      <c r="P512" s="529"/>
      <c r="Q512" s="547"/>
      <c r="R512" s="548"/>
      <c r="S512" s="549"/>
      <c r="T512" s="541"/>
      <c r="U512" s="547"/>
      <c r="V512" s="548"/>
      <c r="W512" s="549"/>
      <c r="X512" s="541"/>
      <c r="Y512" s="547"/>
      <c r="Z512" s="548"/>
      <c r="AA512" s="549"/>
      <c r="AB512" s="541"/>
      <c r="AC512" s="547"/>
      <c r="AD512" s="548"/>
      <c r="AE512" s="549"/>
      <c r="AF512" s="541"/>
      <c r="AG512" s="366"/>
      <c r="AH512" s="366"/>
      <c r="AI512" s="366"/>
      <c r="AJ512" s="366"/>
      <c r="AK512" s="394"/>
      <c r="AL512" s="430"/>
      <c r="AM512" s="395"/>
      <c r="AN512" s="529"/>
      <c r="AO512" s="394"/>
      <c r="AP512" s="430"/>
      <c r="AQ512" s="395"/>
      <c r="AR512" s="529"/>
      <c r="AS512" s="542"/>
      <c r="AT512" s="542"/>
    </row>
    <row r="513">
      <c r="A513" s="394"/>
      <c r="B513" s="430"/>
      <c r="C513" s="395"/>
      <c r="D513" s="529"/>
      <c r="E513" s="394"/>
      <c r="F513" s="430"/>
      <c r="G513" s="395"/>
      <c r="H513" s="529"/>
      <c r="I513" s="394"/>
      <c r="J513" s="430"/>
      <c r="K513" s="395"/>
      <c r="L513" s="529"/>
      <c r="M513" s="394"/>
      <c r="N513" s="430"/>
      <c r="O513" s="395"/>
      <c r="P513" s="529"/>
      <c r="Q513" s="547"/>
      <c r="R513" s="548"/>
      <c r="S513" s="549"/>
      <c r="T513" s="541"/>
      <c r="U513" s="547"/>
      <c r="V513" s="548"/>
      <c r="W513" s="549"/>
      <c r="X513" s="541"/>
      <c r="Y513" s="547"/>
      <c r="Z513" s="548"/>
      <c r="AA513" s="549"/>
      <c r="AB513" s="541"/>
      <c r="AC513" s="547"/>
      <c r="AD513" s="548"/>
      <c r="AE513" s="549"/>
      <c r="AF513" s="541"/>
      <c r="AG513" s="366"/>
      <c r="AH513" s="366"/>
      <c r="AI513" s="366"/>
      <c r="AJ513" s="366"/>
      <c r="AK513" s="394"/>
      <c r="AL513" s="430"/>
      <c r="AM513" s="395"/>
      <c r="AN513" s="529"/>
      <c r="AO513" s="394"/>
      <c r="AP513" s="430"/>
      <c r="AQ513" s="395"/>
      <c r="AR513" s="529"/>
      <c r="AS513" s="542"/>
      <c r="AT513" s="542"/>
    </row>
    <row r="514">
      <c r="A514" s="394"/>
      <c r="B514" s="430"/>
      <c r="C514" s="395"/>
      <c r="D514" s="529"/>
      <c r="E514" s="394"/>
      <c r="F514" s="430"/>
      <c r="G514" s="395"/>
      <c r="H514" s="529"/>
      <c r="I514" s="394"/>
      <c r="J514" s="430"/>
      <c r="K514" s="395"/>
      <c r="L514" s="529"/>
      <c r="M514" s="394"/>
      <c r="N514" s="430"/>
      <c r="O514" s="395"/>
      <c r="P514" s="529"/>
      <c r="Q514" s="547"/>
      <c r="R514" s="548"/>
      <c r="S514" s="549"/>
      <c r="T514" s="541"/>
      <c r="U514" s="547"/>
      <c r="V514" s="548"/>
      <c r="W514" s="549"/>
      <c r="X514" s="541"/>
      <c r="Y514" s="547"/>
      <c r="Z514" s="548"/>
      <c r="AA514" s="549"/>
      <c r="AB514" s="541"/>
      <c r="AC514" s="547"/>
      <c r="AD514" s="548"/>
      <c r="AE514" s="549"/>
      <c r="AF514" s="541"/>
      <c r="AG514" s="366"/>
      <c r="AH514" s="366"/>
      <c r="AI514" s="366"/>
      <c r="AJ514" s="366"/>
      <c r="AK514" s="394"/>
      <c r="AL514" s="430"/>
      <c r="AM514" s="395"/>
      <c r="AN514" s="529"/>
      <c r="AO514" s="394"/>
      <c r="AP514" s="430"/>
      <c r="AQ514" s="395"/>
      <c r="AR514" s="529"/>
      <c r="AS514" s="542"/>
      <c r="AT514" s="542"/>
    </row>
    <row r="515">
      <c r="A515" s="394"/>
      <c r="B515" s="430"/>
      <c r="C515" s="395"/>
      <c r="D515" s="529"/>
      <c r="E515" s="394"/>
      <c r="F515" s="430"/>
      <c r="G515" s="395"/>
      <c r="H515" s="529"/>
      <c r="I515" s="394"/>
      <c r="J515" s="430"/>
      <c r="K515" s="395"/>
      <c r="L515" s="529"/>
      <c r="M515" s="394"/>
      <c r="N515" s="430"/>
      <c r="O515" s="395"/>
      <c r="P515" s="529"/>
      <c r="Q515" s="547"/>
      <c r="R515" s="548"/>
      <c r="S515" s="549"/>
      <c r="T515" s="541"/>
      <c r="U515" s="547"/>
      <c r="V515" s="548"/>
      <c r="W515" s="549"/>
      <c r="X515" s="541"/>
      <c r="Y515" s="547"/>
      <c r="Z515" s="548"/>
      <c r="AA515" s="549"/>
      <c r="AB515" s="541"/>
      <c r="AC515" s="547"/>
      <c r="AD515" s="548"/>
      <c r="AE515" s="549"/>
      <c r="AF515" s="541"/>
      <c r="AG515" s="366"/>
      <c r="AH515" s="366"/>
      <c r="AI515" s="366"/>
      <c r="AJ515" s="366"/>
      <c r="AK515" s="394"/>
      <c r="AL515" s="430"/>
      <c r="AM515" s="395"/>
      <c r="AN515" s="529"/>
      <c r="AO515" s="394"/>
      <c r="AP515" s="430"/>
      <c r="AQ515" s="395"/>
      <c r="AR515" s="529"/>
      <c r="AS515" s="542"/>
      <c r="AT515" s="542"/>
    </row>
    <row r="516">
      <c r="A516" s="394"/>
      <c r="B516" s="430"/>
      <c r="C516" s="395"/>
      <c r="D516" s="529"/>
      <c r="E516" s="394"/>
      <c r="F516" s="430"/>
      <c r="G516" s="395"/>
      <c r="H516" s="529"/>
      <c r="I516" s="394"/>
      <c r="J516" s="430"/>
      <c r="K516" s="395"/>
      <c r="L516" s="529"/>
      <c r="M516" s="394"/>
      <c r="N516" s="430"/>
      <c r="O516" s="395"/>
      <c r="P516" s="529"/>
      <c r="Q516" s="547"/>
      <c r="R516" s="548"/>
      <c r="S516" s="549"/>
      <c r="T516" s="541"/>
      <c r="U516" s="547"/>
      <c r="V516" s="548"/>
      <c r="W516" s="549"/>
      <c r="X516" s="541"/>
      <c r="Y516" s="547"/>
      <c r="Z516" s="548"/>
      <c r="AA516" s="549"/>
      <c r="AB516" s="541"/>
      <c r="AC516" s="547"/>
      <c r="AD516" s="548"/>
      <c r="AE516" s="549"/>
      <c r="AF516" s="541"/>
      <c r="AG516" s="366"/>
      <c r="AH516" s="366"/>
      <c r="AI516" s="366"/>
      <c r="AJ516" s="366"/>
      <c r="AK516" s="394"/>
      <c r="AL516" s="430"/>
      <c r="AM516" s="395"/>
      <c r="AN516" s="529"/>
      <c r="AO516" s="394"/>
      <c r="AP516" s="430"/>
      <c r="AQ516" s="395"/>
      <c r="AR516" s="529"/>
      <c r="AS516" s="542"/>
      <c r="AT516" s="542"/>
    </row>
    <row r="517">
      <c r="A517" s="394"/>
      <c r="B517" s="430"/>
      <c r="C517" s="395"/>
      <c r="D517" s="529"/>
      <c r="E517" s="394"/>
      <c r="F517" s="430"/>
      <c r="G517" s="395"/>
      <c r="H517" s="529"/>
      <c r="I517" s="394"/>
      <c r="J517" s="430"/>
      <c r="K517" s="395"/>
      <c r="L517" s="529"/>
      <c r="M517" s="394"/>
      <c r="N517" s="430"/>
      <c r="O517" s="395"/>
      <c r="P517" s="529"/>
      <c r="Q517" s="547"/>
      <c r="R517" s="548"/>
      <c r="S517" s="549"/>
      <c r="T517" s="541"/>
      <c r="U517" s="547"/>
      <c r="V517" s="548"/>
      <c r="W517" s="549"/>
      <c r="X517" s="541"/>
      <c r="Y517" s="547"/>
      <c r="Z517" s="548"/>
      <c r="AA517" s="549"/>
      <c r="AB517" s="541"/>
      <c r="AC517" s="547"/>
      <c r="AD517" s="548"/>
      <c r="AE517" s="549"/>
      <c r="AF517" s="541"/>
      <c r="AG517" s="366"/>
      <c r="AH517" s="366"/>
      <c r="AI517" s="366"/>
      <c r="AJ517" s="366"/>
      <c r="AK517" s="394"/>
      <c r="AL517" s="430"/>
      <c r="AM517" s="395"/>
      <c r="AN517" s="529"/>
      <c r="AO517" s="394"/>
      <c r="AP517" s="430"/>
      <c r="AQ517" s="395"/>
      <c r="AR517" s="529"/>
      <c r="AS517" s="542"/>
      <c r="AT517" s="542"/>
    </row>
    <row r="518">
      <c r="A518" s="394"/>
      <c r="B518" s="430"/>
      <c r="C518" s="395"/>
      <c r="D518" s="529"/>
      <c r="E518" s="394"/>
      <c r="F518" s="430"/>
      <c r="G518" s="395"/>
      <c r="H518" s="529"/>
      <c r="I518" s="394"/>
      <c r="J518" s="430"/>
      <c r="K518" s="395"/>
      <c r="L518" s="529"/>
      <c r="M518" s="394"/>
      <c r="N518" s="430"/>
      <c r="O518" s="395"/>
      <c r="P518" s="529"/>
      <c r="Q518" s="547"/>
      <c r="R518" s="548"/>
      <c r="S518" s="549"/>
      <c r="T518" s="541"/>
      <c r="U518" s="547"/>
      <c r="V518" s="548"/>
      <c r="W518" s="549"/>
      <c r="X518" s="541"/>
      <c r="Y518" s="547"/>
      <c r="Z518" s="548"/>
      <c r="AA518" s="549"/>
      <c r="AB518" s="541"/>
      <c r="AC518" s="547"/>
      <c r="AD518" s="548"/>
      <c r="AE518" s="549"/>
      <c r="AF518" s="541"/>
      <c r="AG518" s="366"/>
      <c r="AH518" s="366"/>
      <c r="AI518" s="366"/>
      <c r="AJ518" s="366"/>
      <c r="AK518" s="394"/>
      <c r="AL518" s="430"/>
      <c r="AM518" s="395"/>
      <c r="AN518" s="529"/>
      <c r="AO518" s="394"/>
      <c r="AP518" s="430"/>
      <c r="AQ518" s="395"/>
      <c r="AR518" s="529"/>
      <c r="AS518" s="542"/>
      <c r="AT518" s="542"/>
    </row>
    <row r="519">
      <c r="A519" s="394"/>
      <c r="B519" s="430"/>
      <c r="C519" s="395"/>
      <c r="D519" s="529"/>
      <c r="E519" s="394"/>
      <c r="F519" s="430"/>
      <c r="G519" s="395"/>
      <c r="H519" s="529"/>
      <c r="I519" s="394"/>
      <c r="J519" s="430"/>
      <c r="K519" s="395"/>
      <c r="L519" s="529"/>
      <c r="M519" s="394"/>
      <c r="N519" s="430"/>
      <c r="O519" s="395"/>
      <c r="P519" s="529"/>
      <c r="Q519" s="547"/>
      <c r="R519" s="548"/>
      <c r="S519" s="549"/>
      <c r="T519" s="541"/>
      <c r="U519" s="547"/>
      <c r="V519" s="548"/>
      <c r="W519" s="549"/>
      <c r="X519" s="541"/>
      <c r="Y519" s="547"/>
      <c r="Z519" s="548"/>
      <c r="AA519" s="549"/>
      <c r="AB519" s="541"/>
      <c r="AC519" s="547"/>
      <c r="AD519" s="548"/>
      <c r="AE519" s="549"/>
      <c r="AF519" s="541"/>
      <c r="AG519" s="366"/>
      <c r="AH519" s="366"/>
      <c r="AI519" s="366"/>
      <c r="AJ519" s="366"/>
      <c r="AK519" s="394"/>
      <c r="AL519" s="430"/>
      <c r="AM519" s="395"/>
      <c r="AN519" s="529"/>
      <c r="AO519" s="394"/>
      <c r="AP519" s="430"/>
      <c r="AQ519" s="395"/>
      <c r="AR519" s="529"/>
      <c r="AS519" s="542"/>
      <c r="AT519" s="542"/>
    </row>
    <row r="520">
      <c r="A520" s="394"/>
      <c r="B520" s="430"/>
      <c r="C520" s="395"/>
      <c r="D520" s="529"/>
      <c r="E520" s="394"/>
      <c r="F520" s="430"/>
      <c r="G520" s="395"/>
      <c r="H520" s="529"/>
      <c r="I520" s="394"/>
      <c r="J520" s="430"/>
      <c r="K520" s="395"/>
      <c r="L520" s="529"/>
      <c r="M520" s="394"/>
      <c r="N520" s="430"/>
      <c r="O520" s="395"/>
      <c r="P520" s="529"/>
      <c r="Q520" s="547"/>
      <c r="R520" s="548"/>
      <c r="S520" s="549"/>
      <c r="T520" s="541"/>
      <c r="U520" s="547"/>
      <c r="V520" s="548"/>
      <c r="W520" s="549"/>
      <c r="X520" s="541"/>
      <c r="Y520" s="547"/>
      <c r="Z520" s="548"/>
      <c r="AA520" s="549"/>
      <c r="AB520" s="541"/>
      <c r="AC520" s="547"/>
      <c r="AD520" s="548"/>
      <c r="AE520" s="549"/>
      <c r="AF520" s="541"/>
      <c r="AG520" s="366"/>
      <c r="AH520" s="366"/>
      <c r="AI520" s="366"/>
      <c r="AJ520" s="366"/>
      <c r="AK520" s="394"/>
      <c r="AL520" s="430"/>
      <c r="AM520" s="395"/>
      <c r="AN520" s="529"/>
      <c r="AO520" s="394"/>
      <c r="AP520" s="430"/>
      <c r="AQ520" s="395"/>
      <c r="AR520" s="529"/>
      <c r="AS520" s="542"/>
      <c r="AT520" s="542"/>
    </row>
    <row r="521">
      <c r="A521" s="394"/>
      <c r="B521" s="430"/>
      <c r="C521" s="395"/>
      <c r="D521" s="529"/>
      <c r="E521" s="394"/>
      <c r="F521" s="430"/>
      <c r="G521" s="395"/>
      <c r="H521" s="529"/>
      <c r="I521" s="394"/>
      <c r="J521" s="430"/>
      <c r="K521" s="395"/>
      <c r="L521" s="529"/>
      <c r="M521" s="394"/>
      <c r="N521" s="430"/>
      <c r="O521" s="395"/>
      <c r="P521" s="529"/>
      <c r="Q521" s="547"/>
      <c r="R521" s="548"/>
      <c r="S521" s="549"/>
      <c r="T521" s="541"/>
      <c r="U521" s="547"/>
      <c r="V521" s="548"/>
      <c r="W521" s="549"/>
      <c r="X521" s="541"/>
      <c r="Y521" s="547"/>
      <c r="Z521" s="548"/>
      <c r="AA521" s="549"/>
      <c r="AB521" s="541"/>
      <c r="AC521" s="547"/>
      <c r="AD521" s="548"/>
      <c r="AE521" s="549"/>
      <c r="AF521" s="541"/>
      <c r="AG521" s="366"/>
      <c r="AH521" s="366"/>
      <c r="AI521" s="366"/>
      <c r="AJ521" s="366"/>
      <c r="AK521" s="394"/>
      <c r="AL521" s="430"/>
      <c r="AM521" s="395"/>
      <c r="AN521" s="529"/>
      <c r="AO521" s="394"/>
      <c r="AP521" s="430"/>
      <c r="AQ521" s="395"/>
      <c r="AR521" s="529"/>
      <c r="AS521" s="542"/>
      <c r="AT521" s="542"/>
    </row>
    <row r="522">
      <c r="A522" s="394"/>
      <c r="B522" s="430"/>
      <c r="C522" s="395"/>
      <c r="D522" s="529"/>
      <c r="E522" s="394"/>
      <c r="F522" s="430"/>
      <c r="G522" s="395"/>
      <c r="H522" s="529"/>
      <c r="I522" s="394"/>
      <c r="J522" s="430"/>
      <c r="K522" s="395"/>
      <c r="L522" s="529"/>
      <c r="M522" s="394"/>
      <c r="N522" s="430"/>
      <c r="O522" s="395"/>
      <c r="P522" s="529"/>
      <c r="Q522" s="547"/>
      <c r="R522" s="548"/>
      <c r="S522" s="549"/>
      <c r="T522" s="541"/>
      <c r="U522" s="547"/>
      <c r="V522" s="548"/>
      <c r="W522" s="549"/>
      <c r="X522" s="541"/>
      <c r="Y522" s="547"/>
      <c r="Z522" s="548"/>
      <c r="AA522" s="549"/>
      <c r="AB522" s="541"/>
      <c r="AC522" s="547"/>
      <c r="AD522" s="548"/>
      <c r="AE522" s="549"/>
      <c r="AF522" s="541"/>
      <c r="AG522" s="366"/>
      <c r="AH522" s="366"/>
      <c r="AI522" s="366"/>
      <c r="AJ522" s="366"/>
      <c r="AK522" s="394"/>
      <c r="AL522" s="430"/>
      <c r="AM522" s="395"/>
      <c r="AN522" s="529"/>
      <c r="AO522" s="394"/>
      <c r="AP522" s="430"/>
      <c r="AQ522" s="395"/>
      <c r="AR522" s="529"/>
      <c r="AS522" s="542"/>
      <c r="AT522" s="542"/>
    </row>
    <row r="523">
      <c r="A523" s="394"/>
      <c r="B523" s="430"/>
      <c r="C523" s="395"/>
      <c r="D523" s="529"/>
      <c r="E523" s="394"/>
      <c r="F523" s="430"/>
      <c r="G523" s="395"/>
      <c r="H523" s="529"/>
      <c r="I523" s="394"/>
      <c r="J523" s="430"/>
      <c r="K523" s="395"/>
      <c r="L523" s="529"/>
      <c r="M523" s="394"/>
      <c r="N523" s="430"/>
      <c r="O523" s="395"/>
      <c r="P523" s="529"/>
      <c r="Q523" s="547"/>
      <c r="R523" s="548"/>
      <c r="S523" s="549"/>
      <c r="T523" s="541"/>
      <c r="U523" s="547"/>
      <c r="V523" s="548"/>
      <c r="W523" s="549"/>
      <c r="X523" s="541"/>
      <c r="Y523" s="547"/>
      <c r="Z523" s="548"/>
      <c r="AA523" s="549"/>
      <c r="AB523" s="541"/>
      <c r="AC523" s="547"/>
      <c r="AD523" s="548"/>
      <c r="AE523" s="549"/>
      <c r="AF523" s="541"/>
      <c r="AG523" s="366"/>
      <c r="AH523" s="366"/>
      <c r="AI523" s="366"/>
      <c r="AJ523" s="366"/>
      <c r="AK523" s="394"/>
      <c r="AL523" s="430"/>
      <c r="AM523" s="395"/>
      <c r="AN523" s="529"/>
      <c r="AO523" s="394"/>
      <c r="AP523" s="430"/>
      <c r="AQ523" s="395"/>
      <c r="AR523" s="529"/>
      <c r="AS523" s="542"/>
      <c r="AT523" s="542"/>
    </row>
    <row r="524">
      <c r="A524" s="394"/>
      <c r="B524" s="430"/>
      <c r="C524" s="395"/>
      <c r="D524" s="529"/>
      <c r="E524" s="394"/>
      <c r="F524" s="430"/>
      <c r="G524" s="395"/>
      <c r="H524" s="529"/>
      <c r="I524" s="394"/>
      <c r="J524" s="430"/>
      <c r="K524" s="395"/>
      <c r="L524" s="529"/>
      <c r="M524" s="394"/>
      <c r="N524" s="430"/>
      <c r="O524" s="395"/>
      <c r="P524" s="529"/>
      <c r="Q524" s="547"/>
      <c r="R524" s="548"/>
      <c r="S524" s="549"/>
      <c r="T524" s="541"/>
      <c r="U524" s="547"/>
      <c r="V524" s="548"/>
      <c r="W524" s="549"/>
      <c r="X524" s="541"/>
      <c r="Y524" s="547"/>
      <c r="Z524" s="548"/>
      <c r="AA524" s="549"/>
      <c r="AB524" s="541"/>
      <c r="AC524" s="547"/>
      <c r="AD524" s="548"/>
      <c r="AE524" s="549"/>
      <c r="AF524" s="541"/>
      <c r="AG524" s="366"/>
      <c r="AH524" s="366"/>
      <c r="AI524" s="366"/>
      <c r="AJ524" s="366"/>
      <c r="AK524" s="394"/>
      <c r="AL524" s="430"/>
      <c r="AM524" s="395"/>
      <c r="AN524" s="529"/>
      <c r="AO524" s="394"/>
      <c r="AP524" s="430"/>
      <c r="AQ524" s="395"/>
      <c r="AR524" s="529"/>
      <c r="AS524" s="542"/>
      <c r="AT524" s="542"/>
    </row>
    <row r="525">
      <c r="A525" s="394"/>
      <c r="B525" s="430"/>
      <c r="C525" s="395"/>
      <c r="D525" s="529"/>
      <c r="E525" s="394"/>
      <c r="F525" s="430"/>
      <c r="G525" s="395"/>
      <c r="H525" s="529"/>
      <c r="I525" s="394"/>
      <c r="J525" s="430"/>
      <c r="K525" s="395"/>
      <c r="L525" s="529"/>
      <c r="M525" s="394"/>
      <c r="N525" s="430"/>
      <c r="O525" s="395"/>
      <c r="P525" s="529"/>
      <c r="Q525" s="547"/>
      <c r="R525" s="548"/>
      <c r="S525" s="549"/>
      <c r="T525" s="541"/>
      <c r="U525" s="547"/>
      <c r="V525" s="548"/>
      <c r="W525" s="549"/>
      <c r="X525" s="541"/>
      <c r="Y525" s="547"/>
      <c r="Z525" s="548"/>
      <c r="AA525" s="549"/>
      <c r="AB525" s="541"/>
      <c r="AC525" s="547"/>
      <c r="AD525" s="548"/>
      <c r="AE525" s="549"/>
      <c r="AF525" s="541"/>
      <c r="AG525" s="366"/>
      <c r="AH525" s="366"/>
      <c r="AI525" s="366"/>
      <c r="AJ525" s="366"/>
      <c r="AK525" s="394"/>
      <c r="AL525" s="430"/>
      <c r="AM525" s="395"/>
      <c r="AN525" s="529"/>
      <c r="AO525" s="394"/>
      <c r="AP525" s="430"/>
      <c r="AQ525" s="395"/>
      <c r="AR525" s="529"/>
      <c r="AS525" s="542"/>
      <c r="AT525" s="542"/>
    </row>
    <row r="526">
      <c r="A526" s="394"/>
      <c r="B526" s="430"/>
      <c r="C526" s="395"/>
      <c r="D526" s="529"/>
      <c r="E526" s="394"/>
      <c r="F526" s="430"/>
      <c r="G526" s="395"/>
      <c r="H526" s="529"/>
      <c r="I526" s="394"/>
      <c r="J526" s="430"/>
      <c r="K526" s="395"/>
      <c r="L526" s="529"/>
      <c r="M526" s="394"/>
      <c r="N526" s="430"/>
      <c r="O526" s="395"/>
      <c r="P526" s="529"/>
      <c r="Q526" s="547"/>
      <c r="R526" s="548"/>
      <c r="S526" s="549"/>
      <c r="T526" s="541"/>
      <c r="U526" s="547"/>
      <c r="V526" s="548"/>
      <c r="W526" s="549"/>
      <c r="X526" s="541"/>
      <c r="Y526" s="547"/>
      <c r="Z526" s="548"/>
      <c r="AA526" s="549"/>
      <c r="AB526" s="541"/>
      <c r="AC526" s="547"/>
      <c r="AD526" s="548"/>
      <c r="AE526" s="549"/>
      <c r="AF526" s="541"/>
      <c r="AG526" s="366"/>
      <c r="AH526" s="366"/>
      <c r="AI526" s="366"/>
      <c r="AJ526" s="366"/>
      <c r="AK526" s="394"/>
      <c r="AL526" s="430"/>
      <c r="AM526" s="395"/>
      <c r="AN526" s="529"/>
      <c r="AO526" s="394"/>
      <c r="AP526" s="430"/>
      <c r="AQ526" s="395"/>
      <c r="AR526" s="529"/>
      <c r="AS526" s="542"/>
      <c r="AT526" s="542"/>
    </row>
    <row r="527">
      <c r="A527" s="394"/>
      <c r="B527" s="430"/>
      <c r="C527" s="395"/>
      <c r="D527" s="529"/>
      <c r="E527" s="394"/>
      <c r="F527" s="430"/>
      <c r="G527" s="395"/>
      <c r="H527" s="529"/>
      <c r="I527" s="394"/>
      <c r="J527" s="430"/>
      <c r="K527" s="395"/>
      <c r="L527" s="529"/>
      <c r="M527" s="394"/>
      <c r="N527" s="430"/>
      <c r="O527" s="395"/>
      <c r="P527" s="529"/>
      <c r="Q527" s="547"/>
      <c r="R527" s="548"/>
      <c r="S527" s="549"/>
      <c r="T527" s="541"/>
      <c r="U527" s="547"/>
      <c r="V527" s="548"/>
      <c r="W527" s="549"/>
      <c r="X527" s="541"/>
      <c r="Y527" s="547"/>
      <c r="Z527" s="548"/>
      <c r="AA527" s="549"/>
      <c r="AB527" s="541"/>
      <c r="AC527" s="547"/>
      <c r="AD527" s="548"/>
      <c r="AE527" s="549"/>
      <c r="AF527" s="541"/>
      <c r="AG527" s="366"/>
      <c r="AH527" s="366"/>
      <c r="AI527" s="366"/>
      <c r="AJ527" s="366"/>
      <c r="AK527" s="394"/>
      <c r="AL527" s="430"/>
      <c r="AM527" s="395"/>
      <c r="AN527" s="529"/>
      <c r="AO527" s="394"/>
      <c r="AP527" s="430"/>
      <c r="AQ527" s="395"/>
      <c r="AR527" s="529"/>
      <c r="AS527" s="542"/>
      <c r="AT527" s="542"/>
    </row>
    <row r="528">
      <c r="A528" s="394"/>
      <c r="B528" s="430"/>
      <c r="C528" s="395"/>
      <c r="D528" s="529"/>
      <c r="E528" s="394"/>
      <c r="F528" s="430"/>
      <c r="G528" s="395"/>
      <c r="H528" s="529"/>
      <c r="I528" s="394"/>
      <c r="J528" s="430"/>
      <c r="K528" s="395"/>
      <c r="L528" s="529"/>
      <c r="M528" s="394"/>
      <c r="N528" s="430"/>
      <c r="O528" s="395"/>
      <c r="P528" s="529"/>
      <c r="Q528" s="547"/>
      <c r="R528" s="548"/>
      <c r="S528" s="549"/>
      <c r="T528" s="541"/>
      <c r="U528" s="547"/>
      <c r="V528" s="548"/>
      <c r="W528" s="549"/>
      <c r="X528" s="541"/>
      <c r="Y528" s="547"/>
      <c r="Z528" s="548"/>
      <c r="AA528" s="549"/>
      <c r="AB528" s="541"/>
      <c r="AC528" s="547"/>
      <c r="AD528" s="548"/>
      <c r="AE528" s="549"/>
      <c r="AF528" s="541"/>
      <c r="AG528" s="366"/>
      <c r="AH528" s="366"/>
      <c r="AI528" s="366"/>
      <c r="AJ528" s="366"/>
      <c r="AK528" s="394"/>
      <c r="AL528" s="430"/>
      <c r="AM528" s="395"/>
      <c r="AN528" s="529"/>
      <c r="AO528" s="394"/>
      <c r="AP528" s="430"/>
      <c r="AQ528" s="395"/>
      <c r="AR528" s="529"/>
      <c r="AS528" s="542"/>
      <c r="AT528" s="542"/>
    </row>
    <row r="529">
      <c r="A529" s="394"/>
      <c r="B529" s="430"/>
      <c r="C529" s="395"/>
      <c r="D529" s="529"/>
      <c r="E529" s="394"/>
      <c r="F529" s="430"/>
      <c r="G529" s="395"/>
      <c r="H529" s="529"/>
      <c r="I529" s="394"/>
      <c r="J529" s="430"/>
      <c r="K529" s="395"/>
      <c r="L529" s="529"/>
      <c r="M529" s="394"/>
      <c r="N529" s="430"/>
      <c r="O529" s="395"/>
      <c r="P529" s="529"/>
      <c r="Q529" s="547"/>
      <c r="R529" s="548"/>
      <c r="S529" s="549"/>
      <c r="T529" s="541"/>
      <c r="U529" s="547"/>
      <c r="V529" s="548"/>
      <c r="W529" s="549"/>
      <c r="X529" s="541"/>
      <c r="Y529" s="547"/>
      <c r="Z529" s="548"/>
      <c r="AA529" s="549"/>
      <c r="AB529" s="541"/>
      <c r="AC529" s="547"/>
      <c r="AD529" s="548"/>
      <c r="AE529" s="549"/>
      <c r="AF529" s="541"/>
      <c r="AG529" s="366"/>
      <c r="AH529" s="366"/>
      <c r="AI529" s="366"/>
      <c r="AJ529" s="366"/>
      <c r="AK529" s="394"/>
      <c r="AL529" s="430"/>
      <c r="AM529" s="395"/>
      <c r="AN529" s="529"/>
      <c r="AO529" s="394"/>
      <c r="AP529" s="430"/>
      <c r="AQ529" s="395"/>
      <c r="AR529" s="529"/>
      <c r="AS529" s="542"/>
      <c r="AT529" s="542"/>
    </row>
    <row r="530">
      <c r="A530" s="394"/>
      <c r="B530" s="430"/>
      <c r="C530" s="395"/>
      <c r="D530" s="529"/>
      <c r="E530" s="394"/>
      <c r="F530" s="430"/>
      <c r="G530" s="395"/>
      <c r="H530" s="529"/>
      <c r="I530" s="394"/>
      <c r="J530" s="430"/>
      <c r="K530" s="395"/>
      <c r="L530" s="529"/>
      <c r="M530" s="394"/>
      <c r="N530" s="430"/>
      <c r="O530" s="395"/>
      <c r="P530" s="529"/>
      <c r="Q530" s="547"/>
      <c r="R530" s="548"/>
      <c r="S530" s="549"/>
      <c r="T530" s="541"/>
      <c r="U530" s="547"/>
      <c r="V530" s="548"/>
      <c r="W530" s="549"/>
      <c r="X530" s="541"/>
      <c r="Y530" s="547"/>
      <c r="Z530" s="548"/>
      <c r="AA530" s="549"/>
      <c r="AB530" s="541"/>
      <c r="AC530" s="547"/>
      <c r="AD530" s="548"/>
      <c r="AE530" s="549"/>
      <c r="AF530" s="541"/>
      <c r="AG530" s="366"/>
      <c r="AH530" s="366"/>
      <c r="AI530" s="366"/>
      <c r="AJ530" s="366"/>
      <c r="AK530" s="394"/>
      <c r="AL530" s="430"/>
      <c r="AM530" s="395"/>
      <c r="AN530" s="529"/>
      <c r="AO530" s="394"/>
      <c r="AP530" s="430"/>
      <c r="AQ530" s="395"/>
      <c r="AR530" s="529"/>
      <c r="AS530" s="542"/>
      <c r="AT530" s="542"/>
    </row>
    <row r="531">
      <c r="A531" s="394"/>
      <c r="B531" s="430"/>
      <c r="C531" s="395"/>
      <c r="D531" s="529"/>
      <c r="E531" s="394"/>
      <c r="F531" s="430"/>
      <c r="G531" s="395"/>
      <c r="H531" s="529"/>
      <c r="I531" s="394"/>
      <c r="J531" s="430"/>
      <c r="K531" s="395"/>
      <c r="L531" s="529"/>
      <c r="M531" s="394"/>
      <c r="N531" s="430"/>
      <c r="O531" s="395"/>
      <c r="P531" s="529"/>
      <c r="Q531" s="547"/>
      <c r="R531" s="548"/>
      <c r="S531" s="549"/>
      <c r="T531" s="541"/>
      <c r="U531" s="547"/>
      <c r="V531" s="548"/>
      <c r="W531" s="549"/>
      <c r="X531" s="541"/>
      <c r="Y531" s="547"/>
      <c r="Z531" s="548"/>
      <c r="AA531" s="549"/>
      <c r="AB531" s="541"/>
      <c r="AC531" s="547"/>
      <c r="AD531" s="548"/>
      <c r="AE531" s="549"/>
      <c r="AF531" s="541"/>
      <c r="AG531" s="366"/>
      <c r="AH531" s="366"/>
      <c r="AI531" s="366"/>
      <c r="AJ531" s="366"/>
      <c r="AK531" s="394"/>
      <c r="AL531" s="430"/>
      <c r="AM531" s="395"/>
      <c r="AN531" s="529"/>
      <c r="AO531" s="394"/>
      <c r="AP531" s="430"/>
      <c r="AQ531" s="395"/>
      <c r="AR531" s="529"/>
      <c r="AS531" s="542"/>
      <c r="AT531" s="542"/>
    </row>
    <row r="532">
      <c r="A532" s="394"/>
      <c r="B532" s="430"/>
      <c r="C532" s="395"/>
      <c r="D532" s="529"/>
      <c r="E532" s="394"/>
      <c r="F532" s="430"/>
      <c r="G532" s="395"/>
      <c r="H532" s="529"/>
      <c r="I532" s="394"/>
      <c r="J532" s="430"/>
      <c r="K532" s="395"/>
      <c r="L532" s="529"/>
      <c r="M532" s="394"/>
      <c r="N532" s="430"/>
      <c r="O532" s="395"/>
      <c r="P532" s="529"/>
      <c r="Q532" s="547"/>
      <c r="R532" s="548"/>
      <c r="S532" s="549"/>
      <c r="T532" s="541"/>
      <c r="U532" s="547"/>
      <c r="V532" s="548"/>
      <c r="W532" s="549"/>
      <c r="X532" s="541"/>
      <c r="Y532" s="547"/>
      <c r="Z532" s="548"/>
      <c r="AA532" s="549"/>
      <c r="AB532" s="541"/>
      <c r="AC532" s="547"/>
      <c r="AD532" s="548"/>
      <c r="AE532" s="549"/>
      <c r="AF532" s="541"/>
      <c r="AG532" s="366"/>
      <c r="AH532" s="366"/>
      <c r="AI532" s="366"/>
      <c r="AJ532" s="366"/>
      <c r="AK532" s="394"/>
      <c r="AL532" s="430"/>
      <c r="AM532" s="395"/>
      <c r="AN532" s="529"/>
      <c r="AO532" s="394"/>
      <c r="AP532" s="430"/>
      <c r="AQ532" s="395"/>
      <c r="AR532" s="529"/>
      <c r="AS532" s="542"/>
      <c r="AT532" s="542"/>
    </row>
    <row r="533">
      <c r="A533" s="394"/>
      <c r="B533" s="430"/>
      <c r="C533" s="395"/>
      <c r="D533" s="529"/>
      <c r="E533" s="394"/>
      <c r="F533" s="430"/>
      <c r="G533" s="395"/>
      <c r="H533" s="529"/>
      <c r="I533" s="394"/>
      <c r="J533" s="430"/>
      <c r="K533" s="395"/>
      <c r="L533" s="529"/>
      <c r="M533" s="394"/>
      <c r="N533" s="430"/>
      <c r="O533" s="395"/>
      <c r="P533" s="529"/>
      <c r="Q533" s="547"/>
      <c r="R533" s="548"/>
      <c r="S533" s="549"/>
      <c r="T533" s="541"/>
      <c r="U533" s="547"/>
      <c r="V533" s="548"/>
      <c r="W533" s="549"/>
      <c r="X533" s="541"/>
      <c r="Y533" s="547"/>
      <c r="Z533" s="548"/>
      <c r="AA533" s="549"/>
      <c r="AB533" s="541"/>
      <c r="AC533" s="547"/>
      <c r="AD533" s="548"/>
      <c r="AE533" s="549"/>
      <c r="AF533" s="541"/>
      <c r="AG533" s="366"/>
      <c r="AH533" s="366"/>
      <c r="AI533" s="366"/>
      <c r="AJ533" s="366"/>
      <c r="AK533" s="394"/>
      <c r="AL533" s="430"/>
      <c r="AM533" s="395"/>
      <c r="AN533" s="529"/>
      <c r="AO533" s="394"/>
      <c r="AP533" s="430"/>
      <c r="AQ533" s="395"/>
      <c r="AR533" s="529"/>
      <c r="AS533" s="542"/>
      <c r="AT533" s="542"/>
    </row>
    <row r="534">
      <c r="A534" s="394"/>
      <c r="B534" s="430"/>
      <c r="C534" s="395"/>
      <c r="D534" s="529"/>
      <c r="E534" s="394"/>
      <c r="F534" s="430"/>
      <c r="G534" s="395"/>
      <c r="H534" s="529"/>
      <c r="I534" s="394"/>
      <c r="J534" s="430"/>
      <c r="K534" s="395"/>
      <c r="L534" s="529"/>
      <c r="M534" s="394"/>
      <c r="N534" s="430"/>
      <c r="O534" s="395"/>
      <c r="P534" s="529"/>
      <c r="Q534" s="547"/>
      <c r="R534" s="548"/>
      <c r="S534" s="549"/>
      <c r="T534" s="541"/>
      <c r="U534" s="547"/>
      <c r="V534" s="548"/>
      <c r="W534" s="549"/>
      <c r="X534" s="541"/>
      <c r="Y534" s="547"/>
      <c r="Z534" s="548"/>
      <c r="AA534" s="549"/>
      <c r="AB534" s="541"/>
      <c r="AC534" s="547"/>
      <c r="AD534" s="548"/>
      <c r="AE534" s="549"/>
      <c r="AF534" s="541"/>
      <c r="AG534" s="366"/>
      <c r="AH534" s="366"/>
      <c r="AI534" s="366"/>
      <c r="AJ534" s="366"/>
      <c r="AK534" s="394"/>
      <c r="AL534" s="430"/>
      <c r="AM534" s="395"/>
      <c r="AN534" s="529"/>
      <c r="AO534" s="394"/>
      <c r="AP534" s="430"/>
      <c r="AQ534" s="395"/>
      <c r="AR534" s="529"/>
      <c r="AS534" s="542"/>
      <c r="AT534" s="542"/>
    </row>
    <row r="535">
      <c r="A535" s="394"/>
      <c r="B535" s="430"/>
      <c r="C535" s="395"/>
      <c r="D535" s="529"/>
      <c r="E535" s="394"/>
      <c r="F535" s="430"/>
      <c r="G535" s="395"/>
      <c r="H535" s="529"/>
      <c r="I535" s="394"/>
      <c r="J535" s="430"/>
      <c r="K535" s="395"/>
      <c r="L535" s="529"/>
      <c r="M535" s="394"/>
      <c r="N535" s="430"/>
      <c r="O535" s="395"/>
      <c r="P535" s="529"/>
      <c r="Q535" s="547"/>
      <c r="R535" s="548"/>
      <c r="S535" s="549"/>
      <c r="T535" s="541"/>
      <c r="U535" s="547"/>
      <c r="V535" s="548"/>
      <c r="W535" s="549"/>
      <c r="X535" s="541"/>
      <c r="Y535" s="547"/>
      <c r="Z535" s="548"/>
      <c r="AA535" s="549"/>
      <c r="AB535" s="541"/>
      <c r="AC535" s="547"/>
      <c r="AD535" s="548"/>
      <c r="AE535" s="549"/>
      <c r="AF535" s="541"/>
      <c r="AG535" s="366"/>
      <c r="AH535" s="366"/>
      <c r="AI535" s="366"/>
      <c r="AJ535" s="366"/>
      <c r="AK535" s="394"/>
      <c r="AL535" s="430"/>
      <c r="AM535" s="395"/>
      <c r="AN535" s="529"/>
      <c r="AO535" s="394"/>
      <c r="AP535" s="430"/>
      <c r="AQ535" s="395"/>
      <c r="AR535" s="529"/>
      <c r="AS535" s="542"/>
      <c r="AT535" s="542"/>
    </row>
    <row r="536">
      <c r="A536" s="394"/>
      <c r="B536" s="430"/>
      <c r="C536" s="395"/>
      <c r="D536" s="529"/>
      <c r="E536" s="394"/>
      <c r="F536" s="430"/>
      <c r="G536" s="395"/>
      <c r="H536" s="529"/>
      <c r="I536" s="394"/>
      <c r="J536" s="430"/>
      <c r="K536" s="395"/>
      <c r="L536" s="529"/>
      <c r="M536" s="394"/>
      <c r="N536" s="430"/>
      <c r="O536" s="395"/>
      <c r="P536" s="529"/>
      <c r="Q536" s="547"/>
      <c r="R536" s="548"/>
      <c r="S536" s="549"/>
      <c r="T536" s="541"/>
      <c r="U536" s="547"/>
      <c r="V536" s="548"/>
      <c r="W536" s="549"/>
      <c r="X536" s="541"/>
      <c r="Y536" s="547"/>
      <c r="Z536" s="548"/>
      <c r="AA536" s="549"/>
      <c r="AB536" s="541"/>
      <c r="AC536" s="547"/>
      <c r="AD536" s="548"/>
      <c r="AE536" s="549"/>
      <c r="AF536" s="541"/>
      <c r="AG536" s="366"/>
      <c r="AH536" s="366"/>
      <c r="AI536" s="366"/>
      <c r="AJ536" s="366"/>
      <c r="AK536" s="394"/>
      <c r="AL536" s="430"/>
      <c r="AM536" s="395"/>
      <c r="AN536" s="529"/>
      <c r="AO536" s="394"/>
      <c r="AP536" s="430"/>
      <c r="AQ536" s="395"/>
      <c r="AR536" s="529"/>
      <c r="AS536" s="542"/>
      <c r="AT536" s="542"/>
    </row>
    <row r="537">
      <c r="A537" s="394"/>
      <c r="B537" s="430"/>
      <c r="C537" s="395"/>
      <c r="D537" s="529"/>
      <c r="E537" s="394"/>
      <c r="F537" s="430"/>
      <c r="G537" s="395"/>
      <c r="H537" s="529"/>
      <c r="I537" s="394"/>
      <c r="J537" s="430"/>
      <c r="K537" s="395"/>
      <c r="L537" s="529"/>
      <c r="M537" s="394"/>
      <c r="N537" s="430"/>
      <c r="O537" s="395"/>
      <c r="P537" s="529"/>
      <c r="Q537" s="547"/>
      <c r="R537" s="548"/>
      <c r="S537" s="549"/>
      <c r="T537" s="541"/>
      <c r="U537" s="547"/>
      <c r="V537" s="548"/>
      <c r="W537" s="549"/>
      <c r="X537" s="541"/>
      <c r="Y537" s="547"/>
      <c r="Z537" s="548"/>
      <c r="AA537" s="549"/>
      <c r="AB537" s="541"/>
      <c r="AC537" s="547"/>
      <c r="AD537" s="548"/>
      <c r="AE537" s="549"/>
      <c r="AF537" s="541"/>
      <c r="AG537" s="366"/>
      <c r="AH537" s="366"/>
      <c r="AI537" s="366"/>
      <c r="AJ537" s="366"/>
      <c r="AK537" s="394"/>
      <c r="AL537" s="430"/>
      <c r="AM537" s="395"/>
      <c r="AN537" s="529"/>
      <c r="AO537" s="394"/>
      <c r="AP537" s="430"/>
      <c r="AQ537" s="395"/>
      <c r="AR537" s="529"/>
      <c r="AS537" s="542"/>
      <c r="AT537" s="542"/>
    </row>
    <row r="538">
      <c r="A538" s="394"/>
      <c r="B538" s="430"/>
      <c r="C538" s="395"/>
      <c r="D538" s="529"/>
      <c r="E538" s="394"/>
      <c r="F538" s="430"/>
      <c r="G538" s="395"/>
      <c r="H538" s="529"/>
      <c r="I538" s="394"/>
      <c r="J538" s="430"/>
      <c r="K538" s="395"/>
      <c r="L538" s="529"/>
      <c r="M538" s="394"/>
      <c r="N538" s="430"/>
      <c r="O538" s="395"/>
      <c r="P538" s="529"/>
      <c r="Q538" s="547"/>
      <c r="R538" s="548"/>
      <c r="S538" s="549"/>
      <c r="T538" s="541"/>
      <c r="U538" s="547"/>
      <c r="V538" s="548"/>
      <c r="W538" s="549"/>
      <c r="X538" s="541"/>
      <c r="Y538" s="547"/>
      <c r="Z538" s="548"/>
      <c r="AA538" s="549"/>
      <c r="AB538" s="541"/>
      <c r="AC538" s="547"/>
      <c r="AD538" s="548"/>
      <c r="AE538" s="549"/>
      <c r="AF538" s="541"/>
      <c r="AG538" s="366"/>
      <c r="AH538" s="366"/>
      <c r="AI538" s="366"/>
      <c r="AJ538" s="366"/>
      <c r="AK538" s="394"/>
      <c r="AL538" s="430"/>
      <c r="AM538" s="395"/>
      <c r="AN538" s="529"/>
      <c r="AO538" s="394"/>
      <c r="AP538" s="430"/>
      <c r="AQ538" s="395"/>
      <c r="AR538" s="529"/>
      <c r="AS538" s="542"/>
      <c r="AT538" s="542"/>
    </row>
    <row r="539">
      <c r="A539" s="394"/>
      <c r="B539" s="430"/>
      <c r="C539" s="395"/>
      <c r="D539" s="529"/>
      <c r="E539" s="394"/>
      <c r="F539" s="430"/>
      <c r="G539" s="395"/>
      <c r="H539" s="529"/>
      <c r="I539" s="394"/>
      <c r="J539" s="430"/>
      <c r="K539" s="395"/>
      <c r="L539" s="529"/>
      <c r="M539" s="394"/>
      <c r="N539" s="430"/>
      <c r="O539" s="395"/>
      <c r="P539" s="529"/>
      <c r="Q539" s="547"/>
      <c r="R539" s="548"/>
      <c r="S539" s="549"/>
      <c r="T539" s="541"/>
      <c r="U539" s="547"/>
      <c r="V539" s="548"/>
      <c r="W539" s="549"/>
      <c r="X539" s="541"/>
      <c r="Y539" s="547"/>
      <c r="Z539" s="548"/>
      <c r="AA539" s="549"/>
      <c r="AB539" s="541"/>
      <c r="AC539" s="547"/>
      <c r="AD539" s="548"/>
      <c r="AE539" s="549"/>
      <c r="AF539" s="541"/>
      <c r="AG539" s="366"/>
      <c r="AH539" s="366"/>
      <c r="AI539" s="366"/>
      <c r="AJ539" s="366"/>
      <c r="AK539" s="394"/>
      <c r="AL539" s="430"/>
      <c r="AM539" s="395"/>
      <c r="AN539" s="529"/>
      <c r="AO539" s="394"/>
      <c r="AP539" s="430"/>
      <c r="AQ539" s="395"/>
      <c r="AR539" s="529"/>
      <c r="AS539" s="542"/>
      <c r="AT539" s="542"/>
    </row>
    <row r="540">
      <c r="A540" s="394"/>
      <c r="B540" s="430"/>
      <c r="C540" s="395"/>
      <c r="D540" s="529"/>
      <c r="E540" s="394"/>
      <c r="F540" s="430"/>
      <c r="G540" s="395"/>
      <c r="H540" s="529"/>
      <c r="I540" s="394"/>
      <c r="J540" s="430"/>
      <c r="K540" s="395"/>
      <c r="L540" s="529"/>
      <c r="M540" s="394"/>
      <c r="N540" s="430"/>
      <c r="O540" s="395"/>
      <c r="P540" s="529"/>
      <c r="Q540" s="547"/>
      <c r="R540" s="548"/>
      <c r="S540" s="549"/>
      <c r="T540" s="541"/>
      <c r="U540" s="547"/>
      <c r="V540" s="548"/>
      <c r="W540" s="549"/>
      <c r="X540" s="541"/>
      <c r="Y540" s="547"/>
      <c r="Z540" s="548"/>
      <c r="AA540" s="549"/>
      <c r="AB540" s="541"/>
      <c r="AC540" s="547"/>
      <c r="AD540" s="548"/>
      <c r="AE540" s="549"/>
      <c r="AF540" s="541"/>
      <c r="AG540" s="366"/>
      <c r="AH540" s="366"/>
      <c r="AI540" s="366"/>
      <c r="AJ540" s="366"/>
      <c r="AK540" s="394"/>
      <c r="AL540" s="430"/>
      <c r="AM540" s="395"/>
      <c r="AN540" s="529"/>
      <c r="AO540" s="394"/>
      <c r="AP540" s="430"/>
      <c r="AQ540" s="395"/>
      <c r="AR540" s="529"/>
      <c r="AS540" s="542"/>
      <c r="AT540" s="542"/>
    </row>
    <row r="541">
      <c r="A541" s="394"/>
      <c r="B541" s="430"/>
      <c r="C541" s="395"/>
      <c r="D541" s="529"/>
      <c r="E541" s="394"/>
      <c r="F541" s="430"/>
      <c r="G541" s="395"/>
      <c r="H541" s="529"/>
      <c r="I541" s="394"/>
      <c r="J541" s="430"/>
      <c r="K541" s="395"/>
      <c r="L541" s="529"/>
      <c r="M541" s="394"/>
      <c r="N541" s="430"/>
      <c r="O541" s="395"/>
      <c r="P541" s="529"/>
      <c r="Q541" s="547"/>
      <c r="R541" s="548"/>
      <c r="S541" s="549"/>
      <c r="T541" s="541"/>
      <c r="U541" s="547"/>
      <c r="V541" s="548"/>
      <c r="W541" s="549"/>
      <c r="X541" s="541"/>
      <c r="Y541" s="547"/>
      <c r="Z541" s="548"/>
      <c r="AA541" s="549"/>
      <c r="AB541" s="541"/>
      <c r="AC541" s="547"/>
      <c r="AD541" s="548"/>
      <c r="AE541" s="549"/>
      <c r="AF541" s="541"/>
      <c r="AG541" s="366"/>
      <c r="AH541" s="366"/>
      <c r="AI541" s="366"/>
      <c r="AJ541" s="366"/>
      <c r="AK541" s="394"/>
      <c r="AL541" s="430"/>
      <c r="AM541" s="395"/>
      <c r="AN541" s="529"/>
      <c r="AO541" s="394"/>
      <c r="AP541" s="430"/>
      <c r="AQ541" s="395"/>
      <c r="AR541" s="529"/>
      <c r="AS541" s="542"/>
      <c r="AT541" s="542"/>
    </row>
    <row r="542">
      <c r="A542" s="394"/>
      <c r="B542" s="430"/>
      <c r="C542" s="395"/>
      <c r="D542" s="529"/>
      <c r="E542" s="394"/>
      <c r="F542" s="430"/>
      <c r="G542" s="395"/>
      <c r="H542" s="529"/>
      <c r="I542" s="394"/>
      <c r="J542" s="430"/>
      <c r="K542" s="395"/>
      <c r="L542" s="529"/>
      <c r="M542" s="394"/>
      <c r="N542" s="430"/>
      <c r="O542" s="395"/>
      <c r="P542" s="529"/>
      <c r="Q542" s="547"/>
      <c r="R542" s="548"/>
      <c r="S542" s="549"/>
      <c r="T542" s="541"/>
      <c r="U542" s="547"/>
      <c r="V542" s="548"/>
      <c r="W542" s="549"/>
      <c r="X542" s="541"/>
      <c r="Y542" s="547"/>
      <c r="Z542" s="548"/>
      <c r="AA542" s="549"/>
      <c r="AB542" s="541"/>
      <c r="AC542" s="547"/>
      <c r="AD542" s="548"/>
      <c r="AE542" s="549"/>
      <c r="AF542" s="541"/>
      <c r="AG542" s="366"/>
      <c r="AH542" s="366"/>
      <c r="AI542" s="366"/>
      <c r="AJ542" s="366"/>
      <c r="AK542" s="394"/>
      <c r="AL542" s="430"/>
      <c r="AM542" s="395"/>
      <c r="AN542" s="529"/>
      <c r="AO542" s="394"/>
      <c r="AP542" s="430"/>
      <c r="AQ542" s="395"/>
      <c r="AR542" s="529"/>
      <c r="AS542" s="542"/>
      <c r="AT542" s="542"/>
    </row>
    <row r="543">
      <c r="A543" s="394"/>
      <c r="B543" s="430"/>
      <c r="C543" s="395"/>
      <c r="D543" s="529"/>
      <c r="E543" s="394"/>
      <c r="F543" s="430"/>
      <c r="G543" s="395"/>
      <c r="H543" s="529"/>
      <c r="I543" s="394"/>
      <c r="J543" s="430"/>
      <c r="K543" s="395"/>
      <c r="L543" s="529"/>
      <c r="M543" s="394"/>
      <c r="N543" s="430"/>
      <c r="O543" s="395"/>
      <c r="P543" s="529"/>
      <c r="Q543" s="547"/>
      <c r="R543" s="548"/>
      <c r="S543" s="549"/>
      <c r="T543" s="541"/>
      <c r="U543" s="547"/>
      <c r="V543" s="548"/>
      <c r="W543" s="549"/>
      <c r="X543" s="541"/>
      <c r="Y543" s="547"/>
      <c r="Z543" s="548"/>
      <c r="AA543" s="549"/>
      <c r="AB543" s="541"/>
      <c r="AC543" s="547"/>
      <c r="AD543" s="548"/>
      <c r="AE543" s="549"/>
      <c r="AF543" s="541"/>
      <c r="AG543" s="366"/>
      <c r="AH543" s="366"/>
      <c r="AI543" s="366"/>
      <c r="AJ543" s="366"/>
      <c r="AK543" s="394"/>
      <c r="AL543" s="430"/>
      <c r="AM543" s="395"/>
      <c r="AN543" s="529"/>
      <c r="AO543" s="394"/>
      <c r="AP543" s="430"/>
      <c r="AQ543" s="395"/>
      <c r="AR543" s="529"/>
      <c r="AS543" s="542"/>
      <c r="AT543" s="542"/>
    </row>
    <row r="544">
      <c r="A544" s="394"/>
      <c r="B544" s="430"/>
      <c r="C544" s="395"/>
      <c r="D544" s="529"/>
      <c r="E544" s="394"/>
      <c r="F544" s="430"/>
      <c r="G544" s="395"/>
      <c r="H544" s="529"/>
      <c r="I544" s="394"/>
      <c r="J544" s="430"/>
      <c r="K544" s="395"/>
      <c r="L544" s="529"/>
      <c r="M544" s="394"/>
      <c r="N544" s="430"/>
      <c r="O544" s="395"/>
      <c r="P544" s="529"/>
      <c r="Q544" s="547"/>
      <c r="R544" s="548"/>
      <c r="S544" s="549"/>
      <c r="T544" s="541"/>
      <c r="U544" s="547"/>
      <c r="V544" s="548"/>
      <c r="W544" s="549"/>
      <c r="X544" s="541"/>
      <c r="Y544" s="547"/>
      <c r="Z544" s="548"/>
      <c r="AA544" s="549"/>
      <c r="AB544" s="541"/>
      <c r="AC544" s="547"/>
      <c r="AD544" s="548"/>
      <c r="AE544" s="549"/>
      <c r="AF544" s="541"/>
      <c r="AG544" s="366"/>
      <c r="AH544" s="366"/>
      <c r="AI544" s="366"/>
      <c r="AJ544" s="366"/>
      <c r="AK544" s="394"/>
      <c r="AL544" s="430"/>
      <c r="AM544" s="395"/>
      <c r="AN544" s="529"/>
      <c r="AO544" s="394"/>
      <c r="AP544" s="430"/>
      <c r="AQ544" s="395"/>
      <c r="AR544" s="529"/>
      <c r="AS544" s="542"/>
      <c r="AT544" s="542"/>
    </row>
    <row r="545">
      <c r="A545" s="394"/>
      <c r="B545" s="430"/>
      <c r="C545" s="395"/>
      <c r="D545" s="529"/>
      <c r="E545" s="394"/>
      <c r="F545" s="430"/>
      <c r="G545" s="395"/>
      <c r="H545" s="529"/>
      <c r="I545" s="394"/>
      <c r="J545" s="430"/>
      <c r="K545" s="395"/>
      <c r="L545" s="529"/>
      <c r="M545" s="394"/>
      <c r="N545" s="430"/>
      <c r="O545" s="395"/>
      <c r="P545" s="529"/>
      <c r="Q545" s="547"/>
      <c r="R545" s="548"/>
      <c r="S545" s="549"/>
      <c r="T545" s="541"/>
      <c r="U545" s="547"/>
      <c r="V545" s="548"/>
      <c r="W545" s="549"/>
      <c r="X545" s="541"/>
      <c r="Y545" s="547"/>
      <c r="Z545" s="548"/>
      <c r="AA545" s="549"/>
      <c r="AB545" s="541"/>
      <c r="AC545" s="547"/>
      <c r="AD545" s="548"/>
      <c r="AE545" s="549"/>
      <c r="AF545" s="541"/>
      <c r="AG545" s="366"/>
      <c r="AH545" s="366"/>
      <c r="AI545" s="366"/>
      <c r="AJ545" s="366"/>
      <c r="AK545" s="394"/>
      <c r="AL545" s="430"/>
      <c r="AM545" s="395"/>
      <c r="AN545" s="529"/>
      <c r="AO545" s="394"/>
      <c r="AP545" s="430"/>
      <c r="AQ545" s="395"/>
      <c r="AR545" s="529"/>
      <c r="AS545" s="542"/>
      <c r="AT545" s="542"/>
    </row>
    <row r="546">
      <c r="A546" s="394"/>
      <c r="B546" s="430"/>
      <c r="C546" s="395"/>
      <c r="D546" s="529"/>
      <c r="E546" s="394"/>
      <c r="F546" s="430"/>
      <c r="G546" s="395"/>
      <c r="H546" s="529"/>
      <c r="I546" s="394"/>
      <c r="J546" s="430"/>
      <c r="K546" s="395"/>
      <c r="L546" s="529"/>
      <c r="M546" s="394"/>
      <c r="N546" s="430"/>
      <c r="O546" s="395"/>
      <c r="P546" s="529"/>
      <c r="Q546" s="547"/>
      <c r="R546" s="548"/>
      <c r="S546" s="549"/>
      <c r="T546" s="541"/>
      <c r="U546" s="547"/>
      <c r="V546" s="548"/>
      <c r="W546" s="549"/>
      <c r="X546" s="541"/>
      <c r="Y546" s="547"/>
      <c r="Z546" s="548"/>
      <c r="AA546" s="549"/>
      <c r="AB546" s="541"/>
      <c r="AC546" s="547"/>
      <c r="AD546" s="548"/>
      <c r="AE546" s="549"/>
      <c r="AF546" s="541"/>
      <c r="AG546" s="366"/>
      <c r="AH546" s="366"/>
      <c r="AI546" s="366"/>
      <c r="AJ546" s="366"/>
      <c r="AK546" s="394"/>
      <c r="AL546" s="430"/>
      <c r="AM546" s="395"/>
      <c r="AN546" s="529"/>
      <c r="AO546" s="394"/>
      <c r="AP546" s="430"/>
      <c r="AQ546" s="395"/>
      <c r="AR546" s="529"/>
      <c r="AS546" s="542"/>
      <c r="AT546" s="542"/>
    </row>
    <row r="547">
      <c r="A547" s="394"/>
      <c r="B547" s="430"/>
      <c r="C547" s="395"/>
      <c r="D547" s="529"/>
      <c r="E547" s="394"/>
      <c r="F547" s="430"/>
      <c r="G547" s="395"/>
      <c r="H547" s="529"/>
      <c r="I547" s="394"/>
      <c r="J547" s="430"/>
      <c r="K547" s="395"/>
      <c r="L547" s="529"/>
      <c r="M547" s="394"/>
      <c r="N547" s="430"/>
      <c r="O547" s="395"/>
      <c r="P547" s="529"/>
      <c r="Q547" s="547"/>
      <c r="R547" s="548"/>
      <c r="S547" s="549"/>
      <c r="T547" s="541"/>
      <c r="U547" s="547"/>
      <c r="V547" s="548"/>
      <c r="W547" s="549"/>
      <c r="X547" s="541"/>
      <c r="Y547" s="547"/>
      <c r="Z547" s="548"/>
      <c r="AA547" s="549"/>
      <c r="AB547" s="541"/>
      <c r="AC547" s="547"/>
      <c r="AD547" s="548"/>
      <c r="AE547" s="549"/>
      <c r="AF547" s="541"/>
      <c r="AG547" s="366"/>
      <c r="AH547" s="366"/>
      <c r="AI547" s="366"/>
      <c r="AJ547" s="366"/>
      <c r="AK547" s="394"/>
      <c r="AL547" s="430"/>
      <c r="AM547" s="395"/>
      <c r="AN547" s="529"/>
      <c r="AO547" s="394"/>
      <c r="AP547" s="430"/>
      <c r="AQ547" s="395"/>
      <c r="AR547" s="529"/>
      <c r="AS547" s="542"/>
      <c r="AT547" s="542"/>
    </row>
    <row r="548">
      <c r="A548" s="394"/>
      <c r="B548" s="430"/>
      <c r="C548" s="395"/>
      <c r="D548" s="529"/>
      <c r="E548" s="394"/>
      <c r="F548" s="430"/>
      <c r="G548" s="395"/>
      <c r="H548" s="529"/>
      <c r="I548" s="394"/>
      <c r="J548" s="430"/>
      <c r="K548" s="395"/>
      <c r="L548" s="529"/>
      <c r="M548" s="394"/>
      <c r="N548" s="430"/>
      <c r="O548" s="395"/>
      <c r="P548" s="529"/>
      <c r="Q548" s="547"/>
      <c r="R548" s="548"/>
      <c r="S548" s="549"/>
      <c r="T548" s="541"/>
      <c r="U548" s="547"/>
      <c r="V548" s="548"/>
      <c r="W548" s="549"/>
      <c r="X548" s="541"/>
      <c r="Y548" s="547"/>
      <c r="Z548" s="548"/>
      <c r="AA548" s="549"/>
      <c r="AB548" s="541"/>
      <c r="AC548" s="547"/>
      <c r="AD548" s="548"/>
      <c r="AE548" s="549"/>
      <c r="AF548" s="541"/>
      <c r="AG548" s="366"/>
      <c r="AH548" s="366"/>
      <c r="AI548" s="366"/>
      <c r="AJ548" s="366"/>
      <c r="AK548" s="394"/>
      <c r="AL548" s="430"/>
      <c r="AM548" s="395"/>
      <c r="AN548" s="529"/>
      <c r="AO548" s="394"/>
      <c r="AP548" s="430"/>
      <c r="AQ548" s="395"/>
      <c r="AR548" s="529"/>
      <c r="AS548" s="542"/>
      <c r="AT548" s="542"/>
    </row>
    <row r="549">
      <c r="A549" s="394"/>
      <c r="B549" s="430"/>
      <c r="C549" s="395"/>
      <c r="D549" s="529"/>
      <c r="E549" s="394"/>
      <c r="F549" s="430"/>
      <c r="G549" s="395"/>
      <c r="H549" s="529"/>
      <c r="I549" s="394"/>
      <c r="J549" s="430"/>
      <c r="K549" s="395"/>
      <c r="L549" s="529"/>
      <c r="M549" s="394"/>
      <c r="N549" s="430"/>
      <c r="O549" s="395"/>
      <c r="P549" s="529"/>
      <c r="Q549" s="547"/>
      <c r="R549" s="548"/>
      <c r="S549" s="549"/>
      <c r="T549" s="541"/>
      <c r="U549" s="547"/>
      <c r="V549" s="548"/>
      <c r="W549" s="549"/>
      <c r="X549" s="541"/>
      <c r="Y549" s="547"/>
      <c r="Z549" s="548"/>
      <c r="AA549" s="549"/>
      <c r="AB549" s="541"/>
      <c r="AC549" s="547"/>
      <c r="AD549" s="548"/>
      <c r="AE549" s="549"/>
      <c r="AF549" s="541"/>
      <c r="AG549" s="366"/>
      <c r="AH549" s="366"/>
      <c r="AI549" s="366"/>
      <c r="AJ549" s="366"/>
      <c r="AK549" s="394"/>
      <c r="AL549" s="430"/>
      <c r="AM549" s="395"/>
      <c r="AN549" s="529"/>
      <c r="AO549" s="394"/>
      <c r="AP549" s="430"/>
      <c r="AQ549" s="395"/>
      <c r="AR549" s="529"/>
      <c r="AS549" s="542"/>
      <c r="AT549" s="542"/>
    </row>
    <row r="550">
      <c r="A550" s="394"/>
      <c r="B550" s="430"/>
      <c r="C550" s="395"/>
      <c r="D550" s="529"/>
      <c r="E550" s="394"/>
      <c r="F550" s="430"/>
      <c r="G550" s="395"/>
      <c r="H550" s="529"/>
      <c r="I550" s="394"/>
      <c r="J550" s="430"/>
      <c r="K550" s="395"/>
      <c r="L550" s="529"/>
      <c r="M550" s="394"/>
      <c r="N550" s="430"/>
      <c r="O550" s="395"/>
      <c r="P550" s="529"/>
      <c r="Q550" s="547"/>
      <c r="R550" s="548"/>
      <c r="S550" s="549"/>
      <c r="T550" s="541"/>
      <c r="U550" s="547"/>
      <c r="V550" s="548"/>
      <c r="W550" s="549"/>
      <c r="X550" s="541"/>
      <c r="Y550" s="547"/>
      <c r="Z550" s="548"/>
      <c r="AA550" s="549"/>
      <c r="AB550" s="541"/>
      <c r="AC550" s="547"/>
      <c r="AD550" s="548"/>
      <c r="AE550" s="549"/>
      <c r="AF550" s="541"/>
      <c r="AG550" s="366"/>
      <c r="AH550" s="366"/>
      <c r="AI550" s="366"/>
      <c r="AJ550" s="366"/>
      <c r="AK550" s="394"/>
      <c r="AL550" s="430"/>
      <c r="AM550" s="395"/>
      <c r="AN550" s="529"/>
      <c r="AO550" s="394"/>
      <c r="AP550" s="430"/>
      <c r="AQ550" s="395"/>
      <c r="AR550" s="529"/>
      <c r="AS550" s="542"/>
      <c r="AT550" s="542"/>
    </row>
    <row r="551">
      <c r="A551" s="394"/>
      <c r="B551" s="430"/>
      <c r="C551" s="395"/>
      <c r="D551" s="529"/>
      <c r="E551" s="394"/>
      <c r="F551" s="430"/>
      <c r="G551" s="395"/>
      <c r="H551" s="529"/>
      <c r="I551" s="394"/>
      <c r="J551" s="430"/>
      <c r="K551" s="395"/>
      <c r="L551" s="529"/>
      <c r="M551" s="394"/>
      <c r="N551" s="430"/>
      <c r="O551" s="395"/>
      <c r="P551" s="529"/>
      <c r="Q551" s="547"/>
      <c r="R551" s="548"/>
      <c r="S551" s="549"/>
      <c r="T551" s="541"/>
      <c r="U551" s="547"/>
      <c r="V551" s="548"/>
      <c r="W551" s="549"/>
      <c r="X551" s="541"/>
      <c r="Y551" s="547"/>
      <c r="Z551" s="548"/>
      <c r="AA551" s="549"/>
      <c r="AB551" s="541"/>
      <c r="AC551" s="547"/>
      <c r="AD551" s="548"/>
      <c r="AE551" s="549"/>
      <c r="AF551" s="541"/>
      <c r="AG551" s="366"/>
      <c r="AH551" s="366"/>
      <c r="AI551" s="366"/>
      <c r="AJ551" s="366"/>
      <c r="AK551" s="394"/>
      <c r="AL551" s="430"/>
      <c r="AM551" s="395"/>
      <c r="AN551" s="529"/>
      <c r="AO551" s="394"/>
      <c r="AP551" s="430"/>
      <c r="AQ551" s="395"/>
      <c r="AR551" s="529"/>
      <c r="AS551" s="542"/>
      <c r="AT551" s="542"/>
    </row>
    <row r="552">
      <c r="A552" s="394"/>
      <c r="B552" s="430"/>
      <c r="C552" s="395"/>
      <c r="D552" s="529"/>
      <c r="E552" s="394"/>
      <c r="F552" s="430"/>
      <c r="G552" s="395"/>
      <c r="H552" s="529"/>
      <c r="I552" s="394"/>
      <c r="J552" s="430"/>
      <c r="K552" s="395"/>
      <c r="L552" s="529"/>
      <c r="M552" s="394"/>
      <c r="N552" s="430"/>
      <c r="O552" s="395"/>
      <c r="P552" s="529"/>
      <c r="Q552" s="547"/>
      <c r="R552" s="548"/>
      <c r="S552" s="549"/>
      <c r="T552" s="541"/>
      <c r="U552" s="547"/>
      <c r="V552" s="548"/>
      <c r="W552" s="549"/>
      <c r="X552" s="541"/>
      <c r="Y552" s="547"/>
      <c r="Z552" s="548"/>
      <c r="AA552" s="549"/>
      <c r="AB552" s="541"/>
      <c r="AC552" s="547"/>
      <c r="AD552" s="548"/>
      <c r="AE552" s="549"/>
      <c r="AF552" s="541"/>
      <c r="AG552" s="366"/>
      <c r="AH552" s="366"/>
      <c r="AI552" s="366"/>
      <c r="AJ552" s="366"/>
      <c r="AK552" s="394"/>
      <c r="AL552" s="430"/>
      <c r="AM552" s="395"/>
      <c r="AN552" s="529"/>
      <c r="AO552" s="394"/>
      <c r="AP552" s="430"/>
      <c r="AQ552" s="395"/>
      <c r="AR552" s="529"/>
      <c r="AS552" s="542"/>
      <c r="AT552" s="542"/>
    </row>
    <row r="553">
      <c r="A553" s="394"/>
      <c r="B553" s="430"/>
      <c r="C553" s="395"/>
      <c r="D553" s="529"/>
      <c r="E553" s="394"/>
      <c r="F553" s="430"/>
      <c r="G553" s="395"/>
      <c r="H553" s="529"/>
      <c r="I553" s="394"/>
      <c r="J553" s="430"/>
      <c r="K553" s="395"/>
      <c r="L553" s="529"/>
      <c r="M553" s="394"/>
      <c r="N553" s="430"/>
      <c r="O553" s="395"/>
      <c r="P553" s="529"/>
      <c r="Q553" s="547"/>
      <c r="R553" s="548"/>
      <c r="S553" s="549"/>
      <c r="T553" s="541"/>
      <c r="U553" s="547"/>
      <c r="V553" s="548"/>
      <c r="W553" s="549"/>
      <c r="X553" s="541"/>
      <c r="Y553" s="547"/>
      <c r="Z553" s="548"/>
      <c r="AA553" s="549"/>
      <c r="AB553" s="541"/>
      <c r="AC553" s="547"/>
      <c r="AD553" s="548"/>
      <c r="AE553" s="549"/>
      <c r="AF553" s="541"/>
      <c r="AG553" s="366"/>
      <c r="AH553" s="366"/>
      <c r="AI553" s="366"/>
      <c r="AJ553" s="366"/>
      <c r="AK553" s="394"/>
      <c r="AL553" s="430"/>
      <c r="AM553" s="395"/>
      <c r="AN553" s="529"/>
      <c r="AO553" s="394"/>
      <c r="AP553" s="430"/>
      <c r="AQ553" s="395"/>
      <c r="AR553" s="529"/>
      <c r="AS553" s="542"/>
      <c r="AT553" s="542"/>
    </row>
    <row r="554">
      <c r="A554" s="394"/>
      <c r="B554" s="430"/>
      <c r="C554" s="395"/>
      <c r="D554" s="529"/>
      <c r="E554" s="394"/>
      <c r="F554" s="430"/>
      <c r="G554" s="395"/>
      <c r="H554" s="529"/>
      <c r="I554" s="394"/>
      <c r="J554" s="430"/>
      <c r="K554" s="395"/>
      <c r="L554" s="529"/>
      <c r="M554" s="394"/>
      <c r="N554" s="430"/>
      <c r="O554" s="395"/>
      <c r="P554" s="529"/>
      <c r="Q554" s="547"/>
      <c r="R554" s="548"/>
      <c r="S554" s="549"/>
      <c r="T554" s="541"/>
      <c r="U554" s="547"/>
      <c r="V554" s="548"/>
      <c r="W554" s="549"/>
      <c r="X554" s="541"/>
      <c r="Y554" s="547"/>
      <c r="Z554" s="548"/>
      <c r="AA554" s="549"/>
      <c r="AB554" s="541"/>
      <c r="AC554" s="547"/>
      <c r="AD554" s="548"/>
      <c r="AE554" s="549"/>
      <c r="AF554" s="541"/>
      <c r="AG554" s="366"/>
      <c r="AH554" s="366"/>
      <c r="AI554" s="366"/>
      <c r="AJ554" s="366"/>
      <c r="AK554" s="394"/>
      <c r="AL554" s="430"/>
      <c r="AM554" s="395"/>
      <c r="AN554" s="529"/>
      <c r="AO554" s="394"/>
      <c r="AP554" s="430"/>
      <c r="AQ554" s="395"/>
      <c r="AR554" s="529"/>
      <c r="AS554" s="542"/>
      <c r="AT554" s="542"/>
    </row>
    <row r="555">
      <c r="A555" s="394"/>
      <c r="B555" s="430"/>
      <c r="C555" s="395"/>
      <c r="D555" s="529"/>
      <c r="E555" s="394"/>
      <c r="F555" s="430"/>
      <c r="G555" s="395"/>
      <c r="H555" s="529"/>
      <c r="I555" s="394"/>
      <c r="J555" s="430"/>
      <c r="K555" s="395"/>
      <c r="L555" s="529"/>
      <c r="M555" s="394"/>
      <c r="N555" s="430"/>
      <c r="O555" s="395"/>
      <c r="P555" s="529"/>
      <c r="Q555" s="547"/>
      <c r="R555" s="548"/>
      <c r="S555" s="549"/>
      <c r="T555" s="541"/>
      <c r="U555" s="547"/>
      <c r="V555" s="548"/>
      <c r="W555" s="549"/>
      <c r="X555" s="541"/>
      <c r="Y555" s="547"/>
      <c r="Z555" s="548"/>
      <c r="AA555" s="549"/>
      <c r="AB555" s="541"/>
      <c r="AC555" s="547"/>
      <c r="AD555" s="548"/>
      <c r="AE555" s="549"/>
      <c r="AF555" s="541"/>
      <c r="AG555" s="366"/>
      <c r="AH555" s="366"/>
      <c r="AI555" s="366"/>
      <c r="AJ555" s="366"/>
      <c r="AK555" s="394"/>
      <c r="AL555" s="430"/>
      <c r="AM555" s="395"/>
      <c r="AN555" s="529"/>
      <c r="AO555" s="394"/>
      <c r="AP555" s="430"/>
      <c r="AQ555" s="395"/>
      <c r="AR555" s="529"/>
      <c r="AS555" s="542"/>
      <c r="AT555" s="542"/>
    </row>
    <row r="556">
      <c r="A556" s="394"/>
      <c r="B556" s="430"/>
      <c r="C556" s="395"/>
      <c r="D556" s="529"/>
      <c r="E556" s="394"/>
      <c r="F556" s="430"/>
      <c r="G556" s="395"/>
      <c r="H556" s="529"/>
      <c r="I556" s="394"/>
      <c r="J556" s="430"/>
      <c r="K556" s="395"/>
      <c r="L556" s="529"/>
      <c r="M556" s="394"/>
      <c r="N556" s="430"/>
      <c r="O556" s="395"/>
      <c r="P556" s="529"/>
      <c r="Q556" s="547"/>
      <c r="R556" s="548"/>
      <c r="S556" s="549"/>
      <c r="T556" s="541"/>
      <c r="U556" s="547"/>
      <c r="V556" s="548"/>
      <c r="W556" s="549"/>
      <c r="X556" s="541"/>
      <c r="Y556" s="547"/>
      <c r="Z556" s="548"/>
      <c r="AA556" s="549"/>
      <c r="AB556" s="541"/>
      <c r="AC556" s="547"/>
      <c r="AD556" s="548"/>
      <c r="AE556" s="549"/>
      <c r="AF556" s="541"/>
      <c r="AG556" s="366"/>
      <c r="AH556" s="366"/>
      <c r="AI556" s="366"/>
      <c r="AJ556" s="366"/>
      <c r="AK556" s="394"/>
      <c r="AL556" s="430"/>
      <c r="AM556" s="395"/>
      <c r="AN556" s="529"/>
      <c r="AO556" s="394"/>
      <c r="AP556" s="430"/>
      <c r="AQ556" s="395"/>
      <c r="AR556" s="529"/>
      <c r="AS556" s="542"/>
      <c r="AT556" s="542"/>
    </row>
    <row r="557">
      <c r="A557" s="394"/>
      <c r="B557" s="430"/>
      <c r="C557" s="395"/>
      <c r="D557" s="529"/>
      <c r="E557" s="394"/>
      <c r="F557" s="430"/>
      <c r="G557" s="395"/>
      <c r="H557" s="529"/>
      <c r="I557" s="394"/>
      <c r="J557" s="430"/>
      <c r="K557" s="395"/>
      <c r="L557" s="529"/>
      <c r="M557" s="394"/>
      <c r="N557" s="430"/>
      <c r="O557" s="395"/>
      <c r="P557" s="529"/>
      <c r="Q557" s="547"/>
      <c r="R557" s="548"/>
      <c r="S557" s="549"/>
      <c r="T557" s="541"/>
      <c r="U557" s="547"/>
      <c r="V557" s="548"/>
      <c r="W557" s="549"/>
      <c r="X557" s="541"/>
      <c r="Y557" s="547"/>
      <c r="Z557" s="548"/>
      <c r="AA557" s="549"/>
      <c r="AB557" s="541"/>
      <c r="AC557" s="547"/>
      <c r="AD557" s="548"/>
      <c r="AE557" s="549"/>
      <c r="AF557" s="541"/>
      <c r="AG557" s="366"/>
      <c r="AH557" s="366"/>
      <c r="AI557" s="366"/>
      <c r="AJ557" s="366"/>
      <c r="AK557" s="394"/>
      <c r="AL557" s="430"/>
      <c r="AM557" s="395"/>
      <c r="AN557" s="529"/>
      <c r="AO557" s="394"/>
      <c r="AP557" s="430"/>
      <c r="AQ557" s="395"/>
      <c r="AR557" s="529"/>
      <c r="AS557" s="542"/>
      <c r="AT557" s="542"/>
    </row>
    <row r="558">
      <c r="A558" s="394"/>
      <c r="B558" s="430"/>
      <c r="C558" s="395"/>
      <c r="D558" s="529"/>
      <c r="E558" s="394"/>
      <c r="F558" s="430"/>
      <c r="G558" s="395"/>
      <c r="H558" s="529"/>
      <c r="I558" s="394"/>
      <c r="J558" s="430"/>
      <c r="K558" s="395"/>
      <c r="L558" s="529"/>
      <c r="M558" s="394"/>
      <c r="N558" s="430"/>
      <c r="O558" s="395"/>
      <c r="P558" s="529"/>
      <c r="Q558" s="547"/>
      <c r="R558" s="548"/>
      <c r="S558" s="549"/>
      <c r="T558" s="541"/>
      <c r="U558" s="547"/>
      <c r="V558" s="548"/>
      <c r="W558" s="549"/>
      <c r="X558" s="541"/>
      <c r="Y558" s="547"/>
      <c r="Z558" s="548"/>
      <c r="AA558" s="549"/>
      <c r="AB558" s="541"/>
      <c r="AC558" s="547"/>
      <c r="AD558" s="548"/>
      <c r="AE558" s="549"/>
      <c r="AF558" s="541"/>
      <c r="AG558" s="366"/>
      <c r="AH558" s="366"/>
      <c r="AI558" s="366"/>
      <c r="AJ558" s="366"/>
      <c r="AK558" s="394"/>
      <c r="AL558" s="430"/>
      <c r="AM558" s="395"/>
      <c r="AN558" s="529"/>
      <c r="AO558" s="394"/>
      <c r="AP558" s="430"/>
      <c r="AQ558" s="395"/>
      <c r="AR558" s="529"/>
      <c r="AS558" s="542"/>
      <c r="AT558" s="542"/>
    </row>
    <row r="559">
      <c r="A559" s="394"/>
      <c r="B559" s="430"/>
      <c r="C559" s="395"/>
      <c r="D559" s="529"/>
      <c r="E559" s="394"/>
      <c r="F559" s="430"/>
      <c r="G559" s="395"/>
      <c r="H559" s="529"/>
      <c r="I559" s="394"/>
      <c r="J559" s="430"/>
      <c r="K559" s="395"/>
      <c r="L559" s="529"/>
      <c r="M559" s="394"/>
      <c r="N559" s="430"/>
      <c r="O559" s="395"/>
      <c r="P559" s="529"/>
      <c r="Q559" s="547"/>
      <c r="R559" s="548"/>
      <c r="S559" s="549"/>
      <c r="T559" s="541"/>
      <c r="U559" s="547"/>
      <c r="V559" s="548"/>
      <c r="W559" s="549"/>
      <c r="X559" s="541"/>
      <c r="Y559" s="547"/>
      <c r="Z559" s="548"/>
      <c r="AA559" s="549"/>
      <c r="AB559" s="541"/>
      <c r="AC559" s="547"/>
      <c r="AD559" s="548"/>
      <c r="AE559" s="549"/>
      <c r="AF559" s="541"/>
      <c r="AG559" s="366"/>
      <c r="AH559" s="366"/>
      <c r="AI559" s="366"/>
      <c r="AJ559" s="366"/>
      <c r="AK559" s="394"/>
      <c r="AL559" s="430"/>
      <c r="AM559" s="395"/>
      <c r="AN559" s="529"/>
      <c r="AO559" s="394"/>
      <c r="AP559" s="430"/>
      <c r="AQ559" s="395"/>
      <c r="AR559" s="529"/>
      <c r="AS559" s="542"/>
      <c r="AT559" s="542"/>
    </row>
    <row r="560">
      <c r="A560" s="394"/>
      <c r="B560" s="430"/>
      <c r="C560" s="395"/>
      <c r="D560" s="529"/>
      <c r="E560" s="394"/>
      <c r="F560" s="430"/>
      <c r="G560" s="395"/>
      <c r="H560" s="529"/>
      <c r="I560" s="394"/>
      <c r="J560" s="430"/>
      <c r="K560" s="395"/>
      <c r="L560" s="529"/>
      <c r="M560" s="394"/>
      <c r="N560" s="430"/>
      <c r="O560" s="395"/>
      <c r="P560" s="529"/>
      <c r="Q560" s="547"/>
      <c r="R560" s="548"/>
      <c r="S560" s="549"/>
      <c r="T560" s="541"/>
      <c r="U560" s="547"/>
      <c r="V560" s="548"/>
      <c r="W560" s="549"/>
      <c r="X560" s="541"/>
      <c r="Y560" s="547"/>
      <c r="Z560" s="548"/>
      <c r="AA560" s="549"/>
      <c r="AB560" s="541"/>
      <c r="AC560" s="547"/>
      <c r="AD560" s="548"/>
      <c r="AE560" s="549"/>
      <c r="AF560" s="541"/>
      <c r="AG560" s="366"/>
      <c r="AH560" s="366"/>
      <c r="AI560" s="366"/>
      <c r="AJ560" s="366"/>
      <c r="AK560" s="394"/>
      <c r="AL560" s="430"/>
      <c r="AM560" s="395"/>
      <c r="AN560" s="529"/>
      <c r="AO560" s="394"/>
      <c r="AP560" s="430"/>
      <c r="AQ560" s="395"/>
      <c r="AR560" s="529"/>
      <c r="AS560" s="542"/>
      <c r="AT560" s="542"/>
    </row>
    <row r="561">
      <c r="A561" s="394"/>
      <c r="B561" s="430"/>
      <c r="C561" s="395"/>
      <c r="D561" s="529"/>
      <c r="E561" s="394"/>
      <c r="F561" s="430"/>
      <c r="G561" s="395"/>
      <c r="H561" s="529"/>
      <c r="I561" s="394"/>
      <c r="J561" s="430"/>
      <c r="K561" s="395"/>
      <c r="L561" s="529"/>
      <c r="M561" s="394"/>
      <c r="N561" s="430"/>
      <c r="O561" s="395"/>
      <c r="P561" s="529"/>
      <c r="Q561" s="547"/>
      <c r="R561" s="548"/>
      <c r="S561" s="549"/>
      <c r="T561" s="541"/>
      <c r="U561" s="547"/>
      <c r="V561" s="548"/>
      <c r="W561" s="549"/>
      <c r="X561" s="541"/>
      <c r="Y561" s="547"/>
      <c r="Z561" s="548"/>
      <c r="AA561" s="549"/>
      <c r="AB561" s="541"/>
      <c r="AC561" s="547"/>
      <c r="AD561" s="548"/>
      <c r="AE561" s="549"/>
      <c r="AF561" s="541"/>
      <c r="AG561" s="366"/>
      <c r="AH561" s="366"/>
      <c r="AI561" s="366"/>
      <c r="AJ561" s="366"/>
      <c r="AK561" s="394"/>
      <c r="AL561" s="430"/>
      <c r="AM561" s="395"/>
      <c r="AN561" s="529"/>
      <c r="AO561" s="394"/>
      <c r="AP561" s="430"/>
      <c r="AQ561" s="395"/>
      <c r="AR561" s="529"/>
      <c r="AS561" s="542"/>
      <c r="AT561" s="542"/>
    </row>
    <row r="562">
      <c r="A562" s="394"/>
      <c r="B562" s="430"/>
      <c r="C562" s="395"/>
      <c r="D562" s="529"/>
      <c r="E562" s="394"/>
      <c r="F562" s="430"/>
      <c r="G562" s="395"/>
      <c r="H562" s="529"/>
      <c r="I562" s="394"/>
      <c r="J562" s="430"/>
      <c r="K562" s="395"/>
      <c r="L562" s="529"/>
      <c r="M562" s="394"/>
      <c r="N562" s="430"/>
      <c r="O562" s="395"/>
      <c r="P562" s="529"/>
      <c r="Q562" s="547"/>
      <c r="R562" s="548"/>
      <c r="S562" s="549"/>
      <c r="T562" s="541"/>
      <c r="U562" s="547"/>
      <c r="V562" s="548"/>
      <c r="W562" s="549"/>
      <c r="X562" s="541"/>
      <c r="Y562" s="547"/>
      <c r="Z562" s="548"/>
      <c r="AA562" s="549"/>
      <c r="AB562" s="541"/>
      <c r="AC562" s="547"/>
      <c r="AD562" s="548"/>
      <c r="AE562" s="549"/>
      <c r="AF562" s="541"/>
      <c r="AG562" s="366"/>
      <c r="AH562" s="366"/>
      <c r="AI562" s="366"/>
      <c r="AJ562" s="366"/>
      <c r="AK562" s="394"/>
      <c r="AL562" s="430"/>
      <c r="AM562" s="395"/>
      <c r="AN562" s="529"/>
      <c r="AO562" s="394"/>
      <c r="AP562" s="430"/>
      <c r="AQ562" s="395"/>
      <c r="AR562" s="529"/>
      <c r="AS562" s="542"/>
      <c r="AT562" s="542"/>
    </row>
    <row r="563">
      <c r="A563" s="394"/>
      <c r="B563" s="430"/>
      <c r="C563" s="395"/>
      <c r="D563" s="529"/>
      <c r="E563" s="394"/>
      <c r="F563" s="430"/>
      <c r="G563" s="395"/>
      <c r="H563" s="529"/>
      <c r="I563" s="394"/>
      <c r="J563" s="430"/>
      <c r="K563" s="395"/>
      <c r="L563" s="529"/>
      <c r="M563" s="394"/>
      <c r="N563" s="430"/>
      <c r="O563" s="395"/>
      <c r="P563" s="529"/>
      <c r="Q563" s="547"/>
      <c r="R563" s="548"/>
      <c r="S563" s="549"/>
      <c r="T563" s="541"/>
      <c r="U563" s="547"/>
      <c r="V563" s="548"/>
      <c r="W563" s="549"/>
      <c r="X563" s="541"/>
      <c r="Y563" s="547"/>
      <c r="Z563" s="548"/>
      <c r="AA563" s="549"/>
      <c r="AB563" s="541"/>
      <c r="AC563" s="547"/>
      <c r="AD563" s="548"/>
      <c r="AE563" s="549"/>
      <c r="AF563" s="541"/>
      <c r="AG563" s="366"/>
      <c r="AH563" s="366"/>
      <c r="AI563" s="366"/>
      <c r="AJ563" s="366"/>
      <c r="AK563" s="394"/>
      <c r="AL563" s="430"/>
      <c r="AM563" s="395"/>
      <c r="AN563" s="529"/>
      <c r="AO563" s="394"/>
      <c r="AP563" s="430"/>
      <c r="AQ563" s="395"/>
      <c r="AR563" s="529"/>
      <c r="AS563" s="542"/>
      <c r="AT563" s="542"/>
    </row>
    <row r="564">
      <c r="A564" s="394"/>
      <c r="B564" s="430"/>
      <c r="C564" s="395"/>
      <c r="D564" s="529"/>
      <c r="E564" s="394"/>
      <c r="F564" s="430"/>
      <c r="G564" s="395"/>
      <c r="H564" s="529"/>
      <c r="I564" s="394"/>
      <c r="J564" s="430"/>
      <c r="K564" s="395"/>
      <c r="L564" s="529"/>
      <c r="M564" s="394"/>
      <c r="N564" s="430"/>
      <c r="O564" s="395"/>
      <c r="P564" s="529"/>
      <c r="Q564" s="547"/>
      <c r="R564" s="548"/>
      <c r="S564" s="549"/>
      <c r="T564" s="541"/>
      <c r="U564" s="547"/>
      <c r="V564" s="548"/>
      <c r="W564" s="549"/>
      <c r="X564" s="541"/>
      <c r="Y564" s="547"/>
      <c r="Z564" s="548"/>
      <c r="AA564" s="549"/>
      <c r="AB564" s="541"/>
      <c r="AC564" s="547"/>
      <c r="AD564" s="548"/>
      <c r="AE564" s="549"/>
      <c r="AF564" s="541"/>
      <c r="AG564" s="366"/>
      <c r="AH564" s="366"/>
      <c r="AI564" s="366"/>
      <c r="AJ564" s="366"/>
      <c r="AK564" s="394"/>
      <c r="AL564" s="430"/>
      <c r="AM564" s="395"/>
      <c r="AN564" s="529"/>
      <c r="AO564" s="394"/>
      <c r="AP564" s="430"/>
      <c r="AQ564" s="395"/>
      <c r="AR564" s="529"/>
      <c r="AS564" s="542"/>
      <c r="AT564" s="542"/>
    </row>
    <row r="565">
      <c r="A565" s="394"/>
      <c r="B565" s="430"/>
      <c r="C565" s="395"/>
      <c r="D565" s="529"/>
      <c r="E565" s="394"/>
      <c r="F565" s="430"/>
      <c r="G565" s="395"/>
      <c r="H565" s="529"/>
      <c r="I565" s="394"/>
      <c r="J565" s="430"/>
      <c r="K565" s="395"/>
      <c r="L565" s="529"/>
      <c r="M565" s="394"/>
      <c r="N565" s="430"/>
      <c r="O565" s="395"/>
      <c r="P565" s="529"/>
      <c r="Q565" s="547"/>
      <c r="R565" s="548"/>
      <c r="S565" s="549"/>
      <c r="T565" s="541"/>
      <c r="U565" s="547"/>
      <c r="V565" s="548"/>
      <c r="W565" s="549"/>
      <c r="X565" s="541"/>
      <c r="Y565" s="547"/>
      <c r="Z565" s="548"/>
      <c r="AA565" s="549"/>
      <c r="AB565" s="541"/>
      <c r="AC565" s="547"/>
      <c r="AD565" s="548"/>
      <c r="AE565" s="549"/>
      <c r="AF565" s="541"/>
      <c r="AG565" s="366"/>
      <c r="AH565" s="366"/>
      <c r="AI565" s="366"/>
      <c r="AJ565" s="366"/>
      <c r="AK565" s="394"/>
      <c r="AL565" s="430"/>
      <c r="AM565" s="395"/>
      <c r="AN565" s="529"/>
      <c r="AO565" s="394"/>
      <c r="AP565" s="430"/>
      <c r="AQ565" s="395"/>
      <c r="AR565" s="529"/>
      <c r="AS565" s="542"/>
      <c r="AT565" s="542"/>
    </row>
    <row r="566">
      <c r="A566" s="394"/>
      <c r="B566" s="430"/>
      <c r="C566" s="395"/>
      <c r="D566" s="529"/>
      <c r="E566" s="394"/>
      <c r="F566" s="430"/>
      <c r="G566" s="395"/>
      <c r="H566" s="529"/>
      <c r="I566" s="394"/>
      <c r="J566" s="430"/>
      <c r="K566" s="395"/>
      <c r="L566" s="529"/>
      <c r="M566" s="394"/>
      <c r="N566" s="430"/>
      <c r="O566" s="395"/>
      <c r="P566" s="529"/>
      <c r="Q566" s="547"/>
      <c r="R566" s="548"/>
      <c r="S566" s="549"/>
      <c r="T566" s="541"/>
      <c r="U566" s="547"/>
      <c r="V566" s="548"/>
      <c r="W566" s="549"/>
      <c r="X566" s="541"/>
      <c r="Y566" s="547"/>
      <c r="Z566" s="548"/>
      <c r="AA566" s="549"/>
      <c r="AB566" s="541"/>
      <c r="AC566" s="547"/>
      <c r="AD566" s="548"/>
      <c r="AE566" s="549"/>
      <c r="AF566" s="541"/>
      <c r="AG566" s="366"/>
      <c r="AH566" s="366"/>
      <c r="AI566" s="366"/>
      <c r="AJ566" s="366"/>
      <c r="AK566" s="394"/>
      <c r="AL566" s="430"/>
      <c r="AM566" s="395"/>
      <c r="AN566" s="529"/>
      <c r="AO566" s="394"/>
      <c r="AP566" s="430"/>
      <c r="AQ566" s="395"/>
      <c r="AR566" s="529"/>
      <c r="AS566" s="542"/>
      <c r="AT566" s="542"/>
    </row>
    <row r="567">
      <c r="A567" s="394"/>
      <c r="B567" s="430"/>
      <c r="C567" s="395"/>
      <c r="D567" s="529"/>
      <c r="E567" s="394"/>
      <c r="F567" s="430"/>
      <c r="G567" s="395"/>
      <c r="H567" s="529"/>
      <c r="I567" s="394"/>
      <c r="J567" s="430"/>
      <c r="K567" s="395"/>
      <c r="L567" s="529"/>
      <c r="M567" s="394"/>
      <c r="N567" s="430"/>
      <c r="O567" s="395"/>
      <c r="P567" s="529"/>
      <c r="Q567" s="547"/>
      <c r="R567" s="548"/>
      <c r="S567" s="549"/>
      <c r="T567" s="541"/>
      <c r="U567" s="547"/>
      <c r="V567" s="548"/>
      <c r="W567" s="549"/>
      <c r="X567" s="541"/>
      <c r="Y567" s="547"/>
      <c r="Z567" s="548"/>
      <c r="AA567" s="549"/>
      <c r="AB567" s="541"/>
      <c r="AC567" s="547"/>
      <c r="AD567" s="548"/>
      <c r="AE567" s="549"/>
      <c r="AF567" s="541"/>
      <c r="AG567" s="366"/>
      <c r="AH567" s="366"/>
      <c r="AI567" s="366"/>
      <c r="AJ567" s="366"/>
      <c r="AK567" s="394"/>
      <c r="AL567" s="430"/>
      <c r="AM567" s="395"/>
      <c r="AN567" s="529"/>
      <c r="AO567" s="394"/>
      <c r="AP567" s="430"/>
      <c r="AQ567" s="395"/>
      <c r="AR567" s="529"/>
      <c r="AS567" s="542"/>
      <c r="AT567" s="542"/>
    </row>
    <row r="568">
      <c r="A568" s="394"/>
      <c r="B568" s="430"/>
      <c r="C568" s="395"/>
      <c r="D568" s="529"/>
      <c r="E568" s="394"/>
      <c r="F568" s="430"/>
      <c r="G568" s="395"/>
      <c r="H568" s="529"/>
      <c r="I568" s="394"/>
      <c r="J568" s="430"/>
      <c r="K568" s="395"/>
      <c r="L568" s="529"/>
      <c r="M568" s="394"/>
      <c r="N568" s="430"/>
      <c r="O568" s="395"/>
      <c r="P568" s="529"/>
      <c r="Q568" s="547"/>
      <c r="R568" s="548"/>
      <c r="S568" s="549"/>
      <c r="T568" s="541"/>
      <c r="U568" s="547"/>
      <c r="V568" s="548"/>
      <c r="W568" s="549"/>
      <c r="X568" s="541"/>
      <c r="Y568" s="547"/>
      <c r="Z568" s="548"/>
      <c r="AA568" s="549"/>
      <c r="AB568" s="541"/>
      <c r="AC568" s="547"/>
      <c r="AD568" s="548"/>
      <c r="AE568" s="549"/>
      <c r="AF568" s="541"/>
      <c r="AG568" s="366"/>
      <c r="AH568" s="366"/>
      <c r="AI568" s="366"/>
      <c r="AJ568" s="366"/>
      <c r="AK568" s="394"/>
      <c r="AL568" s="430"/>
      <c r="AM568" s="395"/>
      <c r="AN568" s="529"/>
      <c r="AO568" s="394"/>
      <c r="AP568" s="430"/>
      <c r="AQ568" s="395"/>
      <c r="AR568" s="529"/>
      <c r="AS568" s="542"/>
      <c r="AT568" s="542"/>
    </row>
    <row r="569">
      <c r="A569" s="394"/>
      <c r="B569" s="430"/>
      <c r="C569" s="395"/>
      <c r="D569" s="529"/>
      <c r="E569" s="394"/>
      <c r="F569" s="430"/>
      <c r="G569" s="395"/>
      <c r="H569" s="529"/>
      <c r="I569" s="394"/>
      <c r="J569" s="430"/>
      <c r="K569" s="395"/>
      <c r="L569" s="529"/>
      <c r="M569" s="394"/>
      <c r="N569" s="430"/>
      <c r="O569" s="395"/>
      <c r="P569" s="529"/>
      <c r="Q569" s="547"/>
      <c r="R569" s="548"/>
      <c r="S569" s="549"/>
      <c r="T569" s="541"/>
      <c r="U569" s="547"/>
      <c r="V569" s="548"/>
      <c r="W569" s="549"/>
      <c r="X569" s="541"/>
      <c r="Y569" s="547"/>
      <c r="Z569" s="548"/>
      <c r="AA569" s="549"/>
      <c r="AB569" s="541"/>
      <c r="AC569" s="547"/>
      <c r="AD569" s="548"/>
      <c r="AE569" s="549"/>
      <c r="AF569" s="541"/>
      <c r="AG569" s="366"/>
      <c r="AH569" s="366"/>
      <c r="AI569" s="366"/>
      <c r="AJ569" s="366"/>
      <c r="AK569" s="394"/>
      <c r="AL569" s="430"/>
      <c r="AM569" s="395"/>
      <c r="AN569" s="529"/>
      <c r="AO569" s="394"/>
      <c r="AP569" s="430"/>
      <c r="AQ569" s="395"/>
      <c r="AR569" s="529"/>
      <c r="AS569" s="542"/>
      <c r="AT569" s="542"/>
    </row>
    <row r="570">
      <c r="A570" s="394"/>
      <c r="B570" s="430"/>
      <c r="C570" s="395"/>
      <c r="D570" s="529"/>
      <c r="E570" s="394"/>
      <c r="F570" s="430"/>
      <c r="G570" s="395"/>
      <c r="H570" s="529"/>
      <c r="I570" s="394"/>
      <c r="J570" s="430"/>
      <c r="K570" s="395"/>
      <c r="L570" s="529"/>
      <c r="M570" s="394"/>
      <c r="N570" s="430"/>
      <c r="O570" s="395"/>
      <c r="P570" s="529"/>
      <c r="Q570" s="547"/>
      <c r="R570" s="548"/>
      <c r="S570" s="549"/>
      <c r="T570" s="541"/>
      <c r="U570" s="547"/>
      <c r="V570" s="548"/>
      <c r="W570" s="549"/>
      <c r="X570" s="541"/>
      <c r="Y570" s="547"/>
      <c r="Z570" s="548"/>
      <c r="AA570" s="549"/>
      <c r="AB570" s="541"/>
      <c r="AC570" s="547"/>
      <c r="AD570" s="548"/>
      <c r="AE570" s="549"/>
      <c r="AF570" s="541"/>
      <c r="AG570" s="366"/>
      <c r="AH570" s="366"/>
      <c r="AI570" s="366"/>
      <c r="AJ570" s="366"/>
      <c r="AK570" s="394"/>
      <c r="AL570" s="430"/>
      <c r="AM570" s="395"/>
      <c r="AN570" s="529"/>
      <c r="AO570" s="394"/>
      <c r="AP570" s="430"/>
      <c r="AQ570" s="395"/>
      <c r="AR570" s="529"/>
      <c r="AS570" s="542"/>
      <c r="AT570" s="542"/>
    </row>
    <row r="571">
      <c r="A571" s="394"/>
      <c r="B571" s="430"/>
      <c r="C571" s="395"/>
      <c r="D571" s="529"/>
      <c r="E571" s="394"/>
      <c r="F571" s="430"/>
      <c r="G571" s="395"/>
      <c r="H571" s="529"/>
      <c r="I571" s="394"/>
      <c r="J571" s="430"/>
      <c r="K571" s="395"/>
      <c r="L571" s="529"/>
      <c r="M571" s="394"/>
      <c r="N571" s="430"/>
      <c r="O571" s="395"/>
      <c r="P571" s="529"/>
      <c r="Q571" s="547"/>
      <c r="R571" s="548"/>
      <c r="S571" s="549"/>
      <c r="T571" s="541"/>
      <c r="U571" s="547"/>
      <c r="V571" s="548"/>
      <c r="W571" s="549"/>
      <c r="X571" s="541"/>
      <c r="Y571" s="547"/>
      <c r="Z571" s="548"/>
      <c r="AA571" s="549"/>
      <c r="AB571" s="541"/>
      <c r="AC571" s="547"/>
      <c r="AD571" s="548"/>
      <c r="AE571" s="549"/>
      <c r="AF571" s="541"/>
      <c r="AG571" s="366"/>
      <c r="AH571" s="366"/>
      <c r="AI571" s="366"/>
      <c r="AJ571" s="366"/>
      <c r="AK571" s="394"/>
      <c r="AL571" s="430"/>
      <c r="AM571" s="395"/>
      <c r="AN571" s="529"/>
      <c r="AO571" s="394"/>
      <c r="AP571" s="430"/>
      <c r="AQ571" s="395"/>
      <c r="AR571" s="529"/>
      <c r="AS571" s="542"/>
      <c r="AT571" s="542"/>
    </row>
    <row r="572">
      <c r="A572" s="394"/>
      <c r="B572" s="430"/>
      <c r="C572" s="395"/>
      <c r="D572" s="529"/>
      <c r="E572" s="394"/>
      <c r="F572" s="430"/>
      <c r="G572" s="395"/>
      <c r="H572" s="529"/>
      <c r="I572" s="394"/>
      <c r="J572" s="430"/>
      <c r="K572" s="395"/>
      <c r="L572" s="529"/>
      <c r="M572" s="394"/>
      <c r="N572" s="430"/>
      <c r="O572" s="395"/>
      <c r="P572" s="529"/>
      <c r="Q572" s="547"/>
      <c r="R572" s="548"/>
      <c r="S572" s="549"/>
      <c r="T572" s="541"/>
      <c r="U572" s="547"/>
      <c r="V572" s="548"/>
      <c r="W572" s="549"/>
      <c r="X572" s="541"/>
      <c r="Y572" s="547"/>
      <c r="Z572" s="548"/>
      <c r="AA572" s="549"/>
      <c r="AB572" s="541"/>
      <c r="AC572" s="547"/>
      <c r="AD572" s="548"/>
      <c r="AE572" s="549"/>
      <c r="AF572" s="541"/>
      <c r="AG572" s="366"/>
      <c r="AH572" s="366"/>
      <c r="AI572" s="366"/>
      <c r="AJ572" s="366"/>
      <c r="AK572" s="394"/>
      <c r="AL572" s="430"/>
      <c r="AM572" s="395"/>
      <c r="AN572" s="529"/>
      <c r="AO572" s="394"/>
      <c r="AP572" s="430"/>
      <c r="AQ572" s="395"/>
      <c r="AR572" s="529"/>
      <c r="AS572" s="542"/>
      <c r="AT572" s="542"/>
    </row>
    <row r="573">
      <c r="A573" s="394"/>
      <c r="B573" s="430"/>
      <c r="C573" s="395"/>
      <c r="D573" s="529"/>
      <c r="E573" s="394"/>
      <c r="F573" s="430"/>
      <c r="G573" s="395"/>
      <c r="H573" s="529"/>
      <c r="I573" s="394"/>
      <c r="J573" s="430"/>
      <c r="K573" s="395"/>
      <c r="L573" s="529"/>
      <c r="M573" s="394"/>
      <c r="N573" s="430"/>
      <c r="O573" s="395"/>
      <c r="P573" s="529"/>
      <c r="Q573" s="547"/>
      <c r="R573" s="548"/>
      <c r="S573" s="549"/>
      <c r="T573" s="541"/>
      <c r="U573" s="547"/>
      <c r="V573" s="548"/>
      <c r="W573" s="549"/>
      <c r="X573" s="541"/>
      <c r="Y573" s="547"/>
      <c r="Z573" s="548"/>
      <c r="AA573" s="549"/>
      <c r="AB573" s="541"/>
      <c r="AC573" s="547"/>
      <c r="AD573" s="548"/>
      <c r="AE573" s="549"/>
      <c r="AF573" s="541"/>
      <c r="AG573" s="366"/>
      <c r="AH573" s="366"/>
      <c r="AI573" s="366"/>
      <c r="AJ573" s="366"/>
      <c r="AK573" s="394"/>
      <c r="AL573" s="430"/>
      <c r="AM573" s="395"/>
      <c r="AN573" s="529"/>
      <c r="AO573" s="394"/>
      <c r="AP573" s="430"/>
      <c r="AQ573" s="395"/>
      <c r="AR573" s="529"/>
      <c r="AS573" s="542"/>
      <c r="AT573" s="542"/>
    </row>
    <row r="574">
      <c r="A574" s="394"/>
      <c r="B574" s="430"/>
      <c r="C574" s="395"/>
      <c r="D574" s="529"/>
      <c r="E574" s="394"/>
      <c r="F574" s="430"/>
      <c r="G574" s="395"/>
      <c r="H574" s="529"/>
      <c r="I574" s="394"/>
      <c r="J574" s="430"/>
      <c r="K574" s="395"/>
      <c r="L574" s="529"/>
      <c r="M574" s="394"/>
      <c r="N574" s="430"/>
      <c r="O574" s="395"/>
      <c r="P574" s="529"/>
      <c r="Q574" s="547"/>
      <c r="R574" s="548"/>
      <c r="S574" s="549"/>
      <c r="T574" s="541"/>
      <c r="U574" s="547"/>
      <c r="V574" s="548"/>
      <c r="W574" s="549"/>
      <c r="X574" s="541"/>
      <c r="Y574" s="547"/>
      <c r="Z574" s="548"/>
      <c r="AA574" s="549"/>
      <c r="AB574" s="541"/>
      <c r="AC574" s="547"/>
      <c r="AD574" s="548"/>
      <c r="AE574" s="549"/>
      <c r="AF574" s="541"/>
      <c r="AG574" s="366"/>
      <c r="AH574" s="366"/>
      <c r="AI574" s="366"/>
      <c r="AJ574" s="366"/>
      <c r="AK574" s="394"/>
      <c r="AL574" s="430"/>
      <c r="AM574" s="395"/>
      <c r="AN574" s="529"/>
      <c r="AO574" s="394"/>
      <c r="AP574" s="430"/>
      <c r="AQ574" s="395"/>
      <c r="AR574" s="529"/>
      <c r="AS574" s="542"/>
      <c r="AT574" s="542"/>
    </row>
    <row r="575">
      <c r="A575" s="394"/>
      <c r="B575" s="430"/>
      <c r="C575" s="395"/>
      <c r="D575" s="529"/>
      <c r="E575" s="394"/>
      <c r="F575" s="430"/>
      <c r="G575" s="395"/>
      <c r="H575" s="529"/>
      <c r="I575" s="394"/>
      <c r="J575" s="430"/>
      <c r="K575" s="395"/>
      <c r="L575" s="529"/>
      <c r="M575" s="394"/>
      <c r="N575" s="430"/>
      <c r="O575" s="395"/>
      <c r="P575" s="529"/>
      <c r="Q575" s="547"/>
      <c r="R575" s="548"/>
      <c r="S575" s="549"/>
      <c r="T575" s="541"/>
      <c r="U575" s="547"/>
      <c r="V575" s="548"/>
      <c r="W575" s="549"/>
      <c r="X575" s="541"/>
      <c r="Y575" s="547"/>
      <c r="Z575" s="548"/>
      <c r="AA575" s="549"/>
      <c r="AB575" s="541"/>
      <c r="AC575" s="547"/>
      <c r="AD575" s="548"/>
      <c r="AE575" s="549"/>
      <c r="AF575" s="541"/>
      <c r="AG575" s="366"/>
      <c r="AH575" s="366"/>
      <c r="AI575" s="366"/>
      <c r="AJ575" s="366"/>
      <c r="AK575" s="394"/>
      <c r="AL575" s="430"/>
      <c r="AM575" s="395"/>
      <c r="AN575" s="529"/>
      <c r="AO575" s="394"/>
      <c r="AP575" s="430"/>
      <c r="AQ575" s="395"/>
      <c r="AR575" s="529"/>
      <c r="AS575" s="542"/>
      <c r="AT575" s="542"/>
    </row>
    <row r="576">
      <c r="A576" s="394"/>
      <c r="B576" s="430"/>
      <c r="C576" s="395"/>
      <c r="D576" s="529"/>
      <c r="E576" s="394"/>
      <c r="F576" s="430"/>
      <c r="G576" s="395"/>
      <c r="H576" s="529"/>
      <c r="I576" s="394"/>
      <c r="J576" s="430"/>
      <c r="K576" s="395"/>
      <c r="L576" s="529"/>
      <c r="M576" s="394"/>
      <c r="N576" s="430"/>
      <c r="O576" s="395"/>
      <c r="P576" s="529"/>
      <c r="Q576" s="547"/>
      <c r="R576" s="548"/>
      <c r="S576" s="549"/>
      <c r="T576" s="541"/>
      <c r="U576" s="547"/>
      <c r="V576" s="548"/>
      <c r="W576" s="549"/>
      <c r="X576" s="541"/>
      <c r="Y576" s="547"/>
      <c r="Z576" s="548"/>
      <c r="AA576" s="549"/>
      <c r="AB576" s="541"/>
      <c r="AC576" s="547"/>
      <c r="AD576" s="548"/>
      <c r="AE576" s="549"/>
      <c r="AF576" s="541"/>
      <c r="AG576" s="366"/>
      <c r="AH576" s="366"/>
      <c r="AI576" s="366"/>
      <c r="AJ576" s="366"/>
      <c r="AK576" s="394"/>
      <c r="AL576" s="430"/>
      <c r="AM576" s="395"/>
      <c r="AN576" s="529"/>
      <c r="AO576" s="394"/>
      <c r="AP576" s="430"/>
      <c r="AQ576" s="395"/>
      <c r="AR576" s="529"/>
      <c r="AS576" s="542"/>
      <c r="AT576" s="542"/>
    </row>
    <row r="577">
      <c r="A577" s="394"/>
      <c r="B577" s="430"/>
      <c r="C577" s="395"/>
      <c r="D577" s="529"/>
      <c r="E577" s="394"/>
      <c r="F577" s="430"/>
      <c r="G577" s="395"/>
      <c r="H577" s="529"/>
      <c r="I577" s="394"/>
      <c r="J577" s="430"/>
      <c r="K577" s="395"/>
      <c r="L577" s="529"/>
      <c r="M577" s="394"/>
      <c r="N577" s="430"/>
      <c r="O577" s="395"/>
      <c r="P577" s="529"/>
      <c r="Q577" s="547"/>
      <c r="R577" s="548"/>
      <c r="S577" s="549"/>
      <c r="T577" s="541"/>
      <c r="U577" s="547"/>
      <c r="V577" s="548"/>
      <c r="W577" s="549"/>
      <c r="X577" s="541"/>
      <c r="Y577" s="547"/>
      <c r="Z577" s="548"/>
      <c r="AA577" s="549"/>
      <c r="AB577" s="541"/>
      <c r="AC577" s="547"/>
      <c r="AD577" s="548"/>
      <c r="AE577" s="549"/>
      <c r="AF577" s="541"/>
      <c r="AG577" s="366"/>
      <c r="AH577" s="366"/>
      <c r="AI577" s="366"/>
      <c r="AJ577" s="366"/>
      <c r="AK577" s="394"/>
      <c r="AL577" s="430"/>
      <c r="AM577" s="395"/>
      <c r="AN577" s="529"/>
      <c r="AO577" s="394"/>
      <c r="AP577" s="430"/>
      <c r="AQ577" s="395"/>
      <c r="AR577" s="529"/>
      <c r="AS577" s="542"/>
      <c r="AT577" s="542"/>
    </row>
    <row r="578">
      <c r="A578" s="394"/>
      <c r="B578" s="430"/>
      <c r="C578" s="395"/>
      <c r="D578" s="529"/>
      <c r="E578" s="394"/>
      <c r="F578" s="430"/>
      <c r="G578" s="395"/>
      <c r="H578" s="529"/>
      <c r="I578" s="394"/>
      <c r="J578" s="430"/>
      <c r="K578" s="395"/>
      <c r="L578" s="529"/>
      <c r="M578" s="394"/>
      <c r="N578" s="430"/>
      <c r="O578" s="395"/>
      <c r="P578" s="529"/>
      <c r="Q578" s="547"/>
      <c r="R578" s="548"/>
      <c r="S578" s="549"/>
      <c r="T578" s="541"/>
      <c r="U578" s="547"/>
      <c r="V578" s="548"/>
      <c r="W578" s="549"/>
      <c r="X578" s="541"/>
      <c r="Y578" s="547"/>
      <c r="Z578" s="548"/>
      <c r="AA578" s="549"/>
      <c r="AB578" s="541"/>
      <c r="AC578" s="547"/>
      <c r="AD578" s="548"/>
      <c r="AE578" s="549"/>
      <c r="AF578" s="541"/>
      <c r="AG578" s="366"/>
      <c r="AH578" s="366"/>
      <c r="AI578" s="366"/>
      <c r="AJ578" s="366"/>
      <c r="AK578" s="394"/>
      <c r="AL578" s="430"/>
      <c r="AM578" s="395"/>
      <c r="AN578" s="529"/>
      <c r="AO578" s="394"/>
      <c r="AP578" s="430"/>
      <c r="AQ578" s="395"/>
      <c r="AR578" s="529"/>
      <c r="AS578" s="542"/>
      <c r="AT578" s="542"/>
    </row>
    <row r="579">
      <c r="A579" s="394"/>
      <c r="B579" s="430"/>
      <c r="C579" s="395"/>
      <c r="D579" s="529"/>
      <c r="E579" s="394"/>
      <c r="F579" s="430"/>
      <c r="G579" s="395"/>
      <c r="H579" s="529"/>
      <c r="I579" s="394"/>
      <c r="J579" s="430"/>
      <c r="K579" s="395"/>
      <c r="L579" s="529"/>
      <c r="M579" s="394"/>
      <c r="N579" s="430"/>
      <c r="O579" s="395"/>
      <c r="P579" s="529"/>
      <c r="Q579" s="547"/>
      <c r="R579" s="548"/>
      <c r="S579" s="549"/>
      <c r="T579" s="541"/>
      <c r="U579" s="547"/>
      <c r="V579" s="548"/>
      <c r="W579" s="549"/>
      <c r="X579" s="541"/>
      <c r="Y579" s="547"/>
      <c r="Z579" s="548"/>
      <c r="AA579" s="549"/>
      <c r="AB579" s="541"/>
      <c r="AC579" s="547"/>
      <c r="AD579" s="548"/>
      <c r="AE579" s="549"/>
      <c r="AF579" s="541"/>
      <c r="AG579" s="366"/>
      <c r="AH579" s="366"/>
      <c r="AI579" s="366"/>
      <c r="AJ579" s="366"/>
      <c r="AK579" s="394"/>
      <c r="AL579" s="430"/>
      <c r="AM579" s="395"/>
      <c r="AN579" s="529"/>
      <c r="AO579" s="394"/>
      <c r="AP579" s="430"/>
      <c r="AQ579" s="395"/>
      <c r="AR579" s="529"/>
      <c r="AS579" s="542"/>
      <c r="AT579" s="542"/>
    </row>
    <row r="580">
      <c r="A580" s="394"/>
      <c r="B580" s="430"/>
      <c r="C580" s="395"/>
      <c r="D580" s="529"/>
      <c r="E580" s="394"/>
      <c r="F580" s="430"/>
      <c r="G580" s="395"/>
      <c r="H580" s="529"/>
      <c r="I580" s="394"/>
      <c r="J580" s="430"/>
      <c r="K580" s="395"/>
      <c r="L580" s="529"/>
      <c r="M580" s="394"/>
      <c r="N580" s="430"/>
      <c r="O580" s="395"/>
      <c r="P580" s="529"/>
      <c r="Q580" s="547"/>
      <c r="R580" s="548"/>
      <c r="S580" s="549"/>
      <c r="T580" s="541"/>
      <c r="U580" s="547"/>
      <c r="V580" s="548"/>
      <c r="W580" s="549"/>
      <c r="X580" s="541"/>
      <c r="Y580" s="547"/>
      <c r="Z580" s="548"/>
      <c r="AA580" s="549"/>
      <c r="AB580" s="541"/>
      <c r="AC580" s="547"/>
      <c r="AD580" s="548"/>
      <c r="AE580" s="549"/>
      <c r="AF580" s="541"/>
      <c r="AG580" s="366"/>
      <c r="AH580" s="366"/>
      <c r="AI580" s="366"/>
      <c r="AJ580" s="366"/>
      <c r="AK580" s="394"/>
      <c r="AL580" s="430"/>
      <c r="AM580" s="395"/>
      <c r="AN580" s="529"/>
      <c r="AO580" s="394"/>
      <c r="AP580" s="430"/>
      <c r="AQ580" s="395"/>
      <c r="AR580" s="529"/>
      <c r="AS580" s="542"/>
      <c r="AT580" s="542"/>
    </row>
    <row r="581">
      <c r="A581" s="394"/>
      <c r="B581" s="430"/>
      <c r="C581" s="395"/>
      <c r="D581" s="529"/>
      <c r="E581" s="394"/>
      <c r="F581" s="430"/>
      <c r="G581" s="395"/>
      <c r="H581" s="529"/>
      <c r="I581" s="394"/>
      <c r="J581" s="430"/>
      <c r="K581" s="395"/>
      <c r="L581" s="529"/>
      <c r="M581" s="394"/>
      <c r="N581" s="430"/>
      <c r="O581" s="395"/>
      <c r="P581" s="529"/>
      <c r="Q581" s="547"/>
      <c r="R581" s="548"/>
      <c r="S581" s="549"/>
      <c r="T581" s="541"/>
      <c r="U581" s="547"/>
      <c r="V581" s="548"/>
      <c r="W581" s="549"/>
      <c r="X581" s="541"/>
      <c r="Y581" s="547"/>
      <c r="Z581" s="548"/>
      <c r="AA581" s="549"/>
      <c r="AB581" s="541"/>
      <c r="AC581" s="547"/>
      <c r="AD581" s="548"/>
      <c r="AE581" s="549"/>
      <c r="AF581" s="541"/>
      <c r="AG581" s="366"/>
      <c r="AH581" s="366"/>
      <c r="AI581" s="366"/>
      <c r="AJ581" s="366"/>
      <c r="AK581" s="394"/>
      <c r="AL581" s="430"/>
      <c r="AM581" s="395"/>
      <c r="AN581" s="529"/>
      <c r="AO581" s="394"/>
      <c r="AP581" s="430"/>
      <c r="AQ581" s="395"/>
      <c r="AR581" s="529"/>
      <c r="AS581" s="542"/>
      <c r="AT581" s="542"/>
    </row>
    <row r="582">
      <c r="A582" s="394"/>
      <c r="B582" s="430"/>
      <c r="C582" s="395"/>
      <c r="D582" s="529"/>
      <c r="E582" s="394"/>
      <c r="F582" s="430"/>
      <c r="G582" s="395"/>
      <c r="H582" s="529"/>
      <c r="I582" s="394"/>
      <c r="J582" s="430"/>
      <c r="K582" s="395"/>
      <c r="L582" s="529"/>
      <c r="M582" s="394"/>
      <c r="N582" s="430"/>
      <c r="O582" s="395"/>
      <c r="P582" s="529"/>
      <c r="Q582" s="547"/>
      <c r="R582" s="548"/>
      <c r="S582" s="549"/>
      <c r="T582" s="541"/>
      <c r="U582" s="547"/>
      <c r="V582" s="548"/>
      <c r="W582" s="549"/>
      <c r="X582" s="541"/>
      <c r="Y582" s="547"/>
      <c r="Z582" s="548"/>
      <c r="AA582" s="549"/>
      <c r="AB582" s="541"/>
      <c r="AC582" s="547"/>
      <c r="AD582" s="548"/>
      <c r="AE582" s="549"/>
      <c r="AF582" s="541"/>
      <c r="AG582" s="366"/>
      <c r="AH582" s="366"/>
      <c r="AI582" s="366"/>
      <c r="AJ582" s="366"/>
      <c r="AK582" s="394"/>
      <c r="AL582" s="430"/>
      <c r="AM582" s="395"/>
      <c r="AN582" s="529"/>
      <c r="AO582" s="394"/>
      <c r="AP582" s="430"/>
      <c r="AQ582" s="395"/>
      <c r="AR582" s="529"/>
      <c r="AS582" s="542"/>
      <c r="AT582" s="542"/>
    </row>
    <row r="583">
      <c r="A583" s="394"/>
      <c r="B583" s="430"/>
      <c r="C583" s="395"/>
      <c r="D583" s="529"/>
      <c r="E583" s="394"/>
      <c r="F583" s="430"/>
      <c r="G583" s="395"/>
      <c r="H583" s="529"/>
      <c r="I583" s="394"/>
      <c r="J583" s="430"/>
      <c r="K583" s="395"/>
      <c r="L583" s="529"/>
      <c r="M583" s="394"/>
      <c r="N583" s="430"/>
      <c r="O583" s="395"/>
      <c r="P583" s="529"/>
      <c r="Q583" s="547"/>
      <c r="R583" s="548"/>
      <c r="S583" s="549"/>
      <c r="T583" s="541"/>
      <c r="U583" s="547"/>
      <c r="V583" s="548"/>
      <c r="W583" s="549"/>
      <c r="X583" s="541"/>
      <c r="Y583" s="547"/>
      <c r="Z583" s="548"/>
      <c r="AA583" s="549"/>
      <c r="AB583" s="541"/>
      <c r="AC583" s="547"/>
      <c r="AD583" s="548"/>
      <c r="AE583" s="549"/>
      <c r="AF583" s="541"/>
      <c r="AG583" s="366"/>
      <c r="AH583" s="366"/>
      <c r="AI583" s="366"/>
      <c r="AJ583" s="366"/>
      <c r="AK583" s="394"/>
      <c r="AL583" s="430"/>
      <c r="AM583" s="395"/>
      <c r="AN583" s="529"/>
      <c r="AO583" s="394"/>
      <c r="AP583" s="430"/>
      <c r="AQ583" s="395"/>
      <c r="AR583" s="529"/>
      <c r="AS583" s="542"/>
      <c r="AT583" s="542"/>
    </row>
    <row r="584">
      <c r="A584" s="394"/>
      <c r="B584" s="430"/>
      <c r="C584" s="395"/>
      <c r="D584" s="529"/>
      <c r="E584" s="394"/>
      <c r="F584" s="430"/>
      <c r="G584" s="395"/>
      <c r="H584" s="529"/>
      <c r="I584" s="394"/>
      <c r="J584" s="430"/>
      <c r="K584" s="395"/>
      <c r="L584" s="529"/>
      <c r="M584" s="394"/>
      <c r="N584" s="430"/>
      <c r="O584" s="395"/>
      <c r="P584" s="529"/>
      <c r="Q584" s="547"/>
      <c r="R584" s="548"/>
      <c r="S584" s="549"/>
      <c r="T584" s="541"/>
      <c r="U584" s="547"/>
      <c r="V584" s="548"/>
      <c r="W584" s="549"/>
      <c r="X584" s="541"/>
      <c r="Y584" s="547"/>
      <c r="Z584" s="548"/>
      <c r="AA584" s="549"/>
      <c r="AB584" s="541"/>
      <c r="AC584" s="547"/>
      <c r="AD584" s="548"/>
      <c r="AE584" s="549"/>
      <c r="AF584" s="541"/>
      <c r="AG584" s="366"/>
      <c r="AH584" s="366"/>
      <c r="AI584" s="366"/>
      <c r="AJ584" s="366"/>
      <c r="AK584" s="394"/>
      <c r="AL584" s="430"/>
      <c r="AM584" s="395"/>
      <c r="AN584" s="529"/>
      <c r="AO584" s="394"/>
      <c r="AP584" s="430"/>
      <c r="AQ584" s="395"/>
      <c r="AR584" s="529"/>
      <c r="AS584" s="542"/>
      <c r="AT584" s="542"/>
    </row>
    <row r="585">
      <c r="A585" s="394"/>
      <c r="B585" s="430"/>
      <c r="C585" s="395"/>
      <c r="D585" s="529"/>
      <c r="E585" s="394"/>
      <c r="F585" s="430"/>
      <c r="G585" s="395"/>
      <c r="H585" s="529"/>
      <c r="I585" s="394"/>
      <c r="J585" s="430"/>
      <c r="K585" s="395"/>
      <c r="L585" s="529"/>
      <c r="M585" s="394"/>
      <c r="N585" s="430"/>
      <c r="O585" s="395"/>
      <c r="P585" s="529"/>
      <c r="Q585" s="547"/>
      <c r="R585" s="548"/>
      <c r="S585" s="549"/>
      <c r="T585" s="541"/>
      <c r="U585" s="547"/>
      <c r="V585" s="548"/>
      <c r="W585" s="549"/>
      <c r="X585" s="541"/>
      <c r="Y585" s="547"/>
      <c r="Z585" s="548"/>
      <c r="AA585" s="549"/>
      <c r="AB585" s="541"/>
      <c r="AC585" s="547"/>
      <c r="AD585" s="548"/>
      <c r="AE585" s="549"/>
      <c r="AF585" s="541"/>
      <c r="AG585" s="366"/>
      <c r="AH585" s="366"/>
      <c r="AI585" s="366"/>
      <c r="AJ585" s="366"/>
      <c r="AK585" s="394"/>
      <c r="AL585" s="430"/>
      <c r="AM585" s="395"/>
      <c r="AN585" s="529"/>
      <c r="AO585" s="394"/>
      <c r="AP585" s="430"/>
      <c r="AQ585" s="395"/>
      <c r="AR585" s="529"/>
      <c r="AS585" s="542"/>
      <c r="AT585" s="542"/>
    </row>
    <row r="586">
      <c r="A586" s="394"/>
      <c r="B586" s="430"/>
      <c r="C586" s="395"/>
      <c r="D586" s="529"/>
      <c r="E586" s="394"/>
      <c r="F586" s="430"/>
      <c r="G586" s="395"/>
      <c r="H586" s="529"/>
      <c r="I586" s="394"/>
      <c r="J586" s="430"/>
      <c r="K586" s="395"/>
      <c r="L586" s="529"/>
      <c r="M586" s="394"/>
      <c r="N586" s="430"/>
      <c r="O586" s="395"/>
      <c r="P586" s="529"/>
      <c r="Q586" s="547"/>
      <c r="R586" s="548"/>
      <c r="S586" s="549"/>
      <c r="T586" s="541"/>
      <c r="U586" s="547"/>
      <c r="V586" s="548"/>
      <c r="W586" s="549"/>
      <c r="X586" s="541"/>
      <c r="Y586" s="547"/>
      <c r="Z586" s="548"/>
      <c r="AA586" s="549"/>
      <c r="AB586" s="541"/>
      <c r="AC586" s="547"/>
      <c r="AD586" s="548"/>
      <c r="AE586" s="549"/>
      <c r="AF586" s="541"/>
      <c r="AG586" s="366"/>
      <c r="AH586" s="366"/>
      <c r="AI586" s="366"/>
      <c r="AJ586" s="366"/>
      <c r="AK586" s="394"/>
      <c r="AL586" s="430"/>
      <c r="AM586" s="395"/>
      <c r="AN586" s="529"/>
      <c r="AO586" s="394"/>
      <c r="AP586" s="430"/>
      <c r="AQ586" s="395"/>
      <c r="AR586" s="529"/>
      <c r="AS586" s="542"/>
      <c r="AT586" s="542"/>
    </row>
    <row r="587">
      <c r="A587" s="394"/>
      <c r="B587" s="430"/>
      <c r="C587" s="395"/>
      <c r="D587" s="529"/>
      <c r="E587" s="394"/>
      <c r="F587" s="430"/>
      <c r="G587" s="395"/>
      <c r="H587" s="529"/>
      <c r="I587" s="394"/>
      <c r="J587" s="430"/>
      <c r="K587" s="395"/>
      <c r="L587" s="529"/>
      <c r="M587" s="394"/>
      <c r="N587" s="430"/>
      <c r="O587" s="395"/>
      <c r="P587" s="529"/>
      <c r="Q587" s="547"/>
      <c r="R587" s="548"/>
      <c r="S587" s="549"/>
      <c r="T587" s="541"/>
      <c r="U587" s="547"/>
      <c r="V587" s="548"/>
      <c r="W587" s="549"/>
      <c r="X587" s="541"/>
      <c r="Y587" s="547"/>
      <c r="Z587" s="548"/>
      <c r="AA587" s="549"/>
      <c r="AB587" s="541"/>
      <c r="AC587" s="547"/>
      <c r="AD587" s="548"/>
      <c r="AE587" s="549"/>
      <c r="AF587" s="541"/>
      <c r="AG587" s="366"/>
      <c r="AH587" s="366"/>
      <c r="AI587" s="366"/>
      <c r="AJ587" s="366"/>
      <c r="AK587" s="394"/>
      <c r="AL587" s="430"/>
      <c r="AM587" s="395"/>
      <c r="AN587" s="529"/>
      <c r="AO587" s="394"/>
      <c r="AP587" s="430"/>
      <c r="AQ587" s="395"/>
      <c r="AR587" s="529"/>
      <c r="AS587" s="542"/>
      <c r="AT587" s="542"/>
    </row>
    <row r="588">
      <c r="A588" s="394"/>
      <c r="B588" s="430"/>
      <c r="C588" s="395"/>
      <c r="D588" s="529"/>
      <c r="E588" s="394"/>
      <c r="F588" s="430"/>
      <c r="G588" s="395"/>
      <c r="H588" s="529"/>
      <c r="I588" s="394"/>
      <c r="J588" s="430"/>
      <c r="K588" s="395"/>
      <c r="L588" s="529"/>
      <c r="M588" s="394"/>
      <c r="N588" s="430"/>
      <c r="O588" s="395"/>
      <c r="P588" s="529"/>
      <c r="Q588" s="547"/>
      <c r="R588" s="548"/>
      <c r="S588" s="549"/>
      <c r="T588" s="541"/>
      <c r="U588" s="547"/>
      <c r="V588" s="548"/>
      <c r="W588" s="549"/>
      <c r="X588" s="541"/>
      <c r="Y588" s="547"/>
      <c r="Z588" s="548"/>
      <c r="AA588" s="549"/>
      <c r="AB588" s="541"/>
      <c r="AC588" s="547"/>
      <c r="AD588" s="548"/>
      <c r="AE588" s="549"/>
      <c r="AF588" s="541"/>
      <c r="AG588" s="366"/>
      <c r="AH588" s="366"/>
      <c r="AI588" s="366"/>
      <c r="AJ588" s="366"/>
      <c r="AK588" s="394"/>
      <c r="AL588" s="430"/>
      <c r="AM588" s="395"/>
      <c r="AN588" s="529"/>
      <c r="AO588" s="394"/>
      <c r="AP588" s="430"/>
      <c r="AQ588" s="395"/>
      <c r="AR588" s="529"/>
      <c r="AS588" s="542"/>
      <c r="AT588" s="542"/>
    </row>
    <row r="589">
      <c r="A589" s="394"/>
      <c r="B589" s="430"/>
      <c r="C589" s="395"/>
      <c r="D589" s="529"/>
      <c r="E589" s="394"/>
      <c r="F589" s="430"/>
      <c r="G589" s="395"/>
      <c r="H589" s="529"/>
      <c r="I589" s="394"/>
      <c r="J589" s="430"/>
      <c r="K589" s="395"/>
      <c r="L589" s="529"/>
      <c r="M589" s="394"/>
      <c r="N589" s="430"/>
      <c r="O589" s="395"/>
      <c r="P589" s="529"/>
      <c r="Q589" s="547"/>
      <c r="R589" s="548"/>
      <c r="S589" s="549"/>
      <c r="T589" s="541"/>
      <c r="U589" s="547"/>
      <c r="V589" s="548"/>
      <c r="W589" s="549"/>
      <c r="X589" s="541"/>
      <c r="Y589" s="547"/>
      <c r="Z589" s="548"/>
      <c r="AA589" s="549"/>
      <c r="AB589" s="541"/>
      <c r="AC589" s="547"/>
      <c r="AD589" s="548"/>
      <c r="AE589" s="549"/>
      <c r="AF589" s="541"/>
      <c r="AG589" s="366"/>
      <c r="AH589" s="366"/>
      <c r="AI589" s="366"/>
      <c r="AJ589" s="366"/>
      <c r="AK589" s="394"/>
      <c r="AL589" s="430"/>
      <c r="AM589" s="395"/>
      <c r="AN589" s="529"/>
      <c r="AO589" s="394"/>
      <c r="AP589" s="430"/>
      <c r="AQ589" s="395"/>
      <c r="AR589" s="529"/>
      <c r="AS589" s="542"/>
      <c r="AT589" s="542"/>
    </row>
    <row r="590">
      <c r="A590" s="394"/>
      <c r="B590" s="430"/>
      <c r="C590" s="395"/>
      <c r="D590" s="529"/>
      <c r="E590" s="394"/>
      <c r="F590" s="430"/>
      <c r="G590" s="395"/>
      <c r="H590" s="529"/>
      <c r="I590" s="394"/>
      <c r="J590" s="430"/>
      <c r="K590" s="395"/>
      <c r="L590" s="529"/>
      <c r="M590" s="394"/>
      <c r="N590" s="430"/>
      <c r="O590" s="395"/>
      <c r="P590" s="529"/>
      <c r="Q590" s="547"/>
      <c r="R590" s="548"/>
      <c r="S590" s="549"/>
      <c r="T590" s="541"/>
      <c r="U590" s="547"/>
      <c r="V590" s="548"/>
      <c r="W590" s="549"/>
      <c r="X590" s="541"/>
      <c r="Y590" s="547"/>
      <c r="Z590" s="548"/>
      <c r="AA590" s="549"/>
      <c r="AB590" s="541"/>
      <c r="AC590" s="547"/>
      <c r="AD590" s="548"/>
      <c r="AE590" s="549"/>
      <c r="AF590" s="541"/>
      <c r="AG590" s="366"/>
      <c r="AH590" s="366"/>
      <c r="AI590" s="366"/>
      <c r="AJ590" s="366"/>
      <c r="AK590" s="394"/>
      <c r="AL590" s="430"/>
      <c r="AM590" s="395"/>
      <c r="AN590" s="529"/>
      <c r="AO590" s="394"/>
      <c r="AP590" s="430"/>
      <c r="AQ590" s="395"/>
      <c r="AR590" s="529"/>
      <c r="AS590" s="542"/>
      <c r="AT590" s="542"/>
    </row>
    <row r="591">
      <c r="A591" s="394"/>
      <c r="B591" s="430"/>
      <c r="C591" s="395"/>
      <c r="D591" s="529"/>
      <c r="E591" s="394"/>
      <c r="F591" s="430"/>
      <c r="G591" s="395"/>
      <c r="H591" s="529"/>
      <c r="I591" s="394"/>
      <c r="J591" s="430"/>
      <c r="K591" s="395"/>
      <c r="L591" s="529"/>
      <c r="M591" s="394"/>
      <c r="N591" s="430"/>
      <c r="O591" s="395"/>
      <c r="P591" s="529"/>
      <c r="Q591" s="547"/>
      <c r="R591" s="548"/>
      <c r="S591" s="549"/>
      <c r="T591" s="541"/>
      <c r="U591" s="547"/>
      <c r="V591" s="548"/>
      <c r="W591" s="549"/>
      <c r="X591" s="541"/>
      <c r="Y591" s="547"/>
      <c r="Z591" s="548"/>
      <c r="AA591" s="549"/>
      <c r="AB591" s="541"/>
      <c r="AC591" s="547"/>
      <c r="AD591" s="548"/>
      <c r="AE591" s="549"/>
      <c r="AF591" s="541"/>
      <c r="AG591" s="366"/>
      <c r="AH591" s="366"/>
      <c r="AI591" s="366"/>
      <c r="AJ591" s="366"/>
      <c r="AK591" s="394"/>
      <c r="AL591" s="430"/>
      <c r="AM591" s="395"/>
      <c r="AN591" s="529"/>
      <c r="AO591" s="394"/>
      <c r="AP591" s="430"/>
      <c r="AQ591" s="395"/>
      <c r="AR591" s="529"/>
      <c r="AS591" s="542"/>
      <c r="AT591" s="542"/>
    </row>
    <row r="592">
      <c r="A592" s="394"/>
      <c r="B592" s="430"/>
      <c r="C592" s="395"/>
      <c r="D592" s="529"/>
      <c r="E592" s="394"/>
      <c r="F592" s="430"/>
      <c r="G592" s="395"/>
      <c r="H592" s="529"/>
      <c r="I592" s="394"/>
      <c r="J592" s="430"/>
      <c r="K592" s="395"/>
      <c r="L592" s="529"/>
      <c r="M592" s="394"/>
      <c r="N592" s="430"/>
      <c r="O592" s="395"/>
      <c r="P592" s="529"/>
      <c r="Q592" s="547"/>
      <c r="R592" s="548"/>
      <c r="S592" s="549"/>
      <c r="T592" s="541"/>
      <c r="U592" s="547"/>
      <c r="V592" s="548"/>
      <c r="W592" s="549"/>
      <c r="X592" s="541"/>
      <c r="Y592" s="547"/>
      <c r="Z592" s="548"/>
      <c r="AA592" s="549"/>
      <c r="AB592" s="541"/>
      <c r="AC592" s="547"/>
      <c r="AD592" s="548"/>
      <c r="AE592" s="549"/>
      <c r="AF592" s="541"/>
      <c r="AG592" s="366"/>
      <c r="AH592" s="366"/>
      <c r="AI592" s="366"/>
      <c r="AJ592" s="366"/>
      <c r="AK592" s="394"/>
      <c r="AL592" s="430"/>
      <c r="AM592" s="395"/>
      <c r="AN592" s="529"/>
      <c r="AO592" s="394"/>
      <c r="AP592" s="430"/>
      <c r="AQ592" s="395"/>
      <c r="AR592" s="529"/>
      <c r="AS592" s="542"/>
      <c r="AT592" s="542"/>
    </row>
    <row r="593">
      <c r="A593" s="394"/>
      <c r="B593" s="430"/>
      <c r="C593" s="395"/>
      <c r="D593" s="529"/>
      <c r="E593" s="394"/>
      <c r="F593" s="430"/>
      <c r="G593" s="395"/>
      <c r="H593" s="529"/>
      <c r="I593" s="394"/>
      <c r="J593" s="430"/>
      <c r="K593" s="395"/>
      <c r="L593" s="529"/>
      <c r="M593" s="394"/>
      <c r="N593" s="430"/>
      <c r="O593" s="395"/>
      <c r="P593" s="529"/>
      <c r="Q593" s="547"/>
      <c r="R593" s="548"/>
      <c r="S593" s="549"/>
      <c r="T593" s="541"/>
      <c r="U593" s="547"/>
      <c r="V593" s="548"/>
      <c r="W593" s="549"/>
      <c r="X593" s="541"/>
      <c r="Y593" s="547"/>
      <c r="Z593" s="548"/>
      <c r="AA593" s="549"/>
      <c r="AB593" s="541"/>
      <c r="AC593" s="547"/>
      <c r="AD593" s="548"/>
      <c r="AE593" s="549"/>
      <c r="AF593" s="541"/>
      <c r="AG593" s="366"/>
      <c r="AH593" s="366"/>
      <c r="AI593" s="366"/>
      <c r="AJ593" s="366"/>
      <c r="AK593" s="394"/>
      <c r="AL593" s="430"/>
      <c r="AM593" s="395"/>
      <c r="AN593" s="529"/>
      <c r="AO593" s="394"/>
      <c r="AP593" s="430"/>
      <c r="AQ593" s="395"/>
      <c r="AR593" s="529"/>
      <c r="AS593" s="542"/>
      <c r="AT593" s="542"/>
    </row>
    <row r="594">
      <c r="A594" s="394"/>
      <c r="B594" s="430"/>
      <c r="C594" s="395"/>
      <c r="D594" s="529"/>
      <c r="E594" s="394"/>
      <c r="F594" s="430"/>
      <c r="G594" s="395"/>
      <c r="H594" s="529"/>
      <c r="I594" s="394"/>
      <c r="J594" s="430"/>
      <c r="K594" s="395"/>
      <c r="L594" s="529"/>
      <c r="M594" s="394"/>
      <c r="N594" s="430"/>
      <c r="O594" s="395"/>
      <c r="P594" s="529"/>
      <c r="Q594" s="547"/>
      <c r="R594" s="548"/>
      <c r="S594" s="549"/>
      <c r="T594" s="541"/>
      <c r="U594" s="547"/>
      <c r="V594" s="548"/>
      <c r="W594" s="549"/>
      <c r="X594" s="541"/>
      <c r="Y594" s="547"/>
      <c r="Z594" s="548"/>
      <c r="AA594" s="549"/>
      <c r="AB594" s="541"/>
      <c r="AC594" s="547"/>
      <c r="AD594" s="548"/>
      <c r="AE594" s="549"/>
      <c r="AF594" s="541"/>
      <c r="AG594" s="366"/>
      <c r="AH594" s="366"/>
      <c r="AI594" s="366"/>
      <c r="AJ594" s="366"/>
      <c r="AK594" s="394"/>
      <c r="AL594" s="430"/>
      <c r="AM594" s="395"/>
      <c r="AN594" s="529"/>
      <c r="AO594" s="394"/>
      <c r="AP594" s="430"/>
      <c r="AQ594" s="395"/>
      <c r="AR594" s="529"/>
      <c r="AS594" s="542"/>
      <c r="AT594" s="542"/>
    </row>
    <row r="595">
      <c r="A595" s="394"/>
      <c r="B595" s="430"/>
      <c r="C595" s="395"/>
      <c r="D595" s="529"/>
      <c r="E595" s="394"/>
      <c r="F595" s="430"/>
      <c r="G595" s="395"/>
      <c r="H595" s="529"/>
      <c r="I595" s="394"/>
      <c r="J595" s="430"/>
      <c r="K595" s="395"/>
      <c r="L595" s="529"/>
      <c r="M595" s="394"/>
      <c r="N595" s="430"/>
      <c r="O595" s="395"/>
      <c r="P595" s="529"/>
      <c r="Q595" s="547"/>
      <c r="R595" s="548"/>
      <c r="S595" s="549"/>
      <c r="T595" s="541"/>
      <c r="U595" s="547"/>
      <c r="V595" s="548"/>
      <c r="W595" s="549"/>
      <c r="X595" s="541"/>
      <c r="Y595" s="547"/>
      <c r="Z595" s="548"/>
      <c r="AA595" s="549"/>
      <c r="AB595" s="541"/>
      <c r="AC595" s="547"/>
      <c r="AD595" s="548"/>
      <c r="AE595" s="549"/>
      <c r="AF595" s="541"/>
      <c r="AG595" s="366"/>
      <c r="AH595" s="366"/>
      <c r="AI595" s="366"/>
      <c r="AJ595" s="366"/>
      <c r="AK595" s="394"/>
      <c r="AL595" s="430"/>
      <c r="AM595" s="395"/>
      <c r="AN595" s="529"/>
      <c r="AO595" s="394"/>
      <c r="AP595" s="430"/>
      <c r="AQ595" s="395"/>
      <c r="AR595" s="529"/>
      <c r="AS595" s="542"/>
      <c r="AT595" s="542"/>
    </row>
    <row r="596">
      <c r="A596" s="394"/>
      <c r="B596" s="430"/>
      <c r="C596" s="395"/>
      <c r="D596" s="529"/>
      <c r="E596" s="394"/>
      <c r="F596" s="430"/>
      <c r="G596" s="395"/>
      <c r="H596" s="529"/>
      <c r="I596" s="394"/>
      <c r="J596" s="430"/>
      <c r="K596" s="395"/>
      <c r="L596" s="529"/>
      <c r="M596" s="394"/>
      <c r="N596" s="430"/>
      <c r="O596" s="395"/>
      <c r="P596" s="529"/>
      <c r="Q596" s="547"/>
      <c r="R596" s="548"/>
      <c r="S596" s="549"/>
      <c r="T596" s="541"/>
      <c r="U596" s="547"/>
      <c r="V596" s="548"/>
      <c r="W596" s="549"/>
      <c r="X596" s="541"/>
      <c r="Y596" s="547"/>
      <c r="Z596" s="548"/>
      <c r="AA596" s="549"/>
      <c r="AB596" s="541"/>
      <c r="AC596" s="547"/>
      <c r="AD596" s="548"/>
      <c r="AE596" s="549"/>
      <c r="AF596" s="541"/>
      <c r="AG596" s="366"/>
      <c r="AH596" s="366"/>
      <c r="AI596" s="366"/>
      <c r="AJ596" s="366"/>
      <c r="AK596" s="394"/>
      <c r="AL596" s="430"/>
      <c r="AM596" s="395"/>
      <c r="AN596" s="529"/>
      <c r="AO596" s="394"/>
      <c r="AP596" s="430"/>
      <c r="AQ596" s="395"/>
      <c r="AR596" s="529"/>
      <c r="AS596" s="542"/>
      <c r="AT596" s="542"/>
    </row>
    <row r="597">
      <c r="A597" s="394"/>
      <c r="B597" s="430"/>
      <c r="C597" s="395"/>
      <c r="D597" s="529"/>
      <c r="E597" s="394"/>
      <c r="F597" s="430"/>
      <c r="G597" s="395"/>
      <c r="H597" s="529"/>
      <c r="I597" s="394"/>
      <c r="J597" s="430"/>
      <c r="K597" s="395"/>
      <c r="L597" s="529"/>
      <c r="M597" s="394"/>
      <c r="N597" s="430"/>
      <c r="O597" s="395"/>
      <c r="P597" s="529"/>
      <c r="Q597" s="547"/>
      <c r="R597" s="548"/>
      <c r="S597" s="549"/>
      <c r="T597" s="541"/>
      <c r="U597" s="547"/>
      <c r="V597" s="548"/>
      <c r="W597" s="549"/>
      <c r="X597" s="541"/>
      <c r="Y597" s="547"/>
      <c r="Z597" s="548"/>
      <c r="AA597" s="549"/>
      <c r="AB597" s="541"/>
      <c r="AC597" s="547"/>
      <c r="AD597" s="548"/>
      <c r="AE597" s="549"/>
      <c r="AF597" s="541"/>
      <c r="AG597" s="366"/>
      <c r="AH597" s="366"/>
      <c r="AI597" s="366"/>
      <c r="AJ597" s="366"/>
      <c r="AK597" s="394"/>
      <c r="AL597" s="430"/>
      <c r="AM597" s="395"/>
      <c r="AN597" s="529"/>
      <c r="AO597" s="394"/>
      <c r="AP597" s="430"/>
      <c r="AQ597" s="395"/>
      <c r="AR597" s="529"/>
      <c r="AS597" s="542"/>
      <c r="AT597" s="542"/>
    </row>
    <row r="598">
      <c r="A598" s="394"/>
      <c r="B598" s="430"/>
      <c r="C598" s="395"/>
      <c r="D598" s="529"/>
      <c r="E598" s="394"/>
      <c r="F598" s="430"/>
      <c r="G598" s="395"/>
      <c r="H598" s="529"/>
      <c r="I598" s="394"/>
      <c r="J598" s="430"/>
      <c r="K598" s="395"/>
      <c r="L598" s="529"/>
      <c r="M598" s="394"/>
      <c r="N598" s="430"/>
      <c r="O598" s="395"/>
      <c r="P598" s="529"/>
      <c r="Q598" s="547"/>
      <c r="R598" s="548"/>
      <c r="S598" s="549"/>
      <c r="T598" s="541"/>
      <c r="U598" s="547"/>
      <c r="V598" s="548"/>
      <c r="W598" s="549"/>
      <c r="X598" s="541"/>
      <c r="Y598" s="547"/>
      <c r="Z598" s="548"/>
      <c r="AA598" s="549"/>
      <c r="AB598" s="541"/>
      <c r="AC598" s="547"/>
      <c r="AD598" s="548"/>
      <c r="AE598" s="549"/>
      <c r="AF598" s="541"/>
      <c r="AG598" s="366"/>
      <c r="AH598" s="366"/>
      <c r="AI598" s="366"/>
      <c r="AJ598" s="366"/>
      <c r="AK598" s="394"/>
      <c r="AL598" s="430"/>
      <c r="AM598" s="395"/>
      <c r="AN598" s="529"/>
      <c r="AO598" s="394"/>
      <c r="AP598" s="430"/>
      <c r="AQ598" s="395"/>
      <c r="AR598" s="529"/>
      <c r="AS598" s="542"/>
      <c r="AT598" s="542"/>
    </row>
    <row r="599">
      <c r="A599" s="394"/>
      <c r="B599" s="430"/>
      <c r="C599" s="395"/>
      <c r="D599" s="529"/>
      <c r="E599" s="394"/>
      <c r="F599" s="430"/>
      <c r="G599" s="395"/>
      <c r="H599" s="529"/>
      <c r="I599" s="394"/>
      <c r="J599" s="430"/>
      <c r="K599" s="395"/>
      <c r="L599" s="529"/>
      <c r="M599" s="394"/>
      <c r="N599" s="430"/>
      <c r="O599" s="395"/>
      <c r="P599" s="529"/>
      <c r="Q599" s="547"/>
      <c r="R599" s="548"/>
      <c r="S599" s="549"/>
      <c r="T599" s="541"/>
      <c r="U599" s="547"/>
      <c r="V599" s="548"/>
      <c r="W599" s="549"/>
      <c r="X599" s="541"/>
      <c r="Y599" s="547"/>
      <c r="Z599" s="548"/>
      <c r="AA599" s="549"/>
      <c r="AB599" s="541"/>
      <c r="AC599" s="547"/>
      <c r="AD599" s="548"/>
      <c r="AE599" s="549"/>
      <c r="AF599" s="541"/>
      <c r="AG599" s="366"/>
      <c r="AH599" s="366"/>
      <c r="AI599" s="366"/>
      <c r="AJ599" s="366"/>
      <c r="AK599" s="394"/>
      <c r="AL599" s="430"/>
      <c r="AM599" s="395"/>
      <c r="AN599" s="529"/>
      <c r="AO599" s="394"/>
      <c r="AP599" s="430"/>
      <c r="AQ599" s="395"/>
      <c r="AR599" s="529"/>
      <c r="AS599" s="542"/>
      <c r="AT599" s="542"/>
    </row>
    <row r="600">
      <c r="A600" s="394"/>
      <c r="B600" s="430"/>
      <c r="C600" s="395"/>
      <c r="D600" s="529"/>
      <c r="E600" s="394"/>
      <c r="F600" s="430"/>
      <c r="G600" s="395"/>
      <c r="H600" s="529"/>
      <c r="I600" s="394"/>
      <c r="J600" s="430"/>
      <c r="K600" s="395"/>
      <c r="L600" s="529"/>
      <c r="M600" s="394"/>
      <c r="N600" s="430"/>
      <c r="O600" s="395"/>
      <c r="P600" s="529"/>
      <c r="Q600" s="547"/>
      <c r="R600" s="548"/>
      <c r="S600" s="549"/>
      <c r="T600" s="541"/>
      <c r="U600" s="547"/>
      <c r="V600" s="548"/>
      <c r="W600" s="549"/>
      <c r="X600" s="541"/>
      <c r="Y600" s="547"/>
      <c r="Z600" s="548"/>
      <c r="AA600" s="549"/>
      <c r="AB600" s="541"/>
      <c r="AC600" s="547"/>
      <c r="AD600" s="548"/>
      <c r="AE600" s="549"/>
      <c r="AF600" s="541"/>
      <c r="AG600" s="366"/>
      <c r="AH600" s="366"/>
      <c r="AI600" s="366"/>
      <c r="AJ600" s="366"/>
      <c r="AK600" s="394"/>
      <c r="AL600" s="430"/>
      <c r="AM600" s="395"/>
      <c r="AN600" s="529"/>
      <c r="AO600" s="394"/>
      <c r="AP600" s="430"/>
      <c r="AQ600" s="395"/>
      <c r="AR600" s="529"/>
      <c r="AS600" s="542"/>
      <c r="AT600" s="542"/>
    </row>
    <row r="601">
      <c r="A601" s="394"/>
      <c r="B601" s="430"/>
      <c r="C601" s="395"/>
      <c r="D601" s="529"/>
      <c r="E601" s="394"/>
      <c r="F601" s="430"/>
      <c r="G601" s="395"/>
      <c r="H601" s="529"/>
      <c r="I601" s="394"/>
      <c r="J601" s="430"/>
      <c r="K601" s="395"/>
      <c r="L601" s="529"/>
      <c r="M601" s="394"/>
      <c r="N601" s="430"/>
      <c r="O601" s="395"/>
      <c r="P601" s="529"/>
      <c r="Q601" s="547"/>
      <c r="R601" s="548"/>
      <c r="S601" s="549"/>
      <c r="T601" s="541"/>
      <c r="U601" s="547"/>
      <c r="V601" s="548"/>
      <c r="W601" s="549"/>
      <c r="X601" s="541"/>
      <c r="Y601" s="547"/>
      <c r="Z601" s="548"/>
      <c r="AA601" s="549"/>
      <c r="AB601" s="541"/>
      <c r="AC601" s="547"/>
      <c r="AD601" s="548"/>
      <c r="AE601" s="549"/>
      <c r="AF601" s="541"/>
      <c r="AG601" s="366"/>
      <c r="AH601" s="366"/>
      <c r="AI601" s="366"/>
      <c r="AJ601" s="366"/>
      <c r="AK601" s="394"/>
      <c r="AL601" s="430"/>
      <c r="AM601" s="395"/>
      <c r="AN601" s="529"/>
      <c r="AO601" s="394"/>
      <c r="AP601" s="430"/>
      <c r="AQ601" s="395"/>
      <c r="AR601" s="529"/>
      <c r="AS601" s="542"/>
      <c r="AT601" s="542"/>
    </row>
    <row r="602">
      <c r="A602" s="394"/>
      <c r="B602" s="430"/>
      <c r="C602" s="395"/>
      <c r="D602" s="529"/>
      <c r="E602" s="394"/>
      <c r="F602" s="430"/>
      <c r="G602" s="395"/>
      <c r="H602" s="529"/>
      <c r="I602" s="394"/>
      <c r="J602" s="430"/>
      <c r="K602" s="395"/>
      <c r="L602" s="529"/>
      <c r="M602" s="394"/>
      <c r="N602" s="430"/>
      <c r="O602" s="395"/>
      <c r="P602" s="529"/>
      <c r="Q602" s="547"/>
      <c r="R602" s="548"/>
      <c r="S602" s="549"/>
      <c r="T602" s="541"/>
      <c r="U602" s="547"/>
      <c r="V602" s="548"/>
      <c r="W602" s="549"/>
      <c r="X602" s="541"/>
      <c r="Y602" s="547"/>
      <c r="Z602" s="548"/>
      <c r="AA602" s="549"/>
      <c r="AB602" s="541"/>
      <c r="AC602" s="547"/>
      <c r="AD602" s="548"/>
      <c r="AE602" s="549"/>
      <c r="AF602" s="541"/>
      <c r="AG602" s="366"/>
      <c r="AH602" s="366"/>
      <c r="AI602" s="366"/>
      <c r="AJ602" s="366"/>
      <c r="AK602" s="394"/>
      <c r="AL602" s="430"/>
      <c r="AM602" s="395"/>
      <c r="AN602" s="529"/>
      <c r="AO602" s="394"/>
      <c r="AP602" s="430"/>
      <c r="AQ602" s="395"/>
      <c r="AR602" s="529"/>
      <c r="AS602" s="542"/>
      <c r="AT602" s="542"/>
    </row>
    <row r="603">
      <c r="A603" s="394"/>
      <c r="B603" s="430"/>
      <c r="C603" s="395"/>
      <c r="D603" s="529"/>
      <c r="E603" s="394"/>
      <c r="F603" s="430"/>
      <c r="G603" s="395"/>
      <c r="H603" s="529"/>
      <c r="I603" s="394"/>
      <c r="J603" s="430"/>
      <c r="K603" s="395"/>
      <c r="L603" s="529"/>
      <c r="M603" s="394"/>
      <c r="N603" s="430"/>
      <c r="O603" s="395"/>
      <c r="P603" s="529"/>
      <c r="Q603" s="547"/>
      <c r="R603" s="548"/>
      <c r="S603" s="549"/>
      <c r="T603" s="541"/>
      <c r="U603" s="547"/>
      <c r="V603" s="548"/>
      <c r="W603" s="549"/>
      <c r="X603" s="541"/>
      <c r="Y603" s="547"/>
      <c r="Z603" s="548"/>
      <c r="AA603" s="549"/>
      <c r="AB603" s="541"/>
      <c r="AC603" s="547"/>
      <c r="AD603" s="548"/>
      <c r="AE603" s="549"/>
      <c r="AF603" s="541"/>
      <c r="AG603" s="366"/>
      <c r="AH603" s="366"/>
      <c r="AI603" s="366"/>
      <c r="AJ603" s="366"/>
      <c r="AK603" s="394"/>
      <c r="AL603" s="430"/>
      <c r="AM603" s="395"/>
      <c r="AN603" s="529"/>
      <c r="AO603" s="394"/>
      <c r="AP603" s="430"/>
      <c r="AQ603" s="395"/>
      <c r="AR603" s="529"/>
      <c r="AS603" s="542"/>
      <c r="AT603" s="542"/>
    </row>
    <row r="604">
      <c r="A604" s="394"/>
      <c r="B604" s="430"/>
      <c r="C604" s="395"/>
      <c r="D604" s="529"/>
      <c r="E604" s="394"/>
      <c r="F604" s="430"/>
      <c r="G604" s="395"/>
      <c r="H604" s="529"/>
      <c r="I604" s="394"/>
      <c r="J604" s="430"/>
      <c r="K604" s="395"/>
      <c r="L604" s="529"/>
      <c r="M604" s="394"/>
      <c r="N604" s="430"/>
      <c r="O604" s="395"/>
      <c r="P604" s="529"/>
      <c r="Q604" s="547"/>
      <c r="R604" s="548"/>
      <c r="S604" s="549"/>
      <c r="T604" s="541"/>
      <c r="U604" s="547"/>
      <c r="V604" s="548"/>
      <c r="W604" s="549"/>
      <c r="X604" s="541"/>
      <c r="Y604" s="547"/>
      <c r="Z604" s="548"/>
      <c r="AA604" s="549"/>
      <c r="AB604" s="541"/>
      <c r="AC604" s="547"/>
      <c r="AD604" s="548"/>
      <c r="AE604" s="549"/>
      <c r="AF604" s="541"/>
      <c r="AG604" s="366"/>
      <c r="AH604" s="366"/>
      <c r="AI604" s="366"/>
      <c r="AJ604" s="366"/>
      <c r="AK604" s="394"/>
      <c r="AL604" s="430"/>
      <c r="AM604" s="395"/>
      <c r="AN604" s="529"/>
      <c r="AO604" s="394"/>
      <c r="AP604" s="430"/>
      <c r="AQ604" s="395"/>
      <c r="AR604" s="529"/>
      <c r="AS604" s="542"/>
      <c r="AT604" s="542"/>
    </row>
    <row r="605">
      <c r="A605" s="394"/>
      <c r="B605" s="430"/>
      <c r="C605" s="395"/>
      <c r="D605" s="529"/>
      <c r="E605" s="394"/>
      <c r="F605" s="430"/>
      <c r="G605" s="395"/>
      <c r="H605" s="529"/>
      <c r="I605" s="394"/>
      <c r="J605" s="430"/>
      <c r="K605" s="395"/>
      <c r="L605" s="529"/>
      <c r="M605" s="394"/>
      <c r="N605" s="430"/>
      <c r="O605" s="395"/>
      <c r="P605" s="529"/>
      <c r="Q605" s="547"/>
      <c r="R605" s="548"/>
      <c r="S605" s="549"/>
      <c r="T605" s="541"/>
      <c r="U605" s="547"/>
      <c r="V605" s="548"/>
      <c r="W605" s="549"/>
      <c r="X605" s="541"/>
      <c r="Y605" s="547"/>
      <c r="Z605" s="548"/>
      <c r="AA605" s="549"/>
      <c r="AB605" s="541"/>
      <c r="AC605" s="547"/>
      <c r="AD605" s="548"/>
      <c r="AE605" s="549"/>
      <c r="AF605" s="541"/>
      <c r="AG605" s="366"/>
      <c r="AH605" s="366"/>
      <c r="AI605" s="366"/>
      <c r="AJ605" s="366"/>
      <c r="AK605" s="394"/>
      <c r="AL605" s="430"/>
      <c r="AM605" s="395"/>
      <c r="AN605" s="529"/>
      <c r="AO605" s="394"/>
      <c r="AP605" s="430"/>
      <c r="AQ605" s="395"/>
      <c r="AR605" s="529"/>
      <c r="AS605" s="542"/>
      <c r="AT605" s="542"/>
    </row>
    <row r="606">
      <c r="A606" s="394"/>
      <c r="B606" s="430"/>
      <c r="C606" s="395"/>
      <c r="D606" s="529"/>
      <c r="E606" s="394"/>
      <c r="F606" s="430"/>
      <c r="G606" s="395"/>
      <c r="H606" s="529"/>
      <c r="I606" s="394"/>
      <c r="J606" s="430"/>
      <c r="K606" s="395"/>
      <c r="L606" s="529"/>
      <c r="M606" s="394"/>
      <c r="N606" s="430"/>
      <c r="O606" s="395"/>
      <c r="P606" s="529"/>
      <c r="Q606" s="547"/>
      <c r="R606" s="548"/>
      <c r="S606" s="549"/>
      <c r="T606" s="541"/>
      <c r="U606" s="547"/>
      <c r="V606" s="548"/>
      <c r="W606" s="549"/>
      <c r="X606" s="541"/>
      <c r="Y606" s="547"/>
      <c r="Z606" s="548"/>
      <c r="AA606" s="549"/>
      <c r="AB606" s="541"/>
      <c r="AC606" s="547"/>
      <c r="AD606" s="548"/>
      <c r="AE606" s="549"/>
      <c r="AF606" s="541"/>
      <c r="AG606" s="366"/>
      <c r="AH606" s="366"/>
      <c r="AI606" s="366"/>
      <c r="AJ606" s="366"/>
      <c r="AK606" s="394"/>
      <c r="AL606" s="430"/>
      <c r="AM606" s="395"/>
      <c r="AN606" s="529"/>
      <c r="AO606" s="394"/>
      <c r="AP606" s="430"/>
      <c r="AQ606" s="395"/>
      <c r="AR606" s="529"/>
      <c r="AS606" s="542"/>
      <c r="AT606" s="542"/>
    </row>
    <row r="607">
      <c r="A607" s="394"/>
      <c r="B607" s="430"/>
      <c r="C607" s="395"/>
      <c r="D607" s="529"/>
      <c r="E607" s="394"/>
      <c r="F607" s="430"/>
      <c r="G607" s="395"/>
      <c r="H607" s="529"/>
      <c r="I607" s="394"/>
      <c r="J607" s="430"/>
      <c r="K607" s="395"/>
      <c r="L607" s="529"/>
      <c r="M607" s="394"/>
      <c r="N607" s="430"/>
      <c r="O607" s="395"/>
      <c r="P607" s="529"/>
      <c r="Q607" s="547"/>
      <c r="R607" s="548"/>
      <c r="S607" s="549"/>
      <c r="T607" s="541"/>
      <c r="U607" s="547"/>
      <c r="V607" s="548"/>
      <c r="W607" s="549"/>
      <c r="X607" s="541"/>
      <c r="Y607" s="547"/>
      <c r="Z607" s="548"/>
      <c r="AA607" s="549"/>
      <c r="AB607" s="541"/>
      <c r="AC607" s="547"/>
      <c r="AD607" s="548"/>
      <c r="AE607" s="549"/>
      <c r="AF607" s="541"/>
      <c r="AG607" s="366"/>
      <c r="AH607" s="366"/>
      <c r="AI607" s="366"/>
      <c r="AJ607" s="366"/>
      <c r="AK607" s="394"/>
      <c r="AL607" s="430"/>
      <c r="AM607" s="395"/>
      <c r="AN607" s="529"/>
      <c r="AO607" s="394"/>
      <c r="AP607" s="430"/>
      <c r="AQ607" s="395"/>
      <c r="AR607" s="529"/>
      <c r="AS607" s="542"/>
      <c r="AT607" s="542"/>
    </row>
    <row r="608">
      <c r="A608" s="394"/>
      <c r="B608" s="430"/>
      <c r="C608" s="395"/>
      <c r="D608" s="529"/>
      <c r="E608" s="394"/>
      <c r="F608" s="430"/>
      <c r="G608" s="395"/>
      <c r="H608" s="529"/>
      <c r="I608" s="394"/>
      <c r="J608" s="430"/>
      <c r="K608" s="395"/>
      <c r="L608" s="529"/>
      <c r="M608" s="394"/>
      <c r="N608" s="430"/>
      <c r="O608" s="395"/>
      <c r="P608" s="529"/>
      <c r="Q608" s="547"/>
      <c r="R608" s="548"/>
      <c r="S608" s="549"/>
      <c r="T608" s="541"/>
      <c r="U608" s="547"/>
      <c r="V608" s="548"/>
      <c r="W608" s="549"/>
      <c r="X608" s="541"/>
      <c r="Y608" s="547"/>
      <c r="Z608" s="548"/>
      <c r="AA608" s="549"/>
      <c r="AB608" s="541"/>
      <c r="AC608" s="547"/>
      <c r="AD608" s="548"/>
      <c r="AE608" s="549"/>
      <c r="AF608" s="541"/>
      <c r="AG608" s="366"/>
      <c r="AH608" s="366"/>
      <c r="AI608" s="366"/>
      <c r="AJ608" s="366"/>
      <c r="AK608" s="394"/>
      <c r="AL608" s="430"/>
      <c r="AM608" s="395"/>
      <c r="AN608" s="529"/>
      <c r="AO608" s="394"/>
      <c r="AP608" s="430"/>
      <c r="AQ608" s="395"/>
      <c r="AR608" s="529"/>
      <c r="AS608" s="542"/>
      <c r="AT608" s="542"/>
    </row>
    <row r="609">
      <c r="A609" s="394"/>
      <c r="B609" s="430"/>
      <c r="C609" s="395"/>
      <c r="D609" s="529"/>
      <c r="E609" s="394"/>
      <c r="F609" s="430"/>
      <c r="G609" s="395"/>
      <c r="H609" s="529"/>
      <c r="I609" s="394"/>
      <c r="J609" s="430"/>
      <c r="K609" s="395"/>
      <c r="L609" s="529"/>
      <c r="M609" s="394"/>
      <c r="N609" s="430"/>
      <c r="O609" s="395"/>
      <c r="P609" s="529"/>
      <c r="Q609" s="547"/>
      <c r="R609" s="548"/>
      <c r="S609" s="549"/>
      <c r="T609" s="541"/>
      <c r="U609" s="547"/>
      <c r="V609" s="548"/>
      <c r="W609" s="549"/>
      <c r="X609" s="541"/>
      <c r="Y609" s="547"/>
      <c r="Z609" s="548"/>
      <c r="AA609" s="549"/>
      <c r="AB609" s="541"/>
      <c r="AC609" s="547"/>
      <c r="AD609" s="548"/>
      <c r="AE609" s="549"/>
      <c r="AF609" s="541"/>
      <c r="AG609" s="366"/>
      <c r="AH609" s="366"/>
      <c r="AI609" s="366"/>
      <c r="AJ609" s="366"/>
      <c r="AK609" s="394"/>
      <c r="AL609" s="430"/>
      <c r="AM609" s="395"/>
      <c r="AN609" s="529"/>
      <c r="AO609" s="394"/>
      <c r="AP609" s="430"/>
      <c r="AQ609" s="395"/>
      <c r="AR609" s="529"/>
      <c r="AS609" s="542"/>
      <c r="AT609" s="542"/>
    </row>
    <row r="610">
      <c r="A610" s="394"/>
      <c r="B610" s="430"/>
      <c r="C610" s="395"/>
      <c r="D610" s="529"/>
      <c r="E610" s="394"/>
      <c r="F610" s="430"/>
      <c r="G610" s="395"/>
      <c r="H610" s="529"/>
      <c r="I610" s="394"/>
      <c r="J610" s="430"/>
      <c r="K610" s="395"/>
      <c r="L610" s="529"/>
      <c r="M610" s="394"/>
      <c r="N610" s="430"/>
      <c r="O610" s="395"/>
      <c r="P610" s="529"/>
      <c r="Q610" s="547"/>
      <c r="R610" s="548"/>
      <c r="S610" s="549"/>
      <c r="T610" s="541"/>
      <c r="U610" s="547"/>
      <c r="V610" s="548"/>
      <c r="W610" s="549"/>
      <c r="X610" s="541"/>
      <c r="Y610" s="547"/>
      <c r="Z610" s="548"/>
      <c r="AA610" s="549"/>
      <c r="AB610" s="541"/>
      <c r="AC610" s="547"/>
      <c r="AD610" s="548"/>
      <c r="AE610" s="549"/>
      <c r="AF610" s="541"/>
      <c r="AG610" s="366"/>
      <c r="AH610" s="366"/>
      <c r="AI610" s="366"/>
      <c r="AJ610" s="366"/>
      <c r="AK610" s="394"/>
      <c r="AL610" s="430"/>
      <c r="AM610" s="395"/>
      <c r="AN610" s="529"/>
      <c r="AO610" s="394"/>
      <c r="AP610" s="430"/>
      <c r="AQ610" s="395"/>
      <c r="AR610" s="529"/>
      <c r="AS610" s="542"/>
      <c r="AT610" s="542"/>
    </row>
    <row r="611">
      <c r="A611" s="394"/>
      <c r="B611" s="430"/>
      <c r="C611" s="395"/>
      <c r="D611" s="529"/>
      <c r="E611" s="394"/>
      <c r="F611" s="430"/>
      <c r="G611" s="395"/>
      <c r="H611" s="529"/>
      <c r="I611" s="394"/>
      <c r="J611" s="430"/>
      <c r="K611" s="395"/>
      <c r="L611" s="529"/>
      <c r="M611" s="394"/>
      <c r="N611" s="430"/>
      <c r="O611" s="395"/>
      <c r="P611" s="529"/>
      <c r="Q611" s="547"/>
      <c r="R611" s="548"/>
      <c r="S611" s="549"/>
      <c r="T611" s="541"/>
      <c r="U611" s="547"/>
      <c r="V611" s="548"/>
      <c r="W611" s="549"/>
      <c r="X611" s="541"/>
      <c r="Y611" s="547"/>
      <c r="Z611" s="548"/>
      <c r="AA611" s="549"/>
      <c r="AB611" s="541"/>
      <c r="AC611" s="547"/>
      <c r="AD611" s="548"/>
      <c r="AE611" s="549"/>
      <c r="AF611" s="541"/>
      <c r="AG611" s="366"/>
      <c r="AH611" s="366"/>
      <c r="AI611" s="366"/>
      <c r="AJ611" s="366"/>
      <c r="AK611" s="394"/>
      <c r="AL611" s="430"/>
      <c r="AM611" s="395"/>
      <c r="AN611" s="529"/>
      <c r="AO611" s="394"/>
      <c r="AP611" s="430"/>
      <c r="AQ611" s="395"/>
      <c r="AR611" s="529"/>
      <c r="AS611" s="542"/>
      <c r="AT611" s="542"/>
    </row>
    <row r="612">
      <c r="A612" s="394"/>
      <c r="B612" s="430"/>
      <c r="C612" s="395"/>
      <c r="D612" s="529"/>
      <c r="E612" s="394"/>
      <c r="F612" s="430"/>
      <c r="G612" s="395"/>
      <c r="H612" s="529"/>
      <c r="I612" s="394"/>
      <c r="J612" s="430"/>
      <c r="K612" s="395"/>
      <c r="L612" s="529"/>
      <c r="M612" s="394"/>
      <c r="N612" s="430"/>
      <c r="O612" s="395"/>
      <c r="P612" s="529"/>
      <c r="Q612" s="547"/>
      <c r="R612" s="548"/>
      <c r="S612" s="549"/>
      <c r="T612" s="541"/>
      <c r="U612" s="547"/>
      <c r="V612" s="548"/>
      <c r="W612" s="549"/>
      <c r="X612" s="541"/>
      <c r="Y612" s="547"/>
      <c r="Z612" s="548"/>
      <c r="AA612" s="549"/>
      <c r="AB612" s="541"/>
      <c r="AC612" s="547"/>
      <c r="AD612" s="548"/>
      <c r="AE612" s="549"/>
      <c r="AF612" s="541"/>
      <c r="AG612" s="366"/>
      <c r="AH612" s="366"/>
      <c r="AI612" s="366"/>
      <c r="AJ612" s="366"/>
      <c r="AK612" s="394"/>
      <c r="AL612" s="430"/>
      <c r="AM612" s="395"/>
      <c r="AN612" s="529"/>
      <c r="AO612" s="394"/>
      <c r="AP612" s="430"/>
      <c r="AQ612" s="395"/>
      <c r="AR612" s="529"/>
      <c r="AS612" s="542"/>
      <c r="AT612" s="542"/>
    </row>
    <row r="613">
      <c r="A613" s="394"/>
      <c r="B613" s="430"/>
      <c r="C613" s="395"/>
      <c r="D613" s="529"/>
      <c r="E613" s="394"/>
      <c r="F613" s="430"/>
      <c r="G613" s="395"/>
      <c r="H613" s="529"/>
      <c r="I613" s="394"/>
      <c r="J613" s="430"/>
      <c r="K613" s="395"/>
      <c r="L613" s="529"/>
      <c r="M613" s="394"/>
      <c r="N613" s="430"/>
      <c r="O613" s="395"/>
      <c r="P613" s="529"/>
      <c r="Q613" s="547"/>
      <c r="R613" s="548"/>
      <c r="S613" s="549"/>
      <c r="T613" s="541"/>
      <c r="U613" s="547"/>
      <c r="V613" s="548"/>
      <c r="W613" s="549"/>
      <c r="X613" s="541"/>
      <c r="Y613" s="547"/>
      <c r="Z613" s="548"/>
      <c r="AA613" s="549"/>
      <c r="AB613" s="541"/>
      <c r="AC613" s="547"/>
      <c r="AD613" s="548"/>
      <c r="AE613" s="549"/>
      <c r="AF613" s="541"/>
      <c r="AG613" s="366"/>
      <c r="AH613" s="366"/>
      <c r="AI613" s="366"/>
      <c r="AJ613" s="366"/>
      <c r="AK613" s="394"/>
      <c r="AL613" s="430"/>
      <c r="AM613" s="395"/>
      <c r="AN613" s="529"/>
      <c r="AO613" s="394"/>
      <c r="AP613" s="430"/>
      <c r="AQ613" s="395"/>
      <c r="AR613" s="529"/>
      <c r="AS613" s="542"/>
      <c r="AT613" s="542"/>
    </row>
    <row r="614">
      <c r="A614" s="394"/>
      <c r="B614" s="430"/>
      <c r="C614" s="395"/>
      <c r="D614" s="529"/>
      <c r="E614" s="394"/>
      <c r="F614" s="430"/>
      <c r="G614" s="395"/>
      <c r="H614" s="529"/>
      <c r="I614" s="394"/>
      <c r="J614" s="430"/>
      <c r="K614" s="395"/>
      <c r="L614" s="529"/>
      <c r="M614" s="394"/>
      <c r="N614" s="430"/>
      <c r="O614" s="395"/>
      <c r="P614" s="529"/>
      <c r="Q614" s="547"/>
      <c r="R614" s="548"/>
      <c r="S614" s="549"/>
      <c r="T614" s="541"/>
      <c r="U614" s="547"/>
      <c r="V614" s="548"/>
      <c r="W614" s="549"/>
      <c r="X614" s="541"/>
      <c r="Y614" s="547"/>
      <c r="Z614" s="548"/>
      <c r="AA614" s="549"/>
      <c r="AB614" s="541"/>
      <c r="AC614" s="547"/>
      <c r="AD614" s="548"/>
      <c r="AE614" s="549"/>
      <c r="AF614" s="541"/>
      <c r="AG614" s="366"/>
      <c r="AH614" s="366"/>
      <c r="AI614" s="366"/>
      <c r="AJ614" s="366"/>
      <c r="AK614" s="394"/>
      <c r="AL614" s="430"/>
      <c r="AM614" s="395"/>
      <c r="AN614" s="529"/>
      <c r="AO614" s="394"/>
      <c r="AP614" s="430"/>
      <c r="AQ614" s="395"/>
      <c r="AR614" s="529"/>
      <c r="AS614" s="542"/>
      <c r="AT614" s="542"/>
    </row>
    <row r="615">
      <c r="A615" s="394"/>
      <c r="B615" s="430"/>
      <c r="C615" s="395"/>
      <c r="D615" s="529"/>
      <c r="E615" s="394"/>
      <c r="F615" s="430"/>
      <c r="G615" s="395"/>
      <c r="H615" s="529"/>
      <c r="I615" s="394"/>
      <c r="J615" s="430"/>
      <c r="K615" s="395"/>
      <c r="L615" s="529"/>
      <c r="M615" s="394"/>
      <c r="N615" s="430"/>
      <c r="O615" s="395"/>
      <c r="P615" s="529"/>
      <c r="Q615" s="547"/>
      <c r="R615" s="548"/>
      <c r="S615" s="549"/>
      <c r="T615" s="541"/>
      <c r="U615" s="547"/>
      <c r="V615" s="548"/>
      <c r="W615" s="549"/>
      <c r="X615" s="541"/>
      <c r="Y615" s="547"/>
      <c r="Z615" s="548"/>
      <c r="AA615" s="549"/>
      <c r="AB615" s="541"/>
      <c r="AC615" s="547"/>
      <c r="AD615" s="548"/>
      <c r="AE615" s="549"/>
      <c r="AF615" s="541"/>
      <c r="AG615" s="366"/>
      <c r="AH615" s="366"/>
      <c r="AI615" s="366"/>
      <c r="AJ615" s="366"/>
      <c r="AK615" s="394"/>
      <c r="AL615" s="430"/>
      <c r="AM615" s="395"/>
      <c r="AN615" s="529"/>
      <c r="AO615" s="394"/>
      <c r="AP615" s="430"/>
      <c r="AQ615" s="395"/>
      <c r="AR615" s="529"/>
      <c r="AS615" s="542"/>
      <c r="AT615" s="542"/>
    </row>
    <row r="616">
      <c r="A616" s="394"/>
      <c r="B616" s="430"/>
      <c r="C616" s="395"/>
      <c r="D616" s="529"/>
      <c r="E616" s="394"/>
      <c r="F616" s="430"/>
      <c r="G616" s="395"/>
      <c r="H616" s="529"/>
      <c r="I616" s="394"/>
      <c r="J616" s="430"/>
      <c r="K616" s="395"/>
      <c r="L616" s="529"/>
      <c r="M616" s="394"/>
      <c r="N616" s="430"/>
      <c r="O616" s="395"/>
      <c r="P616" s="529"/>
      <c r="Q616" s="547"/>
      <c r="R616" s="548"/>
      <c r="S616" s="549"/>
      <c r="T616" s="541"/>
      <c r="U616" s="547"/>
      <c r="V616" s="548"/>
      <c r="W616" s="549"/>
      <c r="X616" s="541"/>
      <c r="Y616" s="547"/>
      <c r="Z616" s="548"/>
      <c r="AA616" s="549"/>
      <c r="AB616" s="541"/>
      <c r="AC616" s="547"/>
      <c r="AD616" s="548"/>
      <c r="AE616" s="549"/>
      <c r="AF616" s="541"/>
      <c r="AG616" s="366"/>
      <c r="AH616" s="366"/>
      <c r="AI616" s="366"/>
      <c r="AJ616" s="366"/>
      <c r="AK616" s="394"/>
      <c r="AL616" s="430"/>
      <c r="AM616" s="395"/>
      <c r="AN616" s="529"/>
      <c r="AO616" s="394"/>
      <c r="AP616" s="430"/>
      <c r="AQ616" s="395"/>
      <c r="AR616" s="529"/>
      <c r="AS616" s="542"/>
      <c r="AT616" s="542"/>
    </row>
    <row r="617">
      <c r="A617" s="394"/>
      <c r="B617" s="430"/>
      <c r="C617" s="395"/>
      <c r="D617" s="529"/>
      <c r="E617" s="394"/>
      <c r="F617" s="430"/>
      <c r="G617" s="395"/>
      <c r="H617" s="529"/>
      <c r="I617" s="394"/>
      <c r="J617" s="430"/>
      <c r="K617" s="395"/>
      <c r="L617" s="529"/>
      <c r="M617" s="394"/>
      <c r="N617" s="430"/>
      <c r="O617" s="395"/>
      <c r="P617" s="529"/>
      <c r="Q617" s="547"/>
      <c r="R617" s="548"/>
      <c r="S617" s="549"/>
      <c r="T617" s="541"/>
      <c r="U617" s="547"/>
      <c r="V617" s="548"/>
      <c r="W617" s="549"/>
      <c r="X617" s="541"/>
      <c r="Y617" s="547"/>
      <c r="Z617" s="548"/>
      <c r="AA617" s="549"/>
      <c r="AB617" s="541"/>
      <c r="AC617" s="547"/>
      <c r="AD617" s="548"/>
      <c r="AE617" s="549"/>
      <c r="AF617" s="541"/>
      <c r="AG617" s="366"/>
      <c r="AH617" s="366"/>
      <c r="AI617" s="366"/>
      <c r="AJ617" s="366"/>
      <c r="AK617" s="394"/>
      <c r="AL617" s="430"/>
      <c r="AM617" s="395"/>
      <c r="AN617" s="529"/>
      <c r="AO617" s="394"/>
      <c r="AP617" s="430"/>
      <c r="AQ617" s="395"/>
      <c r="AR617" s="529"/>
      <c r="AS617" s="542"/>
      <c r="AT617" s="542"/>
    </row>
    <row r="618">
      <c r="A618" s="394"/>
      <c r="B618" s="430"/>
      <c r="C618" s="395"/>
      <c r="D618" s="529"/>
      <c r="E618" s="394"/>
      <c r="F618" s="430"/>
      <c r="G618" s="395"/>
      <c r="H618" s="529"/>
      <c r="I618" s="394"/>
      <c r="J618" s="430"/>
      <c r="K618" s="395"/>
      <c r="L618" s="529"/>
      <c r="M618" s="394"/>
      <c r="N618" s="430"/>
      <c r="O618" s="395"/>
      <c r="P618" s="529"/>
      <c r="Q618" s="547"/>
      <c r="R618" s="548"/>
      <c r="S618" s="549"/>
      <c r="T618" s="541"/>
      <c r="U618" s="547"/>
      <c r="V618" s="548"/>
      <c r="W618" s="549"/>
      <c r="X618" s="541"/>
      <c r="Y618" s="547"/>
      <c r="Z618" s="548"/>
      <c r="AA618" s="549"/>
      <c r="AB618" s="541"/>
      <c r="AC618" s="547"/>
      <c r="AD618" s="548"/>
      <c r="AE618" s="549"/>
      <c r="AF618" s="541"/>
      <c r="AG618" s="366"/>
      <c r="AH618" s="366"/>
      <c r="AI618" s="366"/>
      <c r="AJ618" s="366"/>
      <c r="AK618" s="394"/>
      <c r="AL618" s="430"/>
      <c r="AM618" s="395"/>
      <c r="AN618" s="529"/>
      <c r="AO618" s="394"/>
      <c r="AP618" s="430"/>
      <c r="AQ618" s="395"/>
      <c r="AR618" s="529"/>
      <c r="AS618" s="542"/>
      <c r="AT618" s="542"/>
    </row>
    <row r="619">
      <c r="A619" s="394"/>
      <c r="B619" s="430"/>
      <c r="C619" s="395"/>
      <c r="D619" s="529"/>
      <c r="E619" s="394"/>
      <c r="F619" s="430"/>
      <c r="G619" s="395"/>
      <c r="H619" s="529"/>
      <c r="I619" s="394"/>
      <c r="J619" s="430"/>
      <c r="K619" s="395"/>
      <c r="L619" s="529"/>
      <c r="M619" s="394"/>
      <c r="N619" s="430"/>
      <c r="O619" s="395"/>
      <c r="P619" s="529"/>
      <c r="Q619" s="547"/>
      <c r="R619" s="548"/>
      <c r="S619" s="549"/>
      <c r="T619" s="541"/>
      <c r="U619" s="547"/>
      <c r="V619" s="548"/>
      <c r="W619" s="549"/>
      <c r="X619" s="541"/>
      <c r="Y619" s="547"/>
      <c r="Z619" s="548"/>
      <c r="AA619" s="549"/>
      <c r="AB619" s="541"/>
      <c r="AC619" s="547"/>
      <c r="AD619" s="548"/>
      <c r="AE619" s="549"/>
      <c r="AF619" s="541"/>
      <c r="AG619" s="366"/>
      <c r="AH619" s="366"/>
      <c r="AI619" s="366"/>
      <c r="AJ619" s="366"/>
      <c r="AK619" s="394"/>
      <c r="AL619" s="430"/>
      <c r="AM619" s="395"/>
      <c r="AN619" s="529"/>
      <c r="AO619" s="394"/>
      <c r="AP619" s="430"/>
      <c r="AQ619" s="395"/>
      <c r="AR619" s="529"/>
      <c r="AS619" s="542"/>
      <c r="AT619" s="542"/>
    </row>
    <row r="620">
      <c r="A620" s="394"/>
      <c r="B620" s="430"/>
      <c r="C620" s="395"/>
      <c r="D620" s="529"/>
      <c r="E620" s="394"/>
      <c r="F620" s="430"/>
      <c r="G620" s="395"/>
      <c r="H620" s="529"/>
      <c r="I620" s="394"/>
      <c r="J620" s="430"/>
      <c r="K620" s="395"/>
      <c r="L620" s="529"/>
      <c r="M620" s="394"/>
      <c r="N620" s="430"/>
      <c r="O620" s="395"/>
      <c r="P620" s="529"/>
      <c r="Q620" s="547"/>
      <c r="R620" s="548"/>
      <c r="S620" s="549"/>
      <c r="T620" s="541"/>
      <c r="U620" s="547"/>
      <c r="V620" s="548"/>
      <c r="W620" s="549"/>
      <c r="X620" s="541"/>
      <c r="Y620" s="547"/>
      <c r="Z620" s="548"/>
      <c r="AA620" s="549"/>
      <c r="AB620" s="541"/>
      <c r="AC620" s="547"/>
      <c r="AD620" s="548"/>
      <c r="AE620" s="549"/>
      <c r="AF620" s="541"/>
      <c r="AG620" s="366"/>
      <c r="AH620" s="366"/>
      <c r="AI620" s="366"/>
      <c r="AJ620" s="366"/>
      <c r="AK620" s="394"/>
      <c r="AL620" s="430"/>
      <c r="AM620" s="395"/>
      <c r="AN620" s="529"/>
      <c r="AO620" s="394"/>
      <c r="AP620" s="430"/>
      <c r="AQ620" s="395"/>
      <c r="AR620" s="529"/>
      <c r="AS620" s="542"/>
      <c r="AT620" s="542"/>
    </row>
    <row r="621">
      <c r="A621" s="394"/>
      <c r="B621" s="430"/>
      <c r="C621" s="395"/>
      <c r="D621" s="529"/>
      <c r="E621" s="394"/>
      <c r="F621" s="430"/>
      <c r="G621" s="395"/>
      <c r="H621" s="529"/>
      <c r="I621" s="394"/>
      <c r="J621" s="430"/>
      <c r="K621" s="395"/>
      <c r="L621" s="529"/>
      <c r="M621" s="394"/>
      <c r="N621" s="430"/>
      <c r="O621" s="395"/>
      <c r="P621" s="529"/>
      <c r="Q621" s="547"/>
      <c r="R621" s="548"/>
      <c r="S621" s="549"/>
      <c r="T621" s="541"/>
      <c r="U621" s="547"/>
      <c r="V621" s="548"/>
      <c r="W621" s="549"/>
      <c r="X621" s="541"/>
      <c r="Y621" s="547"/>
      <c r="Z621" s="548"/>
      <c r="AA621" s="549"/>
      <c r="AB621" s="541"/>
      <c r="AC621" s="547"/>
      <c r="AD621" s="548"/>
      <c r="AE621" s="549"/>
      <c r="AF621" s="541"/>
      <c r="AG621" s="366"/>
      <c r="AH621" s="366"/>
      <c r="AI621" s="366"/>
      <c r="AJ621" s="366"/>
      <c r="AK621" s="394"/>
      <c r="AL621" s="430"/>
      <c r="AM621" s="395"/>
      <c r="AN621" s="529"/>
      <c r="AO621" s="394"/>
      <c r="AP621" s="430"/>
      <c r="AQ621" s="395"/>
      <c r="AR621" s="529"/>
      <c r="AS621" s="542"/>
      <c r="AT621" s="542"/>
    </row>
    <row r="622">
      <c r="A622" s="394"/>
      <c r="B622" s="430"/>
      <c r="C622" s="395"/>
      <c r="D622" s="529"/>
      <c r="E622" s="394"/>
      <c r="F622" s="430"/>
      <c r="G622" s="395"/>
      <c r="H622" s="529"/>
      <c r="I622" s="394"/>
      <c r="J622" s="430"/>
      <c r="K622" s="395"/>
      <c r="L622" s="529"/>
      <c r="M622" s="394"/>
      <c r="N622" s="430"/>
      <c r="O622" s="395"/>
      <c r="P622" s="529"/>
      <c r="Q622" s="547"/>
      <c r="R622" s="548"/>
      <c r="S622" s="549"/>
      <c r="T622" s="541"/>
      <c r="U622" s="547"/>
      <c r="V622" s="548"/>
      <c r="W622" s="549"/>
      <c r="X622" s="541"/>
      <c r="Y622" s="547"/>
      <c r="Z622" s="548"/>
      <c r="AA622" s="549"/>
      <c r="AB622" s="541"/>
      <c r="AC622" s="547"/>
      <c r="AD622" s="548"/>
      <c r="AE622" s="549"/>
      <c r="AF622" s="541"/>
      <c r="AG622" s="366"/>
      <c r="AH622" s="366"/>
      <c r="AI622" s="366"/>
      <c r="AJ622" s="366"/>
      <c r="AK622" s="394"/>
      <c r="AL622" s="430"/>
      <c r="AM622" s="395"/>
      <c r="AN622" s="529"/>
      <c r="AO622" s="394"/>
      <c r="AP622" s="430"/>
      <c r="AQ622" s="395"/>
      <c r="AR622" s="529"/>
      <c r="AS622" s="542"/>
      <c r="AT622" s="542"/>
    </row>
    <row r="623">
      <c r="A623" s="394"/>
      <c r="B623" s="430"/>
      <c r="C623" s="395"/>
      <c r="D623" s="529"/>
      <c r="E623" s="394"/>
      <c r="F623" s="430"/>
      <c r="G623" s="395"/>
      <c r="H623" s="529"/>
      <c r="I623" s="394"/>
      <c r="J623" s="430"/>
      <c r="K623" s="395"/>
      <c r="L623" s="529"/>
      <c r="M623" s="394"/>
      <c r="N623" s="430"/>
      <c r="O623" s="395"/>
      <c r="P623" s="529"/>
      <c r="Q623" s="547"/>
      <c r="R623" s="548"/>
      <c r="S623" s="549"/>
      <c r="T623" s="541"/>
      <c r="U623" s="547"/>
      <c r="V623" s="548"/>
      <c r="W623" s="549"/>
      <c r="X623" s="541"/>
      <c r="Y623" s="547"/>
      <c r="Z623" s="548"/>
      <c r="AA623" s="549"/>
      <c r="AB623" s="541"/>
      <c r="AC623" s="547"/>
      <c r="AD623" s="548"/>
      <c r="AE623" s="549"/>
      <c r="AF623" s="541"/>
      <c r="AG623" s="366"/>
      <c r="AH623" s="366"/>
      <c r="AI623" s="366"/>
      <c r="AJ623" s="366"/>
      <c r="AK623" s="394"/>
      <c r="AL623" s="430"/>
      <c r="AM623" s="395"/>
      <c r="AN623" s="529"/>
      <c r="AO623" s="394"/>
      <c r="AP623" s="430"/>
      <c r="AQ623" s="395"/>
      <c r="AR623" s="529"/>
      <c r="AS623" s="542"/>
      <c r="AT623" s="542"/>
    </row>
    <row r="624">
      <c r="A624" s="394"/>
      <c r="B624" s="430"/>
      <c r="C624" s="395"/>
      <c r="D624" s="529"/>
      <c r="E624" s="394"/>
      <c r="F624" s="430"/>
      <c r="G624" s="395"/>
      <c r="H624" s="529"/>
      <c r="I624" s="394"/>
      <c r="J624" s="430"/>
      <c r="K624" s="395"/>
      <c r="L624" s="529"/>
      <c r="M624" s="394"/>
      <c r="N624" s="430"/>
      <c r="O624" s="395"/>
      <c r="P624" s="529"/>
      <c r="Q624" s="547"/>
      <c r="R624" s="548"/>
      <c r="S624" s="549"/>
      <c r="T624" s="541"/>
      <c r="U624" s="547"/>
      <c r="V624" s="548"/>
      <c r="W624" s="549"/>
      <c r="X624" s="541"/>
      <c r="Y624" s="547"/>
      <c r="Z624" s="548"/>
      <c r="AA624" s="549"/>
      <c r="AB624" s="541"/>
      <c r="AC624" s="547"/>
      <c r="AD624" s="548"/>
      <c r="AE624" s="549"/>
      <c r="AF624" s="541"/>
      <c r="AG624" s="366"/>
      <c r="AH624" s="366"/>
      <c r="AI624" s="366"/>
      <c r="AJ624" s="366"/>
      <c r="AK624" s="394"/>
      <c r="AL624" s="430"/>
      <c r="AM624" s="395"/>
      <c r="AN624" s="529"/>
      <c r="AO624" s="394"/>
      <c r="AP624" s="430"/>
      <c r="AQ624" s="395"/>
      <c r="AR624" s="529"/>
      <c r="AS624" s="542"/>
      <c r="AT624" s="542"/>
    </row>
    <row r="625">
      <c r="A625" s="394"/>
      <c r="B625" s="430"/>
      <c r="C625" s="395"/>
      <c r="D625" s="529"/>
      <c r="E625" s="394"/>
      <c r="F625" s="430"/>
      <c r="G625" s="395"/>
      <c r="H625" s="529"/>
      <c r="I625" s="394"/>
      <c r="J625" s="430"/>
      <c r="K625" s="395"/>
      <c r="L625" s="529"/>
      <c r="M625" s="394"/>
      <c r="N625" s="430"/>
      <c r="O625" s="395"/>
      <c r="P625" s="529"/>
      <c r="Q625" s="547"/>
      <c r="R625" s="548"/>
      <c r="S625" s="549"/>
      <c r="T625" s="541"/>
      <c r="U625" s="547"/>
      <c r="V625" s="548"/>
      <c r="W625" s="549"/>
      <c r="X625" s="541"/>
      <c r="Y625" s="547"/>
      <c r="Z625" s="548"/>
      <c r="AA625" s="549"/>
      <c r="AB625" s="541"/>
      <c r="AC625" s="547"/>
      <c r="AD625" s="548"/>
      <c r="AE625" s="549"/>
      <c r="AF625" s="541"/>
      <c r="AG625" s="366"/>
      <c r="AH625" s="366"/>
      <c r="AI625" s="366"/>
      <c r="AJ625" s="366"/>
      <c r="AK625" s="394"/>
      <c r="AL625" s="430"/>
      <c r="AM625" s="395"/>
      <c r="AN625" s="529"/>
      <c r="AO625" s="394"/>
      <c r="AP625" s="430"/>
      <c r="AQ625" s="395"/>
      <c r="AR625" s="529"/>
      <c r="AS625" s="542"/>
      <c r="AT625" s="542"/>
    </row>
    <row r="626">
      <c r="A626" s="394"/>
      <c r="B626" s="430"/>
      <c r="C626" s="395"/>
      <c r="D626" s="529"/>
      <c r="E626" s="394"/>
      <c r="F626" s="430"/>
      <c r="G626" s="395"/>
      <c r="H626" s="529"/>
      <c r="I626" s="394"/>
      <c r="J626" s="430"/>
      <c r="K626" s="395"/>
      <c r="L626" s="529"/>
      <c r="M626" s="394"/>
      <c r="N626" s="430"/>
      <c r="O626" s="395"/>
      <c r="P626" s="529"/>
      <c r="Q626" s="547"/>
      <c r="R626" s="548"/>
      <c r="S626" s="549"/>
      <c r="T626" s="541"/>
      <c r="U626" s="547"/>
      <c r="V626" s="548"/>
      <c r="W626" s="549"/>
      <c r="X626" s="541"/>
      <c r="Y626" s="547"/>
      <c r="Z626" s="548"/>
      <c r="AA626" s="549"/>
      <c r="AB626" s="541"/>
      <c r="AC626" s="547"/>
      <c r="AD626" s="548"/>
      <c r="AE626" s="549"/>
      <c r="AF626" s="541"/>
      <c r="AG626" s="366"/>
      <c r="AH626" s="366"/>
      <c r="AI626" s="366"/>
      <c r="AJ626" s="366"/>
      <c r="AK626" s="394"/>
      <c r="AL626" s="430"/>
      <c r="AM626" s="395"/>
      <c r="AN626" s="529"/>
      <c r="AO626" s="394"/>
      <c r="AP626" s="430"/>
      <c r="AQ626" s="395"/>
      <c r="AR626" s="529"/>
      <c r="AS626" s="542"/>
      <c r="AT626" s="542"/>
    </row>
    <row r="627">
      <c r="A627" s="394"/>
      <c r="B627" s="430"/>
      <c r="C627" s="395"/>
      <c r="D627" s="529"/>
      <c r="E627" s="394"/>
      <c r="F627" s="430"/>
      <c r="G627" s="395"/>
      <c r="H627" s="529"/>
      <c r="I627" s="394"/>
      <c r="J627" s="430"/>
      <c r="K627" s="395"/>
      <c r="L627" s="529"/>
      <c r="M627" s="394"/>
      <c r="N627" s="430"/>
      <c r="O627" s="395"/>
      <c r="P627" s="529"/>
      <c r="Q627" s="547"/>
      <c r="R627" s="548"/>
      <c r="S627" s="549"/>
      <c r="T627" s="541"/>
      <c r="U627" s="547"/>
      <c r="V627" s="548"/>
      <c r="W627" s="549"/>
      <c r="X627" s="541"/>
      <c r="Y627" s="547"/>
      <c r="Z627" s="548"/>
      <c r="AA627" s="549"/>
      <c r="AB627" s="541"/>
      <c r="AC627" s="547"/>
      <c r="AD627" s="548"/>
      <c r="AE627" s="549"/>
      <c r="AF627" s="541"/>
      <c r="AG627" s="366"/>
      <c r="AH627" s="366"/>
      <c r="AI627" s="366"/>
      <c r="AJ627" s="366"/>
      <c r="AK627" s="394"/>
      <c r="AL627" s="430"/>
      <c r="AM627" s="395"/>
      <c r="AN627" s="529"/>
      <c r="AO627" s="394"/>
      <c r="AP627" s="430"/>
      <c r="AQ627" s="395"/>
      <c r="AR627" s="529"/>
      <c r="AS627" s="542"/>
      <c r="AT627" s="542"/>
    </row>
    <row r="628">
      <c r="A628" s="394"/>
      <c r="B628" s="430"/>
      <c r="C628" s="395"/>
      <c r="D628" s="529"/>
      <c r="E628" s="394"/>
      <c r="F628" s="430"/>
      <c r="G628" s="395"/>
      <c r="H628" s="529"/>
      <c r="I628" s="394"/>
      <c r="J628" s="430"/>
      <c r="K628" s="395"/>
      <c r="L628" s="529"/>
      <c r="M628" s="394"/>
      <c r="N628" s="430"/>
      <c r="O628" s="395"/>
      <c r="P628" s="529"/>
      <c r="Q628" s="547"/>
      <c r="R628" s="548"/>
      <c r="S628" s="549"/>
      <c r="T628" s="541"/>
      <c r="U628" s="547"/>
      <c r="V628" s="548"/>
      <c r="W628" s="549"/>
      <c r="X628" s="541"/>
      <c r="Y628" s="547"/>
      <c r="Z628" s="548"/>
      <c r="AA628" s="549"/>
      <c r="AB628" s="541"/>
      <c r="AC628" s="547"/>
      <c r="AD628" s="548"/>
      <c r="AE628" s="549"/>
      <c r="AF628" s="541"/>
      <c r="AG628" s="366"/>
      <c r="AH628" s="366"/>
      <c r="AI628" s="366"/>
      <c r="AJ628" s="366"/>
      <c r="AK628" s="394"/>
      <c r="AL628" s="430"/>
      <c r="AM628" s="395"/>
      <c r="AN628" s="529"/>
      <c r="AO628" s="394"/>
      <c r="AP628" s="430"/>
      <c r="AQ628" s="395"/>
      <c r="AR628" s="529"/>
      <c r="AS628" s="542"/>
      <c r="AT628" s="542"/>
    </row>
    <row r="629">
      <c r="A629" s="394"/>
      <c r="B629" s="430"/>
      <c r="C629" s="395"/>
      <c r="D629" s="529"/>
      <c r="E629" s="394"/>
      <c r="F629" s="430"/>
      <c r="G629" s="395"/>
      <c r="H629" s="529"/>
      <c r="I629" s="394"/>
      <c r="J629" s="430"/>
      <c r="K629" s="395"/>
      <c r="L629" s="529"/>
      <c r="M629" s="394"/>
      <c r="N629" s="430"/>
      <c r="O629" s="395"/>
      <c r="P629" s="529"/>
      <c r="Q629" s="547"/>
      <c r="R629" s="548"/>
      <c r="S629" s="549"/>
      <c r="T629" s="541"/>
      <c r="U629" s="547"/>
      <c r="V629" s="548"/>
      <c r="W629" s="549"/>
      <c r="X629" s="541"/>
      <c r="Y629" s="547"/>
      <c r="Z629" s="548"/>
      <c r="AA629" s="549"/>
      <c r="AB629" s="541"/>
      <c r="AC629" s="547"/>
      <c r="AD629" s="548"/>
      <c r="AE629" s="549"/>
      <c r="AF629" s="541"/>
      <c r="AG629" s="366"/>
      <c r="AH629" s="366"/>
      <c r="AI629" s="366"/>
      <c r="AJ629" s="366"/>
      <c r="AK629" s="394"/>
      <c r="AL629" s="430"/>
      <c r="AM629" s="395"/>
      <c r="AN629" s="529"/>
      <c r="AO629" s="394"/>
      <c r="AP629" s="430"/>
      <c r="AQ629" s="395"/>
      <c r="AR629" s="529"/>
      <c r="AS629" s="542"/>
      <c r="AT629" s="542"/>
    </row>
    <row r="630">
      <c r="A630" s="394"/>
      <c r="B630" s="430"/>
      <c r="C630" s="395"/>
      <c r="D630" s="529"/>
      <c r="E630" s="394"/>
      <c r="F630" s="430"/>
      <c r="G630" s="395"/>
      <c r="H630" s="529"/>
      <c r="I630" s="394"/>
      <c r="J630" s="430"/>
      <c r="K630" s="395"/>
      <c r="L630" s="529"/>
      <c r="M630" s="394"/>
      <c r="N630" s="430"/>
      <c r="O630" s="395"/>
      <c r="P630" s="529"/>
      <c r="Q630" s="547"/>
      <c r="R630" s="548"/>
      <c r="S630" s="549"/>
      <c r="T630" s="541"/>
      <c r="U630" s="547"/>
      <c r="V630" s="548"/>
      <c r="W630" s="549"/>
      <c r="X630" s="541"/>
      <c r="Y630" s="547"/>
      <c r="Z630" s="548"/>
      <c r="AA630" s="549"/>
      <c r="AB630" s="541"/>
      <c r="AC630" s="547"/>
      <c r="AD630" s="548"/>
      <c r="AE630" s="549"/>
      <c r="AF630" s="541"/>
      <c r="AG630" s="366"/>
      <c r="AH630" s="366"/>
      <c r="AI630" s="366"/>
      <c r="AJ630" s="366"/>
      <c r="AK630" s="394"/>
      <c r="AL630" s="430"/>
      <c r="AM630" s="395"/>
      <c r="AN630" s="529"/>
      <c r="AO630" s="394"/>
      <c r="AP630" s="430"/>
      <c r="AQ630" s="395"/>
      <c r="AR630" s="529"/>
      <c r="AS630" s="542"/>
      <c r="AT630" s="542"/>
    </row>
    <row r="631">
      <c r="A631" s="394"/>
      <c r="B631" s="430"/>
      <c r="C631" s="395"/>
      <c r="D631" s="529"/>
      <c r="E631" s="394"/>
      <c r="F631" s="430"/>
      <c r="G631" s="395"/>
      <c r="H631" s="529"/>
      <c r="I631" s="394"/>
      <c r="J631" s="430"/>
      <c r="K631" s="395"/>
      <c r="L631" s="529"/>
      <c r="M631" s="394"/>
      <c r="N631" s="430"/>
      <c r="O631" s="395"/>
      <c r="P631" s="529"/>
      <c r="Q631" s="547"/>
      <c r="R631" s="548"/>
      <c r="S631" s="549"/>
      <c r="T631" s="541"/>
      <c r="U631" s="547"/>
      <c r="V631" s="548"/>
      <c r="W631" s="549"/>
      <c r="X631" s="541"/>
      <c r="Y631" s="547"/>
      <c r="Z631" s="548"/>
      <c r="AA631" s="549"/>
      <c r="AB631" s="541"/>
      <c r="AC631" s="547"/>
      <c r="AD631" s="548"/>
      <c r="AE631" s="549"/>
      <c r="AF631" s="541"/>
      <c r="AG631" s="366"/>
      <c r="AH631" s="366"/>
      <c r="AI631" s="366"/>
      <c r="AJ631" s="366"/>
      <c r="AK631" s="394"/>
      <c r="AL631" s="430"/>
      <c r="AM631" s="395"/>
      <c r="AN631" s="529"/>
      <c r="AO631" s="394"/>
      <c r="AP631" s="430"/>
      <c r="AQ631" s="395"/>
      <c r="AR631" s="529"/>
      <c r="AS631" s="542"/>
      <c r="AT631" s="542"/>
    </row>
    <row r="632">
      <c r="A632" s="394"/>
      <c r="B632" s="430"/>
      <c r="C632" s="395"/>
      <c r="D632" s="529"/>
      <c r="E632" s="394"/>
      <c r="F632" s="430"/>
      <c r="G632" s="395"/>
      <c r="H632" s="529"/>
      <c r="I632" s="394"/>
      <c r="J632" s="430"/>
      <c r="K632" s="395"/>
      <c r="L632" s="529"/>
      <c r="M632" s="394"/>
      <c r="N632" s="430"/>
      <c r="O632" s="395"/>
      <c r="P632" s="529"/>
      <c r="Q632" s="547"/>
      <c r="R632" s="548"/>
      <c r="S632" s="549"/>
      <c r="T632" s="541"/>
      <c r="U632" s="547"/>
      <c r="V632" s="548"/>
      <c r="W632" s="549"/>
      <c r="X632" s="541"/>
      <c r="Y632" s="547"/>
      <c r="Z632" s="548"/>
      <c r="AA632" s="549"/>
      <c r="AB632" s="541"/>
      <c r="AC632" s="547"/>
      <c r="AD632" s="548"/>
      <c r="AE632" s="549"/>
      <c r="AF632" s="541"/>
      <c r="AG632" s="366"/>
      <c r="AH632" s="366"/>
      <c r="AI632" s="366"/>
      <c r="AJ632" s="366"/>
      <c r="AK632" s="394"/>
      <c r="AL632" s="430"/>
      <c r="AM632" s="395"/>
      <c r="AN632" s="529"/>
      <c r="AO632" s="394"/>
      <c r="AP632" s="430"/>
      <c r="AQ632" s="395"/>
      <c r="AR632" s="529"/>
      <c r="AS632" s="542"/>
      <c r="AT632" s="542"/>
    </row>
    <row r="633">
      <c r="A633" s="394"/>
      <c r="B633" s="430"/>
      <c r="C633" s="395"/>
      <c r="D633" s="529"/>
      <c r="E633" s="394"/>
      <c r="F633" s="430"/>
      <c r="G633" s="395"/>
      <c r="H633" s="529"/>
      <c r="I633" s="394"/>
      <c r="J633" s="430"/>
      <c r="K633" s="395"/>
      <c r="L633" s="529"/>
      <c r="M633" s="394"/>
      <c r="N633" s="430"/>
      <c r="O633" s="395"/>
      <c r="P633" s="529"/>
      <c r="Q633" s="547"/>
      <c r="R633" s="548"/>
      <c r="S633" s="549"/>
      <c r="T633" s="541"/>
      <c r="U633" s="547"/>
      <c r="V633" s="548"/>
      <c r="W633" s="549"/>
      <c r="X633" s="541"/>
      <c r="Y633" s="547"/>
      <c r="Z633" s="548"/>
      <c r="AA633" s="549"/>
      <c r="AB633" s="541"/>
      <c r="AC633" s="547"/>
      <c r="AD633" s="548"/>
      <c r="AE633" s="549"/>
      <c r="AF633" s="541"/>
      <c r="AG633" s="366"/>
      <c r="AH633" s="366"/>
      <c r="AI633" s="366"/>
      <c r="AJ633" s="366"/>
      <c r="AK633" s="394"/>
      <c r="AL633" s="430"/>
      <c r="AM633" s="395"/>
      <c r="AN633" s="529"/>
      <c r="AO633" s="394"/>
      <c r="AP633" s="430"/>
      <c r="AQ633" s="395"/>
      <c r="AR633" s="529"/>
      <c r="AS633" s="542"/>
      <c r="AT633" s="542"/>
    </row>
    <row r="634">
      <c r="A634" s="394"/>
      <c r="B634" s="430"/>
      <c r="C634" s="395"/>
      <c r="D634" s="529"/>
      <c r="E634" s="394"/>
      <c r="F634" s="430"/>
      <c r="G634" s="395"/>
      <c r="H634" s="529"/>
      <c r="I634" s="394"/>
      <c r="J634" s="430"/>
      <c r="K634" s="395"/>
      <c r="L634" s="529"/>
      <c r="M634" s="394"/>
      <c r="N634" s="430"/>
      <c r="O634" s="395"/>
      <c r="P634" s="529"/>
      <c r="Q634" s="547"/>
      <c r="R634" s="548"/>
      <c r="S634" s="549"/>
      <c r="T634" s="541"/>
      <c r="U634" s="547"/>
      <c r="V634" s="548"/>
      <c r="W634" s="549"/>
      <c r="X634" s="541"/>
      <c r="Y634" s="547"/>
      <c r="Z634" s="548"/>
      <c r="AA634" s="549"/>
      <c r="AB634" s="541"/>
      <c r="AC634" s="547"/>
      <c r="AD634" s="548"/>
      <c r="AE634" s="549"/>
      <c r="AF634" s="541"/>
      <c r="AG634" s="366"/>
      <c r="AH634" s="366"/>
      <c r="AI634" s="366"/>
      <c r="AJ634" s="366"/>
      <c r="AK634" s="394"/>
      <c r="AL634" s="430"/>
      <c r="AM634" s="395"/>
      <c r="AN634" s="529"/>
      <c r="AO634" s="394"/>
      <c r="AP634" s="430"/>
      <c r="AQ634" s="395"/>
      <c r="AR634" s="529"/>
      <c r="AS634" s="542"/>
      <c r="AT634" s="542"/>
    </row>
    <row r="635">
      <c r="A635" s="394"/>
      <c r="B635" s="430"/>
      <c r="C635" s="395"/>
      <c r="D635" s="529"/>
      <c r="E635" s="394"/>
      <c r="F635" s="430"/>
      <c r="G635" s="395"/>
      <c r="H635" s="529"/>
      <c r="I635" s="394"/>
      <c r="J635" s="430"/>
      <c r="K635" s="395"/>
      <c r="L635" s="529"/>
      <c r="M635" s="394"/>
      <c r="N635" s="430"/>
      <c r="O635" s="395"/>
      <c r="P635" s="529"/>
      <c r="Q635" s="547"/>
      <c r="R635" s="548"/>
      <c r="S635" s="549"/>
      <c r="T635" s="541"/>
      <c r="U635" s="547"/>
      <c r="V635" s="548"/>
      <c r="W635" s="549"/>
      <c r="X635" s="541"/>
      <c r="Y635" s="547"/>
      <c r="Z635" s="548"/>
      <c r="AA635" s="549"/>
      <c r="AB635" s="541"/>
      <c r="AC635" s="547"/>
      <c r="AD635" s="548"/>
      <c r="AE635" s="549"/>
      <c r="AF635" s="541"/>
      <c r="AG635" s="366"/>
      <c r="AH635" s="366"/>
      <c r="AI635" s="366"/>
      <c r="AJ635" s="366"/>
      <c r="AK635" s="394"/>
      <c r="AL635" s="430"/>
      <c r="AM635" s="395"/>
      <c r="AN635" s="529"/>
      <c r="AO635" s="394"/>
      <c r="AP635" s="430"/>
      <c r="AQ635" s="395"/>
      <c r="AR635" s="529"/>
      <c r="AS635" s="542"/>
      <c r="AT635" s="542"/>
    </row>
    <row r="636">
      <c r="A636" s="394"/>
      <c r="B636" s="430"/>
      <c r="C636" s="395"/>
      <c r="D636" s="529"/>
      <c r="E636" s="394"/>
      <c r="F636" s="430"/>
      <c r="G636" s="395"/>
      <c r="H636" s="529"/>
      <c r="I636" s="394"/>
      <c r="J636" s="430"/>
      <c r="K636" s="395"/>
      <c r="L636" s="529"/>
      <c r="M636" s="394"/>
      <c r="N636" s="430"/>
      <c r="O636" s="395"/>
      <c r="P636" s="529"/>
      <c r="Q636" s="547"/>
      <c r="R636" s="548"/>
      <c r="S636" s="549"/>
      <c r="T636" s="541"/>
      <c r="U636" s="547"/>
      <c r="V636" s="548"/>
      <c r="W636" s="549"/>
      <c r="X636" s="541"/>
      <c r="Y636" s="547"/>
      <c r="Z636" s="548"/>
      <c r="AA636" s="549"/>
      <c r="AB636" s="541"/>
      <c r="AC636" s="547"/>
      <c r="AD636" s="548"/>
      <c r="AE636" s="549"/>
      <c r="AF636" s="541"/>
      <c r="AG636" s="366"/>
      <c r="AH636" s="366"/>
      <c r="AI636" s="366"/>
      <c r="AJ636" s="366"/>
      <c r="AK636" s="394"/>
      <c r="AL636" s="430"/>
      <c r="AM636" s="395"/>
      <c r="AN636" s="529"/>
      <c r="AO636" s="394"/>
      <c r="AP636" s="430"/>
      <c r="AQ636" s="395"/>
      <c r="AR636" s="529"/>
      <c r="AS636" s="542"/>
      <c r="AT636" s="542"/>
    </row>
    <row r="637">
      <c r="A637" s="394"/>
      <c r="B637" s="430"/>
      <c r="C637" s="395"/>
      <c r="D637" s="529"/>
      <c r="E637" s="394"/>
      <c r="F637" s="430"/>
      <c r="G637" s="395"/>
      <c r="H637" s="529"/>
      <c r="I637" s="394"/>
      <c r="J637" s="430"/>
      <c r="K637" s="395"/>
      <c r="L637" s="529"/>
      <c r="M637" s="394"/>
      <c r="N637" s="430"/>
      <c r="O637" s="395"/>
      <c r="P637" s="529"/>
      <c r="Q637" s="547"/>
      <c r="R637" s="548"/>
      <c r="S637" s="549"/>
      <c r="T637" s="541"/>
      <c r="U637" s="547"/>
      <c r="V637" s="548"/>
      <c r="W637" s="549"/>
      <c r="X637" s="541"/>
      <c r="Y637" s="547"/>
      <c r="Z637" s="548"/>
      <c r="AA637" s="549"/>
      <c r="AB637" s="541"/>
      <c r="AC637" s="547"/>
      <c r="AD637" s="548"/>
      <c r="AE637" s="549"/>
      <c r="AF637" s="541"/>
      <c r="AG637" s="366"/>
      <c r="AH637" s="366"/>
      <c r="AI637" s="366"/>
      <c r="AJ637" s="366"/>
      <c r="AK637" s="394"/>
      <c r="AL637" s="430"/>
      <c r="AM637" s="395"/>
      <c r="AN637" s="529"/>
      <c r="AO637" s="394"/>
      <c r="AP637" s="430"/>
      <c r="AQ637" s="395"/>
      <c r="AR637" s="529"/>
      <c r="AS637" s="542"/>
      <c r="AT637" s="542"/>
    </row>
    <row r="638">
      <c r="A638" s="394"/>
      <c r="B638" s="430"/>
      <c r="C638" s="395"/>
      <c r="D638" s="529"/>
      <c r="E638" s="394"/>
      <c r="F638" s="430"/>
      <c r="G638" s="395"/>
      <c r="H638" s="529"/>
      <c r="I638" s="394"/>
      <c r="J638" s="430"/>
      <c r="K638" s="395"/>
      <c r="L638" s="529"/>
      <c r="M638" s="394"/>
      <c r="N638" s="430"/>
      <c r="O638" s="395"/>
      <c r="P638" s="529"/>
      <c r="Q638" s="547"/>
      <c r="R638" s="548"/>
      <c r="S638" s="549"/>
      <c r="T638" s="541"/>
      <c r="U638" s="547"/>
      <c r="V638" s="548"/>
      <c r="W638" s="549"/>
      <c r="X638" s="541"/>
      <c r="Y638" s="547"/>
      <c r="Z638" s="548"/>
      <c r="AA638" s="549"/>
      <c r="AB638" s="541"/>
      <c r="AC638" s="547"/>
      <c r="AD638" s="548"/>
      <c r="AE638" s="549"/>
      <c r="AF638" s="541"/>
      <c r="AG638" s="366"/>
      <c r="AH638" s="366"/>
      <c r="AI638" s="366"/>
      <c r="AJ638" s="366"/>
      <c r="AK638" s="394"/>
      <c r="AL638" s="430"/>
      <c r="AM638" s="395"/>
      <c r="AN638" s="529"/>
      <c r="AO638" s="394"/>
      <c r="AP638" s="430"/>
      <c r="AQ638" s="395"/>
      <c r="AR638" s="529"/>
      <c r="AS638" s="542"/>
      <c r="AT638" s="542"/>
    </row>
    <row r="639">
      <c r="A639" s="394"/>
      <c r="B639" s="430"/>
      <c r="C639" s="395"/>
      <c r="D639" s="529"/>
      <c r="E639" s="394"/>
      <c r="F639" s="430"/>
      <c r="G639" s="395"/>
      <c r="H639" s="529"/>
      <c r="I639" s="394"/>
      <c r="J639" s="430"/>
      <c r="K639" s="395"/>
      <c r="L639" s="529"/>
      <c r="M639" s="394"/>
      <c r="N639" s="430"/>
      <c r="O639" s="395"/>
      <c r="P639" s="529"/>
      <c r="Q639" s="547"/>
      <c r="R639" s="548"/>
      <c r="S639" s="549"/>
      <c r="T639" s="541"/>
      <c r="U639" s="547"/>
      <c r="V639" s="548"/>
      <c r="W639" s="549"/>
      <c r="X639" s="541"/>
      <c r="Y639" s="547"/>
      <c r="Z639" s="548"/>
      <c r="AA639" s="549"/>
      <c r="AB639" s="541"/>
      <c r="AC639" s="547"/>
      <c r="AD639" s="548"/>
      <c r="AE639" s="549"/>
      <c r="AF639" s="541"/>
      <c r="AG639" s="366"/>
      <c r="AH639" s="366"/>
      <c r="AI639" s="366"/>
      <c r="AJ639" s="366"/>
      <c r="AK639" s="394"/>
      <c r="AL639" s="430"/>
      <c r="AM639" s="395"/>
      <c r="AN639" s="529"/>
      <c r="AO639" s="394"/>
      <c r="AP639" s="430"/>
      <c r="AQ639" s="395"/>
      <c r="AR639" s="529"/>
      <c r="AS639" s="542"/>
      <c r="AT639" s="542"/>
    </row>
    <row r="640">
      <c r="A640" s="394"/>
      <c r="B640" s="430"/>
      <c r="C640" s="395"/>
      <c r="D640" s="529"/>
      <c r="E640" s="394"/>
      <c r="F640" s="430"/>
      <c r="G640" s="395"/>
      <c r="H640" s="529"/>
      <c r="I640" s="394"/>
      <c r="J640" s="430"/>
      <c r="K640" s="395"/>
      <c r="L640" s="529"/>
      <c r="M640" s="394"/>
      <c r="N640" s="430"/>
      <c r="O640" s="395"/>
      <c r="P640" s="529"/>
      <c r="Q640" s="547"/>
      <c r="R640" s="548"/>
      <c r="S640" s="549"/>
      <c r="T640" s="541"/>
      <c r="U640" s="547"/>
      <c r="V640" s="548"/>
      <c r="W640" s="549"/>
      <c r="X640" s="541"/>
      <c r="Y640" s="547"/>
      <c r="Z640" s="548"/>
      <c r="AA640" s="549"/>
      <c r="AB640" s="541"/>
      <c r="AC640" s="547"/>
      <c r="AD640" s="548"/>
      <c r="AE640" s="549"/>
      <c r="AF640" s="541"/>
      <c r="AG640" s="366"/>
      <c r="AH640" s="366"/>
      <c r="AI640" s="366"/>
      <c r="AJ640" s="366"/>
      <c r="AK640" s="394"/>
      <c r="AL640" s="430"/>
      <c r="AM640" s="395"/>
      <c r="AN640" s="529"/>
      <c r="AO640" s="394"/>
      <c r="AP640" s="430"/>
      <c r="AQ640" s="395"/>
      <c r="AR640" s="529"/>
      <c r="AS640" s="542"/>
      <c r="AT640" s="542"/>
    </row>
    <row r="641">
      <c r="A641" s="394"/>
      <c r="B641" s="430"/>
      <c r="C641" s="395"/>
      <c r="D641" s="529"/>
      <c r="E641" s="394"/>
      <c r="F641" s="430"/>
      <c r="G641" s="395"/>
      <c r="H641" s="529"/>
      <c r="I641" s="394"/>
      <c r="J641" s="430"/>
      <c r="K641" s="395"/>
      <c r="L641" s="529"/>
      <c r="M641" s="394"/>
      <c r="N641" s="430"/>
      <c r="O641" s="395"/>
      <c r="P641" s="529"/>
      <c r="Q641" s="547"/>
      <c r="R641" s="548"/>
      <c r="S641" s="549"/>
      <c r="T641" s="541"/>
      <c r="U641" s="547"/>
      <c r="V641" s="548"/>
      <c r="W641" s="549"/>
      <c r="X641" s="541"/>
      <c r="Y641" s="547"/>
      <c r="Z641" s="548"/>
      <c r="AA641" s="549"/>
      <c r="AB641" s="541"/>
      <c r="AC641" s="547"/>
      <c r="AD641" s="548"/>
      <c r="AE641" s="549"/>
      <c r="AF641" s="541"/>
      <c r="AG641" s="366"/>
      <c r="AH641" s="366"/>
      <c r="AI641" s="366"/>
      <c r="AJ641" s="366"/>
      <c r="AK641" s="394"/>
      <c r="AL641" s="430"/>
      <c r="AM641" s="395"/>
      <c r="AN641" s="529"/>
      <c r="AO641" s="394"/>
      <c r="AP641" s="430"/>
      <c r="AQ641" s="395"/>
      <c r="AR641" s="529"/>
      <c r="AS641" s="542"/>
      <c r="AT641" s="542"/>
    </row>
    <row r="642">
      <c r="A642" s="394"/>
      <c r="B642" s="430"/>
      <c r="C642" s="395"/>
      <c r="D642" s="529"/>
      <c r="E642" s="394"/>
      <c r="F642" s="430"/>
      <c r="G642" s="395"/>
      <c r="H642" s="529"/>
      <c r="I642" s="394"/>
      <c r="J642" s="430"/>
      <c r="K642" s="395"/>
      <c r="L642" s="529"/>
      <c r="M642" s="394"/>
      <c r="N642" s="430"/>
      <c r="O642" s="395"/>
      <c r="P642" s="529"/>
      <c r="Q642" s="547"/>
      <c r="R642" s="548"/>
      <c r="S642" s="549"/>
      <c r="T642" s="541"/>
      <c r="U642" s="547"/>
      <c r="V642" s="548"/>
      <c r="W642" s="549"/>
      <c r="X642" s="541"/>
      <c r="Y642" s="547"/>
      <c r="Z642" s="548"/>
      <c r="AA642" s="549"/>
      <c r="AB642" s="541"/>
      <c r="AC642" s="547"/>
      <c r="AD642" s="548"/>
      <c r="AE642" s="549"/>
      <c r="AF642" s="541"/>
      <c r="AG642" s="366"/>
      <c r="AH642" s="366"/>
      <c r="AI642" s="366"/>
      <c r="AJ642" s="366"/>
      <c r="AK642" s="394"/>
      <c r="AL642" s="430"/>
      <c r="AM642" s="395"/>
      <c r="AN642" s="529"/>
      <c r="AO642" s="394"/>
      <c r="AP642" s="430"/>
      <c r="AQ642" s="395"/>
      <c r="AR642" s="529"/>
      <c r="AS642" s="542"/>
      <c r="AT642" s="542"/>
    </row>
    <row r="643">
      <c r="A643" s="394"/>
      <c r="B643" s="430"/>
      <c r="C643" s="395"/>
      <c r="D643" s="529"/>
      <c r="E643" s="394"/>
      <c r="F643" s="430"/>
      <c r="G643" s="395"/>
      <c r="H643" s="529"/>
      <c r="I643" s="394"/>
      <c r="J643" s="430"/>
      <c r="K643" s="395"/>
      <c r="L643" s="529"/>
      <c r="M643" s="394"/>
      <c r="N643" s="430"/>
      <c r="O643" s="395"/>
      <c r="P643" s="529"/>
      <c r="Q643" s="547"/>
      <c r="R643" s="548"/>
      <c r="S643" s="549"/>
      <c r="T643" s="541"/>
      <c r="U643" s="547"/>
      <c r="V643" s="548"/>
      <c r="W643" s="549"/>
      <c r="X643" s="541"/>
      <c r="Y643" s="547"/>
      <c r="Z643" s="548"/>
      <c r="AA643" s="549"/>
      <c r="AB643" s="541"/>
      <c r="AC643" s="547"/>
      <c r="AD643" s="548"/>
      <c r="AE643" s="549"/>
      <c r="AF643" s="541"/>
      <c r="AG643" s="366"/>
      <c r="AH643" s="366"/>
      <c r="AI643" s="366"/>
      <c r="AJ643" s="366"/>
      <c r="AK643" s="394"/>
      <c r="AL643" s="430"/>
      <c r="AM643" s="395"/>
      <c r="AN643" s="529"/>
      <c r="AO643" s="394"/>
      <c r="AP643" s="430"/>
      <c r="AQ643" s="395"/>
      <c r="AR643" s="529"/>
      <c r="AS643" s="542"/>
      <c r="AT643" s="542"/>
    </row>
    <row r="644">
      <c r="A644" s="394"/>
      <c r="B644" s="430"/>
      <c r="C644" s="395"/>
      <c r="D644" s="529"/>
      <c r="E644" s="394"/>
      <c r="F644" s="430"/>
      <c r="G644" s="395"/>
      <c r="H644" s="529"/>
      <c r="I644" s="394"/>
      <c r="J644" s="430"/>
      <c r="K644" s="395"/>
      <c r="L644" s="529"/>
      <c r="M644" s="394"/>
      <c r="N644" s="430"/>
      <c r="O644" s="395"/>
      <c r="P644" s="529"/>
      <c r="Q644" s="547"/>
      <c r="R644" s="548"/>
      <c r="S644" s="549"/>
      <c r="T644" s="541"/>
      <c r="U644" s="547"/>
      <c r="V644" s="548"/>
      <c r="W644" s="549"/>
      <c r="X644" s="541"/>
      <c r="Y644" s="547"/>
      <c r="Z644" s="548"/>
      <c r="AA644" s="549"/>
      <c r="AB644" s="541"/>
      <c r="AC644" s="547"/>
      <c r="AD644" s="548"/>
      <c r="AE644" s="549"/>
      <c r="AF644" s="541"/>
      <c r="AG644" s="366"/>
      <c r="AH644" s="366"/>
      <c r="AI644" s="366"/>
      <c r="AJ644" s="366"/>
      <c r="AK644" s="394"/>
      <c r="AL644" s="430"/>
      <c r="AM644" s="395"/>
      <c r="AN644" s="529"/>
      <c r="AO644" s="394"/>
      <c r="AP644" s="430"/>
      <c r="AQ644" s="395"/>
      <c r="AR644" s="529"/>
      <c r="AS644" s="542"/>
      <c r="AT644" s="542"/>
    </row>
    <row r="645">
      <c r="A645" s="394"/>
      <c r="B645" s="430"/>
      <c r="C645" s="395"/>
      <c r="D645" s="529"/>
      <c r="E645" s="394"/>
      <c r="F645" s="430"/>
      <c r="G645" s="395"/>
      <c r="H645" s="529"/>
      <c r="I645" s="394"/>
      <c r="J645" s="430"/>
      <c r="K645" s="395"/>
      <c r="L645" s="529"/>
      <c r="M645" s="394"/>
      <c r="N645" s="430"/>
      <c r="O645" s="395"/>
      <c r="P645" s="529"/>
      <c r="Q645" s="547"/>
      <c r="R645" s="548"/>
      <c r="S645" s="549"/>
      <c r="T645" s="541"/>
      <c r="U645" s="547"/>
      <c r="V645" s="548"/>
      <c r="W645" s="549"/>
      <c r="X645" s="541"/>
      <c r="Y645" s="547"/>
      <c r="Z645" s="548"/>
      <c r="AA645" s="549"/>
      <c r="AB645" s="541"/>
      <c r="AC645" s="547"/>
      <c r="AD645" s="548"/>
      <c r="AE645" s="549"/>
      <c r="AF645" s="541"/>
      <c r="AG645" s="366"/>
      <c r="AH645" s="366"/>
      <c r="AI645" s="366"/>
      <c r="AJ645" s="366"/>
      <c r="AK645" s="394"/>
      <c r="AL645" s="430"/>
      <c r="AM645" s="395"/>
      <c r="AN645" s="529"/>
      <c r="AO645" s="394"/>
      <c r="AP645" s="430"/>
      <c r="AQ645" s="395"/>
      <c r="AR645" s="529"/>
      <c r="AS645" s="542"/>
      <c r="AT645" s="542"/>
    </row>
    <row r="646">
      <c r="A646" s="394"/>
      <c r="B646" s="430"/>
      <c r="C646" s="395"/>
      <c r="D646" s="529"/>
      <c r="E646" s="394"/>
      <c r="F646" s="430"/>
      <c r="G646" s="395"/>
      <c r="H646" s="529"/>
      <c r="I646" s="394"/>
      <c r="J646" s="430"/>
      <c r="K646" s="395"/>
      <c r="L646" s="529"/>
      <c r="M646" s="394"/>
      <c r="N646" s="430"/>
      <c r="O646" s="395"/>
      <c r="P646" s="529"/>
      <c r="Q646" s="547"/>
      <c r="R646" s="548"/>
      <c r="S646" s="549"/>
      <c r="T646" s="541"/>
      <c r="U646" s="547"/>
      <c r="V646" s="548"/>
      <c r="W646" s="549"/>
      <c r="X646" s="541"/>
      <c r="Y646" s="547"/>
      <c r="Z646" s="548"/>
      <c r="AA646" s="549"/>
      <c r="AB646" s="541"/>
      <c r="AC646" s="547"/>
      <c r="AD646" s="548"/>
      <c r="AE646" s="549"/>
      <c r="AF646" s="541"/>
      <c r="AG646" s="366"/>
      <c r="AH646" s="366"/>
      <c r="AI646" s="366"/>
      <c r="AJ646" s="366"/>
      <c r="AK646" s="394"/>
      <c r="AL646" s="430"/>
      <c r="AM646" s="395"/>
      <c r="AN646" s="529"/>
      <c r="AO646" s="394"/>
      <c r="AP646" s="430"/>
      <c r="AQ646" s="395"/>
      <c r="AR646" s="529"/>
      <c r="AS646" s="542"/>
      <c r="AT646" s="542"/>
    </row>
    <row r="647">
      <c r="A647" s="394"/>
      <c r="B647" s="430"/>
      <c r="C647" s="395"/>
      <c r="D647" s="529"/>
      <c r="E647" s="394"/>
      <c r="F647" s="430"/>
      <c r="G647" s="395"/>
      <c r="H647" s="529"/>
      <c r="I647" s="394"/>
      <c r="J647" s="430"/>
      <c r="K647" s="395"/>
      <c r="L647" s="529"/>
      <c r="M647" s="394"/>
      <c r="N647" s="430"/>
      <c r="O647" s="395"/>
      <c r="P647" s="529"/>
      <c r="Q647" s="547"/>
      <c r="R647" s="548"/>
      <c r="S647" s="549"/>
      <c r="T647" s="541"/>
      <c r="U647" s="547"/>
      <c r="V647" s="548"/>
      <c r="W647" s="549"/>
      <c r="X647" s="541"/>
      <c r="Y647" s="547"/>
      <c r="Z647" s="548"/>
      <c r="AA647" s="549"/>
      <c r="AB647" s="541"/>
      <c r="AC647" s="547"/>
      <c r="AD647" s="548"/>
      <c r="AE647" s="549"/>
      <c r="AF647" s="541"/>
      <c r="AG647" s="366"/>
      <c r="AH647" s="366"/>
      <c r="AI647" s="366"/>
      <c r="AJ647" s="366"/>
      <c r="AK647" s="394"/>
      <c r="AL647" s="430"/>
      <c r="AM647" s="395"/>
      <c r="AN647" s="529"/>
      <c r="AO647" s="394"/>
      <c r="AP647" s="430"/>
      <c r="AQ647" s="395"/>
      <c r="AR647" s="529"/>
      <c r="AS647" s="542"/>
      <c r="AT647" s="542"/>
    </row>
    <row r="648">
      <c r="A648" s="394"/>
      <c r="B648" s="430"/>
      <c r="C648" s="395"/>
      <c r="D648" s="529"/>
      <c r="E648" s="394"/>
      <c r="F648" s="430"/>
      <c r="G648" s="395"/>
      <c r="H648" s="529"/>
      <c r="I648" s="394"/>
      <c r="J648" s="430"/>
      <c r="K648" s="395"/>
      <c r="L648" s="529"/>
      <c r="M648" s="394"/>
      <c r="N648" s="430"/>
      <c r="O648" s="395"/>
      <c r="P648" s="529"/>
      <c r="Q648" s="547"/>
      <c r="R648" s="548"/>
      <c r="S648" s="549"/>
      <c r="T648" s="541"/>
      <c r="U648" s="547"/>
      <c r="V648" s="548"/>
      <c r="W648" s="549"/>
      <c r="X648" s="541"/>
      <c r="Y648" s="547"/>
      <c r="Z648" s="548"/>
      <c r="AA648" s="549"/>
      <c r="AB648" s="541"/>
      <c r="AC648" s="547"/>
      <c r="AD648" s="548"/>
      <c r="AE648" s="549"/>
      <c r="AF648" s="541"/>
      <c r="AG648" s="366"/>
      <c r="AH648" s="366"/>
      <c r="AI648" s="366"/>
      <c r="AJ648" s="366"/>
      <c r="AK648" s="394"/>
      <c r="AL648" s="430"/>
      <c r="AM648" s="395"/>
      <c r="AN648" s="529"/>
      <c r="AO648" s="394"/>
      <c r="AP648" s="430"/>
      <c r="AQ648" s="395"/>
      <c r="AR648" s="529"/>
      <c r="AS648" s="542"/>
      <c r="AT648" s="542"/>
    </row>
    <row r="649">
      <c r="A649" s="394"/>
      <c r="B649" s="430"/>
      <c r="C649" s="395"/>
      <c r="D649" s="529"/>
      <c r="E649" s="394"/>
      <c r="F649" s="430"/>
      <c r="G649" s="395"/>
      <c r="H649" s="529"/>
      <c r="I649" s="394"/>
      <c r="J649" s="430"/>
      <c r="K649" s="395"/>
      <c r="L649" s="529"/>
      <c r="M649" s="394"/>
      <c r="N649" s="430"/>
      <c r="O649" s="395"/>
      <c r="P649" s="529"/>
      <c r="Q649" s="547"/>
      <c r="R649" s="548"/>
      <c r="S649" s="549"/>
      <c r="T649" s="541"/>
      <c r="U649" s="547"/>
      <c r="V649" s="548"/>
      <c r="W649" s="549"/>
      <c r="X649" s="541"/>
      <c r="Y649" s="547"/>
      <c r="Z649" s="548"/>
      <c r="AA649" s="549"/>
      <c r="AB649" s="541"/>
      <c r="AC649" s="547"/>
      <c r="AD649" s="548"/>
      <c r="AE649" s="549"/>
      <c r="AF649" s="541"/>
      <c r="AG649" s="366"/>
      <c r="AH649" s="366"/>
      <c r="AI649" s="366"/>
      <c r="AJ649" s="366"/>
      <c r="AK649" s="394"/>
      <c r="AL649" s="430"/>
      <c r="AM649" s="395"/>
      <c r="AN649" s="529"/>
      <c r="AO649" s="394"/>
      <c r="AP649" s="430"/>
      <c r="AQ649" s="395"/>
      <c r="AR649" s="529"/>
      <c r="AS649" s="542"/>
      <c r="AT649" s="542"/>
    </row>
    <row r="650">
      <c r="A650" s="394"/>
      <c r="B650" s="430"/>
      <c r="C650" s="395"/>
      <c r="D650" s="529"/>
      <c r="E650" s="394"/>
      <c r="F650" s="430"/>
      <c r="G650" s="395"/>
      <c r="H650" s="529"/>
      <c r="I650" s="394"/>
      <c r="J650" s="430"/>
      <c r="K650" s="395"/>
      <c r="L650" s="529"/>
      <c r="M650" s="394"/>
      <c r="N650" s="430"/>
      <c r="O650" s="395"/>
      <c r="P650" s="529"/>
      <c r="Q650" s="547"/>
      <c r="R650" s="548"/>
      <c r="S650" s="549"/>
      <c r="T650" s="541"/>
      <c r="U650" s="547"/>
      <c r="V650" s="548"/>
      <c r="W650" s="549"/>
      <c r="X650" s="541"/>
      <c r="Y650" s="547"/>
      <c r="Z650" s="548"/>
      <c r="AA650" s="549"/>
      <c r="AB650" s="541"/>
      <c r="AC650" s="547"/>
      <c r="AD650" s="548"/>
      <c r="AE650" s="549"/>
      <c r="AF650" s="541"/>
      <c r="AG650" s="366"/>
      <c r="AH650" s="366"/>
      <c r="AI650" s="366"/>
      <c r="AJ650" s="366"/>
      <c r="AK650" s="394"/>
      <c r="AL650" s="430"/>
      <c r="AM650" s="395"/>
      <c r="AN650" s="529"/>
      <c r="AO650" s="394"/>
      <c r="AP650" s="430"/>
      <c r="AQ650" s="395"/>
      <c r="AR650" s="529"/>
      <c r="AS650" s="542"/>
      <c r="AT650" s="542"/>
    </row>
    <row r="651">
      <c r="A651" s="394"/>
      <c r="B651" s="430"/>
      <c r="C651" s="395"/>
      <c r="D651" s="529"/>
      <c r="E651" s="394"/>
      <c r="F651" s="430"/>
      <c r="G651" s="395"/>
      <c r="H651" s="529"/>
      <c r="I651" s="394"/>
      <c r="J651" s="430"/>
      <c r="K651" s="395"/>
      <c r="L651" s="529"/>
      <c r="M651" s="394"/>
      <c r="N651" s="430"/>
      <c r="O651" s="395"/>
      <c r="P651" s="529"/>
      <c r="Q651" s="547"/>
      <c r="R651" s="548"/>
      <c r="S651" s="549"/>
      <c r="T651" s="541"/>
      <c r="U651" s="547"/>
      <c r="V651" s="548"/>
      <c r="W651" s="549"/>
      <c r="X651" s="541"/>
      <c r="Y651" s="547"/>
      <c r="Z651" s="548"/>
      <c r="AA651" s="549"/>
      <c r="AB651" s="541"/>
      <c r="AC651" s="547"/>
      <c r="AD651" s="548"/>
      <c r="AE651" s="549"/>
      <c r="AF651" s="541"/>
      <c r="AG651" s="366"/>
      <c r="AH651" s="366"/>
      <c r="AI651" s="366"/>
      <c r="AJ651" s="366"/>
      <c r="AK651" s="394"/>
      <c r="AL651" s="430"/>
      <c r="AM651" s="395"/>
      <c r="AN651" s="529"/>
      <c r="AO651" s="394"/>
      <c r="AP651" s="430"/>
      <c r="AQ651" s="395"/>
      <c r="AR651" s="529"/>
      <c r="AS651" s="542"/>
      <c r="AT651" s="542"/>
    </row>
    <row r="652">
      <c r="A652" s="394"/>
      <c r="B652" s="430"/>
      <c r="C652" s="395"/>
      <c r="D652" s="529"/>
      <c r="E652" s="394"/>
      <c r="F652" s="430"/>
      <c r="G652" s="395"/>
      <c r="H652" s="529"/>
      <c r="I652" s="394"/>
      <c r="J652" s="430"/>
      <c r="K652" s="395"/>
      <c r="L652" s="529"/>
      <c r="M652" s="394"/>
      <c r="N652" s="430"/>
      <c r="O652" s="395"/>
      <c r="P652" s="529"/>
      <c r="Q652" s="547"/>
      <c r="R652" s="548"/>
      <c r="S652" s="549"/>
      <c r="T652" s="541"/>
      <c r="U652" s="547"/>
      <c r="V652" s="548"/>
      <c r="W652" s="549"/>
      <c r="X652" s="541"/>
      <c r="Y652" s="547"/>
      <c r="Z652" s="548"/>
      <c r="AA652" s="549"/>
      <c r="AB652" s="541"/>
      <c r="AC652" s="547"/>
      <c r="AD652" s="548"/>
      <c r="AE652" s="549"/>
      <c r="AF652" s="541"/>
      <c r="AG652" s="366"/>
      <c r="AH652" s="366"/>
      <c r="AI652" s="366"/>
      <c r="AJ652" s="366"/>
      <c r="AK652" s="394"/>
      <c r="AL652" s="430"/>
      <c r="AM652" s="395"/>
      <c r="AN652" s="529"/>
      <c r="AO652" s="394"/>
      <c r="AP652" s="430"/>
      <c r="AQ652" s="395"/>
      <c r="AR652" s="529"/>
      <c r="AS652" s="542"/>
      <c r="AT652" s="542"/>
    </row>
    <row r="653">
      <c r="A653" s="394"/>
      <c r="B653" s="430"/>
      <c r="C653" s="395"/>
      <c r="D653" s="529"/>
      <c r="E653" s="394"/>
      <c r="F653" s="430"/>
      <c r="G653" s="395"/>
      <c r="H653" s="529"/>
      <c r="I653" s="394"/>
      <c r="J653" s="430"/>
      <c r="K653" s="395"/>
      <c r="L653" s="529"/>
      <c r="M653" s="394"/>
      <c r="N653" s="430"/>
      <c r="O653" s="395"/>
      <c r="P653" s="529"/>
      <c r="Q653" s="547"/>
      <c r="R653" s="548"/>
      <c r="S653" s="549"/>
      <c r="T653" s="541"/>
      <c r="U653" s="547"/>
      <c r="V653" s="548"/>
      <c r="W653" s="549"/>
      <c r="X653" s="541"/>
      <c r="Y653" s="547"/>
      <c r="Z653" s="548"/>
      <c r="AA653" s="549"/>
      <c r="AB653" s="541"/>
      <c r="AC653" s="547"/>
      <c r="AD653" s="548"/>
      <c r="AE653" s="549"/>
      <c r="AF653" s="541"/>
      <c r="AG653" s="366"/>
      <c r="AH653" s="366"/>
      <c r="AI653" s="366"/>
      <c r="AJ653" s="366"/>
      <c r="AK653" s="394"/>
      <c r="AL653" s="430"/>
      <c r="AM653" s="395"/>
      <c r="AN653" s="529"/>
      <c r="AO653" s="394"/>
      <c r="AP653" s="430"/>
      <c r="AQ653" s="395"/>
      <c r="AR653" s="529"/>
      <c r="AS653" s="542"/>
      <c r="AT653" s="542"/>
    </row>
    <row r="654">
      <c r="A654" s="394"/>
      <c r="B654" s="430"/>
      <c r="C654" s="395"/>
      <c r="D654" s="529"/>
      <c r="E654" s="394"/>
      <c r="F654" s="430"/>
      <c r="G654" s="395"/>
      <c r="H654" s="529"/>
      <c r="I654" s="394"/>
      <c r="J654" s="430"/>
      <c r="K654" s="395"/>
      <c r="L654" s="529"/>
      <c r="M654" s="394"/>
      <c r="N654" s="430"/>
      <c r="O654" s="395"/>
      <c r="P654" s="529"/>
      <c r="Q654" s="547"/>
      <c r="R654" s="548"/>
      <c r="S654" s="549"/>
      <c r="T654" s="541"/>
      <c r="U654" s="547"/>
      <c r="V654" s="548"/>
      <c r="W654" s="549"/>
      <c r="X654" s="541"/>
      <c r="Y654" s="547"/>
      <c r="Z654" s="548"/>
      <c r="AA654" s="549"/>
      <c r="AB654" s="541"/>
      <c r="AC654" s="547"/>
      <c r="AD654" s="548"/>
      <c r="AE654" s="549"/>
      <c r="AF654" s="541"/>
      <c r="AG654" s="366"/>
      <c r="AH654" s="366"/>
      <c r="AI654" s="366"/>
      <c r="AJ654" s="366"/>
      <c r="AK654" s="394"/>
      <c r="AL654" s="430"/>
      <c r="AM654" s="395"/>
      <c r="AN654" s="529"/>
      <c r="AO654" s="394"/>
      <c r="AP654" s="430"/>
      <c r="AQ654" s="395"/>
      <c r="AR654" s="529"/>
      <c r="AS654" s="542"/>
      <c r="AT654" s="542"/>
    </row>
    <row r="655">
      <c r="A655" s="394"/>
      <c r="B655" s="430"/>
      <c r="C655" s="395"/>
      <c r="D655" s="529"/>
      <c r="E655" s="394"/>
      <c r="F655" s="430"/>
      <c r="G655" s="395"/>
      <c r="H655" s="529"/>
      <c r="I655" s="394"/>
      <c r="J655" s="430"/>
      <c r="K655" s="395"/>
      <c r="L655" s="529"/>
      <c r="M655" s="394"/>
      <c r="N655" s="430"/>
      <c r="O655" s="395"/>
      <c r="P655" s="529"/>
      <c r="Q655" s="547"/>
      <c r="R655" s="548"/>
      <c r="S655" s="549"/>
      <c r="T655" s="541"/>
      <c r="U655" s="547"/>
      <c r="V655" s="548"/>
      <c r="W655" s="549"/>
      <c r="X655" s="541"/>
      <c r="Y655" s="547"/>
      <c r="Z655" s="548"/>
      <c r="AA655" s="549"/>
      <c r="AB655" s="541"/>
      <c r="AC655" s="547"/>
      <c r="AD655" s="548"/>
      <c r="AE655" s="549"/>
      <c r="AF655" s="541"/>
      <c r="AG655" s="366"/>
      <c r="AH655" s="366"/>
      <c r="AI655" s="366"/>
      <c r="AJ655" s="366"/>
      <c r="AK655" s="394"/>
      <c r="AL655" s="430"/>
      <c r="AM655" s="395"/>
      <c r="AN655" s="529"/>
      <c r="AO655" s="394"/>
      <c r="AP655" s="430"/>
      <c r="AQ655" s="395"/>
      <c r="AR655" s="529"/>
      <c r="AS655" s="542"/>
      <c r="AT655" s="542"/>
    </row>
    <row r="656">
      <c r="A656" s="394"/>
      <c r="B656" s="430"/>
      <c r="C656" s="395"/>
      <c r="D656" s="529"/>
      <c r="E656" s="394"/>
      <c r="F656" s="430"/>
      <c r="G656" s="395"/>
      <c r="H656" s="529"/>
      <c r="I656" s="394"/>
      <c r="J656" s="430"/>
      <c r="K656" s="395"/>
      <c r="L656" s="529"/>
      <c r="M656" s="394"/>
      <c r="N656" s="430"/>
      <c r="O656" s="395"/>
      <c r="P656" s="529"/>
      <c r="Q656" s="547"/>
      <c r="R656" s="548"/>
      <c r="S656" s="549"/>
      <c r="T656" s="541"/>
      <c r="U656" s="547"/>
      <c r="V656" s="548"/>
      <c r="W656" s="549"/>
      <c r="X656" s="541"/>
      <c r="Y656" s="547"/>
      <c r="Z656" s="548"/>
      <c r="AA656" s="549"/>
      <c r="AB656" s="541"/>
      <c r="AC656" s="547"/>
      <c r="AD656" s="548"/>
      <c r="AE656" s="549"/>
      <c r="AF656" s="541"/>
      <c r="AG656" s="366"/>
      <c r="AH656" s="366"/>
      <c r="AI656" s="366"/>
      <c r="AJ656" s="366"/>
      <c r="AK656" s="394"/>
      <c r="AL656" s="430"/>
      <c r="AM656" s="395"/>
      <c r="AN656" s="529"/>
      <c r="AO656" s="394"/>
      <c r="AP656" s="430"/>
      <c r="AQ656" s="395"/>
      <c r="AR656" s="529"/>
      <c r="AS656" s="542"/>
      <c r="AT656" s="542"/>
    </row>
    <row r="657">
      <c r="A657" s="394"/>
      <c r="B657" s="430"/>
      <c r="C657" s="395"/>
      <c r="D657" s="529"/>
      <c r="E657" s="394"/>
      <c r="F657" s="430"/>
      <c r="G657" s="395"/>
      <c r="H657" s="529"/>
      <c r="I657" s="394"/>
      <c r="J657" s="430"/>
      <c r="K657" s="395"/>
      <c r="L657" s="529"/>
      <c r="M657" s="394"/>
      <c r="N657" s="430"/>
      <c r="O657" s="395"/>
      <c r="P657" s="529"/>
      <c r="Q657" s="547"/>
      <c r="R657" s="548"/>
      <c r="S657" s="549"/>
      <c r="T657" s="541"/>
      <c r="U657" s="547"/>
      <c r="V657" s="548"/>
      <c r="W657" s="549"/>
      <c r="X657" s="541"/>
      <c r="Y657" s="547"/>
      <c r="Z657" s="548"/>
      <c r="AA657" s="549"/>
      <c r="AB657" s="541"/>
      <c r="AC657" s="547"/>
      <c r="AD657" s="548"/>
      <c r="AE657" s="549"/>
      <c r="AF657" s="541"/>
      <c r="AG657" s="366"/>
      <c r="AH657" s="366"/>
      <c r="AI657" s="366"/>
      <c r="AJ657" s="366"/>
      <c r="AK657" s="394"/>
      <c r="AL657" s="430"/>
      <c r="AM657" s="395"/>
      <c r="AN657" s="529"/>
      <c r="AO657" s="394"/>
      <c r="AP657" s="430"/>
      <c r="AQ657" s="395"/>
      <c r="AR657" s="529"/>
      <c r="AS657" s="542"/>
      <c r="AT657" s="542"/>
    </row>
    <row r="658">
      <c r="A658" s="394"/>
      <c r="B658" s="430"/>
      <c r="C658" s="395"/>
      <c r="D658" s="529"/>
      <c r="E658" s="394"/>
      <c r="F658" s="430"/>
      <c r="G658" s="395"/>
      <c r="H658" s="529"/>
      <c r="I658" s="394"/>
      <c r="J658" s="430"/>
      <c r="K658" s="395"/>
      <c r="L658" s="529"/>
      <c r="M658" s="394"/>
      <c r="N658" s="430"/>
      <c r="O658" s="395"/>
      <c r="P658" s="529"/>
      <c r="Q658" s="547"/>
      <c r="R658" s="548"/>
      <c r="S658" s="549"/>
      <c r="T658" s="541"/>
      <c r="U658" s="547"/>
      <c r="V658" s="548"/>
      <c r="W658" s="549"/>
      <c r="X658" s="541"/>
      <c r="Y658" s="547"/>
      <c r="Z658" s="548"/>
      <c r="AA658" s="549"/>
      <c r="AB658" s="541"/>
      <c r="AC658" s="547"/>
      <c r="AD658" s="548"/>
      <c r="AE658" s="549"/>
      <c r="AF658" s="541"/>
      <c r="AG658" s="366"/>
      <c r="AH658" s="366"/>
      <c r="AI658" s="366"/>
      <c r="AJ658" s="366"/>
      <c r="AK658" s="394"/>
      <c r="AL658" s="430"/>
      <c r="AM658" s="395"/>
      <c r="AN658" s="529"/>
      <c r="AO658" s="394"/>
      <c r="AP658" s="430"/>
      <c r="AQ658" s="395"/>
      <c r="AR658" s="529"/>
      <c r="AS658" s="542"/>
      <c r="AT658" s="542"/>
    </row>
    <row r="659">
      <c r="A659" s="394"/>
      <c r="B659" s="430"/>
      <c r="C659" s="395"/>
      <c r="D659" s="529"/>
      <c r="E659" s="394"/>
      <c r="F659" s="430"/>
      <c r="G659" s="395"/>
      <c r="H659" s="529"/>
      <c r="I659" s="394"/>
      <c r="J659" s="430"/>
      <c r="K659" s="395"/>
      <c r="L659" s="529"/>
      <c r="M659" s="394"/>
      <c r="N659" s="430"/>
      <c r="O659" s="395"/>
      <c r="P659" s="529"/>
      <c r="Q659" s="547"/>
      <c r="R659" s="548"/>
      <c r="S659" s="549"/>
      <c r="T659" s="541"/>
      <c r="U659" s="547"/>
      <c r="V659" s="548"/>
      <c r="W659" s="549"/>
      <c r="X659" s="541"/>
      <c r="Y659" s="547"/>
      <c r="Z659" s="548"/>
      <c r="AA659" s="549"/>
      <c r="AB659" s="541"/>
      <c r="AC659" s="547"/>
      <c r="AD659" s="548"/>
      <c r="AE659" s="549"/>
      <c r="AF659" s="541"/>
      <c r="AG659" s="366"/>
      <c r="AH659" s="366"/>
      <c r="AI659" s="366"/>
      <c r="AJ659" s="366"/>
      <c r="AK659" s="394"/>
      <c r="AL659" s="430"/>
      <c r="AM659" s="395"/>
      <c r="AN659" s="529"/>
      <c r="AO659" s="394"/>
      <c r="AP659" s="430"/>
      <c r="AQ659" s="395"/>
      <c r="AR659" s="529"/>
      <c r="AS659" s="542"/>
      <c r="AT659" s="542"/>
    </row>
    <row r="660">
      <c r="A660" s="394"/>
      <c r="B660" s="430"/>
      <c r="C660" s="395"/>
      <c r="D660" s="529"/>
      <c r="E660" s="394"/>
      <c r="F660" s="430"/>
      <c r="G660" s="395"/>
      <c r="H660" s="529"/>
      <c r="I660" s="394"/>
      <c r="J660" s="430"/>
      <c r="K660" s="395"/>
      <c r="L660" s="529"/>
      <c r="M660" s="394"/>
      <c r="N660" s="430"/>
      <c r="O660" s="395"/>
      <c r="P660" s="529"/>
      <c r="Q660" s="547"/>
      <c r="R660" s="548"/>
      <c r="S660" s="549"/>
      <c r="T660" s="541"/>
      <c r="U660" s="547"/>
      <c r="V660" s="548"/>
      <c r="W660" s="549"/>
      <c r="X660" s="541"/>
      <c r="Y660" s="547"/>
      <c r="Z660" s="548"/>
      <c r="AA660" s="549"/>
      <c r="AB660" s="541"/>
      <c r="AC660" s="547"/>
      <c r="AD660" s="548"/>
      <c r="AE660" s="549"/>
      <c r="AF660" s="541"/>
      <c r="AG660" s="366"/>
      <c r="AH660" s="366"/>
      <c r="AI660" s="366"/>
      <c r="AJ660" s="366"/>
      <c r="AK660" s="394"/>
      <c r="AL660" s="430"/>
      <c r="AM660" s="395"/>
      <c r="AN660" s="529"/>
      <c r="AO660" s="394"/>
      <c r="AP660" s="430"/>
      <c r="AQ660" s="395"/>
      <c r="AR660" s="529"/>
      <c r="AS660" s="542"/>
      <c r="AT660" s="542"/>
    </row>
    <row r="661">
      <c r="A661" s="394"/>
      <c r="B661" s="430"/>
      <c r="C661" s="395"/>
      <c r="D661" s="529"/>
      <c r="E661" s="394"/>
      <c r="F661" s="430"/>
      <c r="G661" s="395"/>
      <c r="H661" s="529"/>
      <c r="I661" s="394"/>
      <c r="J661" s="430"/>
      <c r="K661" s="395"/>
      <c r="L661" s="529"/>
      <c r="M661" s="394"/>
      <c r="N661" s="430"/>
      <c r="O661" s="395"/>
      <c r="P661" s="529"/>
      <c r="Q661" s="547"/>
      <c r="R661" s="548"/>
      <c r="S661" s="549"/>
      <c r="T661" s="541"/>
      <c r="U661" s="547"/>
      <c r="V661" s="548"/>
      <c r="W661" s="549"/>
      <c r="X661" s="541"/>
      <c r="Y661" s="547"/>
      <c r="Z661" s="548"/>
      <c r="AA661" s="549"/>
      <c r="AB661" s="541"/>
      <c r="AC661" s="547"/>
      <c r="AD661" s="548"/>
      <c r="AE661" s="549"/>
      <c r="AF661" s="541"/>
      <c r="AG661" s="366"/>
      <c r="AH661" s="366"/>
      <c r="AI661" s="366"/>
      <c r="AJ661" s="366"/>
      <c r="AK661" s="394"/>
      <c r="AL661" s="430"/>
      <c r="AM661" s="395"/>
      <c r="AN661" s="529"/>
      <c r="AO661" s="394"/>
      <c r="AP661" s="430"/>
      <c r="AQ661" s="395"/>
      <c r="AR661" s="529"/>
      <c r="AS661" s="542"/>
      <c r="AT661" s="542"/>
    </row>
    <row r="662">
      <c r="A662" s="394"/>
      <c r="B662" s="430"/>
      <c r="C662" s="395"/>
      <c r="D662" s="529"/>
      <c r="E662" s="394"/>
      <c r="F662" s="430"/>
      <c r="G662" s="395"/>
      <c r="H662" s="529"/>
      <c r="I662" s="394"/>
      <c r="J662" s="430"/>
      <c r="K662" s="395"/>
      <c r="L662" s="529"/>
      <c r="M662" s="394"/>
      <c r="N662" s="430"/>
      <c r="O662" s="395"/>
      <c r="P662" s="529"/>
      <c r="Q662" s="547"/>
      <c r="R662" s="548"/>
      <c r="S662" s="549"/>
      <c r="T662" s="541"/>
      <c r="U662" s="547"/>
      <c r="V662" s="548"/>
      <c r="W662" s="549"/>
      <c r="X662" s="541"/>
      <c r="Y662" s="547"/>
      <c r="Z662" s="548"/>
      <c r="AA662" s="549"/>
      <c r="AB662" s="541"/>
      <c r="AC662" s="547"/>
      <c r="AD662" s="548"/>
      <c r="AE662" s="549"/>
      <c r="AF662" s="541"/>
      <c r="AG662" s="366"/>
      <c r="AH662" s="366"/>
      <c r="AI662" s="366"/>
      <c r="AJ662" s="366"/>
      <c r="AK662" s="394"/>
      <c r="AL662" s="430"/>
      <c r="AM662" s="395"/>
      <c r="AN662" s="529"/>
      <c r="AO662" s="394"/>
      <c r="AP662" s="430"/>
      <c r="AQ662" s="395"/>
      <c r="AR662" s="529"/>
      <c r="AS662" s="542"/>
      <c r="AT662" s="542"/>
    </row>
    <row r="663">
      <c r="A663" s="394"/>
      <c r="B663" s="430"/>
      <c r="C663" s="395"/>
      <c r="D663" s="529"/>
      <c r="E663" s="394"/>
      <c r="F663" s="430"/>
      <c r="G663" s="395"/>
      <c r="H663" s="529"/>
      <c r="I663" s="394"/>
      <c r="J663" s="430"/>
      <c r="K663" s="395"/>
      <c r="L663" s="529"/>
      <c r="M663" s="394"/>
      <c r="N663" s="430"/>
      <c r="O663" s="395"/>
      <c r="P663" s="529"/>
      <c r="Q663" s="547"/>
      <c r="R663" s="548"/>
      <c r="S663" s="549"/>
      <c r="T663" s="541"/>
      <c r="U663" s="547"/>
      <c r="V663" s="548"/>
      <c r="W663" s="549"/>
      <c r="X663" s="541"/>
      <c r="Y663" s="547"/>
      <c r="Z663" s="548"/>
      <c r="AA663" s="549"/>
      <c r="AB663" s="541"/>
      <c r="AC663" s="547"/>
      <c r="AD663" s="548"/>
      <c r="AE663" s="549"/>
      <c r="AF663" s="541"/>
      <c r="AG663" s="366"/>
      <c r="AH663" s="366"/>
      <c r="AI663" s="366"/>
      <c r="AJ663" s="366"/>
      <c r="AK663" s="394"/>
      <c r="AL663" s="430"/>
      <c r="AM663" s="395"/>
      <c r="AN663" s="529"/>
      <c r="AO663" s="394"/>
      <c r="AP663" s="430"/>
      <c r="AQ663" s="395"/>
      <c r="AR663" s="529"/>
      <c r="AS663" s="542"/>
      <c r="AT663" s="542"/>
    </row>
    <row r="664">
      <c r="A664" s="394"/>
      <c r="B664" s="430"/>
      <c r="C664" s="395"/>
      <c r="D664" s="529"/>
      <c r="E664" s="394"/>
      <c r="F664" s="430"/>
      <c r="G664" s="395"/>
      <c r="H664" s="529"/>
      <c r="I664" s="394"/>
      <c r="J664" s="430"/>
      <c r="K664" s="395"/>
      <c r="L664" s="529"/>
      <c r="M664" s="394"/>
      <c r="N664" s="430"/>
      <c r="O664" s="395"/>
      <c r="P664" s="529"/>
      <c r="Q664" s="547"/>
      <c r="R664" s="548"/>
      <c r="S664" s="549"/>
      <c r="T664" s="541"/>
      <c r="U664" s="547"/>
      <c r="V664" s="548"/>
      <c r="W664" s="549"/>
      <c r="X664" s="541"/>
      <c r="Y664" s="547"/>
      <c r="Z664" s="548"/>
      <c r="AA664" s="549"/>
      <c r="AB664" s="541"/>
      <c r="AC664" s="547"/>
      <c r="AD664" s="548"/>
      <c r="AE664" s="549"/>
      <c r="AF664" s="541"/>
      <c r="AG664" s="366"/>
      <c r="AH664" s="366"/>
      <c r="AI664" s="366"/>
      <c r="AJ664" s="366"/>
      <c r="AK664" s="394"/>
      <c r="AL664" s="430"/>
      <c r="AM664" s="395"/>
      <c r="AN664" s="529"/>
      <c r="AO664" s="394"/>
      <c r="AP664" s="430"/>
      <c r="AQ664" s="395"/>
      <c r="AR664" s="529"/>
      <c r="AS664" s="542"/>
      <c r="AT664" s="542"/>
    </row>
    <row r="665">
      <c r="A665" s="394"/>
      <c r="B665" s="430"/>
      <c r="C665" s="395"/>
      <c r="D665" s="529"/>
      <c r="E665" s="394"/>
      <c r="F665" s="430"/>
      <c r="G665" s="395"/>
      <c r="H665" s="529"/>
      <c r="I665" s="394"/>
      <c r="J665" s="430"/>
      <c r="K665" s="395"/>
      <c r="L665" s="529"/>
      <c r="M665" s="394"/>
      <c r="N665" s="430"/>
      <c r="O665" s="395"/>
      <c r="P665" s="529"/>
      <c r="Q665" s="547"/>
      <c r="R665" s="548"/>
      <c r="S665" s="549"/>
      <c r="T665" s="541"/>
      <c r="U665" s="547"/>
      <c r="V665" s="548"/>
      <c r="W665" s="549"/>
      <c r="X665" s="541"/>
      <c r="Y665" s="547"/>
      <c r="Z665" s="548"/>
      <c r="AA665" s="549"/>
      <c r="AB665" s="541"/>
      <c r="AC665" s="547"/>
      <c r="AD665" s="548"/>
      <c r="AE665" s="549"/>
      <c r="AF665" s="541"/>
      <c r="AG665" s="366"/>
      <c r="AH665" s="366"/>
      <c r="AI665" s="366"/>
      <c r="AJ665" s="366"/>
      <c r="AK665" s="394"/>
      <c r="AL665" s="430"/>
      <c r="AM665" s="395"/>
      <c r="AN665" s="529"/>
      <c r="AO665" s="394"/>
      <c r="AP665" s="430"/>
      <c r="AQ665" s="395"/>
      <c r="AR665" s="529"/>
      <c r="AS665" s="542"/>
      <c r="AT665" s="542"/>
    </row>
    <row r="666">
      <c r="A666" s="394"/>
      <c r="B666" s="430"/>
      <c r="C666" s="395"/>
      <c r="D666" s="529"/>
      <c r="E666" s="394"/>
      <c r="F666" s="430"/>
      <c r="G666" s="395"/>
      <c r="H666" s="529"/>
      <c r="I666" s="394"/>
      <c r="J666" s="430"/>
      <c r="K666" s="395"/>
      <c r="L666" s="529"/>
      <c r="M666" s="394"/>
      <c r="N666" s="430"/>
      <c r="O666" s="395"/>
      <c r="P666" s="529"/>
      <c r="Q666" s="547"/>
      <c r="R666" s="548"/>
      <c r="S666" s="549"/>
      <c r="T666" s="541"/>
      <c r="U666" s="547"/>
      <c r="V666" s="548"/>
      <c r="W666" s="549"/>
      <c r="X666" s="541"/>
      <c r="Y666" s="547"/>
      <c r="Z666" s="548"/>
      <c r="AA666" s="549"/>
      <c r="AB666" s="541"/>
      <c r="AC666" s="547"/>
      <c r="AD666" s="548"/>
      <c r="AE666" s="549"/>
      <c r="AF666" s="541"/>
      <c r="AG666" s="366"/>
      <c r="AH666" s="366"/>
      <c r="AI666" s="366"/>
      <c r="AJ666" s="366"/>
      <c r="AK666" s="394"/>
      <c r="AL666" s="430"/>
      <c r="AM666" s="395"/>
      <c r="AN666" s="529"/>
      <c r="AO666" s="394"/>
      <c r="AP666" s="430"/>
      <c r="AQ666" s="395"/>
      <c r="AR666" s="529"/>
      <c r="AS666" s="542"/>
      <c r="AT666" s="542"/>
    </row>
    <row r="667">
      <c r="A667" s="394"/>
      <c r="B667" s="430"/>
      <c r="C667" s="395"/>
      <c r="D667" s="529"/>
      <c r="E667" s="394"/>
      <c r="F667" s="430"/>
      <c r="G667" s="395"/>
      <c r="H667" s="529"/>
      <c r="I667" s="394"/>
      <c r="J667" s="430"/>
      <c r="K667" s="395"/>
      <c r="L667" s="529"/>
      <c r="M667" s="394"/>
      <c r="N667" s="430"/>
      <c r="O667" s="395"/>
      <c r="P667" s="529"/>
      <c r="Q667" s="547"/>
      <c r="R667" s="548"/>
      <c r="S667" s="549"/>
      <c r="T667" s="541"/>
      <c r="U667" s="547"/>
      <c r="V667" s="548"/>
      <c r="W667" s="549"/>
      <c r="X667" s="541"/>
      <c r="Y667" s="547"/>
      <c r="Z667" s="548"/>
      <c r="AA667" s="549"/>
      <c r="AB667" s="541"/>
      <c r="AC667" s="547"/>
      <c r="AD667" s="548"/>
      <c r="AE667" s="549"/>
      <c r="AF667" s="541"/>
      <c r="AG667" s="366"/>
      <c r="AH667" s="366"/>
      <c r="AI667" s="366"/>
      <c r="AJ667" s="366"/>
      <c r="AK667" s="394"/>
      <c r="AL667" s="430"/>
      <c r="AM667" s="395"/>
      <c r="AN667" s="529"/>
      <c r="AO667" s="394"/>
      <c r="AP667" s="430"/>
      <c r="AQ667" s="395"/>
      <c r="AR667" s="529"/>
      <c r="AS667" s="542"/>
      <c r="AT667" s="542"/>
    </row>
    <row r="668">
      <c r="A668" s="394"/>
      <c r="B668" s="430"/>
      <c r="C668" s="395"/>
      <c r="D668" s="529"/>
      <c r="E668" s="394"/>
      <c r="F668" s="430"/>
      <c r="G668" s="395"/>
      <c r="H668" s="529"/>
      <c r="I668" s="394"/>
      <c r="J668" s="430"/>
      <c r="K668" s="395"/>
      <c r="L668" s="529"/>
      <c r="M668" s="394"/>
      <c r="N668" s="430"/>
      <c r="O668" s="395"/>
      <c r="P668" s="529"/>
      <c r="Q668" s="547"/>
      <c r="R668" s="548"/>
      <c r="S668" s="549"/>
      <c r="T668" s="541"/>
      <c r="U668" s="547"/>
      <c r="V668" s="548"/>
      <c r="W668" s="549"/>
      <c r="X668" s="541"/>
      <c r="Y668" s="547"/>
      <c r="Z668" s="548"/>
      <c r="AA668" s="549"/>
      <c r="AB668" s="541"/>
      <c r="AC668" s="547"/>
      <c r="AD668" s="548"/>
      <c r="AE668" s="549"/>
      <c r="AF668" s="541"/>
      <c r="AG668" s="366"/>
      <c r="AH668" s="366"/>
      <c r="AI668" s="366"/>
      <c r="AJ668" s="366"/>
      <c r="AK668" s="394"/>
      <c r="AL668" s="430"/>
      <c r="AM668" s="395"/>
      <c r="AN668" s="529"/>
      <c r="AO668" s="394"/>
      <c r="AP668" s="430"/>
      <c r="AQ668" s="395"/>
      <c r="AR668" s="529"/>
      <c r="AS668" s="542"/>
      <c r="AT668" s="542"/>
    </row>
    <row r="669">
      <c r="A669" s="394"/>
      <c r="B669" s="430"/>
      <c r="C669" s="395"/>
      <c r="D669" s="529"/>
      <c r="E669" s="394"/>
      <c r="F669" s="430"/>
      <c r="G669" s="395"/>
      <c r="H669" s="529"/>
      <c r="I669" s="394"/>
      <c r="J669" s="430"/>
      <c r="K669" s="395"/>
      <c r="L669" s="529"/>
      <c r="M669" s="394"/>
      <c r="N669" s="430"/>
      <c r="O669" s="395"/>
      <c r="P669" s="529"/>
      <c r="Q669" s="547"/>
      <c r="R669" s="548"/>
      <c r="S669" s="549"/>
      <c r="T669" s="541"/>
      <c r="U669" s="547"/>
      <c r="V669" s="548"/>
      <c r="W669" s="549"/>
      <c r="X669" s="541"/>
      <c r="Y669" s="547"/>
      <c r="Z669" s="548"/>
      <c r="AA669" s="549"/>
      <c r="AB669" s="541"/>
      <c r="AC669" s="547"/>
      <c r="AD669" s="548"/>
      <c r="AE669" s="549"/>
      <c r="AF669" s="541"/>
      <c r="AG669" s="366"/>
      <c r="AH669" s="366"/>
      <c r="AI669" s="366"/>
      <c r="AJ669" s="366"/>
      <c r="AK669" s="394"/>
      <c r="AL669" s="430"/>
      <c r="AM669" s="395"/>
      <c r="AN669" s="529"/>
      <c r="AO669" s="394"/>
      <c r="AP669" s="430"/>
      <c r="AQ669" s="395"/>
      <c r="AR669" s="529"/>
      <c r="AS669" s="542"/>
      <c r="AT669" s="542"/>
    </row>
    <row r="670">
      <c r="A670" s="394"/>
      <c r="B670" s="430"/>
      <c r="C670" s="395"/>
      <c r="D670" s="529"/>
      <c r="E670" s="394"/>
      <c r="F670" s="430"/>
      <c r="G670" s="395"/>
      <c r="H670" s="529"/>
      <c r="I670" s="394"/>
      <c r="J670" s="430"/>
      <c r="K670" s="395"/>
      <c r="L670" s="529"/>
      <c r="M670" s="394"/>
      <c r="N670" s="430"/>
      <c r="O670" s="395"/>
      <c r="P670" s="529"/>
      <c r="Q670" s="547"/>
      <c r="R670" s="548"/>
      <c r="S670" s="549"/>
      <c r="T670" s="541"/>
      <c r="U670" s="547"/>
      <c r="V670" s="548"/>
      <c r="W670" s="549"/>
      <c r="X670" s="541"/>
      <c r="Y670" s="547"/>
      <c r="Z670" s="548"/>
      <c r="AA670" s="549"/>
      <c r="AB670" s="541"/>
      <c r="AC670" s="547"/>
      <c r="AD670" s="548"/>
      <c r="AE670" s="549"/>
      <c r="AF670" s="541"/>
      <c r="AG670" s="366"/>
      <c r="AH670" s="366"/>
      <c r="AI670" s="366"/>
      <c r="AJ670" s="366"/>
      <c r="AK670" s="394"/>
      <c r="AL670" s="430"/>
      <c r="AM670" s="395"/>
      <c r="AN670" s="529"/>
      <c r="AO670" s="394"/>
      <c r="AP670" s="430"/>
      <c r="AQ670" s="395"/>
      <c r="AR670" s="529"/>
      <c r="AS670" s="542"/>
      <c r="AT670" s="542"/>
    </row>
    <row r="671">
      <c r="A671" s="394"/>
      <c r="B671" s="430"/>
      <c r="C671" s="395"/>
      <c r="D671" s="529"/>
      <c r="E671" s="394"/>
      <c r="F671" s="430"/>
      <c r="G671" s="395"/>
      <c r="H671" s="529"/>
      <c r="I671" s="394"/>
      <c r="J671" s="430"/>
      <c r="K671" s="395"/>
      <c r="L671" s="529"/>
      <c r="M671" s="394"/>
      <c r="N671" s="430"/>
      <c r="O671" s="395"/>
      <c r="P671" s="529"/>
      <c r="Q671" s="547"/>
      <c r="R671" s="548"/>
      <c r="S671" s="549"/>
      <c r="T671" s="541"/>
      <c r="U671" s="547"/>
      <c r="V671" s="548"/>
      <c r="W671" s="549"/>
      <c r="X671" s="541"/>
      <c r="Y671" s="547"/>
      <c r="Z671" s="548"/>
      <c r="AA671" s="549"/>
      <c r="AB671" s="541"/>
      <c r="AC671" s="547"/>
      <c r="AD671" s="548"/>
      <c r="AE671" s="549"/>
      <c r="AF671" s="541"/>
      <c r="AG671" s="366"/>
      <c r="AH671" s="366"/>
      <c r="AI671" s="366"/>
      <c r="AJ671" s="366"/>
      <c r="AK671" s="394"/>
      <c r="AL671" s="430"/>
      <c r="AM671" s="395"/>
      <c r="AN671" s="529"/>
      <c r="AO671" s="394"/>
      <c r="AP671" s="430"/>
      <c r="AQ671" s="395"/>
      <c r="AR671" s="529"/>
      <c r="AS671" s="542"/>
      <c r="AT671" s="542"/>
    </row>
    <row r="672">
      <c r="A672" s="394"/>
      <c r="B672" s="430"/>
      <c r="C672" s="395"/>
      <c r="D672" s="529"/>
      <c r="E672" s="394"/>
      <c r="F672" s="430"/>
      <c r="G672" s="395"/>
      <c r="H672" s="529"/>
      <c r="I672" s="394"/>
      <c r="J672" s="430"/>
      <c r="K672" s="395"/>
      <c r="L672" s="529"/>
      <c r="M672" s="394"/>
      <c r="N672" s="430"/>
      <c r="O672" s="395"/>
      <c r="P672" s="529"/>
      <c r="Q672" s="547"/>
      <c r="R672" s="548"/>
      <c r="S672" s="549"/>
      <c r="T672" s="541"/>
      <c r="U672" s="547"/>
      <c r="V672" s="548"/>
      <c r="W672" s="549"/>
      <c r="X672" s="541"/>
      <c r="Y672" s="547"/>
      <c r="Z672" s="548"/>
      <c r="AA672" s="549"/>
      <c r="AB672" s="541"/>
      <c r="AC672" s="547"/>
      <c r="AD672" s="548"/>
      <c r="AE672" s="549"/>
      <c r="AF672" s="541"/>
      <c r="AG672" s="366"/>
      <c r="AH672" s="366"/>
      <c r="AI672" s="366"/>
      <c r="AJ672" s="366"/>
      <c r="AK672" s="394"/>
      <c r="AL672" s="430"/>
      <c r="AM672" s="395"/>
      <c r="AN672" s="529"/>
      <c r="AO672" s="394"/>
      <c r="AP672" s="430"/>
      <c r="AQ672" s="395"/>
      <c r="AR672" s="529"/>
      <c r="AS672" s="542"/>
      <c r="AT672" s="542"/>
    </row>
    <row r="673">
      <c r="A673" s="394"/>
      <c r="B673" s="430"/>
      <c r="C673" s="395"/>
      <c r="D673" s="529"/>
      <c r="E673" s="394"/>
      <c r="F673" s="430"/>
      <c r="G673" s="395"/>
      <c r="H673" s="529"/>
      <c r="I673" s="394"/>
      <c r="J673" s="430"/>
      <c r="K673" s="395"/>
      <c r="L673" s="529"/>
      <c r="M673" s="394"/>
      <c r="N673" s="430"/>
      <c r="O673" s="395"/>
      <c r="P673" s="529"/>
      <c r="Q673" s="547"/>
      <c r="R673" s="548"/>
      <c r="S673" s="549"/>
      <c r="T673" s="541"/>
      <c r="U673" s="547"/>
      <c r="V673" s="548"/>
      <c r="W673" s="549"/>
      <c r="X673" s="541"/>
      <c r="Y673" s="547"/>
      <c r="Z673" s="548"/>
      <c r="AA673" s="549"/>
      <c r="AB673" s="541"/>
      <c r="AC673" s="547"/>
      <c r="AD673" s="548"/>
      <c r="AE673" s="549"/>
      <c r="AF673" s="541"/>
      <c r="AG673" s="366"/>
      <c r="AH673" s="366"/>
      <c r="AI673" s="366"/>
      <c r="AJ673" s="366"/>
      <c r="AK673" s="394"/>
      <c r="AL673" s="430"/>
      <c r="AM673" s="395"/>
      <c r="AN673" s="529"/>
      <c r="AO673" s="394"/>
      <c r="AP673" s="430"/>
      <c r="AQ673" s="395"/>
      <c r="AR673" s="529"/>
      <c r="AS673" s="542"/>
      <c r="AT673" s="542"/>
    </row>
    <row r="674">
      <c r="A674" s="394"/>
      <c r="B674" s="430"/>
      <c r="C674" s="395"/>
      <c r="D674" s="529"/>
      <c r="E674" s="394"/>
      <c r="F674" s="430"/>
      <c r="G674" s="395"/>
      <c r="H674" s="529"/>
      <c r="I674" s="394"/>
      <c r="J674" s="430"/>
      <c r="K674" s="395"/>
      <c r="L674" s="529"/>
      <c r="M674" s="394"/>
      <c r="N674" s="430"/>
      <c r="O674" s="395"/>
      <c r="P674" s="529"/>
      <c r="Q674" s="547"/>
      <c r="R674" s="548"/>
      <c r="S674" s="549"/>
      <c r="T674" s="541"/>
      <c r="U674" s="547"/>
      <c r="V674" s="548"/>
      <c r="W674" s="549"/>
      <c r="X674" s="541"/>
      <c r="Y674" s="547"/>
      <c r="Z674" s="548"/>
      <c r="AA674" s="549"/>
      <c r="AB674" s="541"/>
      <c r="AC674" s="547"/>
      <c r="AD674" s="548"/>
      <c r="AE674" s="549"/>
      <c r="AF674" s="541"/>
      <c r="AG674" s="366"/>
      <c r="AH674" s="366"/>
      <c r="AI674" s="366"/>
      <c r="AJ674" s="366"/>
      <c r="AK674" s="394"/>
      <c r="AL674" s="430"/>
      <c r="AM674" s="395"/>
      <c r="AN674" s="529"/>
      <c r="AO674" s="394"/>
      <c r="AP674" s="430"/>
      <c r="AQ674" s="395"/>
      <c r="AR674" s="529"/>
      <c r="AS674" s="542"/>
      <c r="AT674" s="542"/>
    </row>
    <row r="675">
      <c r="A675" s="394"/>
      <c r="B675" s="430"/>
      <c r="C675" s="395"/>
      <c r="D675" s="529"/>
      <c r="E675" s="394"/>
      <c r="F675" s="430"/>
      <c r="G675" s="395"/>
      <c r="H675" s="529"/>
      <c r="I675" s="394"/>
      <c r="J675" s="430"/>
      <c r="K675" s="395"/>
      <c r="L675" s="529"/>
      <c r="M675" s="394"/>
      <c r="N675" s="430"/>
      <c r="O675" s="395"/>
      <c r="P675" s="529"/>
      <c r="Q675" s="547"/>
      <c r="R675" s="548"/>
      <c r="S675" s="549"/>
      <c r="T675" s="541"/>
      <c r="U675" s="547"/>
      <c r="V675" s="548"/>
      <c r="W675" s="549"/>
      <c r="X675" s="541"/>
      <c r="Y675" s="547"/>
      <c r="Z675" s="548"/>
      <c r="AA675" s="549"/>
      <c r="AB675" s="541"/>
      <c r="AC675" s="547"/>
      <c r="AD675" s="548"/>
      <c r="AE675" s="549"/>
      <c r="AF675" s="541"/>
      <c r="AG675" s="366"/>
      <c r="AH675" s="366"/>
      <c r="AI675" s="366"/>
      <c r="AJ675" s="366"/>
      <c r="AK675" s="394"/>
      <c r="AL675" s="430"/>
      <c r="AM675" s="395"/>
      <c r="AN675" s="529"/>
      <c r="AO675" s="394"/>
      <c r="AP675" s="430"/>
      <c r="AQ675" s="395"/>
      <c r="AR675" s="529"/>
      <c r="AS675" s="542"/>
      <c r="AT675" s="542"/>
    </row>
    <row r="676">
      <c r="A676" s="394"/>
      <c r="B676" s="430"/>
      <c r="C676" s="395"/>
      <c r="D676" s="529"/>
      <c r="E676" s="394"/>
      <c r="F676" s="430"/>
      <c r="G676" s="395"/>
      <c r="H676" s="529"/>
      <c r="I676" s="394"/>
      <c r="J676" s="430"/>
      <c r="K676" s="395"/>
      <c r="L676" s="529"/>
      <c r="M676" s="394"/>
      <c r="N676" s="430"/>
      <c r="O676" s="395"/>
      <c r="P676" s="529"/>
      <c r="Q676" s="547"/>
      <c r="R676" s="548"/>
      <c r="S676" s="549"/>
      <c r="T676" s="541"/>
      <c r="U676" s="547"/>
      <c r="V676" s="548"/>
      <c r="W676" s="549"/>
      <c r="X676" s="541"/>
      <c r="Y676" s="547"/>
      <c r="Z676" s="548"/>
      <c r="AA676" s="549"/>
      <c r="AB676" s="541"/>
      <c r="AC676" s="547"/>
      <c r="AD676" s="548"/>
      <c r="AE676" s="549"/>
      <c r="AF676" s="541"/>
      <c r="AG676" s="366"/>
      <c r="AH676" s="366"/>
      <c r="AI676" s="366"/>
      <c r="AJ676" s="366"/>
      <c r="AK676" s="394"/>
      <c r="AL676" s="430"/>
      <c r="AM676" s="395"/>
      <c r="AN676" s="529"/>
      <c r="AO676" s="394"/>
      <c r="AP676" s="430"/>
      <c r="AQ676" s="395"/>
      <c r="AR676" s="529"/>
      <c r="AS676" s="542"/>
      <c r="AT676" s="542"/>
    </row>
    <row r="677">
      <c r="A677" s="394"/>
      <c r="B677" s="430"/>
      <c r="C677" s="395"/>
      <c r="D677" s="529"/>
      <c r="E677" s="394"/>
      <c r="F677" s="430"/>
      <c r="G677" s="395"/>
      <c r="H677" s="529"/>
      <c r="I677" s="394"/>
      <c r="J677" s="430"/>
      <c r="K677" s="395"/>
      <c r="L677" s="529"/>
      <c r="M677" s="394"/>
      <c r="N677" s="430"/>
      <c r="O677" s="395"/>
      <c r="P677" s="529"/>
      <c r="Q677" s="547"/>
      <c r="R677" s="548"/>
      <c r="S677" s="549"/>
      <c r="T677" s="541"/>
      <c r="U677" s="547"/>
      <c r="V677" s="548"/>
      <c r="W677" s="549"/>
      <c r="X677" s="541"/>
      <c r="Y677" s="547"/>
      <c r="Z677" s="548"/>
      <c r="AA677" s="549"/>
      <c r="AB677" s="541"/>
      <c r="AC677" s="547"/>
      <c r="AD677" s="548"/>
      <c r="AE677" s="549"/>
      <c r="AF677" s="541"/>
      <c r="AG677" s="366"/>
      <c r="AH677" s="366"/>
      <c r="AI677" s="366"/>
      <c r="AJ677" s="366"/>
      <c r="AK677" s="394"/>
      <c r="AL677" s="430"/>
      <c r="AM677" s="395"/>
      <c r="AN677" s="529"/>
      <c r="AO677" s="394"/>
      <c r="AP677" s="430"/>
      <c r="AQ677" s="395"/>
      <c r="AR677" s="529"/>
      <c r="AS677" s="542"/>
      <c r="AT677" s="542"/>
    </row>
    <row r="678">
      <c r="A678" s="394"/>
      <c r="B678" s="430"/>
      <c r="C678" s="395"/>
      <c r="D678" s="529"/>
      <c r="E678" s="394"/>
      <c r="F678" s="430"/>
      <c r="G678" s="395"/>
      <c r="H678" s="529"/>
      <c r="I678" s="394"/>
      <c r="J678" s="430"/>
      <c r="K678" s="395"/>
      <c r="L678" s="529"/>
      <c r="M678" s="394"/>
      <c r="N678" s="430"/>
      <c r="O678" s="395"/>
      <c r="P678" s="529"/>
      <c r="Q678" s="547"/>
      <c r="R678" s="548"/>
      <c r="S678" s="549"/>
      <c r="T678" s="541"/>
      <c r="U678" s="547"/>
      <c r="V678" s="548"/>
      <c r="W678" s="549"/>
      <c r="X678" s="541"/>
      <c r="Y678" s="547"/>
      <c r="Z678" s="548"/>
      <c r="AA678" s="549"/>
      <c r="AB678" s="541"/>
      <c r="AC678" s="547"/>
      <c r="AD678" s="548"/>
      <c r="AE678" s="549"/>
      <c r="AF678" s="541"/>
      <c r="AG678" s="366"/>
      <c r="AH678" s="366"/>
      <c r="AI678" s="366"/>
      <c r="AJ678" s="366"/>
      <c r="AK678" s="394"/>
      <c r="AL678" s="430"/>
      <c r="AM678" s="395"/>
      <c r="AN678" s="529"/>
      <c r="AO678" s="394"/>
      <c r="AP678" s="430"/>
      <c r="AQ678" s="395"/>
      <c r="AR678" s="529"/>
      <c r="AS678" s="542"/>
      <c r="AT678" s="542"/>
    </row>
    <row r="679">
      <c r="A679" s="394"/>
      <c r="B679" s="430"/>
      <c r="C679" s="395"/>
      <c r="D679" s="529"/>
      <c r="E679" s="394"/>
      <c r="F679" s="430"/>
      <c r="G679" s="395"/>
      <c r="H679" s="529"/>
      <c r="I679" s="394"/>
      <c r="J679" s="430"/>
      <c r="K679" s="395"/>
      <c r="L679" s="529"/>
      <c r="M679" s="394"/>
      <c r="N679" s="430"/>
      <c r="O679" s="395"/>
      <c r="P679" s="529"/>
      <c r="Q679" s="547"/>
      <c r="R679" s="548"/>
      <c r="S679" s="549"/>
      <c r="T679" s="541"/>
      <c r="U679" s="547"/>
      <c r="V679" s="548"/>
      <c r="W679" s="549"/>
      <c r="X679" s="541"/>
      <c r="Y679" s="547"/>
      <c r="Z679" s="548"/>
      <c r="AA679" s="549"/>
      <c r="AB679" s="541"/>
      <c r="AC679" s="547"/>
      <c r="AD679" s="548"/>
      <c r="AE679" s="549"/>
      <c r="AF679" s="541"/>
      <c r="AG679" s="366"/>
      <c r="AH679" s="366"/>
      <c r="AI679" s="366"/>
      <c r="AJ679" s="366"/>
      <c r="AK679" s="394"/>
      <c r="AL679" s="430"/>
      <c r="AM679" s="395"/>
      <c r="AN679" s="529"/>
      <c r="AO679" s="394"/>
      <c r="AP679" s="430"/>
      <c r="AQ679" s="395"/>
      <c r="AR679" s="529"/>
      <c r="AS679" s="542"/>
      <c r="AT679" s="542"/>
    </row>
    <row r="680">
      <c r="A680" s="394"/>
      <c r="B680" s="430"/>
      <c r="C680" s="395"/>
      <c r="D680" s="529"/>
      <c r="E680" s="394"/>
      <c r="F680" s="430"/>
      <c r="G680" s="395"/>
      <c r="H680" s="529"/>
      <c r="I680" s="394"/>
      <c r="J680" s="430"/>
      <c r="K680" s="395"/>
      <c r="L680" s="529"/>
      <c r="M680" s="394"/>
      <c r="N680" s="430"/>
      <c r="O680" s="395"/>
      <c r="P680" s="529"/>
      <c r="Q680" s="547"/>
      <c r="R680" s="548"/>
      <c r="S680" s="549"/>
      <c r="T680" s="541"/>
      <c r="U680" s="547"/>
      <c r="V680" s="548"/>
      <c r="W680" s="549"/>
      <c r="X680" s="541"/>
      <c r="Y680" s="547"/>
      <c r="Z680" s="548"/>
      <c r="AA680" s="549"/>
      <c r="AB680" s="541"/>
      <c r="AC680" s="547"/>
      <c r="AD680" s="548"/>
      <c r="AE680" s="549"/>
      <c r="AF680" s="541"/>
      <c r="AG680" s="366"/>
      <c r="AH680" s="366"/>
      <c r="AI680" s="366"/>
      <c r="AJ680" s="366"/>
      <c r="AK680" s="394"/>
      <c r="AL680" s="430"/>
      <c r="AM680" s="395"/>
      <c r="AN680" s="529"/>
      <c r="AO680" s="394"/>
      <c r="AP680" s="430"/>
      <c r="AQ680" s="395"/>
      <c r="AR680" s="529"/>
      <c r="AS680" s="542"/>
      <c r="AT680" s="542"/>
    </row>
    <row r="681">
      <c r="A681" s="394"/>
      <c r="B681" s="430"/>
      <c r="C681" s="395"/>
      <c r="D681" s="529"/>
      <c r="E681" s="394"/>
      <c r="F681" s="430"/>
      <c r="G681" s="395"/>
      <c r="H681" s="529"/>
      <c r="I681" s="394"/>
      <c r="J681" s="430"/>
      <c r="K681" s="395"/>
      <c r="L681" s="529"/>
      <c r="M681" s="394"/>
      <c r="N681" s="430"/>
      <c r="O681" s="395"/>
      <c r="P681" s="529"/>
      <c r="Q681" s="547"/>
      <c r="R681" s="548"/>
      <c r="S681" s="549"/>
      <c r="T681" s="541"/>
      <c r="U681" s="547"/>
      <c r="V681" s="548"/>
      <c r="W681" s="549"/>
      <c r="X681" s="541"/>
      <c r="Y681" s="547"/>
      <c r="Z681" s="548"/>
      <c r="AA681" s="549"/>
      <c r="AB681" s="541"/>
      <c r="AC681" s="547"/>
      <c r="AD681" s="548"/>
      <c r="AE681" s="549"/>
      <c r="AF681" s="541"/>
      <c r="AG681" s="366"/>
      <c r="AH681" s="366"/>
      <c r="AI681" s="366"/>
      <c r="AJ681" s="366"/>
      <c r="AK681" s="394"/>
      <c r="AL681" s="430"/>
      <c r="AM681" s="395"/>
      <c r="AN681" s="529"/>
      <c r="AO681" s="394"/>
      <c r="AP681" s="430"/>
      <c r="AQ681" s="395"/>
      <c r="AR681" s="529"/>
      <c r="AS681" s="542"/>
      <c r="AT681" s="542"/>
    </row>
    <row r="682">
      <c r="A682" s="394"/>
      <c r="B682" s="430"/>
      <c r="C682" s="395"/>
      <c r="D682" s="529"/>
      <c r="E682" s="394"/>
      <c r="F682" s="430"/>
      <c r="G682" s="395"/>
      <c r="H682" s="529"/>
      <c r="I682" s="394"/>
      <c r="J682" s="430"/>
      <c r="K682" s="395"/>
      <c r="L682" s="529"/>
      <c r="M682" s="394"/>
      <c r="N682" s="430"/>
      <c r="O682" s="395"/>
      <c r="P682" s="529"/>
      <c r="Q682" s="547"/>
      <c r="R682" s="548"/>
      <c r="S682" s="549"/>
      <c r="T682" s="541"/>
      <c r="U682" s="547"/>
      <c r="V682" s="548"/>
      <c r="W682" s="549"/>
      <c r="X682" s="541"/>
      <c r="Y682" s="547"/>
      <c r="Z682" s="548"/>
      <c r="AA682" s="549"/>
      <c r="AB682" s="541"/>
      <c r="AC682" s="547"/>
      <c r="AD682" s="548"/>
      <c r="AE682" s="549"/>
      <c r="AF682" s="541"/>
      <c r="AG682" s="366"/>
      <c r="AH682" s="366"/>
      <c r="AI682" s="366"/>
      <c r="AJ682" s="366"/>
      <c r="AK682" s="394"/>
      <c r="AL682" s="430"/>
      <c r="AM682" s="395"/>
      <c r="AN682" s="529"/>
      <c r="AO682" s="394"/>
      <c r="AP682" s="430"/>
      <c r="AQ682" s="395"/>
      <c r="AR682" s="529"/>
      <c r="AS682" s="542"/>
      <c r="AT682" s="542"/>
    </row>
    <row r="683">
      <c r="A683" s="394"/>
      <c r="B683" s="430"/>
      <c r="C683" s="395"/>
      <c r="D683" s="529"/>
      <c r="E683" s="394"/>
      <c r="F683" s="430"/>
      <c r="G683" s="395"/>
      <c r="H683" s="529"/>
      <c r="I683" s="394"/>
      <c r="J683" s="430"/>
      <c r="K683" s="395"/>
      <c r="L683" s="529"/>
      <c r="M683" s="394"/>
      <c r="N683" s="430"/>
      <c r="O683" s="395"/>
      <c r="P683" s="529"/>
      <c r="Q683" s="547"/>
      <c r="R683" s="548"/>
      <c r="S683" s="549"/>
      <c r="T683" s="541"/>
      <c r="U683" s="547"/>
      <c r="V683" s="548"/>
      <c r="W683" s="549"/>
      <c r="X683" s="541"/>
      <c r="Y683" s="547"/>
      <c r="Z683" s="548"/>
      <c r="AA683" s="549"/>
      <c r="AB683" s="541"/>
      <c r="AC683" s="547"/>
      <c r="AD683" s="548"/>
      <c r="AE683" s="549"/>
      <c r="AF683" s="541"/>
      <c r="AG683" s="366"/>
      <c r="AH683" s="366"/>
      <c r="AI683" s="366"/>
      <c r="AJ683" s="366"/>
      <c r="AK683" s="394"/>
      <c r="AL683" s="430"/>
      <c r="AM683" s="395"/>
      <c r="AN683" s="529"/>
      <c r="AO683" s="394"/>
      <c r="AP683" s="430"/>
      <c r="AQ683" s="395"/>
      <c r="AR683" s="529"/>
      <c r="AS683" s="542"/>
      <c r="AT683" s="542"/>
    </row>
    <row r="684">
      <c r="A684" s="394"/>
      <c r="B684" s="430"/>
      <c r="C684" s="395"/>
      <c r="D684" s="529"/>
      <c r="E684" s="394"/>
      <c r="F684" s="430"/>
      <c r="G684" s="395"/>
      <c r="H684" s="529"/>
      <c r="I684" s="394"/>
      <c r="J684" s="430"/>
      <c r="K684" s="395"/>
      <c r="L684" s="529"/>
      <c r="M684" s="394"/>
      <c r="N684" s="430"/>
      <c r="O684" s="395"/>
      <c r="P684" s="529"/>
      <c r="Q684" s="547"/>
      <c r="R684" s="548"/>
      <c r="S684" s="549"/>
      <c r="T684" s="541"/>
      <c r="U684" s="547"/>
      <c r="V684" s="548"/>
      <c r="W684" s="549"/>
      <c r="X684" s="541"/>
      <c r="Y684" s="547"/>
      <c r="Z684" s="548"/>
      <c r="AA684" s="549"/>
      <c r="AB684" s="541"/>
      <c r="AC684" s="547"/>
      <c r="AD684" s="548"/>
      <c r="AE684" s="549"/>
      <c r="AF684" s="541"/>
      <c r="AG684" s="366"/>
      <c r="AH684" s="366"/>
      <c r="AI684" s="366"/>
      <c r="AJ684" s="366"/>
      <c r="AK684" s="394"/>
      <c r="AL684" s="430"/>
      <c r="AM684" s="395"/>
      <c r="AN684" s="529"/>
      <c r="AO684" s="394"/>
      <c r="AP684" s="430"/>
      <c r="AQ684" s="395"/>
      <c r="AR684" s="529"/>
      <c r="AS684" s="542"/>
      <c r="AT684" s="542"/>
    </row>
    <row r="685">
      <c r="A685" s="394"/>
      <c r="B685" s="430"/>
      <c r="C685" s="395"/>
      <c r="D685" s="529"/>
      <c r="E685" s="394"/>
      <c r="F685" s="430"/>
      <c r="G685" s="395"/>
      <c r="H685" s="529"/>
      <c r="I685" s="394"/>
      <c r="J685" s="430"/>
      <c r="K685" s="395"/>
      <c r="L685" s="529"/>
      <c r="M685" s="394"/>
      <c r="N685" s="430"/>
      <c r="O685" s="395"/>
      <c r="P685" s="529"/>
      <c r="Q685" s="547"/>
      <c r="R685" s="548"/>
      <c r="S685" s="549"/>
      <c r="T685" s="541"/>
      <c r="U685" s="547"/>
      <c r="V685" s="548"/>
      <c r="W685" s="549"/>
      <c r="X685" s="541"/>
      <c r="Y685" s="547"/>
      <c r="Z685" s="548"/>
      <c r="AA685" s="549"/>
      <c r="AB685" s="541"/>
      <c r="AC685" s="547"/>
      <c r="AD685" s="548"/>
      <c r="AE685" s="549"/>
      <c r="AF685" s="541"/>
      <c r="AG685" s="366"/>
      <c r="AH685" s="366"/>
      <c r="AI685" s="366"/>
      <c r="AJ685" s="366"/>
      <c r="AK685" s="394"/>
      <c r="AL685" s="430"/>
      <c r="AM685" s="395"/>
      <c r="AN685" s="529"/>
      <c r="AO685" s="394"/>
      <c r="AP685" s="430"/>
      <c r="AQ685" s="395"/>
      <c r="AR685" s="529"/>
      <c r="AS685" s="542"/>
      <c r="AT685" s="542"/>
    </row>
    <row r="686">
      <c r="A686" s="394"/>
      <c r="B686" s="430"/>
      <c r="C686" s="395"/>
      <c r="D686" s="529"/>
      <c r="E686" s="394"/>
      <c r="F686" s="430"/>
      <c r="G686" s="395"/>
      <c r="H686" s="529"/>
      <c r="I686" s="394"/>
      <c r="J686" s="430"/>
      <c r="K686" s="395"/>
      <c r="L686" s="529"/>
      <c r="M686" s="394"/>
      <c r="N686" s="430"/>
      <c r="O686" s="395"/>
      <c r="P686" s="529"/>
      <c r="Q686" s="547"/>
      <c r="R686" s="548"/>
      <c r="S686" s="549"/>
      <c r="T686" s="541"/>
      <c r="U686" s="547"/>
      <c r="V686" s="548"/>
      <c r="W686" s="549"/>
      <c r="X686" s="541"/>
      <c r="Y686" s="547"/>
      <c r="Z686" s="548"/>
      <c r="AA686" s="549"/>
      <c r="AB686" s="541"/>
      <c r="AC686" s="547"/>
      <c r="AD686" s="548"/>
      <c r="AE686" s="549"/>
      <c r="AF686" s="541"/>
      <c r="AG686" s="366"/>
      <c r="AH686" s="366"/>
      <c r="AI686" s="366"/>
      <c r="AJ686" s="366"/>
      <c r="AK686" s="394"/>
      <c r="AL686" s="430"/>
      <c r="AM686" s="395"/>
      <c r="AN686" s="529"/>
      <c r="AO686" s="394"/>
      <c r="AP686" s="430"/>
      <c r="AQ686" s="395"/>
      <c r="AR686" s="529"/>
      <c r="AS686" s="542"/>
      <c r="AT686" s="542"/>
    </row>
    <row r="687">
      <c r="A687" s="394"/>
      <c r="B687" s="430"/>
      <c r="C687" s="395"/>
      <c r="D687" s="529"/>
      <c r="E687" s="394"/>
      <c r="F687" s="430"/>
      <c r="G687" s="395"/>
      <c r="H687" s="529"/>
      <c r="I687" s="394"/>
      <c r="J687" s="430"/>
      <c r="K687" s="395"/>
      <c r="L687" s="529"/>
      <c r="M687" s="394"/>
      <c r="N687" s="430"/>
      <c r="O687" s="395"/>
      <c r="P687" s="529"/>
      <c r="Q687" s="547"/>
      <c r="R687" s="548"/>
      <c r="S687" s="549"/>
      <c r="T687" s="541"/>
      <c r="U687" s="547"/>
      <c r="V687" s="548"/>
      <c r="W687" s="549"/>
      <c r="X687" s="541"/>
      <c r="Y687" s="547"/>
      <c r="Z687" s="548"/>
      <c r="AA687" s="549"/>
      <c r="AB687" s="541"/>
      <c r="AC687" s="547"/>
      <c r="AD687" s="548"/>
      <c r="AE687" s="549"/>
      <c r="AF687" s="541"/>
      <c r="AG687" s="366"/>
      <c r="AH687" s="366"/>
      <c r="AI687" s="366"/>
      <c r="AJ687" s="366"/>
      <c r="AK687" s="394"/>
      <c r="AL687" s="430"/>
      <c r="AM687" s="395"/>
      <c r="AN687" s="529"/>
      <c r="AO687" s="394"/>
      <c r="AP687" s="430"/>
      <c r="AQ687" s="395"/>
      <c r="AR687" s="529"/>
      <c r="AS687" s="542"/>
      <c r="AT687" s="542"/>
    </row>
    <row r="688">
      <c r="A688" s="394"/>
      <c r="B688" s="430"/>
      <c r="C688" s="395"/>
      <c r="D688" s="529"/>
      <c r="E688" s="394"/>
      <c r="F688" s="430"/>
      <c r="G688" s="395"/>
      <c r="H688" s="529"/>
      <c r="I688" s="394"/>
      <c r="J688" s="430"/>
      <c r="K688" s="395"/>
      <c r="L688" s="529"/>
      <c r="M688" s="394"/>
      <c r="N688" s="430"/>
      <c r="O688" s="395"/>
      <c r="P688" s="529"/>
      <c r="Q688" s="547"/>
      <c r="R688" s="548"/>
      <c r="S688" s="549"/>
      <c r="T688" s="541"/>
      <c r="U688" s="547"/>
      <c r="V688" s="548"/>
      <c r="W688" s="549"/>
      <c r="X688" s="541"/>
      <c r="Y688" s="547"/>
      <c r="Z688" s="548"/>
      <c r="AA688" s="549"/>
      <c r="AB688" s="541"/>
      <c r="AC688" s="547"/>
      <c r="AD688" s="548"/>
      <c r="AE688" s="549"/>
      <c r="AF688" s="541"/>
      <c r="AG688" s="366"/>
      <c r="AH688" s="366"/>
      <c r="AI688" s="366"/>
      <c r="AJ688" s="366"/>
      <c r="AK688" s="394"/>
      <c r="AL688" s="430"/>
      <c r="AM688" s="395"/>
      <c r="AN688" s="529"/>
      <c r="AO688" s="394"/>
      <c r="AP688" s="430"/>
      <c r="AQ688" s="395"/>
      <c r="AR688" s="529"/>
      <c r="AS688" s="542"/>
      <c r="AT688" s="542"/>
    </row>
    <row r="689">
      <c r="A689" s="394"/>
      <c r="B689" s="430"/>
      <c r="C689" s="395"/>
      <c r="D689" s="529"/>
      <c r="E689" s="394"/>
      <c r="F689" s="430"/>
      <c r="G689" s="395"/>
      <c r="H689" s="529"/>
      <c r="I689" s="394"/>
      <c r="J689" s="430"/>
      <c r="K689" s="395"/>
      <c r="L689" s="529"/>
      <c r="M689" s="394"/>
      <c r="N689" s="430"/>
      <c r="O689" s="395"/>
      <c r="P689" s="529"/>
      <c r="Q689" s="547"/>
      <c r="R689" s="548"/>
      <c r="S689" s="549"/>
      <c r="T689" s="541"/>
      <c r="U689" s="547"/>
      <c r="V689" s="548"/>
      <c r="W689" s="549"/>
      <c r="X689" s="541"/>
      <c r="Y689" s="547"/>
      <c r="Z689" s="548"/>
      <c r="AA689" s="549"/>
      <c r="AB689" s="541"/>
      <c r="AC689" s="547"/>
      <c r="AD689" s="548"/>
      <c r="AE689" s="549"/>
      <c r="AF689" s="541"/>
      <c r="AG689" s="366"/>
      <c r="AH689" s="366"/>
      <c r="AI689" s="366"/>
      <c r="AJ689" s="366"/>
      <c r="AK689" s="394"/>
      <c r="AL689" s="430"/>
      <c r="AM689" s="395"/>
      <c r="AN689" s="529"/>
      <c r="AO689" s="394"/>
      <c r="AP689" s="430"/>
      <c r="AQ689" s="395"/>
      <c r="AR689" s="529"/>
      <c r="AS689" s="542"/>
      <c r="AT689" s="542"/>
    </row>
    <row r="690">
      <c r="A690" s="394"/>
      <c r="B690" s="430"/>
      <c r="C690" s="395"/>
      <c r="D690" s="529"/>
      <c r="E690" s="394"/>
      <c r="F690" s="430"/>
      <c r="G690" s="395"/>
      <c r="H690" s="529"/>
      <c r="I690" s="394"/>
      <c r="J690" s="430"/>
      <c r="K690" s="395"/>
      <c r="L690" s="529"/>
      <c r="M690" s="394"/>
      <c r="N690" s="430"/>
      <c r="O690" s="395"/>
      <c r="P690" s="529"/>
      <c r="Q690" s="547"/>
      <c r="R690" s="548"/>
      <c r="S690" s="549"/>
      <c r="T690" s="541"/>
      <c r="U690" s="547"/>
      <c r="V690" s="548"/>
      <c r="W690" s="549"/>
      <c r="X690" s="541"/>
      <c r="Y690" s="547"/>
      <c r="Z690" s="548"/>
      <c r="AA690" s="549"/>
      <c r="AB690" s="541"/>
      <c r="AC690" s="547"/>
      <c r="AD690" s="548"/>
      <c r="AE690" s="549"/>
      <c r="AF690" s="541"/>
      <c r="AG690" s="366"/>
      <c r="AH690" s="366"/>
      <c r="AI690" s="366"/>
      <c r="AJ690" s="366"/>
      <c r="AK690" s="394"/>
      <c r="AL690" s="430"/>
      <c r="AM690" s="395"/>
      <c r="AN690" s="529"/>
      <c r="AO690" s="394"/>
      <c r="AP690" s="430"/>
      <c r="AQ690" s="395"/>
      <c r="AR690" s="529"/>
      <c r="AS690" s="542"/>
      <c r="AT690" s="542"/>
    </row>
    <row r="691">
      <c r="A691" s="394"/>
      <c r="B691" s="430"/>
      <c r="C691" s="395"/>
      <c r="D691" s="529"/>
      <c r="E691" s="394"/>
      <c r="F691" s="430"/>
      <c r="G691" s="395"/>
      <c r="H691" s="529"/>
      <c r="I691" s="394"/>
      <c r="J691" s="430"/>
      <c r="K691" s="395"/>
      <c r="L691" s="529"/>
      <c r="M691" s="394"/>
      <c r="N691" s="430"/>
      <c r="O691" s="395"/>
      <c r="P691" s="529"/>
      <c r="Q691" s="547"/>
      <c r="R691" s="548"/>
      <c r="S691" s="549"/>
      <c r="T691" s="541"/>
      <c r="U691" s="547"/>
      <c r="V691" s="548"/>
      <c r="W691" s="549"/>
      <c r="X691" s="541"/>
      <c r="Y691" s="547"/>
      <c r="Z691" s="548"/>
      <c r="AA691" s="549"/>
      <c r="AB691" s="541"/>
      <c r="AC691" s="547"/>
      <c r="AD691" s="548"/>
      <c r="AE691" s="549"/>
      <c r="AF691" s="541"/>
      <c r="AG691" s="366"/>
      <c r="AH691" s="366"/>
      <c r="AI691" s="366"/>
      <c r="AJ691" s="366"/>
      <c r="AK691" s="394"/>
      <c r="AL691" s="430"/>
      <c r="AM691" s="395"/>
      <c r="AN691" s="529"/>
      <c r="AO691" s="394"/>
      <c r="AP691" s="430"/>
      <c r="AQ691" s="395"/>
      <c r="AR691" s="529"/>
      <c r="AS691" s="542"/>
      <c r="AT691" s="542"/>
    </row>
    <row r="692">
      <c r="A692" s="394"/>
      <c r="B692" s="430"/>
      <c r="C692" s="395"/>
      <c r="D692" s="529"/>
      <c r="E692" s="394"/>
      <c r="F692" s="430"/>
      <c r="G692" s="395"/>
      <c r="H692" s="529"/>
      <c r="I692" s="394"/>
      <c r="J692" s="430"/>
      <c r="K692" s="395"/>
      <c r="L692" s="529"/>
      <c r="M692" s="394"/>
      <c r="N692" s="430"/>
      <c r="O692" s="395"/>
      <c r="P692" s="529"/>
      <c r="Q692" s="547"/>
      <c r="R692" s="548"/>
      <c r="S692" s="549"/>
      <c r="T692" s="541"/>
      <c r="U692" s="547"/>
      <c r="V692" s="548"/>
      <c r="W692" s="549"/>
      <c r="X692" s="541"/>
      <c r="Y692" s="547"/>
      <c r="Z692" s="548"/>
      <c r="AA692" s="549"/>
      <c r="AB692" s="541"/>
      <c r="AC692" s="547"/>
      <c r="AD692" s="548"/>
      <c r="AE692" s="549"/>
      <c r="AF692" s="541"/>
      <c r="AG692" s="366"/>
      <c r="AH692" s="366"/>
      <c r="AI692" s="366"/>
      <c r="AJ692" s="366"/>
      <c r="AK692" s="394"/>
      <c r="AL692" s="430"/>
      <c r="AM692" s="395"/>
      <c r="AN692" s="529"/>
      <c r="AO692" s="394"/>
      <c r="AP692" s="430"/>
      <c r="AQ692" s="395"/>
      <c r="AR692" s="529"/>
      <c r="AS692" s="542"/>
      <c r="AT692" s="542"/>
    </row>
    <row r="693">
      <c r="A693" s="394"/>
      <c r="B693" s="430"/>
      <c r="C693" s="395"/>
      <c r="D693" s="529"/>
      <c r="E693" s="394"/>
      <c r="F693" s="430"/>
      <c r="G693" s="395"/>
      <c r="H693" s="529"/>
      <c r="I693" s="394"/>
      <c r="J693" s="430"/>
      <c r="K693" s="395"/>
      <c r="L693" s="529"/>
      <c r="M693" s="394"/>
      <c r="N693" s="430"/>
      <c r="O693" s="395"/>
      <c r="P693" s="529"/>
      <c r="Q693" s="547"/>
      <c r="R693" s="548"/>
      <c r="S693" s="549"/>
      <c r="T693" s="541"/>
      <c r="U693" s="547"/>
      <c r="V693" s="548"/>
      <c r="W693" s="549"/>
      <c r="X693" s="541"/>
      <c r="Y693" s="547"/>
      <c r="Z693" s="548"/>
      <c r="AA693" s="549"/>
      <c r="AB693" s="541"/>
      <c r="AC693" s="547"/>
      <c r="AD693" s="548"/>
      <c r="AE693" s="549"/>
      <c r="AF693" s="541"/>
      <c r="AG693" s="366"/>
      <c r="AH693" s="366"/>
      <c r="AI693" s="366"/>
      <c r="AJ693" s="366"/>
      <c r="AK693" s="394"/>
      <c r="AL693" s="430"/>
      <c r="AM693" s="395"/>
      <c r="AN693" s="529"/>
      <c r="AO693" s="394"/>
      <c r="AP693" s="430"/>
      <c r="AQ693" s="395"/>
      <c r="AR693" s="529"/>
      <c r="AS693" s="542"/>
      <c r="AT693" s="542"/>
    </row>
    <row r="694">
      <c r="A694" s="394"/>
      <c r="B694" s="430"/>
      <c r="C694" s="395"/>
      <c r="D694" s="529"/>
      <c r="E694" s="394"/>
      <c r="F694" s="430"/>
      <c r="G694" s="395"/>
      <c r="H694" s="529"/>
      <c r="I694" s="394"/>
      <c r="J694" s="430"/>
      <c r="K694" s="395"/>
      <c r="L694" s="529"/>
      <c r="M694" s="394"/>
      <c r="N694" s="430"/>
      <c r="O694" s="395"/>
      <c r="P694" s="529"/>
      <c r="Q694" s="547"/>
      <c r="R694" s="548"/>
      <c r="S694" s="549"/>
      <c r="T694" s="541"/>
      <c r="U694" s="547"/>
      <c r="V694" s="548"/>
      <c r="W694" s="549"/>
      <c r="X694" s="541"/>
      <c r="Y694" s="547"/>
      <c r="Z694" s="548"/>
      <c r="AA694" s="549"/>
      <c r="AB694" s="541"/>
      <c r="AC694" s="547"/>
      <c r="AD694" s="548"/>
      <c r="AE694" s="549"/>
      <c r="AF694" s="541"/>
      <c r="AG694" s="366"/>
      <c r="AH694" s="366"/>
      <c r="AI694" s="366"/>
      <c r="AJ694" s="366"/>
      <c r="AK694" s="394"/>
      <c r="AL694" s="430"/>
      <c r="AM694" s="395"/>
      <c r="AN694" s="529"/>
      <c r="AO694" s="394"/>
      <c r="AP694" s="430"/>
      <c r="AQ694" s="395"/>
      <c r="AR694" s="529"/>
      <c r="AS694" s="542"/>
      <c r="AT694" s="542"/>
    </row>
    <row r="695">
      <c r="A695" s="394"/>
      <c r="B695" s="430"/>
      <c r="C695" s="395"/>
      <c r="D695" s="529"/>
      <c r="E695" s="394"/>
      <c r="F695" s="430"/>
      <c r="G695" s="395"/>
      <c r="H695" s="529"/>
      <c r="I695" s="394"/>
      <c r="J695" s="430"/>
      <c r="K695" s="395"/>
      <c r="L695" s="529"/>
      <c r="M695" s="394"/>
      <c r="N695" s="430"/>
      <c r="O695" s="395"/>
      <c r="P695" s="529"/>
      <c r="Q695" s="547"/>
      <c r="R695" s="548"/>
      <c r="S695" s="549"/>
      <c r="T695" s="541"/>
      <c r="U695" s="547"/>
      <c r="V695" s="548"/>
      <c r="W695" s="549"/>
      <c r="X695" s="541"/>
      <c r="Y695" s="547"/>
      <c r="Z695" s="548"/>
      <c r="AA695" s="549"/>
      <c r="AB695" s="541"/>
      <c r="AC695" s="547"/>
      <c r="AD695" s="548"/>
      <c r="AE695" s="549"/>
      <c r="AF695" s="541"/>
      <c r="AG695" s="366"/>
      <c r="AH695" s="366"/>
      <c r="AI695" s="366"/>
      <c r="AJ695" s="366"/>
      <c r="AK695" s="394"/>
      <c r="AL695" s="430"/>
      <c r="AM695" s="395"/>
      <c r="AN695" s="529"/>
      <c r="AO695" s="394"/>
      <c r="AP695" s="430"/>
      <c r="AQ695" s="395"/>
      <c r="AR695" s="529"/>
      <c r="AS695" s="542"/>
      <c r="AT695" s="542"/>
    </row>
    <row r="696">
      <c r="A696" s="394"/>
      <c r="B696" s="430"/>
      <c r="C696" s="395"/>
      <c r="D696" s="529"/>
      <c r="E696" s="394"/>
      <c r="F696" s="430"/>
      <c r="G696" s="395"/>
      <c r="H696" s="529"/>
      <c r="I696" s="394"/>
      <c r="J696" s="430"/>
      <c r="K696" s="395"/>
      <c r="L696" s="529"/>
      <c r="M696" s="394"/>
      <c r="N696" s="430"/>
      <c r="O696" s="395"/>
      <c r="P696" s="529"/>
      <c r="Q696" s="547"/>
      <c r="R696" s="548"/>
      <c r="S696" s="549"/>
      <c r="T696" s="541"/>
      <c r="U696" s="547"/>
      <c r="V696" s="548"/>
      <c r="W696" s="549"/>
      <c r="X696" s="541"/>
      <c r="Y696" s="547"/>
      <c r="Z696" s="548"/>
      <c r="AA696" s="549"/>
      <c r="AB696" s="541"/>
      <c r="AC696" s="547"/>
      <c r="AD696" s="548"/>
      <c r="AE696" s="549"/>
      <c r="AF696" s="541"/>
      <c r="AG696" s="366"/>
      <c r="AH696" s="366"/>
      <c r="AI696" s="366"/>
      <c r="AJ696" s="366"/>
      <c r="AK696" s="394"/>
      <c r="AL696" s="430"/>
      <c r="AM696" s="395"/>
      <c r="AN696" s="529"/>
      <c r="AO696" s="394"/>
      <c r="AP696" s="430"/>
      <c r="AQ696" s="395"/>
      <c r="AR696" s="529"/>
      <c r="AS696" s="542"/>
      <c r="AT696" s="542"/>
    </row>
    <row r="697">
      <c r="A697" s="394"/>
      <c r="B697" s="430"/>
      <c r="C697" s="395"/>
      <c r="D697" s="529"/>
      <c r="E697" s="394"/>
      <c r="F697" s="430"/>
      <c r="G697" s="395"/>
      <c r="H697" s="529"/>
      <c r="I697" s="394"/>
      <c r="J697" s="430"/>
      <c r="K697" s="395"/>
      <c r="L697" s="529"/>
      <c r="M697" s="394"/>
      <c r="N697" s="430"/>
      <c r="O697" s="395"/>
      <c r="P697" s="529"/>
      <c r="Q697" s="547"/>
      <c r="R697" s="548"/>
      <c r="S697" s="549"/>
      <c r="T697" s="541"/>
      <c r="U697" s="547"/>
      <c r="V697" s="548"/>
      <c r="W697" s="549"/>
      <c r="X697" s="541"/>
      <c r="Y697" s="547"/>
      <c r="Z697" s="548"/>
      <c r="AA697" s="549"/>
      <c r="AB697" s="541"/>
      <c r="AC697" s="547"/>
      <c r="AD697" s="548"/>
      <c r="AE697" s="549"/>
      <c r="AF697" s="541"/>
      <c r="AG697" s="366"/>
      <c r="AH697" s="366"/>
      <c r="AI697" s="366"/>
      <c r="AJ697" s="366"/>
      <c r="AK697" s="394"/>
      <c r="AL697" s="430"/>
      <c r="AM697" s="395"/>
      <c r="AN697" s="529"/>
      <c r="AO697" s="394"/>
      <c r="AP697" s="430"/>
      <c r="AQ697" s="395"/>
      <c r="AR697" s="529"/>
      <c r="AS697" s="542"/>
      <c r="AT697" s="542"/>
    </row>
    <row r="698">
      <c r="A698" s="394"/>
      <c r="B698" s="430"/>
      <c r="C698" s="395"/>
      <c r="D698" s="529"/>
      <c r="E698" s="394"/>
      <c r="F698" s="430"/>
      <c r="G698" s="395"/>
      <c r="H698" s="529"/>
      <c r="I698" s="394"/>
      <c r="J698" s="430"/>
      <c r="K698" s="395"/>
      <c r="L698" s="529"/>
      <c r="M698" s="394"/>
      <c r="N698" s="430"/>
      <c r="O698" s="395"/>
      <c r="P698" s="529"/>
      <c r="Q698" s="547"/>
      <c r="R698" s="548"/>
      <c r="S698" s="549"/>
      <c r="T698" s="541"/>
      <c r="U698" s="547"/>
      <c r="V698" s="548"/>
      <c r="W698" s="549"/>
      <c r="X698" s="541"/>
      <c r="Y698" s="547"/>
      <c r="Z698" s="548"/>
      <c r="AA698" s="549"/>
      <c r="AB698" s="541"/>
      <c r="AC698" s="547"/>
      <c r="AD698" s="548"/>
      <c r="AE698" s="549"/>
      <c r="AF698" s="541"/>
      <c r="AG698" s="366"/>
      <c r="AH698" s="366"/>
      <c r="AI698" s="366"/>
      <c r="AJ698" s="366"/>
      <c r="AK698" s="394"/>
      <c r="AL698" s="430"/>
      <c r="AM698" s="395"/>
      <c r="AN698" s="529"/>
      <c r="AO698" s="394"/>
      <c r="AP698" s="430"/>
      <c r="AQ698" s="395"/>
      <c r="AR698" s="529"/>
      <c r="AS698" s="542"/>
      <c r="AT698" s="542"/>
    </row>
    <row r="699">
      <c r="A699" s="394"/>
      <c r="B699" s="430"/>
      <c r="C699" s="395"/>
      <c r="D699" s="529"/>
      <c r="E699" s="394"/>
      <c r="F699" s="430"/>
      <c r="G699" s="395"/>
      <c r="H699" s="529"/>
      <c r="I699" s="394"/>
      <c r="J699" s="430"/>
      <c r="K699" s="395"/>
      <c r="L699" s="529"/>
      <c r="M699" s="394"/>
      <c r="N699" s="430"/>
      <c r="O699" s="395"/>
      <c r="P699" s="529"/>
      <c r="Q699" s="547"/>
      <c r="R699" s="548"/>
      <c r="S699" s="549"/>
      <c r="T699" s="541"/>
      <c r="U699" s="547"/>
      <c r="V699" s="548"/>
      <c r="W699" s="549"/>
      <c r="X699" s="541"/>
      <c r="Y699" s="547"/>
      <c r="Z699" s="548"/>
      <c r="AA699" s="549"/>
      <c r="AB699" s="541"/>
      <c r="AC699" s="547"/>
      <c r="AD699" s="548"/>
      <c r="AE699" s="549"/>
      <c r="AF699" s="541"/>
      <c r="AG699" s="366"/>
      <c r="AH699" s="366"/>
      <c r="AI699" s="366"/>
      <c r="AJ699" s="366"/>
      <c r="AK699" s="394"/>
      <c r="AL699" s="430"/>
      <c r="AM699" s="395"/>
      <c r="AN699" s="529"/>
      <c r="AO699" s="394"/>
      <c r="AP699" s="430"/>
      <c r="AQ699" s="395"/>
      <c r="AR699" s="529"/>
      <c r="AS699" s="542"/>
      <c r="AT699" s="542"/>
    </row>
    <row r="700">
      <c r="A700" s="394"/>
      <c r="B700" s="430"/>
      <c r="C700" s="395"/>
      <c r="D700" s="529"/>
      <c r="E700" s="394"/>
      <c r="F700" s="430"/>
      <c r="G700" s="395"/>
      <c r="H700" s="529"/>
      <c r="I700" s="394"/>
      <c r="J700" s="430"/>
      <c r="K700" s="395"/>
      <c r="L700" s="529"/>
      <c r="M700" s="394"/>
      <c r="N700" s="430"/>
      <c r="O700" s="395"/>
      <c r="P700" s="529"/>
      <c r="Q700" s="547"/>
      <c r="R700" s="548"/>
      <c r="S700" s="549"/>
      <c r="T700" s="541"/>
      <c r="U700" s="547"/>
      <c r="V700" s="548"/>
      <c r="W700" s="549"/>
      <c r="X700" s="541"/>
      <c r="Y700" s="547"/>
      <c r="Z700" s="548"/>
      <c r="AA700" s="549"/>
      <c r="AB700" s="541"/>
      <c r="AC700" s="547"/>
      <c r="AD700" s="548"/>
      <c r="AE700" s="549"/>
      <c r="AF700" s="541"/>
      <c r="AG700" s="366"/>
      <c r="AH700" s="366"/>
      <c r="AI700" s="366"/>
      <c r="AJ700" s="366"/>
      <c r="AK700" s="394"/>
      <c r="AL700" s="430"/>
      <c r="AM700" s="395"/>
      <c r="AN700" s="529"/>
      <c r="AO700" s="394"/>
      <c r="AP700" s="430"/>
      <c r="AQ700" s="395"/>
      <c r="AR700" s="529"/>
      <c r="AS700" s="542"/>
      <c r="AT700" s="542"/>
    </row>
    <row r="701">
      <c r="A701" s="394"/>
      <c r="B701" s="430"/>
      <c r="C701" s="395"/>
      <c r="D701" s="529"/>
      <c r="E701" s="394"/>
      <c r="F701" s="430"/>
      <c r="G701" s="395"/>
      <c r="H701" s="529"/>
      <c r="I701" s="394"/>
      <c r="J701" s="430"/>
      <c r="K701" s="395"/>
      <c r="L701" s="529"/>
      <c r="M701" s="394"/>
      <c r="N701" s="430"/>
      <c r="O701" s="395"/>
      <c r="P701" s="529"/>
      <c r="Q701" s="547"/>
      <c r="R701" s="548"/>
      <c r="S701" s="549"/>
      <c r="T701" s="541"/>
      <c r="U701" s="547"/>
      <c r="V701" s="548"/>
      <c r="W701" s="549"/>
      <c r="X701" s="541"/>
      <c r="Y701" s="547"/>
      <c r="Z701" s="548"/>
      <c r="AA701" s="549"/>
      <c r="AB701" s="541"/>
      <c r="AC701" s="547"/>
      <c r="AD701" s="548"/>
      <c r="AE701" s="549"/>
      <c r="AF701" s="541"/>
      <c r="AG701" s="366"/>
      <c r="AH701" s="366"/>
      <c r="AI701" s="366"/>
      <c r="AJ701" s="366"/>
      <c r="AK701" s="394"/>
      <c r="AL701" s="430"/>
      <c r="AM701" s="395"/>
      <c r="AN701" s="529"/>
      <c r="AO701" s="394"/>
      <c r="AP701" s="430"/>
      <c r="AQ701" s="395"/>
      <c r="AR701" s="529"/>
      <c r="AS701" s="542"/>
      <c r="AT701" s="542"/>
    </row>
    <row r="702">
      <c r="A702" s="394"/>
      <c r="B702" s="430"/>
      <c r="C702" s="395"/>
      <c r="D702" s="529"/>
      <c r="E702" s="394"/>
      <c r="F702" s="430"/>
      <c r="G702" s="395"/>
      <c r="H702" s="529"/>
      <c r="I702" s="394"/>
      <c r="J702" s="430"/>
      <c r="K702" s="395"/>
      <c r="L702" s="529"/>
      <c r="M702" s="394"/>
      <c r="N702" s="430"/>
      <c r="O702" s="395"/>
      <c r="P702" s="529"/>
      <c r="Q702" s="547"/>
      <c r="R702" s="548"/>
      <c r="S702" s="549"/>
      <c r="T702" s="541"/>
      <c r="U702" s="547"/>
      <c r="V702" s="548"/>
      <c r="W702" s="549"/>
      <c r="X702" s="541"/>
      <c r="Y702" s="547"/>
      <c r="Z702" s="548"/>
      <c r="AA702" s="549"/>
      <c r="AB702" s="541"/>
      <c r="AC702" s="547"/>
      <c r="AD702" s="548"/>
      <c r="AE702" s="549"/>
      <c r="AF702" s="541"/>
      <c r="AG702" s="366"/>
      <c r="AH702" s="366"/>
      <c r="AI702" s="366"/>
      <c r="AJ702" s="366"/>
      <c r="AK702" s="394"/>
      <c r="AL702" s="430"/>
      <c r="AM702" s="395"/>
      <c r="AN702" s="529"/>
      <c r="AO702" s="394"/>
      <c r="AP702" s="430"/>
      <c r="AQ702" s="395"/>
      <c r="AR702" s="529"/>
      <c r="AS702" s="542"/>
      <c r="AT702" s="542"/>
    </row>
    <row r="703">
      <c r="A703" s="394"/>
      <c r="B703" s="430"/>
      <c r="C703" s="395"/>
      <c r="D703" s="529"/>
      <c r="E703" s="394"/>
      <c r="F703" s="430"/>
      <c r="G703" s="395"/>
      <c r="H703" s="529"/>
      <c r="I703" s="394"/>
      <c r="J703" s="430"/>
      <c r="K703" s="395"/>
      <c r="L703" s="529"/>
      <c r="M703" s="394"/>
      <c r="N703" s="430"/>
      <c r="O703" s="395"/>
      <c r="P703" s="529"/>
      <c r="Q703" s="547"/>
      <c r="R703" s="548"/>
      <c r="S703" s="549"/>
      <c r="T703" s="541"/>
      <c r="U703" s="547"/>
      <c r="V703" s="548"/>
      <c r="W703" s="549"/>
      <c r="X703" s="541"/>
      <c r="Y703" s="547"/>
      <c r="Z703" s="548"/>
      <c r="AA703" s="549"/>
      <c r="AB703" s="541"/>
      <c r="AC703" s="547"/>
      <c r="AD703" s="548"/>
      <c r="AE703" s="549"/>
      <c r="AF703" s="541"/>
      <c r="AG703" s="366"/>
      <c r="AH703" s="366"/>
      <c r="AI703" s="366"/>
      <c r="AJ703" s="366"/>
      <c r="AK703" s="394"/>
      <c r="AL703" s="430"/>
      <c r="AM703" s="395"/>
      <c r="AN703" s="529"/>
      <c r="AO703" s="394"/>
      <c r="AP703" s="430"/>
      <c r="AQ703" s="395"/>
      <c r="AR703" s="529"/>
      <c r="AS703" s="542"/>
      <c r="AT703" s="542"/>
    </row>
    <row r="704">
      <c r="A704" s="394"/>
      <c r="B704" s="430"/>
      <c r="C704" s="395"/>
      <c r="D704" s="529"/>
      <c r="E704" s="394"/>
      <c r="F704" s="430"/>
      <c r="G704" s="395"/>
      <c r="H704" s="529"/>
      <c r="I704" s="394"/>
      <c r="J704" s="430"/>
      <c r="K704" s="395"/>
      <c r="L704" s="529"/>
      <c r="M704" s="394"/>
      <c r="N704" s="430"/>
      <c r="O704" s="395"/>
      <c r="P704" s="529"/>
      <c r="Q704" s="547"/>
      <c r="R704" s="548"/>
      <c r="S704" s="549"/>
      <c r="T704" s="541"/>
      <c r="U704" s="547"/>
      <c r="V704" s="548"/>
      <c r="W704" s="549"/>
      <c r="X704" s="541"/>
      <c r="Y704" s="547"/>
      <c r="Z704" s="548"/>
      <c r="AA704" s="549"/>
      <c r="AB704" s="541"/>
      <c r="AC704" s="547"/>
      <c r="AD704" s="548"/>
      <c r="AE704" s="549"/>
      <c r="AF704" s="541"/>
      <c r="AG704" s="366"/>
      <c r="AH704" s="366"/>
      <c r="AI704" s="366"/>
      <c r="AJ704" s="366"/>
      <c r="AK704" s="394"/>
      <c r="AL704" s="430"/>
      <c r="AM704" s="395"/>
      <c r="AN704" s="529"/>
      <c r="AO704" s="394"/>
      <c r="AP704" s="430"/>
      <c r="AQ704" s="395"/>
      <c r="AR704" s="529"/>
      <c r="AS704" s="542"/>
      <c r="AT704" s="542"/>
    </row>
    <row r="705">
      <c r="A705" s="394"/>
      <c r="B705" s="430"/>
      <c r="C705" s="395"/>
      <c r="D705" s="529"/>
      <c r="E705" s="394"/>
      <c r="F705" s="430"/>
      <c r="G705" s="395"/>
      <c r="H705" s="529"/>
      <c r="I705" s="394"/>
      <c r="J705" s="430"/>
      <c r="K705" s="395"/>
      <c r="L705" s="529"/>
      <c r="M705" s="394"/>
      <c r="N705" s="430"/>
      <c r="O705" s="395"/>
      <c r="P705" s="529"/>
      <c r="Q705" s="547"/>
      <c r="R705" s="548"/>
      <c r="S705" s="549"/>
      <c r="T705" s="541"/>
      <c r="U705" s="547"/>
      <c r="V705" s="548"/>
      <c r="W705" s="549"/>
      <c r="X705" s="541"/>
      <c r="Y705" s="547"/>
      <c r="Z705" s="548"/>
      <c r="AA705" s="549"/>
      <c r="AB705" s="541"/>
      <c r="AC705" s="547"/>
      <c r="AD705" s="548"/>
      <c r="AE705" s="549"/>
      <c r="AF705" s="541"/>
      <c r="AG705" s="366"/>
      <c r="AH705" s="366"/>
      <c r="AI705" s="366"/>
      <c r="AJ705" s="366"/>
      <c r="AK705" s="394"/>
      <c r="AL705" s="430"/>
      <c r="AM705" s="395"/>
      <c r="AN705" s="529"/>
      <c r="AO705" s="394"/>
      <c r="AP705" s="430"/>
      <c r="AQ705" s="395"/>
      <c r="AR705" s="529"/>
      <c r="AS705" s="542"/>
      <c r="AT705" s="542"/>
    </row>
    <row r="706">
      <c r="A706" s="394"/>
      <c r="B706" s="430"/>
      <c r="C706" s="395"/>
      <c r="D706" s="529"/>
      <c r="E706" s="394"/>
      <c r="F706" s="430"/>
      <c r="G706" s="395"/>
      <c r="H706" s="529"/>
      <c r="I706" s="394"/>
      <c r="J706" s="430"/>
      <c r="K706" s="395"/>
      <c r="L706" s="529"/>
      <c r="M706" s="394"/>
      <c r="N706" s="430"/>
      <c r="O706" s="395"/>
      <c r="P706" s="529"/>
      <c r="Q706" s="547"/>
      <c r="R706" s="548"/>
      <c r="S706" s="549"/>
      <c r="T706" s="541"/>
      <c r="U706" s="547"/>
      <c r="V706" s="548"/>
      <c r="W706" s="549"/>
      <c r="X706" s="541"/>
      <c r="Y706" s="547"/>
      <c r="Z706" s="548"/>
      <c r="AA706" s="549"/>
      <c r="AB706" s="541"/>
      <c r="AC706" s="547"/>
      <c r="AD706" s="548"/>
      <c r="AE706" s="549"/>
      <c r="AF706" s="541"/>
      <c r="AG706" s="366"/>
      <c r="AH706" s="366"/>
      <c r="AI706" s="366"/>
      <c r="AJ706" s="366"/>
      <c r="AK706" s="394"/>
      <c r="AL706" s="430"/>
      <c r="AM706" s="395"/>
      <c r="AN706" s="529"/>
      <c r="AO706" s="394"/>
      <c r="AP706" s="430"/>
      <c r="AQ706" s="395"/>
      <c r="AR706" s="529"/>
      <c r="AS706" s="542"/>
      <c r="AT706" s="542"/>
    </row>
    <row r="707">
      <c r="A707" s="394"/>
      <c r="B707" s="430"/>
      <c r="C707" s="395"/>
      <c r="D707" s="529"/>
      <c r="E707" s="394"/>
      <c r="F707" s="430"/>
      <c r="G707" s="395"/>
      <c r="H707" s="529"/>
      <c r="I707" s="394"/>
      <c r="J707" s="430"/>
      <c r="K707" s="395"/>
      <c r="L707" s="529"/>
      <c r="M707" s="394"/>
      <c r="N707" s="430"/>
      <c r="O707" s="395"/>
      <c r="P707" s="529"/>
      <c r="Q707" s="547"/>
      <c r="R707" s="548"/>
      <c r="S707" s="549"/>
      <c r="T707" s="541"/>
      <c r="U707" s="547"/>
      <c r="V707" s="548"/>
      <c r="W707" s="549"/>
      <c r="X707" s="541"/>
      <c r="Y707" s="547"/>
      <c r="Z707" s="548"/>
      <c r="AA707" s="549"/>
      <c r="AB707" s="541"/>
      <c r="AC707" s="547"/>
      <c r="AD707" s="548"/>
      <c r="AE707" s="549"/>
      <c r="AF707" s="541"/>
      <c r="AG707" s="366"/>
      <c r="AH707" s="366"/>
      <c r="AI707" s="366"/>
      <c r="AJ707" s="366"/>
      <c r="AK707" s="394"/>
      <c r="AL707" s="430"/>
      <c r="AM707" s="395"/>
      <c r="AN707" s="529"/>
      <c r="AO707" s="394"/>
      <c r="AP707" s="430"/>
      <c r="AQ707" s="395"/>
      <c r="AR707" s="529"/>
      <c r="AS707" s="542"/>
      <c r="AT707" s="542"/>
    </row>
    <row r="708">
      <c r="A708" s="394"/>
      <c r="B708" s="430"/>
      <c r="C708" s="395"/>
      <c r="D708" s="529"/>
      <c r="E708" s="394"/>
      <c r="F708" s="430"/>
      <c r="G708" s="395"/>
      <c r="H708" s="529"/>
      <c r="I708" s="394"/>
      <c r="J708" s="430"/>
      <c r="K708" s="395"/>
      <c r="L708" s="529"/>
      <c r="M708" s="394"/>
      <c r="N708" s="430"/>
      <c r="O708" s="395"/>
      <c r="P708" s="529"/>
      <c r="Q708" s="547"/>
      <c r="R708" s="548"/>
      <c r="S708" s="549"/>
      <c r="T708" s="541"/>
      <c r="U708" s="547"/>
      <c r="V708" s="548"/>
      <c r="W708" s="549"/>
      <c r="X708" s="541"/>
      <c r="Y708" s="547"/>
      <c r="Z708" s="548"/>
      <c r="AA708" s="549"/>
      <c r="AB708" s="541"/>
      <c r="AC708" s="547"/>
      <c r="AD708" s="548"/>
      <c r="AE708" s="549"/>
      <c r="AF708" s="541"/>
      <c r="AG708" s="366"/>
      <c r="AH708" s="366"/>
      <c r="AI708" s="366"/>
      <c r="AJ708" s="366"/>
      <c r="AK708" s="394"/>
      <c r="AL708" s="430"/>
      <c r="AM708" s="395"/>
      <c r="AN708" s="529"/>
      <c r="AO708" s="394"/>
      <c r="AP708" s="430"/>
      <c r="AQ708" s="395"/>
      <c r="AR708" s="529"/>
      <c r="AS708" s="542"/>
      <c r="AT708" s="542"/>
    </row>
    <row r="709">
      <c r="A709" s="394"/>
      <c r="B709" s="430"/>
      <c r="C709" s="395"/>
      <c r="D709" s="529"/>
      <c r="E709" s="394"/>
      <c r="F709" s="430"/>
      <c r="G709" s="395"/>
      <c r="H709" s="529"/>
      <c r="I709" s="394"/>
      <c r="J709" s="430"/>
      <c r="K709" s="395"/>
      <c r="L709" s="529"/>
      <c r="M709" s="394"/>
      <c r="N709" s="430"/>
      <c r="O709" s="395"/>
      <c r="P709" s="529"/>
      <c r="Q709" s="547"/>
      <c r="R709" s="548"/>
      <c r="S709" s="549"/>
      <c r="T709" s="541"/>
      <c r="U709" s="547"/>
      <c r="V709" s="548"/>
      <c r="W709" s="549"/>
      <c r="X709" s="541"/>
      <c r="Y709" s="547"/>
      <c r="Z709" s="548"/>
      <c r="AA709" s="549"/>
      <c r="AB709" s="541"/>
      <c r="AC709" s="547"/>
      <c r="AD709" s="548"/>
      <c r="AE709" s="549"/>
      <c r="AF709" s="541"/>
      <c r="AG709" s="366"/>
      <c r="AH709" s="366"/>
      <c r="AI709" s="366"/>
      <c r="AJ709" s="366"/>
      <c r="AK709" s="394"/>
      <c r="AL709" s="430"/>
      <c r="AM709" s="395"/>
      <c r="AN709" s="529"/>
      <c r="AO709" s="394"/>
      <c r="AP709" s="430"/>
      <c r="AQ709" s="395"/>
      <c r="AR709" s="529"/>
      <c r="AS709" s="542"/>
      <c r="AT709" s="542"/>
    </row>
    <row r="710">
      <c r="A710" s="394"/>
      <c r="B710" s="430"/>
      <c r="C710" s="395"/>
      <c r="D710" s="529"/>
      <c r="E710" s="394"/>
      <c r="F710" s="430"/>
      <c r="G710" s="395"/>
      <c r="H710" s="529"/>
      <c r="I710" s="394"/>
      <c r="J710" s="430"/>
      <c r="K710" s="395"/>
      <c r="L710" s="529"/>
      <c r="M710" s="394"/>
      <c r="N710" s="430"/>
      <c r="O710" s="395"/>
      <c r="P710" s="529"/>
      <c r="Q710" s="547"/>
      <c r="R710" s="548"/>
      <c r="S710" s="549"/>
      <c r="T710" s="541"/>
      <c r="U710" s="547"/>
      <c r="V710" s="548"/>
      <c r="W710" s="549"/>
      <c r="X710" s="541"/>
      <c r="Y710" s="547"/>
      <c r="Z710" s="548"/>
      <c r="AA710" s="549"/>
      <c r="AB710" s="541"/>
      <c r="AC710" s="547"/>
      <c r="AD710" s="548"/>
      <c r="AE710" s="549"/>
      <c r="AF710" s="541"/>
      <c r="AG710" s="366"/>
      <c r="AH710" s="366"/>
      <c r="AI710" s="366"/>
      <c r="AJ710" s="366"/>
      <c r="AK710" s="394"/>
      <c r="AL710" s="430"/>
      <c r="AM710" s="395"/>
      <c r="AN710" s="529"/>
      <c r="AO710" s="394"/>
      <c r="AP710" s="430"/>
      <c r="AQ710" s="395"/>
      <c r="AR710" s="529"/>
      <c r="AS710" s="542"/>
      <c r="AT710" s="542"/>
    </row>
    <row r="711">
      <c r="A711" s="394"/>
      <c r="B711" s="430"/>
      <c r="C711" s="395"/>
      <c r="D711" s="529"/>
      <c r="E711" s="394"/>
      <c r="F711" s="430"/>
      <c r="G711" s="395"/>
      <c r="H711" s="529"/>
      <c r="I711" s="394"/>
      <c r="J711" s="430"/>
      <c r="K711" s="395"/>
      <c r="L711" s="529"/>
      <c r="M711" s="394"/>
      <c r="N711" s="430"/>
      <c r="O711" s="395"/>
      <c r="P711" s="529"/>
      <c r="Q711" s="547"/>
      <c r="R711" s="548"/>
      <c r="S711" s="549"/>
      <c r="T711" s="541"/>
      <c r="U711" s="547"/>
      <c r="V711" s="548"/>
      <c r="W711" s="549"/>
      <c r="X711" s="541"/>
      <c r="Y711" s="547"/>
      <c r="Z711" s="548"/>
      <c r="AA711" s="549"/>
      <c r="AB711" s="541"/>
      <c r="AC711" s="547"/>
      <c r="AD711" s="548"/>
      <c r="AE711" s="549"/>
      <c r="AF711" s="541"/>
      <c r="AG711" s="366"/>
      <c r="AH711" s="366"/>
      <c r="AI711" s="366"/>
      <c r="AJ711" s="366"/>
      <c r="AK711" s="394"/>
      <c r="AL711" s="430"/>
      <c r="AM711" s="395"/>
      <c r="AN711" s="529"/>
      <c r="AO711" s="394"/>
      <c r="AP711" s="430"/>
      <c r="AQ711" s="395"/>
      <c r="AR711" s="529"/>
      <c r="AS711" s="542"/>
      <c r="AT711" s="542"/>
    </row>
    <row r="712">
      <c r="A712" s="394"/>
      <c r="B712" s="430"/>
      <c r="C712" s="395"/>
      <c r="D712" s="529"/>
      <c r="E712" s="394"/>
      <c r="F712" s="430"/>
      <c r="G712" s="395"/>
      <c r="H712" s="529"/>
      <c r="I712" s="394"/>
      <c r="J712" s="430"/>
      <c r="K712" s="395"/>
      <c r="L712" s="529"/>
      <c r="M712" s="394"/>
      <c r="N712" s="430"/>
      <c r="O712" s="395"/>
      <c r="P712" s="529"/>
      <c r="Q712" s="547"/>
      <c r="R712" s="548"/>
      <c r="S712" s="549"/>
      <c r="T712" s="541"/>
      <c r="U712" s="547"/>
      <c r="V712" s="548"/>
      <c r="W712" s="549"/>
      <c r="X712" s="541"/>
      <c r="Y712" s="547"/>
      <c r="Z712" s="548"/>
      <c r="AA712" s="549"/>
      <c r="AB712" s="541"/>
      <c r="AC712" s="547"/>
      <c r="AD712" s="548"/>
      <c r="AE712" s="549"/>
      <c r="AF712" s="541"/>
      <c r="AG712" s="366"/>
      <c r="AH712" s="366"/>
      <c r="AI712" s="366"/>
      <c r="AJ712" s="366"/>
      <c r="AK712" s="394"/>
      <c r="AL712" s="430"/>
      <c r="AM712" s="395"/>
      <c r="AN712" s="529"/>
      <c r="AO712" s="394"/>
      <c r="AP712" s="430"/>
      <c r="AQ712" s="395"/>
      <c r="AR712" s="529"/>
      <c r="AS712" s="542"/>
      <c r="AT712" s="542"/>
    </row>
    <row r="713">
      <c r="A713" s="394"/>
      <c r="B713" s="430"/>
      <c r="C713" s="395"/>
      <c r="D713" s="529"/>
      <c r="E713" s="394"/>
      <c r="F713" s="430"/>
      <c r="G713" s="395"/>
      <c r="H713" s="529"/>
      <c r="I713" s="394"/>
      <c r="J713" s="430"/>
      <c r="K713" s="395"/>
      <c r="L713" s="529"/>
      <c r="M713" s="394"/>
      <c r="N713" s="430"/>
      <c r="O713" s="395"/>
      <c r="P713" s="529"/>
      <c r="Q713" s="547"/>
      <c r="R713" s="548"/>
      <c r="S713" s="549"/>
      <c r="T713" s="541"/>
      <c r="U713" s="547"/>
      <c r="V713" s="548"/>
      <c r="W713" s="549"/>
      <c r="X713" s="541"/>
      <c r="Y713" s="547"/>
      <c r="Z713" s="548"/>
      <c r="AA713" s="549"/>
      <c r="AB713" s="541"/>
      <c r="AC713" s="547"/>
      <c r="AD713" s="548"/>
      <c r="AE713" s="549"/>
      <c r="AF713" s="541"/>
      <c r="AG713" s="366"/>
      <c r="AH713" s="366"/>
      <c r="AI713" s="366"/>
      <c r="AJ713" s="366"/>
      <c r="AK713" s="394"/>
      <c r="AL713" s="430"/>
      <c r="AM713" s="395"/>
      <c r="AN713" s="529"/>
      <c r="AO713" s="394"/>
      <c r="AP713" s="430"/>
      <c r="AQ713" s="395"/>
      <c r="AR713" s="529"/>
      <c r="AS713" s="542"/>
      <c r="AT713" s="542"/>
    </row>
    <row r="714">
      <c r="A714" s="394"/>
      <c r="B714" s="430"/>
      <c r="C714" s="395"/>
      <c r="D714" s="529"/>
      <c r="E714" s="394"/>
      <c r="F714" s="430"/>
      <c r="G714" s="395"/>
      <c r="H714" s="529"/>
      <c r="I714" s="394"/>
      <c r="J714" s="430"/>
      <c r="K714" s="395"/>
      <c r="L714" s="529"/>
      <c r="M714" s="394"/>
      <c r="N714" s="430"/>
      <c r="O714" s="395"/>
      <c r="P714" s="529"/>
      <c r="Q714" s="547"/>
      <c r="R714" s="548"/>
      <c r="S714" s="549"/>
      <c r="T714" s="541"/>
      <c r="U714" s="547"/>
      <c r="V714" s="548"/>
      <c r="W714" s="549"/>
      <c r="X714" s="541"/>
      <c r="Y714" s="547"/>
      <c r="Z714" s="548"/>
      <c r="AA714" s="549"/>
      <c r="AB714" s="541"/>
      <c r="AC714" s="547"/>
      <c r="AD714" s="548"/>
      <c r="AE714" s="549"/>
      <c r="AF714" s="541"/>
      <c r="AG714" s="366"/>
      <c r="AH714" s="366"/>
      <c r="AI714" s="366"/>
      <c r="AJ714" s="366"/>
      <c r="AK714" s="394"/>
      <c r="AL714" s="430"/>
      <c r="AM714" s="395"/>
      <c r="AN714" s="529"/>
      <c r="AO714" s="394"/>
      <c r="AP714" s="430"/>
      <c r="AQ714" s="395"/>
      <c r="AR714" s="529"/>
      <c r="AS714" s="542"/>
      <c r="AT714" s="542"/>
    </row>
    <row r="715">
      <c r="A715" s="394"/>
      <c r="B715" s="430"/>
      <c r="C715" s="395"/>
      <c r="D715" s="529"/>
      <c r="E715" s="394"/>
      <c r="F715" s="430"/>
      <c r="G715" s="395"/>
      <c r="H715" s="529"/>
      <c r="I715" s="394"/>
      <c r="J715" s="430"/>
      <c r="K715" s="395"/>
      <c r="L715" s="529"/>
      <c r="M715" s="394"/>
      <c r="N715" s="430"/>
      <c r="O715" s="395"/>
      <c r="P715" s="529"/>
      <c r="Q715" s="547"/>
      <c r="R715" s="548"/>
      <c r="S715" s="549"/>
      <c r="T715" s="541"/>
      <c r="U715" s="547"/>
      <c r="V715" s="548"/>
      <c r="W715" s="549"/>
      <c r="X715" s="541"/>
      <c r="Y715" s="547"/>
      <c r="Z715" s="548"/>
      <c r="AA715" s="549"/>
      <c r="AB715" s="541"/>
      <c r="AC715" s="547"/>
      <c r="AD715" s="548"/>
      <c r="AE715" s="549"/>
      <c r="AF715" s="541"/>
      <c r="AG715" s="366"/>
      <c r="AH715" s="366"/>
      <c r="AI715" s="366"/>
      <c r="AJ715" s="366"/>
      <c r="AK715" s="394"/>
      <c r="AL715" s="430"/>
      <c r="AM715" s="395"/>
      <c r="AN715" s="529"/>
      <c r="AO715" s="394"/>
      <c r="AP715" s="430"/>
      <c r="AQ715" s="395"/>
      <c r="AR715" s="529"/>
      <c r="AS715" s="542"/>
      <c r="AT715" s="542"/>
    </row>
    <row r="716">
      <c r="A716" s="394"/>
      <c r="B716" s="430"/>
      <c r="C716" s="395"/>
      <c r="D716" s="529"/>
      <c r="E716" s="394"/>
      <c r="F716" s="430"/>
      <c r="G716" s="395"/>
      <c r="H716" s="529"/>
      <c r="I716" s="394"/>
      <c r="J716" s="430"/>
      <c r="K716" s="395"/>
      <c r="L716" s="529"/>
      <c r="M716" s="394"/>
      <c r="N716" s="430"/>
      <c r="O716" s="395"/>
      <c r="P716" s="529"/>
      <c r="Q716" s="547"/>
      <c r="R716" s="548"/>
      <c r="S716" s="549"/>
      <c r="T716" s="541"/>
      <c r="U716" s="547"/>
      <c r="V716" s="548"/>
      <c r="W716" s="549"/>
      <c r="X716" s="541"/>
      <c r="Y716" s="547"/>
      <c r="Z716" s="548"/>
      <c r="AA716" s="549"/>
      <c r="AB716" s="541"/>
      <c r="AC716" s="547"/>
      <c r="AD716" s="548"/>
      <c r="AE716" s="549"/>
      <c r="AF716" s="541"/>
      <c r="AG716" s="366"/>
      <c r="AH716" s="366"/>
      <c r="AI716" s="366"/>
      <c r="AJ716" s="366"/>
      <c r="AK716" s="394"/>
      <c r="AL716" s="430"/>
      <c r="AM716" s="395"/>
      <c r="AN716" s="529"/>
      <c r="AO716" s="394"/>
      <c r="AP716" s="430"/>
      <c r="AQ716" s="395"/>
      <c r="AR716" s="529"/>
      <c r="AS716" s="542"/>
      <c r="AT716" s="542"/>
    </row>
    <row r="717">
      <c r="A717" s="394"/>
      <c r="B717" s="430"/>
      <c r="C717" s="395"/>
      <c r="D717" s="529"/>
      <c r="E717" s="394"/>
      <c r="F717" s="430"/>
      <c r="G717" s="395"/>
      <c r="H717" s="529"/>
      <c r="I717" s="394"/>
      <c r="J717" s="430"/>
      <c r="K717" s="395"/>
      <c r="L717" s="529"/>
      <c r="M717" s="394"/>
      <c r="N717" s="430"/>
      <c r="O717" s="395"/>
      <c r="P717" s="529"/>
      <c r="Q717" s="547"/>
      <c r="R717" s="548"/>
      <c r="S717" s="549"/>
      <c r="T717" s="541"/>
      <c r="U717" s="547"/>
      <c r="V717" s="548"/>
      <c r="W717" s="549"/>
      <c r="X717" s="541"/>
      <c r="Y717" s="547"/>
      <c r="Z717" s="548"/>
      <c r="AA717" s="549"/>
      <c r="AB717" s="541"/>
      <c r="AC717" s="547"/>
      <c r="AD717" s="548"/>
      <c r="AE717" s="549"/>
      <c r="AF717" s="541"/>
      <c r="AG717" s="366"/>
      <c r="AH717" s="366"/>
      <c r="AI717" s="366"/>
      <c r="AJ717" s="366"/>
      <c r="AK717" s="394"/>
      <c r="AL717" s="430"/>
      <c r="AM717" s="395"/>
      <c r="AN717" s="529"/>
      <c r="AO717" s="394"/>
      <c r="AP717" s="430"/>
      <c r="AQ717" s="395"/>
      <c r="AR717" s="529"/>
      <c r="AS717" s="542"/>
      <c r="AT717" s="542"/>
    </row>
    <row r="718">
      <c r="A718" s="394"/>
      <c r="B718" s="430"/>
      <c r="C718" s="395"/>
      <c r="D718" s="529"/>
      <c r="E718" s="394"/>
      <c r="F718" s="430"/>
      <c r="G718" s="395"/>
      <c r="H718" s="529"/>
      <c r="I718" s="394"/>
      <c r="J718" s="430"/>
      <c r="K718" s="395"/>
      <c r="L718" s="529"/>
      <c r="M718" s="394"/>
      <c r="N718" s="430"/>
      <c r="O718" s="395"/>
      <c r="P718" s="529"/>
      <c r="Q718" s="547"/>
      <c r="R718" s="548"/>
      <c r="S718" s="549"/>
      <c r="T718" s="541"/>
      <c r="U718" s="547"/>
      <c r="V718" s="548"/>
      <c r="W718" s="549"/>
      <c r="X718" s="541"/>
      <c r="Y718" s="547"/>
      <c r="Z718" s="548"/>
      <c r="AA718" s="549"/>
      <c r="AB718" s="541"/>
      <c r="AC718" s="547"/>
      <c r="AD718" s="548"/>
      <c r="AE718" s="549"/>
      <c r="AF718" s="541"/>
      <c r="AG718" s="366"/>
      <c r="AH718" s="366"/>
      <c r="AI718" s="366"/>
      <c r="AJ718" s="366"/>
      <c r="AK718" s="394"/>
      <c r="AL718" s="430"/>
      <c r="AM718" s="395"/>
      <c r="AN718" s="529"/>
      <c r="AO718" s="394"/>
      <c r="AP718" s="430"/>
      <c r="AQ718" s="395"/>
      <c r="AR718" s="529"/>
      <c r="AS718" s="542"/>
      <c r="AT718" s="542"/>
    </row>
    <row r="719">
      <c r="A719" s="394"/>
      <c r="B719" s="430"/>
      <c r="C719" s="395"/>
      <c r="D719" s="529"/>
      <c r="E719" s="394"/>
      <c r="F719" s="430"/>
      <c r="G719" s="395"/>
      <c r="H719" s="529"/>
      <c r="I719" s="394"/>
      <c r="J719" s="430"/>
      <c r="K719" s="395"/>
      <c r="L719" s="529"/>
      <c r="M719" s="394"/>
      <c r="N719" s="430"/>
      <c r="O719" s="395"/>
      <c r="P719" s="529"/>
      <c r="Q719" s="547"/>
      <c r="R719" s="548"/>
      <c r="S719" s="549"/>
      <c r="T719" s="541"/>
      <c r="U719" s="547"/>
      <c r="V719" s="548"/>
      <c r="W719" s="549"/>
      <c r="X719" s="541"/>
      <c r="Y719" s="547"/>
      <c r="Z719" s="548"/>
      <c r="AA719" s="549"/>
      <c r="AB719" s="541"/>
      <c r="AC719" s="547"/>
      <c r="AD719" s="548"/>
      <c r="AE719" s="549"/>
      <c r="AF719" s="541"/>
      <c r="AG719" s="366"/>
      <c r="AH719" s="366"/>
      <c r="AI719" s="366"/>
      <c r="AJ719" s="366"/>
      <c r="AK719" s="394"/>
      <c r="AL719" s="430"/>
      <c r="AM719" s="395"/>
      <c r="AN719" s="529"/>
      <c r="AO719" s="394"/>
      <c r="AP719" s="430"/>
      <c r="AQ719" s="395"/>
      <c r="AR719" s="529"/>
      <c r="AS719" s="542"/>
      <c r="AT719" s="542"/>
    </row>
    <row r="720">
      <c r="A720" s="394"/>
      <c r="B720" s="430"/>
      <c r="C720" s="395"/>
      <c r="D720" s="529"/>
      <c r="E720" s="394"/>
      <c r="F720" s="430"/>
      <c r="G720" s="395"/>
      <c r="H720" s="529"/>
      <c r="I720" s="394"/>
      <c r="J720" s="430"/>
      <c r="K720" s="395"/>
      <c r="L720" s="529"/>
      <c r="M720" s="394"/>
      <c r="N720" s="430"/>
      <c r="O720" s="395"/>
      <c r="P720" s="529"/>
      <c r="Q720" s="547"/>
      <c r="R720" s="548"/>
      <c r="S720" s="549"/>
      <c r="T720" s="541"/>
      <c r="U720" s="547"/>
      <c r="V720" s="548"/>
      <c r="W720" s="549"/>
      <c r="X720" s="541"/>
      <c r="Y720" s="547"/>
      <c r="Z720" s="548"/>
      <c r="AA720" s="549"/>
      <c r="AB720" s="541"/>
      <c r="AC720" s="547"/>
      <c r="AD720" s="548"/>
      <c r="AE720" s="549"/>
      <c r="AF720" s="541"/>
      <c r="AG720" s="366"/>
      <c r="AH720" s="366"/>
      <c r="AI720" s="366"/>
      <c r="AJ720" s="366"/>
      <c r="AK720" s="394"/>
      <c r="AL720" s="430"/>
      <c r="AM720" s="395"/>
      <c r="AN720" s="529"/>
      <c r="AO720" s="394"/>
      <c r="AP720" s="430"/>
      <c r="AQ720" s="395"/>
      <c r="AR720" s="529"/>
      <c r="AS720" s="542"/>
      <c r="AT720" s="542"/>
    </row>
    <row r="721">
      <c r="A721" s="394"/>
      <c r="B721" s="430"/>
      <c r="C721" s="395"/>
      <c r="D721" s="529"/>
      <c r="E721" s="394"/>
      <c r="F721" s="430"/>
      <c r="G721" s="395"/>
      <c r="H721" s="529"/>
      <c r="I721" s="394"/>
      <c r="J721" s="430"/>
      <c r="K721" s="395"/>
      <c r="L721" s="529"/>
      <c r="M721" s="394"/>
      <c r="N721" s="430"/>
      <c r="O721" s="395"/>
      <c r="P721" s="529"/>
      <c r="Q721" s="547"/>
      <c r="R721" s="548"/>
      <c r="S721" s="549"/>
      <c r="T721" s="541"/>
      <c r="U721" s="547"/>
      <c r="V721" s="548"/>
      <c r="W721" s="549"/>
      <c r="X721" s="541"/>
      <c r="Y721" s="547"/>
      <c r="Z721" s="548"/>
      <c r="AA721" s="549"/>
      <c r="AB721" s="541"/>
      <c r="AC721" s="547"/>
      <c r="AD721" s="548"/>
      <c r="AE721" s="549"/>
      <c r="AF721" s="541"/>
      <c r="AG721" s="366"/>
      <c r="AH721" s="366"/>
      <c r="AI721" s="366"/>
      <c r="AJ721" s="366"/>
      <c r="AK721" s="394"/>
      <c r="AL721" s="430"/>
      <c r="AM721" s="395"/>
      <c r="AN721" s="529"/>
      <c r="AO721" s="394"/>
      <c r="AP721" s="430"/>
      <c r="AQ721" s="395"/>
      <c r="AR721" s="529"/>
      <c r="AS721" s="542"/>
      <c r="AT721" s="542"/>
    </row>
    <row r="722">
      <c r="A722" s="394"/>
      <c r="B722" s="430"/>
      <c r="C722" s="395"/>
      <c r="D722" s="529"/>
      <c r="E722" s="394"/>
      <c r="F722" s="430"/>
      <c r="G722" s="395"/>
      <c r="H722" s="529"/>
      <c r="I722" s="394"/>
      <c r="J722" s="430"/>
      <c r="K722" s="395"/>
      <c r="L722" s="529"/>
      <c r="M722" s="394"/>
      <c r="N722" s="430"/>
      <c r="O722" s="395"/>
      <c r="P722" s="529"/>
      <c r="Q722" s="547"/>
      <c r="R722" s="548"/>
      <c r="S722" s="549"/>
      <c r="T722" s="541"/>
      <c r="U722" s="547"/>
      <c r="V722" s="548"/>
      <c r="W722" s="549"/>
      <c r="X722" s="541"/>
      <c r="Y722" s="547"/>
      <c r="Z722" s="548"/>
      <c r="AA722" s="549"/>
      <c r="AB722" s="541"/>
      <c r="AC722" s="547"/>
      <c r="AD722" s="548"/>
      <c r="AE722" s="549"/>
      <c r="AF722" s="541"/>
      <c r="AG722" s="366"/>
      <c r="AH722" s="366"/>
      <c r="AI722" s="366"/>
      <c r="AJ722" s="366"/>
      <c r="AK722" s="394"/>
      <c r="AL722" s="430"/>
      <c r="AM722" s="395"/>
      <c r="AN722" s="529"/>
      <c r="AO722" s="394"/>
      <c r="AP722" s="430"/>
      <c r="AQ722" s="395"/>
      <c r="AR722" s="529"/>
      <c r="AS722" s="542"/>
      <c r="AT722" s="542"/>
    </row>
    <row r="723">
      <c r="A723" s="394"/>
      <c r="B723" s="430"/>
      <c r="C723" s="395"/>
      <c r="D723" s="529"/>
      <c r="E723" s="394"/>
      <c r="F723" s="430"/>
      <c r="G723" s="395"/>
      <c r="H723" s="529"/>
      <c r="I723" s="394"/>
      <c r="J723" s="430"/>
      <c r="K723" s="395"/>
      <c r="L723" s="529"/>
      <c r="M723" s="394"/>
      <c r="N723" s="430"/>
      <c r="O723" s="395"/>
      <c r="P723" s="529"/>
      <c r="Q723" s="547"/>
      <c r="R723" s="548"/>
      <c r="S723" s="549"/>
      <c r="T723" s="541"/>
      <c r="U723" s="547"/>
      <c r="V723" s="548"/>
      <c r="W723" s="549"/>
      <c r="X723" s="541"/>
      <c r="Y723" s="547"/>
      <c r="Z723" s="548"/>
      <c r="AA723" s="549"/>
      <c r="AB723" s="541"/>
      <c r="AC723" s="547"/>
      <c r="AD723" s="548"/>
      <c r="AE723" s="549"/>
      <c r="AF723" s="541"/>
      <c r="AG723" s="366"/>
      <c r="AH723" s="366"/>
      <c r="AI723" s="366"/>
      <c r="AJ723" s="366"/>
      <c r="AK723" s="394"/>
      <c r="AL723" s="430"/>
      <c r="AM723" s="395"/>
      <c r="AN723" s="529"/>
      <c r="AO723" s="394"/>
      <c r="AP723" s="430"/>
      <c r="AQ723" s="395"/>
      <c r="AR723" s="529"/>
      <c r="AS723" s="542"/>
      <c r="AT723" s="542"/>
    </row>
    <row r="724">
      <c r="A724" s="394"/>
      <c r="B724" s="430"/>
      <c r="C724" s="395"/>
      <c r="D724" s="529"/>
      <c r="E724" s="394"/>
      <c r="F724" s="430"/>
      <c r="G724" s="395"/>
      <c r="H724" s="529"/>
      <c r="I724" s="394"/>
      <c r="J724" s="430"/>
      <c r="K724" s="395"/>
      <c r="L724" s="529"/>
      <c r="M724" s="394"/>
      <c r="N724" s="430"/>
      <c r="O724" s="395"/>
      <c r="P724" s="529"/>
      <c r="Q724" s="547"/>
      <c r="R724" s="548"/>
      <c r="S724" s="549"/>
      <c r="T724" s="541"/>
      <c r="U724" s="547"/>
      <c r="V724" s="548"/>
      <c r="W724" s="549"/>
      <c r="X724" s="541"/>
      <c r="Y724" s="547"/>
      <c r="Z724" s="548"/>
      <c r="AA724" s="549"/>
      <c r="AB724" s="541"/>
      <c r="AC724" s="547"/>
      <c r="AD724" s="548"/>
      <c r="AE724" s="549"/>
      <c r="AF724" s="541"/>
      <c r="AG724" s="366"/>
      <c r="AH724" s="366"/>
      <c r="AI724" s="366"/>
      <c r="AJ724" s="366"/>
      <c r="AK724" s="394"/>
      <c r="AL724" s="430"/>
      <c r="AM724" s="395"/>
      <c r="AN724" s="529"/>
      <c r="AO724" s="394"/>
      <c r="AP724" s="430"/>
      <c r="AQ724" s="395"/>
      <c r="AR724" s="529"/>
      <c r="AS724" s="542"/>
      <c r="AT724" s="542"/>
    </row>
    <row r="725">
      <c r="A725" s="394"/>
      <c r="B725" s="430"/>
      <c r="C725" s="395"/>
      <c r="D725" s="529"/>
      <c r="E725" s="394"/>
      <c r="F725" s="430"/>
      <c r="G725" s="395"/>
      <c r="H725" s="529"/>
      <c r="I725" s="394"/>
      <c r="J725" s="430"/>
      <c r="K725" s="395"/>
      <c r="L725" s="529"/>
      <c r="M725" s="394"/>
      <c r="N725" s="430"/>
      <c r="O725" s="395"/>
      <c r="P725" s="529"/>
      <c r="Q725" s="547"/>
      <c r="R725" s="548"/>
      <c r="S725" s="549"/>
      <c r="T725" s="541"/>
      <c r="U725" s="547"/>
      <c r="V725" s="548"/>
      <c r="W725" s="549"/>
      <c r="X725" s="541"/>
      <c r="Y725" s="547"/>
      <c r="Z725" s="548"/>
      <c r="AA725" s="549"/>
      <c r="AB725" s="541"/>
      <c r="AC725" s="547"/>
      <c r="AD725" s="548"/>
      <c r="AE725" s="549"/>
      <c r="AF725" s="541"/>
      <c r="AG725" s="366"/>
      <c r="AH725" s="366"/>
      <c r="AI725" s="366"/>
      <c r="AJ725" s="366"/>
      <c r="AK725" s="394"/>
      <c r="AL725" s="430"/>
      <c r="AM725" s="395"/>
      <c r="AN725" s="529"/>
      <c r="AO725" s="394"/>
      <c r="AP725" s="430"/>
      <c r="AQ725" s="395"/>
      <c r="AR725" s="529"/>
      <c r="AS725" s="542"/>
      <c r="AT725" s="542"/>
    </row>
    <row r="726">
      <c r="A726" s="394"/>
      <c r="B726" s="430"/>
      <c r="C726" s="395"/>
      <c r="D726" s="529"/>
      <c r="E726" s="394"/>
      <c r="F726" s="430"/>
      <c r="G726" s="395"/>
      <c r="H726" s="529"/>
      <c r="I726" s="394"/>
      <c r="J726" s="430"/>
      <c r="K726" s="395"/>
      <c r="L726" s="529"/>
      <c r="M726" s="394"/>
      <c r="N726" s="430"/>
      <c r="O726" s="395"/>
      <c r="P726" s="529"/>
      <c r="Q726" s="547"/>
      <c r="R726" s="548"/>
      <c r="S726" s="549"/>
      <c r="T726" s="541"/>
      <c r="U726" s="547"/>
      <c r="V726" s="548"/>
      <c r="W726" s="549"/>
      <c r="X726" s="541"/>
      <c r="Y726" s="547"/>
      <c r="Z726" s="548"/>
      <c r="AA726" s="549"/>
      <c r="AB726" s="541"/>
      <c r="AC726" s="547"/>
      <c r="AD726" s="548"/>
      <c r="AE726" s="549"/>
      <c r="AF726" s="541"/>
      <c r="AG726" s="366"/>
      <c r="AH726" s="366"/>
      <c r="AI726" s="366"/>
      <c r="AJ726" s="366"/>
      <c r="AK726" s="394"/>
      <c r="AL726" s="430"/>
      <c r="AM726" s="395"/>
      <c r="AN726" s="529"/>
      <c r="AO726" s="394"/>
      <c r="AP726" s="430"/>
      <c r="AQ726" s="395"/>
      <c r="AR726" s="529"/>
      <c r="AS726" s="542"/>
      <c r="AT726" s="542"/>
    </row>
    <row r="727">
      <c r="A727" s="394"/>
      <c r="B727" s="430"/>
      <c r="C727" s="395"/>
      <c r="D727" s="529"/>
      <c r="E727" s="394"/>
      <c r="F727" s="430"/>
      <c r="G727" s="395"/>
      <c r="H727" s="529"/>
      <c r="I727" s="394"/>
      <c r="J727" s="430"/>
      <c r="K727" s="395"/>
      <c r="L727" s="529"/>
      <c r="M727" s="394"/>
      <c r="N727" s="430"/>
      <c r="O727" s="395"/>
      <c r="P727" s="529"/>
      <c r="Q727" s="547"/>
      <c r="R727" s="548"/>
      <c r="S727" s="549"/>
      <c r="T727" s="541"/>
      <c r="U727" s="547"/>
      <c r="V727" s="548"/>
      <c r="W727" s="549"/>
      <c r="X727" s="541"/>
      <c r="Y727" s="547"/>
      <c r="Z727" s="548"/>
      <c r="AA727" s="549"/>
      <c r="AB727" s="541"/>
      <c r="AC727" s="547"/>
      <c r="AD727" s="548"/>
      <c r="AE727" s="549"/>
      <c r="AF727" s="541"/>
      <c r="AG727" s="366"/>
      <c r="AH727" s="366"/>
      <c r="AI727" s="366"/>
      <c r="AJ727" s="366"/>
      <c r="AK727" s="394"/>
      <c r="AL727" s="430"/>
      <c r="AM727" s="395"/>
      <c r="AN727" s="529"/>
      <c r="AO727" s="394"/>
      <c r="AP727" s="430"/>
      <c r="AQ727" s="395"/>
      <c r="AR727" s="529"/>
      <c r="AS727" s="542"/>
      <c r="AT727" s="542"/>
    </row>
    <row r="728">
      <c r="A728" s="394"/>
      <c r="B728" s="430"/>
      <c r="C728" s="395"/>
      <c r="D728" s="529"/>
      <c r="E728" s="394"/>
      <c r="F728" s="430"/>
      <c r="G728" s="395"/>
      <c r="H728" s="529"/>
      <c r="I728" s="394"/>
      <c r="J728" s="430"/>
      <c r="K728" s="395"/>
      <c r="L728" s="529"/>
      <c r="M728" s="394"/>
      <c r="N728" s="430"/>
      <c r="O728" s="395"/>
      <c r="P728" s="529"/>
      <c r="Q728" s="547"/>
      <c r="R728" s="548"/>
      <c r="S728" s="549"/>
      <c r="T728" s="541"/>
      <c r="U728" s="547"/>
      <c r="V728" s="548"/>
      <c r="W728" s="549"/>
      <c r="X728" s="541"/>
      <c r="Y728" s="547"/>
      <c r="Z728" s="548"/>
      <c r="AA728" s="549"/>
      <c r="AB728" s="541"/>
      <c r="AC728" s="547"/>
      <c r="AD728" s="548"/>
      <c r="AE728" s="549"/>
      <c r="AF728" s="541"/>
      <c r="AG728" s="366"/>
      <c r="AH728" s="366"/>
      <c r="AI728" s="366"/>
      <c r="AJ728" s="366"/>
      <c r="AK728" s="394"/>
      <c r="AL728" s="430"/>
      <c r="AM728" s="395"/>
      <c r="AN728" s="529"/>
      <c r="AO728" s="394"/>
      <c r="AP728" s="430"/>
      <c r="AQ728" s="395"/>
      <c r="AR728" s="529"/>
      <c r="AS728" s="542"/>
      <c r="AT728" s="542"/>
    </row>
    <row r="729">
      <c r="A729" s="394"/>
      <c r="B729" s="430"/>
      <c r="C729" s="395"/>
      <c r="D729" s="529"/>
      <c r="E729" s="394"/>
      <c r="F729" s="430"/>
      <c r="G729" s="395"/>
      <c r="H729" s="529"/>
      <c r="I729" s="394"/>
      <c r="J729" s="430"/>
      <c r="K729" s="395"/>
      <c r="L729" s="529"/>
      <c r="M729" s="394"/>
      <c r="N729" s="430"/>
      <c r="O729" s="395"/>
      <c r="P729" s="529"/>
      <c r="Q729" s="547"/>
      <c r="R729" s="548"/>
      <c r="S729" s="549"/>
      <c r="T729" s="541"/>
      <c r="U729" s="547"/>
      <c r="V729" s="548"/>
      <c r="W729" s="549"/>
      <c r="X729" s="541"/>
      <c r="Y729" s="547"/>
      <c r="Z729" s="548"/>
      <c r="AA729" s="549"/>
      <c r="AB729" s="541"/>
      <c r="AC729" s="547"/>
      <c r="AD729" s="548"/>
      <c r="AE729" s="549"/>
      <c r="AF729" s="541"/>
      <c r="AG729" s="366"/>
      <c r="AH729" s="366"/>
      <c r="AI729" s="366"/>
      <c r="AJ729" s="366"/>
      <c r="AK729" s="394"/>
      <c r="AL729" s="430"/>
      <c r="AM729" s="395"/>
      <c r="AN729" s="529"/>
      <c r="AO729" s="394"/>
      <c r="AP729" s="430"/>
      <c r="AQ729" s="395"/>
      <c r="AR729" s="529"/>
      <c r="AS729" s="542"/>
      <c r="AT729" s="542"/>
    </row>
    <row r="730">
      <c r="A730" s="394"/>
      <c r="B730" s="430"/>
      <c r="C730" s="395"/>
      <c r="D730" s="529"/>
      <c r="E730" s="394"/>
      <c r="F730" s="430"/>
      <c r="G730" s="395"/>
      <c r="H730" s="529"/>
      <c r="I730" s="394"/>
      <c r="J730" s="430"/>
      <c r="K730" s="395"/>
      <c r="L730" s="529"/>
      <c r="M730" s="394"/>
      <c r="N730" s="430"/>
      <c r="O730" s="395"/>
      <c r="P730" s="529"/>
      <c r="Q730" s="547"/>
      <c r="R730" s="548"/>
      <c r="S730" s="549"/>
      <c r="T730" s="541"/>
      <c r="U730" s="547"/>
      <c r="V730" s="548"/>
      <c r="W730" s="549"/>
      <c r="X730" s="541"/>
      <c r="Y730" s="547"/>
      <c r="Z730" s="548"/>
      <c r="AA730" s="549"/>
      <c r="AB730" s="541"/>
      <c r="AC730" s="547"/>
      <c r="AD730" s="548"/>
      <c r="AE730" s="549"/>
      <c r="AF730" s="541"/>
      <c r="AG730" s="366"/>
      <c r="AH730" s="366"/>
      <c r="AI730" s="366"/>
      <c r="AJ730" s="366"/>
      <c r="AK730" s="394"/>
      <c r="AL730" s="430"/>
      <c r="AM730" s="395"/>
      <c r="AN730" s="529"/>
      <c r="AO730" s="394"/>
      <c r="AP730" s="430"/>
      <c r="AQ730" s="395"/>
      <c r="AR730" s="529"/>
      <c r="AS730" s="542"/>
      <c r="AT730" s="542"/>
    </row>
    <row r="731">
      <c r="A731" s="394"/>
      <c r="B731" s="430"/>
      <c r="C731" s="395"/>
      <c r="D731" s="529"/>
      <c r="E731" s="394"/>
      <c r="F731" s="430"/>
      <c r="G731" s="395"/>
      <c r="H731" s="529"/>
      <c r="I731" s="394"/>
      <c r="J731" s="430"/>
      <c r="K731" s="395"/>
      <c r="L731" s="529"/>
      <c r="M731" s="394"/>
      <c r="N731" s="430"/>
      <c r="O731" s="395"/>
      <c r="P731" s="529"/>
      <c r="Q731" s="547"/>
      <c r="R731" s="548"/>
      <c r="S731" s="549"/>
      <c r="T731" s="541"/>
      <c r="U731" s="547"/>
      <c r="V731" s="548"/>
      <c r="W731" s="549"/>
      <c r="X731" s="541"/>
      <c r="Y731" s="547"/>
      <c r="Z731" s="548"/>
      <c r="AA731" s="549"/>
      <c r="AB731" s="541"/>
      <c r="AC731" s="547"/>
      <c r="AD731" s="548"/>
      <c r="AE731" s="549"/>
      <c r="AF731" s="541"/>
      <c r="AG731" s="366"/>
      <c r="AH731" s="366"/>
      <c r="AI731" s="366"/>
      <c r="AJ731" s="366"/>
      <c r="AK731" s="394"/>
      <c r="AL731" s="430"/>
      <c r="AM731" s="395"/>
      <c r="AN731" s="529"/>
      <c r="AO731" s="394"/>
      <c r="AP731" s="430"/>
      <c r="AQ731" s="395"/>
      <c r="AR731" s="529"/>
      <c r="AS731" s="542"/>
      <c r="AT731" s="542"/>
    </row>
    <row r="732">
      <c r="A732" s="394"/>
      <c r="B732" s="430"/>
      <c r="C732" s="395"/>
      <c r="D732" s="529"/>
      <c r="E732" s="394"/>
      <c r="F732" s="430"/>
      <c r="G732" s="395"/>
      <c r="H732" s="529"/>
      <c r="I732" s="394"/>
      <c r="J732" s="430"/>
      <c r="K732" s="395"/>
      <c r="L732" s="529"/>
      <c r="M732" s="394"/>
      <c r="N732" s="430"/>
      <c r="O732" s="395"/>
      <c r="P732" s="529"/>
      <c r="Q732" s="547"/>
      <c r="R732" s="548"/>
      <c r="S732" s="549"/>
      <c r="T732" s="541"/>
      <c r="U732" s="547"/>
      <c r="V732" s="548"/>
      <c r="W732" s="549"/>
      <c r="X732" s="541"/>
      <c r="Y732" s="547"/>
      <c r="Z732" s="548"/>
      <c r="AA732" s="549"/>
      <c r="AB732" s="541"/>
      <c r="AC732" s="547"/>
      <c r="AD732" s="548"/>
      <c r="AE732" s="549"/>
      <c r="AF732" s="541"/>
      <c r="AG732" s="366"/>
      <c r="AH732" s="366"/>
      <c r="AI732" s="366"/>
      <c r="AJ732" s="366"/>
      <c r="AK732" s="394"/>
      <c r="AL732" s="430"/>
      <c r="AM732" s="395"/>
      <c r="AN732" s="529"/>
      <c r="AO732" s="394"/>
      <c r="AP732" s="430"/>
      <c r="AQ732" s="395"/>
      <c r="AR732" s="529"/>
      <c r="AS732" s="542"/>
      <c r="AT732" s="542"/>
    </row>
    <row r="733">
      <c r="A733" s="394"/>
      <c r="B733" s="430"/>
      <c r="C733" s="395"/>
      <c r="D733" s="529"/>
      <c r="E733" s="394"/>
      <c r="F733" s="430"/>
      <c r="G733" s="395"/>
      <c r="H733" s="529"/>
      <c r="I733" s="394"/>
      <c r="J733" s="430"/>
      <c r="K733" s="395"/>
      <c r="L733" s="529"/>
      <c r="M733" s="394"/>
      <c r="N733" s="430"/>
      <c r="O733" s="395"/>
      <c r="P733" s="529"/>
      <c r="Q733" s="547"/>
      <c r="R733" s="548"/>
      <c r="S733" s="549"/>
      <c r="T733" s="541"/>
      <c r="U733" s="547"/>
      <c r="V733" s="548"/>
      <c r="W733" s="549"/>
      <c r="X733" s="541"/>
      <c r="Y733" s="547"/>
      <c r="Z733" s="548"/>
      <c r="AA733" s="549"/>
      <c r="AB733" s="541"/>
      <c r="AC733" s="547"/>
      <c r="AD733" s="548"/>
      <c r="AE733" s="549"/>
      <c r="AF733" s="541"/>
      <c r="AG733" s="366"/>
      <c r="AH733" s="366"/>
      <c r="AI733" s="366"/>
      <c r="AJ733" s="366"/>
      <c r="AK733" s="394"/>
      <c r="AL733" s="430"/>
      <c r="AM733" s="395"/>
      <c r="AN733" s="529"/>
      <c r="AO733" s="394"/>
      <c r="AP733" s="430"/>
      <c r="AQ733" s="395"/>
      <c r="AR733" s="529"/>
      <c r="AS733" s="542"/>
      <c r="AT733" s="542"/>
    </row>
    <row r="734">
      <c r="A734" s="394"/>
      <c r="B734" s="430"/>
      <c r="C734" s="395"/>
      <c r="D734" s="529"/>
      <c r="E734" s="394"/>
      <c r="F734" s="430"/>
      <c r="G734" s="395"/>
      <c r="H734" s="529"/>
      <c r="I734" s="394"/>
      <c r="J734" s="430"/>
      <c r="K734" s="395"/>
      <c r="L734" s="529"/>
      <c r="M734" s="394"/>
      <c r="N734" s="430"/>
      <c r="O734" s="395"/>
      <c r="P734" s="529"/>
      <c r="Q734" s="547"/>
      <c r="R734" s="548"/>
      <c r="S734" s="549"/>
      <c r="T734" s="541"/>
      <c r="U734" s="547"/>
      <c r="V734" s="548"/>
      <c r="W734" s="549"/>
      <c r="X734" s="541"/>
      <c r="Y734" s="547"/>
      <c r="Z734" s="548"/>
      <c r="AA734" s="549"/>
      <c r="AB734" s="541"/>
      <c r="AC734" s="547"/>
      <c r="AD734" s="548"/>
      <c r="AE734" s="549"/>
      <c r="AF734" s="541"/>
      <c r="AG734" s="366"/>
      <c r="AH734" s="366"/>
      <c r="AI734" s="366"/>
      <c r="AJ734" s="366"/>
      <c r="AK734" s="394"/>
      <c r="AL734" s="430"/>
      <c r="AM734" s="395"/>
      <c r="AN734" s="529"/>
      <c r="AO734" s="394"/>
      <c r="AP734" s="430"/>
      <c r="AQ734" s="395"/>
      <c r="AR734" s="529"/>
      <c r="AS734" s="542"/>
      <c r="AT734" s="542"/>
    </row>
    <row r="735">
      <c r="A735" s="394"/>
      <c r="B735" s="430"/>
      <c r="C735" s="395"/>
      <c r="D735" s="529"/>
      <c r="E735" s="394"/>
      <c r="F735" s="430"/>
      <c r="G735" s="395"/>
      <c r="H735" s="529"/>
      <c r="I735" s="394"/>
      <c r="J735" s="430"/>
      <c r="K735" s="395"/>
      <c r="L735" s="529"/>
      <c r="M735" s="394"/>
      <c r="N735" s="430"/>
      <c r="O735" s="395"/>
      <c r="P735" s="529"/>
      <c r="Q735" s="547"/>
      <c r="R735" s="548"/>
      <c r="S735" s="549"/>
      <c r="T735" s="541"/>
      <c r="U735" s="547"/>
      <c r="V735" s="548"/>
      <c r="W735" s="549"/>
      <c r="X735" s="541"/>
      <c r="Y735" s="547"/>
      <c r="Z735" s="548"/>
      <c r="AA735" s="549"/>
      <c r="AB735" s="541"/>
      <c r="AC735" s="547"/>
      <c r="AD735" s="548"/>
      <c r="AE735" s="549"/>
      <c r="AF735" s="541"/>
      <c r="AG735" s="366"/>
      <c r="AH735" s="366"/>
      <c r="AI735" s="366"/>
      <c r="AJ735" s="366"/>
      <c r="AK735" s="394"/>
      <c r="AL735" s="430"/>
      <c r="AM735" s="395"/>
      <c r="AN735" s="529"/>
      <c r="AO735" s="394"/>
      <c r="AP735" s="430"/>
      <c r="AQ735" s="395"/>
      <c r="AR735" s="529"/>
      <c r="AS735" s="542"/>
      <c r="AT735" s="542"/>
    </row>
    <row r="736">
      <c r="A736" s="394"/>
      <c r="B736" s="430"/>
      <c r="C736" s="395"/>
      <c r="D736" s="529"/>
      <c r="E736" s="394"/>
      <c r="F736" s="430"/>
      <c r="G736" s="395"/>
      <c r="H736" s="529"/>
      <c r="I736" s="394"/>
      <c r="J736" s="430"/>
      <c r="K736" s="395"/>
      <c r="L736" s="529"/>
      <c r="M736" s="394"/>
      <c r="N736" s="430"/>
      <c r="O736" s="395"/>
      <c r="P736" s="529"/>
      <c r="Q736" s="547"/>
      <c r="R736" s="548"/>
      <c r="S736" s="549"/>
      <c r="T736" s="541"/>
      <c r="U736" s="547"/>
      <c r="V736" s="548"/>
      <c r="W736" s="549"/>
      <c r="X736" s="541"/>
      <c r="Y736" s="547"/>
      <c r="Z736" s="548"/>
      <c r="AA736" s="549"/>
      <c r="AB736" s="541"/>
      <c r="AC736" s="547"/>
      <c r="AD736" s="548"/>
      <c r="AE736" s="549"/>
      <c r="AF736" s="541"/>
      <c r="AG736" s="366"/>
      <c r="AH736" s="366"/>
      <c r="AI736" s="366"/>
      <c r="AJ736" s="366"/>
      <c r="AK736" s="394"/>
      <c r="AL736" s="430"/>
      <c r="AM736" s="395"/>
      <c r="AN736" s="529"/>
      <c r="AO736" s="394"/>
      <c r="AP736" s="430"/>
      <c r="AQ736" s="395"/>
      <c r="AR736" s="529"/>
      <c r="AS736" s="542"/>
      <c r="AT736" s="542"/>
    </row>
    <row r="737">
      <c r="A737" s="394"/>
      <c r="B737" s="430"/>
      <c r="C737" s="395"/>
      <c r="D737" s="529"/>
      <c r="E737" s="394"/>
      <c r="F737" s="430"/>
      <c r="G737" s="395"/>
      <c r="H737" s="529"/>
      <c r="I737" s="394"/>
      <c r="J737" s="430"/>
      <c r="K737" s="395"/>
      <c r="L737" s="529"/>
      <c r="M737" s="394"/>
      <c r="N737" s="430"/>
      <c r="O737" s="395"/>
      <c r="P737" s="529"/>
      <c r="Q737" s="547"/>
      <c r="R737" s="548"/>
      <c r="S737" s="549"/>
      <c r="T737" s="541"/>
      <c r="U737" s="547"/>
      <c r="V737" s="548"/>
      <c r="W737" s="549"/>
      <c r="X737" s="541"/>
      <c r="Y737" s="547"/>
      <c r="Z737" s="548"/>
      <c r="AA737" s="549"/>
      <c r="AB737" s="541"/>
      <c r="AC737" s="547"/>
      <c r="AD737" s="548"/>
      <c r="AE737" s="549"/>
      <c r="AF737" s="541"/>
      <c r="AG737" s="366"/>
      <c r="AH737" s="366"/>
      <c r="AI737" s="366"/>
      <c r="AJ737" s="366"/>
      <c r="AK737" s="394"/>
      <c r="AL737" s="430"/>
      <c r="AM737" s="395"/>
      <c r="AN737" s="529"/>
      <c r="AO737" s="394"/>
      <c r="AP737" s="430"/>
      <c r="AQ737" s="395"/>
      <c r="AR737" s="529"/>
      <c r="AS737" s="542"/>
      <c r="AT737" s="542"/>
    </row>
    <row r="738">
      <c r="A738" s="394"/>
      <c r="B738" s="430"/>
      <c r="C738" s="395"/>
      <c r="D738" s="529"/>
      <c r="E738" s="394"/>
      <c r="F738" s="430"/>
      <c r="G738" s="395"/>
      <c r="H738" s="529"/>
      <c r="I738" s="394"/>
      <c r="J738" s="430"/>
      <c r="K738" s="395"/>
      <c r="L738" s="529"/>
      <c r="M738" s="394"/>
      <c r="N738" s="430"/>
      <c r="O738" s="395"/>
      <c r="P738" s="529"/>
      <c r="Q738" s="547"/>
      <c r="R738" s="548"/>
      <c r="S738" s="549"/>
      <c r="T738" s="541"/>
      <c r="U738" s="547"/>
      <c r="V738" s="548"/>
      <c r="W738" s="549"/>
      <c r="X738" s="541"/>
      <c r="Y738" s="547"/>
      <c r="Z738" s="548"/>
      <c r="AA738" s="549"/>
      <c r="AB738" s="541"/>
      <c r="AC738" s="547"/>
      <c r="AD738" s="548"/>
      <c r="AE738" s="549"/>
      <c r="AF738" s="541"/>
      <c r="AG738" s="366"/>
      <c r="AH738" s="366"/>
      <c r="AI738" s="366"/>
      <c r="AJ738" s="366"/>
      <c r="AK738" s="394"/>
      <c r="AL738" s="430"/>
      <c r="AM738" s="395"/>
      <c r="AN738" s="529"/>
      <c r="AO738" s="394"/>
      <c r="AP738" s="430"/>
      <c r="AQ738" s="395"/>
      <c r="AR738" s="529"/>
      <c r="AS738" s="542"/>
      <c r="AT738" s="542"/>
    </row>
    <row r="739">
      <c r="A739" s="394"/>
      <c r="B739" s="430"/>
      <c r="C739" s="395"/>
      <c r="D739" s="529"/>
      <c r="E739" s="394"/>
      <c r="F739" s="430"/>
      <c r="G739" s="395"/>
      <c r="H739" s="529"/>
      <c r="I739" s="394"/>
      <c r="J739" s="430"/>
      <c r="K739" s="395"/>
      <c r="L739" s="529"/>
      <c r="M739" s="394"/>
      <c r="N739" s="430"/>
      <c r="O739" s="395"/>
      <c r="P739" s="529"/>
      <c r="Q739" s="547"/>
      <c r="R739" s="548"/>
      <c r="S739" s="549"/>
      <c r="T739" s="541"/>
      <c r="U739" s="547"/>
      <c r="V739" s="548"/>
      <c r="W739" s="549"/>
      <c r="X739" s="541"/>
      <c r="Y739" s="547"/>
      <c r="Z739" s="548"/>
      <c r="AA739" s="549"/>
      <c r="AB739" s="541"/>
      <c r="AC739" s="547"/>
      <c r="AD739" s="548"/>
      <c r="AE739" s="549"/>
      <c r="AF739" s="541"/>
      <c r="AG739" s="366"/>
      <c r="AH739" s="366"/>
      <c r="AI739" s="366"/>
      <c r="AJ739" s="366"/>
      <c r="AK739" s="394"/>
      <c r="AL739" s="430"/>
      <c r="AM739" s="395"/>
      <c r="AN739" s="529"/>
      <c r="AO739" s="394"/>
      <c r="AP739" s="430"/>
      <c r="AQ739" s="395"/>
      <c r="AR739" s="529"/>
      <c r="AS739" s="542"/>
      <c r="AT739" s="542"/>
    </row>
    <row r="740">
      <c r="A740" s="394"/>
      <c r="B740" s="430"/>
      <c r="C740" s="395"/>
      <c r="D740" s="529"/>
      <c r="E740" s="394"/>
      <c r="F740" s="430"/>
      <c r="G740" s="395"/>
      <c r="H740" s="529"/>
      <c r="I740" s="394"/>
      <c r="J740" s="430"/>
      <c r="K740" s="395"/>
      <c r="L740" s="529"/>
      <c r="M740" s="394"/>
      <c r="N740" s="430"/>
      <c r="O740" s="395"/>
      <c r="P740" s="529"/>
      <c r="Q740" s="547"/>
      <c r="R740" s="548"/>
      <c r="S740" s="549"/>
      <c r="T740" s="541"/>
      <c r="U740" s="547"/>
      <c r="V740" s="548"/>
      <c r="W740" s="549"/>
      <c r="X740" s="541"/>
      <c r="Y740" s="547"/>
      <c r="Z740" s="548"/>
      <c r="AA740" s="549"/>
      <c r="AB740" s="541"/>
      <c r="AC740" s="547"/>
      <c r="AD740" s="548"/>
      <c r="AE740" s="549"/>
      <c r="AF740" s="541"/>
      <c r="AG740" s="366"/>
      <c r="AH740" s="366"/>
      <c r="AI740" s="366"/>
      <c r="AJ740" s="366"/>
      <c r="AK740" s="394"/>
      <c r="AL740" s="430"/>
      <c r="AM740" s="395"/>
      <c r="AN740" s="529"/>
      <c r="AO740" s="394"/>
      <c r="AP740" s="430"/>
      <c r="AQ740" s="395"/>
      <c r="AR740" s="529"/>
      <c r="AS740" s="542"/>
      <c r="AT740" s="542"/>
    </row>
    <row r="741">
      <c r="A741" s="394"/>
      <c r="B741" s="430"/>
      <c r="C741" s="395"/>
      <c r="D741" s="529"/>
      <c r="E741" s="394"/>
      <c r="F741" s="430"/>
      <c r="G741" s="395"/>
      <c r="H741" s="529"/>
      <c r="I741" s="394"/>
      <c r="J741" s="430"/>
      <c r="K741" s="395"/>
      <c r="L741" s="529"/>
      <c r="M741" s="394"/>
      <c r="N741" s="430"/>
      <c r="O741" s="395"/>
      <c r="P741" s="529"/>
      <c r="Q741" s="547"/>
      <c r="R741" s="548"/>
      <c r="S741" s="549"/>
      <c r="T741" s="541"/>
      <c r="U741" s="547"/>
      <c r="V741" s="548"/>
      <c r="W741" s="549"/>
      <c r="X741" s="541"/>
      <c r="Y741" s="547"/>
      <c r="Z741" s="548"/>
      <c r="AA741" s="549"/>
      <c r="AB741" s="541"/>
      <c r="AC741" s="547"/>
      <c r="AD741" s="548"/>
      <c r="AE741" s="549"/>
      <c r="AF741" s="541"/>
      <c r="AG741" s="366"/>
      <c r="AH741" s="366"/>
      <c r="AI741" s="366"/>
      <c r="AJ741" s="366"/>
      <c r="AK741" s="394"/>
      <c r="AL741" s="430"/>
      <c r="AM741" s="395"/>
      <c r="AN741" s="529"/>
      <c r="AO741" s="394"/>
      <c r="AP741" s="430"/>
      <c r="AQ741" s="395"/>
      <c r="AR741" s="529"/>
      <c r="AS741" s="542"/>
      <c r="AT741" s="542"/>
    </row>
    <row r="742">
      <c r="A742" s="394"/>
      <c r="B742" s="430"/>
      <c r="C742" s="395"/>
      <c r="D742" s="529"/>
      <c r="E742" s="394"/>
      <c r="F742" s="430"/>
      <c r="G742" s="395"/>
      <c r="H742" s="529"/>
      <c r="I742" s="394"/>
      <c r="J742" s="430"/>
      <c r="K742" s="395"/>
      <c r="L742" s="529"/>
      <c r="M742" s="394"/>
      <c r="N742" s="430"/>
      <c r="O742" s="395"/>
      <c r="P742" s="529"/>
      <c r="Q742" s="547"/>
      <c r="R742" s="548"/>
      <c r="S742" s="549"/>
      <c r="T742" s="541"/>
      <c r="U742" s="547"/>
      <c r="V742" s="548"/>
      <c r="W742" s="549"/>
      <c r="X742" s="541"/>
      <c r="Y742" s="547"/>
      <c r="Z742" s="548"/>
      <c r="AA742" s="549"/>
      <c r="AB742" s="541"/>
      <c r="AC742" s="547"/>
      <c r="AD742" s="548"/>
      <c r="AE742" s="549"/>
      <c r="AF742" s="541"/>
      <c r="AG742" s="366"/>
      <c r="AH742" s="366"/>
      <c r="AI742" s="366"/>
      <c r="AJ742" s="366"/>
      <c r="AK742" s="394"/>
      <c r="AL742" s="430"/>
      <c r="AM742" s="395"/>
      <c r="AN742" s="529"/>
      <c r="AO742" s="394"/>
      <c r="AP742" s="430"/>
      <c r="AQ742" s="395"/>
      <c r="AR742" s="529"/>
      <c r="AS742" s="542"/>
      <c r="AT742" s="542"/>
    </row>
    <row r="743">
      <c r="A743" s="394"/>
      <c r="B743" s="430"/>
      <c r="C743" s="395"/>
      <c r="D743" s="529"/>
      <c r="E743" s="394"/>
      <c r="F743" s="430"/>
      <c r="G743" s="395"/>
      <c r="H743" s="529"/>
      <c r="I743" s="394"/>
      <c r="J743" s="430"/>
      <c r="K743" s="395"/>
      <c r="L743" s="529"/>
      <c r="M743" s="394"/>
      <c r="N743" s="430"/>
      <c r="O743" s="395"/>
      <c r="P743" s="529"/>
      <c r="Q743" s="547"/>
      <c r="R743" s="548"/>
      <c r="S743" s="549"/>
      <c r="T743" s="541"/>
      <c r="U743" s="547"/>
      <c r="V743" s="548"/>
      <c r="W743" s="549"/>
      <c r="X743" s="541"/>
      <c r="Y743" s="547"/>
      <c r="Z743" s="548"/>
      <c r="AA743" s="549"/>
      <c r="AB743" s="541"/>
      <c r="AC743" s="547"/>
      <c r="AD743" s="548"/>
      <c r="AE743" s="549"/>
      <c r="AF743" s="541"/>
      <c r="AG743" s="366"/>
      <c r="AH743" s="366"/>
      <c r="AI743" s="366"/>
      <c r="AJ743" s="366"/>
      <c r="AK743" s="394"/>
      <c r="AL743" s="430"/>
      <c r="AM743" s="395"/>
      <c r="AN743" s="529"/>
      <c r="AO743" s="394"/>
      <c r="AP743" s="430"/>
      <c r="AQ743" s="395"/>
      <c r="AR743" s="529"/>
      <c r="AS743" s="542"/>
      <c r="AT743" s="542"/>
    </row>
    <row r="744">
      <c r="A744" s="394"/>
      <c r="B744" s="430"/>
      <c r="C744" s="395"/>
      <c r="D744" s="529"/>
      <c r="E744" s="394"/>
      <c r="F744" s="430"/>
      <c r="G744" s="395"/>
      <c r="H744" s="529"/>
      <c r="I744" s="394"/>
      <c r="J744" s="430"/>
      <c r="K744" s="395"/>
      <c r="L744" s="529"/>
      <c r="M744" s="394"/>
      <c r="N744" s="430"/>
      <c r="O744" s="395"/>
      <c r="P744" s="529"/>
      <c r="Q744" s="547"/>
      <c r="R744" s="548"/>
      <c r="S744" s="549"/>
      <c r="T744" s="541"/>
      <c r="U744" s="547"/>
      <c r="V744" s="548"/>
      <c r="W744" s="549"/>
      <c r="X744" s="541"/>
      <c r="Y744" s="547"/>
      <c r="Z744" s="548"/>
      <c r="AA744" s="549"/>
      <c r="AB744" s="541"/>
      <c r="AC744" s="547"/>
      <c r="AD744" s="548"/>
      <c r="AE744" s="549"/>
      <c r="AF744" s="541"/>
      <c r="AG744" s="366"/>
      <c r="AH744" s="366"/>
      <c r="AI744" s="366"/>
      <c r="AJ744" s="366"/>
      <c r="AK744" s="394"/>
      <c r="AL744" s="430"/>
      <c r="AM744" s="395"/>
      <c r="AN744" s="529"/>
      <c r="AO744" s="394"/>
      <c r="AP744" s="430"/>
      <c r="AQ744" s="395"/>
      <c r="AR744" s="529"/>
      <c r="AS744" s="542"/>
      <c r="AT744" s="542"/>
    </row>
    <row r="745">
      <c r="A745" s="394"/>
      <c r="B745" s="430"/>
      <c r="C745" s="395"/>
      <c r="D745" s="529"/>
      <c r="E745" s="394"/>
      <c r="F745" s="430"/>
      <c r="G745" s="395"/>
      <c r="H745" s="529"/>
      <c r="I745" s="394"/>
      <c r="J745" s="430"/>
      <c r="K745" s="395"/>
      <c r="L745" s="529"/>
      <c r="M745" s="394"/>
      <c r="N745" s="430"/>
      <c r="O745" s="395"/>
      <c r="P745" s="529"/>
      <c r="Q745" s="547"/>
      <c r="R745" s="548"/>
      <c r="S745" s="549"/>
      <c r="T745" s="541"/>
      <c r="U745" s="547"/>
      <c r="V745" s="548"/>
      <c r="W745" s="549"/>
      <c r="X745" s="541"/>
      <c r="Y745" s="547"/>
      <c r="Z745" s="548"/>
      <c r="AA745" s="549"/>
      <c r="AB745" s="541"/>
      <c r="AC745" s="547"/>
      <c r="AD745" s="548"/>
      <c r="AE745" s="549"/>
      <c r="AF745" s="541"/>
      <c r="AG745" s="366"/>
      <c r="AH745" s="366"/>
      <c r="AI745" s="366"/>
      <c r="AJ745" s="366"/>
      <c r="AK745" s="394"/>
      <c r="AL745" s="430"/>
      <c r="AM745" s="395"/>
      <c r="AN745" s="529"/>
      <c r="AO745" s="394"/>
      <c r="AP745" s="430"/>
      <c r="AQ745" s="395"/>
      <c r="AR745" s="529"/>
      <c r="AS745" s="542"/>
      <c r="AT745" s="542"/>
    </row>
    <row r="746">
      <c r="A746" s="394"/>
      <c r="B746" s="430"/>
      <c r="C746" s="395"/>
      <c r="D746" s="529"/>
      <c r="E746" s="394"/>
      <c r="F746" s="430"/>
      <c r="G746" s="395"/>
      <c r="H746" s="529"/>
      <c r="I746" s="394"/>
      <c r="J746" s="430"/>
      <c r="K746" s="395"/>
      <c r="L746" s="529"/>
      <c r="M746" s="394"/>
      <c r="N746" s="430"/>
      <c r="O746" s="395"/>
      <c r="P746" s="529"/>
      <c r="Q746" s="547"/>
      <c r="R746" s="548"/>
      <c r="S746" s="549"/>
      <c r="T746" s="541"/>
      <c r="U746" s="547"/>
      <c r="V746" s="548"/>
      <c r="W746" s="549"/>
      <c r="X746" s="541"/>
      <c r="Y746" s="547"/>
      <c r="Z746" s="548"/>
      <c r="AA746" s="549"/>
      <c r="AB746" s="541"/>
      <c r="AC746" s="547"/>
      <c r="AD746" s="548"/>
      <c r="AE746" s="549"/>
      <c r="AF746" s="541"/>
      <c r="AG746" s="366"/>
      <c r="AH746" s="366"/>
      <c r="AI746" s="366"/>
      <c r="AJ746" s="366"/>
      <c r="AK746" s="394"/>
      <c r="AL746" s="430"/>
      <c r="AM746" s="395"/>
      <c r="AN746" s="529"/>
      <c r="AO746" s="394"/>
      <c r="AP746" s="430"/>
      <c r="AQ746" s="395"/>
      <c r="AR746" s="529"/>
      <c r="AS746" s="542"/>
      <c r="AT746" s="542"/>
    </row>
    <row r="747">
      <c r="A747" s="394"/>
      <c r="B747" s="430"/>
      <c r="C747" s="395"/>
      <c r="D747" s="529"/>
      <c r="E747" s="394"/>
      <c r="F747" s="430"/>
      <c r="G747" s="395"/>
      <c r="H747" s="529"/>
      <c r="I747" s="394"/>
      <c r="J747" s="430"/>
      <c r="K747" s="395"/>
      <c r="L747" s="529"/>
      <c r="M747" s="394"/>
      <c r="N747" s="430"/>
      <c r="O747" s="395"/>
      <c r="P747" s="529"/>
      <c r="Q747" s="547"/>
      <c r="R747" s="548"/>
      <c r="S747" s="549"/>
      <c r="T747" s="541"/>
      <c r="U747" s="547"/>
      <c r="V747" s="548"/>
      <c r="W747" s="549"/>
      <c r="X747" s="541"/>
      <c r="Y747" s="547"/>
      <c r="Z747" s="548"/>
      <c r="AA747" s="549"/>
      <c r="AB747" s="541"/>
      <c r="AC747" s="547"/>
      <c r="AD747" s="548"/>
      <c r="AE747" s="549"/>
      <c r="AF747" s="541"/>
      <c r="AG747" s="366"/>
      <c r="AH747" s="366"/>
      <c r="AI747" s="366"/>
      <c r="AJ747" s="366"/>
      <c r="AK747" s="394"/>
      <c r="AL747" s="430"/>
      <c r="AM747" s="395"/>
      <c r="AN747" s="529"/>
      <c r="AO747" s="394"/>
      <c r="AP747" s="430"/>
      <c r="AQ747" s="395"/>
      <c r="AR747" s="529"/>
      <c r="AS747" s="542"/>
      <c r="AT747" s="542"/>
    </row>
    <row r="748">
      <c r="A748" s="394"/>
      <c r="B748" s="430"/>
      <c r="C748" s="395"/>
      <c r="D748" s="529"/>
      <c r="E748" s="394"/>
      <c r="F748" s="430"/>
      <c r="G748" s="395"/>
      <c r="H748" s="529"/>
      <c r="I748" s="394"/>
      <c r="J748" s="430"/>
      <c r="K748" s="395"/>
      <c r="L748" s="529"/>
      <c r="M748" s="394"/>
      <c r="N748" s="430"/>
      <c r="O748" s="395"/>
      <c r="P748" s="529"/>
      <c r="Q748" s="547"/>
      <c r="R748" s="548"/>
      <c r="S748" s="549"/>
      <c r="T748" s="541"/>
      <c r="U748" s="547"/>
      <c r="V748" s="548"/>
      <c r="W748" s="549"/>
      <c r="X748" s="541"/>
      <c r="Y748" s="547"/>
      <c r="Z748" s="548"/>
      <c r="AA748" s="549"/>
      <c r="AB748" s="541"/>
      <c r="AC748" s="547"/>
      <c r="AD748" s="548"/>
      <c r="AE748" s="549"/>
      <c r="AF748" s="541"/>
      <c r="AG748" s="366"/>
      <c r="AH748" s="366"/>
      <c r="AI748" s="366"/>
      <c r="AJ748" s="366"/>
      <c r="AK748" s="394"/>
      <c r="AL748" s="430"/>
      <c r="AM748" s="395"/>
      <c r="AN748" s="529"/>
      <c r="AO748" s="394"/>
      <c r="AP748" s="430"/>
      <c r="AQ748" s="395"/>
      <c r="AR748" s="529"/>
      <c r="AS748" s="542"/>
      <c r="AT748" s="542"/>
    </row>
    <row r="749">
      <c r="A749" s="394"/>
      <c r="B749" s="430"/>
      <c r="C749" s="395"/>
      <c r="D749" s="529"/>
      <c r="E749" s="394"/>
      <c r="F749" s="430"/>
      <c r="G749" s="395"/>
      <c r="H749" s="529"/>
      <c r="I749" s="394"/>
      <c r="J749" s="430"/>
      <c r="K749" s="395"/>
      <c r="L749" s="529"/>
      <c r="M749" s="394"/>
      <c r="N749" s="430"/>
      <c r="O749" s="395"/>
      <c r="P749" s="529"/>
      <c r="Q749" s="547"/>
      <c r="R749" s="548"/>
      <c r="S749" s="549"/>
      <c r="T749" s="541"/>
      <c r="U749" s="547"/>
      <c r="V749" s="548"/>
      <c r="W749" s="549"/>
      <c r="X749" s="541"/>
      <c r="Y749" s="547"/>
      <c r="Z749" s="548"/>
      <c r="AA749" s="549"/>
      <c r="AB749" s="541"/>
      <c r="AC749" s="547"/>
      <c r="AD749" s="548"/>
      <c r="AE749" s="549"/>
      <c r="AF749" s="541"/>
      <c r="AG749" s="366"/>
      <c r="AH749" s="366"/>
      <c r="AI749" s="366"/>
      <c r="AJ749" s="366"/>
      <c r="AK749" s="394"/>
      <c r="AL749" s="430"/>
      <c r="AM749" s="395"/>
      <c r="AN749" s="529"/>
      <c r="AO749" s="394"/>
      <c r="AP749" s="430"/>
      <c r="AQ749" s="395"/>
      <c r="AR749" s="529"/>
      <c r="AS749" s="542"/>
      <c r="AT749" s="542"/>
    </row>
    <row r="750">
      <c r="A750" s="394"/>
      <c r="B750" s="430"/>
      <c r="C750" s="395"/>
      <c r="D750" s="529"/>
      <c r="E750" s="394"/>
      <c r="F750" s="430"/>
      <c r="G750" s="395"/>
      <c r="H750" s="529"/>
      <c r="I750" s="394"/>
      <c r="J750" s="430"/>
      <c r="K750" s="395"/>
      <c r="L750" s="529"/>
      <c r="M750" s="394"/>
      <c r="N750" s="430"/>
      <c r="O750" s="395"/>
      <c r="P750" s="529"/>
      <c r="Q750" s="547"/>
      <c r="R750" s="548"/>
      <c r="S750" s="549"/>
      <c r="T750" s="541"/>
      <c r="U750" s="547"/>
      <c r="V750" s="548"/>
      <c r="W750" s="549"/>
      <c r="X750" s="541"/>
      <c r="Y750" s="547"/>
      <c r="Z750" s="548"/>
      <c r="AA750" s="549"/>
      <c r="AB750" s="541"/>
      <c r="AC750" s="547"/>
      <c r="AD750" s="548"/>
      <c r="AE750" s="549"/>
      <c r="AF750" s="541"/>
      <c r="AG750" s="366"/>
      <c r="AH750" s="366"/>
      <c r="AI750" s="366"/>
      <c r="AJ750" s="366"/>
      <c r="AK750" s="394"/>
      <c r="AL750" s="430"/>
      <c r="AM750" s="395"/>
      <c r="AN750" s="529"/>
      <c r="AO750" s="394"/>
      <c r="AP750" s="430"/>
      <c r="AQ750" s="395"/>
      <c r="AR750" s="529"/>
      <c r="AS750" s="542"/>
      <c r="AT750" s="542"/>
    </row>
    <row r="751">
      <c r="A751" s="394"/>
      <c r="B751" s="430"/>
      <c r="C751" s="395"/>
      <c r="D751" s="529"/>
      <c r="E751" s="394"/>
      <c r="F751" s="430"/>
      <c r="G751" s="395"/>
      <c r="H751" s="529"/>
      <c r="I751" s="394"/>
      <c r="J751" s="430"/>
      <c r="K751" s="395"/>
      <c r="L751" s="529"/>
      <c r="M751" s="394"/>
      <c r="N751" s="430"/>
      <c r="O751" s="395"/>
      <c r="P751" s="529"/>
      <c r="Q751" s="547"/>
      <c r="R751" s="548"/>
      <c r="S751" s="549"/>
      <c r="T751" s="541"/>
      <c r="U751" s="547"/>
      <c r="V751" s="548"/>
      <c r="W751" s="549"/>
      <c r="X751" s="541"/>
      <c r="Y751" s="547"/>
      <c r="Z751" s="548"/>
      <c r="AA751" s="549"/>
      <c r="AB751" s="541"/>
      <c r="AC751" s="547"/>
      <c r="AD751" s="548"/>
      <c r="AE751" s="549"/>
      <c r="AF751" s="541"/>
      <c r="AG751" s="366"/>
      <c r="AH751" s="366"/>
      <c r="AI751" s="366"/>
      <c r="AJ751" s="366"/>
      <c r="AK751" s="394"/>
      <c r="AL751" s="430"/>
      <c r="AM751" s="395"/>
      <c r="AN751" s="529"/>
      <c r="AO751" s="394"/>
      <c r="AP751" s="430"/>
      <c r="AQ751" s="395"/>
      <c r="AR751" s="529"/>
      <c r="AS751" s="542"/>
      <c r="AT751" s="542"/>
    </row>
    <row r="752">
      <c r="A752" s="394"/>
      <c r="B752" s="430"/>
      <c r="C752" s="395"/>
      <c r="D752" s="529"/>
      <c r="E752" s="394"/>
      <c r="F752" s="430"/>
      <c r="G752" s="395"/>
      <c r="H752" s="529"/>
      <c r="I752" s="394"/>
      <c r="J752" s="430"/>
      <c r="K752" s="395"/>
      <c r="L752" s="529"/>
      <c r="M752" s="394"/>
      <c r="N752" s="430"/>
      <c r="O752" s="395"/>
      <c r="P752" s="529"/>
      <c r="Q752" s="547"/>
      <c r="R752" s="548"/>
      <c r="S752" s="549"/>
      <c r="T752" s="541"/>
      <c r="U752" s="547"/>
      <c r="V752" s="548"/>
      <c r="W752" s="549"/>
      <c r="X752" s="541"/>
      <c r="Y752" s="547"/>
      <c r="Z752" s="548"/>
      <c r="AA752" s="549"/>
      <c r="AB752" s="541"/>
      <c r="AC752" s="547"/>
      <c r="AD752" s="548"/>
      <c r="AE752" s="549"/>
      <c r="AF752" s="541"/>
      <c r="AG752" s="366"/>
      <c r="AH752" s="366"/>
      <c r="AI752" s="366"/>
      <c r="AJ752" s="366"/>
      <c r="AK752" s="394"/>
      <c r="AL752" s="430"/>
      <c r="AM752" s="395"/>
      <c r="AN752" s="529"/>
      <c r="AO752" s="394"/>
      <c r="AP752" s="430"/>
      <c r="AQ752" s="395"/>
      <c r="AR752" s="529"/>
      <c r="AS752" s="542"/>
      <c r="AT752" s="542"/>
    </row>
    <row r="753">
      <c r="A753" s="394"/>
      <c r="B753" s="430"/>
      <c r="C753" s="395"/>
      <c r="D753" s="529"/>
      <c r="E753" s="394"/>
      <c r="F753" s="430"/>
      <c r="G753" s="395"/>
      <c r="H753" s="529"/>
      <c r="I753" s="394"/>
      <c r="J753" s="430"/>
      <c r="K753" s="395"/>
      <c r="L753" s="529"/>
      <c r="M753" s="394"/>
      <c r="N753" s="430"/>
      <c r="O753" s="395"/>
      <c r="P753" s="529"/>
      <c r="Q753" s="547"/>
      <c r="R753" s="548"/>
      <c r="S753" s="549"/>
      <c r="T753" s="541"/>
      <c r="U753" s="547"/>
      <c r="V753" s="548"/>
      <c r="W753" s="549"/>
      <c r="X753" s="541"/>
      <c r="Y753" s="547"/>
      <c r="Z753" s="548"/>
      <c r="AA753" s="549"/>
      <c r="AB753" s="541"/>
      <c r="AC753" s="547"/>
      <c r="AD753" s="548"/>
      <c r="AE753" s="549"/>
      <c r="AF753" s="541"/>
      <c r="AG753" s="366"/>
      <c r="AH753" s="366"/>
      <c r="AI753" s="366"/>
      <c r="AJ753" s="366"/>
      <c r="AK753" s="394"/>
      <c r="AL753" s="430"/>
      <c r="AM753" s="395"/>
      <c r="AN753" s="529"/>
      <c r="AO753" s="394"/>
      <c r="AP753" s="430"/>
      <c r="AQ753" s="395"/>
      <c r="AR753" s="529"/>
      <c r="AS753" s="542"/>
      <c r="AT753" s="542"/>
    </row>
    <row r="754">
      <c r="A754" s="394"/>
      <c r="B754" s="430"/>
      <c r="C754" s="395"/>
      <c r="D754" s="529"/>
      <c r="E754" s="394"/>
      <c r="F754" s="430"/>
      <c r="G754" s="395"/>
      <c r="H754" s="529"/>
      <c r="I754" s="394"/>
      <c r="J754" s="430"/>
      <c r="K754" s="395"/>
      <c r="L754" s="529"/>
      <c r="M754" s="394"/>
      <c r="N754" s="430"/>
      <c r="O754" s="395"/>
      <c r="P754" s="529"/>
      <c r="Q754" s="547"/>
      <c r="R754" s="548"/>
      <c r="S754" s="549"/>
      <c r="T754" s="541"/>
      <c r="U754" s="547"/>
      <c r="V754" s="548"/>
      <c r="W754" s="549"/>
      <c r="X754" s="541"/>
      <c r="Y754" s="547"/>
      <c r="Z754" s="548"/>
      <c r="AA754" s="549"/>
      <c r="AB754" s="541"/>
      <c r="AC754" s="547"/>
      <c r="AD754" s="548"/>
      <c r="AE754" s="549"/>
      <c r="AF754" s="541"/>
      <c r="AG754" s="366"/>
      <c r="AH754" s="366"/>
      <c r="AI754" s="366"/>
      <c r="AJ754" s="366"/>
      <c r="AK754" s="394"/>
      <c r="AL754" s="430"/>
      <c r="AM754" s="395"/>
      <c r="AN754" s="529"/>
      <c r="AO754" s="394"/>
      <c r="AP754" s="430"/>
      <c r="AQ754" s="395"/>
      <c r="AR754" s="529"/>
      <c r="AS754" s="542"/>
      <c r="AT754" s="542"/>
    </row>
    <row r="755">
      <c r="A755" s="394"/>
      <c r="B755" s="430"/>
      <c r="C755" s="395"/>
      <c r="D755" s="529"/>
      <c r="E755" s="394"/>
      <c r="F755" s="430"/>
      <c r="G755" s="395"/>
      <c r="H755" s="529"/>
      <c r="I755" s="394"/>
      <c r="J755" s="430"/>
      <c r="K755" s="395"/>
      <c r="L755" s="529"/>
      <c r="M755" s="394"/>
      <c r="N755" s="430"/>
      <c r="O755" s="395"/>
      <c r="P755" s="529"/>
      <c r="Q755" s="547"/>
      <c r="R755" s="548"/>
      <c r="S755" s="549"/>
      <c r="T755" s="541"/>
      <c r="U755" s="547"/>
      <c r="V755" s="548"/>
      <c r="W755" s="549"/>
      <c r="X755" s="541"/>
      <c r="Y755" s="547"/>
      <c r="Z755" s="548"/>
      <c r="AA755" s="549"/>
      <c r="AB755" s="541"/>
      <c r="AC755" s="547"/>
      <c r="AD755" s="548"/>
      <c r="AE755" s="549"/>
      <c r="AF755" s="541"/>
      <c r="AG755" s="366"/>
      <c r="AH755" s="366"/>
      <c r="AI755" s="366"/>
      <c r="AJ755" s="366"/>
      <c r="AK755" s="394"/>
      <c r="AL755" s="430"/>
      <c r="AM755" s="395"/>
      <c r="AN755" s="529"/>
      <c r="AO755" s="394"/>
      <c r="AP755" s="430"/>
      <c r="AQ755" s="395"/>
      <c r="AR755" s="529"/>
      <c r="AS755" s="542"/>
      <c r="AT755" s="542"/>
    </row>
    <row r="756">
      <c r="A756" s="394"/>
      <c r="B756" s="430"/>
      <c r="C756" s="395"/>
      <c r="D756" s="529"/>
      <c r="E756" s="394"/>
      <c r="F756" s="430"/>
      <c r="G756" s="395"/>
      <c r="H756" s="529"/>
      <c r="I756" s="394"/>
      <c r="J756" s="430"/>
      <c r="K756" s="395"/>
      <c r="L756" s="529"/>
      <c r="M756" s="394"/>
      <c r="N756" s="430"/>
      <c r="O756" s="395"/>
      <c r="P756" s="529"/>
      <c r="Q756" s="547"/>
      <c r="R756" s="548"/>
      <c r="S756" s="549"/>
      <c r="T756" s="541"/>
      <c r="U756" s="547"/>
      <c r="V756" s="548"/>
      <c r="W756" s="549"/>
      <c r="X756" s="541"/>
      <c r="Y756" s="547"/>
      <c r="Z756" s="548"/>
      <c r="AA756" s="549"/>
      <c r="AB756" s="541"/>
      <c r="AC756" s="547"/>
      <c r="AD756" s="548"/>
      <c r="AE756" s="549"/>
      <c r="AF756" s="541"/>
      <c r="AG756" s="366"/>
      <c r="AH756" s="366"/>
      <c r="AI756" s="366"/>
      <c r="AJ756" s="366"/>
      <c r="AK756" s="394"/>
      <c r="AL756" s="430"/>
      <c r="AM756" s="395"/>
      <c r="AN756" s="529"/>
      <c r="AO756" s="394"/>
      <c r="AP756" s="430"/>
      <c r="AQ756" s="395"/>
      <c r="AR756" s="529"/>
      <c r="AS756" s="542"/>
      <c r="AT756" s="542"/>
    </row>
    <row r="757">
      <c r="A757" s="394"/>
      <c r="B757" s="430"/>
      <c r="C757" s="395"/>
      <c r="D757" s="529"/>
      <c r="E757" s="394"/>
      <c r="F757" s="430"/>
      <c r="G757" s="395"/>
      <c r="H757" s="529"/>
      <c r="I757" s="394"/>
      <c r="J757" s="430"/>
      <c r="K757" s="395"/>
      <c r="L757" s="529"/>
      <c r="M757" s="394"/>
      <c r="N757" s="430"/>
      <c r="O757" s="395"/>
      <c r="P757" s="529"/>
      <c r="Q757" s="547"/>
      <c r="R757" s="548"/>
      <c r="S757" s="549"/>
      <c r="T757" s="541"/>
      <c r="U757" s="547"/>
      <c r="V757" s="548"/>
      <c r="W757" s="549"/>
      <c r="X757" s="541"/>
      <c r="Y757" s="547"/>
      <c r="Z757" s="548"/>
      <c r="AA757" s="549"/>
      <c r="AB757" s="541"/>
      <c r="AC757" s="547"/>
      <c r="AD757" s="548"/>
      <c r="AE757" s="549"/>
      <c r="AF757" s="541"/>
      <c r="AG757" s="366"/>
      <c r="AH757" s="366"/>
      <c r="AI757" s="366"/>
      <c r="AJ757" s="366"/>
      <c r="AK757" s="394"/>
      <c r="AL757" s="430"/>
      <c r="AM757" s="395"/>
      <c r="AN757" s="529"/>
      <c r="AO757" s="394"/>
      <c r="AP757" s="430"/>
      <c r="AQ757" s="395"/>
      <c r="AR757" s="529"/>
      <c r="AS757" s="542"/>
      <c r="AT757" s="542"/>
    </row>
    <row r="758">
      <c r="A758" s="394"/>
      <c r="B758" s="430"/>
      <c r="C758" s="395"/>
      <c r="D758" s="529"/>
      <c r="E758" s="394"/>
      <c r="F758" s="430"/>
      <c r="G758" s="395"/>
      <c r="H758" s="529"/>
      <c r="I758" s="394"/>
      <c r="J758" s="430"/>
      <c r="K758" s="395"/>
      <c r="L758" s="529"/>
      <c r="M758" s="394"/>
      <c r="N758" s="430"/>
      <c r="O758" s="395"/>
      <c r="P758" s="529"/>
      <c r="Q758" s="547"/>
      <c r="R758" s="548"/>
      <c r="S758" s="549"/>
      <c r="T758" s="541"/>
      <c r="U758" s="547"/>
      <c r="V758" s="548"/>
      <c r="W758" s="549"/>
      <c r="X758" s="541"/>
      <c r="Y758" s="547"/>
      <c r="Z758" s="548"/>
      <c r="AA758" s="549"/>
      <c r="AB758" s="541"/>
      <c r="AC758" s="547"/>
      <c r="AD758" s="548"/>
      <c r="AE758" s="549"/>
      <c r="AF758" s="541"/>
      <c r="AG758" s="366"/>
      <c r="AH758" s="366"/>
      <c r="AI758" s="366"/>
      <c r="AJ758" s="366"/>
      <c r="AK758" s="394"/>
      <c r="AL758" s="430"/>
      <c r="AM758" s="395"/>
      <c r="AN758" s="529"/>
      <c r="AO758" s="394"/>
      <c r="AP758" s="430"/>
      <c r="AQ758" s="395"/>
      <c r="AR758" s="529"/>
      <c r="AS758" s="542"/>
      <c r="AT758" s="542"/>
    </row>
    <row r="759">
      <c r="A759" s="394"/>
      <c r="B759" s="430"/>
      <c r="C759" s="395"/>
      <c r="D759" s="529"/>
      <c r="E759" s="394"/>
      <c r="F759" s="430"/>
      <c r="G759" s="395"/>
      <c r="H759" s="529"/>
      <c r="I759" s="394"/>
      <c r="J759" s="430"/>
      <c r="K759" s="395"/>
      <c r="L759" s="529"/>
      <c r="M759" s="394"/>
      <c r="N759" s="430"/>
      <c r="O759" s="395"/>
      <c r="P759" s="529"/>
      <c r="Q759" s="547"/>
      <c r="R759" s="548"/>
      <c r="S759" s="549"/>
      <c r="T759" s="541"/>
      <c r="U759" s="547"/>
      <c r="V759" s="548"/>
      <c r="W759" s="549"/>
      <c r="X759" s="541"/>
      <c r="Y759" s="547"/>
      <c r="Z759" s="548"/>
      <c r="AA759" s="549"/>
      <c r="AB759" s="541"/>
      <c r="AC759" s="547"/>
      <c r="AD759" s="548"/>
      <c r="AE759" s="549"/>
      <c r="AF759" s="541"/>
      <c r="AG759" s="366"/>
      <c r="AH759" s="366"/>
      <c r="AI759" s="366"/>
      <c r="AJ759" s="366"/>
      <c r="AK759" s="394"/>
      <c r="AL759" s="430"/>
      <c r="AM759" s="395"/>
      <c r="AN759" s="529"/>
      <c r="AO759" s="394"/>
      <c r="AP759" s="430"/>
      <c r="AQ759" s="395"/>
      <c r="AR759" s="529"/>
      <c r="AS759" s="542"/>
      <c r="AT759" s="542"/>
    </row>
    <row r="760">
      <c r="A760" s="394"/>
      <c r="B760" s="430"/>
      <c r="C760" s="395"/>
      <c r="D760" s="529"/>
      <c r="E760" s="394"/>
      <c r="F760" s="430"/>
      <c r="G760" s="395"/>
      <c r="H760" s="529"/>
      <c r="I760" s="394"/>
      <c r="J760" s="430"/>
      <c r="K760" s="395"/>
      <c r="L760" s="529"/>
      <c r="M760" s="394"/>
      <c r="N760" s="430"/>
      <c r="O760" s="395"/>
      <c r="P760" s="529"/>
      <c r="Q760" s="547"/>
      <c r="R760" s="548"/>
      <c r="S760" s="549"/>
      <c r="T760" s="541"/>
      <c r="U760" s="547"/>
      <c r="V760" s="548"/>
      <c r="W760" s="549"/>
      <c r="X760" s="541"/>
      <c r="Y760" s="547"/>
      <c r="Z760" s="548"/>
      <c r="AA760" s="549"/>
      <c r="AB760" s="541"/>
      <c r="AC760" s="547"/>
      <c r="AD760" s="548"/>
      <c r="AE760" s="549"/>
      <c r="AF760" s="541"/>
      <c r="AG760" s="366"/>
      <c r="AH760" s="366"/>
      <c r="AI760" s="366"/>
      <c r="AJ760" s="366"/>
      <c r="AK760" s="394"/>
      <c r="AL760" s="430"/>
      <c r="AM760" s="395"/>
      <c r="AN760" s="529"/>
      <c r="AO760" s="394"/>
      <c r="AP760" s="430"/>
      <c r="AQ760" s="395"/>
      <c r="AR760" s="529"/>
      <c r="AS760" s="542"/>
      <c r="AT760" s="542"/>
    </row>
    <row r="761">
      <c r="A761" s="394"/>
      <c r="B761" s="430"/>
      <c r="C761" s="395"/>
      <c r="D761" s="529"/>
      <c r="E761" s="394"/>
      <c r="F761" s="430"/>
      <c r="G761" s="395"/>
      <c r="H761" s="529"/>
      <c r="I761" s="394"/>
      <c r="J761" s="430"/>
      <c r="K761" s="395"/>
      <c r="L761" s="529"/>
      <c r="M761" s="394"/>
      <c r="N761" s="430"/>
      <c r="O761" s="395"/>
      <c r="P761" s="529"/>
      <c r="Q761" s="547"/>
      <c r="R761" s="548"/>
      <c r="S761" s="549"/>
      <c r="T761" s="541"/>
      <c r="U761" s="547"/>
      <c r="V761" s="548"/>
      <c r="W761" s="549"/>
      <c r="X761" s="541"/>
      <c r="Y761" s="547"/>
      <c r="Z761" s="548"/>
      <c r="AA761" s="549"/>
      <c r="AB761" s="541"/>
      <c r="AC761" s="547"/>
      <c r="AD761" s="548"/>
      <c r="AE761" s="549"/>
      <c r="AF761" s="541"/>
      <c r="AG761" s="366"/>
      <c r="AH761" s="366"/>
      <c r="AI761" s="366"/>
      <c r="AJ761" s="366"/>
      <c r="AK761" s="394"/>
      <c r="AL761" s="430"/>
      <c r="AM761" s="395"/>
      <c r="AN761" s="529"/>
      <c r="AO761" s="394"/>
      <c r="AP761" s="430"/>
      <c r="AQ761" s="395"/>
      <c r="AR761" s="529"/>
      <c r="AS761" s="542"/>
      <c r="AT761" s="542"/>
    </row>
    <row r="762">
      <c r="A762" s="394"/>
      <c r="B762" s="430"/>
      <c r="C762" s="395"/>
      <c r="D762" s="529"/>
      <c r="E762" s="394"/>
      <c r="F762" s="430"/>
      <c r="G762" s="395"/>
      <c r="H762" s="529"/>
      <c r="I762" s="394"/>
      <c r="J762" s="430"/>
      <c r="K762" s="395"/>
      <c r="L762" s="529"/>
      <c r="M762" s="394"/>
      <c r="N762" s="430"/>
      <c r="O762" s="395"/>
      <c r="P762" s="529"/>
      <c r="Q762" s="547"/>
      <c r="R762" s="548"/>
      <c r="S762" s="549"/>
      <c r="T762" s="541"/>
      <c r="U762" s="547"/>
      <c r="V762" s="548"/>
      <c r="W762" s="549"/>
      <c r="X762" s="541"/>
      <c r="Y762" s="547"/>
      <c r="Z762" s="548"/>
      <c r="AA762" s="549"/>
      <c r="AB762" s="541"/>
      <c r="AC762" s="547"/>
      <c r="AD762" s="548"/>
      <c r="AE762" s="549"/>
      <c r="AF762" s="541"/>
      <c r="AG762" s="366"/>
      <c r="AH762" s="366"/>
      <c r="AI762" s="366"/>
      <c r="AJ762" s="366"/>
      <c r="AK762" s="394"/>
      <c r="AL762" s="430"/>
      <c r="AM762" s="395"/>
      <c r="AN762" s="529"/>
      <c r="AO762" s="394"/>
      <c r="AP762" s="430"/>
      <c r="AQ762" s="395"/>
      <c r="AR762" s="529"/>
      <c r="AS762" s="542"/>
      <c r="AT762" s="542"/>
    </row>
    <row r="763">
      <c r="A763" s="394"/>
      <c r="B763" s="430"/>
      <c r="C763" s="395"/>
      <c r="D763" s="529"/>
      <c r="E763" s="394"/>
      <c r="F763" s="430"/>
      <c r="G763" s="395"/>
      <c r="H763" s="529"/>
      <c r="I763" s="394"/>
      <c r="J763" s="430"/>
      <c r="K763" s="395"/>
      <c r="L763" s="529"/>
      <c r="M763" s="394"/>
      <c r="N763" s="430"/>
      <c r="O763" s="395"/>
      <c r="P763" s="529"/>
      <c r="Q763" s="547"/>
      <c r="R763" s="548"/>
      <c r="S763" s="549"/>
      <c r="T763" s="541"/>
      <c r="U763" s="547"/>
      <c r="V763" s="548"/>
      <c r="W763" s="549"/>
      <c r="X763" s="541"/>
      <c r="Y763" s="547"/>
      <c r="Z763" s="548"/>
      <c r="AA763" s="549"/>
      <c r="AB763" s="541"/>
      <c r="AC763" s="547"/>
      <c r="AD763" s="548"/>
      <c r="AE763" s="549"/>
      <c r="AF763" s="541"/>
      <c r="AG763" s="366"/>
      <c r="AH763" s="366"/>
      <c r="AI763" s="366"/>
      <c r="AJ763" s="366"/>
      <c r="AK763" s="394"/>
      <c r="AL763" s="430"/>
      <c r="AM763" s="395"/>
      <c r="AN763" s="529"/>
      <c r="AO763" s="394"/>
      <c r="AP763" s="430"/>
      <c r="AQ763" s="395"/>
      <c r="AR763" s="529"/>
      <c r="AS763" s="542"/>
      <c r="AT763" s="542"/>
    </row>
    <row r="764">
      <c r="A764" s="394"/>
      <c r="B764" s="430"/>
      <c r="C764" s="395"/>
      <c r="D764" s="529"/>
      <c r="E764" s="394"/>
      <c r="F764" s="430"/>
      <c r="G764" s="395"/>
      <c r="H764" s="529"/>
      <c r="I764" s="394"/>
      <c r="J764" s="430"/>
      <c r="K764" s="395"/>
      <c r="L764" s="529"/>
      <c r="M764" s="394"/>
      <c r="N764" s="430"/>
      <c r="O764" s="395"/>
      <c r="P764" s="529"/>
      <c r="Q764" s="547"/>
      <c r="R764" s="548"/>
      <c r="S764" s="549"/>
      <c r="T764" s="541"/>
      <c r="U764" s="547"/>
      <c r="V764" s="548"/>
      <c r="W764" s="549"/>
      <c r="X764" s="541"/>
      <c r="Y764" s="547"/>
      <c r="Z764" s="548"/>
      <c r="AA764" s="549"/>
      <c r="AB764" s="541"/>
      <c r="AC764" s="547"/>
      <c r="AD764" s="548"/>
      <c r="AE764" s="549"/>
      <c r="AF764" s="541"/>
      <c r="AG764" s="366"/>
      <c r="AH764" s="366"/>
      <c r="AI764" s="366"/>
      <c r="AJ764" s="366"/>
      <c r="AK764" s="394"/>
      <c r="AL764" s="430"/>
      <c r="AM764" s="395"/>
      <c r="AN764" s="529"/>
      <c r="AO764" s="394"/>
      <c r="AP764" s="430"/>
      <c r="AQ764" s="395"/>
      <c r="AR764" s="529"/>
      <c r="AS764" s="542"/>
      <c r="AT764" s="542"/>
    </row>
    <row r="765">
      <c r="A765" s="394"/>
      <c r="B765" s="430"/>
      <c r="C765" s="395"/>
      <c r="D765" s="529"/>
      <c r="E765" s="394"/>
      <c r="F765" s="430"/>
      <c r="G765" s="395"/>
      <c r="H765" s="529"/>
      <c r="I765" s="394"/>
      <c r="J765" s="430"/>
      <c r="K765" s="395"/>
      <c r="L765" s="529"/>
      <c r="M765" s="394"/>
      <c r="N765" s="430"/>
      <c r="O765" s="395"/>
      <c r="P765" s="529"/>
      <c r="Q765" s="547"/>
      <c r="R765" s="548"/>
      <c r="S765" s="549"/>
      <c r="T765" s="541"/>
      <c r="U765" s="547"/>
      <c r="V765" s="548"/>
      <c r="W765" s="549"/>
      <c r="X765" s="541"/>
      <c r="Y765" s="547"/>
      <c r="Z765" s="548"/>
      <c r="AA765" s="549"/>
      <c r="AB765" s="541"/>
      <c r="AC765" s="547"/>
      <c r="AD765" s="548"/>
      <c r="AE765" s="549"/>
      <c r="AF765" s="541"/>
      <c r="AG765" s="366"/>
      <c r="AH765" s="366"/>
      <c r="AI765" s="366"/>
      <c r="AJ765" s="366"/>
      <c r="AK765" s="394"/>
      <c r="AL765" s="430"/>
      <c r="AM765" s="395"/>
      <c r="AN765" s="529"/>
      <c r="AO765" s="394"/>
      <c r="AP765" s="430"/>
      <c r="AQ765" s="395"/>
      <c r="AR765" s="529"/>
      <c r="AS765" s="542"/>
      <c r="AT765" s="542"/>
    </row>
    <row r="766">
      <c r="A766" s="394"/>
      <c r="B766" s="430"/>
      <c r="C766" s="395"/>
      <c r="D766" s="529"/>
      <c r="E766" s="394"/>
      <c r="F766" s="430"/>
      <c r="G766" s="395"/>
      <c r="H766" s="529"/>
      <c r="I766" s="394"/>
      <c r="J766" s="430"/>
      <c r="K766" s="395"/>
      <c r="L766" s="529"/>
      <c r="M766" s="394"/>
      <c r="N766" s="430"/>
      <c r="O766" s="395"/>
      <c r="P766" s="529"/>
      <c r="Q766" s="547"/>
      <c r="R766" s="548"/>
      <c r="S766" s="549"/>
      <c r="T766" s="541"/>
      <c r="U766" s="547"/>
      <c r="V766" s="548"/>
      <c r="W766" s="549"/>
      <c r="X766" s="541"/>
      <c r="Y766" s="547"/>
      <c r="Z766" s="548"/>
      <c r="AA766" s="549"/>
      <c r="AB766" s="541"/>
      <c r="AC766" s="547"/>
      <c r="AD766" s="548"/>
      <c r="AE766" s="549"/>
      <c r="AF766" s="541"/>
      <c r="AG766" s="366"/>
      <c r="AH766" s="366"/>
      <c r="AI766" s="366"/>
      <c r="AJ766" s="366"/>
      <c r="AK766" s="394"/>
      <c r="AL766" s="430"/>
      <c r="AM766" s="395"/>
      <c r="AN766" s="529"/>
      <c r="AO766" s="394"/>
      <c r="AP766" s="430"/>
      <c r="AQ766" s="395"/>
      <c r="AR766" s="529"/>
      <c r="AS766" s="542"/>
      <c r="AT766" s="542"/>
    </row>
    <row r="767">
      <c r="A767" s="394"/>
      <c r="B767" s="430"/>
      <c r="C767" s="395"/>
      <c r="D767" s="529"/>
      <c r="E767" s="394"/>
      <c r="F767" s="430"/>
      <c r="G767" s="395"/>
      <c r="H767" s="529"/>
      <c r="I767" s="394"/>
      <c r="J767" s="430"/>
      <c r="K767" s="395"/>
      <c r="L767" s="529"/>
      <c r="M767" s="394"/>
      <c r="N767" s="430"/>
      <c r="O767" s="395"/>
      <c r="P767" s="529"/>
      <c r="Q767" s="547"/>
      <c r="R767" s="548"/>
      <c r="S767" s="549"/>
      <c r="T767" s="541"/>
      <c r="U767" s="547"/>
      <c r="V767" s="548"/>
      <c r="W767" s="549"/>
      <c r="X767" s="541"/>
      <c r="Y767" s="547"/>
      <c r="Z767" s="548"/>
      <c r="AA767" s="549"/>
      <c r="AB767" s="541"/>
      <c r="AC767" s="547"/>
      <c r="AD767" s="548"/>
      <c r="AE767" s="549"/>
      <c r="AF767" s="541"/>
      <c r="AG767" s="366"/>
      <c r="AH767" s="366"/>
      <c r="AI767" s="366"/>
      <c r="AJ767" s="366"/>
      <c r="AK767" s="394"/>
      <c r="AL767" s="430"/>
      <c r="AM767" s="395"/>
      <c r="AN767" s="529"/>
      <c r="AO767" s="394"/>
      <c r="AP767" s="430"/>
      <c r="AQ767" s="395"/>
      <c r="AR767" s="529"/>
      <c r="AS767" s="542"/>
      <c r="AT767" s="542"/>
    </row>
    <row r="768">
      <c r="A768" s="394"/>
      <c r="B768" s="430"/>
      <c r="C768" s="395"/>
      <c r="D768" s="529"/>
      <c r="E768" s="394"/>
      <c r="F768" s="430"/>
      <c r="G768" s="395"/>
      <c r="H768" s="529"/>
      <c r="I768" s="394"/>
      <c r="J768" s="430"/>
      <c r="K768" s="395"/>
      <c r="L768" s="529"/>
      <c r="M768" s="394"/>
      <c r="N768" s="430"/>
      <c r="O768" s="395"/>
      <c r="P768" s="529"/>
      <c r="Q768" s="547"/>
      <c r="R768" s="548"/>
      <c r="S768" s="549"/>
      <c r="T768" s="541"/>
      <c r="U768" s="547"/>
      <c r="V768" s="548"/>
      <c r="W768" s="549"/>
      <c r="X768" s="541"/>
      <c r="Y768" s="547"/>
      <c r="Z768" s="548"/>
      <c r="AA768" s="549"/>
      <c r="AB768" s="541"/>
      <c r="AC768" s="547"/>
      <c r="AD768" s="548"/>
      <c r="AE768" s="549"/>
      <c r="AF768" s="541"/>
      <c r="AG768" s="366"/>
      <c r="AH768" s="366"/>
      <c r="AI768" s="366"/>
      <c r="AJ768" s="366"/>
      <c r="AK768" s="394"/>
      <c r="AL768" s="430"/>
      <c r="AM768" s="395"/>
      <c r="AN768" s="529"/>
      <c r="AO768" s="394"/>
      <c r="AP768" s="430"/>
      <c r="AQ768" s="395"/>
      <c r="AR768" s="529"/>
      <c r="AS768" s="542"/>
      <c r="AT768" s="542"/>
    </row>
    <row r="769">
      <c r="A769" s="394"/>
      <c r="B769" s="430"/>
      <c r="C769" s="395"/>
      <c r="D769" s="529"/>
      <c r="E769" s="394"/>
      <c r="F769" s="430"/>
      <c r="G769" s="395"/>
      <c r="H769" s="529"/>
      <c r="I769" s="394"/>
      <c r="J769" s="430"/>
      <c r="K769" s="395"/>
      <c r="L769" s="529"/>
      <c r="M769" s="394"/>
      <c r="N769" s="430"/>
      <c r="O769" s="395"/>
      <c r="P769" s="529"/>
      <c r="Q769" s="547"/>
      <c r="R769" s="548"/>
      <c r="S769" s="549"/>
      <c r="T769" s="541"/>
      <c r="U769" s="547"/>
      <c r="V769" s="548"/>
      <c r="W769" s="549"/>
      <c r="X769" s="541"/>
      <c r="Y769" s="547"/>
      <c r="Z769" s="548"/>
      <c r="AA769" s="549"/>
      <c r="AB769" s="541"/>
      <c r="AC769" s="547"/>
      <c r="AD769" s="548"/>
      <c r="AE769" s="549"/>
      <c r="AF769" s="541"/>
      <c r="AG769" s="366"/>
      <c r="AH769" s="366"/>
      <c r="AI769" s="366"/>
      <c r="AJ769" s="366"/>
      <c r="AK769" s="394"/>
      <c r="AL769" s="430"/>
      <c r="AM769" s="395"/>
      <c r="AN769" s="529"/>
      <c r="AO769" s="394"/>
      <c r="AP769" s="430"/>
      <c r="AQ769" s="395"/>
      <c r="AR769" s="529"/>
      <c r="AS769" s="542"/>
      <c r="AT769" s="542"/>
    </row>
    <row r="770">
      <c r="A770" s="394"/>
      <c r="B770" s="430"/>
      <c r="C770" s="395"/>
      <c r="D770" s="529"/>
      <c r="E770" s="394"/>
      <c r="F770" s="430"/>
      <c r="G770" s="395"/>
      <c r="H770" s="529"/>
      <c r="I770" s="394"/>
      <c r="J770" s="430"/>
      <c r="K770" s="395"/>
      <c r="L770" s="529"/>
      <c r="M770" s="394"/>
      <c r="N770" s="430"/>
      <c r="O770" s="395"/>
      <c r="P770" s="529"/>
      <c r="Q770" s="547"/>
      <c r="R770" s="548"/>
      <c r="S770" s="549"/>
      <c r="T770" s="541"/>
      <c r="U770" s="547"/>
      <c r="V770" s="548"/>
      <c r="W770" s="549"/>
      <c r="X770" s="541"/>
      <c r="Y770" s="547"/>
      <c r="Z770" s="548"/>
      <c r="AA770" s="549"/>
      <c r="AB770" s="541"/>
      <c r="AC770" s="547"/>
      <c r="AD770" s="548"/>
      <c r="AE770" s="549"/>
      <c r="AF770" s="541"/>
      <c r="AG770" s="366"/>
      <c r="AH770" s="366"/>
      <c r="AI770" s="366"/>
      <c r="AJ770" s="366"/>
      <c r="AK770" s="394"/>
      <c r="AL770" s="430"/>
      <c r="AM770" s="395"/>
      <c r="AN770" s="529"/>
      <c r="AO770" s="394"/>
      <c r="AP770" s="430"/>
      <c r="AQ770" s="395"/>
      <c r="AR770" s="529"/>
      <c r="AS770" s="542"/>
      <c r="AT770" s="542"/>
    </row>
    <row r="771">
      <c r="A771" s="394"/>
      <c r="B771" s="430"/>
      <c r="C771" s="395"/>
      <c r="D771" s="529"/>
      <c r="E771" s="394"/>
      <c r="F771" s="430"/>
      <c r="G771" s="395"/>
      <c r="H771" s="529"/>
      <c r="I771" s="394"/>
      <c r="J771" s="430"/>
      <c r="K771" s="395"/>
      <c r="L771" s="529"/>
      <c r="M771" s="394"/>
      <c r="N771" s="430"/>
      <c r="O771" s="395"/>
      <c r="P771" s="529"/>
      <c r="Q771" s="547"/>
      <c r="R771" s="548"/>
      <c r="S771" s="549"/>
      <c r="T771" s="541"/>
      <c r="U771" s="547"/>
      <c r="V771" s="548"/>
      <c r="W771" s="549"/>
      <c r="X771" s="541"/>
      <c r="Y771" s="547"/>
      <c r="Z771" s="548"/>
      <c r="AA771" s="549"/>
      <c r="AB771" s="541"/>
      <c r="AC771" s="547"/>
      <c r="AD771" s="548"/>
      <c r="AE771" s="549"/>
      <c r="AF771" s="541"/>
      <c r="AG771" s="366"/>
      <c r="AH771" s="366"/>
      <c r="AI771" s="366"/>
      <c r="AJ771" s="366"/>
      <c r="AK771" s="394"/>
      <c r="AL771" s="430"/>
      <c r="AM771" s="395"/>
      <c r="AN771" s="529"/>
      <c r="AO771" s="394"/>
      <c r="AP771" s="430"/>
      <c r="AQ771" s="395"/>
      <c r="AR771" s="529"/>
      <c r="AS771" s="542"/>
      <c r="AT771" s="542"/>
    </row>
    <row r="772">
      <c r="A772" s="394"/>
      <c r="B772" s="430"/>
      <c r="C772" s="395"/>
      <c r="D772" s="529"/>
      <c r="E772" s="394"/>
      <c r="F772" s="430"/>
      <c r="G772" s="395"/>
      <c r="H772" s="529"/>
      <c r="I772" s="394"/>
      <c r="J772" s="430"/>
      <c r="K772" s="395"/>
      <c r="L772" s="529"/>
      <c r="M772" s="394"/>
      <c r="N772" s="430"/>
      <c r="O772" s="395"/>
      <c r="P772" s="529"/>
      <c r="Q772" s="547"/>
      <c r="R772" s="548"/>
      <c r="S772" s="549"/>
      <c r="T772" s="541"/>
      <c r="U772" s="547"/>
      <c r="V772" s="548"/>
      <c r="W772" s="549"/>
      <c r="X772" s="541"/>
      <c r="Y772" s="547"/>
      <c r="Z772" s="548"/>
      <c r="AA772" s="549"/>
      <c r="AB772" s="541"/>
      <c r="AC772" s="547"/>
      <c r="AD772" s="548"/>
      <c r="AE772" s="549"/>
      <c r="AF772" s="541"/>
      <c r="AG772" s="366"/>
      <c r="AH772" s="366"/>
      <c r="AI772" s="366"/>
      <c r="AJ772" s="366"/>
      <c r="AK772" s="394"/>
      <c r="AL772" s="430"/>
      <c r="AM772" s="395"/>
      <c r="AN772" s="529"/>
      <c r="AO772" s="394"/>
      <c r="AP772" s="430"/>
      <c r="AQ772" s="395"/>
      <c r="AR772" s="529"/>
      <c r="AS772" s="542"/>
      <c r="AT772" s="542"/>
    </row>
    <row r="773">
      <c r="A773" s="394"/>
      <c r="B773" s="430"/>
      <c r="C773" s="395"/>
      <c r="D773" s="529"/>
      <c r="E773" s="394"/>
      <c r="F773" s="430"/>
      <c r="G773" s="395"/>
      <c r="H773" s="529"/>
      <c r="I773" s="394"/>
      <c r="J773" s="430"/>
      <c r="K773" s="395"/>
      <c r="L773" s="529"/>
      <c r="M773" s="394"/>
      <c r="N773" s="430"/>
      <c r="O773" s="395"/>
      <c r="P773" s="529"/>
      <c r="Q773" s="547"/>
      <c r="R773" s="548"/>
      <c r="S773" s="549"/>
      <c r="T773" s="541"/>
      <c r="U773" s="547"/>
      <c r="V773" s="548"/>
      <c r="W773" s="549"/>
      <c r="X773" s="541"/>
      <c r="Y773" s="547"/>
      <c r="Z773" s="548"/>
      <c r="AA773" s="549"/>
      <c r="AB773" s="541"/>
      <c r="AC773" s="547"/>
      <c r="AD773" s="548"/>
      <c r="AE773" s="549"/>
      <c r="AF773" s="541"/>
      <c r="AG773" s="366"/>
      <c r="AH773" s="366"/>
      <c r="AI773" s="366"/>
      <c r="AJ773" s="366"/>
      <c r="AK773" s="394"/>
      <c r="AL773" s="430"/>
      <c r="AM773" s="395"/>
      <c r="AN773" s="529"/>
      <c r="AO773" s="394"/>
      <c r="AP773" s="430"/>
      <c r="AQ773" s="395"/>
      <c r="AR773" s="529"/>
      <c r="AS773" s="542"/>
      <c r="AT773" s="542"/>
    </row>
    <row r="774">
      <c r="A774" s="394"/>
      <c r="B774" s="430"/>
      <c r="C774" s="395"/>
      <c r="D774" s="529"/>
      <c r="E774" s="394"/>
      <c r="F774" s="430"/>
      <c r="G774" s="395"/>
      <c r="H774" s="529"/>
      <c r="I774" s="394"/>
      <c r="J774" s="430"/>
      <c r="K774" s="395"/>
      <c r="L774" s="529"/>
      <c r="M774" s="394"/>
      <c r="N774" s="430"/>
      <c r="O774" s="395"/>
      <c r="P774" s="529"/>
      <c r="Q774" s="547"/>
      <c r="R774" s="548"/>
      <c r="S774" s="549"/>
      <c r="T774" s="541"/>
      <c r="U774" s="547"/>
      <c r="V774" s="548"/>
      <c r="W774" s="549"/>
      <c r="X774" s="541"/>
      <c r="Y774" s="547"/>
      <c r="Z774" s="548"/>
      <c r="AA774" s="549"/>
      <c r="AB774" s="541"/>
      <c r="AC774" s="547"/>
      <c r="AD774" s="548"/>
      <c r="AE774" s="549"/>
      <c r="AF774" s="541"/>
      <c r="AG774" s="366"/>
      <c r="AH774" s="366"/>
      <c r="AI774" s="366"/>
      <c r="AJ774" s="366"/>
      <c r="AK774" s="394"/>
      <c r="AL774" s="430"/>
      <c r="AM774" s="395"/>
      <c r="AN774" s="529"/>
      <c r="AO774" s="394"/>
      <c r="AP774" s="430"/>
      <c r="AQ774" s="395"/>
      <c r="AR774" s="529"/>
      <c r="AS774" s="542"/>
      <c r="AT774" s="542"/>
    </row>
    <row r="775">
      <c r="A775" s="394"/>
      <c r="B775" s="430"/>
      <c r="C775" s="395"/>
      <c r="D775" s="529"/>
      <c r="E775" s="394"/>
      <c r="F775" s="430"/>
      <c r="G775" s="395"/>
      <c r="H775" s="529"/>
      <c r="I775" s="394"/>
      <c r="J775" s="430"/>
      <c r="K775" s="395"/>
      <c r="L775" s="529"/>
      <c r="M775" s="394"/>
      <c r="N775" s="430"/>
      <c r="O775" s="395"/>
      <c r="P775" s="529"/>
      <c r="Q775" s="547"/>
      <c r="R775" s="548"/>
      <c r="S775" s="549"/>
      <c r="T775" s="541"/>
      <c r="U775" s="547"/>
      <c r="V775" s="548"/>
      <c r="W775" s="549"/>
      <c r="X775" s="541"/>
      <c r="Y775" s="547"/>
      <c r="Z775" s="548"/>
      <c r="AA775" s="549"/>
      <c r="AB775" s="541"/>
      <c r="AC775" s="547"/>
      <c r="AD775" s="548"/>
      <c r="AE775" s="549"/>
      <c r="AF775" s="541"/>
      <c r="AG775" s="366"/>
      <c r="AH775" s="366"/>
      <c r="AI775" s="366"/>
      <c r="AJ775" s="366"/>
      <c r="AK775" s="394"/>
      <c r="AL775" s="430"/>
      <c r="AM775" s="395"/>
      <c r="AN775" s="529"/>
      <c r="AO775" s="394"/>
      <c r="AP775" s="430"/>
      <c r="AQ775" s="395"/>
      <c r="AR775" s="529"/>
      <c r="AS775" s="542"/>
      <c r="AT775" s="542"/>
    </row>
    <row r="776">
      <c r="A776" s="394"/>
      <c r="B776" s="430"/>
      <c r="C776" s="395"/>
      <c r="D776" s="529"/>
      <c r="E776" s="394"/>
      <c r="F776" s="430"/>
      <c r="G776" s="395"/>
      <c r="H776" s="529"/>
      <c r="I776" s="394"/>
      <c r="J776" s="430"/>
      <c r="K776" s="395"/>
      <c r="L776" s="529"/>
      <c r="M776" s="394"/>
      <c r="N776" s="430"/>
      <c r="O776" s="395"/>
      <c r="P776" s="529"/>
      <c r="Q776" s="547"/>
      <c r="R776" s="548"/>
      <c r="S776" s="549"/>
      <c r="T776" s="541"/>
      <c r="U776" s="547"/>
      <c r="V776" s="548"/>
      <c r="W776" s="549"/>
      <c r="X776" s="541"/>
      <c r="Y776" s="547"/>
      <c r="Z776" s="548"/>
      <c r="AA776" s="549"/>
      <c r="AB776" s="541"/>
      <c r="AC776" s="547"/>
      <c r="AD776" s="548"/>
      <c r="AE776" s="549"/>
      <c r="AF776" s="541"/>
      <c r="AG776" s="366"/>
      <c r="AH776" s="366"/>
      <c r="AI776" s="366"/>
      <c r="AJ776" s="366"/>
      <c r="AK776" s="394"/>
      <c r="AL776" s="430"/>
      <c r="AM776" s="395"/>
      <c r="AN776" s="529"/>
      <c r="AO776" s="394"/>
      <c r="AP776" s="430"/>
      <c r="AQ776" s="395"/>
      <c r="AR776" s="529"/>
      <c r="AS776" s="542"/>
      <c r="AT776" s="542"/>
    </row>
    <row r="777">
      <c r="A777" s="394"/>
      <c r="B777" s="430"/>
      <c r="C777" s="395"/>
      <c r="D777" s="529"/>
      <c r="E777" s="394"/>
      <c r="F777" s="430"/>
      <c r="G777" s="395"/>
      <c r="H777" s="529"/>
      <c r="I777" s="394"/>
      <c r="J777" s="430"/>
      <c r="K777" s="395"/>
      <c r="L777" s="529"/>
      <c r="M777" s="394"/>
      <c r="N777" s="430"/>
      <c r="O777" s="395"/>
      <c r="P777" s="529"/>
      <c r="Q777" s="547"/>
      <c r="R777" s="548"/>
      <c r="S777" s="549"/>
      <c r="T777" s="541"/>
      <c r="U777" s="547"/>
      <c r="V777" s="548"/>
      <c r="W777" s="549"/>
      <c r="X777" s="541"/>
      <c r="Y777" s="547"/>
      <c r="Z777" s="548"/>
      <c r="AA777" s="549"/>
      <c r="AB777" s="541"/>
      <c r="AC777" s="547"/>
      <c r="AD777" s="548"/>
      <c r="AE777" s="549"/>
      <c r="AF777" s="541"/>
      <c r="AG777" s="366"/>
      <c r="AH777" s="366"/>
      <c r="AI777" s="366"/>
      <c r="AJ777" s="366"/>
      <c r="AK777" s="394"/>
      <c r="AL777" s="430"/>
      <c r="AM777" s="395"/>
      <c r="AN777" s="529"/>
      <c r="AO777" s="394"/>
      <c r="AP777" s="430"/>
      <c r="AQ777" s="395"/>
      <c r="AR777" s="529"/>
      <c r="AS777" s="542"/>
      <c r="AT777" s="542"/>
    </row>
    <row r="778">
      <c r="A778" s="394"/>
      <c r="B778" s="430"/>
      <c r="C778" s="395"/>
      <c r="D778" s="529"/>
      <c r="E778" s="394"/>
      <c r="F778" s="430"/>
      <c r="G778" s="395"/>
      <c r="H778" s="529"/>
      <c r="I778" s="394"/>
      <c r="J778" s="430"/>
      <c r="K778" s="395"/>
      <c r="L778" s="529"/>
      <c r="M778" s="394"/>
      <c r="N778" s="430"/>
      <c r="O778" s="395"/>
      <c r="P778" s="529"/>
      <c r="Q778" s="547"/>
      <c r="R778" s="548"/>
      <c r="S778" s="549"/>
      <c r="T778" s="541"/>
      <c r="U778" s="547"/>
      <c r="V778" s="548"/>
      <c r="W778" s="549"/>
      <c r="X778" s="541"/>
      <c r="Y778" s="547"/>
      <c r="Z778" s="548"/>
      <c r="AA778" s="549"/>
      <c r="AB778" s="541"/>
      <c r="AC778" s="547"/>
      <c r="AD778" s="548"/>
      <c r="AE778" s="549"/>
      <c r="AF778" s="541"/>
      <c r="AG778" s="366"/>
      <c r="AH778" s="366"/>
      <c r="AI778" s="366"/>
      <c r="AJ778" s="366"/>
      <c r="AK778" s="394"/>
      <c r="AL778" s="430"/>
      <c r="AM778" s="395"/>
      <c r="AN778" s="529"/>
      <c r="AO778" s="394"/>
      <c r="AP778" s="430"/>
      <c r="AQ778" s="395"/>
      <c r="AR778" s="529"/>
      <c r="AS778" s="542"/>
      <c r="AT778" s="542"/>
    </row>
    <row r="779">
      <c r="A779" s="394"/>
      <c r="B779" s="430"/>
      <c r="C779" s="395"/>
      <c r="D779" s="529"/>
      <c r="E779" s="394"/>
      <c r="F779" s="430"/>
      <c r="G779" s="395"/>
      <c r="H779" s="529"/>
      <c r="I779" s="394"/>
      <c r="J779" s="430"/>
      <c r="K779" s="395"/>
      <c r="L779" s="529"/>
      <c r="M779" s="394"/>
      <c r="N779" s="430"/>
      <c r="O779" s="395"/>
      <c r="P779" s="529"/>
      <c r="Q779" s="547"/>
      <c r="R779" s="548"/>
      <c r="S779" s="549"/>
      <c r="T779" s="541"/>
      <c r="U779" s="547"/>
      <c r="V779" s="548"/>
      <c r="W779" s="549"/>
      <c r="X779" s="541"/>
      <c r="Y779" s="547"/>
      <c r="Z779" s="548"/>
      <c r="AA779" s="549"/>
      <c r="AB779" s="541"/>
      <c r="AC779" s="547"/>
      <c r="AD779" s="548"/>
      <c r="AE779" s="549"/>
      <c r="AF779" s="541"/>
      <c r="AG779" s="366"/>
      <c r="AH779" s="366"/>
      <c r="AI779" s="366"/>
      <c r="AJ779" s="366"/>
      <c r="AK779" s="394"/>
      <c r="AL779" s="430"/>
      <c r="AM779" s="395"/>
      <c r="AN779" s="529"/>
      <c r="AO779" s="394"/>
      <c r="AP779" s="430"/>
      <c r="AQ779" s="395"/>
      <c r="AR779" s="529"/>
      <c r="AS779" s="542"/>
      <c r="AT779" s="542"/>
    </row>
    <row r="780">
      <c r="A780" s="394"/>
      <c r="B780" s="430"/>
      <c r="C780" s="395"/>
      <c r="D780" s="529"/>
      <c r="E780" s="394"/>
      <c r="F780" s="430"/>
      <c r="G780" s="395"/>
      <c r="H780" s="529"/>
      <c r="I780" s="394"/>
      <c r="J780" s="430"/>
      <c r="K780" s="395"/>
      <c r="L780" s="529"/>
      <c r="M780" s="394"/>
      <c r="N780" s="430"/>
      <c r="O780" s="395"/>
      <c r="P780" s="529"/>
      <c r="Q780" s="547"/>
      <c r="R780" s="548"/>
      <c r="S780" s="549"/>
      <c r="T780" s="541"/>
      <c r="U780" s="547"/>
      <c r="V780" s="548"/>
      <c r="W780" s="549"/>
      <c r="X780" s="541"/>
      <c r="Y780" s="547"/>
      <c r="Z780" s="548"/>
      <c r="AA780" s="549"/>
      <c r="AB780" s="541"/>
      <c r="AC780" s="547"/>
      <c r="AD780" s="548"/>
      <c r="AE780" s="549"/>
      <c r="AF780" s="541"/>
      <c r="AG780" s="366"/>
      <c r="AH780" s="366"/>
      <c r="AI780" s="366"/>
      <c r="AJ780" s="366"/>
      <c r="AK780" s="394"/>
      <c r="AL780" s="430"/>
      <c r="AM780" s="395"/>
      <c r="AN780" s="529"/>
      <c r="AO780" s="394"/>
      <c r="AP780" s="430"/>
      <c r="AQ780" s="395"/>
      <c r="AR780" s="529"/>
      <c r="AS780" s="542"/>
      <c r="AT780" s="542"/>
    </row>
    <row r="781">
      <c r="A781" s="394"/>
      <c r="B781" s="430"/>
      <c r="C781" s="395"/>
      <c r="D781" s="529"/>
      <c r="E781" s="394"/>
      <c r="F781" s="430"/>
      <c r="G781" s="395"/>
      <c r="H781" s="529"/>
      <c r="I781" s="394"/>
      <c r="J781" s="430"/>
      <c r="K781" s="395"/>
      <c r="L781" s="529"/>
      <c r="M781" s="394"/>
      <c r="N781" s="430"/>
      <c r="O781" s="395"/>
      <c r="P781" s="529"/>
      <c r="Q781" s="547"/>
      <c r="R781" s="548"/>
      <c r="S781" s="549"/>
      <c r="T781" s="541"/>
      <c r="U781" s="547"/>
      <c r="V781" s="548"/>
      <c r="W781" s="549"/>
      <c r="X781" s="541"/>
      <c r="Y781" s="547"/>
      <c r="Z781" s="548"/>
      <c r="AA781" s="549"/>
      <c r="AB781" s="541"/>
      <c r="AC781" s="547"/>
      <c r="AD781" s="548"/>
      <c r="AE781" s="549"/>
      <c r="AF781" s="541"/>
      <c r="AG781" s="366"/>
      <c r="AH781" s="366"/>
      <c r="AI781" s="366"/>
      <c r="AJ781" s="366"/>
      <c r="AK781" s="394"/>
      <c r="AL781" s="430"/>
      <c r="AM781" s="395"/>
      <c r="AN781" s="529"/>
      <c r="AO781" s="394"/>
      <c r="AP781" s="430"/>
      <c r="AQ781" s="395"/>
      <c r="AR781" s="529"/>
      <c r="AS781" s="542"/>
      <c r="AT781" s="542"/>
    </row>
    <row r="782">
      <c r="A782" s="394"/>
      <c r="B782" s="430"/>
      <c r="C782" s="395"/>
      <c r="D782" s="529"/>
      <c r="E782" s="394"/>
      <c r="F782" s="430"/>
      <c r="G782" s="395"/>
      <c r="H782" s="529"/>
      <c r="I782" s="394"/>
      <c r="J782" s="430"/>
      <c r="K782" s="395"/>
      <c r="L782" s="529"/>
      <c r="M782" s="394"/>
      <c r="N782" s="430"/>
      <c r="O782" s="395"/>
      <c r="P782" s="529"/>
      <c r="Q782" s="547"/>
      <c r="R782" s="548"/>
      <c r="S782" s="549"/>
      <c r="T782" s="541"/>
      <c r="U782" s="547"/>
      <c r="V782" s="548"/>
      <c r="W782" s="549"/>
      <c r="X782" s="541"/>
      <c r="Y782" s="547"/>
      <c r="Z782" s="548"/>
      <c r="AA782" s="549"/>
      <c r="AB782" s="541"/>
      <c r="AC782" s="547"/>
      <c r="AD782" s="548"/>
      <c r="AE782" s="549"/>
      <c r="AF782" s="541"/>
      <c r="AG782" s="366"/>
      <c r="AH782" s="366"/>
      <c r="AI782" s="366"/>
      <c r="AJ782" s="366"/>
      <c r="AK782" s="394"/>
      <c r="AL782" s="430"/>
      <c r="AM782" s="395"/>
      <c r="AN782" s="529"/>
      <c r="AO782" s="394"/>
      <c r="AP782" s="430"/>
      <c r="AQ782" s="395"/>
      <c r="AR782" s="529"/>
      <c r="AS782" s="542"/>
      <c r="AT782" s="542"/>
    </row>
    <row r="783">
      <c r="A783" s="394"/>
      <c r="B783" s="430"/>
      <c r="C783" s="395"/>
      <c r="D783" s="529"/>
      <c r="E783" s="394"/>
      <c r="F783" s="430"/>
      <c r="G783" s="395"/>
      <c r="H783" s="529"/>
      <c r="I783" s="394"/>
      <c r="J783" s="430"/>
      <c r="K783" s="395"/>
      <c r="L783" s="529"/>
      <c r="M783" s="394"/>
      <c r="N783" s="430"/>
      <c r="O783" s="395"/>
      <c r="P783" s="529"/>
      <c r="Q783" s="547"/>
      <c r="R783" s="548"/>
      <c r="S783" s="549"/>
      <c r="T783" s="541"/>
      <c r="U783" s="547"/>
      <c r="V783" s="548"/>
      <c r="W783" s="549"/>
      <c r="X783" s="541"/>
      <c r="Y783" s="547"/>
      <c r="Z783" s="548"/>
      <c r="AA783" s="549"/>
      <c r="AB783" s="541"/>
      <c r="AC783" s="547"/>
      <c r="AD783" s="548"/>
      <c r="AE783" s="549"/>
      <c r="AF783" s="541"/>
      <c r="AG783" s="366"/>
      <c r="AH783" s="366"/>
      <c r="AI783" s="366"/>
      <c r="AJ783" s="366"/>
      <c r="AK783" s="394"/>
      <c r="AL783" s="430"/>
      <c r="AM783" s="395"/>
      <c r="AN783" s="529"/>
      <c r="AO783" s="394"/>
      <c r="AP783" s="430"/>
      <c r="AQ783" s="395"/>
      <c r="AR783" s="529"/>
      <c r="AS783" s="542"/>
      <c r="AT783" s="542"/>
    </row>
    <row r="784">
      <c r="A784" s="394"/>
      <c r="B784" s="430"/>
      <c r="C784" s="395"/>
      <c r="D784" s="529"/>
      <c r="E784" s="394"/>
      <c r="F784" s="430"/>
      <c r="G784" s="395"/>
      <c r="H784" s="529"/>
      <c r="I784" s="394"/>
      <c r="J784" s="430"/>
      <c r="K784" s="395"/>
      <c r="L784" s="529"/>
      <c r="M784" s="394"/>
      <c r="N784" s="430"/>
      <c r="O784" s="395"/>
      <c r="P784" s="529"/>
      <c r="Q784" s="547"/>
      <c r="R784" s="548"/>
      <c r="S784" s="549"/>
      <c r="T784" s="541"/>
      <c r="U784" s="547"/>
      <c r="V784" s="548"/>
      <c r="W784" s="549"/>
      <c r="X784" s="541"/>
      <c r="Y784" s="547"/>
      <c r="Z784" s="548"/>
      <c r="AA784" s="549"/>
      <c r="AB784" s="541"/>
      <c r="AC784" s="547"/>
      <c r="AD784" s="548"/>
      <c r="AE784" s="549"/>
      <c r="AF784" s="541"/>
      <c r="AG784" s="366"/>
      <c r="AH784" s="366"/>
      <c r="AI784" s="366"/>
      <c r="AJ784" s="366"/>
      <c r="AK784" s="394"/>
      <c r="AL784" s="430"/>
      <c r="AM784" s="395"/>
      <c r="AN784" s="529"/>
      <c r="AO784" s="394"/>
      <c r="AP784" s="430"/>
      <c r="AQ784" s="395"/>
      <c r="AR784" s="529"/>
      <c r="AS784" s="542"/>
      <c r="AT784" s="542"/>
    </row>
    <row r="785">
      <c r="A785" s="394"/>
      <c r="B785" s="430"/>
      <c r="C785" s="395"/>
      <c r="D785" s="529"/>
      <c r="E785" s="394"/>
      <c r="F785" s="430"/>
      <c r="G785" s="395"/>
      <c r="H785" s="529"/>
      <c r="I785" s="394"/>
      <c r="J785" s="430"/>
      <c r="K785" s="395"/>
      <c r="L785" s="529"/>
      <c r="M785" s="394"/>
      <c r="N785" s="430"/>
      <c r="O785" s="395"/>
      <c r="P785" s="529"/>
      <c r="Q785" s="547"/>
      <c r="R785" s="548"/>
      <c r="S785" s="549"/>
      <c r="T785" s="541"/>
      <c r="U785" s="547"/>
      <c r="V785" s="548"/>
      <c r="W785" s="549"/>
      <c r="X785" s="541"/>
      <c r="Y785" s="547"/>
      <c r="Z785" s="548"/>
      <c r="AA785" s="549"/>
      <c r="AB785" s="541"/>
      <c r="AC785" s="547"/>
      <c r="AD785" s="548"/>
      <c r="AE785" s="549"/>
      <c r="AF785" s="541"/>
      <c r="AG785" s="366"/>
      <c r="AH785" s="366"/>
      <c r="AI785" s="366"/>
      <c r="AJ785" s="366"/>
      <c r="AK785" s="394"/>
      <c r="AL785" s="430"/>
      <c r="AM785" s="395"/>
      <c r="AN785" s="529"/>
      <c r="AO785" s="394"/>
      <c r="AP785" s="430"/>
      <c r="AQ785" s="395"/>
      <c r="AR785" s="529"/>
      <c r="AS785" s="542"/>
      <c r="AT785" s="542"/>
    </row>
    <row r="786">
      <c r="A786" s="394"/>
      <c r="B786" s="430"/>
      <c r="C786" s="395"/>
      <c r="D786" s="529"/>
      <c r="E786" s="394"/>
      <c r="F786" s="430"/>
      <c r="G786" s="395"/>
      <c r="H786" s="529"/>
      <c r="I786" s="394"/>
      <c r="J786" s="430"/>
      <c r="K786" s="395"/>
      <c r="L786" s="529"/>
      <c r="M786" s="394"/>
      <c r="N786" s="430"/>
      <c r="O786" s="395"/>
      <c r="P786" s="529"/>
      <c r="Q786" s="547"/>
      <c r="R786" s="548"/>
      <c r="S786" s="549"/>
      <c r="T786" s="541"/>
      <c r="U786" s="547"/>
      <c r="V786" s="548"/>
      <c r="W786" s="549"/>
      <c r="X786" s="541"/>
      <c r="Y786" s="547"/>
      <c r="Z786" s="548"/>
      <c r="AA786" s="549"/>
      <c r="AB786" s="541"/>
      <c r="AC786" s="547"/>
      <c r="AD786" s="548"/>
      <c r="AE786" s="549"/>
      <c r="AF786" s="541"/>
      <c r="AG786" s="366"/>
      <c r="AH786" s="366"/>
      <c r="AI786" s="366"/>
      <c r="AJ786" s="366"/>
      <c r="AK786" s="394"/>
      <c r="AL786" s="430"/>
      <c r="AM786" s="395"/>
      <c r="AN786" s="529"/>
      <c r="AO786" s="394"/>
      <c r="AP786" s="430"/>
      <c r="AQ786" s="395"/>
      <c r="AR786" s="529"/>
      <c r="AS786" s="542"/>
      <c r="AT786" s="542"/>
    </row>
    <row r="787">
      <c r="A787" s="394"/>
      <c r="B787" s="430"/>
      <c r="C787" s="395"/>
      <c r="D787" s="529"/>
      <c r="E787" s="394"/>
      <c r="F787" s="430"/>
      <c r="G787" s="395"/>
      <c r="H787" s="529"/>
      <c r="I787" s="394"/>
      <c r="J787" s="430"/>
      <c r="K787" s="395"/>
      <c r="L787" s="529"/>
      <c r="M787" s="394"/>
      <c r="N787" s="430"/>
      <c r="O787" s="395"/>
      <c r="P787" s="529"/>
      <c r="Q787" s="547"/>
      <c r="R787" s="548"/>
      <c r="S787" s="549"/>
      <c r="T787" s="541"/>
      <c r="U787" s="547"/>
      <c r="V787" s="548"/>
      <c r="W787" s="549"/>
      <c r="X787" s="541"/>
      <c r="Y787" s="547"/>
      <c r="Z787" s="548"/>
      <c r="AA787" s="549"/>
      <c r="AB787" s="541"/>
      <c r="AC787" s="547"/>
      <c r="AD787" s="548"/>
      <c r="AE787" s="549"/>
      <c r="AF787" s="541"/>
      <c r="AG787" s="366"/>
      <c r="AH787" s="366"/>
      <c r="AI787" s="366"/>
      <c r="AJ787" s="366"/>
      <c r="AK787" s="394"/>
      <c r="AL787" s="430"/>
      <c r="AM787" s="395"/>
      <c r="AN787" s="529"/>
      <c r="AO787" s="394"/>
      <c r="AP787" s="430"/>
      <c r="AQ787" s="395"/>
      <c r="AR787" s="529"/>
      <c r="AS787" s="542"/>
      <c r="AT787" s="542"/>
    </row>
    <row r="788">
      <c r="A788" s="394"/>
      <c r="B788" s="430"/>
      <c r="C788" s="395"/>
      <c r="D788" s="529"/>
      <c r="E788" s="394"/>
      <c r="F788" s="430"/>
      <c r="G788" s="395"/>
      <c r="H788" s="529"/>
      <c r="I788" s="394"/>
      <c r="J788" s="430"/>
      <c r="K788" s="395"/>
      <c r="L788" s="529"/>
      <c r="M788" s="394"/>
      <c r="N788" s="430"/>
      <c r="O788" s="395"/>
      <c r="P788" s="529"/>
      <c r="Q788" s="547"/>
      <c r="R788" s="548"/>
      <c r="S788" s="549"/>
      <c r="T788" s="541"/>
      <c r="U788" s="547"/>
      <c r="V788" s="548"/>
      <c r="W788" s="549"/>
      <c r="X788" s="541"/>
      <c r="Y788" s="547"/>
      <c r="Z788" s="548"/>
      <c r="AA788" s="549"/>
      <c r="AB788" s="541"/>
      <c r="AC788" s="547"/>
      <c r="AD788" s="548"/>
      <c r="AE788" s="549"/>
      <c r="AF788" s="541"/>
      <c r="AG788" s="366"/>
      <c r="AH788" s="366"/>
      <c r="AI788" s="366"/>
      <c r="AJ788" s="366"/>
      <c r="AK788" s="394"/>
      <c r="AL788" s="430"/>
      <c r="AM788" s="395"/>
      <c r="AN788" s="529"/>
      <c r="AO788" s="394"/>
      <c r="AP788" s="430"/>
      <c r="AQ788" s="395"/>
      <c r="AR788" s="529"/>
      <c r="AS788" s="542"/>
      <c r="AT788" s="542"/>
    </row>
    <row r="789">
      <c r="A789" s="394"/>
      <c r="B789" s="430"/>
      <c r="C789" s="395"/>
      <c r="D789" s="529"/>
      <c r="E789" s="394"/>
      <c r="F789" s="430"/>
      <c r="G789" s="395"/>
      <c r="H789" s="529"/>
      <c r="I789" s="394"/>
      <c r="J789" s="430"/>
      <c r="K789" s="395"/>
      <c r="L789" s="529"/>
      <c r="M789" s="394"/>
      <c r="N789" s="430"/>
      <c r="O789" s="395"/>
      <c r="P789" s="529"/>
      <c r="Q789" s="547"/>
      <c r="R789" s="548"/>
      <c r="S789" s="549"/>
      <c r="T789" s="541"/>
      <c r="U789" s="547"/>
      <c r="V789" s="548"/>
      <c r="W789" s="549"/>
      <c r="X789" s="541"/>
      <c r="Y789" s="547"/>
      <c r="Z789" s="548"/>
      <c r="AA789" s="549"/>
      <c r="AB789" s="541"/>
      <c r="AC789" s="547"/>
      <c r="AD789" s="548"/>
      <c r="AE789" s="549"/>
      <c r="AF789" s="541"/>
      <c r="AG789" s="366"/>
      <c r="AH789" s="366"/>
      <c r="AI789" s="366"/>
      <c r="AJ789" s="366"/>
      <c r="AK789" s="394"/>
      <c r="AL789" s="430"/>
      <c r="AM789" s="395"/>
      <c r="AN789" s="529"/>
      <c r="AO789" s="394"/>
      <c r="AP789" s="430"/>
      <c r="AQ789" s="395"/>
      <c r="AR789" s="529"/>
      <c r="AS789" s="542"/>
      <c r="AT789" s="542"/>
    </row>
    <row r="790">
      <c r="A790" s="394"/>
      <c r="B790" s="430"/>
      <c r="C790" s="395"/>
      <c r="D790" s="529"/>
      <c r="E790" s="394"/>
      <c r="F790" s="430"/>
      <c r="G790" s="395"/>
      <c r="H790" s="529"/>
      <c r="I790" s="394"/>
      <c r="J790" s="430"/>
      <c r="K790" s="395"/>
      <c r="L790" s="529"/>
      <c r="M790" s="394"/>
      <c r="N790" s="430"/>
      <c r="O790" s="395"/>
      <c r="P790" s="529"/>
      <c r="Q790" s="547"/>
      <c r="R790" s="548"/>
      <c r="S790" s="549"/>
      <c r="T790" s="541"/>
      <c r="U790" s="547"/>
      <c r="V790" s="548"/>
      <c r="W790" s="549"/>
      <c r="X790" s="541"/>
      <c r="Y790" s="547"/>
      <c r="Z790" s="548"/>
      <c r="AA790" s="549"/>
      <c r="AB790" s="541"/>
      <c r="AC790" s="547"/>
      <c r="AD790" s="548"/>
      <c r="AE790" s="549"/>
      <c r="AF790" s="541"/>
      <c r="AG790" s="366"/>
      <c r="AH790" s="366"/>
      <c r="AI790" s="366"/>
      <c r="AJ790" s="366"/>
      <c r="AK790" s="394"/>
      <c r="AL790" s="430"/>
      <c r="AM790" s="395"/>
      <c r="AN790" s="529"/>
      <c r="AO790" s="394"/>
      <c r="AP790" s="430"/>
      <c r="AQ790" s="395"/>
      <c r="AR790" s="529"/>
      <c r="AS790" s="542"/>
      <c r="AT790" s="542"/>
    </row>
    <row r="791">
      <c r="A791" s="394"/>
      <c r="B791" s="430"/>
      <c r="C791" s="395"/>
      <c r="D791" s="529"/>
      <c r="E791" s="394"/>
      <c r="F791" s="430"/>
      <c r="G791" s="395"/>
      <c r="H791" s="529"/>
      <c r="I791" s="394"/>
      <c r="J791" s="430"/>
      <c r="K791" s="395"/>
      <c r="L791" s="529"/>
      <c r="M791" s="394"/>
      <c r="N791" s="430"/>
      <c r="O791" s="395"/>
      <c r="P791" s="529"/>
      <c r="Q791" s="547"/>
      <c r="R791" s="548"/>
      <c r="S791" s="549"/>
      <c r="T791" s="541"/>
      <c r="U791" s="547"/>
      <c r="V791" s="548"/>
      <c r="W791" s="549"/>
      <c r="X791" s="541"/>
      <c r="Y791" s="547"/>
      <c r="Z791" s="548"/>
      <c r="AA791" s="549"/>
      <c r="AB791" s="541"/>
      <c r="AC791" s="547"/>
      <c r="AD791" s="548"/>
      <c r="AE791" s="549"/>
      <c r="AF791" s="541"/>
      <c r="AG791" s="366"/>
      <c r="AH791" s="366"/>
      <c r="AI791" s="366"/>
      <c r="AJ791" s="366"/>
      <c r="AK791" s="394"/>
      <c r="AL791" s="430"/>
      <c r="AM791" s="395"/>
      <c r="AN791" s="529"/>
      <c r="AO791" s="394"/>
      <c r="AP791" s="430"/>
      <c r="AQ791" s="395"/>
      <c r="AR791" s="529"/>
      <c r="AS791" s="542"/>
      <c r="AT791" s="542"/>
    </row>
    <row r="792">
      <c r="A792" s="394"/>
      <c r="B792" s="430"/>
      <c r="C792" s="395"/>
      <c r="D792" s="529"/>
      <c r="E792" s="394"/>
      <c r="F792" s="430"/>
      <c r="G792" s="395"/>
      <c r="H792" s="529"/>
      <c r="I792" s="394"/>
      <c r="J792" s="430"/>
      <c r="K792" s="395"/>
      <c r="L792" s="529"/>
      <c r="M792" s="394"/>
      <c r="N792" s="430"/>
      <c r="O792" s="395"/>
      <c r="P792" s="529"/>
      <c r="Q792" s="547"/>
      <c r="R792" s="548"/>
      <c r="S792" s="549"/>
      <c r="T792" s="541"/>
      <c r="U792" s="547"/>
      <c r="V792" s="548"/>
      <c r="W792" s="549"/>
      <c r="X792" s="541"/>
      <c r="Y792" s="547"/>
      <c r="Z792" s="548"/>
      <c r="AA792" s="549"/>
      <c r="AB792" s="541"/>
      <c r="AC792" s="547"/>
      <c r="AD792" s="548"/>
      <c r="AE792" s="549"/>
      <c r="AF792" s="541"/>
      <c r="AG792" s="366"/>
      <c r="AH792" s="366"/>
      <c r="AI792" s="366"/>
      <c r="AJ792" s="366"/>
      <c r="AK792" s="394"/>
      <c r="AL792" s="430"/>
      <c r="AM792" s="395"/>
      <c r="AN792" s="529"/>
      <c r="AO792" s="394"/>
      <c r="AP792" s="430"/>
      <c r="AQ792" s="395"/>
      <c r="AR792" s="529"/>
      <c r="AS792" s="542"/>
      <c r="AT792" s="542"/>
    </row>
    <row r="793">
      <c r="A793" s="394"/>
      <c r="B793" s="430"/>
      <c r="C793" s="395"/>
      <c r="D793" s="529"/>
      <c r="E793" s="394"/>
      <c r="F793" s="430"/>
      <c r="G793" s="395"/>
      <c r="H793" s="529"/>
      <c r="I793" s="394"/>
      <c r="J793" s="430"/>
      <c r="K793" s="395"/>
      <c r="L793" s="529"/>
      <c r="M793" s="394"/>
      <c r="N793" s="430"/>
      <c r="O793" s="395"/>
      <c r="P793" s="529"/>
      <c r="Q793" s="547"/>
      <c r="R793" s="548"/>
      <c r="S793" s="549"/>
      <c r="T793" s="541"/>
      <c r="U793" s="547"/>
      <c r="V793" s="548"/>
      <c r="W793" s="549"/>
      <c r="X793" s="541"/>
      <c r="Y793" s="547"/>
      <c r="Z793" s="548"/>
      <c r="AA793" s="549"/>
      <c r="AB793" s="541"/>
      <c r="AC793" s="547"/>
      <c r="AD793" s="548"/>
      <c r="AE793" s="549"/>
      <c r="AF793" s="541"/>
      <c r="AG793" s="366"/>
      <c r="AH793" s="366"/>
      <c r="AI793" s="366"/>
      <c r="AJ793" s="366"/>
      <c r="AK793" s="394"/>
      <c r="AL793" s="430"/>
      <c r="AM793" s="395"/>
      <c r="AN793" s="529"/>
      <c r="AO793" s="394"/>
      <c r="AP793" s="430"/>
      <c r="AQ793" s="395"/>
      <c r="AR793" s="529"/>
      <c r="AS793" s="542"/>
      <c r="AT793" s="542"/>
    </row>
    <row r="794">
      <c r="A794" s="394"/>
      <c r="B794" s="430"/>
      <c r="C794" s="395"/>
      <c r="D794" s="529"/>
      <c r="E794" s="394"/>
      <c r="F794" s="430"/>
      <c r="G794" s="395"/>
      <c r="H794" s="529"/>
      <c r="I794" s="394"/>
      <c r="J794" s="430"/>
      <c r="K794" s="395"/>
      <c r="L794" s="529"/>
      <c r="M794" s="394"/>
      <c r="N794" s="430"/>
      <c r="O794" s="395"/>
      <c r="P794" s="529"/>
      <c r="Q794" s="547"/>
      <c r="R794" s="548"/>
      <c r="S794" s="549"/>
      <c r="T794" s="541"/>
      <c r="U794" s="547"/>
      <c r="V794" s="548"/>
      <c r="W794" s="549"/>
      <c r="X794" s="541"/>
      <c r="Y794" s="547"/>
      <c r="Z794" s="548"/>
      <c r="AA794" s="549"/>
      <c r="AB794" s="541"/>
      <c r="AC794" s="547"/>
      <c r="AD794" s="548"/>
      <c r="AE794" s="549"/>
      <c r="AF794" s="541"/>
      <c r="AG794" s="366"/>
      <c r="AH794" s="366"/>
      <c r="AI794" s="366"/>
      <c r="AJ794" s="366"/>
      <c r="AK794" s="394"/>
      <c r="AL794" s="430"/>
      <c r="AM794" s="395"/>
      <c r="AN794" s="529"/>
      <c r="AO794" s="394"/>
      <c r="AP794" s="430"/>
      <c r="AQ794" s="395"/>
      <c r="AR794" s="529"/>
      <c r="AS794" s="542"/>
      <c r="AT794" s="542"/>
    </row>
    <row r="795">
      <c r="A795" s="394"/>
      <c r="B795" s="430"/>
      <c r="C795" s="395"/>
      <c r="D795" s="529"/>
      <c r="E795" s="394"/>
      <c r="F795" s="430"/>
      <c r="G795" s="395"/>
      <c r="H795" s="529"/>
      <c r="I795" s="394"/>
      <c r="J795" s="430"/>
      <c r="K795" s="395"/>
      <c r="L795" s="529"/>
      <c r="M795" s="394"/>
      <c r="N795" s="430"/>
      <c r="O795" s="395"/>
      <c r="P795" s="529"/>
      <c r="Q795" s="547"/>
      <c r="R795" s="548"/>
      <c r="S795" s="549"/>
      <c r="T795" s="541"/>
      <c r="U795" s="547"/>
      <c r="V795" s="548"/>
      <c r="W795" s="549"/>
      <c r="X795" s="541"/>
      <c r="Y795" s="547"/>
      <c r="Z795" s="548"/>
      <c r="AA795" s="549"/>
      <c r="AB795" s="541"/>
      <c r="AC795" s="547"/>
      <c r="AD795" s="548"/>
      <c r="AE795" s="549"/>
      <c r="AF795" s="541"/>
      <c r="AG795" s="366"/>
      <c r="AH795" s="366"/>
      <c r="AI795" s="366"/>
      <c r="AJ795" s="366"/>
      <c r="AK795" s="394"/>
      <c r="AL795" s="430"/>
      <c r="AM795" s="395"/>
      <c r="AN795" s="529"/>
      <c r="AO795" s="394"/>
      <c r="AP795" s="430"/>
      <c r="AQ795" s="395"/>
      <c r="AR795" s="529"/>
      <c r="AS795" s="542"/>
      <c r="AT795" s="542"/>
    </row>
    <row r="796">
      <c r="A796" s="394"/>
      <c r="B796" s="430"/>
      <c r="C796" s="395"/>
      <c r="D796" s="529"/>
      <c r="E796" s="394"/>
      <c r="F796" s="430"/>
      <c r="G796" s="395"/>
      <c r="H796" s="529"/>
      <c r="I796" s="394"/>
      <c r="J796" s="430"/>
      <c r="K796" s="395"/>
      <c r="L796" s="529"/>
      <c r="M796" s="394"/>
      <c r="N796" s="430"/>
      <c r="O796" s="395"/>
      <c r="P796" s="529"/>
      <c r="Q796" s="547"/>
      <c r="R796" s="548"/>
      <c r="S796" s="549"/>
      <c r="T796" s="541"/>
      <c r="U796" s="547"/>
      <c r="V796" s="548"/>
      <c r="W796" s="549"/>
      <c r="X796" s="541"/>
      <c r="Y796" s="547"/>
      <c r="Z796" s="548"/>
      <c r="AA796" s="549"/>
      <c r="AB796" s="541"/>
      <c r="AC796" s="547"/>
      <c r="AD796" s="548"/>
      <c r="AE796" s="549"/>
      <c r="AF796" s="541"/>
      <c r="AG796" s="366"/>
      <c r="AH796" s="366"/>
      <c r="AI796" s="366"/>
      <c r="AJ796" s="366"/>
      <c r="AK796" s="394"/>
      <c r="AL796" s="430"/>
      <c r="AM796" s="395"/>
      <c r="AN796" s="529"/>
      <c r="AO796" s="394"/>
      <c r="AP796" s="430"/>
      <c r="AQ796" s="395"/>
      <c r="AR796" s="529"/>
      <c r="AS796" s="542"/>
      <c r="AT796" s="542"/>
    </row>
    <row r="797">
      <c r="A797" s="394"/>
      <c r="B797" s="430"/>
      <c r="C797" s="395"/>
      <c r="D797" s="529"/>
      <c r="E797" s="394"/>
      <c r="F797" s="430"/>
      <c r="G797" s="395"/>
      <c r="H797" s="529"/>
      <c r="I797" s="394"/>
      <c r="J797" s="430"/>
      <c r="K797" s="395"/>
      <c r="L797" s="529"/>
      <c r="M797" s="394"/>
      <c r="N797" s="430"/>
      <c r="O797" s="395"/>
      <c r="P797" s="529"/>
      <c r="Q797" s="547"/>
      <c r="R797" s="548"/>
      <c r="S797" s="549"/>
      <c r="T797" s="541"/>
      <c r="U797" s="547"/>
      <c r="V797" s="548"/>
      <c r="W797" s="549"/>
      <c r="X797" s="541"/>
      <c r="Y797" s="547"/>
      <c r="Z797" s="548"/>
      <c r="AA797" s="549"/>
      <c r="AB797" s="541"/>
      <c r="AC797" s="547"/>
      <c r="AD797" s="548"/>
      <c r="AE797" s="549"/>
      <c r="AF797" s="541"/>
      <c r="AG797" s="366"/>
      <c r="AH797" s="366"/>
      <c r="AI797" s="366"/>
      <c r="AJ797" s="366"/>
      <c r="AK797" s="394"/>
      <c r="AL797" s="430"/>
      <c r="AM797" s="395"/>
      <c r="AN797" s="529"/>
      <c r="AO797" s="394"/>
      <c r="AP797" s="430"/>
      <c r="AQ797" s="395"/>
      <c r="AR797" s="529"/>
      <c r="AS797" s="542"/>
      <c r="AT797" s="542"/>
    </row>
    <row r="798">
      <c r="A798" s="394"/>
      <c r="B798" s="430"/>
      <c r="C798" s="395"/>
      <c r="D798" s="529"/>
      <c r="E798" s="394"/>
      <c r="F798" s="430"/>
      <c r="G798" s="395"/>
      <c r="H798" s="529"/>
      <c r="I798" s="394"/>
      <c r="J798" s="430"/>
      <c r="K798" s="395"/>
      <c r="L798" s="529"/>
      <c r="M798" s="394"/>
      <c r="N798" s="430"/>
      <c r="O798" s="395"/>
      <c r="P798" s="529"/>
      <c r="Q798" s="547"/>
      <c r="R798" s="548"/>
      <c r="S798" s="549"/>
      <c r="T798" s="541"/>
      <c r="U798" s="547"/>
      <c r="V798" s="548"/>
      <c r="W798" s="549"/>
      <c r="X798" s="541"/>
      <c r="Y798" s="547"/>
      <c r="Z798" s="548"/>
      <c r="AA798" s="549"/>
      <c r="AB798" s="541"/>
      <c r="AC798" s="547"/>
      <c r="AD798" s="548"/>
      <c r="AE798" s="549"/>
      <c r="AF798" s="541"/>
      <c r="AG798" s="366"/>
      <c r="AH798" s="366"/>
      <c r="AI798" s="366"/>
      <c r="AJ798" s="366"/>
      <c r="AK798" s="394"/>
      <c r="AL798" s="430"/>
      <c r="AM798" s="395"/>
      <c r="AN798" s="529"/>
      <c r="AO798" s="394"/>
      <c r="AP798" s="430"/>
      <c r="AQ798" s="395"/>
      <c r="AR798" s="529"/>
      <c r="AS798" s="542"/>
      <c r="AT798" s="542"/>
    </row>
    <row r="799">
      <c r="A799" s="394"/>
      <c r="B799" s="430"/>
      <c r="C799" s="395"/>
      <c r="D799" s="529"/>
      <c r="E799" s="394"/>
      <c r="F799" s="430"/>
      <c r="G799" s="395"/>
      <c r="H799" s="529"/>
      <c r="I799" s="394"/>
      <c r="J799" s="430"/>
      <c r="K799" s="395"/>
      <c r="L799" s="529"/>
      <c r="M799" s="394"/>
      <c r="N799" s="430"/>
      <c r="O799" s="395"/>
      <c r="P799" s="529"/>
      <c r="Q799" s="547"/>
      <c r="R799" s="548"/>
      <c r="S799" s="549"/>
      <c r="T799" s="541"/>
      <c r="U799" s="547"/>
      <c r="V799" s="548"/>
      <c r="W799" s="549"/>
      <c r="X799" s="541"/>
      <c r="Y799" s="547"/>
      <c r="Z799" s="548"/>
      <c r="AA799" s="549"/>
      <c r="AB799" s="541"/>
      <c r="AC799" s="547"/>
      <c r="AD799" s="548"/>
      <c r="AE799" s="549"/>
      <c r="AF799" s="541"/>
      <c r="AG799" s="366"/>
      <c r="AH799" s="366"/>
      <c r="AI799" s="366"/>
      <c r="AJ799" s="366"/>
      <c r="AK799" s="394"/>
      <c r="AL799" s="430"/>
      <c r="AM799" s="395"/>
      <c r="AN799" s="529"/>
      <c r="AO799" s="394"/>
      <c r="AP799" s="430"/>
      <c r="AQ799" s="395"/>
      <c r="AR799" s="529"/>
      <c r="AS799" s="542"/>
      <c r="AT799" s="542"/>
    </row>
    <row r="800">
      <c r="A800" s="394"/>
      <c r="B800" s="430"/>
      <c r="C800" s="395"/>
      <c r="D800" s="529"/>
      <c r="E800" s="394"/>
      <c r="F800" s="430"/>
      <c r="G800" s="395"/>
      <c r="H800" s="529"/>
      <c r="I800" s="394"/>
      <c r="J800" s="430"/>
      <c r="K800" s="395"/>
      <c r="L800" s="529"/>
      <c r="M800" s="394"/>
      <c r="N800" s="430"/>
      <c r="O800" s="395"/>
      <c r="P800" s="529"/>
      <c r="Q800" s="547"/>
      <c r="R800" s="548"/>
      <c r="S800" s="549"/>
      <c r="T800" s="541"/>
      <c r="U800" s="547"/>
      <c r="V800" s="548"/>
      <c r="W800" s="549"/>
      <c r="X800" s="541"/>
      <c r="Y800" s="547"/>
      <c r="Z800" s="548"/>
      <c r="AA800" s="549"/>
      <c r="AB800" s="541"/>
      <c r="AC800" s="547"/>
      <c r="AD800" s="548"/>
      <c r="AE800" s="549"/>
      <c r="AF800" s="541"/>
      <c r="AG800" s="366"/>
      <c r="AH800" s="366"/>
      <c r="AI800" s="366"/>
      <c r="AJ800" s="366"/>
      <c r="AK800" s="394"/>
      <c r="AL800" s="430"/>
      <c r="AM800" s="395"/>
      <c r="AN800" s="529"/>
      <c r="AO800" s="394"/>
      <c r="AP800" s="430"/>
      <c r="AQ800" s="395"/>
      <c r="AR800" s="529"/>
      <c r="AS800" s="542"/>
      <c r="AT800" s="542"/>
    </row>
    <row r="801">
      <c r="A801" s="394"/>
      <c r="B801" s="430"/>
      <c r="C801" s="395"/>
      <c r="D801" s="529"/>
      <c r="E801" s="394"/>
      <c r="F801" s="430"/>
      <c r="G801" s="395"/>
      <c r="H801" s="529"/>
      <c r="I801" s="394"/>
      <c r="J801" s="430"/>
      <c r="K801" s="395"/>
      <c r="L801" s="529"/>
      <c r="M801" s="394"/>
      <c r="N801" s="430"/>
      <c r="O801" s="395"/>
      <c r="P801" s="529"/>
      <c r="Q801" s="547"/>
      <c r="R801" s="548"/>
      <c r="S801" s="549"/>
      <c r="T801" s="541"/>
      <c r="U801" s="547"/>
      <c r="V801" s="548"/>
      <c r="W801" s="549"/>
      <c r="X801" s="541"/>
      <c r="Y801" s="547"/>
      <c r="Z801" s="548"/>
      <c r="AA801" s="549"/>
      <c r="AB801" s="541"/>
      <c r="AC801" s="547"/>
      <c r="AD801" s="548"/>
      <c r="AE801" s="549"/>
      <c r="AF801" s="541"/>
      <c r="AG801" s="366"/>
      <c r="AH801" s="366"/>
      <c r="AI801" s="366"/>
      <c r="AJ801" s="366"/>
      <c r="AK801" s="394"/>
      <c r="AL801" s="430"/>
      <c r="AM801" s="395"/>
      <c r="AN801" s="529"/>
      <c r="AO801" s="394"/>
      <c r="AP801" s="430"/>
      <c r="AQ801" s="395"/>
      <c r="AR801" s="529"/>
      <c r="AS801" s="542"/>
      <c r="AT801" s="542"/>
    </row>
    <row r="802">
      <c r="A802" s="394"/>
      <c r="B802" s="430"/>
      <c r="C802" s="395"/>
      <c r="D802" s="529"/>
      <c r="E802" s="394"/>
      <c r="F802" s="430"/>
      <c r="G802" s="395"/>
      <c r="H802" s="529"/>
      <c r="I802" s="394"/>
      <c r="J802" s="430"/>
      <c r="K802" s="395"/>
      <c r="L802" s="529"/>
      <c r="M802" s="394"/>
      <c r="N802" s="430"/>
      <c r="O802" s="395"/>
      <c r="P802" s="529"/>
      <c r="Q802" s="547"/>
      <c r="R802" s="548"/>
      <c r="S802" s="549"/>
      <c r="T802" s="541"/>
      <c r="U802" s="547"/>
      <c r="V802" s="548"/>
      <c r="W802" s="549"/>
      <c r="X802" s="541"/>
      <c r="Y802" s="547"/>
      <c r="Z802" s="548"/>
      <c r="AA802" s="549"/>
      <c r="AB802" s="541"/>
      <c r="AC802" s="547"/>
      <c r="AD802" s="548"/>
      <c r="AE802" s="549"/>
      <c r="AF802" s="541"/>
      <c r="AG802" s="366"/>
      <c r="AH802" s="366"/>
      <c r="AI802" s="366"/>
      <c r="AJ802" s="366"/>
      <c r="AK802" s="394"/>
      <c r="AL802" s="430"/>
      <c r="AM802" s="395"/>
      <c r="AN802" s="529"/>
      <c r="AO802" s="394"/>
      <c r="AP802" s="430"/>
      <c r="AQ802" s="395"/>
      <c r="AR802" s="529"/>
      <c r="AS802" s="542"/>
      <c r="AT802" s="542"/>
    </row>
    <row r="803">
      <c r="A803" s="394"/>
      <c r="B803" s="430"/>
      <c r="C803" s="395"/>
      <c r="D803" s="529"/>
      <c r="E803" s="394"/>
      <c r="F803" s="430"/>
      <c r="G803" s="395"/>
      <c r="H803" s="529"/>
      <c r="I803" s="394"/>
      <c r="J803" s="430"/>
      <c r="K803" s="395"/>
      <c r="L803" s="529"/>
      <c r="M803" s="394"/>
      <c r="N803" s="430"/>
      <c r="O803" s="395"/>
      <c r="P803" s="529"/>
      <c r="Q803" s="547"/>
      <c r="R803" s="548"/>
      <c r="S803" s="549"/>
      <c r="T803" s="541"/>
      <c r="U803" s="547"/>
      <c r="V803" s="548"/>
      <c r="W803" s="549"/>
      <c r="X803" s="541"/>
      <c r="Y803" s="547"/>
      <c r="Z803" s="548"/>
      <c r="AA803" s="549"/>
      <c r="AB803" s="541"/>
      <c r="AC803" s="547"/>
      <c r="AD803" s="548"/>
      <c r="AE803" s="549"/>
      <c r="AF803" s="541"/>
      <c r="AG803" s="366"/>
      <c r="AH803" s="366"/>
      <c r="AI803" s="366"/>
      <c r="AJ803" s="366"/>
      <c r="AK803" s="394"/>
      <c r="AL803" s="430"/>
      <c r="AM803" s="395"/>
      <c r="AN803" s="529"/>
      <c r="AO803" s="394"/>
      <c r="AP803" s="430"/>
      <c r="AQ803" s="395"/>
      <c r="AR803" s="529"/>
      <c r="AS803" s="542"/>
      <c r="AT803" s="542"/>
    </row>
    <row r="804">
      <c r="A804" s="394"/>
      <c r="B804" s="430"/>
      <c r="C804" s="395"/>
      <c r="D804" s="529"/>
      <c r="E804" s="394"/>
      <c r="F804" s="430"/>
      <c r="G804" s="395"/>
      <c r="H804" s="529"/>
      <c r="I804" s="394"/>
      <c r="J804" s="430"/>
      <c r="K804" s="395"/>
      <c r="L804" s="529"/>
      <c r="M804" s="394"/>
      <c r="N804" s="430"/>
      <c r="O804" s="395"/>
      <c r="P804" s="529"/>
      <c r="Q804" s="547"/>
      <c r="R804" s="548"/>
      <c r="S804" s="549"/>
      <c r="T804" s="541"/>
      <c r="U804" s="547"/>
      <c r="V804" s="548"/>
      <c r="W804" s="549"/>
      <c r="X804" s="541"/>
      <c r="Y804" s="547"/>
      <c r="Z804" s="548"/>
      <c r="AA804" s="549"/>
      <c r="AB804" s="541"/>
      <c r="AC804" s="547"/>
      <c r="AD804" s="548"/>
      <c r="AE804" s="549"/>
      <c r="AF804" s="541"/>
      <c r="AG804" s="366"/>
      <c r="AH804" s="366"/>
      <c r="AI804" s="366"/>
      <c r="AJ804" s="366"/>
      <c r="AK804" s="394"/>
      <c r="AL804" s="430"/>
      <c r="AM804" s="395"/>
      <c r="AN804" s="529"/>
      <c r="AO804" s="394"/>
      <c r="AP804" s="430"/>
      <c r="AQ804" s="395"/>
      <c r="AR804" s="529"/>
      <c r="AS804" s="542"/>
      <c r="AT804" s="542"/>
    </row>
    <row r="805">
      <c r="A805" s="394"/>
      <c r="B805" s="430"/>
      <c r="C805" s="395"/>
      <c r="D805" s="529"/>
      <c r="E805" s="394"/>
      <c r="F805" s="430"/>
      <c r="G805" s="395"/>
      <c r="H805" s="529"/>
      <c r="I805" s="394"/>
      <c r="J805" s="430"/>
      <c r="K805" s="395"/>
      <c r="L805" s="529"/>
      <c r="M805" s="394"/>
      <c r="N805" s="430"/>
      <c r="O805" s="395"/>
      <c r="P805" s="529"/>
      <c r="Q805" s="547"/>
      <c r="R805" s="548"/>
      <c r="S805" s="549"/>
      <c r="T805" s="541"/>
      <c r="U805" s="547"/>
      <c r="V805" s="548"/>
      <c r="W805" s="549"/>
      <c r="X805" s="541"/>
      <c r="Y805" s="547"/>
      <c r="Z805" s="548"/>
      <c r="AA805" s="549"/>
      <c r="AB805" s="541"/>
      <c r="AC805" s="547"/>
      <c r="AD805" s="548"/>
      <c r="AE805" s="549"/>
      <c r="AF805" s="541"/>
      <c r="AG805" s="366"/>
      <c r="AH805" s="366"/>
      <c r="AI805" s="366"/>
      <c r="AJ805" s="366"/>
      <c r="AK805" s="394"/>
      <c r="AL805" s="430"/>
      <c r="AM805" s="395"/>
      <c r="AN805" s="529"/>
      <c r="AO805" s="394"/>
      <c r="AP805" s="430"/>
      <c r="AQ805" s="395"/>
      <c r="AR805" s="529"/>
      <c r="AS805" s="542"/>
      <c r="AT805" s="542"/>
    </row>
    <row r="806">
      <c r="A806" s="394"/>
      <c r="B806" s="430"/>
      <c r="C806" s="395"/>
      <c r="D806" s="529"/>
      <c r="E806" s="394"/>
      <c r="F806" s="430"/>
      <c r="G806" s="395"/>
      <c r="H806" s="529"/>
      <c r="I806" s="394"/>
      <c r="J806" s="430"/>
      <c r="K806" s="395"/>
      <c r="L806" s="529"/>
      <c r="M806" s="394"/>
      <c r="N806" s="430"/>
      <c r="O806" s="395"/>
      <c r="P806" s="529"/>
      <c r="Q806" s="547"/>
      <c r="R806" s="548"/>
      <c r="S806" s="549"/>
      <c r="T806" s="541"/>
      <c r="U806" s="547"/>
      <c r="V806" s="548"/>
      <c r="W806" s="549"/>
      <c r="X806" s="541"/>
      <c r="Y806" s="547"/>
      <c r="Z806" s="548"/>
      <c r="AA806" s="549"/>
      <c r="AB806" s="541"/>
      <c r="AC806" s="547"/>
      <c r="AD806" s="548"/>
      <c r="AE806" s="549"/>
      <c r="AF806" s="541"/>
      <c r="AG806" s="366"/>
      <c r="AH806" s="366"/>
      <c r="AI806" s="366"/>
      <c r="AJ806" s="366"/>
      <c r="AK806" s="394"/>
      <c r="AL806" s="430"/>
      <c r="AM806" s="395"/>
      <c r="AN806" s="529"/>
      <c r="AO806" s="394"/>
      <c r="AP806" s="430"/>
      <c r="AQ806" s="395"/>
      <c r="AR806" s="529"/>
      <c r="AS806" s="542"/>
      <c r="AT806" s="542"/>
    </row>
    <row r="807">
      <c r="A807" s="394"/>
      <c r="B807" s="430"/>
      <c r="C807" s="395"/>
      <c r="D807" s="529"/>
      <c r="E807" s="394"/>
      <c r="F807" s="430"/>
      <c r="G807" s="395"/>
      <c r="H807" s="529"/>
      <c r="I807" s="394"/>
      <c r="J807" s="430"/>
      <c r="K807" s="395"/>
      <c r="L807" s="529"/>
      <c r="M807" s="394"/>
      <c r="N807" s="430"/>
      <c r="O807" s="395"/>
      <c r="P807" s="529"/>
      <c r="Q807" s="547"/>
      <c r="R807" s="548"/>
      <c r="S807" s="549"/>
      <c r="T807" s="541"/>
      <c r="U807" s="547"/>
      <c r="V807" s="548"/>
      <c r="W807" s="549"/>
      <c r="X807" s="541"/>
      <c r="Y807" s="547"/>
      <c r="Z807" s="548"/>
      <c r="AA807" s="549"/>
      <c r="AB807" s="541"/>
      <c r="AC807" s="547"/>
      <c r="AD807" s="548"/>
      <c r="AE807" s="549"/>
      <c r="AF807" s="541"/>
      <c r="AG807" s="366"/>
      <c r="AH807" s="366"/>
      <c r="AI807" s="366"/>
      <c r="AJ807" s="366"/>
      <c r="AK807" s="394"/>
      <c r="AL807" s="430"/>
      <c r="AM807" s="395"/>
      <c r="AN807" s="529"/>
      <c r="AO807" s="394"/>
      <c r="AP807" s="430"/>
      <c r="AQ807" s="395"/>
      <c r="AR807" s="529"/>
      <c r="AS807" s="542"/>
      <c r="AT807" s="542"/>
    </row>
    <row r="808">
      <c r="A808" s="394"/>
      <c r="B808" s="430"/>
      <c r="C808" s="395"/>
      <c r="D808" s="529"/>
      <c r="E808" s="394"/>
      <c r="F808" s="430"/>
      <c r="G808" s="395"/>
      <c r="H808" s="529"/>
      <c r="I808" s="394"/>
      <c r="J808" s="430"/>
      <c r="K808" s="395"/>
      <c r="L808" s="529"/>
      <c r="M808" s="394"/>
      <c r="N808" s="430"/>
      <c r="O808" s="395"/>
      <c r="P808" s="529"/>
      <c r="Q808" s="547"/>
      <c r="R808" s="548"/>
      <c r="S808" s="549"/>
      <c r="T808" s="541"/>
      <c r="U808" s="547"/>
      <c r="V808" s="548"/>
      <c r="W808" s="549"/>
      <c r="X808" s="541"/>
      <c r="Y808" s="547"/>
      <c r="Z808" s="548"/>
      <c r="AA808" s="549"/>
      <c r="AB808" s="541"/>
      <c r="AC808" s="547"/>
      <c r="AD808" s="548"/>
      <c r="AE808" s="549"/>
      <c r="AF808" s="541"/>
      <c r="AG808" s="366"/>
      <c r="AH808" s="366"/>
      <c r="AI808" s="366"/>
      <c r="AJ808" s="366"/>
      <c r="AK808" s="394"/>
      <c r="AL808" s="430"/>
      <c r="AM808" s="395"/>
      <c r="AN808" s="529"/>
      <c r="AO808" s="394"/>
      <c r="AP808" s="430"/>
      <c r="AQ808" s="395"/>
      <c r="AR808" s="529"/>
      <c r="AS808" s="542"/>
      <c r="AT808" s="542"/>
    </row>
    <row r="809">
      <c r="A809" s="394"/>
      <c r="B809" s="430"/>
      <c r="C809" s="395"/>
      <c r="D809" s="529"/>
      <c r="E809" s="394"/>
      <c r="F809" s="430"/>
      <c r="G809" s="395"/>
      <c r="H809" s="529"/>
      <c r="I809" s="394"/>
      <c r="J809" s="430"/>
      <c r="K809" s="395"/>
      <c r="L809" s="529"/>
      <c r="M809" s="394"/>
      <c r="N809" s="430"/>
      <c r="O809" s="395"/>
      <c r="P809" s="529"/>
      <c r="Q809" s="547"/>
      <c r="R809" s="548"/>
      <c r="S809" s="549"/>
      <c r="T809" s="541"/>
      <c r="U809" s="547"/>
      <c r="V809" s="548"/>
      <c r="W809" s="549"/>
      <c r="X809" s="541"/>
      <c r="Y809" s="547"/>
      <c r="Z809" s="548"/>
      <c r="AA809" s="549"/>
      <c r="AB809" s="541"/>
      <c r="AC809" s="547"/>
      <c r="AD809" s="548"/>
      <c r="AE809" s="549"/>
      <c r="AF809" s="541"/>
      <c r="AG809" s="366"/>
      <c r="AH809" s="366"/>
      <c r="AI809" s="366"/>
      <c r="AJ809" s="366"/>
      <c r="AK809" s="394"/>
      <c r="AL809" s="430"/>
      <c r="AM809" s="395"/>
      <c r="AN809" s="529"/>
      <c r="AO809" s="394"/>
      <c r="AP809" s="430"/>
      <c r="AQ809" s="395"/>
      <c r="AR809" s="529"/>
      <c r="AS809" s="542"/>
      <c r="AT809" s="542"/>
    </row>
    <row r="810">
      <c r="A810" s="394"/>
      <c r="B810" s="430"/>
      <c r="C810" s="395"/>
      <c r="D810" s="529"/>
      <c r="E810" s="394"/>
      <c r="F810" s="430"/>
      <c r="G810" s="395"/>
      <c r="H810" s="529"/>
      <c r="I810" s="394"/>
      <c r="J810" s="430"/>
      <c r="K810" s="395"/>
      <c r="L810" s="529"/>
      <c r="M810" s="394"/>
      <c r="N810" s="430"/>
      <c r="O810" s="395"/>
      <c r="P810" s="529"/>
      <c r="Q810" s="547"/>
      <c r="R810" s="548"/>
      <c r="S810" s="549"/>
      <c r="T810" s="541"/>
      <c r="U810" s="547"/>
      <c r="V810" s="548"/>
      <c r="W810" s="549"/>
      <c r="X810" s="541"/>
      <c r="Y810" s="547"/>
      <c r="Z810" s="548"/>
      <c r="AA810" s="549"/>
      <c r="AB810" s="541"/>
      <c r="AC810" s="547"/>
      <c r="AD810" s="548"/>
      <c r="AE810" s="549"/>
      <c r="AF810" s="541"/>
      <c r="AG810" s="366"/>
      <c r="AH810" s="366"/>
      <c r="AI810" s="366"/>
      <c r="AJ810" s="366"/>
      <c r="AK810" s="394"/>
      <c r="AL810" s="430"/>
      <c r="AM810" s="395"/>
      <c r="AN810" s="529"/>
      <c r="AO810" s="394"/>
      <c r="AP810" s="430"/>
      <c r="AQ810" s="395"/>
      <c r="AR810" s="529"/>
      <c r="AS810" s="542"/>
      <c r="AT810" s="542"/>
    </row>
    <row r="811">
      <c r="A811" s="394"/>
      <c r="B811" s="430"/>
      <c r="C811" s="395"/>
      <c r="D811" s="529"/>
      <c r="E811" s="394"/>
      <c r="F811" s="430"/>
      <c r="G811" s="395"/>
      <c r="H811" s="529"/>
      <c r="I811" s="394"/>
      <c r="J811" s="430"/>
      <c r="K811" s="395"/>
      <c r="L811" s="529"/>
      <c r="M811" s="394"/>
      <c r="N811" s="430"/>
      <c r="O811" s="395"/>
      <c r="P811" s="529"/>
      <c r="Q811" s="547"/>
      <c r="R811" s="548"/>
      <c r="S811" s="549"/>
      <c r="T811" s="541"/>
      <c r="U811" s="547"/>
      <c r="V811" s="548"/>
      <c r="W811" s="549"/>
      <c r="X811" s="541"/>
      <c r="Y811" s="547"/>
      <c r="Z811" s="548"/>
      <c r="AA811" s="549"/>
      <c r="AB811" s="541"/>
      <c r="AC811" s="547"/>
      <c r="AD811" s="548"/>
      <c r="AE811" s="549"/>
      <c r="AF811" s="541"/>
      <c r="AG811" s="366"/>
      <c r="AH811" s="366"/>
      <c r="AI811" s="366"/>
      <c r="AJ811" s="366"/>
      <c r="AK811" s="394"/>
      <c r="AL811" s="430"/>
      <c r="AM811" s="395"/>
      <c r="AN811" s="529"/>
      <c r="AO811" s="394"/>
      <c r="AP811" s="430"/>
      <c r="AQ811" s="395"/>
      <c r="AR811" s="529"/>
      <c r="AS811" s="542"/>
      <c r="AT811" s="542"/>
    </row>
    <row r="812">
      <c r="A812" s="394"/>
      <c r="B812" s="430"/>
      <c r="C812" s="395"/>
      <c r="D812" s="529"/>
      <c r="E812" s="394"/>
      <c r="F812" s="430"/>
      <c r="G812" s="395"/>
      <c r="H812" s="529"/>
      <c r="I812" s="394"/>
      <c r="J812" s="430"/>
      <c r="K812" s="395"/>
      <c r="L812" s="529"/>
      <c r="M812" s="394"/>
      <c r="N812" s="430"/>
      <c r="O812" s="395"/>
      <c r="P812" s="529"/>
      <c r="Q812" s="547"/>
      <c r="R812" s="548"/>
      <c r="S812" s="549"/>
      <c r="T812" s="541"/>
      <c r="U812" s="547"/>
      <c r="V812" s="548"/>
      <c r="W812" s="549"/>
      <c r="X812" s="541"/>
      <c r="Y812" s="547"/>
      <c r="Z812" s="548"/>
      <c r="AA812" s="549"/>
      <c r="AB812" s="541"/>
      <c r="AC812" s="547"/>
      <c r="AD812" s="548"/>
      <c r="AE812" s="549"/>
      <c r="AF812" s="541"/>
      <c r="AG812" s="366"/>
      <c r="AH812" s="366"/>
      <c r="AI812" s="366"/>
      <c r="AJ812" s="366"/>
      <c r="AK812" s="394"/>
      <c r="AL812" s="430"/>
      <c r="AM812" s="395"/>
      <c r="AN812" s="529"/>
      <c r="AO812" s="394"/>
      <c r="AP812" s="430"/>
      <c r="AQ812" s="395"/>
      <c r="AR812" s="529"/>
      <c r="AS812" s="542"/>
      <c r="AT812" s="542"/>
    </row>
    <row r="813">
      <c r="A813" s="394"/>
      <c r="B813" s="430"/>
      <c r="C813" s="395"/>
      <c r="D813" s="529"/>
      <c r="E813" s="394"/>
      <c r="F813" s="430"/>
      <c r="G813" s="395"/>
      <c r="H813" s="529"/>
      <c r="I813" s="394"/>
      <c r="J813" s="430"/>
      <c r="K813" s="395"/>
      <c r="L813" s="529"/>
      <c r="M813" s="394"/>
      <c r="N813" s="430"/>
      <c r="O813" s="395"/>
      <c r="P813" s="529"/>
      <c r="Q813" s="547"/>
      <c r="R813" s="548"/>
      <c r="S813" s="549"/>
      <c r="T813" s="541"/>
      <c r="U813" s="547"/>
      <c r="V813" s="548"/>
      <c r="W813" s="549"/>
      <c r="X813" s="541"/>
      <c r="Y813" s="547"/>
      <c r="Z813" s="548"/>
      <c r="AA813" s="549"/>
      <c r="AB813" s="541"/>
      <c r="AC813" s="547"/>
      <c r="AD813" s="548"/>
      <c r="AE813" s="549"/>
      <c r="AF813" s="541"/>
      <c r="AG813" s="366"/>
      <c r="AH813" s="366"/>
      <c r="AI813" s="366"/>
      <c r="AJ813" s="366"/>
      <c r="AK813" s="394"/>
      <c r="AL813" s="430"/>
      <c r="AM813" s="395"/>
      <c r="AN813" s="529"/>
      <c r="AO813" s="394"/>
      <c r="AP813" s="430"/>
      <c r="AQ813" s="395"/>
      <c r="AR813" s="529"/>
      <c r="AS813" s="542"/>
      <c r="AT813" s="542"/>
    </row>
    <row r="814">
      <c r="A814" s="394"/>
      <c r="B814" s="430"/>
      <c r="C814" s="395"/>
      <c r="D814" s="529"/>
      <c r="E814" s="394"/>
      <c r="F814" s="430"/>
      <c r="G814" s="395"/>
      <c r="H814" s="529"/>
      <c r="I814" s="394"/>
      <c r="J814" s="430"/>
      <c r="K814" s="395"/>
      <c r="L814" s="529"/>
      <c r="M814" s="394"/>
      <c r="N814" s="430"/>
      <c r="O814" s="395"/>
      <c r="P814" s="529"/>
      <c r="Q814" s="547"/>
      <c r="R814" s="548"/>
      <c r="S814" s="549"/>
      <c r="T814" s="541"/>
      <c r="U814" s="547"/>
      <c r="V814" s="548"/>
      <c r="W814" s="549"/>
      <c r="X814" s="541"/>
      <c r="Y814" s="547"/>
      <c r="Z814" s="548"/>
      <c r="AA814" s="549"/>
      <c r="AB814" s="541"/>
      <c r="AC814" s="547"/>
      <c r="AD814" s="548"/>
      <c r="AE814" s="549"/>
      <c r="AF814" s="541"/>
      <c r="AG814" s="366"/>
      <c r="AH814" s="366"/>
      <c r="AI814" s="366"/>
      <c r="AJ814" s="366"/>
      <c r="AK814" s="394"/>
      <c r="AL814" s="430"/>
      <c r="AM814" s="395"/>
      <c r="AN814" s="529"/>
      <c r="AO814" s="394"/>
      <c r="AP814" s="430"/>
      <c r="AQ814" s="395"/>
      <c r="AR814" s="529"/>
      <c r="AS814" s="542"/>
      <c r="AT814" s="542"/>
    </row>
    <row r="815">
      <c r="A815" s="394"/>
      <c r="B815" s="430"/>
      <c r="C815" s="395"/>
      <c r="D815" s="529"/>
      <c r="E815" s="394"/>
      <c r="F815" s="430"/>
      <c r="G815" s="395"/>
      <c r="H815" s="529"/>
      <c r="I815" s="394"/>
      <c r="J815" s="430"/>
      <c r="K815" s="395"/>
      <c r="L815" s="529"/>
      <c r="M815" s="394"/>
      <c r="N815" s="430"/>
      <c r="O815" s="395"/>
      <c r="P815" s="529"/>
      <c r="Q815" s="547"/>
      <c r="R815" s="548"/>
      <c r="S815" s="549"/>
      <c r="T815" s="541"/>
      <c r="U815" s="547"/>
      <c r="V815" s="548"/>
      <c r="W815" s="549"/>
      <c r="X815" s="541"/>
      <c r="Y815" s="547"/>
      <c r="Z815" s="548"/>
      <c r="AA815" s="549"/>
      <c r="AB815" s="541"/>
      <c r="AC815" s="547"/>
      <c r="AD815" s="548"/>
      <c r="AE815" s="549"/>
      <c r="AF815" s="541"/>
      <c r="AG815" s="366"/>
      <c r="AH815" s="366"/>
      <c r="AI815" s="366"/>
      <c r="AJ815" s="366"/>
      <c r="AK815" s="394"/>
      <c r="AL815" s="430"/>
      <c r="AM815" s="395"/>
      <c r="AN815" s="529"/>
      <c r="AO815" s="394"/>
      <c r="AP815" s="430"/>
      <c r="AQ815" s="395"/>
      <c r="AR815" s="529"/>
      <c r="AS815" s="542"/>
      <c r="AT815" s="542"/>
    </row>
    <row r="816">
      <c r="A816" s="394"/>
      <c r="B816" s="430"/>
      <c r="C816" s="395"/>
      <c r="D816" s="529"/>
      <c r="E816" s="394"/>
      <c r="F816" s="430"/>
      <c r="G816" s="395"/>
      <c r="H816" s="529"/>
      <c r="I816" s="394"/>
      <c r="J816" s="430"/>
      <c r="K816" s="395"/>
      <c r="L816" s="529"/>
      <c r="M816" s="394"/>
      <c r="N816" s="430"/>
      <c r="O816" s="395"/>
      <c r="P816" s="529"/>
      <c r="Q816" s="547"/>
      <c r="R816" s="548"/>
      <c r="S816" s="549"/>
      <c r="T816" s="541"/>
      <c r="U816" s="547"/>
      <c r="V816" s="548"/>
      <c r="W816" s="549"/>
      <c r="X816" s="541"/>
      <c r="Y816" s="547"/>
      <c r="Z816" s="548"/>
      <c r="AA816" s="549"/>
      <c r="AB816" s="541"/>
      <c r="AC816" s="547"/>
      <c r="AD816" s="548"/>
      <c r="AE816" s="549"/>
      <c r="AF816" s="541"/>
      <c r="AG816" s="366"/>
      <c r="AH816" s="366"/>
      <c r="AI816" s="366"/>
      <c r="AJ816" s="366"/>
      <c r="AK816" s="394"/>
      <c r="AL816" s="430"/>
      <c r="AM816" s="395"/>
      <c r="AN816" s="529"/>
      <c r="AO816" s="394"/>
      <c r="AP816" s="430"/>
      <c r="AQ816" s="395"/>
      <c r="AR816" s="529"/>
      <c r="AS816" s="542"/>
      <c r="AT816" s="542"/>
    </row>
    <row r="817">
      <c r="A817" s="394"/>
      <c r="B817" s="430"/>
      <c r="C817" s="395"/>
      <c r="D817" s="529"/>
      <c r="E817" s="394"/>
      <c r="F817" s="430"/>
      <c r="G817" s="395"/>
      <c r="H817" s="529"/>
      <c r="I817" s="394"/>
      <c r="J817" s="430"/>
      <c r="K817" s="395"/>
      <c r="L817" s="529"/>
      <c r="M817" s="394"/>
      <c r="N817" s="430"/>
      <c r="O817" s="395"/>
      <c r="P817" s="529"/>
      <c r="Q817" s="547"/>
      <c r="R817" s="548"/>
      <c r="S817" s="549"/>
      <c r="T817" s="541"/>
      <c r="U817" s="547"/>
      <c r="V817" s="548"/>
      <c r="W817" s="549"/>
      <c r="X817" s="541"/>
      <c r="Y817" s="547"/>
      <c r="Z817" s="548"/>
      <c r="AA817" s="549"/>
      <c r="AB817" s="541"/>
      <c r="AC817" s="547"/>
      <c r="AD817" s="548"/>
      <c r="AE817" s="549"/>
      <c r="AF817" s="541"/>
      <c r="AG817" s="366"/>
      <c r="AH817" s="366"/>
      <c r="AI817" s="366"/>
      <c r="AJ817" s="366"/>
      <c r="AK817" s="394"/>
      <c r="AL817" s="430"/>
      <c r="AM817" s="395"/>
      <c r="AN817" s="529"/>
      <c r="AO817" s="394"/>
      <c r="AP817" s="430"/>
      <c r="AQ817" s="395"/>
      <c r="AR817" s="529"/>
      <c r="AS817" s="542"/>
      <c r="AT817" s="542"/>
    </row>
    <row r="818">
      <c r="A818" s="394"/>
      <c r="B818" s="430"/>
      <c r="C818" s="395"/>
      <c r="D818" s="529"/>
      <c r="E818" s="394"/>
      <c r="F818" s="430"/>
      <c r="G818" s="395"/>
      <c r="H818" s="529"/>
      <c r="I818" s="394"/>
      <c r="J818" s="430"/>
      <c r="K818" s="395"/>
      <c r="L818" s="529"/>
      <c r="M818" s="394"/>
      <c r="N818" s="430"/>
      <c r="O818" s="395"/>
      <c r="P818" s="529"/>
      <c r="Q818" s="547"/>
      <c r="R818" s="548"/>
      <c r="S818" s="549"/>
      <c r="T818" s="541"/>
      <c r="U818" s="547"/>
      <c r="V818" s="548"/>
      <c r="W818" s="549"/>
      <c r="X818" s="541"/>
      <c r="Y818" s="547"/>
      <c r="Z818" s="548"/>
      <c r="AA818" s="549"/>
      <c r="AB818" s="541"/>
      <c r="AC818" s="547"/>
      <c r="AD818" s="548"/>
      <c r="AE818" s="549"/>
      <c r="AF818" s="541"/>
      <c r="AG818" s="366"/>
      <c r="AH818" s="366"/>
      <c r="AI818" s="366"/>
      <c r="AJ818" s="366"/>
      <c r="AK818" s="394"/>
      <c r="AL818" s="430"/>
      <c r="AM818" s="395"/>
      <c r="AN818" s="529"/>
      <c r="AO818" s="394"/>
      <c r="AP818" s="430"/>
      <c r="AQ818" s="395"/>
      <c r="AR818" s="529"/>
      <c r="AS818" s="542"/>
      <c r="AT818" s="542"/>
    </row>
    <row r="819">
      <c r="A819" s="394"/>
      <c r="B819" s="430"/>
      <c r="C819" s="395"/>
      <c r="D819" s="529"/>
      <c r="E819" s="394"/>
      <c r="F819" s="430"/>
      <c r="G819" s="395"/>
      <c r="H819" s="529"/>
      <c r="I819" s="394"/>
      <c r="J819" s="430"/>
      <c r="K819" s="395"/>
      <c r="L819" s="529"/>
      <c r="M819" s="394"/>
      <c r="N819" s="430"/>
      <c r="O819" s="395"/>
      <c r="P819" s="529"/>
      <c r="Q819" s="547"/>
      <c r="R819" s="548"/>
      <c r="S819" s="549"/>
      <c r="T819" s="541"/>
      <c r="U819" s="547"/>
      <c r="V819" s="548"/>
      <c r="W819" s="549"/>
      <c r="X819" s="541"/>
      <c r="Y819" s="547"/>
      <c r="Z819" s="548"/>
      <c r="AA819" s="549"/>
      <c r="AB819" s="541"/>
      <c r="AC819" s="547"/>
      <c r="AD819" s="548"/>
      <c r="AE819" s="549"/>
      <c r="AF819" s="541"/>
      <c r="AG819" s="366"/>
      <c r="AH819" s="366"/>
      <c r="AI819" s="366"/>
      <c r="AJ819" s="366"/>
      <c r="AK819" s="394"/>
      <c r="AL819" s="430"/>
      <c r="AM819" s="395"/>
      <c r="AN819" s="529"/>
      <c r="AO819" s="394"/>
      <c r="AP819" s="430"/>
      <c r="AQ819" s="395"/>
      <c r="AR819" s="529"/>
      <c r="AS819" s="542"/>
      <c r="AT819" s="542"/>
    </row>
    <row r="820">
      <c r="A820" s="394"/>
      <c r="B820" s="430"/>
      <c r="C820" s="395"/>
      <c r="D820" s="529"/>
      <c r="E820" s="394"/>
      <c r="F820" s="430"/>
      <c r="G820" s="395"/>
      <c r="H820" s="529"/>
      <c r="I820" s="394"/>
      <c r="J820" s="430"/>
      <c r="K820" s="395"/>
      <c r="L820" s="529"/>
      <c r="M820" s="394"/>
      <c r="N820" s="430"/>
      <c r="O820" s="395"/>
      <c r="P820" s="529"/>
      <c r="Q820" s="547"/>
      <c r="R820" s="548"/>
      <c r="S820" s="549"/>
      <c r="T820" s="541"/>
      <c r="U820" s="547"/>
      <c r="V820" s="548"/>
      <c r="W820" s="549"/>
      <c r="X820" s="541"/>
      <c r="Y820" s="547"/>
      <c r="Z820" s="548"/>
      <c r="AA820" s="549"/>
      <c r="AB820" s="541"/>
      <c r="AC820" s="547"/>
      <c r="AD820" s="548"/>
      <c r="AE820" s="549"/>
      <c r="AF820" s="541"/>
      <c r="AG820" s="366"/>
      <c r="AH820" s="366"/>
      <c r="AI820" s="366"/>
      <c r="AJ820" s="366"/>
      <c r="AK820" s="394"/>
      <c r="AL820" s="430"/>
      <c r="AM820" s="395"/>
      <c r="AN820" s="529"/>
      <c r="AO820" s="394"/>
      <c r="AP820" s="430"/>
      <c r="AQ820" s="395"/>
      <c r="AR820" s="529"/>
      <c r="AS820" s="542"/>
      <c r="AT820" s="542"/>
    </row>
    <row r="821">
      <c r="A821" s="394"/>
      <c r="B821" s="430"/>
      <c r="C821" s="395"/>
      <c r="D821" s="529"/>
      <c r="E821" s="394"/>
      <c r="F821" s="430"/>
      <c r="G821" s="395"/>
      <c r="H821" s="529"/>
      <c r="I821" s="394"/>
      <c r="J821" s="430"/>
      <c r="K821" s="395"/>
      <c r="L821" s="529"/>
      <c r="M821" s="394"/>
      <c r="N821" s="430"/>
      <c r="O821" s="395"/>
      <c r="P821" s="529"/>
      <c r="Q821" s="547"/>
      <c r="R821" s="548"/>
      <c r="S821" s="549"/>
      <c r="T821" s="541"/>
      <c r="U821" s="547"/>
      <c r="V821" s="548"/>
      <c r="W821" s="549"/>
      <c r="X821" s="541"/>
      <c r="Y821" s="547"/>
      <c r="Z821" s="548"/>
      <c r="AA821" s="549"/>
      <c r="AB821" s="541"/>
      <c r="AC821" s="547"/>
      <c r="AD821" s="548"/>
      <c r="AE821" s="549"/>
      <c r="AF821" s="541"/>
      <c r="AG821" s="366"/>
      <c r="AH821" s="366"/>
      <c r="AI821" s="366"/>
      <c r="AJ821" s="366"/>
      <c r="AK821" s="394"/>
      <c r="AL821" s="430"/>
      <c r="AM821" s="395"/>
      <c r="AN821" s="529"/>
      <c r="AO821" s="394"/>
      <c r="AP821" s="430"/>
      <c r="AQ821" s="395"/>
      <c r="AR821" s="529"/>
      <c r="AS821" s="542"/>
      <c r="AT821" s="542"/>
    </row>
    <row r="822">
      <c r="A822" s="394"/>
      <c r="B822" s="430"/>
      <c r="C822" s="395"/>
      <c r="D822" s="529"/>
      <c r="E822" s="394"/>
      <c r="F822" s="430"/>
      <c r="G822" s="395"/>
      <c r="H822" s="529"/>
      <c r="I822" s="394"/>
      <c r="J822" s="430"/>
      <c r="K822" s="395"/>
      <c r="L822" s="529"/>
      <c r="M822" s="394"/>
      <c r="N822" s="430"/>
      <c r="O822" s="395"/>
      <c r="P822" s="529"/>
      <c r="Q822" s="547"/>
      <c r="R822" s="548"/>
      <c r="S822" s="549"/>
      <c r="T822" s="541"/>
      <c r="U822" s="547"/>
      <c r="V822" s="548"/>
      <c r="W822" s="549"/>
      <c r="X822" s="541"/>
      <c r="Y822" s="547"/>
      <c r="Z822" s="548"/>
      <c r="AA822" s="549"/>
      <c r="AB822" s="541"/>
      <c r="AC822" s="547"/>
      <c r="AD822" s="548"/>
      <c r="AE822" s="549"/>
      <c r="AF822" s="541"/>
      <c r="AG822" s="366"/>
      <c r="AH822" s="366"/>
      <c r="AI822" s="366"/>
      <c r="AJ822" s="366"/>
      <c r="AK822" s="394"/>
      <c r="AL822" s="430"/>
      <c r="AM822" s="395"/>
      <c r="AN822" s="529"/>
      <c r="AO822" s="394"/>
      <c r="AP822" s="430"/>
      <c r="AQ822" s="395"/>
      <c r="AR822" s="529"/>
      <c r="AS822" s="542"/>
      <c r="AT822" s="542"/>
    </row>
    <row r="823">
      <c r="A823" s="394"/>
      <c r="B823" s="430"/>
      <c r="C823" s="395"/>
      <c r="D823" s="529"/>
      <c r="E823" s="394"/>
      <c r="F823" s="430"/>
      <c r="G823" s="395"/>
      <c r="H823" s="529"/>
      <c r="I823" s="394"/>
      <c r="J823" s="430"/>
      <c r="K823" s="395"/>
      <c r="L823" s="529"/>
      <c r="M823" s="394"/>
      <c r="N823" s="430"/>
      <c r="O823" s="395"/>
      <c r="P823" s="529"/>
      <c r="Q823" s="547"/>
      <c r="R823" s="548"/>
      <c r="S823" s="549"/>
      <c r="T823" s="541"/>
      <c r="U823" s="547"/>
      <c r="V823" s="548"/>
      <c r="W823" s="549"/>
      <c r="X823" s="541"/>
      <c r="Y823" s="547"/>
      <c r="Z823" s="548"/>
      <c r="AA823" s="549"/>
      <c r="AB823" s="541"/>
      <c r="AC823" s="547"/>
      <c r="AD823" s="548"/>
      <c r="AE823" s="549"/>
      <c r="AF823" s="541"/>
      <c r="AG823" s="366"/>
      <c r="AH823" s="366"/>
      <c r="AI823" s="366"/>
      <c r="AJ823" s="366"/>
      <c r="AK823" s="394"/>
      <c r="AL823" s="430"/>
      <c r="AM823" s="395"/>
      <c r="AN823" s="529"/>
      <c r="AO823" s="394"/>
      <c r="AP823" s="430"/>
      <c r="AQ823" s="395"/>
      <c r="AR823" s="529"/>
      <c r="AS823" s="542"/>
      <c r="AT823" s="542"/>
    </row>
    <row r="824">
      <c r="A824" s="394"/>
      <c r="B824" s="430"/>
      <c r="C824" s="395"/>
      <c r="D824" s="529"/>
      <c r="E824" s="394"/>
      <c r="F824" s="430"/>
      <c r="G824" s="395"/>
      <c r="H824" s="529"/>
      <c r="I824" s="394"/>
      <c r="J824" s="430"/>
      <c r="K824" s="395"/>
      <c r="L824" s="529"/>
      <c r="M824" s="394"/>
      <c r="N824" s="430"/>
      <c r="O824" s="395"/>
      <c r="P824" s="529"/>
      <c r="Q824" s="547"/>
      <c r="R824" s="548"/>
      <c r="S824" s="549"/>
      <c r="T824" s="541"/>
      <c r="U824" s="547"/>
      <c r="V824" s="548"/>
      <c r="W824" s="549"/>
      <c r="X824" s="541"/>
      <c r="Y824" s="547"/>
      <c r="Z824" s="548"/>
      <c r="AA824" s="549"/>
      <c r="AB824" s="541"/>
      <c r="AC824" s="547"/>
      <c r="AD824" s="548"/>
      <c r="AE824" s="549"/>
      <c r="AF824" s="541"/>
      <c r="AG824" s="366"/>
      <c r="AH824" s="366"/>
      <c r="AI824" s="366"/>
      <c r="AJ824" s="366"/>
      <c r="AK824" s="394"/>
      <c r="AL824" s="430"/>
      <c r="AM824" s="395"/>
      <c r="AN824" s="529"/>
      <c r="AO824" s="394"/>
      <c r="AP824" s="430"/>
      <c r="AQ824" s="395"/>
      <c r="AR824" s="529"/>
      <c r="AS824" s="542"/>
      <c r="AT824" s="542"/>
    </row>
    <row r="825">
      <c r="A825" s="394"/>
      <c r="B825" s="430"/>
      <c r="C825" s="395"/>
      <c r="D825" s="529"/>
      <c r="E825" s="394"/>
      <c r="F825" s="430"/>
      <c r="G825" s="395"/>
      <c r="H825" s="529"/>
      <c r="I825" s="394"/>
      <c r="J825" s="430"/>
      <c r="K825" s="395"/>
      <c r="L825" s="529"/>
      <c r="M825" s="394"/>
      <c r="N825" s="430"/>
      <c r="O825" s="395"/>
      <c r="P825" s="529"/>
      <c r="Q825" s="547"/>
      <c r="R825" s="548"/>
      <c r="S825" s="549"/>
      <c r="T825" s="541"/>
      <c r="U825" s="547"/>
      <c r="V825" s="548"/>
      <c r="W825" s="549"/>
      <c r="X825" s="541"/>
      <c r="Y825" s="547"/>
      <c r="Z825" s="548"/>
      <c r="AA825" s="549"/>
      <c r="AB825" s="541"/>
      <c r="AC825" s="547"/>
      <c r="AD825" s="548"/>
      <c r="AE825" s="549"/>
      <c r="AF825" s="541"/>
      <c r="AG825" s="366"/>
      <c r="AH825" s="366"/>
      <c r="AI825" s="366"/>
      <c r="AJ825" s="366"/>
      <c r="AK825" s="394"/>
      <c r="AL825" s="430"/>
      <c r="AM825" s="395"/>
      <c r="AN825" s="529"/>
      <c r="AO825" s="394"/>
      <c r="AP825" s="430"/>
      <c r="AQ825" s="395"/>
      <c r="AR825" s="529"/>
      <c r="AS825" s="542"/>
      <c r="AT825" s="542"/>
    </row>
    <row r="826">
      <c r="A826" s="394"/>
      <c r="B826" s="430"/>
      <c r="C826" s="395"/>
      <c r="D826" s="529"/>
      <c r="E826" s="394"/>
      <c r="F826" s="430"/>
      <c r="G826" s="395"/>
      <c r="H826" s="529"/>
      <c r="I826" s="394"/>
      <c r="J826" s="430"/>
      <c r="K826" s="395"/>
      <c r="L826" s="529"/>
      <c r="M826" s="394"/>
      <c r="N826" s="430"/>
      <c r="O826" s="395"/>
      <c r="P826" s="529"/>
      <c r="Q826" s="547"/>
      <c r="R826" s="548"/>
      <c r="S826" s="549"/>
      <c r="T826" s="541"/>
      <c r="U826" s="547"/>
      <c r="V826" s="548"/>
      <c r="W826" s="549"/>
      <c r="X826" s="541"/>
      <c r="Y826" s="547"/>
      <c r="Z826" s="548"/>
      <c r="AA826" s="549"/>
      <c r="AB826" s="541"/>
      <c r="AC826" s="547"/>
      <c r="AD826" s="548"/>
      <c r="AE826" s="549"/>
      <c r="AF826" s="541"/>
      <c r="AG826" s="366"/>
      <c r="AH826" s="366"/>
      <c r="AI826" s="366"/>
      <c r="AJ826" s="366"/>
      <c r="AK826" s="394"/>
      <c r="AL826" s="430"/>
      <c r="AM826" s="395"/>
      <c r="AN826" s="529"/>
      <c r="AO826" s="394"/>
      <c r="AP826" s="430"/>
      <c r="AQ826" s="395"/>
      <c r="AR826" s="529"/>
      <c r="AS826" s="542"/>
      <c r="AT826" s="542"/>
    </row>
    <row r="827">
      <c r="A827" s="394"/>
      <c r="B827" s="430"/>
      <c r="C827" s="395"/>
      <c r="D827" s="529"/>
      <c r="E827" s="394"/>
      <c r="F827" s="430"/>
      <c r="G827" s="395"/>
      <c r="H827" s="529"/>
      <c r="I827" s="394"/>
      <c r="J827" s="430"/>
      <c r="K827" s="395"/>
      <c r="L827" s="529"/>
      <c r="M827" s="394"/>
      <c r="N827" s="430"/>
      <c r="O827" s="395"/>
      <c r="P827" s="529"/>
      <c r="Q827" s="547"/>
      <c r="R827" s="548"/>
      <c r="S827" s="549"/>
      <c r="T827" s="541"/>
      <c r="U827" s="547"/>
      <c r="V827" s="548"/>
      <c r="W827" s="549"/>
      <c r="X827" s="541"/>
      <c r="Y827" s="547"/>
      <c r="Z827" s="548"/>
      <c r="AA827" s="549"/>
      <c r="AB827" s="541"/>
      <c r="AC827" s="547"/>
      <c r="AD827" s="548"/>
      <c r="AE827" s="549"/>
      <c r="AF827" s="541"/>
      <c r="AG827" s="366"/>
      <c r="AH827" s="366"/>
      <c r="AI827" s="366"/>
      <c r="AJ827" s="366"/>
      <c r="AK827" s="394"/>
      <c r="AL827" s="430"/>
      <c r="AM827" s="395"/>
      <c r="AN827" s="529"/>
      <c r="AO827" s="394"/>
      <c r="AP827" s="430"/>
      <c r="AQ827" s="395"/>
      <c r="AR827" s="529"/>
      <c r="AS827" s="542"/>
      <c r="AT827" s="542"/>
    </row>
    <row r="828">
      <c r="A828" s="394"/>
      <c r="B828" s="430"/>
      <c r="C828" s="395"/>
      <c r="D828" s="529"/>
      <c r="E828" s="394"/>
      <c r="F828" s="430"/>
      <c r="G828" s="395"/>
      <c r="H828" s="529"/>
      <c r="I828" s="394"/>
      <c r="J828" s="430"/>
      <c r="K828" s="395"/>
      <c r="L828" s="529"/>
      <c r="M828" s="394"/>
      <c r="N828" s="430"/>
      <c r="O828" s="395"/>
      <c r="P828" s="529"/>
      <c r="Q828" s="547"/>
      <c r="R828" s="548"/>
      <c r="S828" s="549"/>
      <c r="T828" s="541"/>
      <c r="U828" s="547"/>
      <c r="V828" s="548"/>
      <c r="W828" s="549"/>
      <c r="X828" s="541"/>
      <c r="Y828" s="547"/>
      <c r="Z828" s="548"/>
      <c r="AA828" s="549"/>
      <c r="AB828" s="541"/>
      <c r="AC828" s="547"/>
      <c r="AD828" s="548"/>
      <c r="AE828" s="549"/>
      <c r="AF828" s="541"/>
      <c r="AG828" s="366"/>
      <c r="AH828" s="366"/>
      <c r="AI828" s="366"/>
      <c r="AJ828" s="366"/>
      <c r="AK828" s="394"/>
      <c r="AL828" s="430"/>
      <c r="AM828" s="395"/>
      <c r="AN828" s="529"/>
      <c r="AO828" s="394"/>
      <c r="AP828" s="430"/>
      <c r="AQ828" s="395"/>
      <c r="AR828" s="529"/>
      <c r="AS828" s="542"/>
      <c r="AT828" s="542"/>
    </row>
    <row r="829">
      <c r="A829" s="394"/>
      <c r="B829" s="430"/>
      <c r="C829" s="395"/>
      <c r="D829" s="529"/>
      <c r="E829" s="394"/>
      <c r="F829" s="430"/>
      <c r="G829" s="395"/>
      <c r="H829" s="529"/>
      <c r="I829" s="394"/>
      <c r="J829" s="430"/>
      <c r="K829" s="395"/>
      <c r="L829" s="529"/>
      <c r="M829" s="394"/>
      <c r="N829" s="430"/>
      <c r="O829" s="395"/>
      <c r="P829" s="529"/>
      <c r="Q829" s="547"/>
      <c r="R829" s="548"/>
      <c r="S829" s="549"/>
      <c r="T829" s="541"/>
      <c r="U829" s="547"/>
      <c r="V829" s="548"/>
      <c r="W829" s="549"/>
      <c r="X829" s="541"/>
      <c r="Y829" s="547"/>
      <c r="Z829" s="548"/>
      <c r="AA829" s="549"/>
      <c r="AB829" s="541"/>
      <c r="AC829" s="547"/>
      <c r="AD829" s="548"/>
      <c r="AE829" s="549"/>
      <c r="AF829" s="541"/>
      <c r="AG829" s="366"/>
      <c r="AH829" s="366"/>
      <c r="AI829" s="366"/>
      <c r="AJ829" s="366"/>
      <c r="AK829" s="394"/>
      <c r="AL829" s="430"/>
      <c r="AM829" s="395"/>
      <c r="AN829" s="529"/>
      <c r="AO829" s="394"/>
      <c r="AP829" s="430"/>
      <c r="AQ829" s="395"/>
      <c r="AR829" s="529"/>
      <c r="AS829" s="542"/>
      <c r="AT829" s="542"/>
    </row>
    <row r="830">
      <c r="A830" s="394"/>
      <c r="B830" s="430"/>
      <c r="C830" s="395"/>
      <c r="D830" s="529"/>
      <c r="E830" s="394"/>
      <c r="F830" s="430"/>
      <c r="G830" s="395"/>
      <c r="H830" s="529"/>
      <c r="I830" s="394"/>
      <c r="J830" s="430"/>
      <c r="K830" s="395"/>
      <c r="L830" s="529"/>
      <c r="M830" s="394"/>
      <c r="N830" s="430"/>
      <c r="O830" s="395"/>
      <c r="P830" s="529"/>
      <c r="Q830" s="547"/>
      <c r="R830" s="548"/>
      <c r="S830" s="549"/>
      <c r="T830" s="541"/>
      <c r="U830" s="547"/>
      <c r="V830" s="548"/>
      <c r="W830" s="549"/>
      <c r="X830" s="541"/>
      <c r="Y830" s="547"/>
      <c r="Z830" s="548"/>
      <c r="AA830" s="549"/>
      <c r="AB830" s="541"/>
      <c r="AC830" s="547"/>
      <c r="AD830" s="548"/>
      <c r="AE830" s="549"/>
      <c r="AF830" s="541"/>
      <c r="AG830" s="366"/>
      <c r="AH830" s="366"/>
      <c r="AI830" s="366"/>
      <c r="AJ830" s="366"/>
      <c r="AK830" s="394"/>
      <c r="AL830" s="430"/>
      <c r="AM830" s="395"/>
      <c r="AN830" s="529"/>
      <c r="AO830" s="394"/>
      <c r="AP830" s="430"/>
      <c r="AQ830" s="395"/>
      <c r="AR830" s="529"/>
      <c r="AS830" s="542"/>
      <c r="AT830" s="542"/>
    </row>
    <row r="831">
      <c r="A831" s="394"/>
      <c r="B831" s="430"/>
      <c r="C831" s="395"/>
      <c r="D831" s="529"/>
      <c r="E831" s="394"/>
      <c r="F831" s="430"/>
      <c r="G831" s="395"/>
      <c r="H831" s="529"/>
      <c r="I831" s="394"/>
      <c r="J831" s="430"/>
      <c r="K831" s="395"/>
      <c r="L831" s="529"/>
      <c r="M831" s="394"/>
      <c r="N831" s="430"/>
      <c r="O831" s="395"/>
      <c r="P831" s="529"/>
      <c r="Q831" s="547"/>
      <c r="R831" s="548"/>
      <c r="S831" s="549"/>
      <c r="T831" s="541"/>
      <c r="U831" s="547"/>
      <c r="V831" s="548"/>
      <c r="W831" s="549"/>
      <c r="X831" s="541"/>
      <c r="Y831" s="547"/>
      <c r="Z831" s="548"/>
      <c r="AA831" s="549"/>
      <c r="AB831" s="541"/>
      <c r="AC831" s="547"/>
      <c r="AD831" s="548"/>
      <c r="AE831" s="549"/>
      <c r="AF831" s="541"/>
      <c r="AG831" s="366"/>
      <c r="AH831" s="366"/>
      <c r="AI831" s="366"/>
      <c r="AJ831" s="366"/>
      <c r="AK831" s="394"/>
      <c r="AL831" s="430"/>
      <c r="AM831" s="395"/>
      <c r="AN831" s="529"/>
      <c r="AO831" s="394"/>
      <c r="AP831" s="430"/>
      <c r="AQ831" s="395"/>
      <c r="AR831" s="529"/>
      <c r="AS831" s="542"/>
      <c r="AT831" s="542"/>
    </row>
    <row r="832">
      <c r="A832" s="394"/>
      <c r="B832" s="430"/>
      <c r="C832" s="395"/>
      <c r="D832" s="529"/>
      <c r="E832" s="394"/>
      <c r="F832" s="430"/>
      <c r="G832" s="395"/>
      <c r="H832" s="529"/>
      <c r="I832" s="394"/>
      <c r="J832" s="430"/>
      <c r="K832" s="395"/>
      <c r="L832" s="529"/>
      <c r="M832" s="394"/>
      <c r="N832" s="430"/>
      <c r="O832" s="395"/>
      <c r="P832" s="529"/>
      <c r="Q832" s="547"/>
      <c r="R832" s="548"/>
      <c r="S832" s="549"/>
      <c r="T832" s="541"/>
      <c r="U832" s="547"/>
      <c r="V832" s="548"/>
      <c r="W832" s="549"/>
      <c r="X832" s="541"/>
      <c r="Y832" s="547"/>
      <c r="Z832" s="548"/>
      <c r="AA832" s="549"/>
      <c r="AB832" s="541"/>
      <c r="AC832" s="547"/>
      <c r="AD832" s="548"/>
      <c r="AE832" s="549"/>
      <c r="AF832" s="541"/>
      <c r="AG832" s="366"/>
      <c r="AH832" s="366"/>
      <c r="AI832" s="366"/>
      <c r="AJ832" s="366"/>
      <c r="AK832" s="394"/>
      <c r="AL832" s="430"/>
      <c r="AM832" s="395"/>
      <c r="AN832" s="529"/>
      <c r="AO832" s="394"/>
      <c r="AP832" s="430"/>
      <c r="AQ832" s="395"/>
      <c r="AR832" s="529"/>
      <c r="AS832" s="542"/>
      <c r="AT832" s="542"/>
    </row>
    <row r="833">
      <c r="A833" s="394"/>
      <c r="B833" s="430"/>
      <c r="C833" s="395"/>
      <c r="D833" s="529"/>
      <c r="E833" s="394"/>
      <c r="F833" s="430"/>
      <c r="G833" s="395"/>
      <c r="H833" s="529"/>
      <c r="I833" s="394"/>
      <c r="J833" s="430"/>
      <c r="K833" s="395"/>
      <c r="L833" s="529"/>
      <c r="M833" s="394"/>
      <c r="N833" s="430"/>
      <c r="O833" s="395"/>
      <c r="P833" s="529"/>
      <c r="Q833" s="547"/>
      <c r="R833" s="548"/>
      <c r="S833" s="549"/>
      <c r="T833" s="541"/>
      <c r="U833" s="547"/>
      <c r="V833" s="548"/>
      <c r="W833" s="549"/>
      <c r="X833" s="541"/>
      <c r="Y833" s="547"/>
      <c r="Z833" s="548"/>
      <c r="AA833" s="549"/>
      <c r="AB833" s="541"/>
      <c r="AC833" s="547"/>
      <c r="AD833" s="548"/>
      <c r="AE833" s="549"/>
      <c r="AF833" s="541"/>
      <c r="AG833" s="366"/>
      <c r="AH833" s="366"/>
      <c r="AI833" s="366"/>
      <c r="AJ833" s="366"/>
      <c r="AK833" s="394"/>
      <c r="AL833" s="430"/>
      <c r="AM833" s="395"/>
      <c r="AN833" s="529"/>
      <c r="AO833" s="394"/>
      <c r="AP833" s="430"/>
      <c r="AQ833" s="395"/>
      <c r="AR833" s="529"/>
      <c r="AS833" s="542"/>
      <c r="AT833" s="542"/>
    </row>
    <row r="834">
      <c r="A834" s="394"/>
      <c r="B834" s="430"/>
      <c r="C834" s="395"/>
      <c r="D834" s="529"/>
      <c r="E834" s="394"/>
      <c r="F834" s="430"/>
      <c r="G834" s="395"/>
      <c r="H834" s="529"/>
      <c r="I834" s="394"/>
      <c r="J834" s="430"/>
      <c r="K834" s="395"/>
      <c r="L834" s="529"/>
      <c r="M834" s="394"/>
      <c r="N834" s="430"/>
      <c r="O834" s="395"/>
      <c r="P834" s="529"/>
      <c r="Q834" s="547"/>
      <c r="R834" s="548"/>
      <c r="S834" s="549"/>
      <c r="T834" s="541"/>
      <c r="U834" s="547"/>
      <c r="V834" s="548"/>
      <c r="W834" s="549"/>
      <c r="X834" s="541"/>
      <c r="Y834" s="547"/>
      <c r="Z834" s="548"/>
      <c r="AA834" s="549"/>
      <c r="AB834" s="541"/>
      <c r="AC834" s="547"/>
      <c r="AD834" s="548"/>
      <c r="AE834" s="549"/>
      <c r="AF834" s="541"/>
      <c r="AG834" s="366"/>
      <c r="AH834" s="366"/>
      <c r="AI834" s="366"/>
      <c r="AJ834" s="366"/>
      <c r="AK834" s="394"/>
      <c r="AL834" s="430"/>
      <c r="AM834" s="395"/>
      <c r="AN834" s="529"/>
      <c r="AO834" s="394"/>
      <c r="AP834" s="430"/>
      <c r="AQ834" s="395"/>
      <c r="AR834" s="529"/>
      <c r="AS834" s="542"/>
      <c r="AT834" s="542"/>
    </row>
    <row r="835">
      <c r="A835" s="394"/>
      <c r="B835" s="430"/>
      <c r="C835" s="395"/>
      <c r="D835" s="529"/>
      <c r="E835" s="394"/>
      <c r="F835" s="430"/>
      <c r="G835" s="395"/>
      <c r="H835" s="529"/>
      <c r="I835" s="394"/>
      <c r="J835" s="430"/>
      <c r="K835" s="395"/>
      <c r="L835" s="529"/>
      <c r="M835" s="394"/>
      <c r="N835" s="430"/>
      <c r="O835" s="395"/>
      <c r="P835" s="529"/>
      <c r="Q835" s="547"/>
      <c r="R835" s="548"/>
      <c r="S835" s="549"/>
      <c r="T835" s="541"/>
      <c r="U835" s="547"/>
      <c r="V835" s="548"/>
      <c r="W835" s="549"/>
      <c r="X835" s="541"/>
      <c r="Y835" s="547"/>
      <c r="Z835" s="548"/>
      <c r="AA835" s="549"/>
      <c r="AB835" s="541"/>
      <c r="AC835" s="547"/>
      <c r="AD835" s="548"/>
      <c r="AE835" s="549"/>
      <c r="AF835" s="541"/>
      <c r="AG835" s="366"/>
      <c r="AH835" s="366"/>
      <c r="AI835" s="366"/>
      <c r="AJ835" s="366"/>
      <c r="AK835" s="394"/>
      <c r="AL835" s="430"/>
      <c r="AM835" s="395"/>
      <c r="AN835" s="529"/>
      <c r="AO835" s="394"/>
      <c r="AP835" s="430"/>
      <c r="AQ835" s="395"/>
      <c r="AR835" s="529"/>
      <c r="AS835" s="542"/>
      <c r="AT835" s="542"/>
    </row>
    <row r="836">
      <c r="A836" s="394"/>
      <c r="B836" s="430"/>
      <c r="C836" s="395"/>
      <c r="D836" s="529"/>
      <c r="E836" s="394"/>
      <c r="F836" s="430"/>
      <c r="G836" s="395"/>
      <c r="H836" s="529"/>
      <c r="I836" s="394"/>
      <c r="J836" s="430"/>
      <c r="K836" s="395"/>
      <c r="L836" s="529"/>
      <c r="M836" s="394"/>
      <c r="N836" s="430"/>
      <c r="O836" s="395"/>
      <c r="P836" s="529"/>
      <c r="Q836" s="547"/>
      <c r="R836" s="548"/>
      <c r="S836" s="549"/>
      <c r="T836" s="541"/>
      <c r="U836" s="547"/>
      <c r="V836" s="548"/>
      <c r="W836" s="549"/>
      <c r="X836" s="541"/>
      <c r="Y836" s="547"/>
      <c r="Z836" s="548"/>
      <c r="AA836" s="549"/>
      <c r="AB836" s="541"/>
      <c r="AC836" s="547"/>
      <c r="AD836" s="548"/>
      <c r="AE836" s="549"/>
      <c r="AF836" s="541"/>
      <c r="AG836" s="366"/>
      <c r="AH836" s="366"/>
      <c r="AI836" s="366"/>
      <c r="AJ836" s="366"/>
      <c r="AK836" s="394"/>
      <c r="AL836" s="430"/>
      <c r="AM836" s="395"/>
      <c r="AN836" s="529"/>
      <c r="AO836" s="394"/>
      <c r="AP836" s="430"/>
      <c r="AQ836" s="395"/>
      <c r="AR836" s="529"/>
      <c r="AS836" s="542"/>
      <c r="AT836" s="542"/>
    </row>
    <row r="837">
      <c r="A837" s="394"/>
      <c r="B837" s="430"/>
      <c r="C837" s="395"/>
      <c r="D837" s="529"/>
      <c r="E837" s="394"/>
      <c r="F837" s="430"/>
      <c r="G837" s="395"/>
      <c r="H837" s="529"/>
      <c r="I837" s="394"/>
      <c r="J837" s="430"/>
      <c r="K837" s="395"/>
      <c r="L837" s="529"/>
      <c r="M837" s="394"/>
      <c r="N837" s="430"/>
      <c r="O837" s="395"/>
      <c r="P837" s="529"/>
      <c r="Q837" s="547"/>
      <c r="R837" s="548"/>
      <c r="S837" s="549"/>
      <c r="T837" s="541"/>
      <c r="U837" s="547"/>
      <c r="V837" s="548"/>
      <c r="W837" s="549"/>
      <c r="X837" s="541"/>
      <c r="Y837" s="547"/>
      <c r="Z837" s="548"/>
      <c r="AA837" s="549"/>
      <c r="AB837" s="541"/>
      <c r="AC837" s="547"/>
      <c r="AD837" s="548"/>
      <c r="AE837" s="549"/>
      <c r="AF837" s="541"/>
      <c r="AG837" s="366"/>
      <c r="AH837" s="366"/>
      <c r="AI837" s="366"/>
      <c r="AJ837" s="366"/>
      <c r="AK837" s="394"/>
      <c r="AL837" s="430"/>
      <c r="AM837" s="395"/>
      <c r="AN837" s="529"/>
      <c r="AO837" s="394"/>
      <c r="AP837" s="430"/>
      <c r="AQ837" s="395"/>
      <c r="AR837" s="529"/>
      <c r="AS837" s="542"/>
      <c r="AT837" s="542"/>
    </row>
    <row r="838">
      <c r="A838" s="394"/>
      <c r="B838" s="430"/>
      <c r="C838" s="395"/>
      <c r="D838" s="529"/>
      <c r="E838" s="394"/>
      <c r="F838" s="430"/>
      <c r="G838" s="395"/>
      <c r="H838" s="529"/>
      <c r="I838" s="394"/>
      <c r="J838" s="430"/>
      <c r="K838" s="395"/>
      <c r="L838" s="529"/>
      <c r="M838" s="394"/>
      <c r="N838" s="430"/>
      <c r="O838" s="395"/>
      <c r="P838" s="529"/>
      <c r="Q838" s="547"/>
      <c r="R838" s="548"/>
      <c r="S838" s="549"/>
      <c r="T838" s="541"/>
      <c r="U838" s="547"/>
      <c r="V838" s="548"/>
      <c r="W838" s="549"/>
      <c r="X838" s="541"/>
      <c r="Y838" s="547"/>
      <c r="Z838" s="548"/>
      <c r="AA838" s="549"/>
      <c r="AB838" s="541"/>
      <c r="AC838" s="547"/>
      <c r="AD838" s="548"/>
      <c r="AE838" s="549"/>
      <c r="AF838" s="541"/>
      <c r="AG838" s="366"/>
      <c r="AH838" s="366"/>
      <c r="AI838" s="366"/>
      <c r="AJ838" s="366"/>
      <c r="AK838" s="394"/>
      <c r="AL838" s="430"/>
      <c r="AM838" s="395"/>
      <c r="AN838" s="529"/>
      <c r="AO838" s="394"/>
      <c r="AP838" s="430"/>
      <c r="AQ838" s="395"/>
      <c r="AR838" s="529"/>
      <c r="AS838" s="542"/>
      <c r="AT838" s="542"/>
    </row>
    <row r="839">
      <c r="A839" s="394"/>
      <c r="B839" s="430"/>
      <c r="C839" s="395"/>
      <c r="D839" s="529"/>
      <c r="E839" s="394"/>
      <c r="F839" s="430"/>
      <c r="G839" s="395"/>
      <c r="H839" s="529"/>
      <c r="I839" s="394"/>
      <c r="J839" s="430"/>
      <c r="K839" s="395"/>
      <c r="L839" s="529"/>
      <c r="M839" s="394"/>
      <c r="N839" s="430"/>
      <c r="O839" s="395"/>
      <c r="P839" s="529"/>
      <c r="Q839" s="547"/>
      <c r="R839" s="548"/>
      <c r="S839" s="549"/>
      <c r="T839" s="541"/>
      <c r="U839" s="547"/>
      <c r="V839" s="548"/>
      <c r="W839" s="549"/>
      <c r="X839" s="541"/>
      <c r="Y839" s="547"/>
      <c r="Z839" s="548"/>
      <c r="AA839" s="549"/>
      <c r="AB839" s="541"/>
      <c r="AC839" s="547"/>
      <c r="AD839" s="548"/>
      <c r="AE839" s="549"/>
      <c r="AF839" s="541"/>
      <c r="AG839" s="366"/>
      <c r="AH839" s="366"/>
      <c r="AI839" s="366"/>
      <c r="AJ839" s="366"/>
      <c r="AK839" s="394"/>
      <c r="AL839" s="430"/>
      <c r="AM839" s="395"/>
      <c r="AN839" s="529"/>
      <c r="AO839" s="394"/>
      <c r="AP839" s="430"/>
      <c r="AQ839" s="395"/>
      <c r="AR839" s="529"/>
      <c r="AS839" s="542"/>
      <c r="AT839" s="542"/>
    </row>
    <row r="840">
      <c r="A840" s="394"/>
      <c r="B840" s="430"/>
      <c r="C840" s="395"/>
      <c r="D840" s="529"/>
      <c r="E840" s="394"/>
      <c r="F840" s="430"/>
      <c r="G840" s="395"/>
      <c r="H840" s="529"/>
      <c r="I840" s="394"/>
      <c r="J840" s="430"/>
      <c r="K840" s="395"/>
      <c r="L840" s="529"/>
      <c r="M840" s="394"/>
      <c r="N840" s="430"/>
      <c r="O840" s="395"/>
      <c r="P840" s="529"/>
      <c r="Q840" s="547"/>
      <c r="R840" s="548"/>
      <c r="S840" s="549"/>
      <c r="T840" s="541"/>
      <c r="U840" s="547"/>
      <c r="V840" s="548"/>
      <c r="W840" s="549"/>
      <c r="X840" s="541"/>
      <c r="Y840" s="547"/>
      <c r="Z840" s="548"/>
      <c r="AA840" s="549"/>
      <c r="AB840" s="541"/>
      <c r="AC840" s="547"/>
      <c r="AD840" s="548"/>
      <c r="AE840" s="549"/>
      <c r="AF840" s="541"/>
      <c r="AG840" s="366"/>
      <c r="AH840" s="366"/>
      <c r="AI840" s="366"/>
      <c r="AJ840" s="366"/>
      <c r="AK840" s="394"/>
      <c r="AL840" s="430"/>
      <c r="AM840" s="395"/>
      <c r="AN840" s="529"/>
      <c r="AO840" s="394"/>
      <c r="AP840" s="430"/>
      <c r="AQ840" s="395"/>
      <c r="AR840" s="529"/>
      <c r="AS840" s="542"/>
      <c r="AT840" s="542"/>
    </row>
    <row r="841">
      <c r="A841" s="394"/>
      <c r="B841" s="430"/>
      <c r="C841" s="395"/>
      <c r="D841" s="529"/>
      <c r="E841" s="394"/>
      <c r="F841" s="430"/>
      <c r="G841" s="395"/>
      <c r="H841" s="529"/>
      <c r="I841" s="394"/>
      <c r="J841" s="430"/>
      <c r="K841" s="395"/>
      <c r="L841" s="529"/>
      <c r="M841" s="394"/>
      <c r="N841" s="430"/>
      <c r="O841" s="395"/>
      <c r="P841" s="529"/>
      <c r="Q841" s="547"/>
      <c r="R841" s="548"/>
      <c r="S841" s="549"/>
      <c r="T841" s="541"/>
      <c r="U841" s="547"/>
      <c r="V841" s="548"/>
      <c r="W841" s="549"/>
      <c r="X841" s="541"/>
      <c r="Y841" s="547"/>
      <c r="Z841" s="548"/>
      <c r="AA841" s="549"/>
      <c r="AB841" s="541"/>
      <c r="AC841" s="547"/>
      <c r="AD841" s="548"/>
      <c r="AE841" s="549"/>
      <c r="AF841" s="541"/>
      <c r="AG841" s="366"/>
      <c r="AH841" s="366"/>
      <c r="AI841" s="366"/>
      <c r="AJ841" s="366"/>
      <c r="AK841" s="394"/>
      <c r="AL841" s="430"/>
      <c r="AM841" s="395"/>
      <c r="AN841" s="529"/>
      <c r="AO841" s="394"/>
      <c r="AP841" s="430"/>
      <c r="AQ841" s="395"/>
      <c r="AR841" s="529"/>
      <c r="AS841" s="542"/>
      <c r="AT841" s="542"/>
    </row>
    <row r="842">
      <c r="A842" s="394"/>
      <c r="B842" s="430"/>
      <c r="C842" s="395"/>
      <c r="D842" s="529"/>
      <c r="E842" s="394"/>
      <c r="F842" s="430"/>
      <c r="G842" s="395"/>
      <c r="H842" s="529"/>
      <c r="I842" s="394"/>
      <c r="J842" s="430"/>
      <c r="K842" s="395"/>
      <c r="L842" s="529"/>
      <c r="M842" s="394"/>
      <c r="N842" s="430"/>
      <c r="O842" s="395"/>
      <c r="P842" s="529"/>
      <c r="Q842" s="547"/>
      <c r="R842" s="548"/>
      <c r="S842" s="549"/>
      <c r="T842" s="541"/>
      <c r="U842" s="547"/>
      <c r="V842" s="548"/>
      <c r="W842" s="549"/>
      <c r="X842" s="541"/>
      <c r="Y842" s="547"/>
      <c r="Z842" s="548"/>
      <c r="AA842" s="549"/>
      <c r="AB842" s="541"/>
      <c r="AC842" s="547"/>
      <c r="AD842" s="548"/>
      <c r="AE842" s="549"/>
      <c r="AF842" s="541"/>
      <c r="AG842" s="366"/>
      <c r="AH842" s="366"/>
      <c r="AI842" s="366"/>
      <c r="AJ842" s="366"/>
      <c r="AK842" s="394"/>
      <c r="AL842" s="430"/>
      <c r="AM842" s="395"/>
      <c r="AN842" s="529"/>
      <c r="AO842" s="394"/>
      <c r="AP842" s="430"/>
      <c r="AQ842" s="395"/>
      <c r="AR842" s="529"/>
      <c r="AS842" s="542"/>
      <c r="AT842" s="542"/>
    </row>
    <row r="843">
      <c r="A843" s="394"/>
      <c r="B843" s="430"/>
      <c r="C843" s="395"/>
      <c r="D843" s="529"/>
      <c r="E843" s="394"/>
      <c r="F843" s="430"/>
      <c r="G843" s="395"/>
      <c r="H843" s="529"/>
      <c r="I843" s="394"/>
      <c r="J843" s="430"/>
      <c r="K843" s="395"/>
      <c r="L843" s="529"/>
      <c r="M843" s="394"/>
      <c r="N843" s="430"/>
      <c r="O843" s="395"/>
      <c r="P843" s="529"/>
      <c r="Q843" s="547"/>
      <c r="R843" s="548"/>
      <c r="S843" s="549"/>
      <c r="T843" s="541"/>
      <c r="U843" s="547"/>
      <c r="V843" s="548"/>
      <c r="W843" s="549"/>
      <c r="X843" s="541"/>
      <c r="Y843" s="547"/>
      <c r="Z843" s="548"/>
      <c r="AA843" s="549"/>
      <c r="AB843" s="541"/>
      <c r="AC843" s="547"/>
      <c r="AD843" s="548"/>
      <c r="AE843" s="549"/>
      <c r="AF843" s="541"/>
      <c r="AG843" s="366"/>
      <c r="AH843" s="366"/>
      <c r="AI843" s="366"/>
      <c r="AJ843" s="366"/>
      <c r="AK843" s="394"/>
      <c r="AL843" s="430"/>
      <c r="AM843" s="395"/>
      <c r="AN843" s="529"/>
      <c r="AO843" s="394"/>
      <c r="AP843" s="430"/>
      <c r="AQ843" s="395"/>
      <c r="AR843" s="529"/>
      <c r="AS843" s="542"/>
      <c r="AT843" s="542"/>
    </row>
    <row r="844">
      <c r="A844" s="394"/>
      <c r="B844" s="430"/>
      <c r="C844" s="395"/>
      <c r="D844" s="529"/>
      <c r="E844" s="394"/>
      <c r="F844" s="430"/>
      <c r="G844" s="395"/>
      <c r="H844" s="529"/>
      <c r="I844" s="394"/>
      <c r="J844" s="430"/>
      <c r="K844" s="395"/>
      <c r="L844" s="529"/>
      <c r="M844" s="394"/>
      <c r="N844" s="430"/>
      <c r="O844" s="395"/>
      <c r="P844" s="529"/>
      <c r="Q844" s="547"/>
      <c r="R844" s="548"/>
      <c r="S844" s="549"/>
      <c r="T844" s="541"/>
      <c r="U844" s="547"/>
      <c r="V844" s="548"/>
      <c r="W844" s="549"/>
      <c r="X844" s="541"/>
      <c r="Y844" s="547"/>
      <c r="Z844" s="548"/>
      <c r="AA844" s="549"/>
      <c r="AB844" s="541"/>
      <c r="AC844" s="547"/>
      <c r="AD844" s="548"/>
      <c r="AE844" s="549"/>
      <c r="AF844" s="541"/>
      <c r="AG844" s="366"/>
      <c r="AH844" s="366"/>
      <c r="AI844" s="366"/>
      <c r="AJ844" s="366"/>
      <c r="AK844" s="394"/>
      <c r="AL844" s="430"/>
      <c r="AM844" s="395"/>
      <c r="AN844" s="529"/>
      <c r="AO844" s="394"/>
      <c r="AP844" s="430"/>
      <c r="AQ844" s="395"/>
      <c r="AR844" s="529"/>
      <c r="AS844" s="542"/>
      <c r="AT844" s="542"/>
    </row>
    <row r="845">
      <c r="A845" s="394"/>
      <c r="B845" s="430"/>
      <c r="C845" s="395"/>
      <c r="D845" s="529"/>
      <c r="E845" s="394"/>
      <c r="F845" s="430"/>
      <c r="G845" s="395"/>
      <c r="H845" s="529"/>
      <c r="I845" s="394"/>
      <c r="J845" s="430"/>
      <c r="K845" s="395"/>
      <c r="L845" s="529"/>
      <c r="M845" s="394"/>
      <c r="N845" s="430"/>
      <c r="O845" s="395"/>
      <c r="P845" s="529"/>
      <c r="Q845" s="547"/>
      <c r="R845" s="548"/>
      <c r="S845" s="549"/>
      <c r="T845" s="541"/>
      <c r="U845" s="547"/>
      <c r="V845" s="548"/>
      <c r="W845" s="549"/>
      <c r="X845" s="541"/>
      <c r="Y845" s="547"/>
      <c r="Z845" s="548"/>
      <c r="AA845" s="549"/>
      <c r="AB845" s="541"/>
      <c r="AC845" s="547"/>
      <c r="AD845" s="548"/>
      <c r="AE845" s="549"/>
      <c r="AF845" s="541"/>
      <c r="AG845" s="366"/>
      <c r="AH845" s="366"/>
      <c r="AI845" s="366"/>
      <c r="AJ845" s="366"/>
      <c r="AK845" s="394"/>
      <c r="AL845" s="430"/>
      <c r="AM845" s="395"/>
      <c r="AN845" s="529"/>
      <c r="AO845" s="394"/>
      <c r="AP845" s="430"/>
      <c r="AQ845" s="395"/>
      <c r="AR845" s="529"/>
      <c r="AS845" s="542"/>
      <c r="AT845" s="542"/>
    </row>
    <row r="846">
      <c r="A846" s="394"/>
      <c r="B846" s="430"/>
      <c r="C846" s="395"/>
      <c r="D846" s="529"/>
      <c r="E846" s="394"/>
      <c r="F846" s="430"/>
      <c r="G846" s="395"/>
      <c r="H846" s="529"/>
      <c r="I846" s="394"/>
      <c r="J846" s="430"/>
      <c r="K846" s="395"/>
      <c r="L846" s="529"/>
      <c r="M846" s="394"/>
      <c r="N846" s="430"/>
      <c r="O846" s="395"/>
      <c r="P846" s="529"/>
      <c r="Q846" s="547"/>
      <c r="R846" s="548"/>
      <c r="S846" s="549"/>
      <c r="T846" s="541"/>
      <c r="U846" s="547"/>
      <c r="V846" s="548"/>
      <c r="W846" s="549"/>
      <c r="X846" s="541"/>
      <c r="Y846" s="547"/>
      <c r="Z846" s="548"/>
      <c r="AA846" s="549"/>
      <c r="AB846" s="541"/>
      <c r="AC846" s="547"/>
      <c r="AD846" s="548"/>
      <c r="AE846" s="549"/>
      <c r="AF846" s="541"/>
      <c r="AG846" s="366"/>
      <c r="AH846" s="366"/>
      <c r="AI846" s="366"/>
      <c r="AJ846" s="366"/>
      <c r="AK846" s="394"/>
      <c r="AL846" s="430"/>
      <c r="AM846" s="395"/>
      <c r="AN846" s="529"/>
      <c r="AO846" s="394"/>
      <c r="AP846" s="430"/>
      <c r="AQ846" s="395"/>
      <c r="AR846" s="529"/>
      <c r="AS846" s="542"/>
      <c r="AT846" s="542"/>
    </row>
    <row r="847">
      <c r="A847" s="394"/>
      <c r="B847" s="430"/>
      <c r="C847" s="395"/>
      <c r="D847" s="529"/>
      <c r="E847" s="394"/>
      <c r="F847" s="430"/>
      <c r="G847" s="395"/>
      <c r="H847" s="529"/>
      <c r="I847" s="394"/>
      <c r="J847" s="430"/>
      <c r="K847" s="395"/>
      <c r="L847" s="529"/>
      <c r="M847" s="394"/>
      <c r="N847" s="430"/>
      <c r="O847" s="395"/>
      <c r="P847" s="529"/>
      <c r="Q847" s="547"/>
      <c r="R847" s="548"/>
      <c r="S847" s="549"/>
      <c r="T847" s="541"/>
      <c r="U847" s="547"/>
      <c r="V847" s="548"/>
      <c r="W847" s="549"/>
      <c r="X847" s="541"/>
      <c r="Y847" s="547"/>
      <c r="Z847" s="548"/>
      <c r="AA847" s="549"/>
      <c r="AB847" s="541"/>
      <c r="AC847" s="547"/>
      <c r="AD847" s="548"/>
      <c r="AE847" s="549"/>
      <c r="AF847" s="541"/>
      <c r="AG847" s="366"/>
      <c r="AH847" s="366"/>
      <c r="AI847" s="366"/>
      <c r="AJ847" s="366"/>
      <c r="AK847" s="394"/>
      <c r="AL847" s="430"/>
      <c r="AM847" s="395"/>
      <c r="AN847" s="529"/>
      <c r="AO847" s="394"/>
      <c r="AP847" s="430"/>
      <c r="AQ847" s="395"/>
      <c r="AR847" s="529"/>
      <c r="AS847" s="542"/>
      <c r="AT847" s="542"/>
    </row>
    <row r="848">
      <c r="A848" s="394"/>
      <c r="B848" s="430"/>
      <c r="C848" s="395"/>
      <c r="D848" s="529"/>
      <c r="E848" s="394"/>
      <c r="F848" s="430"/>
      <c r="G848" s="395"/>
      <c r="H848" s="529"/>
      <c r="I848" s="394"/>
      <c r="J848" s="430"/>
      <c r="K848" s="395"/>
      <c r="L848" s="529"/>
      <c r="M848" s="394"/>
      <c r="N848" s="430"/>
      <c r="O848" s="395"/>
      <c r="P848" s="529"/>
      <c r="Q848" s="547"/>
      <c r="R848" s="548"/>
      <c r="S848" s="549"/>
      <c r="T848" s="541"/>
      <c r="U848" s="547"/>
      <c r="V848" s="548"/>
      <c r="W848" s="549"/>
      <c r="X848" s="541"/>
      <c r="Y848" s="547"/>
      <c r="Z848" s="548"/>
      <c r="AA848" s="549"/>
      <c r="AB848" s="541"/>
      <c r="AC848" s="547"/>
      <c r="AD848" s="548"/>
      <c r="AE848" s="549"/>
      <c r="AF848" s="541"/>
      <c r="AG848" s="366"/>
      <c r="AH848" s="366"/>
      <c r="AI848" s="366"/>
      <c r="AJ848" s="366"/>
      <c r="AK848" s="394"/>
      <c r="AL848" s="430"/>
      <c r="AM848" s="395"/>
      <c r="AN848" s="529"/>
      <c r="AO848" s="394"/>
      <c r="AP848" s="430"/>
      <c r="AQ848" s="395"/>
      <c r="AR848" s="529"/>
      <c r="AS848" s="542"/>
      <c r="AT848" s="542"/>
    </row>
    <row r="849">
      <c r="A849" s="394"/>
      <c r="B849" s="430"/>
      <c r="C849" s="395"/>
      <c r="D849" s="529"/>
      <c r="E849" s="394"/>
      <c r="F849" s="430"/>
      <c r="G849" s="395"/>
      <c r="H849" s="529"/>
      <c r="I849" s="394"/>
      <c r="J849" s="430"/>
      <c r="K849" s="395"/>
      <c r="L849" s="529"/>
      <c r="M849" s="394"/>
      <c r="N849" s="430"/>
      <c r="O849" s="395"/>
      <c r="P849" s="529"/>
      <c r="Q849" s="547"/>
      <c r="R849" s="548"/>
      <c r="S849" s="549"/>
      <c r="T849" s="541"/>
      <c r="U849" s="547"/>
      <c r="V849" s="548"/>
      <c r="W849" s="549"/>
      <c r="X849" s="541"/>
      <c r="Y849" s="547"/>
      <c r="Z849" s="548"/>
      <c r="AA849" s="549"/>
      <c r="AB849" s="541"/>
      <c r="AC849" s="547"/>
      <c r="AD849" s="548"/>
      <c r="AE849" s="549"/>
      <c r="AF849" s="541"/>
      <c r="AG849" s="366"/>
      <c r="AH849" s="366"/>
      <c r="AI849" s="366"/>
      <c r="AJ849" s="366"/>
      <c r="AK849" s="394"/>
      <c r="AL849" s="430"/>
      <c r="AM849" s="395"/>
      <c r="AN849" s="529"/>
      <c r="AO849" s="394"/>
      <c r="AP849" s="430"/>
      <c r="AQ849" s="395"/>
      <c r="AR849" s="529"/>
      <c r="AS849" s="542"/>
      <c r="AT849" s="542"/>
    </row>
    <row r="850">
      <c r="A850" s="394"/>
      <c r="B850" s="430"/>
      <c r="C850" s="395"/>
      <c r="D850" s="529"/>
      <c r="E850" s="394"/>
      <c r="F850" s="430"/>
      <c r="G850" s="395"/>
      <c r="H850" s="529"/>
      <c r="I850" s="394"/>
      <c r="J850" s="430"/>
      <c r="K850" s="395"/>
      <c r="L850" s="529"/>
      <c r="M850" s="394"/>
      <c r="N850" s="430"/>
      <c r="O850" s="395"/>
      <c r="P850" s="529"/>
      <c r="Q850" s="547"/>
      <c r="R850" s="548"/>
      <c r="S850" s="549"/>
      <c r="T850" s="541"/>
      <c r="U850" s="547"/>
      <c r="V850" s="548"/>
      <c r="W850" s="549"/>
      <c r="X850" s="541"/>
      <c r="Y850" s="547"/>
      <c r="Z850" s="548"/>
      <c r="AA850" s="549"/>
      <c r="AB850" s="541"/>
      <c r="AC850" s="547"/>
      <c r="AD850" s="548"/>
      <c r="AE850" s="549"/>
      <c r="AF850" s="541"/>
      <c r="AG850" s="366"/>
      <c r="AH850" s="366"/>
      <c r="AI850" s="366"/>
      <c r="AJ850" s="366"/>
      <c r="AK850" s="394"/>
      <c r="AL850" s="430"/>
      <c r="AM850" s="395"/>
      <c r="AN850" s="529"/>
      <c r="AO850" s="394"/>
      <c r="AP850" s="430"/>
      <c r="AQ850" s="395"/>
      <c r="AR850" s="529"/>
      <c r="AS850" s="542"/>
      <c r="AT850" s="542"/>
    </row>
    <row r="851">
      <c r="A851" s="394"/>
      <c r="B851" s="430"/>
      <c r="C851" s="395"/>
      <c r="D851" s="529"/>
      <c r="E851" s="394"/>
      <c r="F851" s="430"/>
      <c r="G851" s="395"/>
      <c r="H851" s="529"/>
      <c r="I851" s="394"/>
      <c r="J851" s="430"/>
      <c r="K851" s="395"/>
      <c r="L851" s="529"/>
      <c r="M851" s="394"/>
      <c r="N851" s="430"/>
      <c r="O851" s="395"/>
      <c r="P851" s="529"/>
      <c r="Q851" s="547"/>
      <c r="R851" s="548"/>
      <c r="S851" s="549"/>
      <c r="T851" s="541"/>
      <c r="U851" s="547"/>
      <c r="V851" s="548"/>
      <c r="W851" s="549"/>
      <c r="X851" s="541"/>
      <c r="Y851" s="547"/>
      <c r="Z851" s="548"/>
      <c r="AA851" s="549"/>
      <c r="AB851" s="541"/>
      <c r="AC851" s="547"/>
      <c r="AD851" s="548"/>
      <c r="AE851" s="549"/>
      <c r="AF851" s="541"/>
      <c r="AG851" s="366"/>
      <c r="AH851" s="366"/>
      <c r="AI851" s="366"/>
      <c r="AJ851" s="366"/>
      <c r="AK851" s="394"/>
      <c r="AL851" s="430"/>
      <c r="AM851" s="395"/>
      <c r="AN851" s="529"/>
      <c r="AO851" s="394"/>
      <c r="AP851" s="430"/>
      <c r="AQ851" s="395"/>
      <c r="AR851" s="529"/>
      <c r="AS851" s="542"/>
      <c r="AT851" s="542"/>
    </row>
    <row r="852">
      <c r="A852" s="394"/>
      <c r="B852" s="430"/>
      <c r="C852" s="395"/>
      <c r="D852" s="529"/>
      <c r="E852" s="394"/>
      <c r="F852" s="430"/>
      <c r="G852" s="395"/>
      <c r="H852" s="529"/>
      <c r="I852" s="394"/>
      <c r="J852" s="430"/>
      <c r="K852" s="395"/>
      <c r="L852" s="529"/>
      <c r="M852" s="394"/>
      <c r="N852" s="430"/>
      <c r="O852" s="395"/>
      <c r="P852" s="529"/>
      <c r="Q852" s="547"/>
      <c r="R852" s="548"/>
      <c r="S852" s="549"/>
      <c r="T852" s="541"/>
      <c r="U852" s="547"/>
      <c r="V852" s="548"/>
      <c r="W852" s="549"/>
      <c r="X852" s="541"/>
      <c r="Y852" s="547"/>
      <c r="Z852" s="548"/>
      <c r="AA852" s="549"/>
      <c r="AB852" s="541"/>
      <c r="AC852" s="547"/>
      <c r="AD852" s="548"/>
      <c r="AE852" s="549"/>
      <c r="AF852" s="541"/>
      <c r="AG852" s="366"/>
      <c r="AH852" s="366"/>
      <c r="AI852" s="366"/>
      <c r="AJ852" s="366"/>
      <c r="AK852" s="394"/>
      <c r="AL852" s="430"/>
      <c r="AM852" s="395"/>
      <c r="AN852" s="529"/>
      <c r="AO852" s="394"/>
      <c r="AP852" s="430"/>
      <c r="AQ852" s="395"/>
      <c r="AR852" s="529"/>
      <c r="AS852" s="542"/>
      <c r="AT852" s="542"/>
    </row>
    <row r="853">
      <c r="A853" s="394"/>
      <c r="B853" s="430"/>
      <c r="C853" s="395"/>
      <c r="D853" s="529"/>
      <c r="E853" s="394"/>
      <c r="F853" s="430"/>
      <c r="G853" s="395"/>
      <c r="H853" s="529"/>
      <c r="I853" s="394"/>
      <c r="J853" s="430"/>
      <c r="K853" s="395"/>
      <c r="L853" s="529"/>
      <c r="M853" s="394"/>
      <c r="N853" s="430"/>
      <c r="O853" s="395"/>
      <c r="P853" s="529"/>
      <c r="Q853" s="547"/>
      <c r="R853" s="548"/>
      <c r="S853" s="549"/>
      <c r="T853" s="541"/>
      <c r="U853" s="547"/>
      <c r="V853" s="548"/>
      <c r="W853" s="549"/>
      <c r="X853" s="541"/>
      <c r="Y853" s="547"/>
      <c r="Z853" s="548"/>
      <c r="AA853" s="549"/>
      <c r="AB853" s="541"/>
      <c r="AC853" s="547"/>
      <c r="AD853" s="548"/>
      <c r="AE853" s="549"/>
      <c r="AF853" s="541"/>
      <c r="AG853" s="366"/>
      <c r="AH853" s="366"/>
      <c r="AI853" s="366"/>
      <c r="AJ853" s="366"/>
      <c r="AK853" s="394"/>
      <c r="AL853" s="430"/>
      <c r="AM853" s="395"/>
      <c r="AN853" s="529"/>
      <c r="AO853" s="394"/>
      <c r="AP853" s="430"/>
      <c r="AQ853" s="395"/>
      <c r="AR853" s="529"/>
      <c r="AS853" s="542"/>
      <c r="AT853" s="542"/>
    </row>
    <row r="854">
      <c r="A854" s="394"/>
      <c r="B854" s="430"/>
      <c r="C854" s="395"/>
      <c r="D854" s="529"/>
      <c r="E854" s="394"/>
      <c r="F854" s="430"/>
      <c r="G854" s="395"/>
      <c r="H854" s="529"/>
      <c r="I854" s="394"/>
      <c r="J854" s="430"/>
      <c r="K854" s="395"/>
      <c r="L854" s="529"/>
      <c r="M854" s="394"/>
      <c r="N854" s="430"/>
      <c r="O854" s="395"/>
      <c r="P854" s="529"/>
      <c r="Q854" s="547"/>
      <c r="R854" s="548"/>
      <c r="S854" s="549"/>
      <c r="T854" s="541"/>
      <c r="U854" s="547"/>
      <c r="V854" s="548"/>
      <c r="W854" s="549"/>
      <c r="X854" s="541"/>
      <c r="Y854" s="547"/>
      <c r="Z854" s="548"/>
      <c r="AA854" s="549"/>
      <c r="AB854" s="541"/>
      <c r="AC854" s="547"/>
      <c r="AD854" s="548"/>
      <c r="AE854" s="549"/>
      <c r="AF854" s="541"/>
      <c r="AG854" s="366"/>
      <c r="AH854" s="366"/>
      <c r="AI854" s="366"/>
      <c r="AJ854" s="366"/>
      <c r="AK854" s="394"/>
      <c r="AL854" s="430"/>
      <c r="AM854" s="395"/>
      <c r="AN854" s="529"/>
      <c r="AO854" s="394"/>
      <c r="AP854" s="430"/>
      <c r="AQ854" s="395"/>
      <c r="AR854" s="529"/>
      <c r="AS854" s="542"/>
      <c r="AT854" s="542"/>
    </row>
    <row r="855">
      <c r="A855" s="394"/>
      <c r="B855" s="430"/>
      <c r="C855" s="395"/>
      <c r="D855" s="529"/>
      <c r="E855" s="394"/>
      <c r="F855" s="430"/>
      <c r="G855" s="395"/>
      <c r="H855" s="529"/>
      <c r="I855" s="394"/>
      <c r="J855" s="430"/>
      <c r="K855" s="395"/>
      <c r="L855" s="529"/>
      <c r="M855" s="394"/>
      <c r="N855" s="430"/>
      <c r="O855" s="395"/>
      <c r="P855" s="529"/>
      <c r="Q855" s="547"/>
      <c r="R855" s="548"/>
      <c r="S855" s="549"/>
      <c r="T855" s="541"/>
      <c r="U855" s="547"/>
      <c r="V855" s="548"/>
      <c r="W855" s="549"/>
      <c r="X855" s="541"/>
      <c r="Y855" s="547"/>
      <c r="Z855" s="548"/>
      <c r="AA855" s="549"/>
      <c r="AB855" s="541"/>
      <c r="AC855" s="547"/>
      <c r="AD855" s="548"/>
      <c r="AE855" s="549"/>
      <c r="AF855" s="541"/>
      <c r="AG855" s="366"/>
      <c r="AH855" s="366"/>
      <c r="AI855" s="366"/>
      <c r="AJ855" s="366"/>
      <c r="AK855" s="394"/>
      <c r="AL855" s="430"/>
      <c r="AM855" s="395"/>
      <c r="AN855" s="529"/>
      <c r="AO855" s="394"/>
      <c r="AP855" s="430"/>
      <c r="AQ855" s="395"/>
      <c r="AR855" s="529"/>
      <c r="AS855" s="542"/>
      <c r="AT855" s="542"/>
    </row>
    <row r="856">
      <c r="A856" s="394"/>
      <c r="B856" s="430"/>
      <c r="C856" s="395"/>
      <c r="D856" s="529"/>
      <c r="E856" s="394"/>
      <c r="F856" s="430"/>
      <c r="G856" s="395"/>
      <c r="H856" s="529"/>
      <c r="I856" s="394"/>
      <c r="J856" s="430"/>
      <c r="K856" s="395"/>
      <c r="L856" s="529"/>
      <c r="M856" s="394"/>
      <c r="N856" s="430"/>
      <c r="O856" s="395"/>
      <c r="P856" s="529"/>
      <c r="Q856" s="547"/>
      <c r="R856" s="548"/>
      <c r="S856" s="549"/>
      <c r="T856" s="541"/>
      <c r="U856" s="547"/>
      <c r="V856" s="548"/>
      <c r="W856" s="549"/>
      <c r="X856" s="541"/>
      <c r="Y856" s="547"/>
      <c r="Z856" s="548"/>
      <c r="AA856" s="549"/>
      <c r="AB856" s="541"/>
      <c r="AC856" s="547"/>
      <c r="AD856" s="548"/>
      <c r="AE856" s="549"/>
      <c r="AF856" s="541"/>
      <c r="AG856" s="366"/>
      <c r="AH856" s="366"/>
      <c r="AI856" s="366"/>
      <c r="AJ856" s="366"/>
      <c r="AK856" s="394"/>
      <c r="AL856" s="430"/>
      <c r="AM856" s="395"/>
      <c r="AN856" s="529"/>
      <c r="AO856" s="394"/>
      <c r="AP856" s="430"/>
      <c r="AQ856" s="395"/>
      <c r="AR856" s="529"/>
      <c r="AS856" s="542"/>
      <c r="AT856" s="542"/>
    </row>
    <row r="857">
      <c r="A857" s="394"/>
      <c r="B857" s="430"/>
      <c r="C857" s="395"/>
      <c r="D857" s="529"/>
      <c r="E857" s="394"/>
      <c r="F857" s="430"/>
      <c r="G857" s="395"/>
      <c r="H857" s="529"/>
      <c r="I857" s="394"/>
      <c r="J857" s="430"/>
      <c r="K857" s="395"/>
      <c r="L857" s="529"/>
      <c r="M857" s="394"/>
      <c r="N857" s="430"/>
      <c r="O857" s="395"/>
      <c r="P857" s="529"/>
      <c r="Q857" s="547"/>
      <c r="R857" s="548"/>
      <c r="S857" s="549"/>
      <c r="T857" s="541"/>
      <c r="U857" s="547"/>
      <c r="V857" s="548"/>
      <c r="W857" s="549"/>
      <c r="X857" s="541"/>
      <c r="Y857" s="547"/>
      <c r="Z857" s="548"/>
      <c r="AA857" s="549"/>
      <c r="AB857" s="541"/>
      <c r="AC857" s="547"/>
      <c r="AD857" s="548"/>
      <c r="AE857" s="549"/>
      <c r="AF857" s="541"/>
      <c r="AG857" s="366"/>
      <c r="AH857" s="366"/>
      <c r="AI857" s="366"/>
      <c r="AJ857" s="366"/>
      <c r="AK857" s="394"/>
      <c r="AL857" s="430"/>
      <c r="AM857" s="395"/>
      <c r="AN857" s="529"/>
      <c r="AO857" s="394"/>
      <c r="AP857" s="430"/>
      <c r="AQ857" s="395"/>
      <c r="AR857" s="529"/>
      <c r="AS857" s="542"/>
      <c r="AT857" s="542"/>
    </row>
    <row r="858">
      <c r="A858" s="394"/>
      <c r="B858" s="430"/>
      <c r="C858" s="395"/>
      <c r="D858" s="529"/>
      <c r="E858" s="394"/>
      <c r="F858" s="430"/>
      <c r="G858" s="395"/>
      <c r="H858" s="529"/>
      <c r="I858" s="394"/>
      <c r="J858" s="430"/>
      <c r="K858" s="395"/>
      <c r="L858" s="529"/>
      <c r="M858" s="394"/>
      <c r="N858" s="430"/>
      <c r="O858" s="395"/>
      <c r="P858" s="529"/>
      <c r="Q858" s="547"/>
      <c r="R858" s="548"/>
      <c r="S858" s="549"/>
      <c r="T858" s="541"/>
      <c r="U858" s="547"/>
      <c r="V858" s="548"/>
      <c r="W858" s="549"/>
      <c r="X858" s="541"/>
      <c r="Y858" s="547"/>
      <c r="Z858" s="548"/>
      <c r="AA858" s="549"/>
      <c r="AB858" s="541"/>
      <c r="AC858" s="547"/>
      <c r="AD858" s="548"/>
      <c r="AE858" s="549"/>
      <c r="AF858" s="541"/>
      <c r="AG858" s="366"/>
      <c r="AH858" s="366"/>
      <c r="AI858" s="366"/>
      <c r="AJ858" s="366"/>
      <c r="AK858" s="394"/>
      <c r="AL858" s="430"/>
      <c r="AM858" s="395"/>
      <c r="AN858" s="529"/>
      <c r="AO858" s="394"/>
      <c r="AP858" s="430"/>
      <c r="AQ858" s="395"/>
      <c r="AR858" s="529"/>
      <c r="AS858" s="542"/>
      <c r="AT858" s="542"/>
    </row>
    <row r="859">
      <c r="A859" s="394"/>
      <c r="B859" s="430"/>
      <c r="C859" s="395"/>
      <c r="D859" s="529"/>
      <c r="E859" s="394"/>
      <c r="F859" s="430"/>
      <c r="G859" s="395"/>
      <c r="H859" s="529"/>
      <c r="I859" s="394"/>
      <c r="J859" s="430"/>
      <c r="K859" s="395"/>
      <c r="L859" s="529"/>
      <c r="M859" s="394"/>
      <c r="N859" s="430"/>
      <c r="O859" s="395"/>
      <c r="P859" s="529"/>
      <c r="Q859" s="547"/>
      <c r="R859" s="548"/>
      <c r="S859" s="549"/>
      <c r="T859" s="541"/>
      <c r="U859" s="547"/>
      <c r="V859" s="548"/>
      <c r="W859" s="549"/>
      <c r="X859" s="541"/>
      <c r="Y859" s="547"/>
      <c r="Z859" s="548"/>
      <c r="AA859" s="549"/>
      <c r="AB859" s="541"/>
      <c r="AC859" s="547"/>
      <c r="AD859" s="548"/>
      <c r="AE859" s="549"/>
      <c r="AF859" s="541"/>
      <c r="AG859" s="366"/>
      <c r="AH859" s="366"/>
      <c r="AI859" s="366"/>
      <c r="AJ859" s="366"/>
      <c r="AK859" s="394"/>
      <c r="AL859" s="430"/>
      <c r="AM859" s="395"/>
      <c r="AN859" s="529"/>
      <c r="AO859" s="394"/>
      <c r="AP859" s="430"/>
      <c r="AQ859" s="395"/>
      <c r="AR859" s="529"/>
      <c r="AS859" s="542"/>
      <c r="AT859" s="542"/>
    </row>
    <row r="860">
      <c r="A860" s="394"/>
      <c r="B860" s="430"/>
      <c r="C860" s="395"/>
      <c r="D860" s="529"/>
      <c r="E860" s="394"/>
      <c r="F860" s="430"/>
      <c r="G860" s="395"/>
      <c r="H860" s="529"/>
      <c r="I860" s="394"/>
      <c r="J860" s="430"/>
      <c r="K860" s="395"/>
      <c r="L860" s="529"/>
      <c r="M860" s="394"/>
      <c r="N860" s="430"/>
      <c r="O860" s="395"/>
      <c r="P860" s="529"/>
      <c r="Q860" s="547"/>
      <c r="R860" s="548"/>
      <c r="S860" s="549"/>
      <c r="T860" s="541"/>
      <c r="U860" s="547"/>
      <c r="V860" s="548"/>
      <c r="W860" s="549"/>
      <c r="X860" s="541"/>
      <c r="Y860" s="547"/>
      <c r="Z860" s="548"/>
      <c r="AA860" s="549"/>
      <c r="AB860" s="541"/>
      <c r="AC860" s="547"/>
      <c r="AD860" s="548"/>
      <c r="AE860" s="549"/>
      <c r="AF860" s="541"/>
      <c r="AG860" s="366"/>
      <c r="AH860" s="366"/>
      <c r="AI860" s="366"/>
      <c r="AJ860" s="366"/>
      <c r="AK860" s="394"/>
      <c r="AL860" s="430"/>
      <c r="AM860" s="395"/>
      <c r="AN860" s="529"/>
      <c r="AO860" s="394"/>
      <c r="AP860" s="430"/>
      <c r="AQ860" s="395"/>
      <c r="AR860" s="529"/>
      <c r="AS860" s="542"/>
      <c r="AT860" s="542"/>
    </row>
    <row r="861">
      <c r="A861" s="394"/>
      <c r="B861" s="430"/>
      <c r="C861" s="395"/>
      <c r="D861" s="529"/>
      <c r="E861" s="394"/>
      <c r="F861" s="430"/>
      <c r="G861" s="395"/>
      <c r="H861" s="529"/>
      <c r="I861" s="394"/>
      <c r="J861" s="430"/>
      <c r="K861" s="395"/>
      <c r="L861" s="529"/>
      <c r="M861" s="394"/>
      <c r="N861" s="430"/>
      <c r="O861" s="395"/>
      <c r="P861" s="529"/>
      <c r="Q861" s="547"/>
      <c r="R861" s="548"/>
      <c r="S861" s="549"/>
      <c r="T861" s="541"/>
      <c r="U861" s="547"/>
      <c r="V861" s="548"/>
      <c r="W861" s="549"/>
      <c r="X861" s="541"/>
      <c r="Y861" s="547"/>
      <c r="Z861" s="548"/>
      <c r="AA861" s="549"/>
      <c r="AB861" s="541"/>
      <c r="AC861" s="547"/>
      <c r="AD861" s="548"/>
      <c r="AE861" s="549"/>
      <c r="AF861" s="541"/>
      <c r="AG861" s="366"/>
      <c r="AH861" s="366"/>
      <c r="AI861" s="366"/>
      <c r="AJ861" s="366"/>
      <c r="AK861" s="394"/>
      <c r="AL861" s="430"/>
      <c r="AM861" s="395"/>
      <c r="AN861" s="529"/>
      <c r="AO861" s="394"/>
      <c r="AP861" s="430"/>
      <c r="AQ861" s="395"/>
      <c r="AR861" s="529"/>
      <c r="AS861" s="542"/>
      <c r="AT861" s="542"/>
    </row>
    <row r="862">
      <c r="A862" s="394"/>
      <c r="B862" s="430"/>
      <c r="C862" s="395"/>
      <c r="D862" s="529"/>
      <c r="E862" s="394"/>
      <c r="F862" s="430"/>
      <c r="G862" s="395"/>
      <c r="H862" s="529"/>
      <c r="I862" s="394"/>
      <c r="J862" s="430"/>
      <c r="K862" s="395"/>
      <c r="L862" s="529"/>
      <c r="M862" s="394"/>
      <c r="N862" s="430"/>
      <c r="O862" s="395"/>
      <c r="P862" s="529"/>
      <c r="Q862" s="547"/>
      <c r="R862" s="548"/>
      <c r="S862" s="549"/>
      <c r="T862" s="541"/>
      <c r="U862" s="547"/>
      <c r="V862" s="548"/>
      <c r="W862" s="549"/>
      <c r="X862" s="541"/>
      <c r="Y862" s="547"/>
      <c r="Z862" s="548"/>
      <c r="AA862" s="549"/>
      <c r="AB862" s="541"/>
      <c r="AC862" s="547"/>
      <c r="AD862" s="548"/>
      <c r="AE862" s="549"/>
      <c r="AF862" s="541"/>
      <c r="AG862" s="366"/>
      <c r="AH862" s="366"/>
      <c r="AI862" s="366"/>
      <c r="AJ862" s="366"/>
      <c r="AK862" s="394"/>
      <c r="AL862" s="430"/>
      <c r="AM862" s="395"/>
      <c r="AN862" s="529"/>
      <c r="AO862" s="394"/>
      <c r="AP862" s="430"/>
      <c r="AQ862" s="395"/>
      <c r="AR862" s="529"/>
      <c r="AS862" s="542"/>
      <c r="AT862" s="542"/>
    </row>
    <row r="863">
      <c r="A863" s="394"/>
      <c r="B863" s="430"/>
      <c r="C863" s="395"/>
      <c r="D863" s="529"/>
      <c r="E863" s="394"/>
      <c r="F863" s="430"/>
      <c r="G863" s="395"/>
      <c r="H863" s="529"/>
      <c r="I863" s="394"/>
      <c r="J863" s="430"/>
      <c r="K863" s="395"/>
      <c r="L863" s="529"/>
      <c r="M863" s="394"/>
      <c r="N863" s="430"/>
      <c r="O863" s="395"/>
      <c r="P863" s="529"/>
      <c r="Q863" s="547"/>
      <c r="R863" s="548"/>
      <c r="S863" s="549"/>
      <c r="T863" s="541"/>
      <c r="U863" s="547"/>
      <c r="V863" s="548"/>
      <c r="W863" s="549"/>
      <c r="X863" s="541"/>
      <c r="Y863" s="547"/>
      <c r="Z863" s="548"/>
      <c r="AA863" s="549"/>
      <c r="AB863" s="541"/>
      <c r="AC863" s="547"/>
      <c r="AD863" s="548"/>
      <c r="AE863" s="549"/>
      <c r="AF863" s="541"/>
      <c r="AG863" s="366"/>
      <c r="AH863" s="366"/>
      <c r="AI863" s="366"/>
      <c r="AJ863" s="366"/>
      <c r="AK863" s="394"/>
      <c r="AL863" s="430"/>
      <c r="AM863" s="395"/>
      <c r="AN863" s="529"/>
      <c r="AO863" s="394"/>
      <c r="AP863" s="430"/>
      <c r="AQ863" s="395"/>
      <c r="AR863" s="529"/>
      <c r="AS863" s="542"/>
      <c r="AT863" s="542"/>
    </row>
    <row r="864">
      <c r="A864" s="394"/>
      <c r="B864" s="430"/>
      <c r="C864" s="395"/>
      <c r="D864" s="529"/>
      <c r="E864" s="394"/>
      <c r="F864" s="430"/>
      <c r="G864" s="395"/>
      <c r="H864" s="529"/>
      <c r="I864" s="394"/>
      <c r="J864" s="430"/>
      <c r="K864" s="395"/>
      <c r="L864" s="529"/>
      <c r="M864" s="394"/>
      <c r="N864" s="430"/>
      <c r="O864" s="395"/>
      <c r="P864" s="529"/>
      <c r="Q864" s="547"/>
      <c r="R864" s="548"/>
      <c r="S864" s="549"/>
      <c r="T864" s="541"/>
      <c r="U864" s="547"/>
      <c r="V864" s="548"/>
      <c r="W864" s="549"/>
      <c r="X864" s="541"/>
      <c r="Y864" s="547"/>
      <c r="Z864" s="548"/>
      <c r="AA864" s="549"/>
      <c r="AB864" s="541"/>
      <c r="AC864" s="547"/>
      <c r="AD864" s="548"/>
      <c r="AE864" s="549"/>
      <c r="AF864" s="541"/>
      <c r="AG864" s="366"/>
      <c r="AH864" s="366"/>
      <c r="AI864" s="366"/>
      <c r="AJ864" s="366"/>
      <c r="AK864" s="394"/>
      <c r="AL864" s="430"/>
      <c r="AM864" s="395"/>
      <c r="AN864" s="529"/>
      <c r="AO864" s="394"/>
      <c r="AP864" s="430"/>
      <c r="AQ864" s="395"/>
      <c r="AR864" s="529"/>
      <c r="AS864" s="542"/>
      <c r="AT864" s="542"/>
    </row>
    <row r="865">
      <c r="A865" s="394"/>
      <c r="B865" s="430"/>
      <c r="C865" s="395"/>
      <c r="D865" s="529"/>
      <c r="E865" s="394"/>
      <c r="F865" s="430"/>
      <c r="G865" s="395"/>
      <c r="H865" s="529"/>
      <c r="I865" s="394"/>
      <c r="J865" s="430"/>
      <c r="K865" s="395"/>
      <c r="L865" s="529"/>
      <c r="M865" s="394"/>
      <c r="N865" s="430"/>
      <c r="O865" s="395"/>
      <c r="P865" s="529"/>
      <c r="Q865" s="547"/>
      <c r="R865" s="548"/>
      <c r="S865" s="549"/>
      <c r="T865" s="541"/>
      <c r="U865" s="547"/>
      <c r="V865" s="548"/>
      <c r="W865" s="549"/>
      <c r="X865" s="541"/>
      <c r="Y865" s="547"/>
      <c r="Z865" s="548"/>
      <c r="AA865" s="549"/>
      <c r="AB865" s="541"/>
      <c r="AC865" s="547"/>
      <c r="AD865" s="548"/>
      <c r="AE865" s="549"/>
      <c r="AF865" s="541"/>
      <c r="AG865" s="366"/>
      <c r="AH865" s="366"/>
      <c r="AI865" s="366"/>
      <c r="AJ865" s="366"/>
      <c r="AK865" s="394"/>
      <c r="AL865" s="430"/>
      <c r="AM865" s="395"/>
      <c r="AN865" s="529"/>
      <c r="AO865" s="394"/>
      <c r="AP865" s="430"/>
      <c r="AQ865" s="395"/>
      <c r="AR865" s="529"/>
      <c r="AS865" s="542"/>
      <c r="AT865" s="542"/>
    </row>
    <row r="866">
      <c r="A866" s="394"/>
      <c r="B866" s="430"/>
      <c r="C866" s="395"/>
      <c r="D866" s="529"/>
      <c r="E866" s="394"/>
      <c r="F866" s="430"/>
      <c r="G866" s="395"/>
      <c r="H866" s="529"/>
      <c r="I866" s="394"/>
      <c r="J866" s="430"/>
      <c r="K866" s="395"/>
      <c r="L866" s="529"/>
      <c r="M866" s="394"/>
      <c r="N866" s="430"/>
      <c r="O866" s="395"/>
      <c r="P866" s="529"/>
      <c r="Q866" s="547"/>
      <c r="R866" s="548"/>
      <c r="S866" s="549"/>
      <c r="T866" s="541"/>
      <c r="U866" s="547"/>
      <c r="V866" s="548"/>
      <c r="W866" s="549"/>
      <c r="X866" s="541"/>
      <c r="Y866" s="547"/>
      <c r="Z866" s="548"/>
      <c r="AA866" s="549"/>
      <c r="AB866" s="541"/>
      <c r="AC866" s="547"/>
      <c r="AD866" s="548"/>
      <c r="AE866" s="549"/>
      <c r="AF866" s="541"/>
      <c r="AG866" s="366"/>
      <c r="AH866" s="366"/>
      <c r="AI866" s="366"/>
      <c r="AJ866" s="366"/>
      <c r="AK866" s="394"/>
      <c r="AL866" s="430"/>
      <c r="AM866" s="395"/>
      <c r="AN866" s="529"/>
      <c r="AO866" s="394"/>
      <c r="AP866" s="430"/>
      <c r="AQ866" s="395"/>
      <c r="AR866" s="529"/>
      <c r="AS866" s="542"/>
      <c r="AT866" s="542"/>
    </row>
    <row r="867">
      <c r="A867" s="394"/>
      <c r="B867" s="430"/>
      <c r="C867" s="395"/>
      <c r="D867" s="529"/>
      <c r="E867" s="394"/>
      <c r="F867" s="430"/>
      <c r="G867" s="395"/>
      <c r="H867" s="529"/>
      <c r="I867" s="394"/>
      <c r="J867" s="430"/>
      <c r="K867" s="395"/>
      <c r="L867" s="529"/>
      <c r="M867" s="394"/>
      <c r="N867" s="430"/>
      <c r="O867" s="395"/>
      <c r="P867" s="529"/>
      <c r="Q867" s="547"/>
      <c r="R867" s="548"/>
      <c r="S867" s="549"/>
      <c r="T867" s="541"/>
      <c r="U867" s="547"/>
      <c r="V867" s="548"/>
      <c r="W867" s="549"/>
      <c r="X867" s="541"/>
      <c r="Y867" s="547"/>
      <c r="Z867" s="548"/>
      <c r="AA867" s="549"/>
      <c r="AB867" s="541"/>
      <c r="AC867" s="547"/>
      <c r="AD867" s="548"/>
      <c r="AE867" s="549"/>
      <c r="AF867" s="541"/>
      <c r="AG867" s="366"/>
      <c r="AH867" s="366"/>
      <c r="AI867" s="366"/>
      <c r="AJ867" s="366"/>
      <c r="AK867" s="394"/>
      <c r="AL867" s="430"/>
      <c r="AM867" s="395"/>
      <c r="AN867" s="529"/>
      <c r="AO867" s="394"/>
      <c r="AP867" s="430"/>
      <c r="AQ867" s="395"/>
      <c r="AR867" s="529"/>
      <c r="AS867" s="542"/>
      <c r="AT867" s="542"/>
    </row>
    <row r="868">
      <c r="A868" s="394"/>
      <c r="B868" s="430"/>
      <c r="C868" s="395"/>
      <c r="D868" s="529"/>
      <c r="E868" s="394"/>
      <c r="F868" s="430"/>
      <c r="G868" s="395"/>
      <c r="H868" s="529"/>
      <c r="I868" s="394"/>
      <c r="J868" s="430"/>
      <c r="K868" s="395"/>
      <c r="L868" s="529"/>
      <c r="M868" s="394"/>
      <c r="N868" s="430"/>
      <c r="O868" s="395"/>
      <c r="P868" s="529"/>
      <c r="Q868" s="547"/>
      <c r="R868" s="548"/>
      <c r="S868" s="549"/>
      <c r="T868" s="541"/>
      <c r="U868" s="547"/>
      <c r="V868" s="548"/>
      <c r="W868" s="549"/>
      <c r="X868" s="541"/>
      <c r="Y868" s="547"/>
      <c r="Z868" s="548"/>
      <c r="AA868" s="549"/>
      <c r="AB868" s="541"/>
      <c r="AC868" s="547"/>
      <c r="AD868" s="548"/>
      <c r="AE868" s="549"/>
      <c r="AF868" s="541"/>
      <c r="AG868" s="366"/>
      <c r="AH868" s="366"/>
      <c r="AI868" s="366"/>
      <c r="AJ868" s="366"/>
      <c r="AK868" s="394"/>
      <c r="AL868" s="430"/>
      <c r="AM868" s="395"/>
      <c r="AN868" s="529"/>
      <c r="AO868" s="394"/>
      <c r="AP868" s="430"/>
      <c r="AQ868" s="395"/>
      <c r="AR868" s="529"/>
      <c r="AS868" s="542"/>
      <c r="AT868" s="542"/>
    </row>
    <row r="869">
      <c r="A869" s="394"/>
      <c r="B869" s="430"/>
      <c r="C869" s="395"/>
      <c r="D869" s="529"/>
      <c r="E869" s="394"/>
      <c r="F869" s="430"/>
      <c r="G869" s="395"/>
      <c r="H869" s="529"/>
      <c r="I869" s="394"/>
      <c r="J869" s="430"/>
      <c r="K869" s="395"/>
      <c r="L869" s="529"/>
      <c r="M869" s="394"/>
      <c r="N869" s="430"/>
      <c r="O869" s="395"/>
      <c r="P869" s="529"/>
      <c r="Q869" s="547"/>
      <c r="R869" s="548"/>
      <c r="S869" s="549"/>
      <c r="T869" s="541"/>
      <c r="U869" s="547"/>
      <c r="V869" s="548"/>
      <c r="W869" s="549"/>
      <c r="X869" s="541"/>
      <c r="Y869" s="547"/>
      <c r="Z869" s="548"/>
      <c r="AA869" s="549"/>
      <c r="AB869" s="541"/>
      <c r="AC869" s="547"/>
      <c r="AD869" s="548"/>
      <c r="AE869" s="549"/>
      <c r="AF869" s="541"/>
      <c r="AG869" s="366"/>
      <c r="AH869" s="366"/>
      <c r="AI869" s="366"/>
      <c r="AJ869" s="366"/>
      <c r="AK869" s="394"/>
      <c r="AL869" s="430"/>
      <c r="AM869" s="395"/>
      <c r="AN869" s="529"/>
      <c r="AO869" s="394"/>
      <c r="AP869" s="430"/>
      <c r="AQ869" s="395"/>
      <c r="AR869" s="529"/>
      <c r="AS869" s="542"/>
      <c r="AT869" s="542"/>
    </row>
    <row r="870">
      <c r="A870" s="394"/>
      <c r="B870" s="430"/>
      <c r="C870" s="395"/>
      <c r="D870" s="529"/>
      <c r="E870" s="394"/>
      <c r="F870" s="430"/>
      <c r="G870" s="395"/>
      <c r="H870" s="529"/>
      <c r="I870" s="394"/>
      <c r="J870" s="430"/>
      <c r="K870" s="395"/>
      <c r="L870" s="529"/>
      <c r="M870" s="394"/>
      <c r="N870" s="430"/>
      <c r="O870" s="395"/>
      <c r="P870" s="529"/>
      <c r="Q870" s="547"/>
      <c r="R870" s="548"/>
      <c r="S870" s="549"/>
      <c r="T870" s="541"/>
      <c r="U870" s="547"/>
      <c r="V870" s="548"/>
      <c r="W870" s="549"/>
      <c r="X870" s="541"/>
      <c r="Y870" s="547"/>
      <c r="Z870" s="548"/>
      <c r="AA870" s="549"/>
      <c r="AB870" s="541"/>
      <c r="AC870" s="547"/>
      <c r="AD870" s="548"/>
      <c r="AE870" s="549"/>
      <c r="AF870" s="541"/>
      <c r="AG870" s="366"/>
      <c r="AH870" s="366"/>
      <c r="AI870" s="366"/>
      <c r="AJ870" s="366"/>
      <c r="AK870" s="394"/>
      <c r="AL870" s="430"/>
      <c r="AM870" s="395"/>
      <c r="AN870" s="529"/>
      <c r="AO870" s="394"/>
      <c r="AP870" s="430"/>
      <c r="AQ870" s="395"/>
      <c r="AR870" s="529"/>
      <c r="AS870" s="542"/>
      <c r="AT870" s="542"/>
    </row>
    <row r="871">
      <c r="A871" s="394"/>
      <c r="B871" s="430"/>
      <c r="C871" s="395"/>
      <c r="D871" s="529"/>
      <c r="E871" s="394"/>
      <c r="F871" s="430"/>
      <c r="G871" s="395"/>
      <c r="H871" s="529"/>
      <c r="I871" s="394"/>
      <c r="J871" s="430"/>
      <c r="K871" s="395"/>
      <c r="L871" s="529"/>
      <c r="M871" s="394"/>
      <c r="N871" s="430"/>
      <c r="O871" s="395"/>
      <c r="P871" s="529"/>
      <c r="Q871" s="547"/>
      <c r="R871" s="548"/>
      <c r="S871" s="549"/>
      <c r="T871" s="541"/>
      <c r="U871" s="547"/>
      <c r="V871" s="548"/>
      <c r="W871" s="549"/>
      <c r="X871" s="541"/>
      <c r="Y871" s="547"/>
      <c r="Z871" s="548"/>
      <c r="AA871" s="549"/>
      <c r="AB871" s="541"/>
      <c r="AC871" s="547"/>
      <c r="AD871" s="548"/>
      <c r="AE871" s="549"/>
      <c r="AF871" s="541"/>
      <c r="AG871" s="366"/>
      <c r="AH871" s="366"/>
      <c r="AI871" s="366"/>
      <c r="AJ871" s="366"/>
      <c r="AK871" s="394"/>
      <c r="AL871" s="430"/>
      <c r="AM871" s="395"/>
      <c r="AN871" s="529"/>
      <c r="AO871" s="394"/>
      <c r="AP871" s="430"/>
      <c r="AQ871" s="395"/>
      <c r="AR871" s="529"/>
      <c r="AS871" s="542"/>
      <c r="AT871" s="542"/>
    </row>
    <row r="872">
      <c r="A872" s="394"/>
      <c r="B872" s="430"/>
      <c r="C872" s="395"/>
      <c r="D872" s="529"/>
      <c r="E872" s="394"/>
      <c r="F872" s="430"/>
      <c r="G872" s="395"/>
      <c r="H872" s="529"/>
      <c r="I872" s="394"/>
      <c r="J872" s="430"/>
      <c r="K872" s="395"/>
      <c r="L872" s="529"/>
      <c r="M872" s="394"/>
      <c r="N872" s="430"/>
      <c r="O872" s="395"/>
      <c r="P872" s="529"/>
      <c r="Q872" s="547"/>
      <c r="R872" s="548"/>
      <c r="S872" s="549"/>
      <c r="T872" s="541"/>
      <c r="U872" s="547"/>
      <c r="V872" s="548"/>
      <c r="W872" s="549"/>
      <c r="X872" s="541"/>
      <c r="Y872" s="547"/>
      <c r="Z872" s="548"/>
      <c r="AA872" s="549"/>
      <c r="AB872" s="541"/>
      <c r="AC872" s="547"/>
      <c r="AD872" s="548"/>
      <c r="AE872" s="549"/>
      <c r="AF872" s="541"/>
      <c r="AG872" s="366"/>
      <c r="AH872" s="366"/>
      <c r="AI872" s="366"/>
      <c r="AJ872" s="366"/>
      <c r="AK872" s="394"/>
      <c r="AL872" s="430"/>
      <c r="AM872" s="395"/>
      <c r="AN872" s="529"/>
      <c r="AO872" s="394"/>
      <c r="AP872" s="430"/>
      <c r="AQ872" s="395"/>
      <c r="AR872" s="529"/>
      <c r="AS872" s="542"/>
      <c r="AT872" s="542"/>
    </row>
    <row r="873">
      <c r="A873" s="394"/>
      <c r="B873" s="430"/>
      <c r="C873" s="395"/>
      <c r="D873" s="529"/>
      <c r="E873" s="394"/>
      <c r="F873" s="430"/>
      <c r="G873" s="395"/>
      <c r="H873" s="529"/>
      <c r="I873" s="394"/>
      <c r="J873" s="430"/>
      <c r="K873" s="395"/>
      <c r="L873" s="529"/>
      <c r="M873" s="394"/>
      <c r="N873" s="430"/>
      <c r="O873" s="395"/>
      <c r="P873" s="529"/>
      <c r="Q873" s="547"/>
      <c r="R873" s="548"/>
      <c r="S873" s="549"/>
      <c r="T873" s="541"/>
      <c r="U873" s="547"/>
      <c r="V873" s="548"/>
      <c r="W873" s="549"/>
      <c r="X873" s="541"/>
      <c r="Y873" s="547"/>
      <c r="Z873" s="548"/>
      <c r="AA873" s="549"/>
      <c r="AB873" s="541"/>
      <c r="AC873" s="547"/>
      <c r="AD873" s="548"/>
      <c r="AE873" s="549"/>
      <c r="AF873" s="541"/>
      <c r="AG873" s="366"/>
      <c r="AH873" s="366"/>
      <c r="AI873" s="366"/>
      <c r="AJ873" s="366"/>
      <c r="AK873" s="394"/>
      <c r="AL873" s="430"/>
      <c r="AM873" s="395"/>
      <c r="AN873" s="529"/>
      <c r="AO873" s="394"/>
      <c r="AP873" s="430"/>
      <c r="AQ873" s="395"/>
      <c r="AR873" s="529"/>
      <c r="AS873" s="542"/>
      <c r="AT873" s="542"/>
    </row>
    <row r="874">
      <c r="A874" s="394"/>
      <c r="B874" s="430"/>
      <c r="C874" s="395"/>
      <c r="D874" s="529"/>
      <c r="E874" s="394"/>
      <c r="F874" s="430"/>
      <c r="G874" s="395"/>
      <c r="H874" s="529"/>
      <c r="I874" s="394"/>
      <c r="J874" s="430"/>
      <c r="K874" s="395"/>
      <c r="L874" s="529"/>
      <c r="M874" s="394"/>
      <c r="N874" s="430"/>
      <c r="O874" s="395"/>
      <c r="P874" s="529"/>
      <c r="Q874" s="547"/>
      <c r="R874" s="548"/>
      <c r="S874" s="549"/>
      <c r="T874" s="541"/>
      <c r="U874" s="547"/>
      <c r="V874" s="548"/>
      <c r="W874" s="549"/>
      <c r="X874" s="541"/>
      <c r="Y874" s="547"/>
      <c r="Z874" s="548"/>
      <c r="AA874" s="549"/>
      <c r="AB874" s="541"/>
      <c r="AC874" s="547"/>
      <c r="AD874" s="548"/>
      <c r="AE874" s="549"/>
      <c r="AF874" s="541"/>
      <c r="AG874" s="366"/>
      <c r="AH874" s="366"/>
      <c r="AI874" s="366"/>
      <c r="AJ874" s="366"/>
      <c r="AK874" s="394"/>
      <c r="AL874" s="430"/>
      <c r="AM874" s="395"/>
      <c r="AN874" s="529"/>
      <c r="AO874" s="394"/>
      <c r="AP874" s="430"/>
      <c r="AQ874" s="395"/>
      <c r="AR874" s="529"/>
      <c r="AS874" s="542"/>
      <c r="AT874" s="542"/>
    </row>
    <row r="875">
      <c r="A875" s="394"/>
      <c r="B875" s="430"/>
      <c r="C875" s="395"/>
      <c r="D875" s="529"/>
      <c r="E875" s="394"/>
      <c r="F875" s="430"/>
      <c r="G875" s="395"/>
      <c r="H875" s="529"/>
      <c r="I875" s="394"/>
      <c r="J875" s="430"/>
      <c r="K875" s="395"/>
      <c r="L875" s="529"/>
      <c r="M875" s="394"/>
      <c r="N875" s="430"/>
      <c r="O875" s="395"/>
      <c r="P875" s="529"/>
      <c r="Q875" s="547"/>
      <c r="R875" s="548"/>
      <c r="S875" s="549"/>
      <c r="T875" s="541"/>
      <c r="U875" s="547"/>
      <c r="V875" s="548"/>
      <c r="W875" s="549"/>
      <c r="X875" s="541"/>
      <c r="Y875" s="547"/>
      <c r="Z875" s="548"/>
      <c r="AA875" s="549"/>
      <c r="AB875" s="541"/>
      <c r="AC875" s="547"/>
      <c r="AD875" s="548"/>
      <c r="AE875" s="549"/>
      <c r="AF875" s="541"/>
      <c r="AG875" s="366"/>
      <c r="AH875" s="366"/>
      <c r="AI875" s="366"/>
      <c r="AJ875" s="366"/>
      <c r="AK875" s="394"/>
      <c r="AL875" s="430"/>
      <c r="AM875" s="395"/>
      <c r="AN875" s="529"/>
      <c r="AO875" s="394"/>
      <c r="AP875" s="430"/>
      <c r="AQ875" s="395"/>
      <c r="AR875" s="529"/>
      <c r="AS875" s="542"/>
      <c r="AT875" s="542"/>
    </row>
    <row r="876">
      <c r="A876" s="394"/>
      <c r="B876" s="430"/>
      <c r="C876" s="395"/>
      <c r="D876" s="529"/>
      <c r="E876" s="394"/>
      <c r="F876" s="430"/>
      <c r="G876" s="395"/>
      <c r="H876" s="529"/>
      <c r="I876" s="394"/>
      <c r="J876" s="430"/>
      <c r="K876" s="395"/>
      <c r="L876" s="529"/>
      <c r="M876" s="394"/>
      <c r="N876" s="430"/>
      <c r="O876" s="395"/>
      <c r="P876" s="529"/>
      <c r="Q876" s="547"/>
      <c r="R876" s="548"/>
      <c r="S876" s="549"/>
      <c r="T876" s="541"/>
      <c r="U876" s="547"/>
      <c r="V876" s="548"/>
      <c r="W876" s="549"/>
      <c r="X876" s="541"/>
      <c r="Y876" s="547"/>
      <c r="Z876" s="548"/>
      <c r="AA876" s="549"/>
      <c r="AB876" s="541"/>
      <c r="AC876" s="547"/>
      <c r="AD876" s="548"/>
      <c r="AE876" s="549"/>
      <c r="AF876" s="541"/>
      <c r="AG876" s="366"/>
      <c r="AH876" s="366"/>
      <c r="AI876" s="366"/>
      <c r="AJ876" s="366"/>
      <c r="AK876" s="394"/>
      <c r="AL876" s="430"/>
      <c r="AM876" s="395"/>
      <c r="AN876" s="529"/>
      <c r="AO876" s="394"/>
      <c r="AP876" s="430"/>
      <c r="AQ876" s="395"/>
      <c r="AR876" s="529"/>
      <c r="AS876" s="542"/>
      <c r="AT876" s="542"/>
    </row>
    <row r="877">
      <c r="A877" s="394"/>
      <c r="B877" s="430"/>
      <c r="C877" s="395"/>
      <c r="D877" s="529"/>
      <c r="E877" s="394"/>
      <c r="F877" s="430"/>
      <c r="G877" s="395"/>
      <c r="H877" s="529"/>
      <c r="I877" s="394"/>
      <c r="J877" s="430"/>
      <c r="K877" s="395"/>
      <c r="L877" s="529"/>
      <c r="M877" s="394"/>
      <c r="N877" s="430"/>
      <c r="O877" s="395"/>
      <c r="P877" s="529"/>
      <c r="Q877" s="547"/>
      <c r="R877" s="548"/>
      <c r="S877" s="549"/>
      <c r="T877" s="541"/>
      <c r="U877" s="547"/>
      <c r="V877" s="548"/>
      <c r="W877" s="549"/>
      <c r="X877" s="541"/>
      <c r="Y877" s="547"/>
      <c r="Z877" s="548"/>
      <c r="AA877" s="549"/>
      <c r="AB877" s="541"/>
      <c r="AC877" s="547"/>
      <c r="AD877" s="548"/>
      <c r="AE877" s="549"/>
      <c r="AF877" s="541"/>
      <c r="AG877" s="366"/>
      <c r="AH877" s="366"/>
      <c r="AI877" s="366"/>
      <c r="AJ877" s="366"/>
      <c r="AK877" s="394"/>
      <c r="AL877" s="430"/>
      <c r="AM877" s="395"/>
      <c r="AN877" s="529"/>
      <c r="AO877" s="394"/>
      <c r="AP877" s="430"/>
      <c r="AQ877" s="395"/>
      <c r="AR877" s="529"/>
      <c r="AS877" s="542"/>
      <c r="AT877" s="542"/>
    </row>
    <row r="878">
      <c r="A878" s="394"/>
      <c r="B878" s="430"/>
      <c r="C878" s="395"/>
      <c r="D878" s="529"/>
      <c r="E878" s="394"/>
      <c r="F878" s="430"/>
      <c r="G878" s="395"/>
      <c r="H878" s="529"/>
      <c r="I878" s="394"/>
      <c r="J878" s="430"/>
      <c r="K878" s="395"/>
      <c r="L878" s="529"/>
      <c r="M878" s="394"/>
      <c r="N878" s="430"/>
      <c r="O878" s="395"/>
      <c r="P878" s="529"/>
      <c r="Q878" s="547"/>
      <c r="R878" s="548"/>
      <c r="S878" s="549"/>
      <c r="T878" s="541"/>
      <c r="U878" s="547"/>
      <c r="V878" s="548"/>
      <c r="W878" s="549"/>
      <c r="X878" s="541"/>
      <c r="Y878" s="547"/>
      <c r="Z878" s="548"/>
      <c r="AA878" s="549"/>
      <c r="AB878" s="541"/>
      <c r="AC878" s="547"/>
      <c r="AD878" s="548"/>
      <c r="AE878" s="549"/>
      <c r="AF878" s="541"/>
      <c r="AG878" s="366"/>
      <c r="AH878" s="366"/>
      <c r="AI878" s="366"/>
      <c r="AJ878" s="366"/>
      <c r="AK878" s="394"/>
      <c r="AL878" s="430"/>
      <c r="AM878" s="395"/>
      <c r="AN878" s="529"/>
      <c r="AO878" s="394"/>
      <c r="AP878" s="430"/>
      <c r="AQ878" s="395"/>
      <c r="AR878" s="529"/>
      <c r="AS878" s="542"/>
      <c r="AT878" s="542"/>
    </row>
    <row r="879">
      <c r="A879" s="394"/>
      <c r="B879" s="430"/>
      <c r="C879" s="395"/>
      <c r="D879" s="529"/>
      <c r="E879" s="394"/>
      <c r="F879" s="430"/>
      <c r="G879" s="395"/>
      <c r="H879" s="529"/>
      <c r="I879" s="394"/>
      <c r="J879" s="430"/>
      <c r="K879" s="395"/>
      <c r="L879" s="529"/>
      <c r="M879" s="394"/>
      <c r="N879" s="430"/>
      <c r="O879" s="395"/>
      <c r="P879" s="529"/>
      <c r="Q879" s="547"/>
      <c r="R879" s="548"/>
      <c r="S879" s="549"/>
      <c r="T879" s="541"/>
      <c r="U879" s="547"/>
      <c r="V879" s="548"/>
      <c r="W879" s="549"/>
      <c r="X879" s="541"/>
      <c r="Y879" s="547"/>
      <c r="Z879" s="548"/>
      <c r="AA879" s="549"/>
      <c r="AB879" s="541"/>
      <c r="AC879" s="547"/>
      <c r="AD879" s="548"/>
      <c r="AE879" s="549"/>
      <c r="AF879" s="541"/>
      <c r="AG879" s="366"/>
      <c r="AH879" s="366"/>
      <c r="AI879" s="366"/>
      <c r="AJ879" s="366"/>
      <c r="AK879" s="394"/>
      <c r="AL879" s="430"/>
      <c r="AM879" s="395"/>
      <c r="AN879" s="529"/>
      <c r="AO879" s="394"/>
      <c r="AP879" s="430"/>
      <c r="AQ879" s="395"/>
      <c r="AR879" s="529"/>
      <c r="AS879" s="542"/>
      <c r="AT879" s="542"/>
    </row>
    <row r="880">
      <c r="A880" s="394"/>
      <c r="B880" s="430"/>
      <c r="C880" s="395"/>
      <c r="D880" s="529"/>
      <c r="E880" s="394"/>
      <c r="F880" s="430"/>
      <c r="G880" s="395"/>
      <c r="H880" s="529"/>
      <c r="I880" s="394"/>
      <c r="J880" s="430"/>
      <c r="K880" s="395"/>
      <c r="L880" s="529"/>
      <c r="M880" s="394"/>
      <c r="N880" s="430"/>
      <c r="O880" s="395"/>
      <c r="P880" s="529"/>
      <c r="Q880" s="547"/>
      <c r="R880" s="548"/>
      <c r="S880" s="549"/>
      <c r="T880" s="541"/>
      <c r="U880" s="547"/>
      <c r="V880" s="548"/>
      <c r="W880" s="549"/>
      <c r="X880" s="541"/>
      <c r="Y880" s="547"/>
      <c r="Z880" s="548"/>
      <c r="AA880" s="549"/>
      <c r="AB880" s="541"/>
      <c r="AC880" s="547"/>
      <c r="AD880" s="548"/>
      <c r="AE880" s="549"/>
      <c r="AF880" s="541"/>
      <c r="AG880" s="366"/>
      <c r="AH880" s="366"/>
      <c r="AI880" s="366"/>
      <c r="AJ880" s="366"/>
      <c r="AK880" s="394"/>
      <c r="AL880" s="430"/>
      <c r="AM880" s="395"/>
      <c r="AN880" s="529"/>
      <c r="AO880" s="394"/>
      <c r="AP880" s="430"/>
      <c r="AQ880" s="395"/>
      <c r="AR880" s="529"/>
      <c r="AS880" s="542"/>
      <c r="AT880" s="542"/>
    </row>
    <row r="881">
      <c r="A881" s="394"/>
      <c r="B881" s="430"/>
      <c r="C881" s="395"/>
      <c r="D881" s="529"/>
      <c r="E881" s="394"/>
      <c r="F881" s="430"/>
      <c r="G881" s="395"/>
      <c r="H881" s="529"/>
      <c r="I881" s="394"/>
      <c r="J881" s="430"/>
      <c r="K881" s="395"/>
      <c r="L881" s="529"/>
      <c r="M881" s="394"/>
      <c r="N881" s="430"/>
      <c r="O881" s="395"/>
      <c r="P881" s="529"/>
      <c r="Q881" s="547"/>
      <c r="R881" s="548"/>
      <c r="S881" s="549"/>
      <c r="T881" s="541"/>
      <c r="U881" s="547"/>
      <c r="V881" s="548"/>
      <c r="W881" s="549"/>
      <c r="X881" s="541"/>
      <c r="Y881" s="547"/>
      <c r="Z881" s="548"/>
      <c r="AA881" s="549"/>
      <c r="AB881" s="541"/>
      <c r="AC881" s="547"/>
      <c r="AD881" s="548"/>
      <c r="AE881" s="549"/>
      <c r="AF881" s="541"/>
      <c r="AG881" s="366"/>
      <c r="AH881" s="366"/>
      <c r="AI881" s="366"/>
      <c r="AJ881" s="366"/>
      <c r="AK881" s="394"/>
      <c r="AL881" s="430"/>
      <c r="AM881" s="395"/>
      <c r="AN881" s="529"/>
      <c r="AO881" s="394"/>
      <c r="AP881" s="430"/>
      <c r="AQ881" s="395"/>
      <c r="AR881" s="529"/>
      <c r="AS881" s="542"/>
      <c r="AT881" s="542"/>
    </row>
    <row r="882">
      <c r="A882" s="394"/>
      <c r="B882" s="430"/>
      <c r="C882" s="395"/>
      <c r="D882" s="529"/>
      <c r="E882" s="394"/>
      <c r="F882" s="430"/>
      <c r="G882" s="395"/>
      <c r="H882" s="529"/>
      <c r="I882" s="394"/>
      <c r="J882" s="430"/>
      <c r="K882" s="395"/>
      <c r="L882" s="529"/>
      <c r="M882" s="394"/>
      <c r="N882" s="430"/>
      <c r="O882" s="395"/>
      <c r="P882" s="529"/>
      <c r="Q882" s="547"/>
      <c r="R882" s="548"/>
      <c r="S882" s="549"/>
      <c r="T882" s="541"/>
      <c r="U882" s="547"/>
      <c r="V882" s="548"/>
      <c r="W882" s="549"/>
      <c r="X882" s="541"/>
      <c r="Y882" s="547"/>
      <c r="Z882" s="548"/>
      <c r="AA882" s="549"/>
      <c r="AB882" s="541"/>
      <c r="AC882" s="547"/>
      <c r="AD882" s="548"/>
      <c r="AE882" s="549"/>
      <c r="AF882" s="541"/>
      <c r="AG882" s="366"/>
      <c r="AH882" s="366"/>
      <c r="AI882" s="366"/>
      <c r="AJ882" s="366"/>
      <c r="AK882" s="394"/>
      <c r="AL882" s="430"/>
      <c r="AM882" s="395"/>
      <c r="AN882" s="529"/>
      <c r="AO882" s="394"/>
      <c r="AP882" s="430"/>
      <c r="AQ882" s="395"/>
      <c r="AR882" s="529"/>
      <c r="AS882" s="542"/>
      <c r="AT882" s="542"/>
    </row>
    <row r="883">
      <c r="A883" s="394"/>
      <c r="B883" s="430"/>
      <c r="C883" s="395"/>
      <c r="D883" s="529"/>
      <c r="E883" s="394"/>
      <c r="F883" s="430"/>
      <c r="G883" s="395"/>
      <c r="H883" s="529"/>
      <c r="I883" s="394"/>
      <c r="J883" s="430"/>
      <c r="K883" s="395"/>
      <c r="L883" s="529"/>
      <c r="M883" s="394"/>
      <c r="N883" s="430"/>
      <c r="O883" s="395"/>
      <c r="P883" s="529"/>
      <c r="Q883" s="547"/>
      <c r="R883" s="548"/>
      <c r="S883" s="549"/>
      <c r="T883" s="541"/>
      <c r="U883" s="547"/>
      <c r="V883" s="548"/>
      <c r="W883" s="549"/>
      <c r="X883" s="541"/>
      <c r="Y883" s="547"/>
      <c r="Z883" s="548"/>
      <c r="AA883" s="549"/>
      <c r="AB883" s="541"/>
      <c r="AC883" s="547"/>
      <c r="AD883" s="548"/>
      <c r="AE883" s="549"/>
      <c r="AF883" s="541"/>
      <c r="AG883" s="366"/>
      <c r="AH883" s="366"/>
      <c r="AI883" s="366"/>
      <c r="AJ883" s="366"/>
      <c r="AK883" s="394"/>
      <c r="AL883" s="430"/>
      <c r="AM883" s="395"/>
      <c r="AN883" s="529"/>
      <c r="AO883" s="394"/>
      <c r="AP883" s="430"/>
      <c r="AQ883" s="395"/>
      <c r="AR883" s="529"/>
      <c r="AS883" s="542"/>
      <c r="AT883" s="542"/>
    </row>
    <row r="884">
      <c r="A884" s="394"/>
      <c r="B884" s="430"/>
      <c r="C884" s="395"/>
      <c r="D884" s="529"/>
      <c r="E884" s="394"/>
      <c r="F884" s="430"/>
      <c r="G884" s="395"/>
      <c r="H884" s="529"/>
      <c r="I884" s="394"/>
      <c r="J884" s="430"/>
      <c r="K884" s="395"/>
      <c r="L884" s="529"/>
      <c r="M884" s="394"/>
      <c r="N884" s="430"/>
      <c r="O884" s="395"/>
      <c r="P884" s="529"/>
      <c r="Q884" s="547"/>
      <c r="R884" s="548"/>
      <c r="S884" s="549"/>
      <c r="T884" s="541"/>
      <c r="U884" s="547"/>
      <c r="V884" s="548"/>
      <c r="W884" s="549"/>
      <c r="X884" s="541"/>
      <c r="Y884" s="547"/>
      <c r="Z884" s="548"/>
      <c r="AA884" s="549"/>
      <c r="AB884" s="541"/>
      <c r="AC884" s="547"/>
      <c r="AD884" s="548"/>
      <c r="AE884" s="549"/>
      <c r="AF884" s="541"/>
      <c r="AG884" s="366"/>
      <c r="AH884" s="366"/>
      <c r="AI884" s="366"/>
      <c r="AJ884" s="366"/>
      <c r="AK884" s="394"/>
      <c r="AL884" s="430"/>
      <c r="AM884" s="395"/>
      <c r="AN884" s="529"/>
      <c r="AO884" s="394"/>
      <c r="AP884" s="430"/>
      <c r="AQ884" s="395"/>
      <c r="AR884" s="529"/>
      <c r="AS884" s="542"/>
      <c r="AT884" s="542"/>
    </row>
    <row r="885">
      <c r="A885" s="394"/>
      <c r="B885" s="430"/>
      <c r="C885" s="395"/>
      <c r="D885" s="529"/>
      <c r="E885" s="394"/>
      <c r="F885" s="430"/>
      <c r="G885" s="395"/>
      <c r="H885" s="529"/>
      <c r="I885" s="394"/>
      <c r="J885" s="430"/>
      <c r="K885" s="395"/>
      <c r="L885" s="529"/>
      <c r="M885" s="394"/>
      <c r="N885" s="430"/>
      <c r="O885" s="395"/>
      <c r="P885" s="529"/>
      <c r="Q885" s="547"/>
      <c r="R885" s="548"/>
      <c r="S885" s="549"/>
      <c r="T885" s="541"/>
      <c r="U885" s="547"/>
      <c r="V885" s="548"/>
      <c r="W885" s="549"/>
      <c r="X885" s="541"/>
      <c r="Y885" s="547"/>
      <c r="Z885" s="548"/>
      <c r="AA885" s="549"/>
      <c r="AB885" s="541"/>
      <c r="AC885" s="547"/>
      <c r="AD885" s="548"/>
      <c r="AE885" s="549"/>
      <c r="AF885" s="541"/>
      <c r="AG885" s="366"/>
      <c r="AH885" s="366"/>
      <c r="AI885" s="366"/>
      <c r="AJ885" s="366"/>
      <c r="AK885" s="394"/>
      <c r="AL885" s="430"/>
      <c r="AM885" s="395"/>
      <c r="AN885" s="529"/>
      <c r="AO885" s="394"/>
      <c r="AP885" s="430"/>
      <c r="AQ885" s="395"/>
      <c r="AR885" s="529"/>
      <c r="AS885" s="542"/>
      <c r="AT885" s="542"/>
    </row>
    <row r="886">
      <c r="A886" s="394"/>
      <c r="B886" s="430"/>
      <c r="C886" s="395"/>
      <c r="D886" s="529"/>
      <c r="E886" s="394"/>
      <c r="F886" s="430"/>
      <c r="G886" s="395"/>
      <c r="H886" s="529"/>
      <c r="I886" s="394"/>
      <c r="J886" s="430"/>
      <c r="K886" s="395"/>
      <c r="L886" s="529"/>
      <c r="M886" s="394"/>
      <c r="N886" s="430"/>
      <c r="O886" s="395"/>
      <c r="P886" s="529"/>
      <c r="Q886" s="547"/>
      <c r="R886" s="548"/>
      <c r="S886" s="549"/>
      <c r="T886" s="541"/>
      <c r="U886" s="547"/>
      <c r="V886" s="548"/>
      <c r="W886" s="549"/>
      <c r="X886" s="541"/>
      <c r="Y886" s="547"/>
      <c r="Z886" s="548"/>
      <c r="AA886" s="549"/>
      <c r="AB886" s="541"/>
      <c r="AC886" s="547"/>
      <c r="AD886" s="548"/>
      <c r="AE886" s="549"/>
      <c r="AF886" s="541"/>
      <c r="AG886" s="366"/>
      <c r="AH886" s="366"/>
      <c r="AI886" s="366"/>
      <c r="AJ886" s="366"/>
      <c r="AK886" s="394"/>
      <c r="AL886" s="430"/>
      <c r="AM886" s="395"/>
      <c r="AN886" s="529"/>
      <c r="AO886" s="394"/>
      <c r="AP886" s="430"/>
      <c r="AQ886" s="395"/>
      <c r="AR886" s="529"/>
      <c r="AS886" s="542"/>
      <c r="AT886" s="542"/>
    </row>
    <row r="887">
      <c r="A887" s="394"/>
      <c r="B887" s="430"/>
      <c r="C887" s="395"/>
      <c r="D887" s="529"/>
      <c r="E887" s="394"/>
      <c r="F887" s="430"/>
      <c r="G887" s="395"/>
      <c r="H887" s="529"/>
      <c r="I887" s="394"/>
      <c r="J887" s="430"/>
      <c r="K887" s="395"/>
      <c r="L887" s="529"/>
      <c r="M887" s="394"/>
      <c r="N887" s="430"/>
      <c r="O887" s="395"/>
      <c r="P887" s="529"/>
      <c r="Q887" s="547"/>
      <c r="R887" s="548"/>
      <c r="S887" s="549"/>
      <c r="T887" s="541"/>
      <c r="U887" s="547"/>
      <c r="V887" s="548"/>
      <c r="W887" s="549"/>
      <c r="X887" s="541"/>
      <c r="Y887" s="547"/>
      <c r="Z887" s="548"/>
      <c r="AA887" s="549"/>
      <c r="AB887" s="541"/>
      <c r="AC887" s="547"/>
      <c r="AD887" s="548"/>
      <c r="AE887" s="549"/>
      <c r="AF887" s="541"/>
      <c r="AG887" s="366"/>
      <c r="AH887" s="366"/>
      <c r="AI887" s="366"/>
      <c r="AJ887" s="366"/>
      <c r="AK887" s="394"/>
      <c r="AL887" s="430"/>
      <c r="AM887" s="395"/>
      <c r="AN887" s="529"/>
      <c r="AO887" s="394"/>
      <c r="AP887" s="430"/>
      <c r="AQ887" s="395"/>
      <c r="AR887" s="529"/>
      <c r="AS887" s="542"/>
      <c r="AT887" s="542"/>
    </row>
    <row r="888">
      <c r="A888" s="394"/>
      <c r="B888" s="430"/>
      <c r="C888" s="395"/>
      <c r="D888" s="529"/>
      <c r="E888" s="394"/>
      <c r="F888" s="430"/>
      <c r="G888" s="395"/>
      <c r="H888" s="529"/>
      <c r="I888" s="394"/>
      <c r="J888" s="430"/>
      <c r="K888" s="395"/>
      <c r="L888" s="529"/>
      <c r="M888" s="394"/>
      <c r="N888" s="430"/>
      <c r="O888" s="395"/>
      <c r="P888" s="529"/>
      <c r="Q888" s="547"/>
      <c r="R888" s="548"/>
      <c r="S888" s="549"/>
      <c r="T888" s="541"/>
      <c r="U888" s="547"/>
      <c r="V888" s="548"/>
      <c r="W888" s="549"/>
      <c r="X888" s="541"/>
      <c r="Y888" s="547"/>
      <c r="Z888" s="548"/>
      <c r="AA888" s="549"/>
      <c r="AB888" s="541"/>
      <c r="AC888" s="547"/>
      <c r="AD888" s="548"/>
      <c r="AE888" s="549"/>
      <c r="AF888" s="541"/>
      <c r="AG888" s="366"/>
      <c r="AH888" s="366"/>
      <c r="AI888" s="366"/>
      <c r="AJ888" s="366"/>
      <c r="AK888" s="394"/>
      <c r="AL888" s="430"/>
      <c r="AM888" s="395"/>
      <c r="AN888" s="529"/>
      <c r="AO888" s="394"/>
      <c r="AP888" s="430"/>
      <c r="AQ888" s="395"/>
      <c r="AR888" s="529"/>
      <c r="AS888" s="542"/>
      <c r="AT888" s="542"/>
    </row>
    <row r="889">
      <c r="A889" s="394"/>
      <c r="B889" s="430"/>
      <c r="C889" s="395"/>
      <c r="D889" s="529"/>
      <c r="E889" s="394"/>
      <c r="F889" s="430"/>
      <c r="G889" s="395"/>
      <c r="H889" s="529"/>
      <c r="I889" s="394"/>
      <c r="J889" s="430"/>
      <c r="K889" s="395"/>
      <c r="L889" s="529"/>
      <c r="M889" s="394"/>
      <c r="N889" s="430"/>
      <c r="O889" s="395"/>
      <c r="P889" s="529"/>
      <c r="Q889" s="547"/>
      <c r="R889" s="548"/>
      <c r="S889" s="549"/>
      <c r="T889" s="541"/>
      <c r="U889" s="547"/>
      <c r="V889" s="548"/>
      <c r="W889" s="549"/>
      <c r="X889" s="541"/>
      <c r="Y889" s="547"/>
      <c r="Z889" s="548"/>
      <c r="AA889" s="549"/>
      <c r="AB889" s="541"/>
      <c r="AC889" s="547"/>
      <c r="AD889" s="548"/>
      <c r="AE889" s="549"/>
      <c r="AF889" s="541"/>
      <c r="AG889" s="366"/>
      <c r="AH889" s="366"/>
      <c r="AI889" s="366"/>
      <c r="AJ889" s="366"/>
      <c r="AK889" s="394"/>
      <c r="AL889" s="430"/>
      <c r="AM889" s="395"/>
      <c r="AN889" s="529"/>
      <c r="AO889" s="394"/>
      <c r="AP889" s="430"/>
      <c r="AQ889" s="395"/>
      <c r="AR889" s="529"/>
      <c r="AS889" s="542"/>
      <c r="AT889" s="542"/>
    </row>
    <row r="890">
      <c r="A890" s="394"/>
      <c r="B890" s="430"/>
      <c r="C890" s="395"/>
      <c r="D890" s="529"/>
      <c r="E890" s="394"/>
      <c r="F890" s="430"/>
      <c r="G890" s="395"/>
      <c r="H890" s="529"/>
      <c r="I890" s="394"/>
      <c r="J890" s="430"/>
      <c r="K890" s="395"/>
      <c r="L890" s="529"/>
      <c r="M890" s="394"/>
      <c r="N890" s="430"/>
      <c r="O890" s="395"/>
      <c r="P890" s="529"/>
      <c r="Q890" s="547"/>
      <c r="R890" s="548"/>
      <c r="S890" s="549"/>
      <c r="T890" s="541"/>
      <c r="U890" s="547"/>
      <c r="V890" s="548"/>
      <c r="W890" s="549"/>
      <c r="X890" s="541"/>
      <c r="Y890" s="547"/>
      <c r="Z890" s="548"/>
      <c r="AA890" s="549"/>
      <c r="AB890" s="541"/>
      <c r="AC890" s="547"/>
      <c r="AD890" s="548"/>
      <c r="AE890" s="549"/>
      <c r="AF890" s="541"/>
      <c r="AG890" s="366"/>
      <c r="AH890" s="366"/>
      <c r="AI890" s="366"/>
      <c r="AJ890" s="366"/>
      <c r="AK890" s="394"/>
      <c r="AL890" s="430"/>
      <c r="AM890" s="395"/>
      <c r="AN890" s="529"/>
      <c r="AO890" s="394"/>
      <c r="AP890" s="430"/>
      <c r="AQ890" s="395"/>
      <c r="AR890" s="529"/>
      <c r="AS890" s="542"/>
      <c r="AT890" s="542"/>
    </row>
    <row r="891">
      <c r="A891" s="394"/>
      <c r="B891" s="430"/>
      <c r="C891" s="395"/>
      <c r="D891" s="529"/>
      <c r="E891" s="394"/>
      <c r="F891" s="430"/>
      <c r="G891" s="395"/>
      <c r="H891" s="529"/>
      <c r="I891" s="394"/>
      <c r="J891" s="430"/>
      <c r="K891" s="395"/>
      <c r="L891" s="529"/>
      <c r="M891" s="394"/>
      <c r="N891" s="430"/>
      <c r="O891" s="395"/>
      <c r="P891" s="529"/>
      <c r="Q891" s="547"/>
      <c r="R891" s="548"/>
      <c r="S891" s="549"/>
      <c r="T891" s="541"/>
      <c r="U891" s="547"/>
      <c r="V891" s="548"/>
      <c r="W891" s="549"/>
      <c r="X891" s="541"/>
      <c r="Y891" s="547"/>
      <c r="Z891" s="548"/>
      <c r="AA891" s="549"/>
      <c r="AB891" s="541"/>
      <c r="AC891" s="547"/>
      <c r="AD891" s="548"/>
      <c r="AE891" s="549"/>
      <c r="AF891" s="541"/>
      <c r="AG891" s="366"/>
      <c r="AH891" s="366"/>
      <c r="AI891" s="366"/>
      <c r="AJ891" s="366"/>
      <c r="AK891" s="394"/>
      <c r="AL891" s="430"/>
      <c r="AM891" s="395"/>
      <c r="AN891" s="529"/>
      <c r="AO891" s="394"/>
      <c r="AP891" s="430"/>
      <c r="AQ891" s="395"/>
      <c r="AR891" s="529"/>
      <c r="AS891" s="542"/>
      <c r="AT891" s="542"/>
    </row>
    <row r="892">
      <c r="A892" s="394"/>
      <c r="B892" s="430"/>
      <c r="C892" s="395"/>
      <c r="D892" s="529"/>
      <c r="E892" s="394"/>
      <c r="F892" s="430"/>
      <c r="G892" s="395"/>
      <c r="H892" s="529"/>
      <c r="I892" s="394"/>
      <c r="J892" s="430"/>
      <c r="K892" s="395"/>
      <c r="L892" s="529"/>
      <c r="M892" s="394"/>
      <c r="N892" s="430"/>
      <c r="O892" s="395"/>
      <c r="P892" s="529"/>
      <c r="Q892" s="547"/>
      <c r="R892" s="548"/>
      <c r="S892" s="549"/>
      <c r="T892" s="541"/>
      <c r="U892" s="547"/>
      <c r="V892" s="548"/>
      <c r="W892" s="549"/>
      <c r="X892" s="541"/>
      <c r="Y892" s="547"/>
      <c r="Z892" s="548"/>
      <c r="AA892" s="549"/>
      <c r="AB892" s="541"/>
      <c r="AC892" s="547"/>
      <c r="AD892" s="548"/>
      <c r="AE892" s="549"/>
      <c r="AF892" s="541"/>
      <c r="AG892" s="366"/>
      <c r="AH892" s="366"/>
      <c r="AI892" s="366"/>
      <c r="AJ892" s="366"/>
      <c r="AK892" s="394"/>
      <c r="AL892" s="430"/>
      <c r="AM892" s="395"/>
      <c r="AN892" s="529"/>
      <c r="AO892" s="394"/>
      <c r="AP892" s="430"/>
      <c r="AQ892" s="395"/>
      <c r="AR892" s="529"/>
      <c r="AS892" s="542"/>
      <c r="AT892" s="542"/>
    </row>
    <row r="893">
      <c r="A893" s="394"/>
      <c r="B893" s="430"/>
      <c r="C893" s="395"/>
      <c r="D893" s="529"/>
      <c r="E893" s="394"/>
      <c r="F893" s="430"/>
      <c r="G893" s="395"/>
      <c r="H893" s="529"/>
      <c r="I893" s="394"/>
      <c r="J893" s="430"/>
      <c r="K893" s="395"/>
      <c r="L893" s="529"/>
      <c r="M893" s="394"/>
      <c r="N893" s="430"/>
      <c r="O893" s="395"/>
      <c r="P893" s="529"/>
      <c r="Q893" s="547"/>
      <c r="R893" s="548"/>
      <c r="S893" s="549"/>
      <c r="T893" s="541"/>
      <c r="U893" s="547"/>
      <c r="V893" s="548"/>
      <c r="W893" s="549"/>
      <c r="X893" s="541"/>
      <c r="Y893" s="547"/>
      <c r="Z893" s="548"/>
      <c r="AA893" s="549"/>
      <c r="AB893" s="541"/>
      <c r="AC893" s="547"/>
      <c r="AD893" s="548"/>
      <c r="AE893" s="549"/>
      <c r="AF893" s="541"/>
      <c r="AG893" s="366"/>
      <c r="AH893" s="366"/>
      <c r="AI893" s="366"/>
      <c r="AJ893" s="366"/>
      <c r="AK893" s="394"/>
      <c r="AL893" s="430"/>
      <c r="AM893" s="395"/>
      <c r="AN893" s="529"/>
      <c r="AO893" s="394"/>
      <c r="AP893" s="430"/>
      <c r="AQ893" s="395"/>
      <c r="AR893" s="529"/>
      <c r="AS893" s="542"/>
      <c r="AT893" s="542"/>
    </row>
    <row r="894">
      <c r="A894" s="394"/>
      <c r="B894" s="430"/>
      <c r="C894" s="395"/>
      <c r="D894" s="529"/>
      <c r="E894" s="394"/>
      <c r="F894" s="430"/>
      <c r="G894" s="395"/>
      <c r="H894" s="529"/>
      <c r="I894" s="394"/>
      <c r="J894" s="430"/>
      <c r="K894" s="395"/>
      <c r="L894" s="529"/>
      <c r="M894" s="394"/>
      <c r="N894" s="430"/>
      <c r="O894" s="395"/>
      <c r="P894" s="529"/>
      <c r="Q894" s="547"/>
      <c r="R894" s="548"/>
      <c r="S894" s="549"/>
      <c r="T894" s="541"/>
      <c r="U894" s="547"/>
      <c r="V894" s="548"/>
      <c r="W894" s="549"/>
      <c r="X894" s="541"/>
      <c r="Y894" s="547"/>
      <c r="Z894" s="548"/>
      <c r="AA894" s="549"/>
      <c r="AB894" s="541"/>
      <c r="AC894" s="547"/>
      <c r="AD894" s="548"/>
      <c r="AE894" s="549"/>
      <c r="AF894" s="541"/>
      <c r="AG894" s="366"/>
      <c r="AH894" s="366"/>
      <c r="AI894" s="366"/>
      <c r="AJ894" s="366"/>
      <c r="AK894" s="394"/>
      <c r="AL894" s="430"/>
      <c r="AM894" s="395"/>
      <c r="AN894" s="529"/>
      <c r="AO894" s="394"/>
      <c r="AP894" s="430"/>
      <c r="AQ894" s="395"/>
      <c r="AR894" s="529"/>
      <c r="AS894" s="542"/>
      <c r="AT894" s="542"/>
    </row>
    <row r="895">
      <c r="A895" s="394"/>
      <c r="B895" s="430"/>
      <c r="C895" s="395"/>
      <c r="D895" s="529"/>
      <c r="E895" s="394"/>
      <c r="F895" s="430"/>
      <c r="G895" s="395"/>
      <c r="H895" s="529"/>
      <c r="I895" s="394"/>
      <c r="J895" s="430"/>
      <c r="K895" s="395"/>
      <c r="L895" s="529"/>
      <c r="M895" s="394"/>
      <c r="N895" s="430"/>
      <c r="O895" s="395"/>
      <c r="P895" s="529"/>
      <c r="Q895" s="547"/>
      <c r="R895" s="548"/>
      <c r="S895" s="549"/>
      <c r="T895" s="541"/>
      <c r="U895" s="547"/>
      <c r="V895" s="548"/>
      <c r="W895" s="549"/>
      <c r="X895" s="541"/>
      <c r="Y895" s="547"/>
      <c r="Z895" s="548"/>
      <c r="AA895" s="549"/>
      <c r="AB895" s="541"/>
      <c r="AC895" s="547"/>
      <c r="AD895" s="548"/>
      <c r="AE895" s="549"/>
      <c r="AF895" s="541"/>
      <c r="AG895" s="366"/>
      <c r="AH895" s="366"/>
      <c r="AI895" s="366"/>
      <c r="AJ895" s="366"/>
      <c r="AK895" s="394"/>
      <c r="AL895" s="430"/>
      <c r="AM895" s="395"/>
      <c r="AN895" s="529"/>
      <c r="AO895" s="394"/>
      <c r="AP895" s="430"/>
      <c r="AQ895" s="395"/>
      <c r="AR895" s="529"/>
      <c r="AS895" s="542"/>
      <c r="AT895" s="542"/>
    </row>
    <row r="896">
      <c r="A896" s="394"/>
      <c r="B896" s="430"/>
      <c r="C896" s="395"/>
      <c r="D896" s="529"/>
      <c r="E896" s="394"/>
      <c r="F896" s="430"/>
      <c r="G896" s="395"/>
      <c r="H896" s="529"/>
      <c r="I896" s="394"/>
      <c r="J896" s="430"/>
      <c r="K896" s="395"/>
      <c r="L896" s="529"/>
      <c r="M896" s="394"/>
      <c r="N896" s="430"/>
      <c r="O896" s="395"/>
      <c r="P896" s="529"/>
      <c r="Q896" s="547"/>
      <c r="R896" s="548"/>
      <c r="S896" s="549"/>
      <c r="T896" s="541"/>
      <c r="U896" s="547"/>
      <c r="V896" s="548"/>
      <c r="W896" s="549"/>
      <c r="X896" s="541"/>
      <c r="Y896" s="547"/>
      <c r="Z896" s="548"/>
      <c r="AA896" s="549"/>
      <c r="AB896" s="541"/>
      <c r="AC896" s="547"/>
      <c r="AD896" s="548"/>
      <c r="AE896" s="549"/>
      <c r="AF896" s="541"/>
      <c r="AG896" s="366"/>
      <c r="AH896" s="366"/>
      <c r="AI896" s="366"/>
      <c r="AJ896" s="366"/>
      <c r="AK896" s="394"/>
      <c r="AL896" s="430"/>
      <c r="AM896" s="395"/>
      <c r="AN896" s="529"/>
      <c r="AO896" s="394"/>
      <c r="AP896" s="430"/>
      <c r="AQ896" s="395"/>
      <c r="AR896" s="529"/>
      <c r="AS896" s="542"/>
      <c r="AT896" s="542"/>
    </row>
    <row r="897">
      <c r="A897" s="394"/>
      <c r="B897" s="430"/>
      <c r="C897" s="395"/>
      <c r="D897" s="529"/>
      <c r="E897" s="394"/>
      <c r="F897" s="430"/>
      <c r="G897" s="395"/>
      <c r="H897" s="529"/>
      <c r="I897" s="394"/>
      <c r="J897" s="430"/>
      <c r="K897" s="395"/>
      <c r="L897" s="529"/>
      <c r="M897" s="394"/>
      <c r="N897" s="430"/>
      <c r="O897" s="395"/>
      <c r="P897" s="529"/>
      <c r="Q897" s="547"/>
      <c r="R897" s="548"/>
      <c r="S897" s="549"/>
      <c r="T897" s="541"/>
      <c r="U897" s="547"/>
      <c r="V897" s="548"/>
      <c r="W897" s="549"/>
      <c r="X897" s="541"/>
      <c r="Y897" s="547"/>
      <c r="Z897" s="548"/>
      <c r="AA897" s="549"/>
      <c r="AB897" s="541"/>
      <c r="AC897" s="547"/>
      <c r="AD897" s="548"/>
      <c r="AE897" s="549"/>
      <c r="AF897" s="541"/>
      <c r="AG897" s="366"/>
      <c r="AH897" s="366"/>
      <c r="AI897" s="366"/>
      <c r="AJ897" s="366"/>
      <c r="AK897" s="394"/>
      <c r="AL897" s="430"/>
      <c r="AM897" s="395"/>
      <c r="AN897" s="529"/>
      <c r="AO897" s="394"/>
      <c r="AP897" s="430"/>
      <c r="AQ897" s="395"/>
      <c r="AR897" s="529"/>
      <c r="AS897" s="542"/>
      <c r="AT897" s="542"/>
    </row>
    <row r="898">
      <c r="A898" s="394"/>
      <c r="B898" s="430"/>
      <c r="C898" s="395"/>
      <c r="D898" s="529"/>
      <c r="E898" s="394"/>
      <c r="F898" s="430"/>
      <c r="G898" s="395"/>
      <c r="H898" s="529"/>
      <c r="I898" s="394"/>
      <c r="J898" s="430"/>
      <c r="K898" s="395"/>
      <c r="L898" s="529"/>
      <c r="M898" s="394"/>
      <c r="N898" s="430"/>
      <c r="O898" s="395"/>
      <c r="P898" s="529"/>
      <c r="Q898" s="547"/>
      <c r="R898" s="548"/>
      <c r="S898" s="549"/>
      <c r="T898" s="541"/>
      <c r="U898" s="547"/>
      <c r="V898" s="548"/>
      <c r="W898" s="549"/>
      <c r="X898" s="541"/>
      <c r="Y898" s="547"/>
      <c r="Z898" s="548"/>
      <c r="AA898" s="549"/>
      <c r="AB898" s="541"/>
      <c r="AC898" s="547"/>
      <c r="AD898" s="548"/>
      <c r="AE898" s="549"/>
      <c r="AF898" s="541"/>
      <c r="AG898" s="366"/>
      <c r="AH898" s="366"/>
      <c r="AI898" s="366"/>
      <c r="AJ898" s="366"/>
      <c r="AK898" s="394"/>
      <c r="AL898" s="430"/>
      <c r="AM898" s="395"/>
      <c r="AN898" s="529"/>
      <c r="AO898" s="394"/>
      <c r="AP898" s="430"/>
      <c r="AQ898" s="395"/>
      <c r="AR898" s="529"/>
      <c r="AS898" s="542"/>
      <c r="AT898" s="542"/>
    </row>
    <row r="899">
      <c r="A899" s="394"/>
      <c r="B899" s="430"/>
      <c r="C899" s="395"/>
      <c r="D899" s="529"/>
      <c r="E899" s="394"/>
      <c r="F899" s="430"/>
      <c r="G899" s="395"/>
      <c r="H899" s="529"/>
      <c r="I899" s="394"/>
      <c r="J899" s="430"/>
      <c r="K899" s="395"/>
      <c r="L899" s="529"/>
      <c r="M899" s="394"/>
      <c r="N899" s="430"/>
      <c r="O899" s="395"/>
      <c r="P899" s="529"/>
      <c r="Q899" s="547"/>
      <c r="R899" s="548"/>
      <c r="S899" s="549"/>
      <c r="T899" s="541"/>
      <c r="U899" s="547"/>
      <c r="V899" s="548"/>
      <c r="W899" s="549"/>
      <c r="X899" s="541"/>
      <c r="Y899" s="547"/>
      <c r="Z899" s="548"/>
      <c r="AA899" s="549"/>
      <c r="AB899" s="541"/>
      <c r="AC899" s="547"/>
      <c r="AD899" s="548"/>
      <c r="AE899" s="549"/>
      <c r="AF899" s="541"/>
      <c r="AG899" s="366"/>
      <c r="AH899" s="366"/>
      <c r="AI899" s="366"/>
      <c r="AJ899" s="366"/>
      <c r="AK899" s="394"/>
      <c r="AL899" s="430"/>
      <c r="AM899" s="395"/>
      <c r="AN899" s="529"/>
      <c r="AO899" s="394"/>
      <c r="AP899" s="430"/>
      <c r="AQ899" s="395"/>
      <c r="AR899" s="529"/>
      <c r="AS899" s="542"/>
      <c r="AT899" s="542"/>
    </row>
    <row r="900">
      <c r="A900" s="394"/>
      <c r="B900" s="430"/>
      <c r="C900" s="395"/>
      <c r="D900" s="529"/>
      <c r="E900" s="394"/>
      <c r="F900" s="430"/>
      <c r="G900" s="395"/>
      <c r="H900" s="529"/>
      <c r="I900" s="394"/>
      <c r="J900" s="430"/>
      <c r="K900" s="395"/>
      <c r="L900" s="529"/>
      <c r="M900" s="394"/>
      <c r="N900" s="430"/>
      <c r="O900" s="395"/>
      <c r="P900" s="529"/>
      <c r="Q900" s="547"/>
      <c r="R900" s="548"/>
      <c r="S900" s="549"/>
      <c r="T900" s="541"/>
      <c r="U900" s="547"/>
      <c r="V900" s="548"/>
      <c r="W900" s="549"/>
      <c r="X900" s="541"/>
      <c r="Y900" s="547"/>
      <c r="Z900" s="548"/>
      <c r="AA900" s="549"/>
      <c r="AB900" s="541"/>
      <c r="AC900" s="547"/>
      <c r="AD900" s="548"/>
      <c r="AE900" s="549"/>
      <c r="AF900" s="541"/>
      <c r="AG900" s="366"/>
      <c r="AH900" s="366"/>
      <c r="AI900" s="366"/>
      <c r="AJ900" s="366"/>
      <c r="AK900" s="394"/>
      <c r="AL900" s="430"/>
      <c r="AM900" s="395"/>
      <c r="AN900" s="529"/>
      <c r="AO900" s="394"/>
      <c r="AP900" s="430"/>
      <c r="AQ900" s="395"/>
      <c r="AR900" s="529"/>
      <c r="AS900" s="542"/>
      <c r="AT900" s="542"/>
    </row>
    <row r="901">
      <c r="A901" s="394"/>
      <c r="B901" s="430"/>
      <c r="C901" s="395"/>
      <c r="D901" s="529"/>
      <c r="E901" s="394"/>
      <c r="F901" s="430"/>
      <c r="G901" s="395"/>
      <c r="H901" s="529"/>
      <c r="I901" s="394"/>
      <c r="J901" s="430"/>
      <c r="K901" s="395"/>
      <c r="L901" s="529"/>
      <c r="M901" s="394"/>
      <c r="N901" s="430"/>
      <c r="O901" s="395"/>
      <c r="P901" s="529"/>
      <c r="Q901" s="547"/>
      <c r="R901" s="548"/>
      <c r="S901" s="549"/>
      <c r="T901" s="541"/>
      <c r="U901" s="547"/>
      <c r="V901" s="548"/>
      <c r="W901" s="549"/>
      <c r="X901" s="541"/>
      <c r="Y901" s="547"/>
      <c r="Z901" s="548"/>
      <c r="AA901" s="549"/>
      <c r="AB901" s="541"/>
      <c r="AC901" s="547"/>
      <c r="AD901" s="548"/>
      <c r="AE901" s="549"/>
      <c r="AF901" s="541"/>
      <c r="AG901" s="366"/>
      <c r="AH901" s="366"/>
      <c r="AI901" s="366"/>
      <c r="AJ901" s="366"/>
      <c r="AK901" s="394"/>
      <c r="AL901" s="430"/>
      <c r="AM901" s="395"/>
      <c r="AN901" s="529"/>
      <c r="AO901" s="394"/>
      <c r="AP901" s="430"/>
      <c r="AQ901" s="395"/>
      <c r="AR901" s="529"/>
      <c r="AS901" s="542"/>
      <c r="AT901" s="542"/>
    </row>
    <row r="902">
      <c r="A902" s="394"/>
      <c r="B902" s="430"/>
      <c r="C902" s="395"/>
      <c r="D902" s="529"/>
      <c r="E902" s="394"/>
      <c r="F902" s="430"/>
      <c r="G902" s="395"/>
      <c r="H902" s="529"/>
      <c r="I902" s="394"/>
      <c r="J902" s="430"/>
      <c r="K902" s="395"/>
      <c r="L902" s="529"/>
      <c r="M902" s="394"/>
      <c r="N902" s="430"/>
      <c r="O902" s="395"/>
      <c r="P902" s="529"/>
      <c r="Q902" s="547"/>
      <c r="R902" s="548"/>
      <c r="S902" s="549"/>
      <c r="T902" s="541"/>
      <c r="U902" s="547"/>
      <c r="V902" s="548"/>
      <c r="W902" s="549"/>
      <c r="X902" s="541"/>
      <c r="Y902" s="547"/>
      <c r="Z902" s="548"/>
      <c r="AA902" s="549"/>
      <c r="AB902" s="541"/>
      <c r="AC902" s="547"/>
      <c r="AD902" s="548"/>
      <c r="AE902" s="549"/>
      <c r="AF902" s="541"/>
      <c r="AG902" s="366"/>
      <c r="AH902" s="366"/>
      <c r="AI902" s="366"/>
      <c r="AJ902" s="366"/>
      <c r="AK902" s="394"/>
      <c r="AL902" s="430"/>
      <c r="AM902" s="395"/>
      <c r="AN902" s="529"/>
      <c r="AO902" s="394"/>
      <c r="AP902" s="430"/>
      <c r="AQ902" s="395"/>
      <c r="AR902" s="529"/>
      <c r="AS902" s="542"/>
      <c r="AT902" s="542"/>
    </row>
    <row r="903">
      <c r="A903" s="394"/>
      <c r="B903" s="430"/>
      <c r="C903" s="395"/>
      <c r="D903" s="529"/>
      <c r="E903" s="394"/>
      <c r="F903" s="430"/>
      <c r="G903" s="395"/>
      <c r="H903" s="529"/>
      <c r="I903" s="394"/>
      <c r="J903" s="430"/>
      <c r="K903" s="395"/>
      <c r="L903" s="529"/>
      <c r="M903" s="394"/>
      <c r="N903" s="430"/>
      <c r="O903" s="395"/>
      <c r="P903" s="529"/>
      <c r="Q903" s="547"/>
      <c r="R903" s="548"/>
      <c r="S903" s="549"/>
      <c r="T903" s="541"/>
      <c r="U903" s="547"/>
      <c r="V903" s="548"/>
      <c r="W903" s="549"/>
      <c r="X903" s="541"/>
      <c r="Y903" s="547"/>
      <c r="Z903" s="548"/>
      <c r="AA903" s="549"/>
      <c r="AB903" s="541"/>
      <c r="AC903" s="547"/>
      <c r="AD903" s="548"/>
      <c r="AE903" s="549"/>
      <c r="AF903" s="541"/>
      <c r="AG903" s="366"/>
      <c r="AH903" s="366"/>
      <c r="AI903" s="366"/>
      <c r="AJ903" s="366"/>
      <c r="AK903" s="394"/>
      <c r="AL903" s="430"/>
      <c r="AM903" s="395"/>
      <c r="AN903" s="529"/>
      <c r="AO903" s="394"/>
      <c r="AP903" s="430"/>
      <c r="AQ903" s="395"/>
      <c r="AR903" s="529"/>
      <c r="AS903" s="542"/>
      <c r="AT903" s="542"/>
    </row>
    <row r="904">
      <c r="A904" s="394"/>
      <c r="B904" s="430"/>
      <c r="C904" s="395"/>
      <c r="D904" s="529"/>
      <c r="E904" s="394"/>
      <c r="F904" s="430"/>
      <c r="G904" s="395"/>
      <c r="H904" s="529"/>
      <c r="I904" s="394"/>
      <c r="J904" s="430"/>
      <c r="K904" s="395"/>
      <c r="L904" s="529"/>
      <c r="M904" s="394"/>
      <c r="N904" s="430"/>
      <c r="O904" s="395"/>
      <c r="P904" s="529"/>
      <c r="Q904" s="547"/>
      <c r="R904" s="548"/>
      <c r="S904" s="549"/>
      <c r="T904" s="541"/>
      <c r="U904" s="547"/>
      <c r="V904" s="548"/>
      <c r="W904" s="549"/>
      <c r="X904" s="541"/>
      <c r="Y904" s="547"/>
      <c r="Z904" s="548"/>
      <c r="AA904" s="549"/>
      <c r="AB904" s="541"/>
      <c r="AC904" s="547"/>
      <c r="AD904" s="548"/>
      <c r="AE904" s="549"/>
      <c r="AF904" s="541"/>
      <c r="AG904" s="366"/>
      <c r="AH904" s="366"/>
      <c r="AI904" s="366"/>
      <c r="AJ904" s="366"/>
      <c r="AK904" s="394"/>
      <c r="AL904" s="430"/>
      <c r="AM904" s="395"/>
      <c r="AN904" s="529"/>
      <c r="AO904" s="394"/>
      <c r="AP904" s="430"/>
      <c r="AQ904" s="395"/>
      <c r="AR904" s="529"/>
      <c r="AS904" s="542"/>
      <c r="AT904" s="542"/>
    </row>
    <row r="905">
      <c r="A905" s="394"/>
      <c r="B905" s="430"/>
      <c r="C905" s="395"/>
      <c r="D905" s="529"/>
      <c r="E905" s="394"/>
      <c r="F905" s="430"/>
      <c r="G905" s="395"/>
      <c r="H905" s="529"/>
      <c r="I905" s="394"/>
      <c r="J905" s="430"/>
      <c r="K905" s="395"/>
      <c r="L905" s="529"/>
      <c r="M905" s="394"/>
      <c r="N905" s="430"/>
      <c r="O905" s="395"/>
      <c r="P905" s="529"/>
      <c r="Q905" s="547"/>
      <c r="R905" s="548"/>
      <c r="S905" s="549"/>
      <c r="T905" s="541"/>
      <c r="U905" s="547"/>
      <c r="V905" s="548"/>
      <c r="W905" s="549"/>
      <c r="X905" s="541"/>
      <c r="Y905" s="547"/>
      <c r="Z905" s="548"/>
      <c r="AA905" s="549"/>
      <c r="AB905" s="541"/>
      <c r="AC905" s="547"/>
      <c r="AD905" s="548"/>
      <c r="AE905" s="549"/>
      <c r="AF905" s="541"/>
      <c r="AG905" s="366"/>
      <c r="AH905" s="366"/>
      <c r="AI905" s="366"/>
      <c r="AJ905" s="366"/>
      <c r="AK905" s="394"/>
      <c r="AL905" s="430"/>
      <c r="AM905" s="395"/>
      <c r="AN905" s="529"/>
      <c r="AO905" s="394"/>
      <c r="AP905" s="430"/>
      <c r="AQ905" s="395"/>
      <c r="AR905" s="529"/>
      <c r="AS905" s="542"/>
      <c r="AT905" s="542"/>
    </row>
    <row r="906">
      <c r="A906" s="394"/>
      <c r="B906" s="430"/>
      <c r="C906" s="395"/>
      <c r="D906" s="529"/>
      <c r="E906" s="394"/>
      <c r="F906" s="430"/>
      <c r="G906" s="395"/>
      <c r="H906" s="529"/>
      <c r="I906" s="394"/>
      <c r="J906" s="430"/>
      <c r="K906" s="395"/>
      <c r="L906" s="529"/>
      <c r="M906" s="394"/>
      <c r="N906" s="430"/>
      <c r="O906" s="395"/>
      <c r="P906" s="529"/>
      <c r="Q906" s="547"/>
      <c r="R906" s="548"/>
      <c r="S906" s="549"/>
      <c r="T906" s="541"/>
      <c r="U906" s="547"/>
      <c r="V906" s="548"/>
      <c r="W906" s="549"/>
      <c r="X906" s="541"/>
      <c r="Y906" s="547"/>
      <c r="Z906" s="548"/>
      <c r="AA906" s="549"/>
      <c r="AB906" s="541"/>
      <c r="AC906" s="547"/>
      <c r="AD906" s="548"/>
      <c r="AE906" s="549"/>
      <c r="AF906" s="541"/>
      <c r="AG906" s="366"/>
      <c r="AH906" s="366"/>
      <c r="AI906" s="366"/>
      <c r="AJ906" s="366"/>
      <c r="AK906" s="394"/>
      <c r="AL906" s="430"/>
      <c r="AM906" s="395"/>
      <c r="AN906" s="529"/>
      <c r="AO906" s="394"/>
      <c r="AP906" s="430"/>
      <c r="AQ906" s="395"/>
      <c r="AR906" s="529"/>
      <c r="AS906" s="542"/>
      <c r="AT906" s="542"/>
    </row>
    <row r="907">
      <c r="A907" s="394"/>
      <c r="B907" s="430"/>
      <c r="C907" s="395"/>
      <c r="D907" s="529"/>
      <c r="E907" s="394"/>
      <c r="F907" s="430"/>
      <c r="G907" s="395"/>
      <c r="H907" s="529"/>
      <c r="I907" s="394"/>
      <c r="J907" s="430"/>
      <c r="K907" s="395"/>
      <c r="L907" s="529"/>
      <c r="M907" s="394"/>
      <c r="N907" s="430"/>
      <c r="O907" s="395"/>
      <c r="P907" s="529"/>
      <c r="Q907" s="547"/>
      <c r="R907" s="548"/>
      <c r="S907" s="549"/>
      <c r="T907" s="541"/>
      <c r="U907" s="547"/>
      <c r="V907" s="548"/>
      <c r="W907" s="549"/>
      <c r="X907" s="541"/>
      <c r="Y907" s="547"/>
      <c r="Z907" s="548"/>
      <c r="AA907" s="549"/>
      <c r="AB907" s="541"/>
      <c r="AC907" s="547"/>
      <c r="AD907" s="548"/>
      <c r="AE907" s="549"/>
      <c r="AF907" s="541"/>
      <c r="AG907" s="366"/>
      <c r="AH907" s="366"/>
      <c r="AI907" s="366"/>
      <c r="AJ907" s="366"/>
      <c r="AK907" s="394"/>
      <c r="AL907" s="430"/>
      <c r="AM907" s="395"/>
      <c r="AN907" s="529"/>
      <c r="AO907" s="394"/>
      <c r="AP907" s="430"/>
      <c r="AQ907" s="395"/>
      <c r="AR907" s="529"/>
      <c r="AS907" s="542"/>
      <c r="AT907" s="542"/>
    </row>
    <row r="908">
      <c r="A908" s="394"/>
      <c r="B908" s="430"/>
      <c r="C908" s="395"/>
      <c r="D908" s="529"/>
      <c r="E908" s="394"/>
      <c r="F908" s="430"/>
      <c r="G908" s="395"/>
      <c r="H908" s="529"/>
      <c r="I908" s="394"/>
      <c r="J908" s="430"/>
      <c r="K908" s="395"/>
      <c r="L908" s="529"/>
      <c r="M908" s="394"/>
      <c r="N908" s="430"/>
      <c r="O908" s="395"/>
      <c r="P908" s="529"/>
      <c r="Q908" s="547"/>
      <c r="R908" s="548"/>
      <c r="S908" s="549"/>
      <c r="T908" s="541"/>
      <c r="U908" s="547"/>
      <c r="V908" s="548"/>
      <c r="W908" s="549"/>
      <c r="X908" s="541"/>
      <c r="Y908" s="547"/>
      <c r="Z908" s="548"/>
      <c r="AA908" s="549"/>
      <c r="AB908" s="541"/>
      <c r="AC908" s="547"/>
      <c r="AD908" s="548"/>
      <c r="AE908" s="549"/>
      <c r="AF908" s="541"/>
      <c r="AG908" s="366"/>
      <c r="AH908" s="366"/>
      <c r="AI908" s="366"/>
      <c r="AJ908" s="366"/>
      <c r="AK908" s="394"/>
      <c r="AL908" s="430"/>
      <c r="AM908" s="395"/>
      <c r="AN908" s="529"/>
      <c r="AO908" s="394"/>
      <c r="AP908" s="430"/>
      <c r="AQ908" s="395"/>
      <c r="AR908" s="529"/>
      <c r="AS908" s="542"/>
      <c r="AT908" s="542"/>
    </row>
    <row r="909">
      <c r="A909" s="394"/>
      <c r="B909" s="430"/>
      <c r="C909" s="395"/>
      <c r="D909" s="529"/>
      <c r="E909" s="394"/>
      <c r="F909" s="430"/>
      <c r="G909" s="395"/>
      <c r="H909" s="529"/>
      <c r="I909" s="394"/>
      <c r="J909" s="430"/>
      <c r="K909" s="395"/>
      <c r="L909" s="529"/>
      <c r="M909" s="394"/>
      <c r="N909" s="430"/>
      <c r="O909" s="395"/>
      <c r="P909" s="529"/>
      <c r="Q909" s="547"/>
      <c r="R909" s="548"/>
      <c r="S909" s="549"/>
      <c r="T909" s="541"/>
      <c r="U909" s="547"/>
      <c r="V909" s="548"/>
      <c r="W909" s="549"/>
      <c r="X909" s="541"/>
      <c r="Y909" s="547"/>
      <c r="Z909" s="548"/>
      <c r="AA909" s="549"/>
      <c r="AB909" s="541"/>
      <c r="AC909" s="547"/>
      <c r="AD909" s="548"/>
      <c r="AE909" s="549"/>
      <c r="AF909" s="541"/>
      <c r="AG909" s="366"/>
      <c r="AH909" s="366"/>
      <c r="AI909" s="366"/>
      <c r="AJ909" s="366"/>
      <c r="AK909" s="394"/>
      <c r="AL909" s="430"/>
      <c r="AM909" s="395"/>
      <c r="AN909" s="529"/>
      <c r="AO909" s="394"/>
      <c r="AP909" s="430"/>
      <c r="AQ909" s="395"/>
      <c r="AR909" s="529"/>
      <c r="AS909" s="542"/>
      <c r="AT909" s="542"/>
    </row>
    <row r="910">
      <c r="A910" s="394"/>
      <c r="B910" s="430"/>
      <c r="C910" s="395"/>
      <c r="D910" s="529"/>
      <c r="E910" s="394"/>
      <c r="F910" s="430"/>
      <c r="G910" s="395"/>
      <c r="H910" s="529"/>
      <c r="I910" s="394"/>
      <c r="J910" s="430"/>
      <c r="K910" s="395"/>
      <c r="L910" s="529"/>
      <c r="M910" s="394"/>
      <c r="N910" s="430"/>
      <c r="O910" s="395"/>
      <c r="P910" s="529"/>
      <c r="Q910" s="547"/>
      <c r="R910" s="548"/>
      <c r="S910" s="549"/>
      <c r="T910" s="541"/>
      <c r="U910" s="547"/>
      <c r="V910" s="548"/>
      <c r="W910" s="549"/>
      <c r="X910" s="541"/>
      <c r="Y910" s="547"/>
      <c r="Z910" s="548"/>
      <c r="AA910" s="549"/>
      <c r="AB910" s="541"/>
      <c r="AC910" s="547"/>
      <c r="AD910" s="548"/>
      <c r="AE910" s="549"/>
      <c r="AF910" s="541"/>
      <c r="AG910" s="366"/>
      <c r="AH910" s="366"/>
      <c r="AI910" s="366"/>
      <c r="AJ910" s="366"/>
      <c r="AK910" s="394"/>
      <c r="AL910" s="430"/>
      <c r="AM910" s="395"/>
      <c r="AN910" s="529"/>
      <c r="AO910" s="394"/>
      <c r="AP910" s="430"/>
      <c r="AQ910" s="395"/>
      <c r="AR910" s="529"/>
      <c r="AS910" s="542"/>
      <c r="AT910" s="542"/>
    </row>
    <row r="911">
      <c r="A911" s="394"/>
      <c r="B911" s="430"/>
      <c r="C911" s="395"/>
      <c r="D911" s="529"/>
      <c r="E911" s="394"/>
      <c r="F911" s="430"/>
      <c r="G911" s="395"/>
      <c r="H911" s="529"/>
      <c r="I911" s="394"/>
      <c r="J911" s="430"/>
      <c r="K911" s="395"/>
      <c r="L911" s="529"/>
      <c r="M911" s="394"/>
      <c r="N911" s="430"/>
      <c r="O911" s="395"/>
      <c r="P911" s="529"/>
      <c r="Q911" s="547"/>
      <c r="R911" s="548"/>
      <c r="S911" s="549"/>
      <c r="T911" s="541"/>
      <c r="U911" s="547"/>
      <c r="V911" s="548"/>
      <c r="W911" s="549"/>
      <c r="X911" s="541"/>
      <c r="Y911" s="547"/>
      <c r="Z911" s="548"/>
      <c r="AA911" s="549"/>
      <c r="AB911" s="541"/>
      <c r="AC911" s="547"/>
      <c r="AD911" s="548"/>
      <c r="AE911" s="549"/>
      <c r="AF911" s="541"/>
      <c r="AG911" s="366"/>
      <c r="AH911" s="366"/>
      <c r="AI911" s="366"/>
      <c r="AJ911" s="366"/>
      <c r="AK911" s="394"/>
      <c r="AL911" s="430"/>
      <c r="AM911" s="395"/>
      <c r="AN911" s="529"/>
      <c r="AO911" s="394"/>
      <c r="AP911" s="430"/>
      <c r="AQ911" s="395"/>
      <c r="AR911" s="529"/>
      <c r="AS911" s="542"/>
      <c r="AT911" s="542"/>
    </row>
    <row r="912">
      <c r="A912" s="394"/>
      <c r="B912" s="430"/>
      <c r="C912" s="395"/>
      <c r="D912" s="529"/>
      <c r="E912" s="394"/>
      <c r="F912" s="430"/>
      <c r="G912" s="395"/>
      <c r="H912" s="529"/>
      <c r="I912" s="394"/>
      <c r="J912" s="430"/>
      <c r="K912" s="395"/>
      <c r="L912" s="529"/>
      <c r="M912" s="394"/>
      <c r="N912" s="430"/>
      <c r="O912" s="395"/>
      <c r="P912" s="529"/>
      <c r="Q912" s="547"/>
      <c r="R912" s="548"/>
      <c r="S912" s="549"/>
      <c r="T912" s="541"/>
      <c r="U912" s="547"/>
      <c r="V912" s="548"/>
      <c r="W912" s="549"/>
      <c r="X912" s="541"/>
      <c r="Y912" s="547"/>
      <c r="Z912" s="548"/>
      <c r="AA912" s="549"/>
      <c r="AB912" s="541"/>
      <c r="AC912" s="547"/>
      <c r="AD912" s="548"/>
      <c r="AE912" s="549"/>
      <c r="AF912" s="541"/>
      <c r="AG912" s="366"/>
      <c r="AH912" s="366"/>
      <c r="AI912" s="366"/>
      <c r="AJ912" s="366"/>
      <c r="AK912" s="394"/>
      <c r="AL912" s="430"/>
      <c r="AM912" s="395"/>
      <c r="AN912" s="529"/>
      <c r="AO912" s="394"/>
      <c r="AP912" s="430"/>
      <c r="AQ912" s="395"/>
      <c r="AR912" s="529"/>
      <c r="AS912" s="542"/>
      <c r="AT912" s="542"/>
    </row>
    <row r="913">
      <c r="A913" s="394"/>
      <c r="B913" s="430"/>
      <c r="C913" s="395"/>
      <c r="D913" s="529"/>
      <c r="E913" s="394"/>
      <c r="F913" s="430"/>
      <c r="G913" s="395"/>
      <c r="H913" s="529"/>
      <c r="I913" s="394"/>
      <c r="J913" s="430"/>
      <c r="K913" s="395"/>
      <c r="L913" s="529"/>
      <c r="M913" s="394"/>
      <c r="N913" s="430"/>
      <c r="O913" s="395"/>
      <c r="P913" s="529"/>
      <c r="Q913" s="547"/>
      <c r="R913" s="548"/>
      <c r="S913" s="549"/>
      <c r="T913" s="541"/>
      <c r="U913" s="547"/>
      <c r="V913" s="548"/>
      <c r="W913" s="549"/>
      <c r="X913" s="541"/>
      <c r="Y913" s="547"/>
      <c r="Z913" s="548"/>
      <c r="AA913" s="549"/>
      <c r="AB913" s="541"/>
      <c r="AC913" s="547"/>
      <c r="AD913" s="548"/>
      <c r="AE913" s="549"/>
      <c r="AF913" s="541"/>
      <c r="AG913" s="366"/>
      <c r="AH913" s="366"/>
      <c r="AI913" s="366"/>
      <c r="AJ913" s="366"/>
      <c r="AK913" s="394"/>
      <c r="AL913" s="430"/>
      <c r="AM913" s="395"/>
      <c r="AN913" s="529"/>
      <c r="AO913" s="394"/>
      <c r="AP913" s="430"/>
      <c r="AQ913" s="395"/>
      <c r="AR913" s="529"/>
      <c r="AS913" s="542"/>
      <c r="AT913" s="542"/>
    </row>
    <row r="914">
      <c r="A914" s="394"/>
      <c r="B914" s="430"/>
      <c r="C914" s="395"/>
      <c r="D914" s="529"/>
      <c r="E914" s="394"/>
      <c r="F914" s="430"/>
      <c r="G914" s="395"/>
      <c r="H914" s="529"/>
      <c r="I914" s="394"/>
      <c r="J914" s="430"/>
      <c r="K914" s="395"/>
      <c r="L914" s="529"/>
      <c r="M914" s="394"/>
      <c r="N914" s="430"/>
      <c r="O914" s="395"/>
      <c r="P914" s="529"/>
      <c r="Q914" s="547"/>
      <c r="R914" s="548"/>
      <c r="S914" s="549"/>
      <c r="T914" s="541"/>
      <c r="U914" s="547"/>
      <c r="V914" s="548"/>
      <c r="W914" s="549"/>
      <c r="X914" s="541"/>
      <c r="Y914" s="547"/>
      <c r="Z914" s="548"/>
      <c r="AA914" s="549"/>
      <c r="AB914" s="541"/>
      <c r="AC914" s="547"/>
      <c r="AD914" s="548"/>
      <c r="AE914" s="549"/>
      <c r="AF914" s="541"/>
      <c r="AG914" s="366"/>
      <c r="AH914" s="366"/>
      <c r="AI914" s="366"/>
      <c r="AJ914" s="366"/>
      <c r="AK914" s="394"/>
      <c r="AL914" s="430"/>
      <c r="AM914" s="395"/>
      <c r="AN914" s="529"/>
      <c r="AO914" s="394"/>
      <c r="AP914" s="430"/>
      <c r="AQ914" s="395"/>
      <c r="AR914" s="529"/>
      <c r="AS914" s="542"/>
      <c r="AT914" s="542"/>
    </row>
    <row r="915">
      <c r="A915" s="394"/>
      <c r="B915" s="430"/>
      <c r="C915" s="395"/>
      <c r="D915" s="529"/>
      <c r="E915" s="394"/>
      <c r="F915" s="430"/>
      <c r="G915" s="395"/>
      <c r="H915" s="529"/>
      <c r="I915" s="394"/>
      <c r="J915" s="430"/>
      <c r="K915" s="395"/>
      <c r="L915" s="529"/>
      <c r="M915" s="394"/>
      <c r="N915" s="430"/>
      <c r="O915" s="395"/>
      <c r="P915" s="529"/>
      <c r="Q915" s="547"/>
      <c r="R915" s="548"/>
      <c r="S915" s="549"/>
      <c r="T915" s="541"/>
      <c r="U915" s="547"/>
      <c r="V915" s="548"/>
      <c r="W915" s="549"/>
      <c r="X915" s="541"/>
      <c r="Y915" s="547"/>
      <c r="Z915" s="548"/>
      <c r="AA915" s="549"/>
      <c r="AB915" s="541"/>
      <c r="AC915" s="547"/>
      <c r="AD915" s="548"/>
      <c r="AE915" s="549"/>
      <c r="AF915" s="541"/>
      <c r="AG915" s="366"/>
      <c r="AH915" s="366"/>
      <c r="AI915" s="366"/>
      <c r="AJ915" s="366"/>
      <c r="AK915" s="394"/>
      <c r="AL915" s="430"/>
      <c r="AM915" s="395"/>
      <c r="AN915" s="529"/>
      <c r="AO915" s="394"/>
      <c r="AP915" s="430"/>
      <c r="AQ915" s="395"/>
      <c r="AR915" s="529"/>
      <c r="AS915" s="542"/>
      <c r="AT915" s="542"/>
    </row>
    <row r="916">
      <c r="A916" s="394"/>
      <c r="B916" s="430"/>
      <c r="C916" s="395"/>
      <c r="D916" s="529"/>
      <c r="E916" s="394"/>
      <c r="F916" s="430"/>
      <c r="G916" s="395"/>
      <c r="H916" s="529"/>
      <c r="I916" s="394"/>
      <c r="J916" s="430"/>
      <c r="K916" s="395"/>
      <c r="L916" s="529"/>
      <c r="M916" s="394"/>
      <c r="N916" s="430"/>
      <c r="O916" s="395"/>
      <c r="P916" s="529"/>
      <c r="Q916" s="547"/>
      <c r="R916" s="548"/>
      <c r="S916" s="549"/>
      <c r="T916" s="541"/>
      <c r="U916" s="547"/>
      <c r="V916" s="548"/>
      <c r="W916" s="549"/>
      <c r="X916" s="541"/>
      <c r="Y916" s="547"/>
      <c r="Z916" s="548"/>
      <c r="AA916" s="549"/>
      <c r="AB916" s="541"/>
      <c r="AC916" s="547"/>
      <c r="AD916" s="548"/>
      <c r="AE916" s="549"/>
      <c r="AF916" s="541"/>
      <c r="AG916" s="366"/>
      <c r="AH916" s="366"/>
      <c r="AI916" s="366"/>
      <c r="AJ916" s="366"/>
      <c r="AK916" s="394"/>
      <c r="AL916" s="430"/>
      <c r="AM916" s="395"/>
      <c r="AN916" s="529"/>
      <c r="AO916" s="394"/>
      <c r="AP916" s="430"/>
      <c r="AQ916" s="395"/>
      <c r="AR916" s="529"/>
      <c r="AS916" s="542"/>
      <c r="AT916" s="542"/>
    </row>
    <row r="917">
      <c r="A917" s="394"/>
      <c r="B917" s="430"/>
      <c r="C917" s="395"/>
      <c r="D917" s="529"/>
      <c r="E917" s="394"/>
      <c r="F917" s="430"/>
      <c r="G917" s="395"/>
      <c r="H917" s="529"/>
      <c r="I917" s="394"/>
      <c r="J917" s="430"/>
      <c r="K917" s="395"/>
      <c r="L917" s="529"/>
      <c r="M917" s="394"/>
      <c r="N917" s="430"/>
      <c r="O917" s="395"/>
      <c r="P917" s="529"/>
      <c r="Q917" s="547"/>
      <c r="R917" s="548"/>
      <c r="S917" s="549"/>
      <c r="T917" s="541"/>
      <c r="U917" s="547"/>
      <c r="V917" s="548"/>
      <c r="W917" s="549"/>
      <c r="X917" s="541"/>
      <c r="Y917" s="547"/>
      <c r="Z917" s="548"/>
      <c r="AA917" s="549"/>
      <c r="AB917" s="541"/>
      <c r="AC917" s="547"/>
      <c r="AD917" s="548"/>
      <c r="AE917" s="549"/>
      <c r="AF917" s="541"/>
      <c r="AG917" s="366"/>
      <c r="AH917" s="366"/>
      <c r="AI917" s="366"/>
      <c r="AJ917" s="366"/>
      <c r="AK917" s="394"/>
      <c r="AL917" s="430"/>
      <c r="AM917" s="395"/>
      <c r="AN917" s="529"/>
      <c r="AO917" s="394"/>
      <c r="AP917" s="430"/>
      <c r="AQ917" s="395"/>
      <c r="AR917" s="529"/>
      <c r="AS917" s="542"/>
      <c r="AT917" s="542"/>
    </row>
    <row r="918">
      <c r="A918" s="394"/>
      <c r="B918" s="430"/>
      <c r="C918" s="395"/>
      <c r="D918" s="529"/>
      <c r="E918" s="394"/>
      <c r="F918" s="430"/>
      <c r="G918" s="395"/>
      <c r="H918" s="529"/>
      <c r="I918" s="394"/>
      <c r="J918" s="430"/>
      <c r="K918" s="395"/>
      <c r="L918" s="529"/>
      <c r="M918" s="394"/>
      <c r="N918" s="430"/>
      <c r="O918" s="395"/>
      <c r="P918" s="529"/>
      <c r="Q918" s="547"/>
      <c r="R918" s="548"/>
      <c r="S918" s="549"/>
      <c r="T918" s="541"/>
      <c r="U918" s="547"/>
      <c r="V918" s="548"/>
      <c r="W918" s="549"/>
      <c r="X918" s="541"/>
      <c r="Y918" s="547"/>
      <c r="Z918" s="548"/>
      <c r="AA918" s="549"/>
      <c r="AB918" s="541"/>
      <c r="AC918" s="547"/>
      <c r="AD918" s="548"/>
      <c r="AE918" s="549"/>
      <c r="AF918" s="541"/>
      <c r="AG918" s="366"/>
      <c r="AH918" s="366"/>
      <c r="AI918" s="366"/>
      <c r="AJ918" s="366"/>
      <c r="AK918" s="394"/>
      <c r="AL918" s="430"/>
      <c r="AM918" s="395"/>
      <c r="AN918" s="529"/>
      <c r="AO918" s="394"/>
      <c r="AP918" s="430"/>
      <c r="AQ918" s="395"/>
      <c r="AR918" s="529"/>
      <c r="AS918" s="542"/>
      <c r="AT918" s="542"/>
    </row>
    <row r="919">
      <c r="A919" s="394"/>
      <c r="B919" s="430"/>
      <c r="C919" s="395"/>
      <c r="D919" s="529"/>
      <c r="E919" s="394"/>
      <c r="F919" s="430"/>
      <c r="G919" s="395"/>
      <c r="H919" s="529"/>
      <c r="I919" s="394"/>
      <c r="J919" s="430"/>
      <c r="K919" s="395"/>
      <c r="L919" s="529"/>
      <c r="M919" s="394"/>
      <c r="N919" s="430"/>
      <c r="O919" s="395"/>
      <c r="P919" s="529"/>
      <c r="Q919" s="547"/>
      <c r="R919" s="548"/>
      <c r="S919" s="549"/>
      <c r="T919" s="541"/>
      <c r="U919" s="547"/>
      <c r="V919" s="548"/>
      <c r="W919" s="549"/>
      <c r="X919" s="541"/>
      <c r="Y919" s="547"/>
      <c r="Z919" s="548"/>
      <c r="AA919" s="549"/>
      <c r="AB919" s="541"/>
      <c r="AC919" s="547"/>
      <c r="AD919" s="548"/>
      <c r="AE919" s="549"/>
      <c r="AF919" s="541"/>
      <c r="AG919" s="366"/>
      <c r="AH919" s="366"/>
      <c r="AI919" s="366"/>
      <c r="AJ919" s="366"/>
      <c r="AK919" s="394"/>
      <c r="AL919" s="430"/>
      <c r="AM919" s="395"/>
      <c r="AN919" s="529"/>
      <c r="AO919" s="394"/>
      <c r="AP919" s="430"/>
      <c r="AQ919" s="395"/>
      <c r="AR919" s="529"/>
      <c r="AS919" s="542"/>
      <c r="AT919" s="542"/>
    </row>
    <row r="920">
      <c r="A920" s="394"/>
      <c r="B920" s="430"/>
      <c r="C920" s="395"/>
      <c r="D920" s="529"/>
      <c r="E920" s="394"/>
      <c r="F920" s="430"/>
      <c r="G920" s="395"/>
      <c r="H920" s="529"/>
      <c r="I920" s="394"/>
      <c r="J920" s="430"/>
      <c r="K920" s="395"/>
      <c r="L920" s="529"/>
      <c r="M920" s="394"/>
      <c r="N920" s="430"/>
      <c r="O920" s="395"/>
      <c r="P920" s="529"/>
      <c r="Q920" s="547"/>
      <c r="R920" s="548"/>
      <c r="S920" s="549"/>
      <c r="T920" s="541"/>
      <c r="U920" s="547"/>
      <c r="V920" s="548"/>
      <c r="W920" s="549"/>
      <c r="X920" s="541"/>
      <c r="Y920" s="547"/>
      <c r="Z920" s="548"/>
      <c r="AA920" s="549"/>
      <c r="AB920" s="541"/>
      <c r="AC920" s="547"/>
      <c r="AD920" s="548"/>
      <c r="AE920" s="549"/>
      <c r="AF920" s="541"/>
      <c r="AG920" s="366"/>
      <c r="AH920" s="366"/>
      <c r="AI920" s="366"/>
      <c r="AJ920" s="366"/>
      <c r="AK920" s="394"/>
      <c r="AL920" s="430"/>
      <c r="AM920" s="395"/>
      <c r="AN920" s="529"/>
      <c r="AO920" s="394"/>
      <c r="AP920" s="430"/>
      <c r="AQ920" s="395"/>
      <c r="AR920" s="529"/>
      <c r="AS920" s="542"/>
      <c r="AT920" s="542"/>
    </row>
    <row r="921">
      <c r="A921" s="394"/>
      <c r="B921" s="430"/>
      <c r="C921" s="395"/>
      <c r="D921" s="529"/>
      <c r="E921" s="394"/>
      <c r="F921" s="430"/>
      <c r="G921" s="395"/>
      <c r="H921" s="529"/>
      <c r="I921" s="394"/>
      <c r="J921" s="430"/>
      <c r="K921" s="395"/>
      <c r="L921" s="529"/>
      <c r="M921" s="394"/>
      <c r="N921" s="430"/>
      <c r="O921" s="395"/>
      <c r="P921" s="529"/>
      <c r="Q921" s="547"/>
      <c r="R921" s="548"/>
      <c r="S921" s="549"/>
      <c r="T921" s="541"/>
      <c r="U921" s="547"/>
      <c r="V921" s="548"/>
      <c r="W921" s="549"/>
      <c r="X921" s="541"/>
      <c r="Y921" s="547"/>
      <c r="Z921" s="548"/>
      <c r="AA921" s="549"/>
      <c r="AB921" s="541"/>
      <c r="AC921" s="547"/>
      <c r="AD921" s="548"/>
      <c r="AE921" s="549"/>
      <c r="AF921" s="541"/>
      <c r="AG921" s="366"/>
      <c r="AH921" s="366"/>
      <c r="AI921" s="366"/>
      <c r="AJ921" s="366"/>
      <c r="AK921" s="394"/>
      <c r="AL921" s="430"/>
      <c r="AM921" s="395"/>
      <c r="AN921" s="529"/>
      <c r="AO921" s="394"/>
      <c r="AP921" s="430"/>
      <c r="AQ921" s="395"/>
      <c r="AR921" s="529"/>
      <c r="AS921" s="542"/>
      <c r="AT921" s="542"/>
    </row>
    <row r="922">
      <c r="A922" s="394"/>
      <c r="B922" s="430"/>
      <c r="C922" s="395"/>
      <c r="D922" s="529"/>
      <c r="E922" s="394"/>
      <c r="F922" s="430"/>
      <c r="G922" s="395"/>
      <c r="H922" s="529"/>
      <c r="I922" s="394"/>
      <c r="J922" s="430"/>
      <c r="K922" s="395"/>
      <c r="L922" s="529"/>
      <c r="M922" s="394"/>
      <c r="N922" s="430"/>
      <c r="O922" s="395"/>
      <c r="P922" s="529"/>
      <c r="Q922" s="547"/>
      <c r="R922" s="548"/>
      <c r="S922" s="549"/>
      <c r="T922" s="541"/>
      <c r="U922" s="547"/>
      <c r="V922" s="548"/>
      <c r="W922" s="549"/>
      <c r="X922" s="541"/>
      <c r="Y922" s="547"/>
      <c r="Z922" s="548"/>
      <c r="AA922" s="549"/>
      <c r="AB922" s="541"/>
      <c r="AC922" s="547"/>
      <c r="AD922" s="548"/>
      <c r="AE922" s="549"/>
      <c r="AF922" s="541"/>
      <c r="AG922" s="366"/>
      <c r="AH922" s="366"/>
      <c r="AI922" s="366"/>
      <c r="AJ922" s="366"/>
      <c r="AK922" s="394"/>
      <c r="AL922" s="430"/>
      <c r="AM922" s="395"/>
      <c r="AN922" s="529"/>
      <c r="AO922" s="394"/>
      <c r="AP922" s="430"/>
      <c r="AQ922" s="395"/>
      <c r="AR922" s="529"/>
      <c r="AS922" s="542"/>
      <c r="AT922" s="542"/>
    </row>
    <row r="923">
      <c r="A923" s="394"/>
      <c r="B923" s="430"/>
      <c r="C923" s="395"/>
      <c r="D923" s="529"/>
      <c r="E923" s="394"/>
      <c r="F923" s="430"/>
      <c r="G923" s="395"/>
      <c r="H923" s="529"/>
      <c r="I923" s="394"/>
      <c r="J923" s="430"/>
      <c r="K923" s="395"/>
      <c r="L923" s="529"/>
      <c r="M923" s="394"/>
      <c r="N923" s="430"/>
      <c r="O923" s="395"/>
      <c r="P923" s="529"/>
      <c r="Q923" s="547"/>
      <c r="R923" s="548"/>
      <c r="S923" s="549"/>
      <c r="T923" s="541"/>
      <c r="U923" s="547"/>
      <c r="V923" s="548"/>
      <c r="W923" s="549"/>
      <c r="X923" s="541"/>
      <c r="Y923" s="547"/>
      <c r="Z923" s="548"/>
      <c r="AA923" s="549"/>
      <c r="AB923" s="541"/>
      <c r="AC923" s="547"/>
      <c r="AD923" s="548"/>
      <c r="AE923" s="549"/>
      <c r="AF923" s="541"/>
      <c r="AG923" s="366"/>
      <c r="AH923" s="366"/>
      <c r="AI923" s="366"/>
      <c r="AJ923" s="366"/>
      <c r="AK923" s="394"/>
      <c r="AL923" s="430"/>
      <c r="AM923" s="395"/>
      <c r="AN923" s="529"/>
      <c r="AO923" s="394"/>
      <c r="AP923" s="430"/>
      <c r="AQ923" s="395"/>
      <c r="AR923" s="529"/>
      <c r="AS923" s="542"/>
      <c r="AT923" s="542"/>
    </row>
    <row r="924">
      <c r="A924" s="394"/>
      <c r="B924" s="430"/>
      <c r="C924" s="395"/>
      <c r="D924" s="529"/>
      <c r="E924" s="394"/>
      <c r="F924" s="430"/>
      <c r="G924" s="395"/>
      <c r="H924" s="529"/>
      <c r="I924" s="394"/>
      <c r="J924" s="430"/>
      <c r="K924" s="395"/>
      <c r="L924" s="529"/>
      <c r="M924" s="394"/>
      <c r="N924" s="430"/>
      <c r="O924" s="395"/>
      <c r="P924" s="529"/>
      <c r="Q924" s="547"/>
      <c r="R924" s="548"/>
      <c r="S924" s="549"/>
      <c r="T924" s="541"/>
      <c r="U924" s="547"/>
      <c r="V924" s="548"/>
      <c r="W924" s="549"/>
      <c r="X924" s="541"/>
      <c r="Y924" s="547"/>
      <c r="Z924" s="548"/>
      <c r="AA924" s="549"/>
      <c r="AB924" s="541"/>
      <c r="AC924" s="547"/>
      <c r="AD924" s="548"/>
      <c r="AE924" s="549"/>
      <c r="AF924" s="541"/>
      <c r="AG924" s="366"/>
      <c r="AH924" s="366"/>
      <c r="AI924" s="366"/>
      <c r="AJ924" s="366"/>
      <c r="AK924" s="394"/>
      <c r="AL924" s="430"/>
      <c r="AM924" s="395"/>
      <c r="AN924" s="529"/>
      <c r="AO924" s="394"/>
      <c r="AP924" s="430"/>
      <c r="AQ924" s="395"/>
      <c r="AR924" s="529"/>
      <c r="AS924" s="542"/>
      <c r="AT924" s="542"/>
    </row>
    <row r="925">
      <c r="A925" s="394"/>
      <c r="B925" s="430"/>
      <c r="C925" s="395"/>
      <c r="D925" s="529"/>
      <c r="E925" s="394"/>
      <c r="F925" s="430"/>
      <c r="G925" s="395"/>
      <c r="H925" s="529"/>
      <c r="I925" s="394"/>
      <c r="J925" s="430"/>
      <c r="K925" s="395"/>
      <c r="L925" s="529"/>
      <c r="M925" s="394"/>
      <c r="N925" s="430"/>
      <c r="O925" s="395"/>
      <c r="P925" s="529"/>
      <c r="Q925" s="547"/>
      <c r="R925" s="548"/>
      <c r="S925" s="549"/>
      <c r="T925" s="541"/>
      <c r="U925" s="547"/>
      <c r="V925" s="548"/>
      <c r="W925" s="549"/>
      <c r="X925" s="541"/>
      <c r="Y925" s="547"/>
      <c r="Z925" s="548"/>
      <c r="AA925" s="549"/>
      <c r="AB925" s="541"/>
      <c r="AC925" s="547"/>
      <c r="AD925" s="548"/>
      <c r="AE925" s="549"/>
      <c r="AF925" s="541"/>
      <c r="AG925" s="366"/>
      <c r="AH925" s="366"/>
      <c r="AI925" s="366"/>
      <c r="AJ925" s="366"/>
      <c r="AK925" s="394"/>
      <c r="AL925" s="430"/>
      <c r="AM925" s="395"/>
      <c r="AN925" s="529"/>
      <c r="AO925" s="394"/>
      <c r="AP925" s="430"/>
      <c r="AQ925" s="395"/>
      <c r="AR925" s="529"/>
      <c r="AS925" s="542"/>
      <c r="AT925" s="542"/>
    </row>
    <row r="926">
      <c r="A926" s="394"/>
      <c r="B926" s="430"/>
      <c r="C926" s="395"/>
      <c r="D926" s="529"/>
      <c r="E926" s="394"/>
      <c r="F926" s="430"/>
      <c r="G926" s="395"/>
      <c r="H926" s="529"/>
      <c r="I926" s="394"/>
      <c r="J926" s="430"/>
      <c r="K926" s="395"/>
      <c r="L926" s="529"/>
      <c r="M926" s="394"/>
      <c r="N926" s="430"/>
      <c r="O926" s="395"/>
      <c r="P926" s="529"/>
      <c r="Q926" s="547"/>
      <c r="R926" s="548"/>
      <c r="S926" s="549"/>
      <c r="T926" s="541"/>
      <c r="U926" s="547"/>
      <c r="V926" s="548"/>
      <c r="W926" s="549"/>
      <c r="X926" s="541"/>
      <c r="Y926" s="547"/>
      <c r="Z926" s="548"/>
      <c r="AA926" s="549"/>
      <c r="AB926" s="541"/>
      <c r="AC926" s="547"/>
      <c r="AD926" s="548"/>
      <c r="AE926" s="549"/>
      <c r="AF926" s="541"/>
      <c r="AG926" s="366"/>
      <c r="AH926" s="366"/>
      <c r="AI926" s="366"/>
      <c r="AJ926" s="366"/>
      <c r="AK926" s="394"/>
      <c r="AL926" s="430"/>
      <c r="AM926" s="395"/>
      <c r="AN926" s="529"/>
      <c r="AO926" s="394"/>
      <c r="AP926" s="430"/>
      <c r="AQ926" s="395"/>
      <c r="AR926" s="529"/>
      <c r="AS926" s="542"/>
      <c r="AT926" s="542"/>
    </row>
    <row r="927">
      <c r="A927" s="394"/>
      <c r="B927" s="430"/>
      <c r="C927" s="395"/>
      <c r="D927" s="529"/>
      <c r="E927" s="394"/>
      <c r="F927" s="430"/>
      <c r="G927" s="395"/>
      <c r="H927" s="529"/>
      <c r="I927" s="394"/>
      <c r="J927" s="430"/>
      <c r="K927" s="395"/>
      <c r="L927" s="529"/>
      <c r="M927" s="394"/>
      <c r="N927" s="430"/>
      <c r="O927" s="395"/>
      <c r="P927" s="529"/>
      <c r="Q927" s="547"/>
      <c r="R927" s="548"/>
      <c r="S927" s="549"/>
      <c r="T927" s="541"/>
      <c r="U927" s="547"/>
      <c r="V927" s="548"/>
      <c r="W927" s="549"/>
      <c r="X927" s="541"/>
      <c r="Y927" s="547"/>
      <c r="Z927" s="548"/>
      <c r="AA927" s="549"/>
      <c r="AB927" s="541"/>
      <c r="AC927" s="547"/>
      <c r="AD927" s="548"/>
      <c r="AE927" s="549"/>
      <c r="AF927" s="541"/>
      <c r="AG927" s="366"/>
      <c r="AH927" s="366"/>
      <c r="AI927" s="366"/>
      <c r="AJ927" s="366"/>
      <c r="AK927" s="394"/>
      <c r="AL927" s="430"/>
      <c r="AM927" s="395"/>
      <c r="AN927" s="529"/>
      <c r="AO927" s="394"/>
      <c r="AP927" s="430"/>
      <c r="AQ927" s="395"/>
      <c r="AR927" s="529"/>
      <c r="AS927" s="542"/>
      <c r="AT927" s="542"/>
    </row>
    <row r="928">
      <c r="A928" s="394"/>
      <c r="B928" s="430"/>
      <c r="C928" s="395"/>
      <c r="D928" s="529"/>
      <c r="E928" s="394"/>
      <c r="F928" s="430"/>
      <c r="G928" s="395"/>
      <c r="H928" s="529"/>
      <c r="I928" s="394"/>
      <c r="J928" s="430"/>
      <c r="K928" s="395"/>
      <c r="L928" s="529"/>
      <c r="M928" s="394"/>
      <c r="N928" s="430"/>
      <c r="O928" s="395"/>
      <c r="P928" s="529"/>
      <c r="Q928" s="547"/>
      <c r="R928" s="548"/>
      <c r="S928" s="549"/>
      <c r="T928" s="541"/>
      <c r="U928" s="547"/>
      <c r="V928" s="548"/>
      <c r="W928" s="549"/>
      <c r="X928" s="541"/>
      <c r="Y928" s="547"/>
      <c r="Z928" s="548"/>
      <c r="AA928" s="549"/>
      <c r="AB928" s="541"/>
      <c r="AC928" s="547"/>
      <c r="AD928" s="548"/>
      <c r="AE928" s="549"/>
      <c r="AF928" s="541"/>
      <c r="AG928" s="366"/>
      <c r="AH928" s="366"/>
      <c r="AI928" s="366"/>
      <c r="AJ928" s="366"/>
      <c r="AK928" s="394"/>
      <c r="AL928" s="430"/>
      <c r="AM928" s="395"/>
      <c r="AN928" s="529"/>
      <c r="AO928" s="394"/>
      <c r="AP928" s="430"/>
      <c r="AQ928" s="395"/>
      <c r="AR928" s="529"/>
      <c r="AS928" s="542"/>
      <c r="AT928" s="542"/>
    </row>
    <row r="929">
      <c r="A929" s="394"/>
      <c r="B929" s="430"/>
      <c r="C929" s="395"/>
      <c r="D929" s="529"/>
      <c r="E929" s="394"/>
      <c r="F929" s="430"/>
      <c r="G929" s="395"/>
      <c r="H929" s="529"/>
      <c r="I929" s="394"/>
      <c r="J929" s="430"/>
      <c r="K929" s="395"/>
      <c r="L929" s="529"/>
      <c r="M929" s="394"/>
      <c r="N929" s="430"/>
      <c r="O929" s="395"/>
      <c r="P929" s="529"/>
      <c r="Q929" s="547"/>
      <c r="R929" s="548"/>
      <c r="S929" s="549"/>
      <c r="T929" s="541"/>
      <c r="U929" s="547"/>
      <c r="V929" s="548"/>
      <c r="W929" s="549"/>
      <c r="X929" s="541"/>
      <c r="Y929" s="547"/>
      <c r="Z929" s="548"/>
      <c r="AA929" s="549"/>
      <c r="AB929" s="541"/>
      <c r="AC929" s="547"/>
      <c r="AD929" s="548"/>
      <c r="AE929" s="549"/>
      <c r="AF929" s="541"/>
      <c r="AG929" s="366"/>
      <c r="AH929" s="366"/>
      <c r="AI929" s="366"/>
      <c r="AJ929" s="366"/>
      <c r="AK929" s="394"/>
      <c r="AL929" s="430"/>
      <c r="AM929" s="395"/>
      <c r="AN929" s="529"/>
      <c r="AO929" s="394"/>
      <c r="AP929" s="430"/>
      <c r="AQ929" s="395"/>
      <c r="AR929" s="529"/>
      <c r="AS929" s="542"/>
      <c r="AT929" s="542"/>
    </row>
    <row r="930">
      <c r="A930" s="394"/>
      <c r="B930" s="430"/>
      <c r="C930" s="395"/>
      <c r="D930" s="529"/>
      <c r="E930" s="394"/>
      <c r="F930" s="430"/>
      <c r="G930" s="395"/>
      <c r="H930" s="529"/>
      <c r="I930" s="394"/>
      <c r="J930" s="430"/>
      <c r="K930" s="395"/>
      <c r="L930" s="529"/>
      <c r="M930" s="394"/>
      <c r="N930" s="430"/>
      <c r="O930" s="395"/>
      <c r="P930" s="529"/>
      <c r="Q930" s="547"/>
      <c r="R930" s="548"/>
      <c r="S930" s="549"/>
      <c r="T930" s="541"/>
      <c r="U930" s="547"/>
      <c r="V930" s="548"/>
      <c r="W930" s="549"/>
      <c r="X930" s="541"/>
      <c r="Y930" s="547"/>
      <c r="Z930" s="548"/>
      <c r="AA930" s="549"/>
      <c r="AB930" s="541"/>
      <c r="AC930" s="547"/>
      <c r="AD930" s="548"/>
      <c r="AE930" s="549"/>
      <c r="AF930" s="541"/>
      <c r="AG930" s="366"/>
      <c r="AH930" s="366"/>
      <c r="AI930" s="366"/>
      <c r="AJ930" s="366"/>
      <c r="AK930" s="394"/>
      <c r="AL930" s="430"/>
      <c r="AM930" s="395"/>
      <c r="AN930" s="529"/>
      <c r="AO930" s="394"/>
      <c r="AP930" s="430"/>
      <c r="AQ930" s="395"/>
      <c r="AR930" s="529"/>
      <c r="AS930" s="542"/>
      <c r="AT930" s="542"/>
    </row>
    <row r="931">
      <c r="A931" s="394"/>
      <c r="B931" s="430"/>
      <c r="C931" s="395"/>
      <c r="D931" s="529"/>
      <c r="E931" s="394"/>
      <c r="F931" s="430"/>
      <c r="G931" s="395"/>
      <c r="H931" s="529"/>
      <c r="I931" s="394"/>
      <c r="J931" s="430"/>
      <c r="K931" s="395"/>
      <c r="L931" s="529"/>
      <c r="M931" s="394"/>
      <c r="N931" s="430"/>
      <c r="O931" s="395"/>
      <c r="P931" s="529"/>
      <c r="Q931" s="547"/>
      <c r="R931" s="548"/>
      <c r="S931" s="549"/>
      <c r="T931" s="541"/>
      <c r="U931" s="547"/>
      <c r="V931" s="548"/>
      <c r="W931" s="549"/>
      <c r="X931" s="541"/>
      <c r="Y931" s="547"/>
      <c r="Z931" s="548"/>
      <c r="AA931" s="549"/>
      <c r="AB931" s="541"/>
      <c r="AC931" s="547"/>
      <c r="AD931" s="548"/>
      <c r="AE931" s="549"/>
      <c r="AF931" s="541"/>
      <c r="AG931" s="366"/>
      <c r="AH931" s="366"/>
      <c r="AI931" s="366"/>
      <c r="AJ931" s="366"/>
      <c r="AK931" s="394"/>
      <c r="AL931" s="430"/>
      <c r="AM931" s="395"/>
      <c r="AN931" s="529"/>
      <c r="AO931" s="394"/>
      <c r="AP931" s="430"/>
      <c r="AQ931" s="395"/>
      <c r="AR931" s="529"/>
      <c r="AS931" s="542"/>
      <c r="AT931" s="542"/>
    </row>
    <row r="932">
      <c r="A932" s="394"/>
      <c r="B932" s="430"/>
      <c r="C932" s="395"/>
      <c r="D932" s="529"/>
      <c r="E932" s="394"/>
      <c r="F932" s="430"/>
      <c r="G932" s="395"/>
      <c r="H932" s="529"/>
      <c r="I932" s="394"/>
      <c r="J932" s="430"/>
      <c r="K932" s="395"/>
      <c r="L932" s="529"/>
      <c r="M932" s="394"/>
      <c r="N932" s="430"/>
      <c r="O932" s="395"/>
      <c r="P932" s="529"/>
      <c r="Q932" s="547"/>
      <c r="R932" s="548"/>
      <c r="S932" s="549"/>
      <c r="T932" s="541"/>
      <c r="U932" s="547"/>
      <c r="V932" s="548"/>
      <c r="W932" s="549"/>
      <c r="X932" s="541"/>
      <c r="Y932" s="547"/>
      <c r="Z932" s="548"/>
      <c r="AA932" s="549"/>
      <c r="AB932" s="541"/>
      <c r="AC932" s="547"/>
      <c r="AD932" s="548"/>
      <c r="AE932" s="549"/>
      <c r="AF932" s="541"/>
      <c r="AG932" s="366"/>
      <c r="AH932" s="366"/>
      <c r="AI932" s="366"/>
      <c r="AJ932" s="366"/>
      <c r="AK932" s="394"/>
      <c r="AL932" s="430"/>
      <c r="AM932" s="395"/>
      <c r="AN932" s="529"/>
      <c r="AO932" s="394"/>
      <c r="AP932" s="430"/>
      <c r="AQ932" s="395"/>
      <c r="AR932" s="529"/>
      <c r="AS932" s="542"/>
      <c r="AT932" s="542"/>
    </row>
    <row r="933">
      <c r="A933" s="394"/>
      <c r="B933" s="430"/>
      <c r="C933" s="395"/>
      <c r="D933" s="529"/>
      <c r="E933" s="394"/>
      <c r="F933" s="430"/>
      <c r="G933" s="395"/>
      <c r="H933" s="529"/>
      <c r="I933" s="394"/>
      <c r="J933" s="430"/>
      <c r="K933" s="395"/>
      <c r="L933" s="529"/>
      <c r="M933" s="394"/>
      <c r="N933" s="430"/>
      <c r="O933" s="395"/>
      <c r="P933" s="529"/>
      <c r="Q933" s="547"/>
      <c r="R933" s="548"/>
      <c r="S933" s="549"/>
      <c r="T933" s="541"/>
      <c r="U933" s="547"/>
      <c r="V933" s="548"/>
      <c r="W933" s="549"/>
      <c r="X933" s="541"/>
      <c r="Y933" s="547"/>
      <c r="Z933" s="548"/>
      <c r="AA933" s="549"/>
      <c r="AB933" s="541"/>
      <c r="AC933" s="547"/>
      <c r="AD933" s="548"/>
      <c r="AE933" s="549"/>
      <c r="AF933" s="541"/>
      <c r="AG933" s="366"/>
      <c r="AH933" s="366"/>
      <c r="AI933" s="366"/>
      <c r="AJ933" s="366"/>
      <c r="AK933" s="394"/>
      <c r="AL933" s="430"/>
      <c r="AM933" s="395"/>
      <c r="AN933" s="529"/>
      <c r="AO933" s="394"/>
      <c r="AP933" s="430"/>
      <c r="AQ933" s="395"/>
      <c r="AR933" s="529"/>
      <c r="AS933" s="542"/>
      <c r="AT933" s="542"/>
    </row>
    <row r="934">
      <c r="A934" s="394"/>
      <c r="B934" s="430"/>
      <c r="C934" s="395"/>
      <c r="D934" s="529"/>
      <c r="E934" s="394"/>
      <c r="F934" s="430"/>
      <c r="G934" s="395"/>
      <c r="H934" s="529"/>
      <c r="I934" s="394"/>
      <c r="J934" s="430"/>
      <c r="K934" s="395"/>
      <c r="L934" s="529"/>
      <c r="M934" s="394"/>
      <c r="N934" s="430"/>
      <c r="O934" s="395"/>
      <c r="P934" s="529"/>
      <c r="Q934" s="547"/>
      <c r="R934" s="548"/>
      <c r="S934" s="549"/>
      <c r="T934" s="541"/>
      <c r="U934" s="547"/>
      <c r="V934" s="548"/>
      <c r="W934" s="549"/>
      <c r="X934" s="541"/>
      <c r="Y934" s="547"/>
      <c r="Z934" s="548"/>
      <c r="AA934" s="549"/>
      <c r="AB934" s="541"/>
      <c r="AC934" s="547"/>
      <c r="AD934" s="548"/>
      <c r="AE934" s="549"/>
      <c r="AF934" s="541"/>
      <c r="AG934" s="366"/>
      <c r="AH934" s="366"/>
      <c r="AI934" s="366"/>
      <c r="AJ934" s="366"/>
      <c r="AK934" s="394"/>
      <c r="AL934" s="430"/>
      <c r="AM934" s="395"/>
      <c r="AN934" s="529"/>
      <c r="AO934" s="394"/>
      <c r="AP934" s="430"/>
      <c r="AQ934" s="395"/>
      <c r="AR934" s="529"/>
      <c r="AS934" s="542"/>
      <c r="AT934" s="542"/>
    </row>
    <row r="935">
      <c r="A935" s="394"/>
      <c r="B935" s="430"/>
      <c r="C935" s="395"/>
      <c r="D935" s="529"/>
      <c r="E935" s="394"/>
      <c r="F935" s="430"/>
      <c r="G935" s="395"/>
      <c r="H935" s="529"/>
      <c r="I935" s="394"/>
      <c r="J935" s="430"/>
      <c r="K935" s="395"/>
      <c r="L935" s="529"/>
      <c r="M935" s="394"/>
      <c r="N935" s="430"/>
      <c r="O935" s="395"/>
      <c r="P935" s="529"/>
      <c r="Q935" s="547"/>
      <c r="R935" s="548"/>
      <c r="S935" s="549"/>
      <c r="T935" s="541"/>
      <c r="U935" s="547"/>
      <c r="V935" s="548"/>
      <c r="W935" s="549"/>
      <c r="X935" s="541"/>
      <c r="Y935" s="547"/>
      <c r="Z935" s="548"/>
      <c r="AA935" s="549"/>
      <c r="AB935" s="541"/>
      <c r="AC935" s="547"/>
      <c r="AD935" s="548"/>
      <c r="AE935" s="549"/>
      <c r="AF935" s="541"/>
      <c r="AG935" s="366"/>
      <c r="AH935" s="366"/>
      <c r="AI935" s="366"/>
      <c r="AJ935" s="366"/>
      <c r="AK935" s="394"/>
      <c r="AL935" s="430"/>
      <c r="AM935" s="395"/>
      <c r="AN935" s="529"/>
      <c r="AO935" s="394"/>
      <c r="AP935" s="430"/>
      <c r="AQ935" s="395"/>
      <c r="AR935" s="529"/>
      <c r="AS935" s="542"/>
      <c r="AT935" s="542"/>
    </row>
    <row r="936">
      <c r="A936" s="394"/>
      <c r="B936" s="430"/>
      <c r="C936" s="395"/>
      <c r="D936" s="529"/>
      <c r="E936" s="394"/>
      <c r="F936" s="430"/>
      <c r="G936" s="395"/>
      <c r="H936" s="529"/>
      <c r="I936" s="394"/>
      <c r="J936" s="430"/>
      <c r="K936" s="395"/>
      <c r="L936" s="529"/>
      <c r="M936" s="394"/>
      <c r="N936" s="430"/>
      <c r="O936" s="395"/>
      <c r="P936" s="529"/>
      <c r="Q936" s="547"/>
      <c r="R936" s="548"/>
      <c r="S936" s="549"/>
      <c r="T936" s="541"/>
      <c r="U936" s="547"/>
      <c r="V936" s="548"/>
      <c r="W936" s="549"/>
      <c r="X936" s="541"/>
      <c r="Y936" s="547"/>
      <c r="Z936" s="548"/>
      <c r="AA936" s="549"/>
      <c r="AB936" s="541"/>
      <c r="AC936" s="547"/>
      <c r="AD936" s="548"/>
      <c r="AE936" s="549"/>
      <c r="AF936" s="541"/>
      <c r="AG936" s="366"/>
      <c r="AH936" s="366"/>
      <c r="AI936" s="366"/>
      <c r="AJ936" s="366"/>
      <c r="AK936" s="394"/>
      <c r="AL936" s="430"/>
      <c r="AM936" s="395"/>
      <c r="AN936" s="529"/>
      <c r="AO936" s="394"/>
      <c r="AP936" s="430"/>
      <c r="AQ936" s="395"/>
      <c r="AR936" s="529"/>
      <c r="AS936" s="542"/>
      <c r="AT936" s="542"/>
    </row>
    <row r="937">
      <c r="A937" s="394"/>
      <c r="B937" s="430"/>
      <c r="C937" s="395"/>
      <c r="D937" s="529"/>
      <c r="E937" s="394"/>
      <c r="F937" s="430"/>
      <c r="G937" s="395"/>
      <c r="H937" s="529"/>
      <c r="I937" s="394"/>
      <c r="J937" s="430"/>
      <c r="K937" s="395"/>
      <c r="L937" s="529"/>
      <c r="M937" s="394"/>
      <c r="N937" s="430"/>
      <c r="O937" s="395"/>
      <c r="P937" s="529"/>
      <c r="Q937" s="547"/>
      <c r="R937" s="548"/>
      <c r="S937" s="549"/>
      <c r="T937" s="541"/>
      <c r="U937" s="547"/>
      <c r="V937" s="548"/>
      <c r="W937" s="549"/>
      <c r="X937" s="541"/>
      <c r="Y937" s="547"/>
      <c r="Z937" s="548"/>
      <c r="AA937" s="549"/>
      <c r="AB937" s="541"/>
      <c r="AC937" s="547"/>
      <c r="AD937" s="548"/>
      <c r="AE937" s="549"/>
      <c r="AF937" s="541"/>
      <c r="AG937" s="366"/>
      <c r="AH937" s="366"/>
      <c r="AI937" s="366"/>
      <c r="AJ937" s="366"/>
      <c r="AK937" s="394"/>
      <c r="AL937" s="430"/>
      <c r="AM937" s="395"/>
      <c r="AN937" s="529"/>
      <c r="AO937" s="394"/>
      <c r="AP937" s="430"/>
      <c r="AQ937" s="395"/>
      <c r="AR937" s="529"/>
      <c r="AS937" s="542"/>
      <c r="AT937" s="542"/>
    </row>
    <row r="938">
      <c r="A938" s="394"/>
      <c r="B938" s="430"/>
      <c r="C938" s="395"/>
      <c r="D938" s="529"/>
      <c r="E938" s="394"/>
      <c r="F938" s="430"/>
      <c r="G938" s="395"/>
      <c r="H938" s="529"/>
      <c r="I938" s="394"/>
      <c r="J938" s="430"/>
      <c r="K938" s="395"/>
      <c r="L938" s="529"/>
      <c r="M938" s="394"/>
      <c r="N938" s="430"/>
      <c r="O938" s="395"/>
      <c r="P938" s="529"/>
      <c r="Q938" s="547"/>
      <c r="R938" s="548"/>
      <c r="S938" s="549"/>
      <c r="T938" s="541"/>
      <c r="U938" s="547"/>
      <c r="V938" s="548"/>
      <c r="W938" s="549"/>
      <c r="X938" s="541"/>
      <c r="Y938" s="547"/>
      <c r="Z938" s="548"/>
      <c r="AA938" s="549"/>
      <c r="AB938" s="541"/>
      <c r="AC938" s="547"/>
      <c r="AD938" s="548"/>
      <c r="AE938" s="549"/>
      <c r="AF938" s="541"/>
      <c r="AG938" s="366"/>
      <c r="AH938" s="366"/>
      <c r="AI938" s="366"/>
      <c r="AJ938" s="366"/>
      <c r="AK938" s="394"/>
      <c r="AL938" s="430"/>
      <c r="AM938" s="395"/>
      <c r="AN938" s="529"/>
      <c r="AO938" s="394"/>
      <c r="AP938" s="430"/>
      <c r="AQ938" s="395"/>
      <c r="AR938" s="529"/>
      <c r="AS938" s="542"/>
      <c r="AT938" s="542"/>
    </row>
    <row r="939">
      <c r="A939" s="394"/>
      <c r="B939" s="430"/>
      <c r="C939" s="395"/>
      <c r="D939" s="529"/>
      <c r="E939" s="394"/>
      <c r="F939" s="430"/>
      <c r="G939" s="395"/>
      <c r="H939" s="529"/>
      <c r="I939" s="394"/>
      <c r="J939" s="430"/>
      <c r="K939" s="395"/>
      <c r="L939" s="529"/>
      <c r="M939" s="394"/>
      <c r="N939" s="430"/>
      <c r="O939" s="395"/>
      <c r="P939" s="529"/>
      <c r="Q939" s="547"/>
      <c r="R939" s="548"/>
      <c r="S939" s="549"/>
      <c r="T939" s="541"/>
      <c r="U939" s="547"/>
      <c r="V939" s="548"/>
      <c r="W939" s="549"/>
      <c r="X939" s="541"/>
      <c r="Y939" s="547"/>
      <c r="Z939" s="548"/>
      <c r="AA939" s="549"/>
      <c r="AB939" s="541"/>
      <c r="AC939" s="547"/>
      <c r="AD939" s="548"/>
      <c r="AE939" s="549"/>
      <c r="AF939" s="541"/>
      <c r="AG939" s="366"/>
      <c r="AH939" s="366"/>
      <c r="AI939" s="366"/>
      <c r="AJ939" s="366"/>
      <c r="AK939" s="394"/>
      <c r="AL939" s="430"/>
      <c r="AM939" s="395"/>
      <c r="AN939" s="529"/>
      <c r="AO939" s="394"/>
      <c r="AP939" s="430"/>
      <c r="AQ939" s="395"/>
      <c r="AR939" s="529"/>
      <c r="AS939" s="542"/>
      <c r="AT939" s="542"/>
    </row>
    <row r="940">
      <c r="A940" s="394"/>
      <c r="B940" s="430"/>
      <c r="C940" s="395"/>
      <c r="D940" s="529"/>
      <c r="E940" s="394"/>
      <c r="F940" s="430"/>
      <c r="G940" s="395"/>
      <c r="H940" s="529"/>
      <c r="I940" s="394"/>
      <c r="J940" s="430"/>
      <c r="K940" s="395"/>
      <c r="L940" s="529"/>
      <c r="M940" s="394"/>
      <c r="N940" s="430"/>
      <c r="O940" s="395"/>
      <c r="P940" s="529"/>
      <c r="Q940" s="547"/>
      <c r="R940" s="548"/>
      <c r="S940" s="549"/>
      <c r="T940" s="541"/>
      <c r="U940" s="547"/>
      <c r="V940" s="548"/>
      <c r="W940" s="549"/>
      <c r="X940" s="541"/>
      <c r="Y940" s="547"/>
      <c r="Z940" s="548"/>
      <c r="AA940" s="549"/>
      <c r="AB940" s="541"/>
      <c r="AC940" s="547"/>
      <c r="AD940" s="548"/>
      <c r="AE940" s="549"/>
      <c r="AF940" s="541"/>
      <c r="AG940" s="366"/>
      <c r="AH940" s="366"/>
      <c r="AI940" s="366"/>
      <c r="AJ940" s="366"/>
      <c r="AK940" s="394"/>
      <c r="AL940" s="430"/>
      <c r="AM940" s="395"/>
      <c r="AN940" s="529"/>
      <c r="AO940" s="394"/>
      <c r="AP940" s="430"/>
      <c r="AQ940" s="395"/>
      <c r="AR940" s="529"/>
      <c r="AS940" s="542"/>
      <c r="AT940" s="542"/>
    </row>
    <row r="941">
      <c r="A941" s="394"/>
      <c r="B941" s="430"/>
      <c r="C941" s="395"/>
      <c r="D941" s="529"/>
      <c r="E941" s="394"/>
      <c r="F941" s="430"/>
      <c r="G941" s="395"/>
      <c r="H941" s="529"/>
      <c r="I941" s="394"/>
      <c r="J941" s="430"/>
      <c r="K941" s="395"/>
      <c r="L941" s="529"/>
      <c r="M941" s="394"/>
      <c r="N941" s="430"/>
      <c r="O941" s="395"/>
      <c r="P941" s="529"/>
      <c r="Q941" s="547"/>
      <c r="R941" s="548"/>
      <c r="S941" s="549"/>
      <c r="T941" s="541"/>
      <c r="U941" s="547"/>
      <c r="V941" s="548"/>
      <c r="W941" s="549"/>
      <c r="X941" s="541"/>
      <c r="Y941" s="547"/>
      <c r="Z941" s="548"/>
      <c r="AA941" s="549"/>
      <c r="AB941" s="541"/>
      <c r="AC941" s="547"/>
      <c r="AD941" s="548"/>
      <c r="AE941" s="549"/>
      <c r="AF941" s="541"/>
      <c r="AG941" s="366"/>
      <c r="AH941" s="366"/>
      <c r="AI941" s="366"/>
      <c r="AJ941" s="366"/>
      <c r="AK941" s="394"/>
      <c r="AL941" s="430"/>
      <c r="AM941" s="395"/>
      <c r="AN941" s="529"/>
      <c r="AO941" s="394"/>
      <c r="AP941" s="430"/>
      <c r="AQ941" s="395"/>
      <c r="AR941" s="529"/>
      <c r="AS941" s="542"/>
      <c r="AT941" s="542"/>
    </row>
    <row r="942">
      <c r="A942" s="394"/>
      <c r="B942" s="430"/>
      <c r="C942" s="395"/>
      <c r="D942" s="529"/>
      <c r="E942" s="394"/>
      <c r="F942" s="430"/>
      <c r="G942" s="395"/>
      <c r="H942" s="529"/>
      <c r="I942" s="394"/>
      <c r="J942" s="430"/>
      <c r="K942" s="395"/>
      <c r="L942" s="529"/>
      <c r="M942" s="394"/>
      <c r="N942" s="430"/>
      <c r="O942" s="395"/>
      <c r="P942" s="529"/>
      <c r="Q942" s="547"/>
      <c r="R942" s="548"/>
      <c r="S942" s="549"/>
      <c r="T942" s="541"/>
      <c r="U942" s="547"/>
      <c r="V942" s="548"/>
      <c r="W942" s="549"/>
      <c r="X942" s="541"/>
      <c r="Y942" s="547"/>
      <c r="Z942" s="548"/>
      <c r="AA942" s="549"/>
      <c r="AB942" s="541"/>
      <c r="AC942" s="547"/>
      <c r="AD942" s="548"/>
      <c r="AE942" s="549"/>
      <c r="AF942" s="541"/>
      <c r="AG942" s="366"/>
      <c r="AH942" s="366"/>
      <c r="AI942" s="366"/>
      <c r="AJ942" s="366"/>
      <c r="AK942" s="394"/>
      <c r="AL942" s="430"/>
      <c r="AM942" s="395"/>
      <c r="AN942" s="529"/>
      <c r="AO942" s="394"/>
      <c r="AP942" s="430"/>
      <c r="AQ942" s="395"/>
      <c r="AR942" s="529"/>
      <c r="AS942" s="542"/>
      <c r="AT942" s="542"/>
    </row>
    <row r="943">
      <c r="A943" s="394"/>
      <c r="B943" s="430"/>
      <c r="C943" s="395"/>
      <c r="D943" s="529"/>
      <c r="E943" s="394"/>
      <c r="F943" s="430"/>
      <c r="G943" s="395"/>
      <c r="H943" s="529"/>
      <c r="I943" s="394"/>
      <c r="J943" s="430"/>
      <c r="K943" s="395"/>
      <c r="L943" s="529"/>
      <c r="M943" s="394"/>
      <c r="N943" s="430"/>
      <c r="O943" s="395"/>
      <c r="P943" s="529"/>
      <c r="Q943" s="547"/>
      <c r="R943" s="548"/>
      <c r="S943" s="549"/>
      <c r="T943" s="541"/>
      <c r="U943" s="547"/>
      <c r="V943" s="548"/>
      <c r="W943" s="549"/>
      <c r="X943" s="541"/>
      <c r="Y943" s="547"/>
      <c r="Z943" s="548"/>
      <c r="AA943" s="549"/>
      <c r="AB943" s="541"/>
      <c r="AC943" s="547"/>
      <c r="AD943" s="548"/>
      <c r="AE943" s="549"/>
      <c r="AF943" s="541"/>
      <c r="AG943" s="366"/>
      <c r="AH943" s="366"/>
      <c r="AI943" s="366"/>
      <c r="AJ943" s="366"/>
      <c r="AK943" s="394"/>
      <c r="AL943" s="430"/>
      <c r="AM943" s="395"/>
      <c r="AN943" s="529"/>
      <c r="AO943" s="394"/>
      <c r="AP943" s="430"/>
      <c r="AQ943" s="395"/>
      <c r="AR943" s="529"/>
      <c r="AS943" s="542"/>
      <c r="AT943" s="542"/>
    </row>
    <row r="944">
      <c r="A944" s="394"/>
      <c r="B944" s="430"/>
      <c r="C944" s="395"/>
      <c r="D944" s="529"/>
      <c r="E944" s="394"/>
      <c r="F944" s="430"/>
      <c r="G944" s="395"/>
      <c r="H944" s="529"/>
      <c r="I944" s="394"/>
      <c r="J944" s="430"/>
      <c r="K944" s="395"/>
      <c r="L944" s="529"/>
      <c r="M944" s="394"/>
      <c r="N944" s="430"/>
      <c r="O944" s="395"/>
      <c r="P944" s="529"/>
      <c r="Q944" s="547"/>
      <c r="R944" s="548"/>
      <c r="S944" s="549"/>
      <c r="T944" s="541"/>
      <c r="U944" s="547"/>
      <c r="V944" s="548"/>
      <c r="W944" s="549"/>
      <c r="X944" s="541"/>
      <c r="Y944" s="547"/>
      <c r="Z944" s="548"/>
      <c r="AA944" s="549"/>
      <c r="AB944" s="541"/>
      <c r="AC944" s="547"/>
      <c r="AD944" s="548"/>
      <c r="AE944" s="549"/>
      <c r="AF944" s="541"/>
      <c r="AG944" s="366"/>
      <c r="AH944" s="366"/>
      <c r="AI944" s="366"/>
      <c r="AJ944" s="366"/>
      <c r="AK944" s="394"/>
      <c r="AL944" s="430"/>
      <c r="AM944" s="395"/>
      <c r="AN944" s="529"/>
      <c r="AO944" s="394"/>
      <c r="AP944" s="430"/>
      <c r="AQ944" s="395"/>
      <c r="AR944" s="529"/>
      <c r="AS944" s="542"/>
      <c r="AT944" s="542"/>
    </row>
    <row r="945">
      <c r="A945" s="394"/>
      <c r="B945" s="430"/>
      <c r="C945" s="395"/>
      <c r="D945" s="529"/>
      <c r="E945" s="394"/>
      <c r="F945" s="430"/>
      <c r="G945" s="395"/>
      <c r="H945" s="529"/>
      <c r="I945" s="394"/>
      <c r="J945" s="430"/>
      <c r="K945" s="395"/>
      <c r="L945" s="529"/>
      <c r="M945" s="394"/>
      <c r="N945" s="430"/>
      <c r="O945" s="395"/>
      <c r="P945" s="529"/>
      <c r="Q945" s="547"/>
      <c r="R945" s="548"/>
      <c r="S945" s="549"/>
      <c r="T945" s="541"/>
      <c r="U945" s="547"/>
      <c r="V945" s="548"/>
      <c r="W945" s="549"/>
      <c r="X945" s="541"/>
      <c r="Y945" s="547"/>
      <c r="Z945" s="548"/>
      <c r="AA945" s="549"/>
      <c r="AB945" s="541"/>
      <c r="AC945" s="547"/>
      <c r="AD945" s="548"/>
      <c r="AE945" s="549"/>
      <c r="AF945" s="541"/>
      <c r="AG945" s="366"/>
      <c r="AH945" s="366"/>
      <c r="AI945" s="366"/>
      <c r="AJ945" s="366"/>
      <c r="AK945" s="394"/>
      <c r="AL945" s="430"/>
      <c r="AM945" s="395"/>
      <c r="AN945" s="529"/>
      <c r="AO945" s="394"/>
      <c r="AP945" s="430"/>
      <c r="AQ945" s="395"/>
      <c r="AR945" s="529"/>
      <c r="AS945" s="542"/>
      <c r="AT945" s="542"/>
    </row>
    <row r="946">
      <c r="A946" s="394"/>
      <c r="B946" s="430"/>
      <c r="C946" s="395"/>
      <c r="D946" s="529"/>
      <c r="E946" s="394"/>
      <c r="F946" s="430"/>
      <c r="G946" s="395"/>
      <c r="H946" s="529"/>
      <c r="I946" s="394"/>
      <c r="J946" s="430"/>
      <c r="K946" s="395"/>
      <c r="L946" s="529"/>
      <c r="M946" s="394"/>
      <c r="N946" s="430"/>
      <c r="O946" s="395"/>
      <c r="P946" s="529"/>
      <c r="Q946" s="547"/>
      <c r="R946" s="548"/>
      <c r="S946" s="549"/>
      <c r="T946" s="541"/>
      <c r="U946" s="547"/>
      <c r="V946" s="548"/>
      <c r="W946" s="549"/>
      <c r="X946" s="541"/>
      <c r="Y946" s="547"/>
      <c r="Z946" s="548"/>
      <c r="AA946" s="549"/>
      <c r="AB946" s="541"/>
      <c r="AC946" s="547"/>
      <c r="AD946" s="548"/>
      <c r="AE946" s="549"/>
      <c r="AF946" s="541"/>
      <c r="AG946" s="366"/>
      <c r="AH946" s="366"/>
      <c r="AI946" s="366"/>
      <c r="AJ946" s="366"/>
      <c r="AK946" s="394"/>
      <c r="AL946" s="430"/>
      <c r="AM946" s="395"/>
      <c r="AN946" s="529"/>
      <c r="AO946" s="394"/>
      <c r="AP946" s="430"/>
      <c r="AQ946" s="395"/>
      <c r="AR946" s="529"/>
      <c r="AS946" s="542"/>
      <c r="AT946" s="542"/>
    </row>
    <row r="947">
      <c r="A947" s="394"/>
      <c r="B947" s="430"/>
      <c r="C947" s="395"/>
      <c r="D947" s="529"/>
      <c r="E947" s="394"/>
      <c r="F947" s="430"/>
      <c r="G947" s="395"/>
      <c r="H947" s="529"/>
      <c r="I947" s="394"/>
      <c r="J947" s="430"/>
      <c r="K947" s="395"/>
      <c r="L947" s="529"/>
      <c r="M947" s="394"/>
      <c r="N947" s="430"/>
      <c r="O947" s="395"/>
      <c r="P947" s="529"/>
      <c r="Q947" s="547"/>
      <c r="R947" s="548"/>
      <c r="S947" s="549"/>
      <c r="T947" s="541"/>
      <c r="U947" s="547"/>
      <c r="V947" s="548"/>
      <c r="W947" s="549"/>
      <c r="X947" s="541"/>
      <c r="Y947" s="547"/>
      <c r="Z947" s="548"/>
      <c r="AA947" s="549"/>
      <c r="AB947" s="541"/>
      <c r="AC947" s="547"/>
      <c r="AD947" s="548"/>
      <c r="AE947" s="549"/>
      <c r="AF947" s="541"/>
      <c r="AG947" s="366"/>
      <c r="AH947" s="366"/>
      <c r="AI947" s="366"/>
      <c r="AJ947" s="366"/>
      <c r="AK947" s="394"/>
      <c r="AL947" s="430"/>
      <c r="AM947" s="395"/>
      <c r="AN947" s="529"/>
      <c r="AO947" s="394"/>
      <c r="AP947" s="430"/>
      <c r="AQ947" s="395"/>
      <c r="AR947" s="529"/>
      <c r="AS947" s="542"/>
      <c r="AT947" s="542"/>
    </row>
    <row r="948">
      <c r="A948" s="394"/>
      <c r="B948" s="430"/>
      <c r="C948" s="395"/>
      <c r="D948" s="529"/>
      <c r="E948" s="394"/>
      <c r="F948" s="430"/>
      <c r="G948" s="395"/>
      <c r="H948" s="529"/>
      <c r="I948" s="394"/>
      <c r="J948" s="430"/>
      <c r="K948" s="395"/>
      <c r="L948" s="529"/>
      <c r="M948" s="394"/>
      <c r="N948" s="430"/>
      <c r="O948" s="395"/>
      <c r="P948" s="529"/>
      <c r="Q948" s="547"/>
      <c r="R948" s="548"/>
      <c r="S948" s="549"/>
      <c r="T948" s="541"/>
      <c r="U948" s="547"/>
      <c r="V948" s="548"/>
      <c r="W948" s="549"/>
      <c r="X948" s="541"/>
      <c r="Y948" s="547"/>
      <c r="Z948" s="548"/>
      <c r="AA948" s="549"/>
      <c r="AB948" s="541"/>
      <c r="AC948" s="547"/>
      <c r="AD948" s="548"/>
      <c r="AE948" s="549"/>
      <c r="AF948" s="541"/>
      <c r="AG948" s="366"/>
      <c r="AH948" s="366"/>
      <c r="AI948" s="366"/>
      <c r="AJ948" s="366"/>
      <c r="AK948" s="394"/>
      <c r="AL948" s="430"/>
      <c r="AM948" s="395"/>
      <c r="AN948" s="529"/>
      <c r="AO948" s="394"/>
      <c r="AP948" s="430"/>
      <c r="AQ948" s="395"/>
      <c r="AR948" s="529"/>
      <c r="AS948" s="542"/>
      <c r="AT948" s="542"/>
    </row>
    <row r="949">
      <c r="A949" s="394"/>
      <c r="B949" s="430"/>
      <c r="C949" s="395"/>
      <c r="D949" s="529"/>
      <c r="E949" s="394"/>
      <c r="F949" s="430"/>
      <c r="G949" s="395"/>
      <c r="H949" s="529"/>
      <c r="I949" s="394"/>
      <c r="J949" s="430"/>
      <c r="K949" s="395"/>
      <c r="L949" s="529"/>
      <c r="M949" s="394"/>
      <c r="N949" s="430"/>
      <c r="O949" s="395"/>
      <c r="P949" s="529"/>
      <c r="Q949" s="547"/>
      <c r="R949" s="548"/>
      <c r="S949" s="549"/>
      <c r="T949" s="541"/>
      <c r="U949" s="547"/>
      <c r="V949" s="548"/>
      <c r="W949" s="549"/>
      <c r="X949" s="541"/>
      <c r="Y949" s="547"/>
      <c r="Z949" s="548"/>
      <c r="AA949" s="549"/>
      <c r="AB949" s="541"/>
      <c r="AC949" s="547"/>
      <c r="AD949" s="548"/>
      <c r="AE949" s="549"/>
      <c r="AF949" s="541"/>
      <c r="AG949" s="366"/>
      <c r="AH949" s="366"/>
      <c r="AI949" s="366"/>
      <c r="AJ949" s="366"/>
      <c r="AK949" s="394"/>
      <c r="AL949" s="430"/>
      <c r="AM949" s="395"/>
      <c r="AN949" s="529"/>
      <c r="AO949" s="394"/>
      <c r="AP949" s="430"/>
      <c r="AQ949" s="395"/>
      <c r="AR949" s="529"/>
      <c r="AS949" s="542"/>
      <c r="AT949" s="542"/>
    </row>
    <row r="950">
      <c r="A950" s="394"/>
      <c r="B950" s="430"/>
      <c r="C950" s="395"/>
      <c r="D950" s="529"/>
      <c r="E950" s="394"/>
      <c r="F950" s="430"/>
      <c r="G950" s="395"/>
      <c r="H950" s="529"/>
      <c r="I950" s="394"/>
      <c r="J950" s="430"/>
      <c r="K950" s="395"/>
      <c r="L950" s="529"/>
      <c r="M950" s="394"/>
      <c r="N950" s="430"/>
      <c r="O950" s="395"/>
      <c r="P950" s="529"/>
      <c r="Q950" s="547"/>
      <c r="R950" s="548"/>
      <c r="S950" s="549"/>
      <c r="T950" s="541"/>
      <c r="U950" s="547"/>
      <c r="V950" s="548"/>
      <c r="W950" s="549"/>
      <c r="X950" s="541"/>
      <c r="Y950" s="547"/>
      <c r="Z950" s="548"/>
      <c r="AA950" s="549"/>
      <c r="AB950" s="541"/>
      <c r="AC950" s="547"/>
      <c r="AD950" s="548"/>
      <c r="AE950" s="549"/>
      <c r="AF950" s="541"/>
      <c r="AG950" s="366"/>
      <c r="AH950" s="366"/>
      <c r="AI950" s="366"/>
      <c r="AJ950" s="366"/>
      <c r="AK950" s="394"/>
      <c r="AL950" s="430"/>
      <c r="AM950" s="395"/>
      <c r="AN950" s="529"/>
      <c r="AO950" s="394"/>
      <c r="AP950" s="430"/>
      <c r="AQ950" s="395"/>
      <c r="AR950" s="529"/>
      <c r="AS950" s="542"/>
      <c r="AT950" s="542"/>
    </row>
    <row r="951">
      <c r="A951" s="394"/>
      <c r="B951" s="430"/>
      <c r="C951" s="395"/>
      <c r="D951" s="529"/>
      <c r="E951" s="394"/>
      <c r="F951" s="430"/>
      <c r="G951" s="395"/>
      <c r="H951" s="529"/>
      <c r="I951" s="394"/>
      <c r="J951" s="430"/>
      <c r="K951" s="395"/>
      <c r="L951" s="529"/>
      <c r="M951" s="394"/>
      <c r="N951" s="430"/>
      <c r="O951" s="395"/>
      <c r="P951" s="529"/>
      <c r="Q951" s="547"/>
      <c r="R951" s="548"/>
      <c r="S951" s="549"/>
      <c r="T951" s="541"/>
      <c r="U951" s="547"/>
      <c r="V951" s="548"/>
      <c r="W951" s="549"/>
      <c r="X951" s="541"/>
      <c r="Y951" s="547"/>
      <c r="Z951" s="548"/>
      <c r="AA951" s="549"/>
      <c r="AB951" s="541"/>
      <c r="AC951" s="547"/>
      <c r="AD951" s="548"/>
      <c r="AE951" s="549"/>
      <c r="AF951" s="541"/>
      <c r="AG951" s="366"/>
      <c r="AH951" s="366"/>
      <c r="AI951" s="366"/>
      <c r="AJ951" s="366"/>
      <c r="AK951" s="394"/>
      <c r="AL951" s="430"/>
      <c r="AM951" s="395"/>
      <c r="AN951" s="529"/>
      <c r="AO951" s="394"/>
      <c r="AP951" s="430"/>
      <c r="AQ951" s="395"/>
      <c r="AR951" s="529"/>
      <c r="AS951" s="542"/>
      <c r="AT951" s="542"/>
    </row>
    <row r="952">
      <c r="A952" s="394"/>
      <c r="B952" s="430"/>
      <c r="C952" s="395"/>
      <c r="D952" s="529"/>
      <c r="E952" s="394"/>
      <c r="F952" s="430"/>
      <c r="G952" s="395"/>
      <c r="H952" s="529"/>
      <c r="I952" s="394"/>
      <c r="J952" s="430"/>
      <c r="K952" s="395"/>
      <c r="L952" s="529"/>
      <c r="M952" s="394"/>
      <c r="N952" s="430"/>
      <c r="O952" s="395"/>
      <c r="P952" s="529"/>
      <c r="Q952" s="547"/>
      <c r="R952" s="548"/>
      <c r="S952" s="549"/>
      <c r="T952" s="541"/>
      <c r="U952" s="547"/>
      <c r="V952" s="548"/>
      <c r="W952" s="549"/>
      <c r="X952" s="541"/>
      <c r="Y952" s="547"/>
      <c r="Z952" s="548"/>
      <c r="AA952" s="549"/>
      <c r="AB952" s="541"/>
      <c r="AC952" s="547"/>
      <c r="AD952" s="548"/>
      <c r="AE952" s="549"/>
      <c r="AF952" s="541"/>
      <c r="AG952" s="366"/>
      <c r="AH952" s="366"/>
      <c r="AI952" s="366"/>
      <c r="AJ952" s="366"/>
      <c r="AK952" s="394"/>
      <c r="AL952" s="430"/>
      <c r="AM952" s="395"/>
      <c r="AN952" s="529"/>
      <c r="AO952" s="394"/>
      <c r="AP952" s="430"/>
      <c r="AQ952" s="395"/>
      <c r="AR952" s="529"/>
      <c r="AS952" s="542"/>
      <c r="AT952" s="542"/>
    </row>
    <row r="953">
      <c r="A953" s="394"/>
      <c r="B953" s="430"/>
      <c r="C953" s="395"/>
      <c r="D953" s="529"/>
      <c r="E953" s="394"/>
      <c r="F953" s="430"/>
      <c r="G953" s="395"/>
      <c r="H953" s="529"/>
      <c r="I953" s="394"/>
      <c r="J953" s="430"/>
      <c r="K953" s="395"/>
      <c r="L953" s="529"/>
      <c r="M953" s="394"/>
      <c r="N953" s="430"/>
      <c r="O953" s="395"/>
      <c r="P953" s="529"/>
      <c r="Q953" s="547"/>
      <c r="R953" s="548"/>
      <c r="S953" s="549"/>
      <c r="T953" s="541"/>
      <c r="U953" s="547"/>
      <c r="V953" s="548"/>
      <c r="W953" s="549"/>
      <c r="X953" s="541"/>
      <c r="Y953" s="547"/>
      <c r="Z953" s="548"/>
      <c r="AA953" s="549"/>
      <c r="AB953" s="541"/>
      <c r="AC953" s="547"/>
      <c r="AD953" s="548"/>
      <c r="AE953" s="549"/>
      <c r="AF953" s="541"/>
      <c r="AG953" s="366"/>
      <c r="AH953" s="366"/>
      <c r="AI953" s="366"/>
      <c r="AJ953" s="366"/>
      <c r="AK953" s="394"/>
      <c r="AL953" s="430"/>
      <c r="AM953" s="395"/>
      <c r="AN953" s="529"/>
      <c r="AO953" s="394"/>
      <c r="AP953" s="430"/>
      <c r="AQ953" s="395"/>
      <c r="AR953" s="529"/>
      <c r="AS953" s="542"/>
      <c r="AT953" s="542"/>
    </row>
    <row r="954">
      <c r="A954" s="394"/>
      <c r="B954" s="430"/>
      <c r="C954" s="395"/>
      <c r="D954" s="529"/>
      <c r="E954" s="394"/>
      <c r="F954" s="430"/>
      <c r="G954" s="395"/>
      <c r="H954" s="529"/>
      <c r="I954" s="394"/>
      <c r="J954" s="430"/>
      <c r="K954" s="395"/>
      <c r="L954" s="529"/>
      <c r="M954" s="394"/>
      <c r="N954" s="430"/>
      <c r="O954" s="395"/>
      <c r="P954" s="529"/>
      <c r="Q954" s="547"/>
      <c r="R954" s="548"/>
      <c r="S954" s="549"/>
      <c r="T954" s="541"/>
      <c r="U954" s="547"/>
      <c r="V954" s="548"/>
      <c r="W954" s="549"/>
      <c r="X954" s="541"/>
      <c r="Y954" s="547"/>
      <c r="Z954" s="548"/>
      <c r="AA954" s="549"/>
      <c r="AB954" s="541"/>
      <c r="AC954" s="547"/>
      <c r="AD954" s="548"/>
      <c r="AE954" s="549"/>
      <c r="AF954" s="541"/>
      <c r="AG954" s="366"/>
      <c r="AH954" s="366"/>
      <c r="AI954" s="366"/>
      <c r="AJ954" s="366"/>
      <c r="AK954" s="394"/>
      <c r="AL954" s="430"/>
      <c r="AM954" s="395"/>
      <c r="AN954" s="529"/>
      <c r="AO954" s="394"/>
      <c r="AP954" s="430"/>
      <c r="AQ954" s="395"/>
      <c r="AR954" s="529"/>
      <c r="AS954" s="542"/>
      <c r="AT954" s="542"/>
    </row>
    <row r="955">
      <c r="A955" s="394"/>
      <c r="B955" s="430"/>
      <c r="C955" s="395"/>
      <c r="D955" s="529"/>
      <c r="E955" s="394"/>
      <c r="F955" s="430"/>
      <c r="G955" s="395"/>
      <c r="H955" s="529"/>
      <c r="I955" s="394"/>
      <c r="J955" s="430"/>
      <c r="K955" s="395"/>
      <c r="L955" s="529"/>
      <c r="M955" s="394"/>
      <c r="N955" s="430"/>
      <c r="O955" s="395"/>
      <c r="P955" s="529"/>
      <c r="Q955" s="547"/>
      <c r="R955" s="548"/>
      <c r="S955" s="549"/>
      <c r="T955" s="541"/>
      <c r="U955" s="547"/>
      <c r="V955" s="548"/>
      <c r="W955" s="549"/>
      <c r="X955" s="541"/>
      <c r="Y955" s="547"/>
      <c r="Z955" s="548"/>
      <c r="AA955" s="549"/>
      <c r="AB955" s="541"/>
      <c r="AC955" s="547"/>
      <c r="AD955" s="548"/>
      <c r="AE955" s="549"/>
      <c r="AF955" s="541"/>
      <c r="AG955" s="366"/>
      <c r="AH955" s="366"/>
      <c r="AI955" s="366"/>
      <c r="AJ955" s="366"/>
      <c r="AK955" s="394"/>
      <c r="AL955" s="430"/>
      <c r="AM955" s="395"/>
      <c r="AN955" s="529"/>
      <c r="AO955" s="394"/>
      <c r="AP955" s="430"/>
      <c r="AQ955" s="395"/>
      <c r="AR955" s="529"/>
      <c r="AS955" s="542"/>
      <c r="AT955" s="542"/>
    </row>
    <row r="956">
      <c r="A956" s="394"/>
      <c r="B956" s="430"/>
      <c r="C956" s="395"/>
      <c r="D956" s="529"/>
      <c r="E956" s="394"/>
      <c r="F956" s="430"/>
      <c r="G956" s="395"/>
      <c r="H956" s="529"/>
      <c r="I956" s="394"/>
      <c r="J956" s="430"/>
      <c r="K956" s="395"/>
      <c r="L956" s="529"/>
      <c r="M956" s="394"/>
      <c r="N956" s="430"/>
      <c r="O956" s="395"/>
      <c r="P956" s="529"/>
      <c r="Q956" s="547"/>
      <c r="R956" s="548"/>
      <c r="S956" s="549"/>
      <c r="T956" s="541"/>
      <c r="U956" s="547"/>
      <c r="V956" s="548"/>
      <c r="W956" s="549"/>
      <c r="X956" s="541"/>
      <c r="Y956" s="547"/>
      <c r="Z956" s="548"/>
      <c r="AA956" s="549"/>
      <c r="AB956" s="541"/>
      <c r="AC956" s="547"/>
      <c r="AD956" s="548"/>
      <c r="AE956" s="549"/>
      <c r="AF956" s="541"/>
      <c r="AG956" s="366"/>
      <c r="AH956" s="366"/>
      <c r="AI956" s="366"/>
      <c r="AJ956" s="366"/>
      <c r="AK956" s="394"/>
      <c r="AL956" s="430"/>
      <c r="AM956" s="395"/>
      <c r="AN956" s="529"/>
      <c r="AO956" s="394"/>
      <c r="AP956" s="430"/>
      <c r="AQ956" s="395"/>
      <c r="AR956" s="529"/>
      <c r="AS956" s="542"/>
      <c r="AT956" s="542"/>
    </row>
    <row r="957">
      <c r="A957" s="394"/>
      <c r="B957" s="430"/>
      <c r="C957" s="395"/>
      <c r="D957" s="529"/>
      <c r="E957" s="394"/>
      <c r="F957" s="430"/>
      <c r="G957" s="395"/>
      <c r="H957" s="529"/>
      <c r="I957" s="394"/>
      <c r="J957" s="430"/>
      <c r="K957" s="395"/>
      <c r="L957" s="529"/>
      <c r="M957" s="394"/>
      <c r="N957" s="430"/>
      <c r="O957" s="395"/>
      <c r="P957" s="529"/>
      <c r="Q957" s="547"/>
      <c r="R957" s="548"/>
      <c r="S957" s="549"/>
      <c r="T957" s="541"/>
      <c r="U957" s="547"/>
      <c r="V957" s="548"/>
      <c r="W957" s="549"/>
      <c r="X957" s="541"/>
      <c r="Y957" s="547"/>
      <c r="Z957" s="548"/>
      <c r="AA957" s="549"/>
      <c r="AB957" s="541"/>
      <c r="AC957" s="547"/>
      <c r="AD957" s="548"/>
      <c r="AE957" s="549"/>
      <c r="AF957" s="541"/>
      <c r="AG957" s="366"/>
      <c r="AH957" s="366"/>
      <c r="AI957" s="366"/>
      <c r="AJ957" s="366"/>
      <c r="AK957" s="394"/>
      <c r="AL957" s="430"/>
      <c r="AM957" s="395"/>
      <c r="AN957" s="529"/>
      <c r="AO957" s="394"/>
      <c r="AP957" s="430"/>
      <c r="AQ957" s="395"/>
      <c r="AR957" s="529"/>
      <c r="AS957" s="542"/>
      <c r="AT957" s="542"/>
    </row>
    <row r="958">
      <c r="A958" s="394"/>
      <c r="B958" s="430"/>
      <c r="C958" s="395"/>
      <c r="D958" s="529"/>
      <c r="E958" s="394"/>
      <c r="F958" s="430"/>
      <c r="G958" s="395"/>
      <c r="H958" s="529"/>
      <c r="I958" s="394"/>
      <c r="J958" s="430"/>
      <c r="K958" s="395"/>
      <c r="L958" s="529"/>
      <c r="M958" s="394"/>
      <c r="N958" s="430"/>
      <c r="O958" s="395"/>
      <c r="P958" s="529"/>
      <c r="Q958" s="547"/>
      <c r="R958" s="548"/>
      <c r="S958" s="549"/>
      <c r="T958" s="541"/>
      <c r="U958" s="547"/>
      <c r="V958" s="548"/>
      <c r="W958" s="549"/>
      <c r="X958" s="541"/>
      <c r="Y958" s="547"/>
      <c r="Z958" s="548"/>
      <c r="AA958" s="549"/>
      <c r="AB958" s="541"/>
      <c r="AC958" s="547"/>
      <c r="AD958" s="548"/>
      <c r="AE958" s="549"/>
      <c r="AF958" s="541"/>
      <c r="AG958" s="366"/>
      <c r="AH958" s="366"/>
      <c r="AI958" s="366"/>
      <c r="AJ958" s="366"/>
      <c r="AK958" s="394"/>
      <c r="AL958" s="430"/>
      <c r="AM958" s="395"/>
      <c r="AN958" s="529"/>
      <c r="AO958" s="394"/>
      <c r="AP958" s="430"/>
      <c r="AQ958" s="395"/>
      <c r="AR958" s="529"/>
      <c r="AS958" s="542"/>
      <c r="AT958" s="542"/>
    </row>
    <row r="959">
      <c r="A959" s="394"/>
      <c r="B959" s="430"/>
      <c r="C959" s="395"/>
      <c r="D959" s="529"/>
      <c r="E959" s="394"/>
      <c r="F959" s="430"/>
      <c r="G959" s="395"/>
      <c r="H959" s="529"/>
      <c r="I959" s="394"/>
      <c r="J959" s="430"/>
      <c r="K959" s="395"/>
      <c r="L959" s="529"/>
      <c r="M959" s="394"/>
      <c r="N959" s="430"/>
      <c r="O959" s="395"/>
      <c r="P959" s="529"/>
      <c r="Q959" s="547"/>
      <c r="R959" s="548"/>
      <c r="S959" s="549"/>
      <c r="T959" s="541"/>
      <c r="U959" s="547"/>
      <c r="V959" s="548"/>
      <c r="W959" s="549"/>
      <c r="X959" s="541"/>
      <c r="Y959" s="547"/>
      <c r="Z959" s="548"/>
      <c r="AA959" s="549"/>
      <c r="AB959" s="541"/>
      <c r="AC959" s="547"/>
      <c r="AD959" s="548"/>
      <c r="AE959" s="549"/>
      <c r="AF959" s="541"/>
      <c r="AG959" s="366"/>
      <c r="AH959" s="366"/>
      <c r="AI959" s="366"/>
      <c r="AJ959" s="366"/>
      <c r="AK959" s="394"/>
      <c r="AL959" s="430"/>
      <c r="AM959" s="395"/>
      <c r="AN959" s="529"/>
      <c r="AO959" s="394"/>
      <c r="AP959" s="430"/>
      <c r="AQ959" s="395"/>
      <c r="AR959" s="529"/>
      <c r="AS959" s="542"/>
      <c r="AT959" s="542"/>
    </row>
    <row r="960">
      <c r="A960" s="394"/>
      <c r="B960" s="430"/>
      <c r="C960" s="395"/>
      <c r="D960" s="529"/>
      <c r="E960" s="394"/>
      <c r="F960" s="430"/>
      <c r="G960" s="395"/>
      <c r="H960" s="529"/>
      <c r="I960" s="394"/>
      <c r="J960" s="430"/>
      <c r="K960" s="395"/>
      <c r="L960" s="529"/>
      <c r="M960" s="394"/>
      <c r="N960" s="430"/>
      <c r="O960" s="395"/>
      <c r="P960" s="529"/>
      <c r="Q960" s="547"/>
      <c r="R960" s="548"/>
      <c r="S960" s="549"/>
      <c r="T960" s="541"/>
      <c r="U960" s="547"/>
      <c r="V960" s="548"/>
      <c r="W960" s="549"/>
      <c r="X960" s="541"/>
      <c r="Y960" s="547"/>
      <c r="Z960" s="548"/>
      <c r="AA960" s="549"/>
      <c r="AB960" s="541"/>
      <c r="AC960" s="547"/>
      <c r="AD960" s="548"/>
      <c r="AE960" s="549"/>
      <c r="AF960" s="541"/>
      <c r="AG960" s="366"/>
      <c r="AH960" s="366"/>
      <c r="AI960" s="366"/>
      <c r="AJ960" s="366"/>
      <c r="AK960" s="394"/>
      <c r="AL960" s="430"/>
      <c r="AM960" s="395"/>
      <c r="AN960" s="529"/>
      <c r="AO960" s="394"/>
      <c r="AP960" s="430"/>
      <c r="AQ960" s="395"/>
      <c r="AR960" s="529"/>
      <c r="AS960" s="542"/>
      <c r="AT960" s="542"/>
    </row>
    <row r="961">
      <c r="A961" s="394"/>
      <c r="B961" s="430"/>
      <c r="C961" s="395"/>
      <c r="D961" s="529"/>
      <c r="E961" s="394"/>
      <c r="F961" s="430"/>
      <c r="G961" s="395"/>
      <c r="H961" s="529"/>
      <c r="I961" s="394"/>
      <c r="J961" s="430"/>
      <c r="K961" s="395"/>
      <c r="L961" s="529"/>
      <c r="M961" s="394"/>
      <c r="N961" s="430"/>
      <c r="O961" s="395"/>
      <c r="P961" s="529"/>
      <c r="Q961" s="547"/>
      <c r="R961" s="548"/>
      <c r="S961" s="549"/>
      <c r="T961" s="541"/>
      <c r="U961" s="547"/>
      <c r="V961" s="548"/>
      <c r="W961" s="549"/>
      <c r="X961" s="541"/>
      <c r="Y961" s="547"/>
      <c r="Z961" s="548"/>
      <c r="AA961" s="549"/>
      <c r="AB961" s="541"/>
      <c r="AC961" s="547"/>
      <c r="AD961" s="548"/>
      <c r="AE961" s="549"/>
      <c r="AF961" s="541"/>
      <c r="AG961" s="366"/>
      <c r="AH961" s="366"/>
      <c r="AI961" s="366"/>
      <c r="AJ961" s="366"/>
      <c r="AK961" s="394"/>
      <c r="AL961" s="430"/>
      <c r="AM961" s="395"/>
      <c r="AN961" s="529"/>
      <c r="AO961" s="394"/>
      <c r="AP961" s="430"/>
      <c r="AQ961" s="395"/>
      <c r="AR961" s="529"/>
      <c r="AS961" s="542"/>
      <c r="AT961" s="542"/>
    </row>
    <row r="962">
      <c r="A962" s="394"/>
      <c r="B962" s="430"/>
      <c r="C962" s="395"/>
      <c r="D962" s="529"/>
      <c r="E962" s="394"/>
      <c r="F962" s="430"/>
      <c r="G962" s="395"/>
      <c r="H962" s="529"/>
      <c r="I962" s="394"/>
      <c r="J962" s="430"/>
      <c r="K962" s="395"/>
      <c r="L962" s="529"/>
      <c r="M962" s="394"/>
      <c r="N962" s="430"/>
      <c r="O962" s="395"/>
      <c r="P962" s="529"/>
      <c r="Q962" s="547"/>
      <c r="R962" s="548"/>
      <c r="S962" s="549"/>
      <c r="T962" s="541"/>
      <c r="U962" s="547"/>
      <c r="V962" s="548"/>
      <c r="W962" s="549"/>
      <c r="X962" s="541"/>
      <c r="Y962" s="547"/>
      <c r="Z962" s="548"/>
      <c r="AA962" s="549"/>
      <c r="AB962" s="541"/>
      <c r="AC962" s="547"/>
      <c r="AD962" s="548"/>
      <c r="AE962" s="549"/>
      <c r="AF962" s="541"/>
      <c r="AG962" s="366"/>
      <c r="AH962" s="366"/>
      <c r="AI962" s="366"/>
      <c r="AJ962" s="366"/>
      <c r="AK962" s="394"/>
      <c r="AL962" s="430"/>
      <c r="AM962" s="395"/>
      <c r="AN962" s="529"/>
      <c r="AO962" s="394"/>
      <c r="AP962" s="430"/>
      <c r="AQ962" s="395"/>
      <c r="AR962" s="529"/>
      <c r="AS962" s="542"/>
      <c r="AT962" s="542"/>
    </row>
    <row r="963">
      <c r="A963" s="394"/>
      <c r="B963" s="430"/>
      <c r="C963" s="395"/>
      <c r="D963" s="529"/>
      <c r="E963" s="394"/>
      <c r="F963" s="430"/>
      <c r="G963" s="395"/>
      <c r="H963" s="529"/>
      <c r="I963" s="394"/>
      <c r="J963" s="430"/>
      <c r="K963" s="395"/>
      <c r="L963" s="529"/>
      <c r="M963" s="394"/>
      <c r="N963" s="430"/>
      <c r="O963" s="395"/>
      <c r="P963" s="529"/>
      <c r="Q963" s="547"/>
      <c r="R963" s="548"/>
      <c r="S963" s="549"/>
      <c r="T963" s="541"/>
      <c r="U963" s="547"/>
      <c r="V963" s="548"/>
      <c r="W963" s="549"/>
      <c r="X963" s="541"/>
      <c r="Y963" s="547"/>
      <c r="Z963" s="548"/>
      <c r="AA963" s="549"/>
      <c r="AB963" s="541"/>
      <c r="AC963" s="547"/>
      <c r="AD963" s="548"/>
      <c r="AE963" s="549"/>
      <c r="AF963" s="541"/>
      <c r="AG963" s="366"/>
      <c r="AH963" s="366"/>
      <c r="AI963" s="366"/>
      <c r="AJ963" s="366"/>
      <c r="AK963" s="394"/>
      <c r="AL963" s="430"/>
      <c r="AM963" s="395"/>
      <c r="AN963" s="529"/>
      <c r="AO963" s="394"/>
      <c r="AP963" s="430"/>
      <c r="AQ963" s="395"/>
      <c r="AR963" s="529"/>
      <c r="AS963" s="542"/>
      <c r="AT963" s="542"/>
    </row>
    <row r="964">
      <c r="A964" s="394"/>
      <c r="B964" s="430"/>
      <c r="C964" s="395"/>
      <c r="D964" s="529"/>
      <c r="E964" s="394"/>
      <c r="F964" s="430"/>
      <c r="G964" s="395"/>
      <c r="H964" s="529"/>
      <c r="I964" s="394"/>
      <c r="J964" s="430"/>
      <c r="K964" s="395"/>
      <c r="L964" s="529"/>
      <c r="M964" s="394"/>
      <c r="N964" s="430"/>
      <c r="O964" s="395"/>
      <c r="P964" s="529"/>
      <c r="Q964" s="547"/>
      <c r="R964" s="548"/>
      <c r="S964" s="549"/>
      <c r="T964" s="541"/>
      <c r="U964" s="547"/>
      <c r="V964" s="548"/>
      <c r="W964" s="549"/>
      <c r="X964" s="541"/>
      <c r="Y964" s="547"/>
      <c r="Z964" s="548"/>
      <c r="AA964" s="549"/>
      <c r="AB964" s="541"/>
      <c r="AC964" s="547"/>
      <c r="AD964" s="548"/>
      <c r="AE964" s="549"/>
      <c r="AF964" s="541"/>
      <c r="AG964" s="366"/>
      <c r="AH964" s="366"/>
      <c r="AI964" s="366"/>
      <c r="AJ964" s="366"/>
      <c r="AK964" s="394"/>
      <c r="AL964" s="430"/>
      <c r="AM964" s="395"/>
      <c r="AN964" s="529"/>
      <c r="AO964" s="394"/>
      <c r="AP964" s="430"/>
      <c r="AQ964" s="395"/>
      <c r="AR964" s="529"/>
      <c r="AS964" s="542"/>
      <c r="AT964" s="542"/>
    </row>
    <row r="965">
      <c r="A965" s="394"/>
      <c r="B965" s="430"/>
      <c r="C965" s="395"/>
      <c r="D965" s="529"/>
      <c r="E965" s="394"/>
      <c r="F965" s="430"/>
      <c r="G965" s="395"/>
      <c r="H965" s="529"/>
      <c r="I965" s="394"/>
      <c r="J965" s="430"/>
      <c r="K965" s="395"/>
      <c r="L965" s="529"/>
      <c r="M965" s="394"/>
      <c r="N965" s="430"/>
      <c r="O965" s="395"/>
      <c r="P965" s="529"/>
      <c r="Q965" s="547"/>
      <c r="R965" s="548"/>
      <c r="S965" s="549"/>
      <c r="T965" s="541"/>
      <c r="U965" s="547"/>
      <c r="V965" s="548"/>
      <c r="W965" s="549"/>
      <c r="X965" s="541"/>
      <c r="Y965" s="547"/>
      <c r="Z965" s="548"/>
      <c r="AA965" s="549"/>
      <c r="AB965" s="541"/>
      <c r="AC965" s="547"/>
      <c r="AD965" s="548"/>
      <c r="AE965" s="549"/>
      <c r="AF965" s="541"/>
      <c r="AG965" s="366"/>
      <c r="AH965" s="366"/>
      <c r="AI965" s="366"/>
      <c r="AJ965" s="366"/>
      <c r="AK965" s="394"/>
      <c r="AL965" s="430"/>
      <c r="AM965" s="395"/>
      <c r="AN965" s="529"/>
      <c r="AO965" s="394"/>
      <c r="AP965" s="430"/>
      <c r="AQ965" s="395"/>
      <c r="AR965" s="529"/>
      <c r="AS965" s="542"/>
      <c r="AT965" s="542"/>
    </row>
    <row r="966">
      <c r="A966" s="394"/>
      <c r="B966" s="430"/>
      <c r="C966" s="395"/>
      <c r="D966" s="529"/>
      <c r="E966" s="394"/>
      <c r="F966" s="430"/>
      <c r="G966" s="395"/>
      <c r="H966" s="529"/>
      <c r="I966" s="394"/>
      <c r="J966" s="430"/>
      <c r="K966" s="395"/>
      <c r="L966" s="529"/>
      <c r="M966" s="394"/>
      <c r="N966" s="430"/>
      <c r="O966" s="395"/>
      <c r="P966" s="529"/>
      <c r="Q966" s="547"/>
      <c r="R966" s="548"/>
      <c r="S966" s="549"/>
      <c r="T966" s="541"/>
      <c r="U966" s="547"/>
      <c r="V966" s="548"/>
      <c r="W966" s="549"/>
      <c r="X966" s="541"/>
      <c r="Y966" s="547"/>
      <c r="Z966" s="548"/>
      <c r="AA966" s="549"/>
      <c r="AB966" s="541"/>
      <c r="AC966" s="547"/>
      <c r="AD966" s="548"/>
      <c r="AE966" s="549"/>
      <c r="AF966" s="541"/>
      <c r="AG966" s="366"/>
      <c r="AH966" s="366"/>
      <c r="AI966" s="366"/>
      <c r="AJ966" s="366"/>
      <c r="AK966" s="394"/>
      <c r="AL966" s="430"/>
      <c r="AM966" s="395"/>
      <c r="AN966" s="529"/>
      <c r="AO966" s="394"/>
      <c r="AP966" s="430"/>
      <c r="AQ966" s="395"/>
      <c r="AR966" s="529"/>
      <c r="AS966" s="542"/>
      <c r="AT966" s="542"/>
    </row>
    <row r="967">
      <c r="A967" s="394"/>
      <c r="B967" s="430"/>
      <c r="C967" s="395"/>
      <c r="D967" s="529"/>
      <c r="E967" s="394"/>
      <c r="F967" s="430"/>
      <c r="G967" s="395"/>
      <c r="H967" s="529"/>
      <c r="I967" s="394"/>
      <c r="J967" s="430"/>
      <c r="K967" s="395"/>
      <c r="L967" s="529"/>
      <c r="M967" s="394"/>
      <c r="N967" s="430"/>
      <c r="O967" s="395"/>
      <c r="P967" s="529"/>
      <c r="Q967" s="547"/>
      <c r="R967" s="548"/>
      <c r="S967" s="549"/>
      <c r="T967" s="541"/>
      <c r="U967" s="547"/>
      <c r="V967" s="548"/>
      <c r="W967" s="549"/>
      <c r="X967" s="541"/>
      <c r="Y967" s="547"/>
      <c r="Z967" s="548"/>
      <c r="AA967" s="549"/>
      <c r="AB967" s="541"/>
      <c r="AC967" s="547"/>
      <c r="AD967" s="548"/>
      <c r="AE967" s="549"/>
      <c r="AF967" s="541"/>
      <c r="AG967" s="366"/>
      <c r="AH967" s="366"/>
      <c r="AI967" s="366"/>
      <c r="AJ967" s="366"/>
      <c r="AK967" s="394"/>
      <c r="AL967" s="430"/>
      <c r="AM967" s="395"/>
      <c r="AN967" s="529"/>
      <c r="AO967" s="394"/>
      <c r="AP967" s="430"/>
      <c r="AQ967" s="395"/>
      <c r="AR967" s="529"/>
      <c r="AS967" s="542"/>
      <c r="AT967" s="542"/>
    </row>
    <row r="968">
      <c r="A968" s="394"/>
      <c r="B968" s="430"/>
      <c r="C968" s="395"/>
      <c r="D968" s="529"/>
      <c r="E968" s="394"/>
      <c r="F968" s="430"/>
      <c r="G968" s="395"/>
      <c r="H968" s="529"/>
      <c r="I968" s="394"/>
      <c r="J968" s="430"/>
      <c r="K968" s="395"/>
      <c r="L968" s="529"/>
      <c r="M968" s="394"/>
      <c r="N968" s="430"/>
      <c r="O968" s="395"/>
      <c r="P968" s="529"/>
      <c r="Q968" s="547"/>
      <c r="R968" s="548"/>
      <c r="S968" s="549"/>
      <c r="T968" s="541"/>
      <c r="U968" s="547"/>
      <c r="V968" s="548"/>
      <c r="W968" s="549"/>
      <c r="X968" s="541"/>
      <c r="Y968" s="547"/>
      <c r="Z968" s="548"/>
      <c r="AA968" s="549"/>
      <c r="AB968" s="541"/>
      <c r="AC968" s="547"/>
      <c r="AD968" s="548"/>
      <c r="AE968" s="549"/>
      <c r="AF968" s="541"/>
      <c r="AG968" s="366"/>
      <c r="AH968" s="366"/>
      <c r="AI968" s="366"/>
      <c r="AJ968" s="366"/>
      <c r="AK968" s="394"/>
      <c r="AL968" s="430"/>
      <c r="AM968" s="395"/>
      <c r="AN968" s="529"/>
      <c r="AO968" s="394"/>
      <c r="AP968" s="430"/>
      <c r="AQ968" s="395"/>
      <c r="AR968" s="529"/>
      <c r="AS968" s="542"/>
      <c r="AT968" s="542"/>
    </row>
    <row r="969">
      <c r="A969" s="394"/>
      <c r="B969" s="430"/>
      <c r="C969" s="395"/>
      <c r="D969" s="529"/>
      <c r="E969" s="394"/>
      <c r="F969" s="430"/>
      <c r="G969" s="395"/>
      <c r="H969" s="529"/>
      <c r="I969" s="394"/>
      <c r="J969" s="430"/>
      <c r="K969" s="395"/>
      <c r="L969" s="529"/>
      <c r="M969" s="394"/>
      <c r="N969" s="430"/>
      <c r="O969" s="395"/>
      <c r="P969" s="529"/>
      <c r="Q969" s="547"/>
      <c r="R969" s="548"/>
      <c r="S969" s="549"/>
      <c r="T969" s="541"/>
      <c r="U969" s="547"/>
      <c r="V969" s="548"/>
      <c r="W969" s="549"/>
      <c r="X969" s="541"/>
      <c r="Y969" s="547"/>
      <c r="Z969" s="548"/>
      <c r="AA969" s="549"/>
      <c r="AB969" s="541"/>
      <c r="AC969" s="547"/>
      <c r="AD969" s="548"/>
      <c r="AE969" s="549"/>
      <c r="AF969" s="541"/>
      <c r="AG969" s="366"/>
      <c r="AH969" s="366"/>
      <c r="AI969" s="366"/>
      <c r="AJ969" s="366"/>
      <c r="AK969" s="394"/>
      <c r="AL969" s="430"/>
      <c r="AM969" s="395"/>
      <c r="AN969" s="529"/>
      <c r="AO969" s="394"/>
      <c r="AP969" s="430"/>
      <c r="AQ969" s="395"/>
      <c r="AR969" s="529"/>
      <c r="AS969" s="542"/>
      <c r="AT969" s="542"/>
    </row>
    <row r="970">
      <c r="A970" s="394"/>
      <c r="B970" s="430"/>
      <c r="C970" s="395"/>
      <c r="D970" s="529"/>
      <c r="E970" s="394"/>
      <c r="F970" s="430"/>
      <c r="G970" s="395"/>
      <c r="H970" s="529"/>
      <c r="I970" s="394"/>
      <c r="J970" s="430"/>
      <c r="K970" s="395"/>
      <c r="L970" s="529"/>
      <c r="M970" s="394"/>
      <c r="N970" s="430"/>
      <c r="O970" s="395"/>
      <c r="P970" s="529"/>
      <c r="Q970" s="547"/>
      <c r="R970" s="548"/>
      <c r="S970" s="549"/>
      <c r="T970" s="541"/>
      <c r="U970" s="547"/>
      <c r="V970" s="548"/>
      <c r="W970" s="549"/>
      <c r="X970" s="541"/>
      <c r="Y970" s="547"/>
      <c r="Z970" s="548"/>
      <c r="AA970" s="549"/>
      <c r="AB970" s="541"/>
      <c r="AC970" s="547"/>
      <c r="AD970" s="548"/>
      <c r="AE970" s="549"/>
      <c r="AF970" s="541"/>
      <c r="AG970" s="366"/>
      <c r="AH970" s="366"/>
      <c r="AI970" s="366"/>
      <c r="AJ970" s="366"/>
      <c r="AK970" s="394"/>
      <c r="AL970" s="430"/>
      <c r="AM970" s="395"/>
      <c r="AN970" s="529"/>
      <c r="AO970" s="394"/>
      <c r="AP970" s="430"/>
      <c r="AQ970" s="395"/>
      <c r="AR970" s="529"/>
      <c r="AS970" s="542"/>
      <c r="AT970" s="542"/>
    </row>
    <row r="971">
      <c r="A971" s="394"/>
      <c r="B971" s="430"/>
      <c r="C971" s="395"/>
      <c r="D971" s="529"/>
      <c r="E971" s="394"/>
      <c r="F971" s="430"/>
      <c r="G971" s="395"/>
      <c r="H971" s="529"/>
      <c r="I971" s="394"/>
      <c r="J971" s="430"/>
      <c r="K971" s="395"/>
      <c r="L971" s="529"/>
      <c r="M971" s="394"/>
      <c r="N971" s="430"/>
      <c r="O971" s="395"/>
      <c r="P971" s="529"/>
      <c r="Q971" s="547"/>
      <c r="R971" s="548"/>
      <c r="S971" s="549"/>
      <c r="T971" s="541"/>
      <c r="U971" s="547"/>
      <c r="V971" s="548"/>
      <c r="W971" s="549"/>
      <c r="X971" s="541"/>
      <c r="Y971" s="547"/>
      <c r="Z971" s="548"/>
      <c r="AA971" s="549"/>
      <c r="AB971" s="541"/>
      <c r="AC971" s="547"/>
      <c r="AD971" s="548"/>
      <c r="AE971" s="549"/>
      <c r="AF971" s="541"/>
      <c r="AG971" s="366"/>
      <c r="AH971" s="366"/>
      <c r="AI971" s="366"/>
      <c r="AJ971" s="366"/>
      <c r="AK971" s="394"/>
      <c r="AL971" s="430"/>
      <c r="AM971" s="395"/>
      <c r="AN971" s="529"/>
      <c r="AO971" s="394"/>
      <c r="AP971" s="430"/>
      <c r="AQ971" s="395"/>
      <c r="AR971" s="529"/>
      <c r="AS971" s="542"/>
      <c r="AT971" s="542"/>
    </row>
    <row r="972">
      <c r="A972" s="394"/>
      <c r="B972" s="430"/>
      <c r="C972" s="395"/>
      <c r="D972" s="529"/>
      <c r="E972" s="394"/>
      <c r="F972" s="430"/>
      <c r="G972" s="395"/>
      <c r="H972" s="529"/>
      <c r="I972" s="394"/>
      <c r="J972" s="430"/>
      <c r="K972" s="395"/>
      <c r="L972" s="529"/>
      <c r="M972" s="394"/>
      <c r="N972" s="430"/>
      <c r="O972" s="395"/>
      <c r="P972" s="529"/>
      <c r="Q972" s="547"/>
      <c r="R972" s="548"/>
      <c r="S972" s="549"/>
      <c r="T972" s="541"/>
      <c r="U972" s="547"/>
      <c r="V972" s="548"/>
      <c r="W972" s="549"/>
      <c r="X972" s="541"/>
      <c r="Y972" s="547"/>
      <c r="Z972" s="548"/>
      <c r="AA972" s="549"/>
      <c r="AB972" s="541"/>
      <c r="AC972" s="547"/>
      <c r="AD972" s="548"/>
      <c r="AE972" s="549"/>
      <c r="AF972" s="541"/>
      <c r="AG972" s="366"/>
      <c r="AH972" s="366"/>
      <c r="AI972" s="366"/>
      <c r="AJ972" s="366"/>
      <c r="AK972" s="394"/>
      <c r="AL972" s="430"/>
      <c r="AM972" s="395"/>
      <c r="AN972" s="529"/>
      <c r="AO972" s="394"/>
      <c r="AP972" s="430"/>
      <c r="AQ972" s="395"/>
      <c r="AR972" s="529"/>
      <c r="AS972" s="542"/>
      <c r="AT972" s="542"/>
    </row>
    <row r="973">
      <c r="A973" s="394"/>
      <c r="B973" s="430"/>
      <c r="C973" s="395"/>
      <c r="D973" s="529"/>
      <c r="E973" s="394"/>
      <c r="F973" s="430"/>
      <c r="G973" s="395"/>
      <c r="H973" s="529"/>
      <c r="I973" s="394"/>
      <c r="J973" s="430"/>
      <c r="K973" s="395"/>
      <c r="L973" s="529"/>
      <c r="M973" s="394"/>
      <c r="N973" s="430"/>
      <c r="O973" s="395"/>
      <c r="P973" s="529"/>
      <c r="Q973" s="547"/>
      <c r="R973" s="548"/>
      <c r="S973" s="549"/>
      <c r="T973" s="541"/>
      <c r="U973" s="547"/>
      <c r="V973" s="548"/>
      <c r="W973" s="549"/>
      <c r="X973" s="541"/>
      <c r="Y973" s="547"/>
      <c r="Z973" s="548"/>
      <c r="AA973" s="549"/>
      <c r="AB973" s="541"/>
      <c r="AC973" s="547"/>
      <c r="AD973" s="548"/>
      <c r="AE973" s="549"/>
      <c r="AF973" s="541"/>
      <c r="AG973" s="366"/>
      <c r="AH973" s="366"/>
      <c r="AI973" s="366"/>
      <c r="AJ973" s="366"/>
      <c r="AK973" s="394"/>
      <c r="AL973" s="430"/>
      <c r="AM973" s="395"/>
      <c r="AN973" s="529"/>
      <c r="AO973" s="394"/>
      <c r="AP973" s="430"/>
      <c r="AQ973" s="395"/>
      <c r="AR973" s="529"/>
      <c r="AS973" s="542"/>
      <c r="AT973" s="542"/>
    </row>
    <row r="974">
      <c r="A974" s="394"/>
      <c r="B974" s="430"/>
      <c r="C974" s="395"/>
      <c r="D974" s="529"/>
      <c r="E974" s="394"/>
      <c r="F974" s="430"/>
      <c r="G974" s="395"/>
      <c r="H974" s="529"/>
      <c r="I974" s="394"/>
      <c r="J974" s="430"/>
      <c r="K974" s="395"/>
      <c r="L974" s="529"/>
      <c r="M974" s="394"/>
      <c r="N974" s="430"/>
      <c r="O974" s="395"/>
      <c r="P974" s="529"/>
      <c r="Q974" s="547"/>
      <c r="R974" s="548"/>
      <c r="S974" s="549"/>
      <c r="T974" s="541"/>
      <c r="U974" s="547"/>
      <c r="V974" s="548"/>
      <c r="W974" s="549"/>
      <c r="X974" s="541"/>
      <c r="Y974" s="547"/>
      <c r="Z974" s="548"/>
      <c r="AA974" s="549"/>
      <c r="AB974" s="541"/>
      <c r="AC974" s="547"/>
      <c r="AD974" s="548"/>
      <c r="AE974" s="549"/>
      <c r="AF974" s="541"/>
      <c r="AG974" s="366"/>
      <c r="AH974" s="366"/>
      <c r="AI974" s="366"/>
      <c r="AJ974" s="366"/>
      <c r="AK974" s="394"/>
      <c r="AL974" s="430"/>
      <c r="AM974" s="395"/>
      <c r="AN974" s="529"/>
      <c r="AO974" s="394"/>
      <c r="AP974" s="430"/>
      <c r="AQ974" s="395"/>
      <c r="AR974" s="529"/>
      <c r="AS974" s="542"/>
      <c r="AT974" s="542"/>
    </row>
    <row r="975">
      <c r="A975" s="394"/>
      <c r="B975" s="430"/>
      <c r="C975" s="395"/>
      <c r="D975" s="529"/>
      <c r="E975" s="394"/>
      <c r="F975" s="430"/>
      <c r="G975" s="395"/>
      <c r="H975" s="529"/>
      <c r="I975" s="394"/>
      <c r="J975" s="430"/>
      <c r="K975" s="395"/>
      <c r="L975" s="529"/>
      <c r="M975" s="394"/>
      <c r="N975" s="430"/>
      <c r="O975" s="395"/>
      <c r="P975" s="529"/>
      <c r="Q975" s="547"/>
      <c r="R975" s="548"/>
      <c r="S975" s="549"/>
      <c r="T975" s="541"/>
      <c r="U975" s="547"/>
      <c r="V975" s="548"/>
      <c r="W975" s="549"/>
      <c r="X975" s="541"/>
      <c r="Y975" s="547"/>
      <c r="Z975" s="548"/>
      <c r="AA975" s="549"/>
      <c r="AB975" s="541"/>
      <c r="AC975" s="547"/>
      <c r="AD975" s="548"/>
      <c r="AE975" s="549"/>
      <c r="AF975" s="541"/>
      <c r="AG975" s="366"/>
      <c r="AH975" s="366"/>
      <c r="AI975" s="366"/>
      <c r="AJ975" s="366"/>
      <c r="AK975" s="394"/>
      <c r="AL975" s="430"/>
      <c r="AM975" s="395"/>
      <c r="AN975" s="529"/>
      <c r="AO975" s="394"/>
      <c r="AP975" s="430"/>
      <c r="AQ975" s="395"/>
      <c r="AR975" s="529"/>
      <c r="AS975" s="542"/>
      <c r="AT975" s="542"/>
    </row>
    <row r="976">
      <c r="A976" s="394"/>
      <c r="B976" s="430"/>
      <c r="C976" s="395"/>
      <c r="D976" s="529"/>
      <c r="E976" s="394"/>
      <c r="F976" s="430"/>
      <c r="G976" s="395"/>
      <c r="H976" s="529"/>
      <c r="I976" s="394"/>
      <c r="J976" s="430"/>
      <c r="K976" s="395"/>
      <c r="L976" s="529"/>
      <c r="M976" s="394"/>
      <c r="N976" s="430"/>
      <c r="O976" s="395"/>
      <c r="P976" s="529"/>
      <c r="Q976" s="547"/>
      <c r="R976" s="548"/>
      <c r="S976" s="549"/>
      <c r="T976" s="541"/>
      <c r="U976" s="547"/>
      <c r="V976" s="548"/>
      <c r="W976" s="549"/>
      <c r="X976" s="541"/>
      <c r="Y976" s="547"/>
      <c r="Z976" s="548"/>
      <c r="AA976" s="549"/>
      <c r="AB976" s="541"/>
      <c r="AC976" s="547"/>
      <c r="AD976" s="548"/>
      <c r="AE976" s="549"/>
      <c r="AF976" s="541"/>
      <c r="AG976" s="366"/>
      <c r="AH976" s="366"/>
      <c r="AI976" s="366"/>
      <c r="AJ976" s="366"/>
      <c r="AK976" s="394"/>
      <c r="AL976" s="430"/>
      <c r="AM976" s="395"/>
      <c r="AN976" s="529"/>
      <c r="AO976" s="394"/>
      <c r="AP976" s="430"/>
      <c r="AQ976" s="395"/>
      <c r="AR976" s="529"/>
      <c r="AS976" s="542"/>
      <c r="AT976" s="542"/>
    </row>
    <row r="977">
      <c r="A977" s="394"/>
      <c r="B977" s="430"/>
      <c r="C977" s="395"/>
      <c r="D977" s="529"/>
      <c r="E977" s="394"/>
      <c r="F977" s="430"/>
      <c r="G977" s="395"/>
      <c r="H977" s="529"/>
      <c r="I977" s="394"/>
      <c r="J977" s="430"/>
      <c r="K977" s="395"/>
      <c r="L977" s="529"/>
      <c r="M977" s="394"/>
      <c r="N977" s="430"/>
      <c r="O977" s="395"/>
      <c r="P977" s="529"/>
      <c r="Q977" s="547"/>
      <c r="R977" s="548"/>
      <c r="S977" s="549"/>
      <c r="T977" s="541"/>
      <c r="U977" s="547"/>
      <c r="V977" s="548"/>
      <c r="W977" s="549"/>
      <c r="X977" s="541"/>
      <c r="Y977" s="547"/>
      <c r="Z977" s="548"/>
      <c r="AA977" s="549"/>
      <c r="AB977" s="541"/>
      <c r="AC977" s="547"/>
      <c r="AD977" s="548"/>
      <c r="AE977" s="549"/>
      <c r="AF977" s="541"/>
      <c r="AG977" s="366"/>
      <c r="AH977" s="366"/>
      <c r="AI977" s="366"/>
      <c r="AJ977" s="366"/>
      <c r="AK977" s="394"/>
      <c r="AL977" s="430"/>
      <c r="AM977" s="395"/>
      <c r="AN977" s="529"/>
      <c r="AO977" s="394"/>
      <c r="AP977" s="430"/>
      <c r="AQ977" s="395"/>
      <c r="AR977" s="529"/>
      <c r="AS977" s="542"/>
      <c r="AT977" s="542"/>
    </row>
    <row r="978">
      <c r="A978" s="394"/>
      <c r="B978" s="430"/>
      <c r="C978" s="395"/>
      <c r="D978" s="529"/>
      <c r="E978" s="394"/>
      <c r="F978" s="430"/>
      <c r="G978" s="395"/>
      <c r="H978" s="529"/>
      <c r="I978" s="394"/>
      <c r="J978" s="430"/>
      <c r="K978" s="395"/>
      <c r="L978" s="529"/>
      <c r="M978" s="394"/>
      <c r="N978" s="430"/>
      <c r="O978" s="395"/>
      <c r="P978" s="529"/>
      <c r="Q978" s="547"/>
      <c r="R978" s="548"/>
      <c r="S978" s="549"/>
      <c r="T978" s="541"/>
      <c r="U978" s="547"/>
      <c r="V978" s="548"/>
      <c r="W978" s="549"/>
      <c r="X978" s="541"/>
      <c r="Y978" s="547"/>
      <c r="Z978" s="548"/>
      <c r="AA978" s="549"/>
      <c r="AB978" s="541"/>
      <c r="AC978" s="547"/>
      <c r="AD978" s="548"/>
      <c r="AE978" s="549"/>
      <c r="AF978" s="541"/>
      <c r="AG978" s="366"/>
      <c r="AH978" s="366"/>
      <c r="AI978" s="366"/>
      <c r="AJ978" s="366"/>
      <c r="AK978" s="394"/>
      <c r="AL978" s="430"/>
      <c r="AM978" s="395"/>
      <c r="AN978" s="529"/>
      <c r="AO978" s="394"/>
      <c r="AP978" s="430"/>
      <c r="AQ978" s="395"/>
      <c r="AR978" s="529"/>
      <c r="AS978" s="542"/>
      <c r="AT978" s="542"/>
    </row>
    <row r="979">
      <c r="A979" s="394"/>
      <c r="B979" s="430"/>
      <c r="C979" s="395"/>
      <c r="D979" s="529"/>
      <c r="E979" s="394"/>
      <c r="F979" s="430"/>
      <c r="G979" s="395"/>
      <c r="H979" s="529"/>
      <c r="I979" s="394"/>
      <c r="J979" s="430"/>
      <c r="K979" s="395"/>
      <c r="L979" s="529"/>
      <c r="M979" s="394"/>
      <c r="N979" s="430"/>
      <c r="O979" s="395"/>
      <c r="P979" s="529"/>
      <c r="Q979" s="547"/>
      <c r="R979" s="548"/>
      <c r="S979" s="549"/>
      <c r="T979" s="541"/>
      <c r="U979" s="547"/>
      <c r="V979" s="548"/>
      <c r="W979" s="549"/>
      <c r="X979" s="541"/>
      <c r="Y979" s="547"/>
      <c r="Z979" s="548"/>
      <c r="AA979" s="549"/>
      <c r="AB979" s="541"/>
      <c r="AC979" s="547"/>
      <c r="AD979" s="548"/>
      <c r="AE979" s="549"/>
      <c r="AF979" s="541"/>
      <c r="AG979" s="366"/>
      <c r="AH979" s="366"/>
      <c r="AI979" s="366"/>
      <c r="AJ979" s="366"/>
      <c r="AK979" s="394"/>
      <c r="AL979" s="430"/>
      <c r="AM979" s="395"/>
      <c r="AN979" s="529"/>
      <c r="AO979" s="394"/>
      <c r="AP979" s="430"/>
      <c r="AQ979" s="395"/>
      <c r="AR979" s="529"/>
      <c r="AS979" s="542"/>
      <c r="AT979" s="542"/>
    </row>
    <row r="980">
      <c r="A980" s="394"/>
      <c r="B980" s="430"/>
      <c r="C980" s="395"/>
      <c r="D980" s="529"/>
      <c r="E980" s="394"/>
      <c r="F980" s="430"/>
      <c r="G980" s="395"/>
      <c r="H980" s="529"/>
      <c r="I980" s="394"/>
      <c r="J980" s="430"/>
      <c r="K980" s="395"/>
      <c r="L980" s="529"/>
      <c r="M980" s="394"/>
      <c r="N980" s="430"/>
      <c r="O980" s="395"/>
      <c r="P980" s="529"/>
      <c r="Q980" s="547"/>
      <c r="R980" s="548"/>
      <c r="S980" s="549"/>
      <c r="T980" s="541"/>
      <c r="U980" s="547"/>
      <c r="V980" s="548"/>
      <c r="W980" s="549"/>
      <c r="X980" s="541"/>
      <c r="Y980" s="547"/>
      <c r="Z980" s="548"/>
      <c r="AA980" s="549"/>
      <c r="AB980" s="541"/>
      <c r="AC980" s="547"/>
      <c r="AD980" s="548"/>
      <c r="AE980" s="549"/>
      <c r="AF980" s="541"/>
      <c r="AG980" s="366"/>
      <c r="AH980" s="366"/>
      <c r="AI980" s="366"/>
      <c r="AJ980" s="366"/>
      <c r="AK980" s="394"/>
      <c r="AL980" s="430"/>
      <c r="AM980" s="395"/>
      <c r="AN980" s="529"/>
      <c r="AO980" s="394"/>
      <c r="AP980" s="430"/>
      <c r="AQ980" s="395"/>
      <c r="AR980" s="529"/>
      <c r="AS980" s="542"/>
      <c r="AT980" s="542"/>
    </row>
    <row r="981">
      <c r="A981" s="394"/>
      <c r="B981" s="430"/>
      <c r="C981" s="395"/>
      <c r="D981" s="529"/>
      <c r="E981" s="394"/>
      <c r="F981" s="430"/>
      <c r="G981" s="395"/>
      <c r="H981" s="529"/>
      <c r="I981" s="394"/>
      <c r="J981" s="430"/>
      <c r="K981" s="395"/>
      <c r="L981" s="529"/>
      <c r="M981" s="394"/>
      <c r="N981" s="430"/>
      <c r="O981" s="395"/>
      <c r="P981" s="529"/>
      <c r="Q981" s="547"/>
      <c r="R981" s="548"/>
      <c r="S981" s="549"/>
      <c r="T981" s="541"/>
      <c r="U981" s="547"/>
      <c r="V981" s="548"/>
      <c r="W981" s="549"/>
      <c r="X981" s="541"/>
      <c r="Y981" s="547"/>
      <c r="Z981" s="548"/>
      <c r="AA981" s="549"/>
      <c r="AB981" s="541"/>
      <c r="AC981" s="547"/>
      <c r="AD981" s="548"/>
      <c r="AE981" s="549"/>
      <c r="AF981" s="541"/>
      <c r="AG981" s="366"/>
      <c r="AH981" s="366"/>
      <c r="AI981" s="366"/>
      <c r="AJ981" s="366"/>
      <c r="AK981" s="394"/>
      <c r="AL981" s="430"/>
      <c r="AM981" s="395"/>
      <c r="AN981" s="529"/>
      <c r="AO981" s="394"/>
      <c r="AP981" s="430"/>
      <c r="AQ981" s="395"/>
      <c r="AR981" s="529"/>
      <c r="AS981" s="542"/>
      <c r="AT981" s="542"/>
    </row>
    <row r="982">
      <c r="A982" s="394"/>
      <c r="B982" s="430"/>
      <c r="C982" s="395"/>
      <c r="D982" s="529"/>
      <c r="E982" s="394"/>
      <c r="F982" s="430"/>
      <c r="G982" s="395"/>
      <c r="H982" s="529"/>
      <c r="I982" s="394"/>
      <c r="J982" s="430"/>
      <c r="K982" s="395"/>
      <c r="L982" s="529"/>
      <c r="M982" s="394"/>
      <c r="N982" s="430"/>
      <c r="O982" s="395"/>
      <c r="P982" s="529"/>
      <c r="Q982" s="547"/>
      <c r="R982" s="548"/>
      <c r="S982" s="549"/>
      <c r="T982" s="541"/>
      <c r="U982" s="547"/>
      <c r="V982" s="548"/>
      <c r="W982" s="549"/>
      <c r="X982" s="541"/>
      <c r="Y982" s="547"/>
      <c r="Z982" s="548"/>
      <c r="AA982" s="549"/>
      <c r="AB982" s="541"/>
      <c r="AC982" s="547"/>
      <c r="AD982" s="548"/>
      <c r="AE982" s="549"/>
      <c r="AF982" s="541"/>
      <c r="AG982" s="366"/>
      <c r="AH982" s="366"/>
      <c r="AI982" s="366"/>
      <c r="AJ982" s="366"/>
      <c r="AK982" s="394"/>
      <c r="AL982" s="430"/>
      <c r="AM982" s="395"/>
      <c r="AN982" s="529"/>
      <c r="AO982" s="394"/>
      <c r="AP982" s="430"/>
      <c r="AQ982" s="395"/>
      <c r="AR982" s="529"/>
      <c r="AS982" s="542"/>
      <c r="AT982" s="542"/>
    </row>
    <row r="983">
      <c r="A983" s="394"/>
      <c r="B983" s="430"/>
      <c r="C983" s="395"/>
      <c r="D983" s="529"/>
      <c r="E983" s="394"/>
      <c r="F983" s="430"/>
      <c r="G983" s="395"/>
      <c r="H983" s="529"/>
      <c r="I983" s="394"/>
      <c r="J983" s="430"/>
      <c r="K983" s="395"/>
      <c r="L983" s="529"/>
      <c r="M983" s="394"/>
      <c r="N983" s="430"/>
      <c r="O983" s="395"/>
      <c r="P983" s="529"/>
      <c r="Q983" s="547"/>
      <c r="R983" s="548"/>
      <c r="S983" s="549"/>
      <c r="T983" s="541"/>
      <c r="U983" s="547"/>
      <c r="V983" s="548"/>
      <c r="W983" s="549"/>
      <c r="X983" s="541"/>
      <c r="Y983" s="547"/>
      <c r="Z983" s="548"/>
      <c r="AA983" s="549"/>
      <c r="AB983" s="541"/>
      <c r="AC983" s="547"/>
      <c r="AD983" s="548"/>
      <c r="AE983" s="549"/>
      <c r="AF983" s="541"/>
      <c r="AG983" s="366"/>
      <c r="AH983" s="366"/>
      <c r="AI983" s="366"/>
      <c r="AJ983" s="366"/>
      <c r="AK983" s="394"/>
      <c r="AL983" s="430"/>
      <c r="AM983" s="395"/>
      <c r="AN983" s="529"/>
      <c r="AO983" s="394"/>
      <c r="AP983" s="430"/>
      <c r="AQ983" s="395"/>
      <c r="AR983" s="529"/>
      <c r="AS983" s="542"/>
      <c r="AT983" s="542"/>
    </row>
    <row r="984">
      <c r="A984" s="394"/>
      <c r="B984" s="430"/>
      <c r="C984" s="395"/>
      <c r="D984" s="529"/>
      <c r="E984" s="394"/>
      <c r="F984" s="430"/>
      <c r="G984" s="395"/>
      <c r="H984" s="529"/>
      <c r="I984" s="394"/>
      <c r="J984" s="430"/>
      <c r="K984" s="395"/>
      <c r="L984" s="529"/>
      <c r="M984" s="394"/>
      <c r="N984" s="430"/>
      <c r="O984" s="395"/>
      <c r="P984" s="529"/>
      <c r="Q984" s="547"/>
      <c r="R984" s="548"/>
      <c r="S984" s="549"/>
      <c r="T984" s="541"/>
      <c r="U984" s="547"/>
      <c r="V984" s="548"/>
      <c r="W984" s="549"/>
      <c r="X984" s="541"/>
      <c r="Y984" s="547"/>
      <c r="Z984" s="548"/>
      <c r="AA984" s="549"/>
      <c r="AB984" s="541"/>
      <c r="AC984" s="547"/>
      <c r="AD984" s="548"/>
      <c r="AE984" s="549"/>
      <c r="AF984" s="541"/>
      <c r="AG984" s="366"/>
      <c r="AH984" s="366"/>
      <c r="AI984" s="366"/>
      <c r="AJ984" s="366"/>
      <c r="AK984" s="394"/>
      <c r="AL984" s="430"/>
      <c r="AM984" s="395"/>
      <c r="AN984" s="529"/>
      <c r="AO984" s="394"/>
      <c r="AP984" s="430"/>
      <c r="AQ984" s="395"/>
      <c r="AR984" s="529"/>
      <c r="AS984" s="542"/>
      <c r="AT984" s="542"/>
    </row>
    <row r="985">
      <c r="A985" s="394"/>
      <c r="B985" s="430"/>
      <c r="C985" s="395"/>
      <c r="D985" s="529"/>
      <c r="E985" s="394"/>
      <c r="F985" s="430"/>
      <c r="G985" s="395"/>
      <c r="H985" s="529"/>
      <c r="I985" s="394"/>
      <c r="J985" s="430"/>
      <c r="K985" s="395"/>
      <c r="L985" s="529"/>
      <c r="M985" s="394"/>
      <c r="N985" s="430"/>
      <c r="O985" s="395"/>
      <c r="P985" s="529"/>
      <c r="Q985" s="547"/>
      <c r="R985" s="548"/>
      <c r="S985" s="549"/>
      <c r="T985" s="541"/>
      <c r="U985" s="547"/>
      <c r="V985" s="548"/>
      <c r="W985" s="549"/>
      <c r="X985" s="541"/>
      <c r="Y985" s="547"/>
      <c r="Z985" s="548"/>
      <c r="AA985" s="549"/>
      <c r="AB985" s="541"/>
      <c r="AC985" s="547"/>
      <c r="AD985" s="548"/>
      <c r="AE985" s="549"/>
      <c r="AF985" s="541"/>
      <c r="AG985" s="366"/>
      <c r="AH985" s="366"/>
      <c r="AI985" s="366"/>
      <c r="AJ985" s="366"/>
      <c r="AK985" s="394"/>
      <c r="AL985" s="430"/>
      <c r="AM985" s="395"/>
      <c r="AN985" s="529"/>
      <c r="AO985" s="394"/>
      <c r="AP985" s="430"/>
      <c r="AQ985" s="395"/>
      <c r="AR985" s="529"/>
      <c r="AS985" s="542"/>
      <c r="AT985" s="542"/>
    </row>
    <row r="986">
      <c r="A986" s="394"/>
      <c r="B986" s="430"/>
      <c r="C986" s="395"/>
      <c r="D986" s="529"/>
      <c r="E986" s="394"/>
      <c r="F986" s="430"/>
      <c r="G986" s="395"/>
      <c r="H986" s="529"/>
      <c r="I986" s="394"/>
      <c r="J986" s="430"/>
      <c r="K986" s="395"/>
      <c r="L986" s="529"/>
      <c r="M986" s="394"/>
      <c r="N986" s="430"/>
      <c r="O986" s="395"/>
      <c r="P986" s="529"/>
      <c r="Q986" s="547"/>
      <c r="R986" s="548"/>
      <c r="S986" s="549"/>
      <c r="T986" s="541"/>
      <c r="U986" s="547"/>
      <c r="V986" s="548"/>
      <c r="W986" s="549"/>
      <c r="X986" s="541"/>
      <c r="Y986" s="547"/>
      <c r="Z986" s="548"/>
      <c r="AA986" s="549"/>
      <c r="AB986" s="541"/>
      <c r="AC986" s="547"/>
      <c r="AD986" s="548"/>
      <c r="AE986" s="549"/>
      <c r="AF986" s="541"/>
      <c r="AG986" s="366"/>
      <c r="AH986" s="366"/>
      <c r="AI986" s="366"/>
      <c r="AJ986" s="366"/>
      <c r="AK986" s="394"/>
      <c r="AL986" s="430"/>
      <c r="AM986" s="395"/>
      <c r="AN986" s="529"/>
      <c r="AO986" s="394"/>
      <c r="AP986" s="430"/>
      <c r="AQ986" s="395"/>
      <c r="AR986" s="529"/>
      <c r="AS986" s="542"/>
      <c r="AT986" s="542"/>
    </row>
    <row r="987">
      <c r="A987" s="394"/>
      <c r="B987" s="430"/>
      <c r="C987" s="395"/>
      <c r="D987" s="529"/>
      <c r="E987" s="394"/>
      <c r="F987" s="430"/>
      <c r="G987" s="395"/>
      <c r="H987" s="529"/>
      <c r="I987" s="394"/>
      <c r="J987" s="430"/>
      <c r="K987" s="395"/>
      <c r="L987" s="529"/>
      <c r="M987" s="394"/>
      <c r="N987" s="430"/>
      <c r="O987" s="395"/>
      <c r="P987" s="529"/>
      <c r="Q987" s="547"/>
      <c r="R987" s="548"/>
      <c r="S987" s="549"/>
      <c r="T987" s="541"/>
      <c r="U987" s="547"/>
      <c r="V987" s="548"/>
      <c r="W987" s="549"/>
      <c r="X987" s="541"/>
      <c r="Y987" s="547"/>
      <c r="Z987" s="548"/>
      <c r="AA987" s="549"/>
      <c r="AB987" s="541"/>
      <c r="AC987" s="547"/>
      <c r="AD987" s="548"/>
      <c r="AE987" s="549"/>
      <c r="AF987" s="541"/>
      <c r="AG987" s="366"/>
      <c r="AH987" s="366"/>
      <c r="AI987" s="366"/>
      <c r="AJ987" s="366"/>
      <c r="AK987" s="394"/>
      <c r="AL987" s="430"/>
      <c r="AM987" s="395"/>
      <c r="AN987" s="529"/>
      <c r="AO987" s="394"/>
      <c r="AP987" s="430"/>
      <c r="AQ987" s="395"/>
      <c r="AR987" s="529"/>
      <c r="AS987" s="542"/>
      <c r="AT987" s="542"/>
    </row>
    <row r="988">
      <c r="A988" s="394"/>
      <c r="B988" s="430"/>
      <c r="C988" s="395"/>
      <c r="D988" s="529"/>
      <c r="E988" s="394"/>
      <c r="F988" s="430"/>
      <c r="G988" s="395"/>
      <c r="H988" s="529"/>
      <c r="I988" s="394"/>
      <c r="J988" s="430"/>
      <c r="K988" s="395"/>
      <c r="L988" s="529"/>
      <c r="M988" s="394"/>
      <c r="N988" s="430"/>
      <c r="O988" s="395"/>
      <c r="P988" s="529"/>
      <c r="Q988" s="547"/>
      <c r="R988" s="548"/>
      <c r="S988" s="549"/>
      <c r="T988" s="541"/>
      <c r="U988" s="547"/>
      <c r="V988" s="548"/>
      <c r="W988" s="549"/>
      <c r="X988" s="541"/>
      <c r="Y988" s="547"/>
      <c r="Z988" s="548"/>
      <c r="AA988" s="549"/>
      <c r="AB988" s="541"/>
      <c r="AC988" s="547"/>
      <c r="AD988" s="548"/>
      <c r="AE988" s="549"/>
      <c r="AF988" s="541"/>
      <c r="AG988" s="366"/>
      <c r="AH988" s="366"/>
      <c r="AI988" s="366"/>
      <c r="AJ988" s="366"/>
      <c r="AK988" s="394"/>
      <c r="AL988" s="430"/>
      <c r="AM988" s="395"/>
      <c r="AN988" s="529"/>
      <c r="AO988" s="394"/>
      <c r="AP988" s="430"/>
      <c r="AQ988" s="395"/>
      <c r="AR988" s="529"/>
      <c r="AS988" s="542"/>
      <c r="AT988" s="542"/>
    </row>
    <row r="989">
      <c r="A989" s="394"/>
      <c r="B989" s="430"/>
      <c r="C989" s="395"/>
      <c r="D989" s="529"/>
      <c r="E989" s="394"/>
      <c r="F989" s="430"/>
      <c r="G989" s="395"/>
      <c r="H989" s="529"/>
      <c r="I989" s="394"/>
      <c r="J989" s="430"/>
      <c r="K989" s="395"/>
      <c r="L989" s="529"/>
      <c r="M989" s="394"/>
      <c r="N989" s="430"/>
      <c r="O989" s="395"/>
      <c r="P989" s="529"/>
      <c r="Q989" s="547"/>
      <c r="R989" s="548"/>
      <c r="S989" s="549"/>
      <c r="T989" s="541"/>
      <c r="U989" s="547"/>
      <c r="V989" s="548"/>
      <c r="W989" s="549"/>
      <c r="X989" s="541"/>
      <c r="Y989" s="547"/>
      <c r="Z989" s="548"/>
      <c r="AA989" s="549"/>
      <c r="AB989" s="541"/>
      <c r="AC989" s="547"/>
      <c r="AD989" s="548"/>
      <c r="AE989" s="549"/>
      <c r="AF989" s="541"/>
      <c r="AG989" s="366"/>
      <c r="AH989" s="366"/>
      <c r="AI989" s="366"/>
      <c r="AJ989" s="366"/>
      <c r="AK989" s="394"/>
      <c r="AL989" s="430"/>
      <c r="AM989" s="395"/>
      <c r="AN989" s="529"/>
      <c r="AO989" s="394"/>
      <c r="AP989" s="430"/>
      <c r="AQ989" s="395"/>
      <c r="AR989" s="529"/>
      <c r="AS989" s="542"/>
      <c r="AT989" s="542"/>
    </row>
    <row r="990">
      <c r="A990" s="394"/>
      <c r="B990" s="430"/>
      <c r="C990" s="395"/>
      <c r="D990" s="529"/>
      <c r="E990" s="394"/>
      <c r="F990" s="430"/>
      <c r="G990" s="395"/>
      <c r="H990" s="529"/>
      <c r="I990" s="394"/>
      <c r="J990" s="430"/>
      <c r="K990" s="395"/>
      <c r="L990" s="529"/>
      <c r="M990" s="394"/>
      <c r="N990" s="430"/>
      <c r="O990" s="395"/>
      <c r="P990" s="529"/>
      <c r="Q990" s="547"/>
      <c r="R990" s="548"/>
      <c r="S990" s="549"/>
      <c r="T990" s="541"/>
      <c r="U990" s="547"/>
      <c r="V990" s="548"/>
      <c r="W990" s="549"/>
      <c r="X990" s="541"/>
      <c r="Y990" s="547"/>
      <c r="Z990" s="548"/>
      <c r="AA990" s="549"/>
      <c r="AB990" s="541"/>
      <c r="AC990" s="547"/>
      <c r="AD990" s="548"/>
      <c r="AE990" s="549"/>
      <c r="AF990" s="541"/>
      <c r="AG990" s="366"/>
      <c r="AH990" s="366"/>
      <c r="AI990" s="366"/>
      <c r="AJ990" s="366"/>
      <c r="AK990" s="394"/>
      <c r="AL990" s="430"/>
      <c r="AM990" s="395"/>
      <c r="AN990" s="529"/>
      <c r="AO990" s="394"/>
      <c r="AP990" s="430"/>
      <c r="AQ990" s="395"/>
      <c r="AR990" s="529"/>
      <c r="AS990" s="542"/>
      <c r="AT990" s="542"/>
    </row>
    <row r="991">
      <c r="A991" s="394"/>
      <c r="B991" s="430"/>
      <c r="C991" s="395"/>
      <c r="D991" s="529"/>
      <c r="E991" s="394"/>
      <c r="F991" s="430"/>
      <c r="G991" s="395"/>
      <c r="H991" s="529"/>
      <c r="I991" s="394"/>
      <c r="J991" s="430"/>
      <c r="K991" s="395"/>
      <c r="L991" s="529"/>
      <c r="M991" s="394"/>
      <c r="N991" s="430"/>
      <c r="O991" s="395"/>
      <c r="P991" s="529"/>
      <c r="Q991" s="547"/>
      <c r="R991" s="548"/>
      <c r="S991" s="549"/>
      <c r="T991" s="541"/>
      <c r="U991" s="547"/>
      <c r="V991" s="548"/>
      <c r="W991" s="549"/>
      <c r="X991" s="541"/>
      <c r="Y991" s="547"/>
      <c r="Z991" s="548"/>
      <c r="AA991" s="549"/>
      <c r="AB991" s="541"/>
      <c r="AC991" s="547"/>
      <c r="AD991" s="548"/>
      <c r="AE991" s="549"/>
      <c r="AF991" s="541"/>
      <c r="AG991" s="366"/>
      <c r="AH991" s="366"/>
      <c r="AI991" s="366"/>
      <c r="AJ991" s="366"/>
      <c r="AK991" s="394"/>
      <c r="AL991" s="430"/>
      <c r="AM991" s="395"/>
      <c r="AN991" s="529"/>
      <c r="AO991" s="394"/>
      <c r="AP991" s="430"/>
      <c r="AQ991" s="395"/>
      <c r="AR991" s="529"/>
      <c r="AS991" s="542"/>
      <c r="AT991" s="542"/>
    </row>
    <row r="992">
      <c r="A992" s="394"/>
      <c r="B992" s="430"/>
      <c r="C992" s="395"/>
      <c r="D992" s="529"/>
      <c r="E992" s="394"/>
      <c r="F992" s="430"/>
      <c r="G992" s="395"/>
      <c r="H992" s="529"/>
      <c r="I992" s="394"/>
      <c r="J992" s="430"/>
      <c r="K992" s="395"/>
      <c r="L992" s="529"/>
      <c r="M992" s="394"/>
      <c r="N992" s="430"/>
      <c r="O992" s="395"/>
      <c r="P992" s="529"/>
      <c r="Q992" s="547"/>
      <c r="R992" s="548"/>
      <c r="S992" s="549"/>
      <c r="T992" s="541"/>
      <c r="U992" s="547"/>
      <c r="V992" s="548"/>
      <c r="W992" s="549"/>
      <c r="X992" s="541"/>
      <c r="Y992" s="547"/>
      <c r="Z992" s="548"/>
      <c r="AA992" s="549"/>
      <c r="AB992" s="541"/>
      <c r="AC992" s="547"/>
      <c r="AD992" s="548"/>
      <c r="AE992" s="549"/>
      <c r="AF992" s="541"/>
      <c r="AG992" s="366"/>
      <c r="AH992" s="366"/>
      <c r="AI992" s="366"/>
      <c r="AJ992" s="366"/>
      <c r="AK992" s="394"/>
      <c r="AL992" s="430"/>
      <c r="AM992" s="395"/>
      <c r="AN992" s="529"/>
      <c r="AO992" s="394"/>
      <c r="AP992" s="430"/>
      <c r="AQ992" s="395"/>
      <c r="AR992" s="529"/>
      <c r="AS992" s="542"/>
      <c r="AT992" s="542"/>
    </row>
    <row r="993">
      <c r="A993" s="394"/>
      <c r="B993" s="430"/>
      <c r="C993" s="395"/>
      <c r="D993" s="529"/>
      <c r="E993" s="394"/>
      <c r="F993" s="430"/>
      <c r="G993" s="395"/>
      <c r="H993" s="529"/>
      <c r="I993" s="394"/>
      <c r="J993" s="430"/>
      <c r="K993" s="395"/>
      <c r="L993" s="529"/>
      <c r="M993" s="394"/>
      <c r="N993" s="430"/>
      <c r="O993" s="395"/>
      <c r="P993" s="529"/>
      <c r="Q993" s="547"/>
      <c r="R993" s="548"/>
      <c r="S993" s="549"/>
      <c r="T993" s="541"/>
      <c r="U993" s="547"/>
      <c r="V993" s="548"/>
      <c r="W993" s="549"/>
      <c r="X993" s="541"/>
      <c r="Y993" s="547"/>
      <c r="Z993" s="548"/>
      <c r="AA993" s="549"/>
      <c r="AB993" s="541"/>
      <c r="AC993" s="547"/>
      <c r="AD993" s="548"/>
      <c r="AE993" s="549"/>
      <c r="AF993" s="541"/>
      <c r="AG993" s="366"/>
      <c r="AH993" s="366"/>
      <c r="AI993" s="366"/>
      <c r="AJ993" s="366"/>
      <c r="AK993" s="394"/>
      <c r="AL993" s="430"/>
      <c r="AM993" s="395"/>
      <c r="AN993" s="529"/>
      <c r="AO993" s="394"/>
      <c r="AP993" s="430"/>
      <c r="AQ993" s="395"/>
      <c r="AR993" s="529"/>
      <c r="AS993" s="542"/>
      <c r="AT993" s="542"/>
    </row>
    <row r="994">
      <c r="A994" s="394"/>
      <c r="B994" s="430"/>
      <c r="C994" s="395"/>
      <c r="D994" s="529"/>
      <c r="E994" s="394"/>
      <c r="F994" s="430"/>
      <c r="G994" s="395"/>
      <c r="H994" s="529"/>
      <c r="I994" s="394"/>
      <c r="J994" s="430"/>
      <c r="K994" s="395"/>
      <c r="L994" s="529"/>
      <c r="M994" s="394"/>
      <c r="N994" s="430"/>
      <c r="O994" s="395"/>
      <c r="P994" s="529"/>
      <c r="Q994" s="547"/>
      <c r="R994" s="548"/>
      <c r="S994" s="549"/>
      <c r="T994" s="541"/>
      <c r="U994" s="547"/>
      <c r="V994" s="548"/>
      <c r="W994" s="549"/>
      <c r="X994" s="541"/>
      <c r="Y994" s="547"/>
      <c r="Z994" s="548"/>
      <c r="AA994" s="549"/>
      <c r="AB994" s="541"/>
      <c r="AC994" s="547"/>
      <c r="AD994" s="548"/>
      <c r="AE994" s="549"/>
      <c r="AF994" s="541"/>
      <c r="AG994" s="366"/>
      <c r="AH994" s="366"/>
      <c r="AI994" s="366"/>
      <c r="AJ994" s="366"/>
      <c r="AK994" s="394"/>
      <c r="AL994" s="430"/>
      <c r="AM994" s="395"/>
      <c r="AN994" s="529"/>
      <c r="AO994" s="394"/>
      <c r="AP994" s="430"/>
      <c r="AQ994" s="395"/>
      <c r="AR994" s="529"/>
      <c r="AS994" s="542"/>
      <c r="AT994" s="542"/>
    </row>
    <row r="995">
      <c r="A995" s="394"/>
      <c r="B995" s="430"/>
      <c r="C995" s="395"/>
      <c r="D995" s="529"/>
      <c r="E995" s="394"/>
      <c r="F995" s="430"/>
      <c r="G995" s="395"/>
      <c r="H995" s="529"/>
      <c r="I995" s="394"/>
      <c r="J995" s="430"/>
      <c r="K995" s="395"/>
      <c r="L995" s="529"/>
      <c r="M995" s="394"/>
      <c r="N995" s="430"/>
      <c r="O995" s="395"/>
      <c r="P995" s="529"/>
      <c r="Q995" s="547"/>
      <c r="R995" s="548"/>
      <c r="S995" s="549"/>
      <c r="T995" s="541"/>
      <c r="U995" s="547"/>
      <c r="V995" s="548"/>
      <c r="W995" s="549"/>
      <c r="X995" s="541"/>
      <c r="Y995" s="547"/>
      <c r="Z995" s="548"/>
      <c r="AA995" s="549"/>
      <c r="AB995" s="541"/>
      <c r="AC995" s="547"/>
      <c r="AD995" s="548"/>
      <c r="AE995" s="549"/>
      <c r="AF995" s="541"/>
      <c r="AG995" s="366"/>
      <c r="AH995" s="366"/>
      <c r="AI995" s="366"/>
      <c r="AJ995" s="366"/>
      <c r="AK995" s="394"/>
      <c r="AL995" s="430"/>
      <c r="AM995" s="395"/>
      <c r="AN995" s="529"/>
      <c r="AO995" s="394"/>
      <c r="AP995" s="430"/>
      <c r="AQ995" s="395"/>
      <c r="AR995" s="529"/>
      <c r="AS995" s="542"/>
      <c r="AT995" s="542"/>
    </row>
    <row r="996">
      <c r="A996" s="394"/>
      <c r="B996" s="430"/>
      <c r="C996" s="395"/>
      <c r="D996" s="529"/>
      <c r="E996" s="394"/>
      <c r="F996" s="430"/>
      <c r="G996" s="395"/>
      <c r="H996" s="529"/>
      <c r="I996" s="394"/>
      <c r="J996" s="430"/>
      <c r="K996" s="395"/>
      <c r="L996" s="529"/>
      <c r="M996" s="394"/>
      <c r="N996" s="430"/>
      <c r="O996" s="395"/>
      <c r="P996" s="529"/>
      <c r="Q996" s="547"/>
      <c r="R996" s="548"/>
      <c r="S996" s="549"/>
      <c r="T996" s="541"/>
      <c r="U996" s="547"/>
      <c r="V996" s="548"/>
      <c r="W996" s="549"/>
      <c r="X996" s="541"/>
      <c r="Y996" s="547"/>
      <c r="Z996" s="548"/>
      <c r="AA996" s="549"/>
      <c r="AB996" s="541"/>
      <c r="AC996" s="547"/>
      <c r="AD996" s="548"/>
      <c r="AE996" s="549"/>
      <c r="AF996" s="541"/>
      <c r="AG996" s="366"/>
      <c r="AH996" s="366"/>
      <c r="AI996" s="366"/>
      <c r="AJ996" s="366"/>
      <c r="AK996" s="394"/>
      <c r="AL996" s="430"/>
      <c r="AM996" s="395"/>
      <c r="AN996" s="529"/>
      <c r="AO996" s="394"/>
      <c r="AP996" s="430"/>
      <c r="AQ996" s="395"/>
      <c r="AR996" s="529"/>
      <c r="AS996" s="542"/>
      <c r="AT996" s="542"/>
    </row>
    <row r="997">
      <c r="A997" s="394"/>
      <c r="B997" s="430"/>
      <c r="C997" s="395"/>
      <c r="D997" s="529"/>
      <c r="E997" s="394"/>
      <c r="F997" s="430"/>
      <c r="G997" s="395"/>
      <c r="H997" s="529"/>
      <c r="I997" s="394"/>
      <c r="J997" s="430"/>
      <c r="K997" s="395"/>
      <c r="L997" s="529"/>
      <c r="M997" s="394"/>
      <c r="N997" s="430"/>
      <c r="O997" s="395"/>
      <c r="P997" s="529"/>
      <c r="Q997" s="547"/>
      <c r="R997" s="548"/>
      <c r="S997" s="549"/>
      <c r="T997" s="541"/>
      <c r="U997" s="547"/>
      <c r="V997" s="548"/>
      <c r="W997" s="549"/>
      <c r="X997" s="541"/>
      <c r="Y997" s="547"/>
      <c r="Z997" s="548"/>
      <c r="AA997" s="549"/>
      <c r="AB997" s="541"/>
      <c r="AC997" s="547"/>
      <c r="AD997" s="548"/>
      <c r="AE997" s="549"/>
      <c r="AF997" s="541"/>
      <c r="AG997" s="366"/>
      <c r="AH997" s="366"/>
      <c r="AI997" s="366"/>
      <c r="AJ997" s="366"/>
      <c r="AK997" s="394"/>
      <c r="AL997" s="430"/>
      <c r="AM997" s="395"/>
      <c r="AN997" s="529"/>
      <c r="AO997" s="394"/>
      <c r="AP997" s="430"/>
      <c r="AQ997" s="395"/>
      <c r="AR997" s="529"/>
      <c r="AS997" s="542"/>
      <c r="AT997" s="542"/>
    </row>
    <row r="998">
      <c r="A998" s="394"/>
      <c r="B998" s="430"/>
      <c r="C998" s="395"/>
      <c r="D998" s="529"/>
      <c r="E998" s="394"/>
      <c r="F998" s="430"/>
      <c r="G998" s="395"/>
      <c r="H998" s="529"/>
      <c r="I998" s="394"/>
      <c r="J998" s="430"/>
      <c r="K998" s="395"/>
      <c r="L998" s="529"/>
      <c r="M998" s="394"/>
      <c r="N998" s="430"/>
      <c r="O998" s="395"/>
      <c r="P998" s="529"/>
      <c r="Q998" s="547"/>
      <c r="R998" s="548"/>
      <c r="S998" s="549"/>
      <c r="T998" s="541"/>
      <c r="U998" s="547"/>
      <c r="V998" s="548"/>
      <c r="W998" s="549"/>
      <c r="X998" s="541"/>
      <c r="Y998" s="547"/>
      <c r="Z998" s="548"/>
      <c r="AA998" s="549"/>
      <c r="AB998" s="541"/>
      <c r="AC998" s="547"/>
      <c r="AD998" s="548"/>
      <c r="AE998" s="549"/>
      <c r="AF998" s="541"/>
      <c r="AG998" s="366"/>
      <c r="AH998" s="366"/>
      <c r="AI998" s="366"/>
      <c r="AJ998" s="366"/>
      <c r="AK998" s="394"/>
      <c r="AL998" s="430"/>
      <c r="AM998" s="395"/>
      <c r="AN998" s="529"/>
      <c r="AO998" s="394"/>
      <c r="AP998" s="430"/>
      <c r="AQ998" s="395"/>
      <c r="AR998" s="529"/>
      <c r="AS998" s="542"/>
      <c r="AT998" s="542"/>
    </row>
    <row r="999">
      <c r="A999" s="394"/>
      <c r="B999" s="430"/>
      <c r="C999" s="395"/>
      <c r="D999" s="529"/>
      <c r="E999" s="394"/>
      <c r="F999" s="430"/>
      <c r="G999" s="395"/>
      <c r="H999" s="529"/>
      <c r="I999" s="394"/>
      <c r="J999" s="430"/>
      <c r="K999" s="395"/>
      <c r="L999" s="529"/>
      <c r="M999" s="394"/>
      <c r="N999" s="430"/>
      <c r="O999" s="395"/>
      <c r="P999" s="529"/>
      <c r="Q999" s="547"/>
      <c r="R999" s="548"/>
      <c r="S999" s="549"/>
      <c r="T999" s="541"/>
      <c r="U999" s="547"/>
      <c r="V999" s="548"/>
      <c r="W999" s="549"/>
      <c r="X999" s="541"/>
      <c r="Y999" s="547"/>
      <c r="Z999" s="548"/>
      <c r="AA999" s="549"/>
      <c r="AB999" s="541"/>
      <c r="AC999" s="547"/>
      <c r="AD999" s="548"/>
      <c r="AE999" s="549"/>
      <c r="AF999" s="541"/>
      <c r="AG999" s="366"/>
      <c r="AH999" s="366"/>
      <c r="AI999" s="366"/>
      <c r="AJ999" s="366"/>
      <c r="AK999" s="394"/>
      <c r="AL999" s="430"/>
      <c r="AM999" s="395"/>
      <c r="AN999" s="529"/>
      <c r="AO999" s="394"/>
      <c r="AP999" s="430"/>
      <c r="AQ999" s="395"/>
      <c r="AR999" s="529"/>
      <c r="AS999" s="542"/>
      <c r="AT999" s="542"/>
    </row>
    <row r="1000">
      <c r="A1000" s="394"/>
      <c r="B1000" s="430"/>
      <c r="C1000" s="395"/>
      <c r="D1000" s="529"/>
      <c r="E1000" s="394"/>
      <c r="F1000" s="430"/>
      <c r="G1000" s="395"/>
      <c r="H1000" s="529"/>
      <c r="I1000" s="394"/>
      <c r="J1000" s="430"/>
      <c r="K1000" s="395"/>
      <c r="L1000" s="529"/>
      <c r="M1000" s="394"/>
      <c r="N1000" s="430"/>
      <c r="O1000" s="395"/>
      <c r="P1000" s="529"/>
      <c r="Q1000" s="547"/>
      <c r="R1000" s="548"/>
      <c r="S1000" s="549"/>
      <c r="T1000" s="541"/>
      <c r="U1000" s="547"/>
      <c r="V1000" s="548"/>
      <c r="W1000" s="549"/>
      <c r="X1000" s="541"/>
      <c r="Y1000" s="547"/>
      <c r="Z1000" s="548"/>
      <c r="AA1000" s="549"/>
      <c r="AB1000" s="541"/>
      <c r="AC1000" s="547"/>
      <c r="AD1000" s="548"/>
      <c r="AE1000" s="549"/>
      <c r="AF1000" s="541"/>
      <c r="AG1000" s="366"/>
      <c r="AH1000" s="366"/>
      <c r="AI1000" s="366"/>
      <c r="AJ1000" s="366"/>
      <c r="AK1000" s="394"/>
      <c r="AL1000" s="430"/>
      <c r="AM1000" s="395"/>
      <c r="AN1000" s="529"/>
      <c r="AO1000" s="394"/>
      <c r="AP1000" s="430"/>
      <c r="AQ1000" s="395"/>
      <c r="AR1000" s="529"/>
      <c r="AS1000" s="542"/>
      <c r="AT1000" s="542"/>
    </row>
    <row r="1001">
      <c r="A1001" s="394"/>
      <c r="B1001" s="430"/>
      <c r="C1001" s="395"/>
      <c r="D1001" s="529"/>
      <c r="E1001" s="394"/>
      <c r="F1001" s="430"/>
      <c r="G1001" s="395"/>
      <c r="H1001" s="529"/>
      <c r="I1001" s="394"/>
      <c r="J1001" s="430"/>
      <c r="K1001" s="395"/>
      <c r="L1001" s="529"/>
      <c r="M1001" s="394"/>
      <c r="N1001" s="430"/>
      <c r="O1001" s="395"/>
      <c r="P1001" s="529"/>
      <c r="Q1001" s="547"/>
      <c r="R1001" s="548"/>
      <c r="S1001" s="549"/>
      <c r="T1001" s="541"/>
      <c r="U1001" s="547"/>
      <c r="V1001" s="548"/>
      <c r="W1001" s="549"/>
      <c r="X1001" s="541"/>
      <c r="Y1001" s="547"/>
      <c r="Z1001" s="548"/>
      <c r="AA1001" s="549"/>
      <c r="AB1001" s="541"/>
      <c r="AC1001" s="547"/>
      <c r="AD1001" s="548"/>
      <c r="AE1001" s="549"/>
      <c r="AF1001" s="541"/>
      <c r="AG1001" s="394"/>
      <c r="AH1001" s="430"/>
      <c r="AI1001" s="395"/>
      <c r="AJ1001" s="529"/>
      <c r="AK1001" s="394"/>
      <c r="AL1001" s="430"/>
      <c r="AM1001" s="395"/>
      <c r="AN1001" s="529"/>
      <c r="AO1001" s="394"/>
      <c r="AP1001" s="430"/>
      <c r="AQ1001" s="395"/>
      <c r="AR1001" s="529"/>
      <c r="AS1001" s="542"/>
      <c r="AT1001" s="542"/>
    </row>
    <row r="1002">
      <c r="A1002" s="394"/>
      <c r="B1002" s="430"/>
      <c r="C1002" s="395"/>
      <c r="D1002" s="529"/>
      <c r="E1002" s="394"/>
      <c r="F1002" s="430"/>
      <c r="G1002" s="395"/>
      <c r="H1002" s="529"/>
      <c r="I1002" s="394"/>
      <c r="J1002" s="430"/>
      <c r="K1002" s="395"/>
      <c r="L1002" s="529"/>
      <c r="M1002" s="394"/>
      <c r="N1002" s="430"/>
      <c r="O1002" s="395"/>
      <c r="P1002" s="529"/>
      <c r="Q1002" s="547"/>
      <c r="R1002" s="548"/>
      <c r="S1002" s="549"/>
      <c r="T1002" s="541"/>
      <c r="U1002" s="547"/>
      <c r="V1002" s="548"/>
      <c r="W1002" s="549"/>
      <c r="X1002" s="541"/>
      <c r="Y1002" s="547"/>
      <c r="Z1002" s="548"/>
      <c r="AA1002" s="549"/>
      <c r="AB1002" s="541"/>
      <c r="AC1002" s="547"/>
      <c r="AD1002" s="548"/>
      <c r="AE1002" s="549"/>
      <c r="AF1002" s="541"/>
      <c r="AG1002" s="394"/>
      <c r="AH1002" s="430"/>
      <c r="AI1002" s="395"/>
      <c r="AJ1002" s="529"/>
      <c r="AK1002" s="394"/>
      <c r="AL1002" s="430"/>
      <c r="AM1002" s="395"/>
      <c r="AN1002" s="529"/>
      <c r="AO1002" s="394"/>
      <c r="AP1002" s="430"/>
      <c r="AQ1002" s="395"/>
      <c r="AR1002" s="529"/>
      <c r="AS1002" s="542"/>
      <c r="AT1002" s="542"/>
    </row>
    <row r="1003">
      <c r="A1003" s="394"/>
      <c r="B1003" s="430"/>
      <c r="C1003" s="395"/>
      <c r="D1003" s="529"/>
      <c r="E1003" s="394"/>
      <c r="F1003" s="430"/>
      <c r="G1003" s="395"/>
      <c r="H1003" s="529"/>
      <c r="I1003" s="394"/>
      <c r="J1003" s="430"/>
      <c r="K1003" s="395"/>
      <c r="L1003" s="529"/>
      <c r="M1003" s="394"/>
      <c r="N1003" s="430"/>
      <c r="O1003" s="395"/>
      <c r="P1003" s="529"/>
      <c r="Q1003" s="547"/>
      <c r="R1003" s="548"/>
      <c r="S1003" s="549"/>
      <c r="T1003" s="541"/>
      <c r="U1003" s="547"/>
      <c r="V1003" s="548"/>
      <c r="W1003" s="549"/>
      <c r="X1003" s="541"/>
      <c r="Y1003" s="547"/>
      <c r="Z1003" s="548"/>
      <c r="AA1003" s="549"/>
      <c r="AB1003" s="541"/>
      <c r="AC1003" s="547"/>
      <c r="AD1003" s="548"/>
      <c r="AE1003" s="549"/>
      <c r="AF1003" s="541"/>
      <c r="AG1003" s="394"/>
      <c r="AH1003" s="430"/>
      <c r="AI1003" s="395"/>
      <c r="AJ1003" s="529"/>
      <c r="AK1003" s="394"/>
      <c r="AL1003" s="430"/>
      <c r="AM1003" s="395"/>
      <c r="AN1003" s="529"/>
      <c r="AO1003" s="394"/>
      <c r="AP1003" s="430"/>
      <c r="AQ1003" s="395"/>
      <c r="AR1003" s="529"/>
      <c r="AS1003" s="542"/>
      <c r="AT1003" s="542"/>
    </row>
    <row r="1004">
      <c r="A1004" s="394"/>
      <c r="B1004" s="430"/>
      <c r="C1004" s="395"/>
      <c r="D1004" s="529"/>
      <c r="E1004" s="394"/>
      <c r="F1004" s="430"/>
      <c r="G1004" s="395"/>
      <c r="H1004" s="529"/>
      <c r="I1004" s="394"/>
      <c r="J1004" s="430"/>
      <c r="K1004" s="395"/>
      <c r="L1004" s="529"/>
      <c r="M1004" s="394"/>
      <c r="N1004" s="430"/>
      <c r="O1004" s="395"/>
      <c r="P1004" s="529"/>
      <c r="Q1004" s="547"/>
      <c r="R1004" s="548"/>
      <c r="S1004" s="549"/>
      <c r="T1004" s="541"/>
      <c r="U1004" s="547"/>
      <c r="V1004" s="548"/>
      <c r="W1004" s="549"/>
      <c r="X1004" s="541"/>
      <c r="Y1004" s="547"/>
      <c r="Z1004" s="548"/>
      <c r="AA1004" s="549"/>
      <c r="AB1004" s="541"/>
      <c r="AC1004" s="547"/>
      <c r="AD1004" s="548"/>
      <c r="AE1004" s="549"/>
      <c r="AF1004" s="541"/>
      <c r="AG1004" s="394"/>
      <c r="AH1004" s="430"/>
      <c r="AI1004" s="395"/>
      <c r="AJ1004" s="529"/>
      <c r="AK1004" s="394"/>
      <c r="AL1004" s="430"/>
      <c r="AM1004" s="395"/>
      <c r="AN1004" s="529"/>
      <c r="AO1004" s="394"/>
      <c r="AP1004" s="430"/>
      <c r="AQ1004" s="395"/>
      <c r="AR1004" s="529"/>
      <c r="AS1004" s="542"/>
      <c r="AT1004" s="542"/>
    </row>
    <row r="1005">
      <c r="A1005" s="394"/>
      <c r="B1005" s="430"/>
      <c r="C1005" s="395"/>
      <c r="D1005" s="529"/>
      <c r="E1005" s="394"/>
      <c r="F1005" s="430"/>
      <c r="G1005" s="395"/>
      <c r="H1005" s="529"/>
      <c r="I1005" s="394"/>
      <c r="J1005" s="430"/>
      <c r="K1005" s="395"/>
      <c r="L1005" s="529"/>
      <c r="M1005" s="394"/>
      <c r="N1005" s="430"/>
      <c r="O1005" s="395"/>
      <c r="P1005" s="529"/>
      <c r="Q1005" s="547"/>
      <c r="R1005" s="548"/>
      <c r="S1005" s="549"/>
      <c r="T1005" s="541"/>
      <c r="U1005" s="547"/>
      <c r="V1005" s="548"/>
      <c r="W1005" s="549"/>
      <c r="X1005" s="541"/>
      <c r="Y1005" s="547"/>
      <c r="Z1005" s="548"/>
      <c r="AA1005" s="549"/>
      <c r="AB1005" s="541"/>
      <c r="AC1005" s="547"/>
      <c r="AD1005" s="548"/>
      <c r="AE1005" s="549"/>
      <c r="AF1005" s="541"/>
      <c r="AG1005" s="394"/>
      <c r="AH1005" s="430"/>
      <c r="AI1005" s="395"/>
      <c r="AJ1005" s="529"/>
      <c r="AK1005" s="394"/>
      <c r="AL1005" s="430"/>
      <c r="AM1005" s="395"/>
      <c r="AN1005" s="529"/>
      <c r="AO1005" s="394"/>
      <c r="AP1005" s="430"/>
      <c r="AQ1005" s="395"/>
      <c r="AR1005" s="529"/>
      <c r="AS1005" s="542"/>
      <c r="AT1005" s="542"/>
    </row>
    <row r="1006">
      <c r="A1006" s="394"/>
      <c r="B1006" s="430"/>
      <c r="C1006" s="395"/>
      <c r="D1006" s="529"/>
      <c r="E1006" s="394"/>
      <c r="F1006" s="430"/>
      <c r="G1006" s="395"/>
      <c r="H1006" s="529"/>
      <c r="I1006" s="394"/>
      <c r="J1006" s="430"/>
      <c r="K1006" s="395"/>
      <c r="L1006" s="529"/>
      <c r="M1006" s="394"/>
      <c r="N1006" s="430"/>
      <c r="O1006" s="395"/>
      <c r="P1006" s="529"/>
      <c r="Q1006" s="547"/>
      <c r="R1006" s="548"/>
      <c r="S1006" s="549"/>
      <c r="T1006" s="541"/>
      <c r="U1006" s="547"/>
      <c r="V1006" s="548"/>
      <c r="W1006" s="549"/>
      <c r="X1006" s="541"/>
      <c r="Y1006" s="547"/>
      <c r="Z1006" s="548"/>
      <c r="AA1006" s="549"/>
      <c r="AB1006" s="541"/>
      <c r="AC1006" s="547"/>
      <c r="AD1006" s="548"/>
      <c r="AE1006" s="549"/>
      <c r="AF1006" s="541"/>
      <c r="AG1006" s="394"/>
      <c r="AH1006" s="430"/>
      <c r="AI1006" s="395"/>
      <c r="AJ1006" s="529"/>
      <c r="AK1006" s="394"/>
      <c r="AL1006" s="430"/>
      <c r="AM1006" s="395"/>
      <c r="AN1006" s="529"/>
      <c r="AO1006" s="394"/>
      <c r="AP1006" s="430"/>
      <c r="AQ1006" s="395"/>
      <c r="AR1006" s="529"/>
      <c r="AS1006" s="542"/>
      <c r="AT1006" s="542"/>
    </row>
    <row r="1007">
      <c r="A1007" s="394"/>
      <c r="B1007" s="430"/>
      <c r="C1007" s="395"/>
      <c r="D1007" s="529"/>
      <c r="E1007" s="394"/>
      <c r="F1007" s="430"/>
      <c r="G1007" s="395"/>
      <c r="H1007" s="529"/>
      <c r="I1007" s="394"/>
      <c r="J1007" s="430"/>
      <c r="K1007" s="395"/>
      <c r="L1007" s="529"/>
      <c r="M1007" s="394"/>
      <c r="N1007" s="430"/>
      <c r="O1007" s="395"/>
      <c r="P1007" s="529"/>
      <c r="Q1007" s="547"/>
      <c r="R1007" s="548"/>
      <c r="S1007" s="549"/>
      <c r="T1007" s="541"/>
      <c r="U1007" s="547"/>
      <c r="V1007" s="548"/>
      <c r="W1007" s="549"/>
      <c r="X1007" s="541"/>
      <c r="Y1007" s="547"/>
      <c r="Z1007" s="548"/>
      <c r="AA1007" s="549"/>
      <c r="AB1007" s="541"/>
      <c r="AC1007" s="547"/>
      <c r="AD1007" s="548"/>
      <c r="AE1007" s="549"/>
      <c r="AF1007" s="541"/>
      <c r="AG1007" s="394"/>
      <c r="AH1007" s="430"/>
      <c r="AI1007" s="395"/>
      <c r="AJ1007" s="529"/>
      <c r="AK1007" s="394"/>
      <c r="AL1007" s="430"/>
      <c r="AM1007" s="395"/>
      <c r="AN1007" s="529"/>
      <c r="AO1007" s="394"/>
      <c r="AP1007" s="430"/>
      <c r="AQ1007" s="395"/>
      <c r="AR1007" s="529"/>
      <c r="AS1007" s="542"/>
      <c r="AT1007" s="542"/>
    </row>
    <row r="1008">
      <c r="A1008" s="394"/>
      <c r="B1008" s="430"/>
      <c r="C1008" s="395"/>
      <c r="D1008" s="529"/>
      <c r="E1008" s="394"/>
      <c r="F1008" s="430"/>
      <c r="G1008" s="395"/>
      <c r="H1008" s="529"/>
      <c r="I1008" s="394"/>
      <c r="J1008" s="430"/>
      <c r="K1008" s="395"/>
      <c r="L1008" s="529"/>
      <c r="M1008" s="394"/>
      <c r="N1008" s="430"/>
      <c r="O1008" s="395"/>
      <c r="P1008" s="529"/>
      <c r="Q1008" s="547"/>
      <c r="R1008" s="548"/>
      <c r="S1008" s="549"/>
      <c r="T1008" s="541"/>
      <c r="U1008" s="547"/>
      <c r="V1008" s="548"/>
      <c r="W1008" s="549"/>
      <c r="X1008" s="541"/>
      <c r="Y1008" s="547"/>
      <c r="Z1008" s="548"/>
      <c r="AA1008" s="549"/>
      <c r="AB1008" s="541"/>
      <c r="AC1008" s="547"/>
      <c r="AD1008" s="548"/>
      <c r="AE1008" s="549"/>
      <c r="AF1008" s="541"/>
      <c r="AG1008" s="394"/>
      <c r="AH1008" s="430"/>
      <c r="AI1008" s="395"/>
      <c r="AJ1008" s="529"/>
      <c r="AK1008" s="394"/>
      <c r="AL1008" s="430"/>
      <c r="AM1008" s="395"/>
      <c r="AN1008" s="529"/>
      <c r="AO1008" s="394"/>
      <c r="AP1008" s="430"/>
      <c r="AQ1008" s="395"/>
      <c r="AR1008" s="529"/>
      <c r="AS1008" s="542"/>
      <c r="AT1008" s="542"/>
    </row>
    <row r="1009">
      <c r="A1009" s="394"/>
      <c r="B1009" s="430"/>
      <c r="C1009" s="395"/>
      <c r="D1009" s="529"/>
      <c r="E1009" s="394"/>
      <c r="F1009" s="430"/>
      <c r="G1009" s="395"/>
      <c r="H1009" s="529"/>
      <c r="I1009" s="394"/>
      <c r="J1009" s="430"/>
      <c r="K1009" s="395"/>
      <c r="L1009" s="529"/>
      <c r="M1009" s="394"/>
      <c r="N1009" s="430"/>
      <c r="O1009" s="395"/>
      <c r="P1009" s="529"/>
      <c r="Q1009" s="547"/>
      <c r="R1009" s="548"/>
      <c r="S1009" s="549"/>
      <c r="T1009" s="541"/>
      <c r="U1009" s="547"/>
      <c r="V1009" s="548"/>
      <c r="W1009" s="549"/>
      <c r="X1009" s="541"/>
      <c r="Y1009" s="547"/>
      <c r="Z1009" s="548"/>
      <c r="AA1009" s="549"/>
      <c r="AB1009" s="541"/>
      <c r="AC1009" s="547"/>
      <c r="AD1009" s="548"/>
      <c r="AE1009" s="549"/>
      <c r="AF1009" s="541"/>
      <c r="AG1009" s="394"/>
      <c r="AH1009" s="430"/>
      <c r="AI1009" s="395"/>
      <c r="AJ1009" s="529"/>
      <c r="AK1009" s="394"/>
      <c r="AL1009" s="430"/>
      <c r="AM1009" s="395"/>
      <c r="AN1009" s="529"/>
      <c r="AO1009" s="394"/>
      <c r="AP1009" s="430"/>
      <c r="AQ1009" s="395"/>
      <c r="AR1009" s="529"/>
      <c r="AS1009" s="542"/>
      <c r="AT1009" s="542"/>
    </row>
    <row r="1010">
      <c r="A1010" s="394"/>
      <c r="B1010" s="430"/>
      <c r="C1010" s="395"/>
      <c r="D1010" s="529"/>
      <c r="E1010" s="394"/>
      <c r="F1010" s="430"/>
      <c r="G1010" s="395"/>
      <c r="H1010" s="529"/>
      <c r="I1010" s="394"/>
      <c r="J1010" s="430"/>
      <c r="K1010" s="395"/>
      <c r="L1010" s="529"/>
      <c r="M1010" s="394"/>
      <c r="N1010" s="430"/>
      <c r="O1010" s="395"/>
      <c r="P1010" s="529"/>
      <c r="Q1010" s="547"/>
      <c r="R1010" s="548"/>
      <c r="S1010" s="549"/>
      <c r="T1010" s="541"/>
      <c r="U1010" s="547"/>
      <c r="V1010" s="548"/>
      <c r="W1010" s="549"/>
      <c r="X1010" s="541"/>
      <c r="Y1010" s="547"/>
      <c r="Z1010" s="548"/>
      <c r="AA1010" s="549"/>
      <c r="AB1010" s="541"/>
      <c r="AC1010" s="547"/>
      <c r="AD1010" s="548"/>
      <c r="AE1010" s="549"/>
      <c r="AF1010" s="541"/>
      <c r="AG1010" s="394"/>
      <c r="AH1010" s="430"/>
      <c r="AI1010" s="395"/>
      <c r="AJ1010" s="529"/>
      <c r="AK1010" s="394"/>
      <c r="AL1010" s="430"/>
      <c r="AM1010" s="395"/>
      <c r="AN1010" s="529"/>
      <c r="AO1010" s="394"/>
      <c r="AP1010" s="430"/>
      <c r="AQ1010" s="395"/>
      <c r="AR1010" s="529"/>
      <c r="AS1010" s="542"/>
      <c r="AT1010" s="542"/>
    </row>
    <row r="1011">
      <c r="A1011" s="394"/>
      <c r="B1011" s="430"/>
      <c r="C1011" s="395"/>
      <c r="D1011" s="529"/>
      <c r="E1011" s="394"/>
      <c r="F1011" s="430"/>
      <c r="G1011" s="395"/>
      <c r="H1011" s="529"/>
      <c r="I1011" s="394"/>
      <c r="J1011" s="430"/>
      <c r="K1011" s="395"/>
      <c r="L1011" s="529"/>
      <c r="M1011" s="394"/>
      <c r="N1011" s="430"/>
      <c r="O1011" s="395"/>
      <c r="P1011" s="529"/>
      <c r="Q1011" s="547"/>
      <c r="R1011" s="548"/>
      <c r="S1011" s="549"/>
      <c r="T1011" s="541"/>
      <c r="U1011" s="547"/>
      <c r="V1011" s="548"/>
      <c r="W1011" s="549"/>
      <c r="X1011" s="541"/>
      <c r="Y1011" s="547"/>
      <c r="Z1011" s="548"/>
      <c r="AA1011" s="549"/>
      <c r="AB1011" s="541"/>
      <c r="AC1011" s="547"/>
      <c r="AD1011" s="548"/>
      <c r="AE1011" s="549"/>
      <c r="AF1011" s="541"/>
      <c r="AG1011" s="394"/>
      <c r="AH1011" s="430"/>
      <c r="AI1011" s="395"/>
      <c r="AJ1011" s="529"/>
      <c r="AK1011" s="394"/>
      <c r="AL1011" s="430"/>
      <c r="AM1011" s="395"/>
      <c r="AN1011" s="529"/>
      <c r="AO1011" s="394"/>
      <c r="AP1011" s="430"/>
      <c r="AQ1011" s="395"/>
      <c r="AR1011" s="529"/>
      <c r="AS1011" s="542"/>
      <c r="AT1011" s="542"/>
    </row>
    <row r="1012">
      <c r="A1012" s="394"/>
      <c r="B1012" s="430"/>
      <c r="C1012" s="395"/>
      <c r="D1012" s="529"/>
      <c r="E1012" s="394"/>
      <c r="F1012" s="430"/>
      <c r="G1012" s="395"/>
      <c r="H1012" s="529"/>
      <c r="I1012" s="394"/>
      <c r="J1012" s="430"/>
      <c r="K1012" s="395"/>
      <c r="L1012" s="529"/>
      <c r="M1012" s="394"/>
      <c r="N1012" s="430"/>
      <c r="O1012" s="395"/>
      <c r="P1012" s="529"/>
      <c r="Q1012" s="547"/>
      <c r="R1012" s="548"/>
      <c r="S1012" s="549"/>
      <c r="T1012" s="541"/>
      <c r="U1012" s="547"/>
      <c r="V1012" s="548"/>
      <c r="W1012" s="549"/>
      <c r="X1012" s="541"/>
      <c r="Y1012" s="547"/>
      <c r="Z1012" s="548"/>
      <c r="AA1012" s="549"/>
      <c r="AB1012" s="541"/>
      <c r="AC1012" s="547"/>
      <c r="AD1012" s="548"/>
      <c r="AE1012" s="549"/>
      <c r="AF1012" s="541"/>
      <c r="AG1012" s="394"/>
      <c r="AH1012" s="430"/>
      <c r="AI1012" s="395"/>
      <c r="AJ1012" s="529"/>
      <c r="AK1012" s="394"/>
      <c r="AL1012" s="430"/>
      <c r="AM1012" s="395"/>
      <c r="AN1012" s="529"/>
      <c r="AO1012" s="394"/>
      <c r="AP1012" s="430"/>
      <c r="AQ1012" s="395"/>
      <c r="AR1012" s="529"/>
      <c r="AS1012" s="542"/>
      <c r="AT1012" s="542"/>
    </row>
    <row r="1013">
      <c r="A1013" s="394"/>
      <c r="B1013" s="430"/>
      <c r="C1013" s="395"/>
      <c r="D1013" s="529"/>
      <c r="E1013" s="394"/>
      <c r="F1013" s="430"/>
      <c r="G1013" s="395"/>
      <c r="H1013" s="529"/>
      <c r="I1013" s="394"/>
      <c r="J1013" s="430"/>
      <c r="K1013" s="395"/>
      <c r="L1013" s="529"/>
      <c r="M1013" s="394"/>
      <c r="N1013" s="430"/>
      <c r="O1013" s="395"/>
      <c r="P1013" s="529"/>
      <c r="Q1013" s="547"/>
      <c r="R1013" s="548"/>
      <c r="S1013" s="549"/>
      <c r="T1013" s="541"/>
      <c r="U1013" s="547"/>
      <c r="V1013" s="548"/>
      <c r="W1013" s="549"/>
      <c r="X1013" s="541"/>
      <c r="Y1013" s="547"/>
      <c r="Z1013" s="548"/>
      <c r="AA1013" s="549"/>
      <c r="AB1013" s="541"/>
      <c r="AC1013" s="547"/>
      <c r="AD1013" s="548"/>
      <c r="AE1013" s="549"/>
      <c r="AF1013" s="541"/>
      <c r="AG1013" s="394"/>
      <c r="AH1013" s="430"/>
      <c r="AI1013" s="395"/>
      <c r="AJ1013" s="529"/>
      <c r="AK1013" s="394"/>
      <c r="AL1013" s="430"/>
      <c r="AM1013" s="395"/>
      <c r="AN1013" s="529"/>
      <c r="AO1013" s="394"/>
      <c r="AP1013" s="430"/>
      <c r="AQ1013" s="395"/>
      <c r="AR1013" s="529"/>
      <c r="AS1013" s="542"/>
      <c r="AT1013" s="542"/>
    </row>
    <row r="1014">
      <c r="A1014" s="394"/>
      <c r="B1014" s="430"/>
      <c r="C1014" s="395"/>
      <c r="D1014" s="529"/>
      <c r="E1014" s="394"/>
      <c r="F1014" s="430"/>
      <c r="G1014" s="395"/>
      <c r="H1014" s="529"/>
      <c r="I1014" s="394"/>
      <c r="J1014" s="430"/>
      <c r="K1014" s="395"/>
      <c r="L1014" s="529"/>
      <c r="M1014" s="394"/>
      <c r="N1014" s="430"/>
      <c r="O1014" s="395"/>
      <c r="P1014" s="529"/>
      <c r="Q1014" s="547"/>
      <c r="R1014" s="548"/>
      <c r="S1014" s="549"/>
      <c r="T1014" s="541"/>
      <c r="U1014" s="547"/>
      <c r="V1014" s="548"/>
      <c r="W1014" s="549"/>
      <c r="X1014" s="541"/>
      <c r="Y1014" s="547"/>
      <c r="Z1014" s="548"/>
      <c r="AA1014" s="549"/>
      <c r="AB1014" s="541"/>
      <c r="AC1014" s="547"/>
      <c r="AD1014" s="548"/>
      <c r="AE1014" s="549"/>
      <c r="AF1014" s="541"/>
      <c r="AG1014" s="394"/>
      <c r="AH1014" s="430"/>
      <c r="AI1014" s="395"/>
      <c r="AJ1014" s="529"/>
      <c r="AK1014" s="394"/>
      <c r="AL1014" s="430"/>
      <c r="AM1014" s="395"/>
      <c r="AN1014" s="529"/>
      <c r="AO1014" s="394"/>
      <c r="AP1014" s="430"/>
      <c r="AQ1014" s="395"/>
      <c r="AR1014" s="529"/>
      <c r="AS1014" s="542"/>
      <c r="AT1014" s="542"/>
    </row>
    <row r="1015">
      <c r="A1015" s="394"/>
      <c r="B1015" s="430"/>
      <c r="C1015" s="395"/>
      <c r="D1015" s="529"/>
      <c r="E1015" s="394"/>
      <c r="F1015" s="430"/>
      <c r="G1015" s="395"/>
      <c r="H1015" s="529"/>
      <c r="I1015" s="394"/>
      <c r="J1015" s="430"/>
      <c r="K1015" s="395"/>
      <c r="L1015" s="529"/>
      <c r="M1015" s="394"/>
      <c r="N1015" s="430"/>
      <c r="O1015" s="395"/>
      <c r="P1015" s="529"/>
      <c r="Q1015" s="547"/>
      <c r="R1015" s="548"/>
      <c r="S1015" s="549"/>
      <c r="T1015" s="541"/>
      <c r="U1015" s="547"/>
      <c r="V1015" s="548"/>
      <c r="W1015" s="549"/>
      <c r="X1015" s="541"/>
      <c r="Y1015" s="547"/>
      <c r="Z1015" s="548"/>
      <c r="AA1015" s="549"/>
      <c r="AB1015" s="541"/>
      <c r="AC1015" s="547"/>
      <c r="AD1015" s="548"/>
      <c r="AE1015" s="549"/>
      <c r="AF1015" s="541"/>
      <c r="AG1015" s="394"/>
      <c r="AH1015" s="430"/>
      <c r="AI1015" s="395"/>
      <c r="AJ1015" s="529"/>
      <c r="AK1015" s="394"/>
      <c r="AL1015" s="430"/>
      <c r="AM1015" s="395"/>
      <c r="AN1015" s="529"/>
      <c r="AO1015" s="394"/>
      <c r="AP1015" s="430"/>
      <c r="AQ1015" s="395"/>
      <c r="AR1015" s="529"/>
      <c r="AS1015" s="542"/>
      <c r="AT1015" s="542"/>
    </row>
    <row r="1016">
      <c r="A1016" s="394"/>
      <c r="B1016" s="430"/>
      <c r="C1016" s="395"/>
      <c r="D1016" s="529"/>
      <c r="E1016" s="394"/>
      <c r="F1016" s="430"/>
      <c r="G1016" s="395"/>
      <c r="H1016" s="529"/>
      <c r="I1016" s="394"/>
      <c r="J1016" s="430"/>
      <c r="K1016" s="395"/>
      <c r="L1016" s="529"/>
      <c r="M1016" s="394"/>
      <c r="N1016" s="430"/>
      <c r="O1016" s="395"/>
      <c r="P1016" s="529"/>
      <c r="Q1016" s="547"/>
      <c r="R1016" s="548"/>
      <c r="S1016" s="549"/>
      <c r="T1016" s="541"/>
      <c r="U1016" s="547"/>
      <c r="V1016" s="548"/>
      <c r="W1016" s="549"/>
      <c r="X1016" s="541"/>
      <c r="Y1016" s="547"/>
      <c r="Z1016" s="548"/>
      <c r="AA1016" s="549"/>
      <c r="AB1016" s="541"/>
      <c r="AC1016" s="547"/>
      <c r="AD1016" s="548"/>
      <c r="AE1016" s="549"/>
      <c r="AF1016" s="541"/>
      <c r="AG1016" s="394"/>
      <c r="AH1016" s="430"/>
      <c r="AI1016" s="395"/>
      <c r="AJ1016" s="529"/>
      <c r="AK1016" s="394"/>
      <c r="AL1016" s="430"/>
      <c r="AM1016" s="395"/>
      <c r="AN1016" s="529"/>
      <c r="AO1016" s="394"/>
      <c r="AP1016" s="430"/>
      <c r="AQ1016" s="395"/>
      <c r="AR1016" s="529"/>
      <c r="AS1016" s="542"/>
      <c r="AT1016" s="542"/>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43.63"/>
    <col customWidth="1" min="6" max="6" width="45.63"/>
    <col customWidth="1" min="7" max="8" width="41.38"/>
  </cols>
  <sheetData>
    <row r="1" ht="117.75" customHeight="1">
      <c r="A1" s="554" t="s">
        <v>12611</v>
      </c>
      <c r="B1" s="555" t="str">
        <f>IFERROR(__xludf.DUMMYFUNCTION("GOOGLETRANSLATE(A1,""zh-tw"",""ja"")"),"このチュートリアルは、公式モバイルクラウドセーブシステムが完成する前に、モバイル版のセーブデータを移行したい方向けです。
※英語チュートリアル動画提供：Gabriel B※")</f>
        <v>このチュートリアルは、公式モバイルクラウドセーブシステムが完成する前に、モバイル版のセーブデータを移行したい方向けです。
※英語チュートリアル動画提供：Gabriel B※</v>
      </c>
      <c r="C1" s="554" t="s">
        <v>12612</v>
      </c>
      <c r="D1" s="556" t="str">
        <f>IFERROR(__xludf.DUMMYFUNCTION("GOOGLETRANSLATE(A1,""zh-tw"",""zh"")"),"本教程为：
官方尚未完成手机版本云端存档系统前，而想将手机版存档搬运的教学
※英文版教学影片由Gabriel B提供※")</f>
        <v>本教程为：
官方尚未完成手机版本云端存档系统前，而想将手机版存档搬运的教学
※英文版教学影片由Gabriel B提供※</v>
      </c>
      <c r="E1" s="554"/>
      <c r="F1" s="557" t="s">
        <v>12613</v>
      </c>
      <c r="G1" s="558" t="s">
        <v>12614</v>
      </c>
      <c r="H1" s="501" t="s">
        <v>12615</v>
      </c>
      <c r="I1" s="559"/>
      <c r="J1" s="560"/>
      <c r="K1" s="560"/>
      <c r="L1" s="560"/>
      <c r="M1" s="560"/>
      <c r="N1" s="560"/>
      <c r="O1" s="560"/>
      <c r="P1" s="560"/>
      <c r="Q1" s="560"/>
      <c r="R1" s="560"/>
    </row>
    <row r="2">
      <c r="A2" s="561" t="s">
        <v>12616</v>
      </c>
      <c r="B2" s="71" t="str">
        <f>IFERROR(__xludf.DUMMYFUNCTION("GOOGLETRANSLATE(A2,""zh-tw"",""ja"")"),"1 - Google Playで「ファイルマネージャー」を検索してインストールします。")</f>
        <v>1 - Google Playで「ファイルマネージャー」を検索してインストールします。</v>
      </c>
      <c r="C2" s="561" t="s">
        <v>12617</v>
      </c>
      <c r="D2" s="294" t="str">
        <f>IFERROR(__xludf.DUMMYFUNCTION("GOOGLETRANSLATE(A2,""zh-tw"",""zh"")"),"1 - 在google play上搜寻 档案管理员 安装。")</f>
        <v>1 - 在google play上搜寻 档案管理员 安装。</v>
      </c>
      <c r="E2" s="561" t="s">
        <v>12618</v>
      </c>
      <c r="F2" s="463" t="s">
        <v>12619</v>
      </c>
      <c r="G2" s="562" t="s">
        <v>12620</v>
      </c>
      <c r="H2" s="563" t="s">
        <v>12621</v>
      </c>
      <c r="I2" s="564"/>
      <c r="J2" s="236"/>
      <c r="K2" s="236"/>
      <c r="L2" s="236"/>
      <c r="M2" s="236"/>
      <c r="N2" s="236"/>
      <c r="O2" s="236"/>
      <c r="P2" s="236"/>
      <c r="Q2" s="236"/>
      <c r="R2" s="236"/>
    </row>
    <row r="3">
      <c r="A3" s="561" t="s">
        <v>12622</v>
      </c>
      <c r="B3" s="71" t="str">
        <f>IFERROR(__xludf.DUMMYFUNCTION("GOOGLETRANSLATE(A3,""zh-tw"",""ja"")"),"2 - ファイルエクスプローラーアプリケーションを開き、Documents/sister_save (古いゲームバージョンの場合) を見つけて、その中のすべてのファイルをコピーして保存します。")</f>
        <v>2 - ファイルエクスプローラーアプリケーションを開き、Documents/sister_save (古いゲームバージョンの場合) を見つけて、その中のすべてのファイルをコピーして保存します。</v>
      </c>
      <c r="C3" s="561" t="s">
        <v>12623</v>
      </c>
      <c r="D3" s="294" t="str">
        <f>IFERROR(__xludf.DUMMYFUNCTION("GOOGLETRANSLATE(A3,""zh-tw"",""zh"")"),"2 - 开启 档案管理员 应用程式，并且找到〔旧游戏版本中〕的Documents/sister_save，将里面的文件全部复制出来并保存。")</f>
        <v>2 - 开启 档案管理员 应用程式，并且找到〔旧游戏版本中〕的Documents/sister_save，将里面的文件全部复制出来并保存。</v>
      </c>
      <c r="E3" s="561" t="s">
        <v>12624</v>
      </c>
      <c r="F3" s="463" t="s">
        <v>12625</v>
      </c>
      <c r="G3" s="565" t="s">
        <v>12626</v>
      </c>
      <c r="H3" s="563" t="s">
        <v>12627</v>
      </c>
      <c r="I3" s="564"/>
      <c r="J3" s="236"/>
      <c r="K3" s="236"/>
      <c r="L3" s="236"/>
      <c r="M3" s="236"/>
      <c r="N3" s="236"/>
      <c r="O3" s="236"/>
      <c r="P3" s="236"/>
      <c r="Q3" s="236"/>
      <c r="R3" s="236"/>
    </row>
    <row r="4">
      <c r="A4" s="561" t="s">
        <v>12628</v>
      </c>
      <c r="B4" s="71" t="str">
        <f>IFERROR(__xludf.DUMMYFUNCTION("GOOGLETRANSLATE(A4,""zh-tw"",""ja"")"),"3．ゲームの最新バージョンをインストールし、ゲーム内で任意のセーブファイルを作成してください。
（このセーブファイルはデータ転送後に上書きされ、削除されますのでご注意ください。）")</f>
        <v>3．ゲームの最新バージョンをインストールし、ゲーム内で任意のセーブファイルを作成してください。
（このセーブファイルはデータ転送後に上書きされ、削除されますのでご注意ください。）</v>
      </c>
      <c r="C4" s="561" t="s">
        <v>12629</v>
      </c>
      <c r="D4" s="294" t="str">
        <f>IFERROR(__xludf.DUMMYFUNCTION("GOOGLETRANSLATE(A4,""zh-tw"",""zh"")"),"3 - 必须安装〔新版本游戏〕，并且在游戏内创建一个随意的存档。
(请注意，这个存档在搬运后会被覆盖并且消失)")</f>
        <v>3 - 必须安装〔新版本游戏〕，并且在游戏内创建一个随意的存档。
(请注意，这个存档在搬运后会被覆盖并且消失)</v>
      </c>
      <c r="E4" s="561" t="s">
        <v>12630</v>
      </c>
      <c r="F4" s="463" t="s">
        <v>12631</v>
      </c>
      <c r="G4" s="562" t="s">
        <v>12632</v>
      </c>
      <c r="H4" s="563" t="s">
        <v>12633</v>
      </c>
      <c r="I4" s="564"/>
      <c r="J4" s="236"/>
      <c r="K4" s="236"/>
      <c r="L4" s="236"/>
      <c r="M4" s="236"/>
      <c r="N4" s="236"/>
      <c r="O4" s="236"/>
      <c r="P4" s="236"/>
      <c r="Q4" s="236"/>
      <c r="R4" s="236"/>
    </row>
    <row r="5">
      <c r="A5" s="561" t="s">
        <v>12634</v>
      </c>
      <c r="B5" s="71" t="str">
        <f>IFERROR(__xludf.DUMMYFUNCTION("GOOGLETRANSLATE(A5,""zh-tw"",""ja"")"),"4 - ファイルエクスプローラーアプリケーションを再度開き、[New Game Version]フォルダー内のDocuments/sister_saveを見つけて、そのフォルダー内の手順2のセーブファイルを「上書き」します。")</f>
        <v>4 - ファイルエクスプローラーアプリケーションを再度開き、[New Game Version]フォルダー内のDocuments/sister_saveを見つけて、そのフォルダー内の手順2のセーブファイルを「上書き」します。</v>
      </c>
      <c r="C5" s="561" t="s">
        <v>12635</v>
      </c>
      <c r="D5" s="294" t="str">
        <f>IFERROR(__xludf.DUMMYFUNCTION("GOOGLETRANSLATE(A5,""zh-tw"",""zh"")"),"4 - 再次开启 档案管理员 应用程式，在〔新游戏版本中〕并且找到Documents/sister_save，并将步骤2的存档""覆盖""于资料夹内。")</f>
        <v>4 - 再次开启 档案管理员 应用程式，在〔新游戏版本中〕并且找到Documents/sister_save，并将步骤2的存档"覆盖"于资料夹内。</v>
      </c>
      <c r="E5" s="561" t="s">
        <v>12636</v>
      </c>
      <c r="F5" s="463" t="s">
        <v>12637</v>
      </c>
      <c r="G5" s="565" t="s">
        <v>12638</v>
      </c>
      <c r="H5" s="563" t="s">
        <v>12639</v>
      </c>
      <c r="I5" s="564"/>
      <c r="J5" s="236"/>
      <c r="K5" s="236"/>
      <c r="L5" s="236"/>
      <c r="M5" s="236"/>
      <c r="N5" s="236"/>
      <c r="O5" s="236"/>
      <c r="P5" s="236"/>
      <c r="Q5" s="236"/>
      <c r="R5" s="236"/>
    </row>
    <row r="6">
      <c r="A6" s="566" t="s">
        <v>12640</v>
      </c>
      <c r="B6" s="567" t="s">
        <v>12641</v>
      </c>
      <c r="C6" s="566" t="s">
        <v>12642</v>
      </c>
      <c r="D6" s="567" t="s">
        <v>12643</v>
      </c>
      <c r="E6" s="566" t="s">
        <v>12644</v>
      </c>
      <c r="F6" s="568" t="s">
        <v>12645</v>
      </c>
      <c r="G6" s="569" t="s">
        <v>12646</v>
      </c>
      <c r="H6" s="570" t="s">
        <v>12647</v>
      </c>
      <c r="I6" s="564"/>
      <c r="J6" s="236"/>
      <c r="K6" s="236"/>
      <c r="L6" s="236"/>
      <c r="M6" s="236"/>
      <c r="N6" s="236"/>
      <c r="O6" s="236"/>
      <c r="P6" s="236"/>
      <c r="Q6" s="236"/>
      <c r="R6" s="236"/>
    </row>
    <row r="7">
      <c r="A7" s="571"/>
      <c r="B7" s="236"/>
      <c r="C7" s="571"/>
      <c r="D7" s="236"/>
      <c r="E7" s="452"/>
      <c r="F7" s="367"/>
      <c r="G7" s="236"/>
      <c r="H7" s="294"/>
      <c r="I7" s="236"/>
      <c r="J7" s="236"/>
      <c r="K7" s="236"/>
      <c r="L7" s="236"/>
      <c r="M7" s="236"/>
      <c r="N7" s="236"/>
      <c r="O7" s="236"/>
      <c r="P7" s="236"/>
      <c r="Q7" s="236"/>
      <c r="R7" s="236"/>
    </row>
    <row r="8">
      <c r="A8" s="571"/>
      <c r="B8" s="236"/>
      <c r="C8" s="236"/>
      <c r="D8" s="236"/>
      <c r="E8" s="236"/>
      <c r="F8" s="367"/>
      <c r="G8" s="236"/>
      <c r="H8" s="236"/>
      <c r="I8" s="236"/>
      <c r="J8" s="236"/>
      <c r="K8" s="236"/>
      <c r="L8" s="236"/>
      <c r="M8" s="236"/>
      <c r="N8" s="236"/>
      <c r="O8" s="236"/>
      <c r="P8" s="236"/>
      <c r="Q8" s="236"/>
      <c r="R8" s="236"/>
    </row>
    <row r="9">
      <c r="A9" s="571"/>
      <c r="B9" s="236"/>
      <c r="C9" s="236"/>
      <c r="D9" s="236"/>
      <c r="E9" s="236"/>
      <c r="F9" s="367"/>
      <c r="G9" s="236"/>
      <c r="H9" s="236"/>
      <c r="I9" s="236"/>
      <c r="J9" s="236"/>
      <c r="K9" s="236"/>
      <c r="L9" s="236"/>
      <c r="M9" s="236"/>
      <c r="N9" s="236"/>
      <c r="O9" s="236"/>
      <c r="P9" s="236"/>
      <c r="Q9" s="236"/>
      <c r="R9" s="236"/>
    </row>
    <row r="10">
      <c r="A10" s="571"/>
      <c r="B10" s="236"/>
      <c r="C10" s="236"/>
      <c r="D10" s="236"/>
      <c r="E10" s="236"/>
      <c r="F10" s="367"/>
      <c r="G10" s="236"/>
      <c r="H10" s="236"/>
      <c r="I10" s="236"/>
      <c r="J10" s="236"/>
      <c r="K10" s="236"/>
      <c r="L10" s="236"/>
      <c r="M10" s="236"/>
      <c r="N10" s="236"/>
      <c r="O10" s="236"/>
      <c r="P10" s="236"/>
      <c r="Q10" s="236"/>
      <c r="R10" s="236"/>
    </row>
    <row r="11">
      <c r="A11" s="571"/>
      <c r="B11" s="236"/>
      <c r="C11" s="236"/>
      <c r="D11" s="236"/>
      <c r="E11" s="236"/>
      <c r="F11" s="367"/>
      <c r="G11" s="236"/>
      <c r="H11" s="236"/>
      <c r="I11" s="236"/>
      <c r="J11" s="236"/>
      <c r="K11" s="236"/>
      <c r="L11" s="236"/>
      <c r="M11" s="236"/>
      <c r="N11" s="236"/>
      <c r="O11" s="236"/>
      <c r="P11" s="236"/>
      <c r="Q11" s="236"/>
      <c r="R11" s="236"/>
    </row>
    <row r="12">
      <c r="A12" s="571"/>
      <c r="B12" s="236"/>
      <c r="C12" s="236"/>
      <c r="D12" s="236"/>
      <c r="E12" s="236"/>
      <c r="F12" s="367"/>
      <c r="G12" s="236"/>
      <c r="H12" s="236"/>
      <c r="I12" s="236"/>
      <c r="J12" s="236"/>
      <c r="K12" s="236"/>
      <c r="L12" s="236"/>
      <c r="M12" s="236"/>
      <c r="N12" s="236"/>
      <c r="O12" s="236"/>
      <c r="P12" s="236"/>
      <c r="Q12" s="236"/>
      <c r="R12" s="236"/>
    </row>
    <row r="13">
      <c r="A13" s="571"/>
      <c r="B13" s="236"/>
      <c r="C13" s="236"/>
      <c r="D13" s="236"/>
      <c r="E13" s="236"/>
      <c r="F13" s="367"/>
      <c r="G13" s="236"/>
      <c r="H13" s="236"/>
      <c r="I13" s="236"/>
      <c r="J13" s="236"/>
      <c r="K13" s="236"/>
      <c r="L13" s="236"/>
      <c r="M13" s="236"/>
      <c r="N13" s="236"/>
      <c r="O13" s="236"/>
      <c r="P13" s="236"/>
      <c r="Q13" s="236"/>
      <c r="R13" s="236"/>
    </row>
    <row r="14">
      <c r="A14" s="571"/>
      <c r="B14" s="236"/>
      <c r="C14" s="236"/>
      <c r="D14" s="236"/>
      <c r="E14" s="236"/>
      <c r="F14" s="367"/>
      <c r="G14" s="236"/>
      <c r="H14" s="236"/>
      <c r="I14" s="236"/>
      <c r="J14" s="236"/>
      <c r="K14" s="236"/>
      <c r="L14" s="236"/>
      <c r="M14" s="236"/>
      <c r="N14" s="236"/>
      <c r="O14" s="236"/>
      <c r="P14" s="236"/>
      <c r="Q14" s="236"/>
      <c r="R14" s="236"/>
    </row>
    <row r="15">
      <c r="A15" s="571"/>
      <c r="B15" s="236"/>
      <c r="C15" s="236"/>
      <c r="D15" s="236"/>
      <c r="E15" s="236"/>
      <c r="F15" s="367"/>
      <c r="G15" s="236"/>
      <c r="H15" s="236"/>
      <c r="I15" s="236"/>
      <c r="J15" s="236"/>
      <c r="K15" s="236"/>
      <c r="L15" s="236"/>
      <c r="M15" s="236"/>
      <c r="N15" s="236"/>
      <c r="O15" s="236"/>
      <c r="P15" s="236"/>
      <c r="Q15" s="236"/>
      <c r="R15" s="236"/>
    </row>
    <row r="16">
      <c r="A16" s="571"/>
      <c r="B16" s="236"/>
      <c r="C16" s="236"/>
      <c r="D16" s="236"/>
      <c r="E16" s="236"/>
      <c r="F16" s="367"/>
      <c r="G16" s="236"/>
      <c r="H16" s="236"/>
      <c r="I16" s="236"/>
      <c r="J16" s="236"/>
      <c r="K16" s="236"/>
      <c r="L16" s="236"/>
      <c r="M16" s="236"/>
      <c r="N16" s="236"/>
      <c r="O16" s="236"/>
      <c r="P16" s="236"/>
      <c r="Q16" s="236"/>
      <c r="R16" s="236"/>
    </row>
    <row r="17">
      <c r="A17" s="571"/>
      <c r="B17" s="236"/>
      <c r="C17" s="236"/>
      <c r="D17" s="236"/>
      <c r="E17" s="236"/>
      <c r="F17" s="367"/>
      <c r="G17" s="236"/>
      <c r="H17" s="236"/>
      <c r="I17" s="236"/>
      <c r="J17" s="236"/>
      <c r="K17" s="236"/>
      <c r="L17" s="236"/>
      <c r="M17" s="236"/>
      <c r="N17" s="236"/>
      <c r="O17" s="236"/>
      <c r="P17" s="236"/>
      <c r="Q17" s="236"/>
      <c r="R17" s="236"/>
    </row>
    <row r="18">
      <c r="A18" s="571"/>
      <c r="B18" s="236"/>
      <c r="C18" s="236"/>
      <c r="D18" s="236"/>
      <c r="E18" s="236"/>
      <c r="F18" s="367"/>
      <c r="G18" s="236"/>
      <c r="H18" s="236"/>
      <c r="I18" s="236"/>
      <c r="J18" s="236"/>
      <c r="K18" s="236"/>
      <c r="L18" s="236"/>
      <c r="M18" s="236"/>
      <c r="N18" s="236"/>
      <c r="O18" s="236"/>
      <c r="P18" s="236"/>
      <c r="Q18" s="236"/>
      <c r="R18" s="236"/>
    </row>
    <row r="19">
      <c r="A19" s="571"/>
      <c r="B19" s="236"/>
      <c r="C19" s="236"/>
      <c r="D19" s="236"/>
      <c r="E19" s="236"/>
      <c r="F19" s="367"/>
      <c r="G19" s="236"/>
      <c r="H19" s="236"/>
      <c r="I19" s="236"/>
      <c r="J19" s="236"/>
      <c r="K19" s="236"/>
      <c r="L19" s="236"/>
      <c r="M19" s="236"/>
      <c r="N19" s="236"/>
      <c r="O19" s="236"/>
      <c r="P19" s="236"/>
      <c r="Q19" s="236"/>
      <c r="R19" s="236"/>
    </row>
    <row r="20">
      <c r="A20" s="571"/>
      <c r="B20" s="236"/>
      <c r="C20" s="236"/>
      <c r="D20" s="236"/>
      <c r="E20" s="236"/>
      <c r="F20" s="367"/>
      <c r="G20" s="236"/>
      <c r="H20" s="236"/>
      <c r="I20" s="236"/>
      <c r="J20" s="236"/>
      <c r="K20" s="236"/>
      <c r="L20" s="236"/>
      <c r="M20" s="236"/>
      <c r="N20" s="236"/>
      <c r="O20" s="236"/>
      <c r="P20" s="236"/>
      <c r="Q20" s="236"/>
      <c r="R20" s="236"/>
    </row>
    <row r="21">
      <c r="A21" s="571"/>
      <c r="B21" s="236"/>
      <c r="C21" s="236"/>
      <c r="D21" s="236"/>
      <c r="E21" s="236"/>
      <c r="F21" s="367"/>
      <c r="G21" s="236"/>
      <c r="H21" s="236"/>
      <c r="I21" s="236"/>
      <c r="J21" s="236"/>
      <c r="K21" s="236"/>
      <c r="L21" s="236"/>
      <c r="M21" s="236"/>
      <c r="N21" s="236"/>
      <c r="O21" s="236"/>
      <c r="P21" s="236"/>
      <c r="Q21" s="236"/>
      <c r="R21" s="236"/>
    </row>
    <row r="22">
      <c r="A22" s="571"/>
      <c r="B22" s="236"/>
      <c r="C22" s="236"/>
      <c r="D22" s="236"/>
      <c r="E22" s="236"/>
      <c r="F22" s="367"/>
      <c r="G22" s="236"/>
      <c r="H22" s="236"/>
      <c r="I22" s="236"/>
      <c r="J22" s="236"/>
      <c r="K22" s="236"/>
      <c r="L22" s="236"/>
      <c r="M22" s="236"/>
      <c r="N22" s="236"/>
      <c r="O22" s="236"/>
      <c r="P22" s="236"/>
      <c r="Q22" s="236"/>
      <c r="R22" s="236"/>
    </row>
    <row r="23">
      <c r="A23" s="571"/>
      <c r="B23" s="236"/>
      <c r="C23" s="236"/>
      <c r="D23" s="236"/>
      <c r="E23" s="236"/>
      <c r="F23" s="367"/>
      <c r="G23" s="236"/>
      <c r="H23" s="236"/>
      <c r="I23" s="236"/>
      <c r="J23" s="236"/>
      <c r="K23" s="236"/>
      <c r="L23" s="236"/>
      <c r="M23" s="236"/>
      <c r="N23" s="236"/>
      <c r="O23" s="236"/>
      <c r="P23" s="236"/>
      <c r="Q23" s="236"/>
      <c r="R23" s="236"/>
    </row>
    <row r="24">
      <c r="A24" s="571"/>
      <c r="B24" s="236"/>
      <c r="C24" s="236"/>
      <c r="D24" s="236"/>
      <c r="E24" s="236"/>
      <c r="F24" s="367"/>
      <c r="G24" s="236"/>
      <c r="H24" s="236"/>
      <c r="I24" s="236"/>
      <c r="J24" s="236"/>
      <c r="K24" s="236"/>
      <c r="L24" s="236"/>
      <c r="M24" s="236"/>
      <c r="N24" s="236"/>
      <c r="O24" s="236"/>
      <c r="P24" s="236"/>
      <c r="Q24" s="236"/>
      <c r="R24" s="236"/>
    </row>
    <row r="25">
      <c r="A25" s="571"/>
      <c r="B25" s="236"/>
      <c r="C25" s="236"/>
      <c r="D25" s="236"/>
      <c r="E25" s="236"/>
      <c r="F25" s="367"/>
      <c r="G25" s="236"/>
      <c r="H25" s="236"/>
      <c r="I25" s="236"/>
      <c r="J25" s="236"/>
      <c r="K25" s="236"/>
      <c r="L25" s="236"/>
      <c r="M25" s="236"/>
      <c r="N25" s="236"/>
      <c r="O25" s="236"/>
      <c r="P25" s="236"/>
      <c r="Q25" s="236"/>
      <c r="R25" s="236"/>
    </row>
    <row r="26">
      <c r="A26" s="571"/>
      <c r="B26" s="236"/>
      <c r="C26" s="236"/>
      <c r="D26" s="236"/>
      <c r="E26" s="236"/>
      <c r="F26" s="367"/>
      <c r="G26" s="236"/>
      <c r="H26" s="236"/>
      <c r="I26" s="236"/>
      <c r="J26" s="236"/>
      <c r="K26" s="236"/>
      <c r="L26" s="236"/>
      <c r="M26" s="236"/>
      <c r="N26" s="236"/>
      <c r="O26" s="236"/>
      <c r="P26" s="236"/>
      <c r="Q26" s="236"/>
      <c r="R26" s="236"/>
    </row>
    <row r="27">
      <c r="A27" s="571"/>
      <c r="B27" s="236"/>
      <c r="C27" s="236"/>
      <c r="D27" s="236"/>
      <c r="E27" s="236"/>
      <c r="F27" s="367"/>
      <c r="G27" s="236"/>
      <c r="H27" s="236"/>
      <c r="I27" s="236"/>
      <c r="J27" s="236"/>
      <c r="K27" s="236"/>
      <c r="L27" s="236"/>
      <c r="M27" s="236"/>
      <c r="N27" s="236"/>
      <c r="O27" s="236"/>
      <c r="P27" s="236"/>
      <c r="Q27" s="236"/>
      <c r="R27" s="236"/>
    </row>
    <row r="28">
      <c r="A28" s="571"/>
      <c r="B28" s="236"/>
      <c r="C28" s="236"/>
      <c r="D28" s="236"/>
      <c r="E28" s="236"/>
      <c r="F28" s="367"/>
      <c r="G28" s="236"/>
      <c r="H28" s="236"/>
      <c r="I28" s="236"/>
      <c r="J28" s="236"/>
      <c r="K28" s="236"/>
      <c r="L28" s="236"/>
      <c r="M28" s="236"/>
      <c r="N28" s="236"/>
      <c r="O28" s="236"/>
      <c r="P28" s="236"/>
      <c r="Q28" s="236"/>
      <c r="R28" s="236"/>
    </row>
    <row r="29">
      <c r="A29" s="571"/>
      <c r="B29" s="236"/>
      <c r="C29" s="236"/>
      <c r="D29" s="236"/>
      <c r="E29" s="236"/>
      <c r="F29" s="367"/>
      <c r="G29" s="236"/>
      <c r="H29" s="236"/>
      <c r="I29" s="236"/>
      <c r="J29" s="236"/>
      <c r="K29" s="236"/>
      <c r="L29" s="236"/>
      <c r="M29" s="236"/>
      <c r="N29" s="236"/>
      <c r="O29" s="236"/>
      <c r="P29" s="236"/>
      <c r="Q29" s="236"/>
      <c r="R29" s="236"/>
    </row>
    <row r="30">
      <c r="A30" s="571"/>
      <c r="B30" s="236"/>
      <c r="C30" s="236"/>
      <c r="D30" s="236"/>
      <c r="E30" s="236"/>
      <c r="F30" s="367"/>
      <c r="G30" s="236"/>
      <c r="H30" s="236"/>
      <c r="I30" s="236"/>
      <c r="J30" s="236"/>
      <c r="K30" s="236"/>
      <c r="L30" s="236"/>
      <c r="M30" s="236"/>
      <c r="N30" s="236"/>
      <c r="O30" s="236"/>
      <c r="P30" s="236"/>
      <c r="Q30" s="236"/>
      <c r="R30" s="236"/>
    </row>
    <row r="31">
      <c r="A31" s="571"/>
      <c r="B31" s="236"/>
      <c r="C31" s="236"/>
      <c r="D31" s="236"/>
      <c r="E31" s="236"/>
      <c r="F31" s="367"/>
      <c r="G31" s="236"/>
      <c r="H31" s="236"/>
      <c r="I31" s="236"/>
      <c r="J31" s="236"/>
      <c r="K31" s="236"/>
      <c r="L31" s="236"/>
      <c r="M31" s="236"/>
      <c r="N31" s="236"/>
      <c r="O31" s="236"/>
      <c r="P31" s="236"/>
      <c r="Q31" s="236"/>
      <c r="R31" s="236"/>
    </row>
    <row r="32">
      <c r="A32" s="236"/>
      <c r="B32" s="236"/>
      <c r="C32" s="236"/>
      <c r="D32" s="236"/>
      <c r="E32" s="236"/>
      <c r="F32" s="367"/>
      <c r="G32" s="236"/>
      <c r="H32" s="236"/>
      <c r="I32" s="236"/>
      <c r="J32" s="236"/>
      <c r="K32" s="236"/>
      <c r="L32" s="236"/>
      <c r="M32" s="236"/>
      <c r="N32" s="236"/>
      <c r="O32" s="236"/>
      <c r="P32" s="236"/>
      <c r="Q32" s="236"/>
      <c r="R32" s="236"/>
    </row>
    <row r="33">
      <c r="A33" s="236"/>
      <c r="B33" s="236"/>
      <c r="C33" s="236"/>
      <c r="D33" s="236"/>
      <c r="E33" s="236"/>
      <c r="F33" s="367"/>
      <c r="G33" s="236"/>
      <c r="H33" s="236"/>
      <c r="I33" s="236"/>
      <c r="J33" s="236"/>
      <c r="K33" s="236"/>
      <c r="L33" s="236"/>
      <c r="M33" s="236"/>
      <c r="N33" s="236"/>
      <c r="O33" s="236"/>
      <c r="P33" s="236"/>
      <c r="Q33" s="236"/>
      <c r="R33" s="236"/>
    </row>
    <row r="34">
      <c r="A34" s="236"/>
      <c r="B34" s="236"/>
      <c r="C34" s="236"/>
      <c r="D34" s="236"/>
      <c r="E34" s="236"/>
      <c r="F34" s="367"/>
      <c r="G34" s="236"/>
      <c r="H34" s="236"/>
      <c r="I34" s="236"/>
      <c r="J34" s="236"/>
      <c r="K34" s="236"/>
      <c r="L34" s="236"/>
      <c r="M34" s="236"/>
      <c r="N34" s="236"/>
      <c r="O34" s="236"/>
      <c r="P34" s="236"/>
      <c r="Q34" s="236"/>
      <c r="R34" s="236"/>
    </row>
    <row r="35">
      <c r="A35" s="236"/>
      <c r="B35" s="236"/>
      <c r="C35" s="236"/>
      <c r="D35" s="236"/>
      <c r="E35" s="236"/>
      <c r="F35" s="367"/>
      <c r="G35" s="236"/>
      <c r="H35" s="236"/>
      <c r="I35" s="236"/>
      <c r="J35" s="236"/>
      <c r="K35" s="236"/>
      <c r="L35" s="236"/>
      <c r="M35" s="236"/>
      <c r="N35" s="236"/>
      <c r="O35" s="236"/>
      <c r="P35" s="236"/>
      <c r="Q35" s="236"/>
      <c r="R35" s="236"/>
    </row>
    <row r="36">
      <c r="A36" s="236"/>
      <c r="B36" s="236"/>
      <c r="C36" s="236"/>
      <c r="D36" s="236"/>
      <c r="E36" s="236"/>
      <c r="F36" s="367"/>
      <c r="G36" s="236"/>
      <c r="H36" s="236"/>
      <c r="I36" s="236"/>
      <c r="J36" s="236"/>
      <c r="K36" s="236"/>
      <c r="L36" s="236"/>
      <c r="M36" s="236"/>
      <c r="N36" s="236"/>
      <c r="O36" s="236"/>
      <c r="P36" s="236"/>
      <c r="Q36" s="236"/>
      <c r="R36" s="236"/>
    </row>
    <row r="37">
      <c r="A37" s="236"/>
      <c r="B37" s="236"/>
      <c r="C37" s="236"/>
      <c r="D37" s="236"/>
      <c r="E37" s="236"/>
      <c r="F37" s="367"/>
      <c r="G37" s="236"/>
      <c r="H37" s="236"/>
      <c r="I37" s="236"/>
      <c r="J37" s="236"/>
      <c r="K37" s="236"/>
      <c r="L37" s="236"/>
      <c r="M37" s="236"/>
      <c r="N37" s="236"/>
      <c r="O37" s="236"/>
      <c r="P37" s="236"/>
      <c r="Q37" s="236"/>
      <c r="R37" s="236"/>
    </row>
    <row r="38">
      <c r="A38" s="236"/>
      <c r="B38" s="236"/>
      <c r="C38" s="236"/>
      <c r="D38" s="236"/>
      <c r="E38" s="236"/>
      <c r="F38" s="367"/>
      <c r="G38" s="236"/>
      <c r="H38" s="236"/>
      <c r="I38" s="236"/>
      <c r="J38" s="236"/>
      <c r="K38" s="236"/>
      <c r="L38" s="236"/>
      <c r="M38" s="236"/>
      <c r="N38" s="236"/>
      <c r="O38" s="236"/>
      <c r="P38" s="236"/>
      <c r="Q38" s="236"/>
      <c r="R38" s="236"/>
    </row>
    <row r="39">
      <c r="A39" s="236"/>
      <c r="B39" s="236"/>
      <c r="C39" s="236"/>
      <c r="D39" s="236"/>
      <c r="E39" s="236"/>
      <c r="F39" s="367"/>
      <c r="G39" s="236"/>
      <c r="H39" s="236"/>
      <c r="I39" s="236"/>
      <c r="J39" s="236"/>
      <c r="K39" s="236"/>
      <c r="L39" s="236"/>
      <c r="M39" s="236"/>
      <c r="N39" s="236"/>
      <c r="O39" s="236"/>
      <c r="P39" s="236"/>
      <c r="Q39" s="236"/>
      <c r="R39" s="236"/>
    </row>
    <row r="40">
      <c r="A40" s="236"/>
      <c r="B40" s="236"/>
      <c r="C40" s="236"/>
      <c r="D40" s="236"/>
      <c r="E40" s="236"/>
      <c r="F40" s="367"/>
      <c r="G40" s="236"/>
      <c r="H40" s="236"/>
      <c r="I40" s="236"/>
      <c r="J40" s="236"/>
      <c r="K40" s="236"/>
      <c r="L40" s="236"/>
      <c r="M40" s="236"/>
      <c r="N40" s="236"/>
      <c r="O40" s="236"/>
      <c r="P40" s="236"/>
      <c r="Q40" s="236"/>
      <c r="R40" s="236"/>
    </row>
    <row r="41">
      <c r="A41" s="236"/>
      <c r="B41" s="236"/>
      <c r="C41" s="236"/>
      <c r="D41" s="236"/>
      <c r="E41" s="236"/>
      <c r="F41" s="367"/>
      <c r="G41" s="236"/>
      <c r="H41" s="236"/>
      <c r="I41" s="236"/>
      <c r="J41" s="236"/>
      <c r="K41" s="236"/>
      <c r="L41" s="236"/>
      <c r="M41" s="236"/>
      <c r="N41" s="236"/>
      <c r="O41" s="236"/>
      <c r="P41" s="236"/>
      <c r="Q41" s="236"/>
      <c r="R41" s="236"/>
    </row>
    <row r="42">
      <c r="A42" s="236"/>
      <c r="B42" s="236"/>
      <c r="C42" s="236"/>
      <c r="D42" s="236"/>
      <c r="E42" s="236"/>
      <c r="F42" s="367"/>
      <c r="G42" s="236"/>
      <c r="H42" s="236"/>
      <c r="I42" s="236"/>
      <c r="J42" s="236"/>
      <c r="K42" s="236"/>
      <c r="L42" s="236"/>
      <c r="M42" s="236"/>
      <c r="N42" s="236"/>
      <c r="O42" s="236"/>
      <c r="P42" s="236"/>
      <c r="Q42" s="236"/>
      <c r="R42" s="236"/>
    </row>
    <row r="43">
      <c r="A43" s="236"/>
      <c r="B43" s="236"/>
      <c r="C43" s="236"/>
      <c r="D43" s="236"/>
      <c r="E43" s="236"/>
      <c r="F43" s="367"/>
      <c r="G43" s="236"/>
      <c r="H43" s="236"/>
      <c r="I43" s="236"/>
      <c r="J43" s="236"/>
      <c r="K43" s="236"/>
      <c r="L43" s="236"/>
      <c r="M43" s="236"/>
      <c r="N43" s="236"/>
      <c r="O43" s="236"/>
      <c r="P43" s="236"/>
      <c r="Q43" s="236"/>
      <c r="R43" s="236"/>
    </row>
    <row r="44">
      <c r="A44" s="236"/>
      <c r="B44" s="236"/>
      <c r="C44" s="236"/>
      <c r="D44" s="236"/>
      <c r="E44" s="236"/>
      <c r="F44" s="367"/>
      <c r="G44" s="236"/>
      <c r="H44" s="236"/>
      <c r="I44" s="236"/>
      <c r="J44" s="236"/>
      <c r="K44" s="236"/>
      <c r="L44" s="236"/>
      <c r="M44" s="236"/>
      <c r="N44" s="236"/>
      <c r="O44" s="236"/>
      <c r="P44" s="236"/>
      <c r="Q44" s="236"/>
      <c r="R44" s="236"/>
    </row>
    <row r="45">
      <c r="A45" s="236"/>
      <c r="B45" s="236"/>
      <c r="C45" s="236"/>
      <c r="D45" s="236"/>
      <c r="E45" s="236"/>
      <c r="F45" s="367"/>
      <c r="G45" s="236"/>
      <c r="H45" s="236"/>
      <c r="I45" s="236"/>
      <c r="J45" s="236"/>
      <c r="K45" s="236"/>
      <c r="L45" s="236"/>
      <c r="M45" s="236"/>
      <c r="N45" s="236"/>
      <c r="O45" s="236"/>
      <c r="P45" s="236"/>
      <c r="Q45" s="236"/>
      <c r="R45" s="236"/>
    </row>
    <row r="46">
      <c r="A46" s="236"/>
      <c r="B46" s="236"/>
      <c r="C46" s="236"/>
      <c r="D46" s="236"/>
      <c r="E46" s="236"/>
      <c r="F46" s="367"/>
      <c r="G46" s="236"/>
      <c r="H46" s="236"/>
      <c r="I46" s="236"/>
      <c r="J46" s="236"/>
      <c r="K46" s="236"/>
      <c r="L46" s="236"/>
      <c r="M46" s="236"/>
      <c r="N46" s="236"/>
      <c r="O46" s="236"/>
      <c r="P46" s="236"/>
      <c r="Q46" s="236"/>
      <c r="R46" s="236"/>
    </row>
    <row r="47">
      <c r="A47" s="236"/>
      <c r="B47" s="236"/>
      <c r="C47" s="236"/>
      <c r="D47" s="236"/>
      <c r="E47" s="236"/>
      <c r="F47" s="367"/>
      <c r="G47" s="236"/>
      <c r="H47" s="236"/>
      <c r="I47" s="236"/>
      <c r="J47" s="236"/>
      <c r="K47" s="236"/>
      <c r="L47" s="236"/>
      <c r="M47" s="236"/>
      <c r="N47" s="236"/>
      <c r="O47" s="236"/>
      <c r="P47" s="236"/>
      <c r="Q47" s="236"/>
      <c r="R47" s="236"/>
    </row>
    <row r="48">
      <c r="A48" s="236"/>
      <c r="B48" s="236"/>
      <c r="C48" s="236"/>
      <c r="D48" s="236"/>
      <c r="E48" s="236"/>
      <c r="F48" s="367"/>
      <c r="G48" s="236"/>
      <c r="H48" s="236"/>
      <c r="I48" s="236"/>
      <c r="J48" s="236"/>
      <c r="K48" s="236"/>
      <c r="L48" s="236"/>
      <c r="M48" s="236"/>
      <c r="N48" s="236"/>
      <c r="O48" s="236"/>
      <c r="P48" s="236"/>
      <c r="Q48" s="236"/>
      <c r="R48" s="236"/>
    </row>
    <row r="49">
      <c r="A49" s="236"/>
      <c r="B49" s="236"/>
      <c r="C49" s="236"/>
      <c r="D49" s="236"/>
      <c r="E49" s="236"/>
      <c r="F49" s="367"/>
      <c r="G49" s="236"/>
      <c r="H49" s="236"/>
      <c r="I49" s="236"/>
      <c r="J49" s="236"/>
      <c r="K49" s="236"/>
      <c r="L49" s="236"/>
      <c r="M49" s="236"/>
      <c r="N49" s="236"/>
      <c r="O49" s="236"/>
      <c r="P49" s="236"/>
      <c r="Q49" s="236"/>
      <c r="R49" s="236"/>
    </row>
    <row r="50">
      <c r="A50" s="236"/>
      <c r="B50" s="236"/>
      <c r="C50" s="236"/>
      <c r="D50" s="236"/>
      <c r="E50" s="236"/>
      <c r="F50" s="367"/>
      <c r="G50" s="236"/>
      <c r="H50" s="236"/>
      <c r="I50" s="236"/>
      <c r="J50" s="236"/>
      <c r="K50" s="236"/>
      <c r="L50" s="236"/>
      <c r="M50" s="236"/>
      <c r="N50" s="236"/>
      <c r="O50" s="236"/>
      <c r="P50" s="236"/>
      <c r="Q50" s="236"/>
      <c r="R50" s="236"/>
    </row>
    <row r="51">
      <c r="A51" s="236"/>
      <c r="B51" s="236"/>
      <c r="C51" s="236"/>
      <c r="D51" s="236"/>
      <c r="E51" s="236"/>
      <c r="F51" s="367"/>
      <c r="G51" s="236"/>
      <c r="H51" s="236"/>
      <c r="I51" s="236"/>
      <c r="J51" s="236"/>
      <c r="K51" s="236"/>
      <c r="L51" s="236"/>
      <c r="M51" s="236"/>
      <c r="N51" s="236"/>
      <c r="O51" s="236"/>
      <c r="P51" s="236"/>
      <c r="Q51" s="236"/>
      <c r="R51" s="236"/>
    </row>
    <row r="52">
      <c r="A52" s="236"/>
      <c r="B52" s="236"/>
      <c r="C52" s="236"/>
      <c r="D52" s="236"/>
      <c r="E52" s="236"/>
      <c r="F52" s="367"/>
      <c r="G52" s="236"/>
      <c r="H52" s="236"/>
      <c r="I52" s="236"/>
      <c r="J52" s="236"/>
      <c r="K52" s="236"/>
      <c r="L52" s="236"/>
      <c r="M52" s="236"/>
      <c r="N52" s="236"/>
      <c r="O52" s="236"/>
      <c r="P52" s="236"/>
      <c r="Q52" s="236"/>
      <c r="R52" s="236"/>
    </row>
    <row r="53">
      <c r="A53" s="236"/>
      <c r="B53" s="236"/>
      <c r="C53" s="236"/>
      <c r="D53" s="236"/>
      <c r="E53" s="236"/>
      <c r="F53" s="367"/>
      <c r="G53" s="236"/>
      <c r="H53" s="236"/>
      <c r="I53" s="236"/>
      <c r="J53" s="236"/>
      <c r="K53" s="236"/>
      <c r="L53" s="236"/>
      <c r="M53" s="236"/>
      <c r="N53" s="236"/>
      <c r="O53" s="236"/>
      <c r="P53" s="236"/>
      <c r="Q53" s="236"/>
      <c r="R53" s="236"/>
    </row>
    <row r="54">
      <c r="A54" s="236"/>
      <c r="B54" s="236"/>
      <c r="C54" s="236"/>
      <c r="D54" s="236"/>
      <c r="E54" s="236"/>
      <c r="F54" s="367"/>
      <c r="G54" s="236"/>
      <c r="H54" s="236"/>
      <c r="I54" s="236"/>
      <c r="J54" s="236"/>
      <c r="K54" s="236"/>
      <c r="L54" s="236"/>
      <c r="M54" s="236"/>
      <c r="N54" s="236"/>
      <c r="O54" s="236"/>
      <c r="P54" s="236"/>
      <c r="Q54" s="236"/>
      <c r="R54" s="236"/>
    </row>
    <row r="55">
      <c r="A55" s="236"/>
      <c r="B55" s="236"/>
      <c r="C55" s="236"/>
      <c r="D55" s="236"/>
      <c r="E55" s="236"/>
      <c r="F55" s="367"/>
      <c r="G55" s="236"/>
      <c r="H55" s="236"/>
      <c r="I55" s="236"/>
      <c r="J55" s="236"/>
      <c r="K55" s="236"/>
      <c r="L55" s="236"/>
      <c r="M55" s="236"/>
      <c r="N55" s="236"/>
      <c r="O55" s="236"/>
      <c r="P55" s="236"/>
      <c r="Q55" s="236"/>
      <c r="R55" s="236"/>
    </row>
    <row r="56">
      <c r="A56" s="236"/>
      <c r="B56" s="236"/>
      <c r="C56" s="236"/>
      <c r="D56" s="236"/>
      <c r="E56" s="236"/>
      <c r="F56" s="367"/>
      <c r="G56" s="236"/>
      <c r="H56" s="236"/>
      <c r="I56" s="236"/>
      <c r="J56" s="236"/>
      <c r="K56" s="236"/>
      <c r="L56" s="236"/>
      <c r="M56" s="236"/>
      <c r="N56" s="236"/>
      <c r="O56" s="236"/>
      <c r="P56" s="236"/>
      <c r="Q56" s="236"/>
      <c r="R56" s="236"/>
    </row>
    <row r="57">
      <c r="A57" s="236"/>
      <c r="B57" s="236"/>
      <c r="C57" s="236"/>
      <c r="D57" s="236"/>
      <c r="E57" s="236"/>
      <c r="F57" s="367"/>
      <c r="G57" s="236"/>
      <c r="H57" s="236"/>
      <c r="I57" s="236"/>
      <c r="J57" s="236"/>
      <c r="K57" s="236"/>
      <c r="L57" s="236"/>
      <c r="M57" s="236"/>
      <c r="N57" s="236"/>
      <c r="O57" s="236"/>
      <c r="P57" s="236"/>
      <c r="Q57" s="236"/>
      <c r="R57" s="236"/>
    </row>
    <row r="58">
      <c r="A58" s="236"/>
      <c r="B58" s="236"/>
      <c r="C58" s="236"/>
      <c r="D58" s="236"/>
      <c r="E58" s="236"/>
      <c r="F58" s="367"/>
      <c r="G58" s="236"/>
      <c r="H58" s="236"/>
      <c r="I58" s="236"/>
      <c r="J58" s="236"/>
      <c r="K58" s="236"/>
      <c r="L58" s="236"/>
      <c r="M58" s="236"/>
      <c r="N58" s="236"/>
      <c r="O58" s="236"/>
      <c r="P58" s="236"/>
      <c r="Q58" s="236"/>
      <c r="R58" s="236"/>
    </row>
    <row r="59">
      <c r="A59" s="236"/>
      <c r="B59" s="236"/>
      <c r="C59" s="236"/>
      <c r="D59" s="236"/>
      <c r="E59" s="236"/>
      <c r="F59" s="367"/>
      <c r="G59" s="236"/>
      <c r="H59" s="236"/>
      <c r="I59" s="236"/>
      <c r="J59" s="236"/>
      <c r="K59" s="236"/>
      <c r="L59" s="236"/>
      <c r="M59" s="236"/>
      <c r="N59" s="236"/>
      <c r="O59" s="236"/>
      <c r="P59" s="236"/>
      <c r="Q59" s="236"/>
      <c r="R59" s="236"/>
    </row>
    <row r="60">
      <c r="A60" s="236"/>
      <c r="B60" s="236"/>
      <c r="C60" s="236"/>
      <c r="D60" s="236"/>
      <c r="E60" s="236"/>
      <c r="F60" s="367"/>
      <c r="G60" s="236"/>
      <c r="H60" s="236"/>
      <c r="I60" s="236"/>
      <c r="J60" s="236"/>
      <c r="K60" s="236"/>
      <c r="L60" s="236"/>
      <c r="M60" s="236"/>
      <c r="N60" s="236"/>
      <c r="O60" s="236"/>
      <c r="P60" s="236"/>
      <c r="Q60" s="236"/>
      <c r="R60" s="236"/>
    </row>
    <row r="61">
      <c r="A61" s="236"/>
      <c r="B61" s="236"/>
      <c r="C61" s="236"/>
      <c r="D61" s="236"/>
      <c r="E61" s="236"/>
      <c r="F61" s="367"/>
      <c r="G61" s="236"/>
      <c r="H61" s="236"/>
      <c r="I61" s="236"/>
      <c r="J61" s="236"/>
      <c r="K61" s="236"/>
      <c r="L61" s="236"/>
      <c r="M61" s="236"/>
      <c r="N61" s="236"/>
      <c r="O61" s="236"/>
      <c r="P61" s="236"/>
      <c r="Q61" s="236"/>
      <c r="R61" s="236"/>
    </row>
    <row r="62">
      <c r="A62" s="236"/>
      <c r="B62" s="236"/>
      <c r="C62" s="236"/>
      <c r="D62" s="236"/>
      <c r="E62" s="236"/>
      <c r="F62" s="367"/>
      <c r="G62" s="236"/>
      <c r="H62" s="236"/>
      <c r="I62" s="236"/>
      <c r="J62" s="236"/>
      <c r="K62" s="236"/>
      <c r="L62" s="236"/>
      <c r="M62" s="236"/>
      <c r="N62" s="236"/>
      <c r="O62" s="236"/>
      <c r="P62" s="236"/>
      <c r="Q62" s="236"/>
      <c r="R62" s="236"/>
    </row>
    <row r="63">
      <c r="A63" s="236"/>
      <c r="B63" s="236"/>
      <c r="C63" s="236"/>
      <c r="D63" s="236"/>
      <c r="E63" s="236"/>
      <c r="F63" s="367"/>
      <c r="G63" s="236"/>
      <c r="H63" s="236"/>
      <c r="I63" s="236"/>
      <c r="J63" s="236"/>
      <c r="K63" s="236"/>
      <c r="L63" s="236"/>
      <c r="M63" s="236"/>
      <c r="N63" s="236"/>
      <c r="O63" s="236"/>
      <c r="P63" s="236"/>
      <c r="Q63" s="236"/>
      <c r="R63" s="236"/>
    </row>
    <row r="64">
      <c r="A64" s="236"/>
      <c r="B64" s="236"/>
      <c r="C64" s="236"/>
      <c r="D64" s="236"/>
      <c r="E64" s="236"/>
      <c r="F64" s="367"/>
      <c r="G64" s="236"/>
      <c r="H64" s="236"/>
      <c r="I64" s="236"/>
      <c r="J64" s="236"/>
      <c r="K64" s="236"/>
      <c r="L64" s="236"/>
      <c r="M64" s="236"/>
      <c r="N64" s="236"/>
      <c r="O64" s="236"/>
      <c r="P64" s="236"/>
      <c r="Q64" s="236"/>
      <c r="R64" s="236"/>
    </row>
    <row r="65">
      <c r="A65" s="236"/>
      <c r="B65" s="236"/>
      <c r="C65" s="236"/>
      <c r="D65" s="236"/>
      <c r="E65" s="236"/>
      <c r="F65" s="367"/>
      <c r="G65" s="236"/>
      <c r="H65" s="236"/>
      <c r="I65" s="236"/>
      <c r="J65" s="236"/>
      <c r="K65" s="236"/>
      <c r="L65" s="236"/>
      <c r="M65" s="236"/>
      <c r="N65" s="236"/>
      <c r="O65" s="236"/>
      <c r="P65" s="236"/>
      <c r="Q65" s="236"/>
      <c r="R65" s="236"/>
    </row>
    <row r="66">
      <c r="A66" s="236"/>
      <c r="B66" s="236"/>
      <c r="C66" s="236"/>
      <c r="D66" s="236"/>
      <c r="E66" s="236"/>
      <c r="F66" s="367"/>
      <c r="G66" s="236"/>
      <c r="H66" s="236"/>
      <c r="I66" s="236"/>
      <c r="J66" s="236"/>
      <c r="K66" s="236"/>
      <c r="L66" s="236"/>
      <c r="M66" s="236"/>
      <c r="N66" s="236"/>
      <c r="O66" s="236"/>
      <c r="P66" s="236"/>
      <c r="Q66" s="236"/>
      <c r="R66" s="236"/>
    </row>
    <row r="67">
      <c r="A67" s="236"/>
      <c r="B67" s="236"/>
      <c r="C67" s="236"/>
      <c r="D67" s="236"/>
      <c r="E67" s="236"/>
      <c r="F67" s="367"/>
      <c r="G67" s="236"/>
      <c r="H67" s="236"/>
      <c r="I67" s="236"/>
      <c r="J67" s="236"/>
      <c r="K67" s="236"/>
      <c r="L67" s="236"/>
      <c r="M67" s="236"/>
      <c r="N67" s="236"/>
      <c r="O67" s="236"/>
      <c r="P67" s="236"/>
      <c r="Q67" s="236"/>
      <c r="R67" s="236"/>
    </row>
    <row r="68">
      <c r="A68" s="236"/>
      <c r="B68" s="236"/>
      <c r="C68" s="236"/>
      <c r="D68" s="236"/>
      <c r="E68" s="236"/>
      <c r="F68" s="367"/>
      <c r="G68" s="236"/>
      <c r="H68" s="236"/>
      <c r="I68" s="236"/>
      <c r="J68" s="236"/>
      <c r="K68" s="236"/>
      <c r="L68" s="236"/>
      <c r="M68" s="236"/>
      <c r="N68" s="236"/>
      <c r="O68" s="236"/>
      <c r="P68" s="236"/>
      <c r="Q68" s="236"/>
      <c r="R68" s="236"/>
    </row>
    <row r="69">
      <c r="A69" s="236"/>
      <c r="B69" s="236"/>
      <c r="C69" s="236"/>
      <c r="D69" s="236"/>
      <c r="E69" s="236"/>
      <c r="F69" s="367"/>
      <c r="G69" s="236"/>
      <c r="H69" s="236"/>
      <c r="I69" s="236"/>
      <c r="J69" s="236"/>
      <c r="K69" s="236"/>
      <c r="L69" s="236"/>
      <c r="M69" s="236"/>
      <c r="N69" s="236"/>
      <c r="O69" s="236"/>
      <c r="P69" s="236"/>
      <c r="Q69" s="236"/>
      <c r="R69" s="236"/>
    </row>
    <row r="70">
      <c r="A70" s="236"/>
      <c r="B70" s="236"/>
      <c r="C70" s="236"/>
      <c r="D70" s="236"/>
      <c r="E70" s="236"/>
      <c r="F70" s="367"/>
      <c r="G70" s="236"/>
      <c r="H70" s="236"/>
      <c r="I70" s="236"/>
      <c r="J70" s="236"/>
      <c r="K70" s="236"/>
      <c r="L70" s="236"/>
      <c r="M70" s="236"/>
      <c r="N70" s="236"/>
      <c r="O70" s="236"/>
      <c r="P70" s="236"/>
      <c r="Q70" s="236"/>
      <c r="R70" s="236"/>
    </row>
    <row r="71">
      <c r="A71" s="236"/>
      <c r="B71" s="236"/>
      <c r="C71" s="236"/>
      <c r="D71" s="236"/>
      <c r="E71" s="236"/>
      <c r="F71" s="367"/>
      <c r="G71" s="236"/>
      <c r="H71" s="236"/>
      <c r="I71" s="236"/>
      <c r="J71" s="236"/>
      <c r="K71" s="236"/>
      <c r="L71" s="236"/>
      <c r="M71" s="236"/>
      <c r="N71" s="236"/>
      <c r="O71" s="236"/>
      <c r="P71" s="236"/>
      <c r="Q71" s="236"/>
      <c r="R71" s="236"/>
    </row>
    <row r="72">
      <c r="A72" s="236"/>
      <c r="B72" s="236"/>
      <c r="C72" s="236"/>
      <c r="D72" s="236"/>
      <c r="E72" s="236"/>
      <c r="F72" s="367"/>
      <c r="G72" s="236"/>
      <c r="H72" s="236"/>
      <c r="I72" s="236"/>
      <c r="J72" s="236"/>
      <c r="K72" s="236"/>
      <c r="L72" s="236"/>
      <c r="M72" s="236"/>
      <c r="N72" s="236"/>
      <c r="O72" s="236"/>
      <c r="P72" s="236"/>
      <c r="Q72" s="236"/>
      <c r="R72" s="236"/>
    </row>
    <row r="73">
      <c r="A73" s="236"/>
      <c r="B73" s="236"/>
      <c r="C73" s="236"/>
      <c r="D73" s="236"/>
      <c r="E73" s="236"/>
      <c r="F73" s="367"/>
      <c r="G73" s="236"/>
      <c r="H73" s="236"/>
      <c r="I73" s="236"/>
      <c r="J73" s="236"/>
      <c r="K73" s="236"/>
      <c r="L73" s="236"/>
      <c r="M73" s="236"/>
      <c r="N73" s="236"/>
      <c r="O73" s="236"/>
      <c r="P73" s="236"/>
      <c r="Q73" s="236"/>
      <c r="R73" s="236"/>
    </row>
    <row r="74">
      <c r="A74" s="236"/>
      <c r="B74" s="236"/>
      <c r="C74" s="236"/>
      <c r="D74" s="236"/>
      <c r="E74" s="236"/>
      <c r="F74" s="367"/>
      <c r="G74" s="236"/>
      <c r="H74" s="236"/>
      <c r="I74" s="236"/>
      <c r="J74" s="236"/>
      <c r="K74" s="236"/>
      <c r="L74" s="236"/>
      <c r="M74" s="236"/>
      <c r="N74" s="236"/>
      <c r="O74" s="236"/>
      <c r="P74" s="236"/>
      <c r="Q74" s="236"/>
      <c r="R74" s="236"/>
    </row>
    <row r="75">
      <c r="A75" s="236"/>
      <c r="B75" s="236"/>
      <c r="C75" s="236"/>
      <c r="D75" s="236"/>
      <c r="E75" s="236"/>
      <c r="F75" s="367"/>
      <c r="G75" s="236"/>
      <c r="H75" s="236"/>
      <c r="I75" s="236"/>
      <c r="J75" s="236"/>
      <c r="K75" s="236"/>
      <c r="L75" s="236"/>
      <c r="M75" s="236"/>
      <c r="N75" s="236"/>
      <c r="O75" s="236"/>
      <c r="P75" s="236"/>
      <c r="Q75" s="236"/>
      <c r="R75" s="236"/>
    </row>
    <row r="76">
      <c r="A76" s="236"/>
      <c r="B76" s="236"/>
      <c r="C76" s="236"/>
      <c r="D76" s="236"/>
      <c r="E76" s="236"/>
      <c r="F76" s="367"/>
      <c r="G76" s="236"/>
      <c r="H76" s="236"/>
      <c r="I76" s="236"/>
      <c r="J76" s="236"/>
      <c r="K76" s="236"/>
      <c r="L76" s="236"/>
      <c r="M76" s="236"/>
      <c r="N76" s="236"/>
      <c r="O76" s="236"/>
      <c r="P76" s="236"/>
      <c r="Q76" s="236"/>
      <c r="R76" s="236"/>
    </row>
    <row r="77">
      <c r="A77" s="236"/>
      <c r="B77" s="236"/>
      <c r="C77" s="236"/>
      <c r="D77" s="236"/>
      <c r="E77" s="236"/>
      <c r="F77" s="367"/>
      <c r="G77" s="236"/>
      <c r="H77" s="236"/>
      <c r="I77" s="236"/>
      <c r="J77" s="236"/>
      <c r="K77" s="236"/>
      <c r="L77" s="236"/>
      <c r="M77" s="236"/>
      <c r="N77" s="236"/>
      <c r="O77" s="236"/>
      <c r="P77" s="236"/>
      <c r="Q77" s="236"/>
      <c r="R77" s="236"/>
    </row>
    <row r="78">
      <c r="A78" s="236"/>
      <c r="B78" s="236"/>
      <c r="C78" s="236"/>
      <c r="D78" s="236"/>
      <c r="E78" s="236"/>
      <c r="F78" s="367"/>
      <c r="G78" s="236"/>
      <c r="H78" s="236"/>
      <c r="I78" s="236"/>
      <c r="J78" s="236"/>
      <c r="K78" s="236"/>
      <c r="L78" s="236"/>
      <c r="M78" s="236"/>
      <c r="N78" s="236"/>
      <c r="O78" s="236"/>
      <c r="P78" s="236"/>
      <c r="Q78" s="236"/>
      <c r="R78" s="236"/>
    </row>
    <row r="79">
      <c r="A79" s="236"/>
      <c r="B79" s="236"/>
      <c r="C79" s="236"/>
      <c r="D79" s="236"/>
      <c r="E79" s="236"/>
      <c r="F79" s="367"/>
      <c r="G79" s="236"/>
      <c r="H79" s="236"/>
      <c r="I79" s="236"/>
      <c r="J79" s="236"/>
      <c r="K79" s="236"/>
      <c r="L79" s="236"/>
      <c r="M79" s="236"/>
      <c r="N79" s="236"/>
      <c r="O79" s="236"/>
      <c r="P79" s="236"/>
      <c r="Q79" s="236"/>
      <c r="R79" s="236"/>
    </row>
    <row r="80">
      <c r="A80" s="236"/>
      <c r="B80" s="236"/>
      <c r="C80" s="236"/>
      <c r="D80" s="236"/>
      <c r="E80" s="236"/>
      <c r="F80" s="367"/>
      <c r="G80" s="236"/>
      <c r="H80" s="236"/>
      <c r="I80" s="236"/>
      <c r="J80" s="236"/>
      <c r="K80" s="236"/>
      <c r="L80" s="236"/>
      <c r="M80" s="236"/>
      <c r="N80" s="236"/>
      <c r="O80" s="236"/>
      <c r="P80" s="236"/>
      <c r="Q80" s="236"/>
      <c r="R80" s="236"/>
    </row>
    <row r="81">
      <c r="A81" s="236"/>
      <c r="B81" s="236"/>
      <c r="C81" s="236"/>
      <c r="D81" s="236"/>
      <c r="E81" s="236"/>
      <c r="F81" s="367"/>
      <c r="G81" s="236"/>
      <c r="H81" s="236"/>
      <c r="I81" s="236"/>
      <c r="J81" s="236"/>
      <c r="K81" s="236"/>
      <c r="L81" s="236"/>
      <c r="M81" s="236"/>
      <c r="N81" s="236"/>
      <c r="O81" s="236"/>
      <c r="P81" s="236"/>
      <c r="Q81" s="236"/>
      <c r="R81" s="236"/>
    </row>
    <row r="82">
      <c r="A82" s="236"/>
      <c r="B82" s="236"/>
      <c r="C82" s="236"/>
      <c r="D82" s="236"/>
      <c r="E82" s="236"/>
      <c r="F82" s="367"/>
      <c r="G82" s="236"/>
      <c r="H82" s="236"/>
      <c r="I82" s="236"/>
      <c r="J82" s="236"/>
      <c r="K82" s="236"/>
      <c r="L82" s="236"/>
      <c r="M82" s="236"/>
      <c r="N82" s="236"/>
      <c r="O82" s="236"/>
      <c r="P82" s="236"/>
      <c r="Q82" s="236"/>
      <c r="R82" s="236"/>
    </row>
    <row r="83">
      <c r="A83" s="236"/>
      <c r="B83" s="236"/>
      <c r="C83" s="236"/>
      <c r="D83" s="236"/>
      <c r="E83" s="236"/>
      <c r="F83" s="367"/>
      <c r="G83" s="236"/>
      <c r="H83" s="236"/>
      <c r="I83" s="236"/>
      <c r="J83" s="236"/>
      <c r="K83" s="236"/>
      <c r="L83" s="236"/>
      <c r="M83" s="236"/>
      <c r="N83" s="236"/>
      <c r="O83" s="236"/>
      <c r="P83" s="236"/>
      <c r="Q83" s="236"/>
      <c r="R83" s="236"/>
    </row>
    <row r="84">
      <c r="A84" s="236"/>
      <c r="B84" s="236"/>
      <c r="C84" s="236"/>
      <c r="D84" s="236"/>
      <c r="E84" s="236"/>
      <c r="F84" s="367"/>
      <c r="G84" s="236"/>
      <c r="H84" s="236"/>
      <c r="I84" s="236"/>
      <c r="J84" s="236"/>
      <c r="K84" s="236"/>
      <c r="L84" s="236"/>
      <c r="M84" s="236"/>
      <c r="N84" s="236"/>
      <c r="O84" s="236"/>
      <c r="P84" s="236"/>
      <c r="Q84" s="236"/>
      <c r="R84" s="236"/>
    </row>
    <row r="85">
      <c r="A85" s="236"/>
      <c r="B85" s="236"/>
      <c r="C85" s="236"/>
      <c r="D85" s="236"/>
      <c r="E85" s="236"/>
      <c r="F85" s="367"/>
      <c r="G85" s="236"/>
      <c r="H85" s="236"/>
      <c r="I85" s="236"/>
      <c r="J85" s="236"/>
      <c r="K85" s="236"/>
      <c r="L85" s="236"/>
      <c r="M85" s="236"/>
      <c r="N85" s="236"/>
      <c r="O85" s="236"/>
      <c r="P85" s="236"/>
      <c r="Q85" s="236"/>
      <c r="R85" s="236"/>
    </row>
    <row r="86">
      <c r="A86" s="236"/>
      <c r="B86" s="236"/>
      <c r="C86" s="236"/>
      <c r="D86" s="236"/>
      <c r="E86" s="236"/>
      <c r="F86" s="367"/>
      <c r="G86" s="236"/>
      <c r="H86" s="236"/>
      <c r="I86" s="236"/>
      <c r="J86" s="236"/>
      <c r="K86" s="236"/>
      <c r="L86" s="236"/>
      <c r="M86" s="236"/>
      <c r="N86" s="236"/>
      <c r="O86" s="236"/>
      <c r="P86" s="236"/>
      <c r="Q86" s="236"/>
      <c r="R86" s="236"/>
    </row>
    <row r="87">
      <c r="A87" s="236"/>
      <c r="B87" s="236"/>
      <c r="C87" s="236"/>
      <c r="D87" s="236"/>
      <c r="E87" s="236"/>
      <c r="F87" s="367"/>
      <c r="G87" s="236"/>
      <c r="H87" s="236"/>
      <c r="I87" s="236"/>
      <c r="J87" s="236"/>
      <c r="K87" s="236"/>
      <c r="L87" s="236"/>
      <c r="M87" s="236"/>
      <c r="N87" s="236"/>
      <c r="O87" s="236"/>
      <c r="P87" s="236"/>
      <c r="Q87" s="236"/>
      <c r="R87" s="236"/>
    </row>
    <row r="88">
      <c r="A88" s="236"/>
      <c r="B88" s="236"/>
      <c r="C88" s="236"/>
      <c r="D88" s="236"/>
      <c r="E88" s="236"/>
      <c r="F88" s="367"/>
      <c r="G88" s="236"/>
      <c r="H88" s="236"/>
      <c r="I88" s="236"/>
      <c r="J88" s="236"/>
      <c r="K88" s="236"/>
      <c r="L88" s="236"/>
      <c r="M88" s="236"/>
      <c r="N88" s="236"/>
      <c r="O88" s="236"/>
      <c r="P88" s="236"/>
      <c r="Q88" s="236"/>
      <c r="R88" s="236"/>
    </row>
    <row r="89">
      <c r="A89" s="236"/>
      <c r="B89" s="236"/>
      <c r="C89" s="236"/>
      <c r="D89" s="236"/>
      <c r="E89" s="236"/>
      <c r="F89" s="367"/>
      <c r="G89" s="236"/>
      <c r="H89" s="236"/>
      <c r="I89" s="236"/>
      <c r="J89" s="236"/>
      <c r="K89" s="236"/>
      <c r="L89" s="236"/>
      <c r="M89" s="236"/>
      <c r="N89" s="236"/>
      <c r="O89" s="236"/>
      <c r="P89" s="236"/>
      <c r="Q89" s="236"/>
      <c r="R89" s="236"/>
    </row>
    <row r="90">
      <c r="A90" s="236"/>
      <c r="B90" s="236"/>
      <c r="C90" s="236"/>
      <c r="D90" s="236"/>
      <c r="E90" s="236"/>
      <c r="F90" s="367"/>
      <c r="G90" s="236"/>
      <c r="H90" s="236"/>
      <c r="I90" s="236"/>
      <c r="J90" s="236"/>
      <c r="K90" s="236"/>
      <c r="L90" s="236"/>
      <c r="M90" s="236"/>
      <c r="N90" s="236"/>
      <c r="O90" s="236"/>
      <c r="P90" s="236"/>
      <c r="Q90" s="236"/>
      <c r="R90" s="236"/>
    </row>
    <row r="91">
      <c r="A91" s="236"/>
      <c r="B91" s="236"/>
      <c r="C91" s="236"/>
      <c r="D91" s="236"/>
      <c r="E91" s="236"/>
      <c r="F91" s="367"/>
      <c r="G91" s="236"/>
      <c r="H91" s="236"/>
      <c r="I91" s="236"/>
      <c r="J91" s="236"/>
      <c r="K91" s="236"/>
      <c r="L91" s="236"/>
      <c r="M91" s="236"/>
      <c r="N91" s="236"/>
      <c r="O91" s="236"/>
      <c r="P91" s="236"/>
      <c r="Q91" s="236"/>
      <c r="R91" s="236"/>
    </row>
    <row r="92">
      <c r="A92" s="236"/>
      <c r="B92" s="236"/>
      <c r="C92" s="236"/>
      <c r="D92" s="236"/>
      <c r="E92" s="236"/>
      <c r="F92" s="367"/>
      <c r="G92" s="236"/>
      <c r="H92" s="236"/>
      <c r="I92" s="236"/>
      <c r="J92" s="236"/>
      <c r="K92" s="236"/>
      <c r="L92" s="236"/>
      <c r="M92" s="236"/>
      <c r="N92" s="236"/>
      <c r="O92" s="236"/>
      <c r="P92" s="236"/>
      <c r="Q92" s="236"/>
      <c r="R92" s="236"/>
    </row>
    <row r="93">
      <c r="A93" s="236"/>
      <c r="B93" s="236"/>
      <c r="C93" s="236"/>
      <c r="D93" s="236"/>
      <c r="E93" s="236"/>
      <c r="F93" s="367"/>
      <c r="G93" s="236"/>
      <c r="H93" s="236"/>
      <c r="I93" s="236"/>
      <c r="J93" s="236"/>
      <c r="K93" s="236"/>
      <c r="L93" s="236"/>
      <c r="M93" s="236"/>
      <c r="N93" s="236"/>
      <c r="O93" s="236"/>
      <c r="P93" s="236"/>
      <c r="Q93" s="236"/>
      <c r="R93" s="236"/>
    </row>
    <row r="94">
      <c r="A94" s="236"/>
      <c r="B94" s="236"/>
      <c r="C94" s="236"/>
      <c r="D94" s="236"/>
      <c r="E94" s="236"/>
      <c r="F94" s="367"/>
      <c r="G94" s="236"/>
      <c r="H94" s="236"/>
      <c r="I94" s="236"/>
      <c r="J94" s="236"/>
      <c r="K94" s="236"/>
      <c r="L94" s="236"/>
      <c r="M94" s="236"/>
      <c r="N94" s="236"/>
      <c r="O94" s="236"/>
      <c r="P94" s="236"/>
      <c r="Q94" s="236"/>
      <c r="R94" s="236"/>
    </row>
    <row r="95">
      <c r="A95" s="236"/>
      <c r="B95" s="236"/>
      <c r="C95" s="236"/>
      <c r="D95" s="236"/>
      <c r="E95" s="236"/>
      <c r="F95" s="367"/>
      <c r="G95" s="236"/>
      <c r="H95" s="236"/>
      <c r="I95" s="236"/>
      <c r="J95" s="236"/>
      <c r="K95" s="236"/>
      <c r="L95" s="236"/>
      <c r="M95" s="236"/>
      <c r="N95" s="236"/>
      <c r="O95" s="236"/>
      <c r="P95" s="236"/>
      <c r="Q95" s="236"/>
      <c r="R95" s="236"/>
    </row>
    <row r="96">
      <c r="A96" s="236"/>
      <c r="B96" s="236"/>
      <c r="C96" s="236"/>
      <c r="D96" s="236"/>
      <c r="E96" s="236"/>
      <c r="F96" s="367"/>
      <c r="G96" s="236"/>
      <c r="H96" s="236"/>
      <c r="I96" s="236"/>
      <c r="J96" s="236"/>
      <c r="K96" s="236"/>
      <c r="L96" s="236"/>
      <c r="M96" s="236"/>
      <c r="N96" s="236"/>
      <c r="O96" s="236"/>
      <c r="P96" s="236"/>
      <c r="Q96" s="236"/>
      <c r="R96" s="236"/>
    </row>
    <row r="97">
      <c r="A97" s="236"/>
      <c r="B97" s="236"/>
      <c r="C97" s="236"/>
      <c r="D97" s="236"/>
      <c r="E97" s="236"/>
      <c r="F97" s="367"/>
      <c r="G97" s="236"/>
      <c r="H97" s="236"/>
      <c r="I97" s="236"/>
      <c r="J97" s="236"/>
      <c r="K97" s="236"/>
      <c r="L97" s="236"/>
      <c r="M97" s="236"/>
      <c r="N97" s="236"/>
      <c r="O97" s="236"/>
      <c r="P97" s="236"/>
      <c r="Q97" s="236"/>
      <c r="R97" s="236"/>
    </row>
    <row r="98">
      <c r="A98" s="236"/>
      <c r="B98" s="236"/>
      <c r="C98" s="236"/>
      <c r="D98" s="236"/>
      <c r="E98" s="236"/>
      <c r="F98" s="367"/>
      <c r="G98" s="236"/>
      <c r="H98" s="236"/>
      <c r="I98" s="236"/>
      <c r="J98" s="236"/>
      <c r="K98" s="236"/>
      <c r="L98" s="236"/>
      <c r="M98" s="236"/>
      <c r="N98" s="236"/>
      <c r="O98" s="236"/>
      <c r="P98" s="236"/>
      <c r="Q98" s="236"/>
      <c r="R98" s="236"/>
    </row>
    <row r="99">
      <c r="A99" s="236"/>
      <c r="B99" s="236"/>
      <c r="C99" s="236"/>
      <c r="D99" s="236"/>
      <c r="E99" s="236"/>
      <c r="F99" s="367"/>
      <c r="G99" s="236"/>
      <c r="H99" s="236"/>
      <c r="I99" s="236"/>
      <c r="J99" s="236"/>
      <c r="K99" s="236"/>
      <c r="L99" s="236"/>
      <c r="M99" s="236"/>
      <c r="N99" s="236"/>
      <c r="O99" s="236"/>
      <c r="P99" s="236"/>
      <c r="Q99" s="236"/>
      <c r="R99" s="236"/>
    </row>
    <row r="100">
      <c r="A100" s="236"/>
      <c r="B100" s="236"/>
      <c r="C100" s="236"/>
      <c r="D100" s="236"/>
      <c r="E100" s="236"/>
      <c r="F100" s="367"/>
      <c r="G100" s="236"/>
      <c r="H100" s="236"/>
      <c r="I100" s="236"/>
      <c r="J100" s="236"/>
      <c r="K100" s="236"/>
      <c r="L100" s="236"/>
      <c r="M100" s="236"/>
      <c r="N100" s="236"/>
      <c r="O100" s="236"/>
      <c r="P100" s="236"/>
      <c r="Q100" s="236"/>
      <c r="R100" s="236"/>
    </row>
    <row r="101">
      <c r="A101" s="236"/>
      <c r="B101" s="236"/>
      <c r="C101" s="236"/>
      <c r="D101" s="236"/>
      <c r="E101" s="236"/>
      <c r="F101" s="367"/>
      <c r="G101" s="236"/>
      <c r="H101" s="236"/>
      <c r="I101" s="236"/>
      <c r="J101" s="236"/>
      <c r="K101" s="236"/>
      <c r="L101" s="236"/>
      <c r="M101" s="236"/>
      <c r="N101" s="236"/>
      <c r="O101" s="236"/>
      <c r="P101" s="236"/>
      <c r="Q101" s="236"/>
      <c r="R101" s="236"/>
    </row>
    <row r="102">
      <c r="A102" s="236"/>
      <c r="B102" s="236"/>
      <c r="C102" s="236"/>
      <c r="D102" s="236"/>
      <c r="E102" s="236"/>
      <c r="F102" s="367"/>
      <c r="G102" s="236"/>
      <c r="H102" s="236"/>
      <c r="I102" s="236"/>
      <c r="J102" s="236"/>
      <c r="K102" s="236"/>
      <c r="L102" s="236"/>
      <c r="M102" s="236"/>
      <c r="N102" s="236"/>
      <c r="O102" s="236"/>
      <c r="P102" s="236"/>
      <c r="Q102" s="236"/>
      <c r="R102" s="236"/>
    </row>
    <row r="103">
      <c r="A103" s="236"/>
      <c r="B103" s="236"/>
      <c r="C103" s="236"/>
      <c r="D103" s="236"/>
      <c r="E103" s="236"/>
      <c r="F103" s="367"/>
      <c r="G103" s="236"/>
      <c r="H103" s="236"/>
      <c r="I103" s="236"/>
      <c r="J103" s="236"/>
      <c r="K103" s="236"/>
      <c r="L103" s="236"/>
      <c r="M103" s="236"/>
      <c r="N103" s="236"/>
      <c r="O103" s="236"/>
      <c r="P103" s="236"/>
      <c r="Q103" s="236"/>
      <c r="R103" s="236"/>
    </row>
    <row r="104">
      <c r="A104" s="236"/>
      <c r="B104" s="236"/>
      <c r="C104" s="236"/>
      <c r="D104" s="236"/>
      <c r="E104" s="236"/>
      <c r="F104" s="367"/>
      <c r="G104" s="236"/>
      <c r="H104" s="236"/>
      <c r="I104" s="236"/>
      <c r="J104" s="236"/>
      <c r="K104" s="236"/>
      <c r="L104" s="236"/>
      <c r="M104" s="236"/>
      <c r="N104" s="236"/>
      <c r="O104" s="236"/>
      <c r="P104" s="236"/>
      <c r="Q104" s="236"/>
      <c r="R104" s="236"/>
    </row>
    <row r="105">
      <c r="A105" s="236"/>
      <c r="B105" s="236"/>
      <c r="C105" s="236"/>
      <c r="D105" s="236"/>
      <c r="E105" s="236"/>
      <c r="F105" s="367"/>
      <c r="G105" s="236"/>
      <c r="H105" s="236"/>
      <c r="I105" s="236"/>
      <c r="J105" s="236"/>
      <c r="K105" s="236"/>
      <c r="L105" s="236"/>
      <c r="M105" s="236"/>
      <c r="N105" s="236"/>
      <c r="O105" s="236"/>
      <c r="P105" s="236"/>
      <c r="Q105" s="236"/>
      <c r="R105" s="236"/>
    </row>
    <row r="106">
      <c r="A106" s="236"/>
      <c r="B106" s="236"/>
      <c r="C106" s="236"/>
      <c r="D106" s="236"/>
      <c r="E106" s="236"/>
      <c r="F106" s="367"/>
      <c r="G106" s="236"/>
      <c r="H106" s="236"/>
      <c r="I106" s="236"/>
      <c r="J106" s="236"/>
      <c r="K106" s="236"/>
      <c r="L106" s="236"/>
      <c r="M106" s="236"/>
      <c r="N106" s="236"/>
      <c r="O106" s="236"/>
      <c r="P106" s="236"/>
      <c r="Q106" s="236"/>
      <c r="R106" s="236"/>
    </row>
    <row r="107">
      <c r="A107" s="236"/>
      <c r="B107" s="236"/>
      <c r="C107" s="236"/>
      <c r="D107" s="236"/>
      <c r="E107" s="236"/>
      <c r="F107" s="367"/>
      <c r="G107" s="236"/>
      <c r="H107" s="236"/>
      <c r="I107" s="236"/>
      <c r="J107" s="236"/>
      <c r="K107" s="236"/>
      <c r="L107" s="236"/>
      <c r="M107" s="236"/>
      <c r="N107" s="236"/>
      <c r="O107" s="236"/>
      <c r="P107" s="236"/>
      <c r="Q107" s="236"/>
      <c r="R107" s="236"/>
    </row>
    <row r="108">
      <c r="A108" s="236"/>
      <c r="B108" s="236"/>
      <c r="C108" s="236"/>
      <c r="D108" s="236"/>
      <c r="E108" s="236"/>
      <c r="F108" s="367"/>
      <c r="G108" s="236"/>
      <c r="H108" s="236"/>
      <c r="I108" s="236"/>
      <c r="J108" s="236"/>
      <c r="K108" s="236"/>
      <c r="L108" s="236"/>
      <c r="M108" s="236"/>
      <c r="N108" s="236"/>
      <c r="O108" s="236"/>
      <c r="P108" s="236"/>
      <c r="Q108" s="236"/>
      <c r="R108" s="236"/>
    </row>
    <row r="109">
      <c r="A109" s="236"/>
      <c r="B109" s="236"/>
      <c r="C109" s="236"/>
      <c r="D109" s="236"/>
      <c r="E109" s="236"/>
      <c r="F109" s="367"/>
      <c r="G109" s="236"/>
      <c r="H109" s="236"/>
      <c r="I109" s="236"/>
      <c r="J109" s="236"/>
      <c r="K109" s="236"/>
      <c r="L109" s="236"/>
      <c r="M109" s="236"/>
      <c r="N109" s="236"/>
      <c r="O109" s="236"/>
      <c r="P109" s="236"/>
      <c r="Q109" s="236"/>
      <c r="R109" s="236"/>
    </row>
    <row r="110">
      <c r="A110" s="236"/>
      <c r="B110" s="236"/>
      <c r="C110" s="236"/>
      <c r="D110" s="236"/>
      <c r="E110" s="236"/>
      <c r="F110" s="367"/>
      <c r="G110" s="236"/>
      <c r="H110" s="236"/>
      <c r="I110" s="236"/>
      <c r="J110" s="236"/>
      <c r="K110" s="236"/>
      <c r="L110" s="236"/>
      <c r="M110" s="236"/>
      <c r="N110" s="236"/>
      <c r="O110" s="236"/>
      <c r="P110" s="236"/>
      <c r="Q110" s="236"/>
      <c r="R110" s="236"/>
    </row>
    <row r="111">
      <c r="A111" s="236"/>
      <c r="B111" s="236"/>
      <c r="C111" s="236"/>
      <c r="D111" s="236"/>
      <c r="E111" s="236"/>
      <c r="F111" s="367"/>
      <c r="G111" s="236"/>
      <c r="H111" s="236"/>
      <c r="I111" s="236"/>
      <c r="J111" s="236"/>
      <c r="K111" s="236"/>
      <c r="L111" s="236"/>
      <c r="M111" s="236"/>
      <c r="N111" s="236"/>
      <c r="O111" s="236"/>
      <c r="P111" s="236"/>
      <c r="Q111" s="236"/>
      <c r="R111" s="236"/>
    </row>
    <row r="112">
      <c r="A112" s="236"/>
      <c r="B112" s="236"/>
      <c r="C112" s="236"/>
      <c r="D112" s="236"/>
      <c r="E112" s="236"/>
      <c r="F112" s="367"/>
      <c r="G112" s="236"/>
      <c r="H112" s="236"/>
      <c r="I112" s="236"/>
      <c r="J112" s="236"/>
      <c r="K112" s="236"/>
      <c r="L112" s="236"/>
      <c r="M112" s="236"/>
      <c r="N112" s="236"/>
      <c r="O112" s="236"/>
      <c r="P112" s="236"/>
      <c r="Q112" s="236"/>
      <c r="R112" s="236"/>
    </row>
    <row r="113">
      <c r="A113" s="236"/>
      <c r="B113" s="236"/>
      <c r="C113" s="236"/>
      <c r="D113" s="236"/>
      <c r="E113" s="236"/>
      <c r="F113" s="367"/>
      <c r="G113" s="236"/>
      <c r="H113" s="236"/>
      <c r="I113" s="236"/>
      <c r="J113" s="236"/>
      <c r="K113" s="236"/>
      <c r="L113" s="236"/>
      <c r="M113" s="236"/>
      <c r="N113" s="236"/>
      <c r="O113" s="236"/>
      <c r="P113" s="236"/>
      <c r="Q113" s="236"/>
      <c r="R113" s="236"/>
    </row>
    <row r="114">
      <c r="A114" s="236"/>
      <c r="B114" s="236"/>
      <c r="C114" s="236"/>
      <c r="D114" s="236"/>
      <c r="E114" s="236"/>
      <c r="F114" s="367"/>
      <c r="G114" s="236"/>
      <c r="H114" s="236"/>
      <c r="I114" s="236"/>
      <c r="J114" s="236"/>
      <c r="K114" s="236"/>
      <c r="L114" s="236"/>
      <c r="M114" s="236"/>
      <c r="N114" s="236"/>
      <c r="O114" s="236"/>
      <c r="P114" s="236"/>
      <c r="Q114" s="236"/>
      <c r="R114" s="236"/>
    </row>
    <row r="115">
      <c r="A115" s="236"/>
      <c r="B115" s="236"/>
      <c r="C115" s="236"/>
      <c r="D115" s="236"/>
      <c r="E115" s="236"/>
      <c r="F115" s="367"/>
      <c r="G115" s="236"/>
      <c r="H115" s="236"/>
      <c r="I115" s="236"/>
      <c r="J115" s="236"/>
      <c r="K115" s="236"/>
      <c r="L115" s="236"/>
      <c r="M115" s="236"/>
      <c r="N115" s="236"/>
      <c r="O115" s="236"/>
      <c r="P115" s="236"/>
      <c r="Q115" s="236"/>
      <c r="R115" s="236"/>
    </row>
    <row r="116">
      <c r="A116" s="236"/>
      <c r="B116" s="236"/>
      <c r="C116" s="236"/>
      <c r="D116" s="236"/>
      <c r="E116" s="236"/>
      <c r="F116" s="367"/>
      <c r="G116" s="236"/>
      <c r="H116" s="236"/>
      <c r="I116" s="236"/>
      <c r="J116" s="236"/>
      <c r="K116" s="236"/>
      <c r="L116" s="236"/>
      <c r="M116" s="236"/>
      <c r="N116" s="236"/>
      <c r="O116" s="236"/>
      <c r="P116" s="236"/>
      <c r="Q116" s="236"/>
      <c r="R116" s="236"/>
    </row>
    <row r="117">
      <c r="A117" s="236"/>
      <c r="B117" s="236"/>
      <c r="C117" s="236"/>
      <c r="D117" s="236"/>
      <c r="E117" s="236"/>
      <c r="F117" s="367"/>
      <c r="G117" s="236"/>
      <c r="H117" s="236"/>
      <c r="I117" s="236"/>
      <c r="J117" s="236"/>
      <c r="K117" s="236"/>
      <c r="L117" s="236"/>
      <c r="M117" s="236"/>
      <c r="N117" s="236"/>
      <c r="O117" s="236"/>
      <c r="P117" s="236"/>
      <c r="Q117" s="236"/>
      <c r="R117" s="236"/>
    </row>
    <row r="118">
      <c r="A118" s="236"/>
      <c r="B118" s="236"/>
      <c r="C118" s="236"/>
      <c r="D118" s="236"/>
      <c r="E118" s="236"/>
      <c r="F118" s="367"/>
      <c r="G118" s="236"/>
      <c r="H118" s="236"/>
      <c r="I118" s="236"/>
      <c r="J118" s="236"/>
      <c r="K118" s="236"/>
      <c r="L118" s="236"/>
      <c r="M118" s="236"/>
      <c r="N118" s="236"/>
      <c r="O118" s="236"/>
      <c r="P118" s="236"/>
      <c r="Q118" s="236"/>
      <c r="R118" s="236"/>
    </row>
    <row r="119">
      <c r="A119" s="236"/>
      <c r="B119" s="236"/>
      <c r="C119" s="236"/>
      <c r="D119" s="236"/>
      <c r="E119" s="236"/>
      <c r="F119" s="367"/>
      <c r="G119" s="236"/>
      <c r="H119" s="236"/>
      <c r="I119" s="236"/>
      <c r="J119" s="236"/>
      <c r="K119" s="236"/>
      <c r="L119" s="236"/>
      <c r="M119" s="236"/>
      <c r="N119" s="236"/>
      <c r="O119" s="236"/>
      <c r="P119" s="236"/>
      <c r="Q119" s="236"/>
      <c r="R119" s="236"/>
    </row>
    <row r="120">
      <c r="A120" s="236"/>
      <c r="B120" s="236"/>
      <c r="C120" s="236"/>
      <c r="D120" s="236"/>
      <c r="E120" s="236"/>
      <c r="F120" s="367"/>
      <c r="G120" s="236"/>
      <c r="H120" s="236"/>
      <c r="I120" s="236"/>
      <c r="J120" s="236"/>
      <c r="K120" s="236"/>
      <c r="L120" s="236"/>
      <c r="M120" s="236"/>
      <c r="N120" s="236"/>
      <c r="O120" s="236"/>
      <c r="P120" s="236"/>
      <c r="Q120" s="236"/>
      <c r="R120" s="236"/>
    </row>
    <row r="121">
      <c r="A121" s="236"/>
      <c r="B121" s="236"/>
      <c r="C121" s="236"/>
      <c r="D121" s="236"/>
      <c r="E121" s="236"/>
      <c r="F121" s="367"/>
      <c r="G121" s="236"/>
      <c r="H121" s="236"/>
      <c r="I121" s="236"/>
      <c r="J121" s="236"/>
      <c r="K121" s="236"/>
      <c r="L121" s="236"/>
      <c r="M121" s="236"/>
      <c r="N121" s="236"/>
      <c r="O121" s="236"/>
      <c r="P121" s="236"/>
      <c r="Q121" s="236"/>
      <c r="R121" s="236"/>
    </row>
    <row r="122">
      <c r="A122" s="236"/>
      <c r="B122" s="236"/>
      <c r="C122" s="236"/>
      <c r="D122" s="236"/>
      <c r="E122" s="236"/>
      <c r="F122" s="367"/>
      <c r="G122" s="236"/>
      <c r="H122" s="236"/>
      <c r="I122" s="236"/>
      <c r="J122" s="236"/>
      <c r="K122" s="236"/>
      <c r="L122" s="236"/>
      <c r="M122" s="236"/>
      <c r="N122" s="236"/>
      <c r="O122" s="236"/>
      <c r="P122" s="236"/>
      <c r="Q122" s="236"/>
      <c r="R122" s="236"/>
    </row>
    <row r="123">
      <c r="A123" s="236"/>
      <c r="B123" s="236"/>
      <c r="C123" s="236"/>
      <c r="D123" s="236"/>
      <c r="E123" s="236"/>
      <c r="F123" s="367"/>
      <c r="G123" s="236"/>
      <c r="H123" s="236"/>
      <c r="I123" s="236"/>
      <c r="J123" s="236"/>
      <c r="K123" s="236"/>
      <c r="L123" s="236"/>
      <c r="M123" s="236"/>
      <c r="N123" s="236"/>
      <c r="O123" s="236"/>
      <c r="P123" s="236"/>
      <c r="Q123" s="236"/>
      <c r="R123" s="236"/>
    </row>
    <row r="124">
      <c r="A124" s="236"/>
      <c r="B124" s="236"/>
      <c r="C124" s="236"/>
      <c r="D124" s="236"/>
      <c r="E124" s="236"/>
      <c r="F124" s="367"/>
      <c r="G124" s="236"/>
      <c r="H124" s="236"/>
      <c r="I124" s="236"/>
      <c r="J124" s="236"/>
      <c r="K124" s="236"/>
      <c r="L124" s="236"/>
      <c r="M124" s="236"/>
      <c r="N124" s="236"/>
      <c r="O124" s="236"/>
      <c r="P124" s="236"/>
      <c r="Q124" s="236"/>
      <c r="R124" s="236"/>
    </row>
    <row r="125">
      <c r="A125" s="236"/>
      <c r="B125" s="236"/>
      <c r="C125" s="236"/>
      <c r="D125" s="236"/>
      <c r="E125" s="236"/>
      <c r="F125" s="367"/>
      <c r="G125" s="236"/>
      <c r="H125" s="236"/>
      <c r="I125" s="236"/>
      <c r="J125" s="236"/>
      <c r="K125" s="236"/>
      <c r="L125" s="236"/>
      <c r="M125" s="236"/>
      <c r="N125" s="236"/>
      <c r="O125" s="236"/>
      <c r="P125" s="236"/>
      <c r="Q125" s="236"/>
      <c r="R125" s="236"/>
    </row>
    <row r="126">
      <c r="A126" s="236"/>
      <c r="B126" s="236"/>
      <c r="C126" s="236"/>
      <c r="D126" s="236"/>
      <c r="E126" s="236"/>
      <c r="F126" s="367"/>
      <c r="G126" s="236"/>
      <c r="H126" s="236"/>
      <c r="I126" s="236"/>
      <c r="J126" s="236"/>
      <c r="K126" s="236"/>
      <c r="L126" s="236"/>
      <c r="M126" s="236"/>
      <c r="N126" s="236"/>
      <c r="O126" s="236"/>
      <c r="P126" s="236"/>
      <c r="Q126" s="236"/>
      <c r="R126" s="236"/>
    </row>
    <row r="127">
      <c r="A127" s="236"/>
      <c r="B127" s="236"/>
      <c r="C127" s="236"/>
      <c r="D127" s="236"/>
      <c r="E127" s="236"/>
      <c r="F127" s="367"/>
      <c r="G127" s="236"/>
      <c r="H127" s="236"/>
      <c r="I127" s="236"/>
      <c r="J127" s="236"/>
      <c r="K127" s="236"/>
      <c r="L127" s="236"/>
      <c r="M127" s="236"/>
      <c r="N127" s="236"/>
      <c r="O127" s="236"/>
      <c r="P127" s="236"/>
      <c r="Q127" s="236"/>
      <c r="R127" s="236"/>
    </row>
    <row r="128">
      <c r="A128" s="236"/>
      <c r="B128" s="236"/>
      <c r="C128" s="236"/>
      <c r="D128" s="236"/>
      <c r="E128" s="236"/>
      <c r="F128" s="367"/>
      <c r="G128" s="236"/>
      <c r="H128" s="236"/>
      <c r="I128" s="236"/>
      <c r="J128" s="236"/>
      <c r="K128" s="236"/>
      <c r="L128" s="236"/>
      <c r="M128" s="236"/>
      <c r="N128" s="236"/>
      <c r="O128" s="236"/>
      <c r="P128" s="236"/>
      <c r="Q128" s="236"/>
      <c r="R128" s="236"/>
    </row>
    <row r="129">
      <c r="A129" s="236"/>
      <c r="B129" s="236"/>
      <c r="C129" s="236"/>
      <c r="D129" s="236"/>
      <c r="E129" s="236"/>
      <c r="F129" s="367"/>
      <c r="G129" s="236"/>
      <c r="H129" s="236"/>
      <c r="I129" s="236"/>
      <c r="J129" s="236"/>
      <c r="K129" s="236"/>
      <c r="L129" s="236"/>
      <c r="M129" s="236"/>
      <c r="N129" s="236"/>
      <c r="O129" s="236"/>
      <c r="P129" s="236"/>
      <c r="Q129" s="236"/>
      <c r="R129" s="236"/>
    </row>
    <row r="130">
      <c r="A130" s="236"/>
      <c r="B130" s="236"/>
      <c r="C130" s="236"/>
      <c r="D130" s="236"/>
      <c r="E130" s="236"/>
      <c r="F130" s="367"/>
      <c r="G130" s="236"/>
      <c r="H130" s="236"/>
      <c r="I130" s="236"/>
      <c r="J130" s="236"/>
      <c r="K130" s="236"/>
      <c r="L130" s="236"/>
      <c r="M130" s="236"/>
      <c r="N130" s="236"/>
      <c r="O130" s="236"/>
      <c r="P130" s="236"/>
      <c r="Q130" s="236"/>
      <c r="R130" s="236"/>
    </row>
    <row r="131">
      <c r="A131" s="236"/>
      <c r="B131" s="236"/>
      <c r="C131" s="236"/>
      <c r="D131" s="236"/>
      <c r="E131" s="236"/>
      <c r="F131" s="367"/>
      <c r="G131" s="236"/>
      <c r="H131" s="236"/>
      <c r="I131" s="236"/>
      <c r="J131" s="236"/>
      <c r="K131" s="236"/>
      <c r="L131" s="236"/>
      <c r="M131" s="236"/>
      <c r="N131" s="236"/>
      <c r="O131" s="236"/>
      <c r="P131" s="236"/>
      <c r="Q131" s="236"/>
      <c r="R131" s="236"/>
    </row>
    <row r="132">
      <c r="A132" s="236"/>
      <c r="B132" s="236"/>
      <c r="C132" s="236"/>
      <c r="D132" s="236"/>
      <c r="E132" s="236"/>
      <c r="F132" s="367"/>
      <c r="G132" s="236"/>
      <c r="H132" s="236"/>
      <c r="I132" s="236"/>
      <c r="J132" s="236"/>
      <c r="K132" s="236"/>
      <c r="L132" s="236"/>
      <c r="M132" s="236"/>
      <c r="N132" s="236"/>
      <c r="O132" s="236"/>
      <c r="P132" s="236"/>
      <c r="Q132" s="236"/>
      <c r="R132" s="236"/>
    </row>
    <row r="133">
      <c r="A133" s="236"/>
      <c r="B133" s="236"/>
      <c r="C133" s="236"/>
      <c r="D133" s="236"/>
      <c r="E133" s="236"/>
      <c r="F133" s="367"/>
      <c r="G133" s="236"/>
      <c r="H133" s="236"/>
      <c r="I133" s="236"/>
      <c r="J133" s="236"/>
      <c r="K133" s="236"/>
      <c r="L133" s="236"/>
      <c r="M133" s="236"/>
      <c r="N133" s="236"/>
      <c r="O133" s="236"/>
      <c r="P133" s="236"/>
      <c r="Q133" s="236"/>
      <c r="R133" s="236"/>
    </row>
    <row r="134">
      <c r="A134" s="236"/>
      <c r="B134" s="236"/>
      <c r="C134" s="236"/>
      <c r="D134" s="236"/>
      <c r="E134" s="236"/>
      <c r="F134" s="367"/>
      <c r="G134" s="236"/>
      <c r="H134" s="236"/>
      <c r="I134" s="236"/>
      <c r="J134" s="236"/>
      <c r="K134" s="236"/>
      <c r="L134" s="236"/>
      <c r="M134" s="236"/>
      <c r="N134" s="236"/>
      <c r="O134" s="236"/>
      <c r="P134" s="236"/>
      <c r="Q134" s="236"/>
      <c r="R134" s="236"/>
    </row>
    <row r="135">
      <c r="A135" s="236"/>
      <c r="B135" s="236"/>
      <c r="C135" s="236"/>
      <c r="D135" s="236"/>
      <c r="E135" s="236"/>
      <c r="F135" s="367"/>
      <c r="G135" s="236"/>
      <c r="H135" s="236"/>
      <c r="I135" s="236"/>
      <c r="J135" s="236"/>
      <c r="K135" s="236"/>
      <c r="L135" s="236"/>
      <c r="M135" s="236"/>
      <c r="N135" s="236"/>
      <c r="O135" s="236"/>
      <c r="P135" s="236"/>
      <c r="Q135" s="236"/>
      <c r="R135" s="236"/>
    </row>
    <row r="136">
      <c r="A136" s="236"/>
      <c r="B136" s="236"/>
      <c r="C136" s="236"/>
      <c r="D136" s="236"/>
      <c r="E136" s="236"/>
      <c r="F136" s="367"/>
      <c r="G136" s="236"/>
      <c r="H136" s="236"/>
      <c r="I136" s="236"/>
      <c r="J136" s="236"/>
      <c r="K136" s="236"/>
      <c r="L136" s="236"/>
      <c r="M136" s="236"/>
      <c r="N136" s="236"/>
      <c r="O136" s="236"/>
      <c r="P136" s="236"/>
      <c r="Q136" s="236"/>
      <c r="R136" s="236"/>
    </row>
    <row r="137">
      <c r="A137" s="236"/>
      <c r="B137" s="236"/>
      <c r="C137" s="236"/>
      <c r="D137" s="236"/>
      <c r="E137" s="236"/>
      <c r="F137" s="367"/>
      <c r="G137" s="236"/>
      <c r="H137" s="236"/>
      <c r="I137" s="236"/>
      <c r="J137" s="236"/>
      <c r="K137" s="236"/>
      <c r="L137" s="236"/>
      <c r="M137" s="236"/>
      <c r="N137" s="236"/>
      <c r="O137" s="236"/>
      <c r="P137" s="236"/>
      <c r="Q137" s="236"/>
      <c r="R137" s="236"/>
    </row>
    <row r="138">
      <c r="A138" s="236"/>
      <c r="B138" s="236"/>
      <c r="C138" s="236"/>
      <c r="D138" s="236"/>
      <c r="E138" s="236"/>
      <c r="F138" s="367"/>
      <c r="G138" s="236"/>
      <c r="H138" s="236"/>
      <c r="I138" s="236"/>
      <c r="J138" s="236"/>
      <c r="K138" s="236"/>
      <c r="L138" s="236"/>
      <c r="M138" s="236"/>
      <c r="N138" s="236"/>
      <c r="O138" s="236"/>
      <c r="P138" s="236"/>
      <c r="Q138" s="236"/>
      <c r="R138" s="236"/>
    </row>
    <row r="139">
      <c r="A139" s="236"/>
      <c r="B139" s="236"/>
      <c r="C139" s="236"/>
      <c r="D139" s="236"/>
      <c r="E139" s="236"/>
      <c r="F139" s="367"/>
      <c r="G139" s="236"/>
      <c r="H139" s="236"/>
      <c r="I139" s="236"/>
      <c r="J139" s="236"/>
      <c r="K139" s="236"/>
      <c r="L139" s="236"/>
      <c r="M139" s="236"/>
      <c r="N139" s="236"/>
      <c r="O139" s="236"/>
      <c r="P139" s="236"/>
      <c r="Q139" s="236"/>
      <c r="R139" s="236"/>
    </row>
    <row r="140">
      <c r="A140" s="236"/>
      <c r="B140" s="236"/>
      <c r="C140" s="236"/>
      <c r="D140" s="236"/>
      <c r="E140" s="236"/>
      <c r="F140" s="367"/>
      <c r="G140" s="236"/>
      <c r="H140" s="236"/>
      <c r="I140" s="236"/>
      <c r="J140" s="236"/>
      <c r="K140" s="236"/>
      <c r="L140" s="236"/>
      <c r="M140" s="236"/>
      <c r="N140" s="236"/>
      <c r="O140" s="236"/>
      <c r="P140" s="236"/>
      <c r="Q140" s="236"/>
      <c r="R140" s="236"/>
    </row>
    <row r="141">
      <c r="A141" s="236"/>
      <c r="B141" s="236"/>
      <c r="C141" s="236"/>
      <c r="D141" s="236"/>
      <c r="E141" s="236"/>
      <c r="F141" s="367"/>
      <c r="G141" s="236"/>
      <c r="H141" s="236"/>
      <c r="I141" s="236"/>
      <c r="J141" s="236"/>
      <c r="K141" s="236"/>
      <c r="L141" s="236"/>
      <c r="M141" s="236"/>
      <c r="N141" s="236"/>
      <c r="O141" s="236"/>
      <c r="P141" s="236"/>
      <c r="Q141" s="236"/>
      <c r="R141" s="236"/>
    </row>
    <row r="142">
      <c r="A142" s="236"/>
      <c r="B142" s="236"/>
      <c r="C142" s="236"/>
      <c r="D142" s="236"/>
      <c r="E142" s="236"/>
      <c r="F142" s="367"/>
      <c r="G142" s="236"/>
      <c r="H142" s="236"/>
      <c r="I142" s="236"/>
      <c r="J142" s="236"/>
      <c r="K142" s="236"/>
      <c r="L142" s="236"/>
      <c r="M142" s="236"/>
      <c r="N142" s="236"/>
      <c r="O142" s="236"/>
      <c r="P142" s="236"/>
      <c r="Q142" s="236"/>
      <c r="R142" s="236"/>
    </row>
    <row r="143">
      <c r="A143" s="236"/>
      <c r="B143" s="236"/>
      <c r="C143" s="236"/>
      <c r="D143" s="236"/>
      <c r="E143" s="236"/>
      <c r="F143" s="367"/>
      <c r="G143" s="236"/>
      <c r="H143" s="236"/>
      <c r="I143" s="236"/>
      <c r="J143" s="236"/>
      <c r="K143" s="236"/>
      <c r="L143" s="236"/>
      <c r="M143" s="236"/>
      <c r="N143" s="236"/>
      <c r="O143" s="236"/>
      <c r="P143" s="236"/>
      <c r="Q143" s="236"/>
      <c r="R143" s="236"/>
    </row>
    <row r="144">
      <c r="A144" s="236"/>
      <c r="B144" s="236"/>
      <c r="C144" s="236"/>
      <c r="D144" s="236"/>
      <c r="E144" s="236"/>
      <c r="F144" s="367"/>
      <c r="G144" s="236"/>
      <c r="H144" s="236"/>
      <c r="I144" s="236"/>
      <c r="J144" s="236"/>
      <c r="K144" s="236"/>
      <c r="L144" s="236"/>
      <c r="M144" s="236"/>
      <c r="N144" s="236"/>
      <c r="O144" s="236"/>
      <c r="P144" s="236"/>
      <c r="Q144" s="236"/>
      <c r="R144" s="236"/>
    </row>
    <row r="145">
      <c r="A145" s="236"/>
      <c r="B145" s="236"/>
      <c r="C145" s="236"/>
      <c r="D145" s="236"/>
      <c r="E145" s="236"/>
      <c r="F145" s="367"/>
      <c r="G145" s="236"/>
      <c r="H145" s="236"/>
      <c r="I145" s="236"/>
      <c r="J145" s="236"/>
      <c r="K145" s="236"/>
      <c r="L145" s="236"/>
      <c r="M145" s="236"/>
      <c r="N145" s="236"/>
      <c r="O145" s="236"/>
      <c r="P145" s="236"/>
      <c r="Q145" s="236"/>
      <c r="R145" s="236"/>
    </row>
    <row r="146">
      <c r="A146" s="236"/>
      <c r="B146" s="236"/>
      <c r="C146" s="236"/>
      <c r="D146" s="236"/>
      <c r="E146" s="236"/>
      <c r="F146" s="367"/>
      <c r="G146" s="236"/>
      <c r="H146" s="236"/>
      <c r="I146" s="236"/>
      <c r="J146" s="236"/>
      <c r="K146" s="236"/>
      <c r="L146" s="236"/>
      <c r="M146" s="236"/>
      <c r="N146" s="236"/>
      <c r="O146" s="236"/>
      <c r="P146" s="236"/>
      <c r="Q146" s="236"/>
      <c r="R146" s="236"/>
    </row>
    <row r="147">
      <c r="A147" s="236"/>
      <c r="B147" s="236"/>
      <c r="C147" s="236"/>
      <c r="D147" s="236"/>
      <c r="E147" s="236"/>
      <c r="F147" s="367"/>
      <c r="G147" s="236"/>
      <c r="H147" s="236"/>
      <c r="I147" s="236"/>
      <c r="J147" s="236"/>
      <c r="K147" s="236"/>
      <c r="L147" s="236"/>
      <c r="M147" s="236"/>
      <c r="N147" s="236"/>
      <c r="O147" s="236"/>
      <c r="P147" s="236"/>
      <c r="Q147" s="236"/>
      <c r="R147" s="236"/>
    </row>
    <row r="148">
      <c r="A148" s="236"/>
      <c r="B148" s="236"/>
      <c r="C148" s="236"/>
      <c r="D148" s="236"/>
      <c r="E148" s="236"/>
      <c r="F148" s="367"/>
      <c r="G148" s="236"/>
      <c r="H148" s="236"/>
      <c r="I148" s="236"/>
      <c r="J148" s="236"/>
      <c r="K148" s="236"/>
      <c r="L148" s="236"/>
      <c r="M148" s="236"/>
      <c r="N148" s="236"/>
      <c r="O148" s="236"/>
      <c r="P148" s="236"/>
      <c r="Q148" s="236"/>
      <c r="R148" s="236"/>
    </row>
    <row r="149">
      <c r="A149" s="236"/>
      <c r="B149" s="236"/>
      <c r="C149" s="236"/>
      <c r="D149" s="236"/>
      <c r="E149" s="236"/>
      <c r="F149" s="367"/>
      <c r="G149" s="236"/>
      <c r="H149" s="236"/>
      <c r="I149" s="236"/>
      <c r="J149" s="236"/>
      <c r="K149" s="236"/>
      <c r="L149" s="236"/>
      <c r="M149" s="236"/>
      <c r="N149" s="236"/>
      <c r="O149" s="236"/>
      <c r="P149" s="236"/>
      <c r="Q149" s="236"/>
      <c r="R149" s="236"/>
    </row>
    <row r="150">
      <c r="A150" s="236"/>
      <c r="B150" s="236"/>
      <c r="C150" s="236"/>
      <c r="D150" s="236"/>
      <c r="E150" s="236"/>
      <c r="F150" s="367"/>
      <c r="G150" s="236"/>
      <c r="H150" s="236"/>
      <c r="I150" s="236"/>
      <c r="J150" s="236"/>
      <c r="K150" s="236"/>
      <c r="L150" s="236"/>
      <c r="M150" s="236"/>
      <c r="N150" s="236"/>
      <c r="O150" s="236"/>
      <c r="P150" s="236"/>
      <c r="Q150" s="236"/>
      <c r="R150" s="236"/>
    </row>
    <row r="151">
      <c r="A151" s="236"/>
      <c r="B151" s="236"/>
      <c r="C151" s="236"/>
      <c r="D151" s="236"/>
      <c r="E151" s="236"/>
      <c r="F151" s="367"/>
      <c r="G151" s="236"/>
      <c r="H151" s="236"/>
      <c r="I151" s="236"/>
      <c r="J151" s="236"/>
      <c r="K151" s="236"/>
      <c r="L151" s="236"/>
      <c r="M151" s="236"/>
      <c r="N151" s="236"/>
      <c r="O151" s="236"/>
      <c r="P151" s="236"/>
      <c r="Q151" s="236"/>
      <c r="R151" s="236"/>
    </row>
    <row r="152">
      <c r="A152" s="236"/>
      <c r="B152" s="236"/>
      <c r="C152" s="236"/>
      <c r="D152" s="236"/>
      <c r="E152" s="236"/>
      <c r="F152" s="367"/>
      <c r="G152" s="236"/>
      <c r="H152" s="236"/>
      <c r="I152" s="236"/>
      <c r="J152" s="236"/>
      <c r="K152" s="236"/>
      <c r="L152" s="236"/>
      <c r="M152" s="236"/>
      <c r="N152" s="236"/>
      <c r="O152" s="236"/>
      <c r="P152" s="236"/>
      <c r="Q152" s="236"/>
      <c r="R152" s="236"/>
    </row>
    <row r="153">
      <c r="A153" s="236"/>
      <c r="B153" s="236"/>
      <c r="C153" s="236"/>
      <c r="D153" s="236"/>
      <c r="E153" s="236"/>
      <c r="F153" s="367"/>
      <c r="G153" s="236"/>
      <c r="H153" s="236"/>
      <c r="I153" s="236"/>
      <c r="J153" s="236"/>
      <c r="K153" s="236"/>
      <c r="L153" s="236"/>
      <c r="M153" s="236"/>
      <c r="N153" s="236"/>
      <c r="O153" s="236"/>
      <c r="P153" s="236"/>
      <c r="Q153" s="236"/>
      <c r="R153" s="236"/>
    </row>
    <row r="154">
      <c r="A154" s="236"/>
      <c r="B154" s="236"/>
      <c r="C154" s="236"/>
      <c r="D154" s="236"/>
      <c r="E154" s="236"/>
      <c r="F154" s="367"/>
      <c r="G154" s="236"/>
      <c r="H154" s="236"/>
      <c r="I154" s="236"/>
      <c r="J154" s="236"/>
      <c r="K154" s="236"/>
      <c r="L154" s="236"/>
      <c r="M154" s="236"/>
      <c r="N154" s="236"/>
      <c r="O154" s="236"/>
      <c r="P154" s="236"/>
      <c r="Q154" s="236"/>
      <c r="R154" s="236"/>
    </row>
    <row r="155">
      <c r="A155" s="236"/>
      <c r="B155" s="236"/>
      <c r="C155" s="236"/>
      <c r="D155" s="236"/>
      <c r="E155" s="236"/>
      <c r="F155" s="367"/>
      <c r="G155" s="236"/>
      <c r="H155" s="236"/>
      <c r="I155" s="236"/>
      <c r="J155" s="236"/>
      <c r="K155" s="236"/>
      <c r="L155" s="236"/>
      <c r="M155" s="236"/>
      <c r="N155" s="236"/>
      <c r="O155" s="236"/>
      <c r="P155" s="236"/>
      <c r="Q155" s="236"/>
      <c r="R155" s="236"/>
    </row>
    <row r="156">
      <c r="A156" s="236"/>
      <c r="B156" s="236"/>
      <c r="C156" s="236"/>
      <c r="D156" s="236"/>
      <c r="E156" s="236"/>
      <c r="F156" s="367"/>
      <c r="G156" s="236"/>
      <c r="H156" s="236"/>
      <c r="I156" s="236"/>
      <c r="J156" s="236"/>
      <c r="K156" s="236"/>
      <c r="L156" s="236"/>
      <c r="M156" s="236"/>
      <c r="N156" s="236"/>
      <c r="O156" s="236"/>
      <c r="P156" s="236"/>
      <c r="Q156" s="236"/>
      <c r="R156" s="236"/>
    </row>
    <row r="157">
      <c r="A157" s="236"/>
      <c r="B157" s="236"/>
      <c r="C157" s="236"/>
      <c r="D157" s="236"/>
      <c r="E157" s="236"/>
      <c r="F157" s="367"/>
      <c r="G157" s="236"/>
      <c r="H157" s="236"/>
      <c r="I157" s="236"/>
      <c r="J157" s="236"/>
      <c r="K157" s="236"/>
      <c r="L157" s="236"/>
      <c r="M157" s="236"/>
      <c r="N157" s="236"/>
      <c r="O157" s="236"/>
      <c r="P157" s="236"/>
      <c r="Q157" s="236"/>
      <c r="R157" s="236"/>
    </row>
    <row r="158">
      <c r="A158" s="236"/>
      <c r="B158" s="236"/>
      <c r="C158" s="236"/>
      <c r="D158" s="236"/>
      <c r="E158" s="236"/>
      <c r="F158" s="367"/>
      <c r="G158" s="236"/>
      <c r="H158" s="236"/>
      <c r="I158" s="236"/>
      <c r="J158" s="236"/>
      <c r="K158" s="236"/>
      <c r="L158" s="236"/>
      <c r="M158" s="236"/>
      <c r="N158" s="236"/>
      <c r="O158" s="236"/>
      <c r="P158" s="236"/>
      <c r="Q158" s="236"/>
      <c r="R158" s="236"/>
    </row>
    <row r="159">
      <c r="A159" s="236"/>
      <c r="B159" s="236"/>
      <c r="C159" s="236"/>
      <c r="D159" s="236"/>
      <c r="E159" s="236"/>
      <c r="F159" s="367"/>
      <c r="G159" s="236"/>
      <c r="H159" s="236"/>
      <c r="I159" s="236"/>
      <c r="J159" s="236"/>
      <c r="K159" s="236"/>
      <c r="L159" s="236"/>
      <c r="M159" s="236"/>
      <c r="N159" s="236"/>
      <c r="O159" s="236"/>
      <c r="P159" s="236"/>
      <c r="Q159" s="236"/>
      <c r="R159" s="236"/>
    </row>
    <row r="160">
      <c r="A160" s="236"/>
      <c r="B160" s="236"/>
      <c r="C160" s="236"/>
      <c r="D160" s="236"/>
      <c r="E160" s="236"/>
      <c r="F160" s="367"/>
      <c r="G160" s="236"/>
      <c r="H160" s="236"/>
      <c r="I160" s="236"/>
      <c r="J160" s="236"/>
      <c r="K160" s="236"/>
      <c r="L160" s="236"/>
      <c r="M160" s="236"/>
      <c r="N160" s="236"/>
      <c r="O160" s="236"/>
      <c r="P160" s="236"/>
      <c r="Q160" s="236"/>
      <c r="R160" s="236"/>
    </row>
    <row r="161">
      <c r="A161" s="236"/>
      <c r="B161" s="236"/>
      <c r="C161" s="236"/>
      <c r="D161" s="236"/>
      <c r="E161" s="236"/>
      <c r="F161" s="367"/>
      <c r="G161" s="236"/>
      <c r="H161" s="236"/>
      <c r="I161" s="236"/>
      <c r="J161" s="236"/>
      <c r="K161" s="236"/>
      <c r="L161" s="236"/>
      <c r="M161" s="236"/>
      <c r="N161" s="236"/>
      <c r="O161" s="236"/>
      <c r="P161" s="236"/>
      <c r="Q161" s="236"/>
      <c r="R161" s="236"/>
    </row>
    <row r="162">
      <c r="A162" s="236"/>
      <c r="B162" s="236"/>
      <c r="C162" s="236"/>
      <c r="D162" s="236"/>
      <c r="E162" s="236"/>
      <c r="F162" s="367"/>
      <c r="G162" s="236"/>
      <c r="H162" s="236"/>
      <c r="I162" s="236"/>
      <c r="J162" s="236"/>
      <c r="K162" s="236"/>
      <c r="L162" s="236"/>
      <c r="M162" s="236"/>
      <c r="N162" s="236"/>
      <c r="O162" s="236"/>
      <c r="P162" s="236"/>
      <c r="Q162" s="236"/>
      <c r="R162" s="236"/>
    </row>
    <row r="163">
      <c r="A163" s="236"/>
      <c r="B163" s="236"/>
      <c r="C163" s="236"/>
      <c r="D163" s="236"/>
      <c r="E163" s="236"/>
      <c r="F163" s="367"/>
      <c r="G163" s="236"/>
      <c r="H163" s="236"/>
      <c r="I163" s="236"/>
      <c r="J163" s="236"/>
      <c r="K163" s="236"/>
      <c r="L163" s="236"/>
      <c r="M163" s="236"/>
      <c r="N163" s="236"/>
      <c r="O163" s="236"/>
      <c r="P163" s="236"/>
      <c r="Q163" s="236"/>
      <c r="R163" s="236"/>
    </row>
    <row r="164">
      <c r="A164" s="236"/>
      <c r="B164" s="236"/>
      <c r="C164" s="236"/>
      <c r="D164" s="236"/>
      <c r="E164" s="236"/>
      <c r="F164" s="367"/>
      <c r="G164" s="236"/>
      <c r="H164" s="236"/>
      <c r="I164" s="236"/>
      <c r="J164" s="236"/>
      <c r="K164" s="236"/>
      <c r="L164" s="236"/>
      <c r="M164" s="236"/>
      <c r="N164" s="236"/>
      <c r="O164" s="236"/>
      <c r="P164" s="236"/>
      <c r="Q164" s="236"/>
      <c r="R164" s="236"/>
    </row>
    <row r="165">
      <c r="A165" s="236"/>
      <c r="B165" s="236"/>
      <c r="C165" s="236"/>
      <c r="D165" s="236"/>
      <c r="E165" s="236"/>
      <c r="F165" s="367"/>
      <c r="G165" s="236"/>
      <c r="H165" s="236"/>
      <c r="I165" s="236"/>
      <c r="J165" s="236"/>
      <c r="K165" s="236"/>
      <c r="L165" s="236"/>
      <c r="M165" s="236"/>
      <c r="N165" s="236"/>
      <c r="O165" s="236"/>
      <c r="P165" s="236"/>
      <c r="Q165" s="236"/>
      <c r="R165" s="236"/>
    </row>
    <row r="166">
      <c r="A166" s="236"/>
      <c r="B166" s="236"/>
      <c r="C166" s="236"/>
      <c r="D166" s="236"/>
      <c r="E166" s="236"/>
      <c r="F166" s="367"/>
      <c r="G166" s="236"/>
      <c r="H166" s="236"/>
      <c r="I166" s="236"/>
      <c r="J166" s="236"/>
      <c r="K166" s="236"/>
      <c r="L166" s="236"/>
      <c r="M166" s="236"/>
      <c r="N166" s="236"/>
      <c r="O166" s="236"/>
      <c r="P166" s="236"/>
      <c r="Q166" s="236"/>
      <c r="R166" s="236"/>
    </row>
    <row r="167">
      <c r="A167" s="236"/>
      <c r="B167" s="236"/>
      <c r="C167" s="236"/>
      <c r="D167" s="236"/>
      <c r="E167" s="236"/>
      <c r="F167" s="367"/>
      <c r="G167" s="236"/>
      <c r="H167" s="236"/>
      <c r="I167" s="236"/>
      <c r="J167" s="236"/>
      <c r="K167" s="236"/>
      <c r="L167" s="236"/>
      <c r="M167" s="236"/>
      <c r="N167" s="236"/>
      <c r="O167" s="236"/>
      <c r="P167" s="236"/>
      <c r="Q167" s="236"/>
      <c r="R167" s="236"/>
    </row>
    <row r="168">
      <c r="A168" s="236"/>
      <c r="B168" s="236"/>
      <c r="C168" s="236"/>
      <c r="D168" s="236"/>
      <c r="E168" s="236"/>
      <c r="F168" s="367"/>
      <c r="G168" s="236"/>
      <c r="H168" s="236"/>
      <c r="I168" s="236"/>
      <c r="J168" s="236"/>
      <c r="K168" s="236"/>
      <c r="L168" s="236"/>
      <c r="M168" s="236"/>
      <c r="N168" s="236"/>
      <c r="O168" s="236"/>
      <c r="P168" s="236"/>
      <c r="Q168" s="236"/>
      <c r="R168" s="236"/>
    </row>
    <row r="169">
      <c r="A169" s="236"/>
      <c r="B169" s="236"/>
      <c r="C169" s="236"/>
      <c r="D169" s="236"/>
      <c r="E169" s="236"/>
      <c r="F169" s="367"/>
      <c r="G169" s="236"/>
      <c r="H169" s="236"/>
      <c r="I169" s="236"/>
      <c r="J169" s="236"/>
      <c r="K169" s="236"/>
      <c r="L169" s="236"/>
      <c r="M169" s="236"/>
      <c r="N169" s="236"/>
      <c r="O169" s="236"/>
      <c r="P169" s="236"/>
      <c r="Q169" s="236"/>
      <c r="R169" s="236"/>
    </row>
    <row r="170">
      <c r="A170" s="236"/>
      <c r="B170" s="236"/>
      <c r="C170" s="236"/>
      <c r="D170" s="236"/>
      <c r="E170" s="236"/>
      <c r="F170" s="367"/>
      <c r="G170" s="236"/>
      <c r="H170" s="236"/>
      <c r="I170" s="236"/>
      <c r="J170" s="236"/>
      <c r="K170" s="236"/>
      <c r="L170" s="236"/>
      <c r="M170" s="236"/>
      <c r="N170" s="236"/>
      <c r="O170" s="236"/>
      <c r="P170" s="236"/>
      <c r="Q170" s="236"/>
      <c r="R170" s="236"/>
    </row>
    <row r="171">
      <c r="A171" s="236"/>
      <c r="B171" s="236"/>
      <c r="C171" s="236"/>
      <c r="D171" s="236"/>
      <c r="E171" s="236"/>
      <c r="F171" s="367"/>
      <c r="G171" s="236"/>
      <c r="H171" s="236"/>
      <c r="I171" s="236"/>
      <c r="J171" s="236"/>
      <c r="K171" s="236"/>
      <c r="L171" s="236"/>
      <c r="M171" s="236"/>
      <c r="N171" s="236"/>
      <c r="O171" s="236"/>
      <c r="P171" s="236"/>
      <c r="Q171" s="236"/>
      <c r="R171" s="236"/>
    </row>
    <row r="172">
      <c r="A172" s="236"/>
      <c r="B172" s="236"/>
      <c r="C172" s="236"/>
      <c r="D172" s="236"/>
      <c r="E172" s="236"/>
      <c r="F172" s="367"/>
      <c r="G172" s="236"/>
      <c r="H172" s="236"/>
      <c r="I172" s="236"/>
      <c r="J172" s="236"/>
      <c r="K172" s="236"/>
      <c r="L172" s="236"/>
      <c r="M172" s="236"/>
      <c r="N172" s="236"/>
      <c r="O172" s="236"/>
      <c r="P172" s="236"/>
      <c r="Q172" s="236"/>
      <c r="R172" s="236"/>
    </row>
    <row r="173">
      <c r="A173" s="236"/>
      <c r="B173" s="236"/>
      <c r="C173" s="236"/>
      <c r="D173" s="236"/>
      <c r="E173" s="236"/>
      <c r="F173" s="367"/>
      <c r="G173" s="236"/>
      <c r="H173" s="236"/>
      <c r="I173" s="236"/>
      <c r="J173" s="236"/>
      <c r="K173" s="236"/>
      <c r="L173" s="236"/>
      <c r="M173" s="236"/>
      <c r="N173" s="236"/>
      <c r="O173" s="236"/>
      <c r="P173" s="236"/>
      <c r="Q173" s="236"/>
      <c r="R173" s="236"/>
    </row>
    <row r="174">
      <c r="A174" s="236"/>
      <c r="B174" s="236"/>
      <c r="C174" s="236"/>
      <c r="D174" s="236"/>
      <c r="E174" s="236"/>
      <c r="F174" s="367"/>
      <c r="G174" s="236"/>
      <c r="H174" s="236"/>
      <c r="I174" s="236"/>
      <c r="J174" s="236"/>
      <c r="K174" s="236"/>
      <c r="L174" s="236"/>
      <c r="M174" s="236"/>
      <c r="N174" s="236"/>
      <c r="O174" s="236"/>
      <c r="P174" s="236"/>
      <c r="Q174" s="236"/>
      <c r="R174" s="236"/>
    </row>
    <row r="175">
      <c r="A175" s="236"/>
      <c r="B175" s="236"/>
      <c r="C175" s="236"/>
      <c r="D175" s="236"/>
      <c r="E175" s="236"/>
      <c r="F175" s="367"/>
      <c r="G175" s="236"/>
      <c r="H175" s="236"/>
      <c r="I175" s="236"/>
      <c r="J175" s="236"/>
      <c r="K175" s="236"/>
      <c r="L175" s="236"/>
      <c r="M175" s="236"/>
      <c r="N175" s="236"/>
      <c r="O175" s="236"/>
      <c r="P175" s="236"/>
      <c r="Q175" s="236"/>
      <c r="R175" s="236"/>
    </row>
    <row r="176">
      <c r="A176" s="236"/>
      <c r="B176" s="236"/>
      <c r="C176" s="236"/>
      <c r="D176" s="236"/>
      <c r="E176" s="236"/>
      <c r="F176" s="367"/>
      <c r="G176" s="236"/>
      <c r="H176" s="236"/>
      <c r="I176" s="236"/>
      <c r="J176" s="236"/>
      <c r="K176" s="236"/>
      <c r="L176" s="236"/>
      <c r="M176" s="236"/>
      <c r="N176" s="236"/>
      <c r="O176" s="236"/>
      <c r="P176" s="236"/>
      <c r="Q176" s="236"/>
      <c r="R176" s="236"/>
    </row>
    <row r="177">
      <c r="A177" s="236"/>
      <c r="B177" s="236"/>
      <c r="C177" s="236"/>
      <c r="D177" s="236"/>
      <c r="E177" s="236"/>
      <c r="F177" s="367"/>
      <c r="G177" s="236"/>
      <c r="H177" s="236"/>
      <c r="I177" s="236"/>
      <c r="J177" s="236"/>
      <c r="K177" s="236"/>
      <c r="L177" s="236"/>
      <c r="M177" s="236"/>
      <c r="N177" s="236"/>
      <c r="O177" s="236"/>
      <c r="P177" s="236"/>
      <c r="Q177" s="236"/>
      <c r="R177" s="236"/>
    </row>
    <row r="178">
      <c r="A178" s="236"/>
      <c r="B178" s="236"/>
      <c r="C178" s="236"/>
      <c r="D178" s="236"/>
      <c r="E178" s="236"/>
      <c r="F178" s="367"/>
      <c r="G178" s="236"/>
      <c r="H178" s="236"/>
      <c r="I178" s="236"/>
      <c r="J178" s="236"/>
      <c r="K178" s="236"/>
      <c r="L178" s="236"/>
      <c r="M178" s="236"/>
      <c r="N178" s="236"/>
      <c r="O178" s="236"/>
      <c r="P178" s="236"/>
      <c r="Q178" s="236"/>
      <c r="R178" s="236"/>
    </row>
    <row r="179">
      <c r="A179" s="236"/>
      <c r="B179" s="236"/>
      <c r="C179" s="236"/>
      <c r="D179" s="236"/>
      <c r="E179" s="236"/>
      <c r="F179" s="367"/>
      <c r="G179" s="236"/>
      <c r="H179" s="236"/>
      <c r="I179" s="236"/>
      <c r="J179" s="236"/>
      <c r="K179" s="236"/>
      <c r="L179" s="236"/>
      <c r="M179" s="236"/>
      <c r="N179" s="236"/>
      <c r="O179" s="236"/>
      <c r="P179" s="236"/>
      <c r="Q179" s="236"/>
      <c r="R179" s="236"/>
    </row>
    <row r="180">
      <c r="A180" s="236"/>
      <c r="B180" s="236"/>
      <c r="C180" s="236"/>
      <c r="D180" s="236"/>
      <c r="E180" s="236"/>
      <c r="F180" s="367"/>
      <c r="G180" s="236"/>
      <c r="H180" s="236"/>
      <c r="I180" s="236"/>
      <c r="J180" s="236"/>
      <c r="K180" s="236"/>
      <c r="L180" s="236"/>
      <c r="M180" s="236"/>
      <c r="N180" s="236"/>
      <c r="O180" s="236"/>
      <c r="P180" s="236"/>
      <c r="Q180" s="236"/>
      <c r="R180" s="236"/>
    </row>
    <row r="181">
      <c r="A181" s="236"/>
      <c r="B181" s="236"/>
      <c r="C181" s="236"/>
      <c r="D181" s="236"/>
      <c r="E181" s="236"/>
      <c r="F181" s="367"/>
      <c r="G181" s="236"/>
      <c r="H181" s="236"/>
      <c r="I181" s="236"/>
      <c r="J181" s="236"/>
      <c r="K181" s="236"/>
      <c r="L181" s="236"/>
      <c r="M181" s="236"/>
      <c r="N181" s="236"/>
      <c r="O181" s="236"/>
      <c r="P181" s="236"/>
      <c r="Q181" s="236"/>
      <c r="R181" s="236"/>
    </row>
    <row r="182">
      <c r="A182" s="236"/>
      <c r="B182" s="236"/>
      <c r="C182" s="236"/>
      <c r="D182" s="236"/>
      <c r="E182" s="236"/>
      <c r="F182" s="367"/>
      <c r="G182" s="236"/>
      <c r="H182" s="236"/>
      <c r="I182" s="236"/>
      <c r="J182" s="236"/>
      <c r="K182" s="236"/>
      <c r="L182" s="236"/>
      <c r="M182" s="236"/>
      <c r="N182" s="236"/>
      <c r="O182" s="236"/>
      <c r="P182" s="236"/>
      <c r="Q182" s="236"/>
      <c r="R182" s="236"/>
    </row>
    <row r="183">
      <c r="A183" s="236"/>
      <c r="B183" s="236"/>
      <c r="C183" s="236"/>
      <c r="D183" s="236"/>
      <c r="E183" s="236"/>
      <c r="F183" s="367"/>
      <c r="G183" s="236"/>
      <c r="H183" s="236"/>
      <c r="I183" s="236"/>
      <c r="J183" s="236"/>
      <c r="K183" s="236"/>
      <c r="L183" s="236"/>
      <c r="M183" s="236"/>
      <c r="N183" s="236"/>
      <c r="O183" s="236"/>
      <c r="P183" s="236"/>
      <c r="Q183" s="236"/>
      <c r="R183" s="236"/>
    </row>
    <row r="184">
      <c r="A184" s="236"/>
      <c r="B184" s="236"/>
      <c r="C184" s="236"/>
      <c r="D184" s="236"/>
      <c r="E184" s="236"/>
      <c r="F184" s="367"/>
      <c r="G184" s="236"/>
      <c r="H184" s="236"/>
      <c r="I184" s="236"/>
      <c r="J184" s="236"/>
      <c r="K184" s="236"/>
      <c r="L184" s="236"/>
      <c r="M184" s="236"/>
      <c r="N184" s="236"/>
      <c r="O184" s="236"/>
      <c r="P184" s="236"/>
      <c r="Q184" s="236"/>
      <c r="R184" s="236"/>
    </row>
    <row r="185">
      <c r="A185" s="236"/>
      <c r="B185" s="236"/>
      <c r="C185" s="236"/>
      <c r="D185" s="236"/>
      <c r="E185" s="236"/>
      <c r="F185" s="367"/>
      <c r="G185" s="236"/>
      <c r="H185" s="236"/>
      <c r="I185" s="236"/>
      <c r="J185" s="236"/>
      <c r="K185" s="236"/>
      <c r="L185" s="236"/>
      <c r="M185" s="236"/>
      <c r="N185" s="236"/>
      <c r="O185" s="236"/>
      <c r="P185" s="236"/>
      <c r="Q185" s="236"/>
      <c r="R185" s="236"/>
    </row>
    <row r="186">
      <c r="A186" s="236"/>
      <c r="B186" s="236"/>
      <c r="C186" s="236"/>
      <c r="D186" s="236"/>
      <c r="E186" s="236"/>
      <c r="F186" s="367"/>
      <c r="G186" s="236"/>
      <c r="H186" s="236"/>
      <c r="I186" s="236"/>
      <c r="J186" s="236"/>
      <c r="K186" s="236"/>
      <c r="L186" s="236"/>
      <c r="M186" s="236"/>
      <c r="N186" s="236"/>
      <c r="O186" s="236"/>
      <c r="P186" s="236"/>
      <c r="Q186" s="236"/>
      <c r="R186" s="236"/>
    </row>
    <row r="187">
      <c r="A187" s="236"/>
      <c r="B187" s="236"/>
      <c r="C187" s="236"/>
      <c r="D187" s="236"/>
      <c r="E187" s="236"/>
      <c r="F187" s="367"/>
      <c r="G187" s="236"/>
      <c r="H187" s="236"/>
      <c r="I187" s="236"/>
      <c r="J187" s="236"/>
      <c r="K187" s="236"/>
      <c r="L187" s="236"/>
      <c r="M187" s="236"/>
      <c r="N187" s="236"/>
      <c r="O187" s="236"/>
      <c r="P187" s="236"/>
      <c r="Q187" s="236"/>
      <c r="R187" s="236"/>
    </row>
    <row r="188">
      <c r="A188" s="236"/>
      <c r="B188" s="236"/>
      <c r="C188" s="236"/>
      <c r="D188" s="236"/>
      <c r="E188" s="236"/>
      <c r="F188" s="367"/>
      <c r="G188" s="236"/>
      <c r="H188" s="236"/>
      <c r="I188" s="236"/>
      <c r="J188" s="236"/>
      <c r="K188" s="236"/>
      <c r="L188" s="236"/>
      <c r="M188" s="236"/>
      <c r="N188" s="236"/>
      <c r="O188" s="236"/>
      <c r="P188" s="236"/>
      <c r="Q188" s="236"/>
      <c r="R188" s="236"/>
    </row>
    <row r="189">
      <c r="A189" s="236"/>
      <c r="B189" s="236"/>
      <c r="C189" s="236"/>
      <c r="D189" s="236"/>
      <c r="E189" s="236"/>
      <c r="F189" s="367"/>
      <c r="G189" s="236"/>
      <c r="H189" s="236"/>
      <c r="I189" s="236"/>
      <c r="J189" s="236"/>
      <c r="K189" s="236"/>
      <c r="L189" s="236"/>
      <c r="M189" s="236"/>
      <c r="N189" s="236"/>
      <c r="O189" s="236"/>
      <c r="P189" s="236"/>
      <c r="Q189" s="236"/>
      <c r="R189" s="236"/>
    </row>
    <row r="190">
      <c r="A190" s="236"/>
      <c r="B190" s="236"/>
      <c r="C190" s="236"/>
      <c r="D190" s="236"/>
      <c r="E190" s="236"/>
      <c r="F190" s="367"/>
      <c r="G190" s="236"/>
      <c r="H190" s="236"/>
      <c r="I190" s="236"/>
      <c r="J190" s="236"/>
      <c r="K190" s="236"/>
      <c r="L190" s="236"/>
      <c r="M190" s="236"/>
      <c r="N190" s="236"/>
      <c r="O190" s="236"/>
      <c r="P190" s="236"/>
      <c r="Q190" s="236"/>
      <c r="R190" s="236"/>
    </row>
    <row r="191">
      <c r="A191" s="236"/>
      <c r="B191" s="236"/>
      <c r="C191" s="236"/>
      <c r="D191" s="236"/>
      <c r="E191" s="236"/>
      <c r="F191" s="367"/>
      <c r="G191" s="236"/>
      <c r="H191" s="236"/>
      <c r="I191" s="236"/>
      <c r="J191" s="236"/>
      <c r="K191" s="236"/>
      <c r="L191" s="236"/>
      <c r="M191" s="236"/>
      <c r="N191" s="236"/>
      <c r="O191" s="236"/>
      <c r="P191" s="236"/>
      <c r="Q191" s="236"/>
      <c r="R191" s="236"/>
    </row>
    <row r="192">
      <c r="A192" s="236"/>
      <c r="B192" s="236"/>
      <c r="C192" s="236"/>
      <c r="D192" s="236"/>
      <c r="E192" s="236"/>
      <c r="F192" s="367"/>
      <c r="G192" s="236"/>
      <c r="H192" s="236"/>
      <c r="I192" s="236"/>
      <c r="J192" s="236"/>
      <c r="K192" s="236"/>
      <c r="L192" s="236"/>
      <c r="M192" s="236"/>
      <c r="N192" s="236"/>
      <c r="O192" s="236"/>
      <c r="P192" s="236"/>
      <c r="Q192" s="236"/>
      <c r="R192" s="236"/>
    </row>
    <row r="193">
      <c r="A193" s="236"/>
      <c r="B193" s="236"/>
      <c r="C193" s="236"/>
      <c r="D193" s="236"/>
      <c r="E193" s="236"/>
      <c r="F193" s="367"/>
      <c r="G193" s="236"/>
      <c r="H193" s="236"/>
      <c r="I193" s="236"/>
      <c r="J193" s="236"/>
      <c r="K193" s="236"/>
      <c r="L193" s="236"/>
      <c r="M193" s="236"/>
      <c r="N193" s="236"/>
      <c r="O193" s="236"/>
      <c r="P193" s="236"/>
      <c r="Q193" s="236"/>
      <c r="R193" s="236"/>
    </row>
    <row r="194">
      <c r="A194" s="236"/>
      <c r="B194" s="236"/>
      <c r="C194" s="236"/>
      <c r="D194" s="236"/>
      <c r="E194" s="236"/>
      <c r="F194" s="367"/>
      <c r="G194" s="236"/>
      <c r="H194" s="236"/>
      <c r="I194" s="236"/>
      <c r="J194" s="236"/>
      <c r="K194" s="236"/>
      <c r="L194" s="236"/>
      <c r="M194" s="236"/>
      <c r="N194" s="236"/>
      <c r="O194" s="236"/>
      <c r="P194" s="236"/>
      <c r="Q194" s="236"/>
      <c r="R194" s="236"/>
    </row>
    <row r="195">
      <c r="A195" s="236"/>
      <c r="B195" s="236"/>
      <c r="C195" s="236"/>
      <c r="D195" s="236"/>
      <c r="E195" s="236"/>
      <c r="F195" s="367"/>
      <c r="G195" s="236"/>
      <c r="H195" s="236"/>
      <c r="I195" s="236"/>
      <c r="J195" s="236"/>
      <c r="K195" s="236"/>
      <c r="L195" s="236"/>
      <c r="M195" s="236"/>
      <c r="N195" s="236"/>
      <c r="O195" s="236"/>
      <c r="P195" s="236"/>
      <c r="Q195" s="236"/>
      <c r="R195" s="236"/>
    </row>
    <row r="196">
      <c r="A196" s="236"/>
      <c r="B196" s="236"/>
      <c r="C196" s="236"/>
      <c r="D196" s="236"/>
      <c r="E196" s="236"/>
      <c r="F196" s="367"/>
      <c r="G196" s="236"/>
      <c r="H196" s="236"/>
      <c r="I196" s="236"/>
      <c r="J196" s="236"/>
      <c r="K196" s="236"/>
      <c r="L196" s="236"/>
      <c r="M196" s="236"/>
      <c r="N196" s="236"/>
      <c r="O196" s="236"/>
      <c r="P196" s="236"/>
      <c r="Q196" s="236"/>
      <c r="R196" s="236"/>
    </row>
    <row r="197">
      <c r="A197" s="236"/>
      <c r="B197" s="236"/>
      <c r="C197" s="236"/>
      <c r="D197" s="236"/>
      <c r="E197" s="236"/>
      <c r="F197" s="367"/>
      <c r="G197" s="236"/>
      <c r="H197" s="236"/>
      <c r="I197" s="236"/>
      <c r="J197" s="236"/>
      <c r="K197" s="236"/>
      <c r="L197" s="236"/>
      <c r="M197" s="236"/>
      <c r="N197" s="236"/>
      <c r="O197" s="236"/>
      <c r="P197" s="236"/>
      <c r="Q197" s="236"/>
      <c r="R197" s="236"/>
    </row>
    <row r="198">
      <c r="A198" s="236"/>
      <c r="B198" s="236"/>
      <c r="C198" s="236"/>
      <c r="D198" s="236"/>
      <c r="E198" s="236"/>
      <c r="F198" s="367"/>
      <c r="G198" s="236"/>
      <c r="H198" s="236"/>
      <c r="I198" s="236"/>
      <c r="J198" s="236"/>
      <c r="K198" s="236"/>
      <c r="L198" s="236"/>
      <c r="M198" s="236"/>
      <c r="N198" s="236"/>
      <c r="O198" s="236"/>
      <c r="P198" s="236"/>
      <c r="Q198" s="236"/>
      <c r="R198" s="236"/>
    </row>
    <row r="199">
      <c r="A199" s="236"/>
      <c r="B199" s="236"/>
      <c r="C199" s="236"/>
      <c r="D199" s="236"/>
      <c r="E199" s="236"/>
      <c r="F199" s="367"/>
      <c r="G199" s="236"/>
      <c r="H199" s="236"/>
      <c r="I199" s="236"/>
      <c r="J199" s="236"/>
      <c r="K199" s="236"/>
      <c r="L199" s="236"/>
      <c r="M199" s="236"/>
      <c r="N199" s="236"/>
      <c r="O199" s="236"/>
      <c r="P199" s="236"/>
      <c r="Q199" s="236"/>
      <c r="R199" s="236"/>
    </row>
    <row r="200">
      <c r="A200" s="236"/>
      <c r="B200" s="236"/>
      <c r="C200" s="236"/>
      <c r="D200" s="236"/>
      <c r="E200" s="236"/>
      <c r="F200" s="367"/>
      <c r="G200" s="236"/>
      <c r="H200" s="236"/>
      <c r="I200" s="236"/>
      <c r="J200" s="236"/>
      <c r="K200" s="236"/>
      <c r="L200" s="236"/>
      <c r="M200" s="236"/>
      <c r="N200" s="236"/>
      <c r="O200" s="236"/>
      <c r="P200" s="236"/>
      <c r="Q200" s="236"/>
      <c r="R200" s="236"/>
    </row>
    <row r="201">
      <c r="A201" s="236"/>
      <c r="B201" s="236"/>
      <c r="C201" s="236"/>
      <c r="D201" s="236"/>
      <c r="E201" s="236"/>
      <c r="F201" s="367"/>
      <c r="G201" s="236"/>
      <c r="H201" s="236"/>
      <c r="I201" s="236"/>
      <c r="J201" s="236"/>
      <c r="K201" s="236"/>
      <c r="L201" s="236"/>
      <c r="M201" s="236"/>
      <c r="N201" s="236"/>
      <c r="O201" s="236"/>
      <c r="P201" s="236"/>
      <c r="Q201" s="236"/>
      <c r="R201" s="236"/>
    </row>
    <row r="202">
      <c r="A202" s="236"/>
      <c r="B202" s="236"/>
      <c r="C202" s="236"/>
      <c r="D202" s="236"/>
      <c r="E202" s="236"/>
      <c r="F202" s="367"/>
      <c r="G202" s="236"/>
      <c r="H202" s="236"/>
      <c r="I202" s="236"/>
      <c r="J202" s="236"/>
      <c r="K202" s="236"/>
      <c r="L202" s="236"/>
      <c r="M202" s="236"/>
      <c r="N202" s="236"/>
      <c r="O202" s="236"/>
      <c r="P202" s="236"/>
      <c r="Q202" s="236"/>
      <c r="R202" s="236"/>
    </row>
    <row r="203">
      <c r="A203" s="236"/>
      <c r="B203" s="236"/>
      <c r="C203" s="236"/>
      <c r="D203" s="236"/>
      <c r="E203" s="236"/>
      <c r="F203" s="367"/>
      <c r="G203" s="236"/>
      <c r="H203" s="236"/>
      <c r="I203" s="236"/>
      <c r="J203" s="236"/>
      <c r="K203" s="236"/>
      <c r="L203" s="236"/>
      <c r="M203" s="236"/>
      <c r="N203" s="236"/>
      <c r="O203" s="236"/>
      <c r="P203" s="236"/>
      <c r="Q203" s="236"/>
      <c r="R203" s="236"/>
    </row>
    <row r="204">
      <c r="A204" s="236"/>
      <c r="B204" s="236"/>
      <c r="C204" s="236"/>
      <c r="D204" s="236"/>
      <c r="E204" s="236"/>
      <c r="F204" s="367"/>
      <c r="G204" s="236"/>
      <c r="H204" s="236"/>
      <c r="I204" s="236"/>
      <c r="J204" s="236"/>
      <c r="K204" s="236"/>
      <c r="L204" s="236"/>
      <c r="M204" s="236"/>
      <c r="N204" s="236"/>
      <c r="O204" s="236"/>
      <c r="P204" s="236"/>
      <c r="Q204" s="236"/>
      <c r="R204" s="236"/>
    </row>
    <row r="205">
      <c r="A205" s="236"/>
      <c r="B205" s="236"/>
      <c r="C205" s="236"/>
      <c r="D205" s="236"/>
      <c r="E205" s="236"/>
      <c r="F205" s="367"/>
      <c r="G205" s="236"/>
      <c r="H205" s="236"/>
      <c r="I205" s="236"/>
      <c r="J205" s="236"/>
      <c r="K205" s="236"/>
      <c r="L205" s="236"/>
      <c r="M205" s="236"/>
      <c r="N205" s="236"/>
      <c r="O205" s="236"/>
      <c r="P205" s="236"/>
      <c r="Q205" s="236"/>
      <c r="R205" s="236"/>
    </row>
    <row r="206">
      <c r="A206" s="236"/>
      <c r="B206" s="236"/>
      <c r="C206" s="236"/>
      <c r="D206" s="236"/>
      <c r="E206" s="236"/>
      <c r="F206" s="367"/>
      <c r="G206" s="236"/>
      <c r="H206" s="236"/>
      <c r="I206" s="236"/>
      <c r="J206" s="236"/>
      <c r="K206" s="236"/>
      <c r="L206" s="236"/>
      <c r="M206" s="236"/>
      <c r="N206" s="236"/>
      <c r="O206" s="236"/>
      <c r="P206" s="236"/>
      <c r="Q206" s="236"/>
      <c r="R206" s="236"/>
    </row>
    <row r="207">
      <c r="A207" s="236"/>
      <c r="B207" s="236"/>
      <c r="C207" s="236"/>
      <c r="D207" s="236"/>
      <c r="E207" s="236"/>
      <c r="F207" s="367"/>
      <c r="G207" s="236"/>
      <c r="H207" s="236"/>
      <c r="I207" s="236"/>
      <c r="J207" s="236"/>
      <c r="K207" s="236"/>
      <c r="L207" s="236"/>
      <c r="M207" s="236"/>
      <c r="N207" s="236"/>
      <c r="O207" s="236"/>
      <c r="P207" s="236"/>
      <c r="Q207" s="236"/>
      <c r="R207" s="236"/>
    </row>
    <row r="208">
      <c r="A208" s="236"/>
      <c r="B208" s="236"/>
      <c r="C208" s="236"/>
      <c r="D208" s="236"/>
      <c r="E208" s="236"/>
      <c r="F208" s="367"/>
      <c r="G208" s="236"/>
      <c r="H208" s="236"/>
      <c r="I208" s="236"/>
      <c r="J208" s="236"/>
      <c r="K208" s="236"/>
      <c r="L208" s="236"/>
      <c r="M208" s="236"/>
      <c r="N208" s="236"/>
      <c r="O208" s="236"/>
      <c r="P208" s="236"/>
      <c r="Q208" s="236"/>
      <c r="R208" s="236"/>
    </row>
    <row r="209">
      <c r="A209" s="236"/>
      <c r="B209" s="236"/>
      <c r="C209" s="236"/>
      <c r="D209" s="236"/>
      <c r="E209" s="236"/>
      <c r="F209" s="367"/>
      <c r="G209" s="236"/>
      <c r="H209" s="236"/>
      <c r="I209" s="236"/>
      <c r="J209" s="236"/>
      <c r="K209" s="236"/>
      <c r="L209" s="236"/>
      <c r="M209" s="236"/>
      <c r="N209" s="236"/>
      <c r="O209" s="236"/>
      <c r="P209" s="236"/>
      <c r="Q209" s="236"/>
      <c r="R209" s="236"/>
    </row>
    <row r="210">
      <c r="A210" s="236"/>
      <c r="B210" s="236"/>
      <c r="C210" s="236"/>
      <c r="D210" s="236"/>
      <c r="E210" s="236"/>
      <c r="F210" s="367"/>
      <c r="G210" s="236"/>
      <c r="H210" s="236"/>
      <c r="I210" s="236"/>
      <c r="J210" s="236"/>
      <c r="K210" s="236"/>
      <c r="L210" s="236"/>
      <c r="M210" s="236"/>
      <c r="N210" s="236"/>
      <c r="O210" s="236"/>
      <c r="P210" s="236"/>
      <c r="Q210" s="236"/>
      <c r="R210" s="236"/>
    </row>
    <row r="211">
      <c r="A211" s="236"/>
      <c r="B211" s="236"/>
      <c r="C211" s="236"/>
      <c r="D211" s="236"/>
      <c r="E211" s="236"/>
      <c r="F211" s="367"/>
      <c r="G211" s="236"/>
      <c r="H211" s="236"/>
      <c r="I211" s="236"/>
      <c r="J211" s="236"/>
      <c r="K211" s="236"/>
      <c r="L211" s="236"/>
      <c r="M211" s="236"/>
      <c r="N211" s="236"/>
      <c r="O211" s="236"/>
      <c r="P211" s="236"/>
      <c r="Q211" s="236"/>
      <c r="R211" s="236"/>
    </row>
    <row r="212">
      <c r="A212" s="236"/>
      <c r="B212" s="236"/>
      <c r="C212" s="236"/>
      <c r="D212" s="236"/>
      <c r="E212" s="236"/>
      <c r="F212" s="367"/>
      <c r="G212" s="236"/>
      <c r="H212" s="236"/>
      <c r="I212" s="236"/>
      <c r="J212" s="236"/>
      <c r="K212" s="236"/>
      <c r="L212" s="236"/>
      <c r="M212" s="236"/>
      <c r="N212" s="236"/>
      <c r="O212" s="236"/>
      <c r="P212" s="236"/>
      <c r="Q212" s="236"/>
      <c r="R212" s="236"/>
    </row>
    <row r="213">
      <c r="A213" s="236"/>
      <c r="B213" s="236"/>
      <c r="C213" s="236"/>
      <c r="D213" s="236"/>
      <c r="E213" s="236"/>
      <c r="F213" s="367"/>
      <c r="G213" s="236"/>
      <c r="H213" s="236"/>
      <c r="I213" s="236"/>
      <c r="J213" s="236"/>
      <c r="K213" s="236"/>
      <c r="L213" s="236"/>
      <c r="M213" s="236"/>
      <c r="N213" s="236"/>
      <c r="O213" s="236"/>
      <c r="P213" s="236"/>
      <c r="Q213" s="236"/>
      <c r="R213" s="236"/>
    </row>
    <row r="214">
      <c r="A214" s="236"/>
      <c r="B214" s="236"/>
      <c r="C214" s="236"/>
      <c r="D214" s="236"/>
      <c r="E214" s="236"/>
      <c r="F214" s="367"/>
      <c r="G214" s="236"/>
      <c r="H214" s="236"/>
      <c r="I214" s="236"/>
      <c r="J214" s="236"/>
      <c r="K214" s="236"/>
      <c r="L214" s="236"/>
      <c r="M214" s="236"/>
      <c r="N214" s="236"/>
      <c r="O214" s="236"/>
      <c r="P214" s="236"/>
      <c r="Q214" s="236"/>
      <c r="R214" s="236"/>
    </row>
    <row r="215">
      <c r="A215" s="236"/>
      <c r="B215" s="236"/>
      <c r="C215" s="236"/>
      <c r="D215" s="236"/>
      <c r="E215" s="236"/>
      <c r="F215" s="367"/>
      <c r="G215" s="236"/>
      <c r="H215" s="236"/>
      <c r="I215" s="236"/>
      <c r="J215" s="236"/>
      <c r="K215" s="236"/>
      <c r="L215" s="236"/>
      <c r="M215" s="236"/>
      <c r="N215" s="236"/>
      <c r="O215" s="236"/>
      <c r="P215" s="236"/>
      <c r="Q215" s="236"/>
      <c r="R215" s="236"/>
    </row>
    <row r="216">
      <c r="A216" s="236"/>
      <c r="B216" s="236"/>
      <c r="C216" s="236"/>
      <c r="D216" s="236"/>
      <c r="E216" s="236"/>
      <c r="F216" s="367"/>
      <c r="G216" s="236"/>
      <c r="H216" s="236"/>
      <c r="I216" s="236"/>
      <c r="J216" s="236"/>
      <c r="K216" s="236"/>
      <c r="L216" s="236"/>
      <c r="M216" s="236"/>
      <c r="N216" s="236"/>
      <c r="O216" s="236"/>
      <c r="P216" s="236"/>
      <c r="Q216" s="236"/>
      <c r="R216" s="236"/>
    </row>
    <row r="217">
      <c r="A217" s="236"/>
      <c r="B217" s="236"/>
      <c r="C217" s="236"/>
      <c r="D217" s="236"/>
      <c r="E217" s="236"/>
      <c r="F217" s="367"/>
      <c r="G217" s="236"/>
      <c r="H217" s="236"/>
      <c r="I217" s="236"/>
      <c r="J217" s="236"/>
      <c r="K217" s="236"/>
      <c r="L217" s="236"/>
      <c r="M217" s="236"/>
      <c r="N217" s="236"/>
      <c r="O217" s="236"/>
      <c r="P217" s="236"/>
      <c r="Q217" s="236"/>
      <c r="R217" s="236"/>
    </row>
    <row r="218">
      <c r="A218" s="236"/>
      <c r="B218" s="236"/>
      <c r="C218" s="236"/>
      <c r="D218" s="236"/>
      <c r="E218" s="236"/>
      <c r="F218" s="367"/>
      <c r="G218" s="236"/>
      <c r="H218" s="236"/>
      <c r="I218" s="236"/>
      <c r="J218" s="236"/>
      <c r="K218" s="236"/>
      <c r="L218" s="236"/>
      <c r="M218" s="236"/>
      <c r="N218" s="236"/>
      <c r="O218" s="236"/>
      <c r="P218" s="236"/>
      <c r="Q218" s="236"/>
      <c r="R218" s="236"/>
    </row>
    <row r="219">
      <c r="A219" s="236"/>
      <c r="B219" s="236"/>
      <c r="C219" s="236"/>
      <c r="D219" s="236"/>
      <c r="E219" s="236"/>
      <c r="F219" s="367"/>
      <c r="G219" s="236"/>
      <c r="H219" s="236"/>
      <c r="I219" s="236"/>
      <c r="J219" s="236"/>
      <c r="K219" s="236"/>
      <c r="L219" s="236"/>
      <c r="M219" s="236"/>
      <c r="N219" s="236"/>
      <c r="O219" s="236"/>
      <c r="P219" s="236"/>
      <c r="Q219" s="236"/>
      <c r="R219" s="236"/>
    </row>
    <row r="220">
      <c r="A220" s="236"/>
      <c r="B220" s="236"/>
      <c r="C220" s="236"/>
      <c r="D220" s="236"/>
      <c r="E220" s="236"/>
      <c r="F220" s="367"/>
      <c r="G220" s="236"/>
      <c r="H220" s="236"/>
      <c r="I220" s="236"/>
      <c r="J220" s="236"/>
      <c r="K220" s="236"/>
      <c r="L220" s="236"/>
      <c r="M220" s="236"/>
      <c r="N220" s="236"/>
      <c r="O220" s="236"/>
      <c r="P220" s="236"/>
      <c r="Q220" s="236"/>
      <c r="R220" s="236"/>
    </row>
    <row r="221">
      <c r="A221" s="236"/>
      <c r="B221" s="236"/>
      <c r="C221" s="236"/>
      <c r="D221" s="236"/>
      <c r="E221" s="236"/>
      <c r="F221" s="367"/>
      <c r="G221" s="236"/>
      <c r="H221" s="236"/>
      <c r="I221" s="236"/>
      <c r="J221" s="236"/>
      <c r="K221" s="236"/>
      <c r="L221" s="236"/>
      <c r="M221" s="236"/>
      <c r="N221" s="236"/>
      <c r="O221" s="236"/>
      <c r="P221" s="236"/>
      <c r="Q221" s="236"/>
      <c r="R221" s="236"/>
    </row>
    <row r="222">
      <c r="A222" s="236"/>
      <c r="B222" s="236"/>
      <c r="C222" s="236"/>
      <c r="D222" s="236"/>
      <c r="E222" s="236"/>
      <c r="F222" s="367"/>
      <c r="G222" s="236"/>
      <c r="H222" s="236"/>
      <c r="I222" s="236"/>
      <c r="J222" s="236"/>
      <c r="K222" s="236"/>
      <c r="L222" s="236"/>
      <c r="M222" s="236"/>
      <c r="N222" s="236"/>
      <c r="O222" s="236"/>
      <c r="P222" s="236"/>
      <c r="Q222" s="236"/>
      <c r="R222" s="236"/>
    </row>
    <row r="223">
      <c r="A223" s="236"/>
      <c r="B223" s="236"/>
      <c r="C223" s="236"/>
      <c r="D223" s="236"/>
      <c r="E223" s="236"/>
      <c r="F223" s="367"/>
      <c r="G223" s="236"/>
      <c r="H223" s="236"/>
      <c r="I223" s="236"/>
      <c r="J223" s="236"/>
      <c r="K223" s="236"/>
      <c r="L223" s="236"/>
      <c r="M223" s="236"/>
      <c r="N223" s="236"/>
      <c r="O223" s="236"/>
      <c r="P223" s="236"/>
      <c r="Q223" s="236"/>
      <c r="R223" s="236"/>
    </row>
    <row r="224">
      <c r="A224" s="236"/>
      <c r="B224" s="236"/>
      <c r="C224" s="236"/>
      <c r="D224" s="236"/>
      <c r="E224" s="236"/>
      <c r="F224" s="367"/>
      <c r="G224" s="236"/>
      <c r="H224" s="236"/>
      <c r="I224" s="236"/>
      <c r="J224" s="236"/>
      <c r="K224" s="236"/>
      <c r="L224" s="236"/>
      <c r="M224" s="236"/>
      <c r="N224" s="236"/>
      <c r="O224" s="236"/>
      <c r="P224" s="236"/>
      <c r="Q224" s="236"/>
      <c r="R224" s="236"/>
    </row>
    <row r="225">
      <c r="A225" s="236"/>
      <c r="B225" s="236"/>
      <c r="C225" s="236"/>
      <c r="D225" s="236"/>
      <c r="E225" s="236"/>
      <c r="F225" s="367"/>
      <c r="G225" s="236"/>
      <c r="H225" s="236"/>
      <c r="I225" s="236"/>
      <c r="J225" s="236"/>
      <c r="K225" s="236"/>
      <c r="L225" s="236"/>
      <c r="M225" s="236"/>
      <c r="N225" s="236"/>
      <c r="O225" s="236"/>
      <c r="P225" s="236"/>
      <c r="Q225" s="236"/>
      <c r="R225" s="236"/>
    </row>
    <row r="226">
      <c r="A226" s="236"/>
      <c r="B226" s="236"/>
      <c r="C226" s="236"/>
      <c r="D226" s="236"/>
      <c r="E226" s="236"/>
      <c r="F226" s="367"/>
      <c r="G226" s="236"/>
      <c r="H226" s="236"/>
      <c r="I226" s="236"/>
      <c r="J226" s="236"/>
      <c r="K226" s="236"/>
      <c r="L226" s="236"/>
      <c r="M226" s="236"/>
      <c r="N226" s="236"/>
      <c r="O226" s="236"/>
      <c r="P226" s="236"/>
      <c r="Q226" s="236"/>
      <c r="R226" s="236"/>
    </row>
    <row r="227">
      <c r="A227" s="236"/>
      <c r="B227" s="236"/>
      <c r="C227" s="236"/>
      <c r="D227" s="236"/>
      <c r="E227" s="236"/>
      <c r="F227" s="367"/>
      <c r="G227" s="236"/>
      <c r="H227" s="236"/>
      <c r="I227" s="236"/>
      <c r="J227" s="236"/>
      <c r="K227" s="236"/>
      <c r="L227" s="236"/>
      <c r="M227" s="236"/>
      <c r="N227" s="236"/>
      <c r="O227" s="236"/>
      <c r="P227" s="236"/>
      <c r="Q227" s="236"/>
      <c r="R227" s="236"/>
    </row>
    <row r="228">
      <c r="A228" s="236"/>
      <c r="B228" s="236"/>
      <c r="C228" s="236"/>
      <c r="D228" s="236"/>
      <c r="E228" s="236"/>
      <c r="F228" s="367"/>
      <c r="G228" s="236"/>
      <c r="H228" s="236"/>
      <c r="I228" s="236"/>
      <c r="J228" s="236"/>
      <c r="K228" s="236"/>
      <c r="L228" s="236"/>
      <c r="M228" s="236"/>
      <c r="N228" s="236"/>
      <c r="O228" s="236"/>
      <c r="P228" s="236"/>
      <c r="Q228" s="236"/>
      <c r="R228" s="236"/>
    </row>
    <row r="229">
      <c r="A229" s="236"/>
      <c r="B229" s="236"/>
      <c r="C229" s="236"/>
      <c r="D229" s="236"/>
      <c r="E229" s="236"/>
      <c r="F229" s="367"/>
      <c r="G229" s="236"/>
      <c r="H229" s="236"/>
      <c r="I229" s="236"/>
      <c r="J229" s="236"/>
      <c r="K229" s="236"/>
      <c r="L229" s="236"/>
      <c r="M229" s="236"/>
      <c r="N229" s="236"/>
      <c r="O229" s="236"/>
      <c r="P229" s="236"/>
      <c r="Q229" s="236"/>
      <c r="R229" s="236"/>
    </row>
    <row r="230">
      <c r="A230" s="236"/>
      <c r="B230" s="236"/>
      <c r="C230" s="236"/>
      <c r="D230" s="236"/>
      <c r="E230" s="236"/>
      <c r="F230" s="367"/>
      <c r="G230" s="236"/>
      <c r="H230" s="236"/>
      <c r="I230" s="236"/>
      <c r="J230" s="236"/>
      <c r="K230" s="236"/>
      <c r="L230" s="236"/>
      <c r="M230" s="236"/>
      <c r="N230" s="236"/>
      <c r="O230" s="236"/>
      <c r="P230" s="236"/>
      <c r="Q230" s="236"/>
      <c r="R230" s="236"/>
    </row>
    <row r="231">
      <c r="A231" s="236"/>
      <c r="B231" s="236"/>
      <c r="C231" s="236"/>
      <c r="D231" s="236"/>
      <c r="E231" s="236"/>
      <c r="F231" s="367"/>
      <c r="G231" s="236"/>
      <c r="H231" s="236"/>
      <c r="I231" s="236"/>
      <c r="J231" s="236"/>
      <c r="K231" s="236"/>
      <c r="L231" s="236"/>
      <c r="M231" s="236"/>
      <c r="N231" s="236"/>
      <c r="O231" s="236"/>
      <c r="P231" s="236"/>
      <c r="Q231" s="236"/>
      <c r="R231" s="236"/>
    </row>
    <row r="232">
      <c r="A232" s="236"/>
      <c r="B232" s="236"/>
      <c r="C232" s="236"/>
      <c r="D232" s="236"/>
      <c r="E232" s="236"/>
      <c r="F232" s="367"/>
      <c r="G232" s="236"/>
      <c r="H232" s="236"/>
      <c r="I232" s="236"/>
      <c r="J232" s="236"/>
      <c r="K232" s="236"/>
      <c r="L232" s="236"/>
      <c r="M232" s="236"/>
      <c r="N232" s="236"/>
      <c r="O232" s="236"/>
      <c r="P232" s="236"/>
      <c r="Q232" s="236"/>
      <c r="R232" s="236"/>
    </row>
    <row r="233">
      <c r="A233" s="236"/>
      <c r="B233" s="236"/>
      <c r="C233" s="236"/>
      <c r="D233" s="236"/>
      <c r="E233" s="236"/>
      <c r="F233" s="367"/>
      <c r="G233" s="236"/>
      <c r="H233" s="236"/>
      <c r="I233" s="236"/>
      <c r="J233" s="236"/>
      <c r="K233" s="236"/>
      <c r="L233" s="236"/>
      <c r="M233" s="236"/>
      <c r="N233" s="236"/>
      <c r="O233" s="236"/>
      <c r="P233" s="236"/>
      <c r="Q233" s="236"/>
      <c r="R233" s="236"/>
    </row>
    <row r="234">
      <c r="A234" s="236"/>
      <c r="B234" s="236"/>
      <c r="C234" s="236"/>
      <c r="D234" s="236"/>
      <c r="E234" s="236"/>
      <c r="F234" s="367"/>
      <c r="G234" s="236"/>
      <c r="H234" s="236"/>
      <c r="I234" s="236"/>
      <c r="J234" s="236"/>
      <c r="K234" s="236"/>
      <c r="L234" s="236"/>
      <c r="M234" s="236"/>
      <c r="N234" s="236"/>
      <c r="O234" s="236"/>
      <c r="P234" s="236"/>
      <c r="Q234" s="236"/>
      <c r="R234" s="236"/>
    </row>
    <row r="235">
      <c r="A235" s="236"/>
      <c r="B235" s="236"/>
      <c r="C235" s="236"/>
      <c r="D235" s="236"/>
      <c r="E235" s="236"/>
      <c r="F235" s="367"/>
      <c r="G235" s="236"/>
      <c r="H235" s="236"/>
      <c r="I235" s="236"/>
      <c r="J235" s="236"/>
      <c r="K235" s="236"/>
      <c r="L235" s="236"/>
      <c r="M235" s="236"/>
      <c r="N235" s="236"/>
      <c r="O235" s="236"/>
      <c r="P235" s="236"/>
      <c r="Q235" s="236"/>
      <c r="R235" s="236"/>
    </row>
    <row r="236">
      <c r="A236" s="236"/>
      <c r="B236" s="236"/>
      <c r="C236" s="236"/>
      <c r="D236" s="236"/>
      <c r="E236" s="236"/>
      <c r="F236" s="367"/>
      <c r="G236" s="236"/>
      <c r="H236" s="236"/>
      <c r="I236" s="236"/>
      <c r="J236" s="236"/>
      <c r="K236" s="236"/>
      <c r="L236" s="236"/>
      <c r="M236" s="236"/>
      <c r="N236" s="236"/>
      <c r="O236" s="236"/>
      <c r="P236" s="236"/>
      <c r="Q236" s="236"/>
      <c r="R236" s="236"/>
    </row>
    <row r="237">
      <c r="A237" s="236"/>
      <c r="B237" s="236"/>
      <c r="C237" s="236"/>
      <c r="D237" s="236"/>
      <c r="E237" s="236"/>
      <c r="F237" s="367"/>
      <c r="G237" s="236"/>
      <c r="H237" s="236"/>
      <c r="I237" s="236"/>
      <c r="J237" s="236"/>
      <c r="K237" s="236"/>
      <c r="L237" s="236"/>
      <c r="M237" s="236"/>
      <c r="N237" s="236"/>
      <c r="O237" s="236"/>
      <c r="P237" s="236"/>
      <c r="Q237" s="236"/>
      <c r="R237" s="236"/>
    </row>
    <row r="238">
      <c r="A238" s="236"/>
      <c r="B238" s="236"/>
      <c r="C238" s="236"/>
      <c r="D238" s="236"/>
      <c r="E238" s="236"/>
      <c r="F238" s="367"/>
      <c r="G238" s="236"/>
      <c r="H238" s="236"/>
      <c r="I238" s="236"/>
      <c r="J238" s="236"/>
      <c r="K238" s="236"/>
      <c r="L238" s="236"/>
      <c r="M238" s="236"/>
      <c r="N238" s="236"/>
      <c r="O238" s="236"/>
      <c r="P238" s="236"/>
      <c r="Q238" s="236"/>
      <c r="R238" s="236"/>
    </row>
    <row r="239">
      <c r="A239" s="236"/>
      <c r="B239" s="236"/>
      <c r="C239" s="236"/>
      <c r="D239" s="236"/>
      <c r="E239" s="236"/>
      <c r="F239" s="367"/>
      <c r="G239" s="236"/>
      <c r="H239" s="236"/>
      <c r="I239" s="236"/>
      <c r="J239" s="236"/>
      <c r="K239" s="236"/>
      <c r="L239" s="236"/>
      <c r="M239" s="236"/>
      <c r="N239" s="236"/>
      <c r="O239" s="236"/>
      <c r="P239" s="236"/>
      <c r="Q239" s="236"/>
      <c r="R239" s="236"/>
    </row>
    <row r="240">
      <c r="A240" s="236"/>
      <c r="B240" s="236"/>
      <c r="C240" s="236"/>
      <c r="D240" s="236"/>
      <c r="E240" s="236"/>
      <c r="F240" s="367"/>
      <c r="G240" s="236"/>
      <c r="H240" s="236"/>
      <c r="I240" s="236"/>
      <c r="J240" s="236"/>
      <c r="K240" s="236"/>
      <c r="L240" s="236"/>
      <c r="M240" s="236"/>
      <c r="N240" s="236"/>
      <c r="O240" s="236"/>
      <c r="P240" s="236"/>
      <c r="Q240" s="236"/>
      <c r="R240" s="236"/>
    </row>
    <row r="241">
      <c r="A241" s="236"/>
      <c r="B241" s="236"/>
      <c r="C241" s="236"/>
      <c r="D241" s="236"/>
      <c r="E241" s="236"/>
      <c r="F241" s="367"/>
      <c r="G241" s="236"/>
      <c r="H241" s="236"/>
      <c r="I241" s="236"/>
      <c r="J241" s="236"/>
      <c r="K241" s="236"/>
      <c r="L241" s="236"/>
      <c r="M241" s="236"/>
      <c r="N241" s="236"/>
      <c r="O241" s="236"/>
      <c r="P241" s="236"/>
      <c r="Q241" s="236"/>
      <c r="R241" s="236"/>
    </row>
    <row r="242">
      <c r="A242" s="236"/>
      <c r="B242" s="236"/>
      <c r="C242" s="236"/>
      <c r="D242" s="236"/>
      <c r="E242" s="236"/>
      <c r="F242" s="367"/>
      <c r="G242" s="236"/>
      <c r="H242" s="236"/>
      <c r="I242" s="236"/>
      <c r="J242" s="236"/>
      <c r="K242" s="236"/>
      <c r="L242" s="236"/>
      <c r="M242" s="236"/>
      <c r="N242" s="236"/>
      <c r="O242" s="236"/>
      <c r="P242" s="236"/>
      <c r="Q242" s="236"/>
      <c r="R242" s="236"/>
    </row>
    <row r="243">
      <c r="A243" s="236"/>
      <c r="B243" s="236"/>
      <c r="C243" s="236"/>
      <c r="D243" s="236"/>
      <c r="E243" s="236"/>
      <c r="F243" s="367"/>
      <c r="G243" s="236"/>
      <c r="H243" s="236"/>
      <c r="I243" s="236"/>
      <c r="J243" s="236"/>
      <c r="K243" s="236"/>
      <c r="L243" s="236"/>
      <c r="M243" s="236"/>
      <c r="N243" s="236"/>
      <c r="O243" s="236"/>
      <c r="P243" s="236"/>
      <c r="Q243" s="236"/>
      <c r="R243" s="236"/>
    </row>
    <row r="244">
      <c r="A244" s="236"/>
      <c r="B244" s="236"/>
      <c r="C244" s="236"/>
      <c r="D244" s="236"/>
      <c r="E244" s="236"/>
      <c r="F244" s="367"/>
      <c r="G244" s="236"/>
      <c r="H244" s="236"/>
      <c r="I244" s="236"/>
      <c r="J244" s="236"/>
      <c r="K244" s="236"/>
      <c r="L244" s="236"/>
      <c r="M244" s="236"/>
      <c r="N244" s="236"/>
      <c r="O244" s="236"/>
      <c r="P244" s="236"/>
      <c r="Q244" s="236"/>
      <c r="R244" s="236"/>
    </row>
    <row r="245">
      <c r="A245" s="236"/>
      <c r="B245" s="236"/>
      <c r="C245" s="236"/>
      <c r="D245" s="236"/>
      <c r="E245" s="236"/>
      <c r="F245" s="367"/>
      <c r="G245" s="236"/>
      <c r="H245" s="236"/>
      <c r="I245" s="236"/>
      <c r="J245" s="236"/>
      <c r="K245" s="236"/>
      <c r="L245" s="236"/>
      <c r="M245" s="236"/>
      <c r="N245" s="236"/>
      <c r="O245" s="236"/>
      <c r="P245" s="236"/>
      <c r="Q245" s="236"/>
      <c r="R245" s="236"/>
    </row>
    <row r="246">
      <c r="A246" s="236"/>
      <c r="B246" s="236"/>
      <c r="C246" s="236"/>
      <c r="D246" s="236"/>
      <c r="E246" s="236"/>
      <c r="F246" s="367"/>
      <c r="G246" s="236"/>
      <c r="H246" s="236"/>
      <c r="I246" s="236"/>
      <c r="J246" s="236"/>
      <c r="K246" s="236"/>
      <c r="L246" s="236"/>
      <c r="M246" s="236"/>
      <c r="N246" s="236"/>
      <c r="O246" s="236"/>
      <c r="P246" s="236"/>
      <c r="Q246" s="236"/>
      <c r="R246" s="236"/>
    </row>
    <row r="247">
      <c r="A247" s="236"/>
      <c r="B247" s="236"/>
      <c r="C247" s="236"/>
      <c r="D247" s="236"/>
      <c r="E247" s="236"/>
      <c r="F247" s="367"/>
      <c r="G247" s="236"/>
      <c r="H247" s="236"/>
      <c r="I247" s="236"/>
      <c r="J247" s="236"/>
      <c r="K247" s="236"/>
      <c r="L247" s="236"/>
      <c r="M247" s="236"/>
      <c r="N247" s="236"/>
      <c r="O247" s="236"/>
      <c r="P247" s="236"/>
      <c r="Q247" s="236"/>
      <c r="R247" s="236"/>
    </row>
    <row r="248">
      <c r="A248" s="236"/>
      <c r="B248" s="236"/>
      <c r="C248" s="236"/>
      <c r="D248" s="236"/>
      <c r="E248" s="236"/>
      <c r="F248" s="367"/>
      <c r="G248" s="236"/>
      <c r="H248" s="236"/>
      <c r="I248" s="236"/>
      <c r="J248" s="236"/>
      <c r="K248" s="236"/>
      <c r="L248" s="236"/>
      <c r="M248" s="236"/>
      <c r="N248" s="236"/>
      <c r="O248" s="236"/>
      <c r="P248" s="236"/>
      <c r="Q248" s="236"/>
      <c r="R248" s="236"/>
    </row>
    <row r="249">
      <c r="A249" s="236"/>
      <c r="B249" s="236"/>
      <c r="C249" s="236"/>
      <c r="D249" s="236"/>
      <c r="E249" s="236"/>
      <c r="F249" s="367"/>
      <c r="G249" s="236"/>
      <c r="H249" s="236"/>
      <c r="I249" s="236"/>
      <c r="J249" s="236"/>
      <c r="K249" s="236"/>
      <c r="L249" s="236"/>
      <c r="M249" s="236"/>
      <c r="N249" s="236"/>
      <c r="O249" s="236"/>
      <c r="P249" s="236"/>
      <c r="Q249" s="236"/>
      <c r="R249" s="236"/>
    </row>
    <row r="250">
      <c r="A250" s="236"/>
      <c r="B250" s="236"/>
      <c r="C250" s="236"/>
      <c r="D250" s="236"/>
      <c r="E250" s="236"/>
      <c r="F250" s="367"/>
      <c r="G250" s="236"/>
      <c r="H250" s="236"/>
      <c r="I250" s="236"/>
      <c r="J250" s="236"/>
      <c r="K250" s="236"/>
      <c r="L250" s="236"/>
      <c r="M250" s="236"/>
      <c r="N250" s="236"/>
      <c r="O250" s="236"/>
      <c r="P250" s="236"/>
      <c r="Q250" s="236"/>
      <c r="R250" s="236"/>
    </row>
    <row r="251">
      <c r="A251" s="236"/>
      <c r="B251" s="236"/>
      <c r="C251" s="236"/>
      <c r="D251" s="236"/>
      <c r="E251" s="236"/>
      <c r="F251" s="367"/>
      <c r="G251" s="236"/>
      <c r="H251" s="236"/>
      <c r="I251" s="236"/>
      <c r="J251" s="236"/>
      <c r="K251" s="236"/>
      <c r="L251" s="236"/>
      <c r="M251" s="236"/>
      <c r="N251" s="236"/>
      <c r="O251" s="236"/>
      <c r="P251" s="236"/>
      <c r="Q251" s="236"/>
      <c r="R251" s="236"/>
    </row>
    <row r="252">
      <c r="A252" s="236"/>
      <c r="B252" s="236"/>
      <c r="C252" s="236"/>
      <c r="D252" s="236"/>
      <c r="E252" s="236"/>
      <c r="F252" s="367"/>
      <c r="G252" s="236"/>
      <c r="H252" s="236"/>
      <c r="I252" s="236"/>
      <c r="J252" s="236"/>
      <c r="K252" s="236"/>
      <c r="L252" s="236"/>
      <c r="M252" s="236"/>
      <c r="N252" s="236"/>
      <c r="O252" s="236"/>
      <c r="P252" s="236"/>
      <c r="Q252" s="236"/>
      <c r="R252" s="236"/>
    </row>
    <row r="253">
      <c r="A253" s="236"/>
      <c r="B253" s="236"/>
      <c r="C253" s="236"/>
      <c r="D253" s="236"/>
      <c r="E253" s="236"/>
      <c r="F253" s="367"/>
      <c r="G253" s="236"/>
      <c r="H253" s="236"/>
      <c r="I253" s="236"/>
      <c r="J253" s="236"/>
      <c r="K253" s="236"/>
      <c r="L253" s="236"/>
      <c r="M253" s="236"/>
      <c r="N253" s="236"/>
      <c r="O253" s="236"/>
      <c r="P253" s="236"/>
      <c r="Q253" s="236"/>
      <c r="R253" s="236"/>
    </row>
    <row r="254">
      <c r="A254" s="236"/>
      <c r="B254" s="236"/>
      <c r="C254" s="236"/>
      <c r="D254" s="236"/>
      <c r="E254" s="236"/>
      <c r="F254" s="367"/>
      <c r="G254" s="236"/>
      <c r="H254" s="236"/>
      <c r="I254" s="236"/>
      <c r="J254" s="236"/>
      <c r="K254" s="236"/>
      <c r="L254" s="236"/>
      <c r="M254" s="236"/>
      <c r="N254" s="236"/>
      <c r="O254" s="236"/>
      <c r="P254" s="236"/>
      <c r="Q254" s="236"/>
      <c r="R254" s="236"/>
    </row>
    <row r="255">
      <c r="A255" s="236"/>
      <c r="B255" s="236"/>
      <c r="C255" s="236"/>
      <c r="D255" s="236"/>
      <c r="E255" s="236"/>
      <c r="F255" s="367"/>
      <c r="G255" s="236"/>
      <c r="H255" s="236"/>
      <c r="I255" s="236"/>
      <c r="J255" s="236"/>
      <c r="K255" s="236"/>
      <c r="L255" s="236"/>
      <c r="M255" s="236"/>
      <c r="N255" s="236"/>
      <c r="O255" s="236"/>
      <c r="P255" s="236"/>
      <c r="Q255" s="236"/>
      <c r="R255" s="236"/>
    </row>
    <row r="256">
      <c r="A256" s="236"/>
      <c r="B256" s="236"/>
      <c r="C256" s="236"/>
      <c r="D256" s="236"/>
      <c r="E256" s="236"/>
      <c r="F256" s="367"/>
      <c r="G256" s="236"/>
      <c r="H256" s="236"/>
      <c r="I256" s="236"/>
      <c r="J256" s="236"/>
      <c r="K256" s="236"/>
      <c r="L256" s="236"/>
      <c r="M256" s="236"/>
      <c r="N256" s="236"/>
      <c r="O256" s="236"/>
      <c r="P256" s="236"/>
      <c r="Q256" s="236"/>
      <c r="R256" s="236"/>
    </row>
    <row r="257">
      <c r="A257" s="236"/>
      <c r="B257" s="236"/>
      <c r="C257" s="236"/>
      <c r="D257" s="236"/>
      <c r="E257" s="236"/>
      <c r="F257" s="367"/>
      <c r="G257" s="236"/>
      <c r="H257" s="236"/>
      <c r="I257" s="236"/>
      <c r="J257" s="236"/>
      <c r="K257" s="236"/>
      <c r="L257" s="236"/>
      <c r="M257" s="236"/>
      <c r="N257" s="236"/>
      <c r="O257" s="236"/>
      <c r="P257" s="236"/>
      <c r="Q257" s="236"/>
      <c r="R257" s="236"/>
    </row>
    <row r="258">
      <c r="A258" s="236"/>
      <c r="B258" s="236"/>
      <c r="C258" s="236"/>
      <c r="D258" s="236"/>
      <c r="E258" s="236"/>
      <c r="F258" s="367"/>
      <c r="G258" s="236"/>
      <c r="H258" s="236"/>
      <c r="I258" s="236"/>
      <c r="J258" s="236"/>
      <c r="K258" s="236"/>
      <c r="L258" s="236"/>
      <c r="M258" s="236"/>
      <c r="N258" s="236"/>
      <c r="O258" s="236"/>
      <c r="P258" s="236"/>
      <c r="Q258" s="236"/>
      <c r="R258" s="236"/>
    </row>
    <row r="259">
      <c r="A259" s="236"/>
      <c r="B259" s="236"/>
      <c r="C259" s="236"/>
      <c r="D259" s="236"/>
      <c r="E259" s="236"/>
      <c r="F259" s="367"/>
      <c r="G259" s="236"/>
      <c r="H259" s="236"/>
      <c r="I259" s="236"/>
      <c r="J259" s="236"/>
      <c r="K259" s="236"/>
      <c r="L259" s="236"/>
      <c r="M259" s="236"/>
      <c r="N259" s="236"/>
      <c r="O259" s="236"/>
      <c r="P259" s="236"/>
      <c r="Q259" s="236"/>
      <c r="R259" s="236"/>
    </row>
    <row r="260">
      <c r="A260" s="236"/>
      <c r="B260" s="236"/>
      <c r="C260" s="236"/>
      <c r="D260" s="236"/>
      <c r="E260" s="236"/>
      <c r="F260" s="367"/>
      <c r="G260" s="236"/>
      <c r="H260" s="236"/>
      <c r="I260" s="236"/>
      <c r="J260" s="236"/>
      <c r="K260" s="236"/>
      <c r="L260" s="236"/>
      <c r="M260" s="236"/>
      <c r="N260" s="236"/>
      <c r="O260" s="236"/>
      <c r="P260" s="236"/>
      <c r="Q260" s="236"/>
      <c r="R260" s="236"/>
    </row>
    <row r="261">
      <c r="A261" s="236"/>
      <c r="B261" s="236"/>
      <c r="C261" s="236"/>
      <c r="D261" s="236"/>
      <c r="E261" s="236"/>
      <c r="F261" s="367"/>
      <c r="G261" s="236"/>
      <c r="H261" s="236"/>
      <c r="I261" s="236"/>
      <c r="J261" s="236"/>
      <c r="K261" s="236"/>
      <c r="L261" s="236"/>
      <c r="M261" s="236"/>
      <c r="N261" s="236"/>
      <c r="O261" s="236"/>
      <c r="P261" s="236"/>
      <c r="Q261" s="236"/>
      <c r="R261" s="236"/>
    </row>
    <row r="262">
      <c r="A262" s="236"/>
      <c r="B262" s="236"/>
      <c r="C262" s="236"/>
      <c r="D262" s="236"/>
      <c r="E262" s="236"/>
      <c r="F262" s="367"/>
      <c r="G262" s="236"/>
      <c r="H262" s="236"/>
      <c r="I262" s="236"/>
      <c r="J262" s="236"/>
      <c r="K262" s="236"/>
      <c r="L262" s="236"/>
      <c r="M262" s="236"/>
      <c r="N262" s="236"/>
      <c r="O262" s="236"/>
      <c r="P262" s="236"/>
      <c r="Q262" s="236"/>
      <c r="R262" s="236"/>
    </row>
    <row r="263">
      <c r="A263" s="236"/>
      <c r="B263" s="236"/>
      <c r="C263" s="236"/>
      <c r="D263" s="236"/>
      <c r="E263" s="236"/>
      <c r="F263" s="367"/>
      <c r="G263" s="236"/>
      <c r="H263" s="236"/>
      <c r="I263" s="236"/>
      <c r="J263" s="236"/>
      <c r="K263" s="236"/>
      <c r="L263" s="236"/>
      <c r="M263" s="236"/>
      <c r="N263" s="236"/>
      <c r="O263" s="236"/>
      <c r="P263" s="236"/>
      <c r="Q263" s="236"/>
      <c r="R263" s="236"/>
    </row>
    <row r="264">
      <c r="A264" s="236"/>
      <c r="B264" s="236"/>
      <c r="C264" s="236"/>
      <c r="D264" s="236"/>
      <c r="E264" s="236"/>
      <c r="F264" s="367"/>
      <c r="G264" s="236"/>
      <c r="H264" s="236"/>
      <c r="I264" s="236"/>
      <c r="J264" s="236"/>
      <c r="K264" s="236"/>
      <c r="L264" s="236"/>
      <c r="M264" s="236"/>
      <c r="N264" s="236"/>
      <c r="O264" s="236"/>
      <c r="P264" s="236"/>
      <c r="Q264" s="236"/>
      <c r="R264" s="236"/>
    </row>
    <row r="265">
      <c r="A265" s="236"/>
      <c r="B265" s="236"/>
      <c r="C265" s="236"/>
      <c r="D265" s="236"/>
      <c r="E265" s="236"/>
      <c r="F265" s="367"/>
      <c r="G265" s="236"/>
      <c r="H265" s="236"/>
      <c r="I265" s="236"/>
      <c r="J265" s="236"/>
      <c r="K265" s="236"/>
      <c r="L265" s="236"/>
      <c r="M265" s="236"/>
      <c r="N265" s="236"/>
      <c r="O265" s="236"/>
      <c r="P265" s="236"/>
      <c r="Q265" s="236"/>
      <c r="R265" s="236"/>
    </row>
    <row r="266">
      <c r="A266" s="236"/>
      <c r="B266" s="236"/>
      <c r="C266" s="236"/>
      <c r="D266" s="236"/>
      <c r="E266" s="236"/>
      <c r="F266" s="367"/>
      <c r="G266" s="236"/>
      <c r="H266" s="236"/>
      <c r="I266" s="236"/>
      <c r="J266" s="236"/>
      <c r="K266" s="236"/>
      <c r="L266" s="236"/>
      <c r="M266" s="236"/>
      <c r="N266" s="236"/>
      <c r="O266" s="236"/>
      <c r="P266" s="236"/>
      <c r="Q266" s="236"/>
      <c r="R266" s="236"/>
    </row>
    <row r="267">
      <c r="A267" s="236"/>
      <c r="B267" s="236"/>
      <c r="C267" s="236"/>
      <c r="D267" s="236"/>
      <c r="E267" s="236"/>
      <c r="F267" s="367"/>
      <c r="G267" s="236"/>
      <c r="H267" s="236"/>
      <c r="I267" s="236"/>
      <c r="J267" s="236"/>
      <c r="K267" s="236"/>
      <c r="L267" s="236"/>
      <c r="M267" s="236"/>
      <c r="N267" s="236"/>
      <c r="O267" s="236"/>
      <c r="P267" s="236"/>
      <c r="Q267" s="236"/>
      <c r="R267" s="236"/>
    </row>
    <row r="268">
      <c r="A268" s="236"/>
      <c r="B268" s="236"/>
      <c r="C268" s="236"/>
      <c r="D268" s="236"/>
      <c r="E268" s="236"/>
      <c r="F268" s="367"/>
      <c r="G268" s="236"/>
      <c r="H268" s="236"/>
      <c r="I268" s="236"/>
      <c r="J268" s="236"/>
      <c r="K268" s="236"/>
      <c r="L268" s="236"/>
      <c r="M268" s="236"/>
      <c r="N268" s="236"/>
      <c r="O268" s="236"/>
      <c r="P268" s="236"/>
      <c r="Q268" s="236"/>
      <c r="R268" s="236"/>
    </row>
    <row r="269">
      <c r="A269" s="236"/>
      <c r="B269" s="236"/>
      <c r="C269" s="236"/>
      <c r="D269" s="236"/>
      <c r="E269" s="236"/>
      <c r="F269" s="367"/>
      <c r="G269" s="236"/>
      <c r="H269" s="236"/>
      <c r="I269" s="236"/>
      <c r="J269" s="236"/>
      <c r="K269" s="236"/>
      <c r="L269" s="236"/>
      <c r="M269" s="236"/>
      <c r="N269" s="236"/>
      <c r="O269" s="236"/>
      <c r="P269" s="236"/>
      <c r="Q269" s="236"/>
      <c r="R269" s="236"/>
    </row>
    <row r="270">
      <c r="A270" s="236"/>
      <c r="B270" s="236"/>
      <c r="C270" s="236"/>
      <c r="D270" s="236"/>
      <c r="E270" s="236"/>
      <c r="F270" s="367"/>
      <c r="G270" s="236"/>
      <c r="H270" s="236"/>
      <c r="I270" s="236"/>
      <c r="J270" s="236"/>
      <c r="K270" s="236"/>
      <c r="L270" s="236"/>
      <c r="M270" s="236"/>
      <c r="N270" s="236"/>
      <c r="O270" s="236"/>
      <c r="P270" s="236"/>
      <c r="Q270" s="236"/>
      <c r="R270" s="236"/>
    </row>
    <row r="271">
      <c r="A271" s="236"/>
      <c r="B271" s="236"/>
      <c r="C271" s="236"/>
      <c r="D271" s="236"/>
      <c r="E271" s="236"/>
      <c r="F271" s="367"/>
      <c r="G271" s="236"/>
      <c r="H271" s="236"/>
      <c r="I271" s="236"/>
      <c r="J271" s="236"/>
      <c r="K271" s="236"/>
      <c r="L271" s="236"/>
      <c r="M271" s="236"/>
      <c r="N271" s="236"/>
      <c r="O271" s="236"/>
      <c r="P271" s="236"/>
      <c r="Q271" s="236"/>
      <c r="R271" s="236"/>
    </row>
    <row r="272">
      <c r="A272" s="236"/>
      <c r="B272" s="236"/>
      <c r="C272" s="236"/>
      <c r="D272" s="236"/>
      <c r="E272" s="236"/>
      <c r="F272" s="367"/>
      <c r="G272" s="236"/>
      <c r="H272" s="236"/>
      <c r="I272" s="236"/>
      <c r="J272" s="236"/>
      <c r="K272" s="236"/>
      <c r="L272" s="236"/>
      <c r="M272" s="236"/>
      <c r="N272" s="236"/>
      <c r="O272" s="236"/>
      <c r="P272" s="236"/>
      <c r="Q272" s="236"/>
      <c r="R272" s="236"/>
    </row>
    <row r="273">
      <c r="A273" s="236"/>
      <c r="B273" s="236"/>
      <c r="C273" s="236"/>
      <c r="D273" s="236"/>
      <c r="E273" s="236"/>
      <c r="F273" s="367"/>
      <c r="G273" s="236"/>
      <c r="H273" s="236"/>
      <c r="I273" s="236"/>
      <c r="J273" s="236"/>
      <c r="K273" s="236"/>
      <c r="L273" s="236"/>
      <c r="M273" s="236"/>
      <c r="N273" s="236"/>
      <c r="O273" s="236"/>
      <c r="P273" s="236"/>
      <c r="Q273" s="236"/>
      <c r="R273" s="236"/>
    </row>
    <row r="274">
      <c r="A274" s="236"/>
      <c r="B274" s="236"/>
      <c r="C274" s="236"/>
      <c r="D274" s="236"/>
      <c r="E274" s="236"/>
      <c r="F274" s="367"/>
      <c r="G274" s="236"/>
      <c r="H274" s="236"/>
      <c r="I274" s="236"/>
      <c r="J274" s="236"/>
      <c r="K274" s="236"/>
      <c r="L274" s="236"/>
      <c r="M274" s="236"/>
      <c r="N274" s="236"/>
      <c r="O274" s="236"/>
      <c r="P274" s="236"/>
      <c r="Q274" s="236"/>
      <c r="R274" s="236"/>
    </row>
    <row r="275">
      <c r="A275" s="236"/>
      <c r="B275" s="236"/>
      <c r="C275" s="236"/>
      <c r="D275" s="236"/>
      <c r="E275" s="236"/>
      <c r="F275" s="367"/>
      <c r="G275" s="236"/>
      <c r="H275" s="236"/>
      <c r="I275" s="236"/>
      <c r="J275" s="236"/>
      <c r="K275" s="236"/>
      <c r="L275" s="236"/>
      <c r="M275" s="236"/>
      <c r="N275" s="236"/>
      <c r="O275" s="236"/>
      <c r="P275" s="236"/>
      <c r="Q275" s="236"/>
      <c r="R275" s="236"/>
    </row>
    <row r="276">
      <c r="A276" s="236"/>
      <c r="B276" s="236"/>
      <c r="C276" s="236"/>
      <c r="D276" s="236"/>
      <c r="E276" s="236"/>
      <c r="F276" s="367"/>
      <c r="G276" s="236"/>
      <c r="H276" s="236"/>
      <c r="I276" s="236"/>
      <c r="J276" s="236"/>
      <c r="K276" s="236"/>
      <c r="L276" s="236"/>
      <c r="M276" s="236"/>
      <c r="N276" s="236"/>
      <c r="O276" s="236"/>
      <c r="P276" s="236"/>
      <c r="Q276" s="236"/>
      <c r="R276" s="236"/>
    </row>
    <row r="277">
      <c r="A277" s="236"/>
      <c r="B277" s="236"/>
      <c r="C277" s="236"/>
      <c r="D277" s="236"/>
      <c r="E277" s="236"/>
      <c r="F277" s="367"/>
      <c r="G277" s="236"/>
      <c r="H277" s="236"/>
      <c r="I277" s="236"/>
      <c r="J277" s="236"/>
      <c r="K277" s="236"/>
      <c r="L277" s="236"/>
      <c r="M277" s="236"/>
      <c r="N277" s="236"/>
      <c r="O277" s="236"/>
      <c r="P277" s="236"/>
      <c r="Q277" s="236"/>
      <c r="R277" s="236"/>
    </row>
    <row r="278">
      <c r="A278" s="236"/>
      <c r="B278" s="236"/>
      <c r="C278" s="236"/>
      <c r="D278" s="236"/>
      <c r="E278" s="236"/>
      <c r="F278" s="367"/>
      <c r="G278" s="236"/>
      <c r="H278" s="236"/>
      <c r="I278" s="236"/>
      <c r="J278" s="236"/>
      <c r="K278" s="236"/>
      <c r="L278" s="236"/>
      <c r="M278" s="236"/>
      <c r="N278" s="236"/>
      <c r="O278" s="236"/>
      <c r="P278" s="236"/>
      <c r="Q278" s="236"/>
      <c r="R278" s="236"/>
    </row>
    <row r="279">
      <c r="A279" s="236"/>
      <c r="B279" s="236"/>
      <c r="C279" s="236"/>
      <c r="D279" s="236"/>
      <c r="E279" s="236"/>
      <c r="F279" s="367"/>
      <c r="G279" s="236"/>
      <c r="H279" s="236"/>
      <c r="I279" s="236"/>
      <c r="J279" s="236"/>
      <c r="K279" s="236"/>
      <c r="L279" s="236"/>
      <c r="M279" s="236"/>
      <c r="N279" s="236"/>
      <c r="O279" s="236"/>
      <c r="P279" s="236"/>
      <c r="Q279" s="236"/>
      <c r="R279" s="236"/>
    </row>
    <row r="280">
      <c r="A280" s="236"/>
      <c r="B280" s="236"/>
      <c r="C280" s="236"/>
      <c r="D280" s="236"/>
      <c r="E280" s="236"/>
      <c r="F280" s="367"/>
      <c r="G280" s="236"/>
      <c r="H280" s="236"/>
      <c r="I280" s="236"/>
      <c r="J280" s="236"/>
      <c r="K280" s="236"/>
      <c r="L280" s="236"/>
      <c r="M280" s="236"/>
      <c r="N280" s="236"/>
      <c r="O280" s="236"/>
      <c r="P280" s="236"/>
      <c r="Q280" s="236"/>
      <c r="R280" s="236"/>
    </row>
    <row r="281">
      <c r="A281" s="236"/>
      <c r="B281" s="236"/>
      <c r="C281" s="236"/>
      <c r="D281" s="236"/>
      <c r="E281" s="236"/>
      <c r="F281" s="367"/>
      <c r="G281" s="236"/>
      <c r="H281" s="236"/>
      <c r="I281" s="236"/>
      <c r="J281" s="236"/>
      <c r="K281" s="236"/>
      <c r="L281" s="236"/>
      <c r="M281" s="236"/>
      <c r="N281" s="236"/>
      <c r="O281" s="236"/>
      <c r="P281" s="236"/>
      <c r="Q281" s="236"/>
      <c r="R281" s="236"/>
    </row>
    <row r="282">
      <c r="A282" s="236"/>
      <c r="B282" s="236"/>
      <c r="C282" s="236"/>
      <c r="D282" s="236"/>
      <c r="E282" s="236"/>
      <c r="F282" s="367"/>
      <c r="G282" s="236"/>
      <c r="H282" s="236"/>
      <c r="I282" s="236"/>
      <c r="J282" s="236"/>
      <c r="K282" s="236"/>
      <c r="L282" s="236"/>
      <c r="M282" s="236"/>
      <c r="N282" s="236"/>
      <c r="O282" s="236"/>
      <c r="P282" s="236"/>
      <c r="Q282" s="236"/>
      <c r="R282" s="236"/>
    </row>
    <row r="283">
      <c r="A283" s="236"/>
      <c r="B283" s="236"/>
      <c r="C283" s="236"/>
      <c r="D283" s="236"/>
      <c r="E283" s="236"/>
      <c r="F283" s="367"/>
      <c r="G283" s="236"/>
      <c r="H283" s="236"/>
      <c r="I283" s="236"/>
      <c r="J283" s="236"/>
      <c r="K283" s="236"/>
      <c r="L283" s="236"/>
      <c r="M283" s="236"/>
      <c r="N283" s="236"/>
      <c r="O283" s="236"/>
      <c r="P283" s="236"/>
      <c r="Q283" s="236"/>
      <c r="R283" s="236"/>
    </row>
    <row r="284">
      <c r="A284" s="236"/>
      <c r="B284" s="236"/>
      <c r="C284" s="236"/>
      <c r="D284" s="236"/>
      <c r="E284" s="236"/>
      <c r="F284" s="367"/>
      <c r="G284" s="236"/>
      <c r="H284" s="236"/>
      <c r="I284" s="236"/>
      <c r="J284" s="236"/>
      <c r="K284" s="236"/>
      <c r="L284" s="236"/>
      <c r="M284" s="236"/>
      <c r="N284" s="236"/>
      <c r="O284" s="236"/>
      <c r="P284" s="236"/>
      <c r="Q284" s="236"/>
      <c r="R284" s="236"/>
    </row>
    <row r="285">
      <c r="A285" s="236"/>
      <c r="B285" s="236"/>
      <c r="C285" s="236"/>
      <c r="D285" s="236"/>
      <c r="E285" s="236"/>
      <c r="F285" s="367"/>
      <c r="G285" s="236"/>
      <c r="H285" s="236"/>
      <c r="I285" s="236"/>
      <c r="J285" s="236"/>
      <c r="K285" s="236"/>
      <c r="L285" s="236"/>
      <c r="M285" s="236"/>
      <c r="N285" s="236"/>
      <c r="O285" s="236"/>
      <c r="P285" s="236"/>
      <c r="Q285" s="236"/>
      <c r="R285" s="236"/>
    </row>
    <row r="286">
      <c r="A286" s="236"/>
      <c r="B286" s="236"/>
      <c r="C286" s="236"/>
      <c r="D286" s="236"/>
      <c r="E286" s="236"/>
      <c r="F286" s="367"/>
      <c r="G286" s="236"/>
      <c r="H286" s="236"/>
      <c r="I286" s="236"/>
      <c r="J286" s="236"/>
      <c r="K286" s="236"/>
      <c r="L286" s="236"/>
      <c r="M286" s="236"/>
      <c r="N286" s="236"/>
      <c r="O286" s="236"/>
      <c r="P286" s="236"/>
      <c r="Q286" s="236"/>
      <c r="R286" s="236"/>
    </row>
    <row r="287">
      <c r="A287" s="236"/>
      <c r="B287" s="236"/>
      <c r="C287" s="236"/>
      <c r="D287" s="236"/>
      <c r="E287" s="236"/>
      <c r="F287" s="367"/>
      <c r="G287" s="236"/>
      <c r="H287" s="236"/>
      <c r="I287" s="236"/>
      <c r="J287" s="236"/>
      <c r="K287" s="236"/>
      <c r="L287" s="236"/>
      <c r="M287" s="236"/>
      <c r="N287" s="236"/>
      <c r="O287" s="236"/>
      <c r="P287" s="236"/>
      <c r="Q287" s="236"/>
      <c r="R287" s="236"/>
    </row>
    <row r="288">
      <c r="A288" s="236"/>
      <c r="B288" s="236"/>
      <c r="C288" s="236"/>
      <c r="D288" s="236"/>
      <c r="E288" s="236"/>
      <c r="F288" s="367"/>
      <c r="G288" s="236"/>
      <c r="H288" s="236"/>
      <c r="I288" s="236"/>
      <c r="J288" s="236"/>
      <c r="K288" s="236"/>
      <c r="L288" s="236"/>
      <c r="M288" s="236"/>
      <c r="N288" s="236"/>
      <c r="O288" s="236"/>
      <c r="P288" s="236"/>
      <c r="Q288" s="236"/>
      <c r="R288" s="236"/>
    </row>
    <row r="289">
      <c r="A289" s="236"/>
      <c r="B289" s="236"/>
      <c r="C289" s="236"/>
      <c r="D289" s="236"/>
      <c r="E289" s="236"/>
      <c r="F289" s="367"/>
      <c r="G289" s="236"/>
      <c r="H289" s="236"/>
      <c r="I289" s="236"/>
      <c r="J289" s="236"/>
      <c r="K289" s="236"/>
      <c r="L289" s="236"/>
      <c r="M289" s="236"/>
      <c r="N289" s="236"/>
      <c r="O289" s="236"/>
      <c r="P289" s="236"/>
      <c r="Q289" s="236"/>
      <c r="R289" s="236"/>
    </row>
    <row r="290">
      <c r="A290" s="236"/>
      <c r="B290" s="236"/>
      <c r="C290" s="236"/>
      <c r="D290" s="236"/>
      <c r="E290" s="236"/>
      <c r="F290" s="367"/>
      <c r="G290" s="236"/>
      <c r="H290" s="236"/>
      <c r="I290" s="236"/>
      <c r="J290" s="236"/>
      <c r="K290" s="236"/>
      <c r="L290" s="236"/>
      <c r="M290" s="236"/>
      <c r="N290" s="236"/>
      <c r="O290" s="236"/>
      <c r="P290" s="236"/>
      <c r="Q290" s="236"/>
      <c r="R290" s="236"/>
    </row>
    <row r="291">
      <c r="A291" s="236"/>
      <c r="B291" s="236"/>
      <c r="C291" s="236"/>
      <c r="D291" s="236"/>
      <c r="E291" s="236"/>
      <c r="F291" s="367"/>
      <c r="G291" s="236"/>
      <c r="H291" s="236"/>
      <c r="I291" s="236"/>
      <c r="J291" s="236"/>
      <c r="K291" s="236"/>
      <c r="L291" s="236"/>
      <c r="M291" s="236"/>
      <c r="N291" s="236"/>
      <c r="O291" s="236"/>
      <c r="P291" s="236"/>
      <c r="Q291" s="236"/>
      <c r="R291" s="236"/>
    </row>
    <row r="292">
      <c r="A292" s="236"/>
      <c r="B292" s="236"/>
      <c r="C292" s="236"/>
      <c r="D292" s="236"/>
      <c r="E292" s="236"/>
      <c r="F292" s="367"/>
      <c r="G292" s="236"/>
      <c r="H292" s="236"/>
      <c r="I292" s="236"/>
      <c r="J292" s="236"/>
      <c r="K292" s="236"/>
      <c r="L292" s="236"/>
      <c r="M292" s="236"/>
      <c r="N292" s="236"/>
      <c r="O292" s="236"/>
      <c r="P292" s="236"/>
      <c r="Q292" s="236"/>
      <c r="R292" s="236"/>
    </row>
    <row r="293">
      <c r="A293" s="236"/>
      <c r="B293" s="236"/>
      <c r="C293" s="236"/>
      <c r="D293" s="236"/>
      <c r="E293" s="236"/>
      <c r="F293" s="367"/>
      <c r="G293" s="236"/>
      <c r="H293" s="236"/>
      <c r="I293" s="236"/>
      <c r="J293" s="236"/>
      <c r="K293" s="236"/>
      <c r="L293" s="236"/>
      <c r="M293" s="236"/>
      <c r="N293" s="236"/>
      <c r="O293" s="236"/>
      <c r="P293" s="236"/>
      <c r="Q293" s="236"/>
      <c r="R293" s="236"/>
    </row>
    <row r="294">
      <c r="A294" s="236"/>
      <c r="B294" s="236"/>
      <c r="C294" s="236"/>
      <c r="D294" s="236"/>
      <c r="E294" s="236"/>
      <c r="F294" s="367"/>
      <c r="G294" s="236"/>
      <c r="H294" s="236"/>
      <c r="I294" s="236"/>
      <c r="J294" s="236"/>
      <c r="K294" s="236"/>
      <c r="L294" s="236"/>
      <c r="M294" s="236"/>
      <c r="N294" s="236"/>
      <c r="O294" s="236"/>
      <c r="P294" s="236"/>
      <c r="Q294" s="236"/>
      <c r="R294" s="236"/>
    </row>
    <row r="295">
      <c r="A295" s="236"/>
      <c r="B295" s="236"/>
      <c r="C295" s="236"/>
      <c r="D295" s="236"/>
      <c r="E295" s="236"/>
      <c r="F295" s="367"/>
      <c r="G295" s="236"/>
      <c r="H295" s="236"/>
      <c r="I295" s="236"/>
      <c r="J295" s="236"/>
      <c r="K295" s="236"/>
      <c r="L295" s="236"/>
      <c r="M295" s="236"/>
      <c r="N295" s="236"/>
      <c r="O295" s="236"/>
      <c r="P295" s="236"/>
      <c r="Q295" s="236"/>
      <c r="R295" s="236"/>
    </row>
    <row r="296">
      <c r="A296" s="236"/>
      <c r="B296" s="236"/>
      <c r="C296" s="236"/>
      <c r="D296" s="236"/>
      <c r="E296" s="236"/>
      <c r="F296" s="367"/>
      <c r="G296" s="236"/>
      <c r="H296" s="236"/>
      <c r="I296" s="236"/>
      <c r="J296" s="236"/>
      <c r="K296" s="236"/>
      <c r="L296" s="236"/>
      <c r="M296" s="236"/>
      <c r="N296" s="236"/>
      <c r="O296" s="236"/>
      <c r="P296" s="236"/>
      <c r="Q296" s="236"/>
      <c r="R296" s="236"/>
    </row>
    <row r="297">
      <c r="A297" s="236"/>
      <c r="B297" s="236"/>
      <c r="C297" s="236"/>
      <c r="D297" s="236"/>
      <c r="E297" s="236"/>
      <c r="F297" s="367"/>
      <c r="G297" s="236"/>
      <c r="H297" s="236"/>
      <c r="I297" s="236"/>
      <c r="J297" s="236"/>
      <c r="K297" s="236"/>
      <c r="L297" s="236"/>
      <c r="M297" s="236"/>
      <c r="N297" s="236"/>
      <c r="O297" s="236"/>
      <c r="P297" s="236"/>
      <c r="Q297" s="236"/>
      <c r="R297" s="236"/>
    </row>
    <row r="298">
      <c r="A298" s="236"/>
      <c r="B298" s="236"/>
      <c r="C298" s="236"/>
      <c r="D298" s="236"/>
      <c r="E298" s="236"/>
      <c r="F298" s="367"/>
      <c r="G298" s="236"/>
      <c r="H298" s="236"/>
      <c r="I298" s="236"/>
      <c r="J298" s="236"/>
      <c r="K298" s="236"/>
      <c r="L298" s="236"/>
      <c r="M298" s="236"/>
      <c r="N298" s="236"/>
      <c r="O298" s="236"/>
      <c r="P298" s="236"/>
      <c r="Q298" s="236"/>
      <c r="R298" s="236"/>
    </row>
    <row r="299">
      <c r="A299" s="236"/>
      <c r="B299" s="236"/>
      <c r="C299" s="236"/>
      <c r="D299" s="236"/>
      <c r="E299" s="236"/>
      <c r="F299" s="367"/>
      <c r="G299" s="236"/>
      <c r="H299" s="236"/>
      <c r="I299" s="236"/>
      <c r="J299" s="236"/>
      <c r="K299" s="236"/>
      <c r="L299" s="236"/>
      <c r="M299" s="236"/>
      <c r="N299" s="236"/>
      <c r="O299" s="236"/>
      <c r="P299" s="236"/>
      <c r="Q299" s="236"/>
      <c r="R299" s="236"/>
    </row>
    <row r="300">
      <c r="A300" s="236"/>
      <c r="B300" s="236"/>
      <c r="C300" s="236"/>
      <c r="D300" s="236"/>
      <c r="E300" s="236"/>
      <c r="F300" s="367"/>
      <c r="G300" s="236"/>
      <c r="H300" s="236"/>
      <c r="I300" s="236"/>
      <c r="J300" s="236"/>
      <c r="K300" s="236"/>
      <c r="L300" s="236"/>
      <c r="M300" s="236"/>
      <c r="N300" s="236"/>
      <c r="O300" s="236"/>
      <c r="P300" s="236"/>
      <c r="Q300" s="236"/>
      <c r="R300" s="236"/>
    </row>
    <row r="301">
      <c r="A301" s="236"/>
      <c r="B301" s="236"/>
      <c r="C301" s="236"/>
      <c r="D301" s="236"/>
      <c r="E301" s="236"/>
      <c r="F301" s="367"/>
      <c r="G301" s="236"/>
      <c r="H301" s="236"/>
      <c r="I301" s="236"/>
      <c r="J301" s="236"/>
      <c r="K301" s="236"/>
      <c r="L301" s="236"/>
      <c r="M301" s="236"/>
      <c r="N301" s="236"/>
      <c r="O301" s="236"/>
      <c r="P301" s="236"/>
      <c r="Q301" s="236"/>
      <c r="R301" s="236"/>
    </row>
    <row r="302">
      <c r="A302" s="236"/>
      <c r="B302" s="236"/>
      <c r="C302" s="236"/>
      <c r="D302" s="236"/>
      <c r="E302" s="236"/>
      <c r="F302" s="367"/>
      <c r="G302" s="236"/>
      <c r="H302" s="236"/>
      <c r="I302" s="236"/>
      <c r="J302" s="236"/>
      <c r="K302" s="236"/>
      <c r="L302" s="236"/>
      <c r="M302" s="236"/>
      <c r="N302" s="236"/>
      <c r="O302" s="236"/>
      <c r="P302" s="236"/>
      <c r="Q302" s="236"/>
      <c r="R302" s="236"/>
    </row>
    <row r="303">
      <c r="A303" s="236"/>
      <c r="B303" s="236"/>
      <c r="C303" s="236"/>
      <c r="D303" s="236"/>
      <c r="E303" s="236"/>
      <c r="F303" s="367"/>
      <c r="G303" s="236"/>
      <c r="H303" s="236"/>
      <c r="I303" s="236"/>
      <c r="J303" s="236"/>
      <c r="K303" s="236"/>
      <c r="L303" s="236"/>
      <c r="M303" s="236"/>
      <c r="N303" s="236"/>
      <c r="O303" s="236"/>
      <c r="P303" s="236"/>
      <c r="Q303" s="236"/>
      <c r="R303" s="236"/>
    </row>
    <row r="304">
      <c r="A304" s="236"/>
      <c r="B304" s="236"/>
      <c r="C304" s="236"/>
      <c r="D304" s="236"/>
      <c r="E304" s="236"/>
      <c r="F304" s="367"/>
      <c r="G304" s="236"/>
      <c r="H304" s="236"/>
      <c r="I304" s="236"/>
      <c r="J304" s="236"/>
      <c r="K304" s="236"/>
      <c r="L304" s="236"/>
      <c r="M304" s="236"/>
      <c r="N304" s="236"/>
      <c r="O304" s="236"/>
      <c r="P304" s="236"/>
      <c r="Q304" s="236"/>
      <c r="R304" s="236"/>
    </row>
    <row r="305">
      <c r="A305" s="236"/>
      <c r="B305" s="236"/>
      <c r="C305" s="236"/>
      <c r="D305" s="236"/>
      <c r="E305" s="236"/>
      <c r="F305" s="367"/>
      <c r="G305" s="236"/>
      <c r="H305" s="236"/>
      <c r="I305" s="236"/>
      <c r="J305" s="236"/>
      <c r="K305" s="236"/>
      <c r="L305" s="236"/>
      <c r="M305" s="236"/>
      <c r="N305" s="236"/>
      <c r="O305" s="236"/>
      <c r="P305" s="236"/>
      <c r="Q305" s="236"/>
      <c r="R305" s="236"/>
    </row>
    <row r="306">
      <c r="A306" s="236"/>
      <c r="B306" s="236"/>
      <c r="C306" s="236"/>
      <c r="D306" s="236"/>
      <c r="E306" s="236"/>
      <c r="F306" s="367"/>
      <c r="G306" s="236"/>
      <c r="H306" s="236"/>
      <c r="I306" s="236"/>
      <c r="J306" s="236"/>
      <c r="K306" s="236"/>
      <c r="L306" s="236"/>
      <c r="M306" s="236"/>
      <c r="N306" s="236"/>
      <c r="O306" s="236"/>
      <c r="P306" s="236"/>
      <c r="Q306" s="236"/>
      <c r="R306" s="236"/>
    </row>
    <row r="307">
      <c r="A307" s="236"/>
      <c r="B307" s="236"/>
      <c r="C307" s="236"/>
      <c r="D307" s="236"/>
      <c r="E307" s="236"/>
      <c r="F307" s="367"/>
      <c r="G307" s="236"/>
      <c r="H307" s="236"/>
      <c r="I307" s="236"/>
      <c r="J307" s="236"/>
      <c r="K307" s="236"/>
      <c r="L307" s="236"/>
      <c r="M307" s="236"/>
      <c r="N307" s="236"/>
      <c r="O307" s="236"/>
      <c r="P307" s="236"/>
      <c r="Q307" s="236"/>
      <c r="R307" s="236"/>
    </row>
    <row r="308">
      <c r="A308" s="236"/>
      <c r="B308" s="236"/>
      <c r="C308" s="236"/>
      <c r="D308" s="236"/>
      <c r="E308" s="236"/>
      <c r="F308" s="367"/>
      <c r="G308" s="236"/>
      <c r="H308" s="236"/>
      <c r="I308" s="236"/>
      <c r="J308" s="236"/>
      <c r="K308" s="236"/>
      <c r="L308" s="236"/>
      <c r="M308" s="236"/>
      <c r="N308" s="236"/>
      <c r="O308" s="236"/>
      <c r="P308" s="236"/>
      <c r="Q308" s="236"/>
      <c r="R308" s="236"/>
    </row>
    <row r="309">
      <c r="A309" s="236"/>
      <c r="B309" s="236"/>
      <c r="C309" s="236"/>
      <c r="D309" s="236"/>
      <c r="E309" s="236"/>
      <c r="F309" s="367"/>
      <c r="G309" s="236"/>
      <c r="H309" s="236"/>
      <c r="I309" s="236"/>
      <c r="J309" s="236"/>
      <c r="K309" s="236"/>
      <c r="L309" s="236"/>
      <c r="M309" s="236"/>
      <c r="N309" s="236"/>
      <c r="O309" s="236"/>
      <c r="P309" s="236"/>
      <c r="Q309" s="236"/>
      <c r="R309" s="236"/>
    </row>
    <row r="310">
      <c r="A310" s="236"/>
      <c r="B310" s="236"/>
      <c r="C310" s="236"/>
      <c r="D310" s="236"/>
      <c r="E310" s="236"/>
      <c r="F310" s="367"/>
      <c r="G310" s="236"/>
      <c r="H310" s="236"/>
      <c r="I310" s="236"/>
      <c r="J310" s="236"/>
      <c r="K310" s="236"/>
      <c r="L310" s="236"/>
      <c r="M310" s="236"/>
      <c r="N310" s="236"/>
      <c r="O310" s="236"/>
      <c r="P310" s="236"/>
      <c r="Q310" s="236"/>
      <c r="R310" s="236"/>
    </row>
    <row r="311">
      <c r="A311" s="236"/>
      <c r="B311" s="236"/>
      <c r="C311" s="236"/>
      <c r="D311" s="236"/>
      <c r="E311" s="236"/>
      <c r="F311" s="367"/>
      <c r="G311" s="236"/>
      <c r="H311" s="236"/>
      <c r="I311" s="236"/>
      <c r="J311" s="236"/>
      <c r="K311" s="236"/>
      <c r="L311" s="236"/>
      <c r="M311" s="236"/>
      <c r="N311" s="236"/>
      <c r="O311" s="236"/>
      <c r="P311" s="236"/>
      <c r="Q311" s="236"/>
      <c r="R311" s="236"/>
    </row>
    <row r="312">
      <c r="A312" s="236"/>
      <c r="B312" s="236"/>
      <c r="C312" s="236"/>
      <c r="D312" s="236"/>
      <c r="E312" s="236"/>
      <c r="F312" s="367"/>
      <c r="G312" s="236"/>
      <c r="H312" s="236"/>
      <c r="I312" s="236"/>
      <c r="J312" s="236"/>
      <c r="K312" s="236"/>
      <c r="L312" s="236"/>
      <c r="M312" s="236"/>
      <c r="N312" s="236"/>
      <c r="O312" s="236"/>
      <c r="P312" s="236"/>
      <c r="Q312" s="236"/>
      <c r="R312" s="236"/>
    </row>
    <row r="313">
      <c r="A313" s="236"/>
      <c r="B313" s="236"/>
      <c r="C313" s="236"/>
      <c r="D313" s="236"/>
      <c r="E313" s="236"/>
      <c r="F313" s="367"/>
      <c r="G313" s="236"/>
      <c r="H313" s="236"/>
      <c r="I313" s="236"/>
      <c r="J313" s="236"/>
      <c r="K313" s="236"/>
      <c r="L313" s="236"/>
      <c r="M313" s="236"/>
      <c r="N313" s="236"/>
      <c r="O313" s="236"/>
      <c r="P313" s="236"/>
      <c r="Q313" s="236"/>
      <c r="R313" s="236"/>
    </row>
    <row r="314">
      <c r="A314" s="236"/>
      <c r="B314" s="236"/>
      <c r="C314" s="236"/>
      <c r="D314" s="236"/>
      <c r="E314" s="236"/>
      <c r="F314" s="367"/>
      <c r="G314" s="236"/>
      <c r="H314" s="236"/>
      <c r="I314" s="236"/>
      <c r="J314" s="236"/>
      <c r="K314" s="236"/>
      <c r="L314" s="236"/>
      <c r="M314" s="236"/>
      <c r="N314" s="236"/>
      <c r="O314" s="236"/>
      <c r="P314" s="236"/>
      <c r="Q314" s="236"/>
      <c r="R314" s="236"/>
    </row>
    <row r="315">
      <c r="A315" s="236"/>
      <c r="B315" s="236"/>
      <c r="C315" s="236"/>
      <c r="D315" s="236"/>
      <c r="E315" s="236"/>
      <c r="F315" s="367"/>
      <c r="G315" s="236"/>
      <c r="H315" s="236"/>
      <c r="I315" s="236"/>
      <c r="J315" s="236"/>
      <c r="K315" s="236"/>
      <c r="L315" s="236"/>
      <c r="M315" s="236"/>
      <c r="N315" s="236"/>
      <c r="O315" s="236"/>
      <c r="P315" s="236"/>
      <c r="Q315" s="236"/>
      <c r="R315" s="236"/>
    </row>
    <row r="316">
      <c r="A316" s="236"/>
      <c r="B316" s="236"/>
      <c r="C316" s="236"/>
      <c r="D316" s="236"/>
      <c r="E316" s="236"/>
      <c r="F316" s="367"/>
      <c r="G316" s="236"/>
      <c r="H316" s="236"/>
      <c r="I316" s="236"/>
      <c r="J316" s="236"/>
      <c r="K316" s="236"/>
      <c r="L316" s="236"/>
      <c r="M316" s="236"/>
      <c r="N316" s="236"/>
      <c r="O316" s="236"/>
      <c r="P316" s="236"/>
      <c r="Q316" s="236"/>
      <c r="R316" s="236"/>
    </row>
    <row r="317">
      <c r="A317" s="236"/>
      <c r="B317" s="236"/>
      <c r="C317" s="236"/>
      <c r="D317" s="236"/>
      <c r="E317" s="236"/>
      <c r="F317" s="367"/>
      <c r="G317" s="236"/>
      <c r="H317" s="236"/>
      <c r="I317" s="236"/>
      <c r="J317" s="236"/>
      <c r="K317" s="236"/>
      <c r="L317" s="236"/>
      <c r="M317" s="236"/>
      <c r="N317" s="236"/>
      <c r="O317" s="236"/>
      <c r="P317" s="236"/>
      <c r="Q317" s="236"/>
      <c r="R317" s="236"/>
    </row>
    <row r="318">
      <c r="A318" s="236"/>
      <c r="B318" s="236"/>
      <c r="C318" s="236"/>
      <c r="D318" s="236"/>
      <c r="E318" s="236"/>
      <c r="F318" s="367"/>
      <c r="G318" s="236"/>
      <c r="H318" s="236"/>
      <c r="I318" s="236"/>
      <c r="J318" s="236"/>
      <c r="K318" s="236"/>
      <c r="L318" s="236"/>
      <c r="M318" s="236"/>
      <c r="N318" s="236"/>
      <c r="O318" s="236"/>
      <c r="P318" s="236"/>
      <c r="Q318" s="236"/>
      <c r="R318" s="236"/>
    </row>
    <row r="319">
      <c r="A319" s="236"/>
      <c r="B319" s="236"/>
      <c r="C319" s="236"/>
      <c r="D319" s="236"/>
      <c r="E319" s="236"/>
      <c r="F319" s="367"/>
      <c r="G319" s="236"/>
      <c r="H319" s="236"/>
      <c r="I319" s="236"/>
      <c r="J319" s="236"/>
      <c r="K319" s="236"/>
      <c r="L319" s="236"/>
      <c r="M319" s="236"/>
      <c r="N319" s="236"/>
      <c r="O319" s="236"/>
      <c r="P319" s="236"/>
      <c r="Q319" s="236"/>
      <c r="R319" s="236"/>
    </row>
    <row r="320">
      <c r="A320" s="236"/>
      <c r="B320" s="236"/>
      <c r="C320" s="236"/>
      <c r="D320" s="236"/>
      <c r="E320" s="236"/>
      <c r="F320" s="367"/>
      <c r="G320" s="236"/>
      <c r="H320" s="236"/>
      <c r="I320" s="236"/>
      <c r="J320" s="236"/>
      <c r="K320" s="236"/>
      <c r="L320" s="236"/>
      <c r="M320" s="236"/>
      <c r="N320" s="236"/>
      <c r="O320" s="236"/>
      <c r="P320" s="236"/>
      <c r="Q320" s="236"/>
      <c r="R320" s="236"/>
    </row>
    <row r="321">
      <c r="A321" s="236"/>
      <c r="B321" s="236"/>
      <c r="C321" s="236"/>
      <c r="D321" s="236"/>
      <c r="E321" s="236"/>
      <c r="F321" s="367"/>
      <c r="G321" s="236"/>
      <c r="H321" s="236"/>
      <c r="I321" s="236"/>
      <c r="J321" s="236"/>
      <c r="K321" s="236"/>
      <c r="L321" s="236"/>
      <c r="M321" s="236"/>
      <c r="N321" s="236"/>
      <c r="O321" s="236"/>
      <c r="P321" s="236"/>
      <c r="Q321" s="236"/>
      <c r="R321" s="236"/>
    </row>
    <row r="322">
      <c r="A322" s="236"/>
      <c r="B322" s="236"/>
      <c r="C322" s="236"/>
      <c r="D322" s="236"/>
      <c r="E322" s="236"/>
      <c r="F322" s="367"/>
      <c r="G322" s="236"/>
      <c r="H322" s="236"/>
      <c r="I322" s="236"/>
      <c r="J322" s="236"/>
      <c r="K322" s="236"/>
      <c r="L322" s="236"/>
      <c r="M322" s="236"/>
      <c r="N322" s="236"/>
      <c r="O322" s="236"/>
      <c r="P322" s="236"/>
      <c r="Q322" s="236"/>
      <c r="R322" s="236"/>
    </row>
    <row r="323">
      <c r="A323" s="236"/>
      <c r="B323" s="236"/>
      <c r="C323" s="236"/>
      <c r="D323" s="236"/>
      <c r="E323" s="236"/>
      <c r="F323" s="367"/>
      <c r="G323" s="236"/>
      <c r="H323" s="236"/>
      <c r="I323" s="236"/>
      <c r="J323" s="236"/>
      <c r="K323" s="236"/>
      <c r="L323" s="236"/>
      <c r="M323" s="236"/>
      <c r="N323" s="236"/>
      <c r="O323" s="236"/>
      <c r="P323" s="236"/>
      <c r="Q323" s="236"/>
      <c r="R323" s="236"/>
    </row>
    <row r="324">
      <c r="A324" s="236"/>
      <c r="B324" s="236"/>
      <c r="C324" s="236"/>
      <c r="D324" s="236"/>
      <c r="E324" s="236"/>
      <c r="F324" s="367"/>
      <c r="G324" s="236"/>
      <c r="H324" s="236"/>
      <c r="I324" s="236"/>
      <c r="J324" s="236"/>
      <c r="K324" s="236"/>
      <c r="L324" s="236"/>
      <c r="M324" s="236"/>
      <c r="N324" s="236"/>
      <c r="O324" s="236"/>
      <c r="P324" s="236"/>
      <c r="Q324" s="236"/>
      <c r="R324" s="236"/>
    </row>
    <row r="325">
      <c r="A325" s="236"/>
      <c r="B325" s="236"/>
      <c r="C325" s="236"/>
      <c r="D325" s="236"/>
      <c r="E325" s="236"/>
      <c r="F325" s="367"/>
      <c r="G325" s="236"/>
      <c r="H325" s="236"/>
      <c r="I325" s="236"/>
      <c r="J325" s="236"/>
      <c r="K325" s="236"/>
      <c r="L325" s="236"/>
      <c r="M325" s="236"/>
      <c r="N325" s="236"/>
      <c r="O325" s="236"/>
      <c r="P325" s="236"/>
      <c r="Q325" s="236"/>
      <c r="R325" s="236"/>
    </row>
    <row r="326">
      <c r="A326" s="236"/>
      <c r="B326" s="236"/>
      <c r="C326" s="236"/>
      <c r="D326" s="236"/>
      <c r="E326" s="236"/>
      <c r="F326" s="367"/>
      <c r="G326" s="236"/>
      <c r="H326" s="236"/>
      <c r="I326" s="236"/>
      <c r="J326" s="236"/>
      <c r="K326" s="236"/>
      <c r="L326" s="236"/>
      <c r="M326" s="236"/>
      <c r="N326" s="236"/>
      <c r="O326" s="236"/>
      <c r="P326" s="236"/>
      <c r="Q326" s="236"/>
      <c r="R326" s="236"/>
    </row>
    <row r="327">
      <c r="A327" s="236"/>
      <c r="B327" s="236"/>
      <c r="C327" s="236"/>
      <c r="D327" s="236"/>
      <c r="E327" s="236"/>
      <c r="F327" s="367"/>
      <c r="G327" s="236"/>
      <c r="H327" s="236"/>
      <c r="I327" s="236"/>
      <c r="J327" s="236"/>
      <c r="K327" s="236"/>
      <c r="L327" s="236"/>
      <c r="M327" s="236"/>
      <c r="N327" s="236"/>
      <c r="O327" s="236"/>
      <c r="P327" s="236"/>
      <c r="Q327" s="236"/>
      <c r="R327" s="236"/>
    </row>
    <row r="328">
      <c r="A328" s="236"/>
      <c r="B328" s="236"/>
      <c r="C328" s="236"/>
      <c r="D328" s="236"/>
      <c r="E328" s="236"/>
      <c r="F328" s="367"/>
      <c r="G328" s="236"/>
      <c r="H328" s="236"/>
      <c r="I328" s="236"/>
      <c r="J328" s="236"/>
      <c r="K328" s="236"/>
      <c r="L328" s="236"/>
      <c r="M328" s="236"/>
      <c r="N328" s="236"/>
      <c r="O328" s="236"/>
      <c r="P328" s="236"/>
      <c r="Q328" s="236"/>
      <c r="R328" s="236"/>
    </row>
    <row r="329">
      <c r="A329" s="236"/>
      <c r="B329" s="236"/>
      <c r="C329" s="236"/>
      <c r="D329" s="236"/>
      <c r="E329" s="236"/>
      <c r="F329" s="367"/>
      <c r="G329" s="236"/>
      <c r="H329" s="236"/>
      <c r="I329" s="236"/>
      <c r="J329" s="236"/>
      <c r="K329" s="236"/>
      <c r="L329" s="236"/>
      <c r="M329" s="236"/>
      <c r="N329" s="236"/>
      <c r="O329" s="236"/>
      <c r="P329" s="236"/>
      <c r="Q329" s="236"/>
      <c r="R329" s="236"/>
    </row>
    <row r="330">
      <c r="A330" s="236"/>
      <c r="B330" s="236"/>
      <c r="C330" s="236"/>
      <c r="D330" s="236"/>
      <c r="E330" s="236"/>
      <c r="F330" s="367"/>
      <c r="G330" s="236"/>
      <c r="H330" s="236"/>
      <c r="I330" s="236"/>
      <c r="J330" s="236"/>
      <c r="K330" s="236"/>
      <c r="L330" s="236"/>
      <c r="M330" s="236"/>
      <c r="N330" s="236"/>
      <c r="O330" s="236"/>
      <c r="P330" s="236"/>
      <c r="Q330" s="236"/>
      <c r="R330" s="236"/>
    </row>
    <row r="331">
      <c r="A331" s="236"/>
      <c r="B331" s="236"/>
      <c r="C331" s="236"/>
      <c r="D331" s="236"/>
      <c r="E331" s="236"/>
      <c r="F331" s="367"/>
      <c r="G331" s="236"/>
      <c r="H331" s="236"/>
      <c r="I331" s="236"/>
      <c r="J331" s="236"/>
      <c r="K331" s="236"/>
      <c r="L331" s="236"/>
      <c r="M331" s="236"/>
      <c r="N331" s="236"/>
      <c r="O331" s="236"/>
      <c r="P331" s="236"/>
      <c r="Q331" s="236"/>
      <c r="R331" s="236"/>
    </row>
    <row r="332">
      <c r="A332" s="236"/>
      <c r="B332" s="236"/>
      <c r="C332" s="236"/>
      <c r="D332" s="236"/>
      <c r="E332" s="236"/>
      <c r="F332" s="367"/>
      <c r="G332" s="236"/>
      <c r="H332" s="236"/>
      <c r="I332" s="236"/>
      <c r="J332" s="236"/>
      <c r="K332" s="236"/>
      <c r="L332" s="236"/>
      <c r="M332" s="236"/>
      <c r="N332" s="236"/>
      <c r="O332" s="236"/>
      <c r="P332" s="236"/>
      <c r="Q332" s="236"/>
      <c r="R332" s="236"/>
    </row>
    <row r="333">
      <c r="A333" s="236"/>
      <c r="B333" s="236"/>
      <c r="C333" s="236"/>
      <c r="D333" s="236"/>
      <c r="E333" s="236"/>
      <c r="F333" s="367"/>
      <c r="G333" s="236"/>
      <c r="H333" s="236"/>
      <c r="I333" s="236"/>
      <c r="J333" s="236"/>
      <c r="K333" s="236"/>
      <c r="L333" s="236"/>
      <c r="M333" s="236"/>
      <c r="N333" s="236"/>
      <c r="O333" s="236"/>
      <c r="P333" s="236"/>
      <c r="Q333" s="236"/>
      <c r="R333" s="236"/>
    </row>
    <row r="334">
      <c r="A334" s="236"/>
      <c r="B334" s="236"/>
      <c r="C334" s="236"/>
      <c r="D334" s="236"/>
      <c r="E334" s="236"/>
      <c r="F334" s="367"/>
      <c r="G334" s="236"/>
      <c r="H334" s="236"/>
      <c r="I334" s="236"/>
      <c r="J334" s="236"/>
      <c r="K334" s="236"/>
      <c r="L334" s="236"/>
      <c r="M334" s="236"/>
      <c r="N334" s="236"/>
      <c r="O334" s="236"/>
      <c r="P334" s="236"/>
      <c r="Q334" s="236"/>
      <c r="R334" s="236"/>
    </row>
    <row r="335">
      <c r="A335" s="236"/>
      <c r="B335" s="236"/>
      <c r="C335" s="236"/>
      <c r="D335" s="236"/>
      <c r="E335" s="236"/>
      <c r="F335" s="367"/>
      <c r="G335" s="236"/>
      <c r="H335" s="236"/>
      <c r="I335" s="236"/>
      <c r="J335" s="236"/>
      <c r="K335" s="236"/>
      <c r="L335" s="236"/>
      <c r="M335" s="236"/>
      <c r="N335" s="236"/>
      <c r="O335" s="236"/>
      <c r="P335" s="236"/>
      <c r="Q335" s="236"/>
      <c r="R335" s="236"/>
    </row>
    <row r="336">
      <c r="A336" s="236"/>
      <c r="B336" s="236"/>
      <c r="C336" s="236"/>
      <c r="D336" s="236"/>
      <c r="E336" s="236"/>
      <c r="F336" s="367"/>
      <c r="G336" s="236"/>
      <c r="H336" s="236"/>
      <c r="I336" s="236"/>
      <c r="J336" s="236"/>
      <c r="K336" s="236"/>
      <c r="L336" s="236"/>
      <c r="M336" s="236"/>
      <c r="N336" s="236"/>
      <c r="O336" s="236"/>
      <c r="P336" s="236"/>
      <c r="Q336" s="236"/>
      <c r="R336" s="236"/>
    </row>
    <row r="337">
      <c r="A337" s="236"/>
      <c r="B337" s="236"/>
      <c r="C337" s="236"/>
      <c r="D337" s="236"/>
      <c r="E337" s="236"/>
      <c r="F337" s="367"/>
      <c r="G337" s="236"/>
      <c r="H337" s="236"/>
      <c r="I337" s="236"/>
      <c r="J337" s="236"/>
      <c r="K337" s="236"/>
      <c r="L337" s="236"/>
      <c r="M337" s="236"/>
      <c r="N337" s="236"/>
      <c r="O337" s="236"/>
      <c r="P337" s="236"/>
      <c r="Q337" s="236"/>
      <c r="R337" s="236"/>
    </row>
    <row r="338">
      <c r="A338" s="236"/>
      <c r="B338" s="236"/>
      <c r="C338" s="236"/>
      <c r="D338" s="236"/>
      <c r="E338" s="236"/>
      <c r="F338" s="367"/>
      <c r="G338" s="236"/>
      <c r="H338" s="236"/>
      <c r="I338" s="236"/>
      <c r="J338" s="236"/>
      <c r="K338" s="236"/>
      <c r="L338" s="236"/>
      <c r="M338" s="236"/>
      <c r="N338" s="236"/>
      <c r="O338" s="236"/>
      <c r="P338" s="236"/>
      <c r="Q338" s="236"/>
      <c r="R338" s="236"/>
    </row>
    <row r="339">
      <c r="A339" s="236"/>
      <c r="B339" s="236"/>
      <c r="C339" s="236"/>
      <c r="D339" s="236"/>
      <c r="E339" s="236"/>
      <c r="F339" s="367"/>
      <c r="G339" s="236"/>
      <c r="H339" s="236"/>
      <c r="I339" s="236"/>
      <c r="J339" s="236"/>
      <c r="K339" s="236"/>
      <c r="L339" s="236"/>
      <c r="M339" s="236"/>
      <c r="N339" s="236"/>
      <c r="O339" s="236"/>
      <c r="P339" s="236"/>
      <c r="Q339" s="236"/>
      <c r="R339" s="236"/>
    </row>
    <row r="340">
      <c r="A340" s="236"/>
      <c r="B340" s="236"/>
      <c r="C340" s="236"/>
      <c r="D340" s="236"/>
      <c r="E340" s="236"/>
      <c r="F340" s="367"/>
      <c r="G340" s="236"/>
      <c r="H340" s="236"/>
      <c r="I340" s="236"/>
      <c r="J340" s="236"/>
      <c r="K340" s="236"/>
      <c r="L340" s="236"/>
      <c r="M340" s="236"/>
      <c r="N340" s="236"/>
      <c r="O340" s="236"/>
      <c r="P340" s="236"/>
      <c r="Q340" s="236"/>
      <c r="R340" s="236"/>
    </row>
    <row r="341">
      <c r="A341" s="236"/>
      <c r="B341" s="236"/>
      <c r="C341" s="236"/>
      <c r="D341" s="236"/>
      <c r="E341" s="236"/>
      <c r="F341" s="367"/>
      <c r="G341" s="236"/>
      <c r="H341" s="236"/>
      <c r="I341" s="236"/>
      <c r="J341" s="236"/>
      <c r="K341" s="236"/>
      <c r="L341" s="236"/>
      <c r="M341" s="236"/>
      <c r="N341" s="236"/>
      <c r="O341" s="236"/>
      <c r="P341" s="236"/>
      <c r="Q341" s="236"/>
      <c r="R341" s="236"/>
    </row>
    <row r="342">
      <c r="A342" s="236"/>
      <c r="B342" s="236"/>
      <c r="C342" s="236"/>
      <c r="D342" s="236"/>
      <c r="E342" s="236"/>
      <c r="F342" s="367"/>
      <c r="G342" s="236"/>
      <c r="H342" s="236"/>
      <c r="I342" s="236"/>
      <c r="J342" s="236"/>
      <c r="K342" s="236"/>
      <c r="L342" s="236"/>
      <c r="M342" s="236"/>
      <c r="N342" s="236"/>
      <c r="O342" s="236"/>
      <c r="P342" s="236"/>
      <c r="Q342" s="236"/>
      <c r="R342" s="236"/>
    </row>
    <row r="343">
      <c r="A343" s="236"/>
      <c r="B343" s="236"/>
      <c r="C343" s="236"/>
      <c r="D343" s="236"/>
      <c r="E343" s="236"/>
      <c r="F343" s="367"/>
      <c r="G343" s="236"/>
      <c r="H343" s="236"/>
      <c r="I343" s="236"/>
      <c r="J343" s="236"/>
      <c r="K343" s="236"/>
      <c r="L343" s="236"/>
      <c r="M343" s="236"/>
      <c r="N343" s="236"/>
      <c r="O343" s="236"/>
      <c r="P343" s="236"/>
      <c r="Q343" s="236"/>
      <c r="R343" s="236"/>
    </row>
    <row r="344">
      <c r="A344" s="236"/>
      <c r="B344" s="236"/>
      <c r="C344" s="236"/>
      <c r="D344" s="236"/>
      <c r="E344" s="236"/>
      <c r="F344" s="367"/>
      <c r="G344" s="236"/>
      <c r="H344" s="236"/>
      <c r="I344" s="236"/>
      <c r="J344" s="236"/>
      <c r="K344" s="236"/>
      <c r="L344" s="236"/>
      <c r="M344" s="236"/>
      <c r="N344" s="236"/>
      <c r="O344" s="236"/>
      <c r="P344" s="236"/>
      <c r="Q344" s="236"/>
      <c r="R344" s="236"/>
    </row>
    <row r="345">
      <c r="A345" s="236"/>
      <c r="B345" s="236"/>
      <c r="C345" s="236"/>
      <c r="D345" s="236"/>
      <c r="E345" s="236"/>
      <c r="F345" s="367"/>
      <c r="G345" s="236"/>
      <c r="H345" s="236"/>
      <c r="I345" s="236"/>
      <c r="J345" s="236"/>
      <c r="K345" s="236"/>
      <c r="L345" s="236"/>
      <c r="M345" s="236"/>
      <c r="N345" s="236"/>
      <c r="O345" s="236"/>
      <c r="P345" s="236"/>
      <c r="Q345" s="236"/>
      <c r="R345" s="236"/>
    </row>
    <row r="346">
      <c r="A346" s="236"/>
      <c r="B346" s="236"/>
      <c r="C346" s="236"/>
      <c r="D346" s="236"/>
      <c r="E346" s="236"/>
      <c r="F346" s="367"/>
      <c r="G346" s="236"/>
      <c r="H346" s="236"/>
      <c r="I346" s="236"/>
      <c r="J346" s="236"/>
      <c r="K346" s="236"/>
      <c r="L346" s="236"/>
      <c r="M346" s="236"/>
      <c r="N346" s="236"/>
      <c r="O346" s="236"/>
      <c r="P346" s="236"/>
      <c r="Q346" s="236"/>
      <c r="R346" s="236"/>
    </row>
    <row r="347">
      <c r="A347" s="236"/>
      <c r="B347" s="236"/>
      <c r="C347" s="236"/>
      <c r="D347" s="236"/>
      <c r="E347" s="236"/>
      <c r="F347" s="367"/>
      <c r="G347" s="236"/>
      <c r="H347" s="236"/>
      <c r="I347" s="236"/>
      <c r="J347" s="236"/>
      <c r="K347" s="236"/>
      <c r="L347" s="236"/>
      <c r="M347" s="236"/>
      <c r="N347" s="236"/>
      <c r="O347" s="236"/>
      <c r="P347" s="236"/>
      <c r="Q347" s="236"/>
      <c r="R347" s="236"/>
    </row>
    <row r="348">
      <c r="A348" s="236"/>
      <c r="B348" s="236"/>
      <c r="C348" s="236"/>
      <c r="D348" s="236"/>
      <c r="E348" s="236"/>
      <c r="F348" s="367"/>
      <c r="G348" s="236"/>
      <c r="H348" s="236"/>
      <c r="I348" s="236"/>
      <c r="J348" s="236"/>
      <c r="K348" s="236"/>
      <c r="L348" s="236"/>
      <c r="M348" s="236"/>
      <c r="N348" s="236"/>
      <c r="O348" s="236"/>
      <c r="P348" s="236"/>
      <c r="Q348" s="236"/>
      <c r="R348" s="236"/>
    </row>
    <row r="349">
      <c r="A349" s="236"/>
      <c r="B349" s="236"/>
      <c r="C349" s="236"/>
      <c r="D349" s="236"/>
      <c r="E349" s="236"/>
      <c r="F349" s="367"/>
      <c r="G349" s="236"/>
      <c r="H349" s="236"/>
      <c r="I349" s="236"/>
      <c r="J349" s="236"/>
      <c r="K349" s="236"/>
      <c r="L349" s="236"/>
      <c r="M349" s="236"/>
      <c r="N349" s="236"/>
      <c r="O349" s="236"/>
      <c r="P349" s="236"/>
      <c r="Q349" s="236"/>
      <c r="R349" s="236"/>
    </row>
    <row r="350">
      <c r="A350" s="236"/>
      <c r="B350" s="236"/>
      <c r="C350" s="236"/>
      <c r="D350" s="236"/>
      <c r="E350" s="236"/>
      <c r="F350" s="367"/>
      <c r="G350" s="236"/>
      <c r="H350" s="236"/>
      <c r="I350" s="236"/>
      <c r="J350" s="236"/>
      <c r="K350" s="236"/>
      <c r="L350" s="236"/>
      <c r="M350" s="236"/>
      <c r="N350" s="236"/>
      <c r="O350" s="236"/>
      <c r="P350" s="236"/>
      <c r="Q350" s="236"/>
      <c r="R350" s="236"/>
    </row>
    <row r="351">
      <c r="A351" s="236"/>
      <c r="B351" s="236"/>
      <c r="C351" s="236"/>
      <c r="D351" s="236"/>
      <c r="E351" s="236"/>
      <c r="F351" s="367"/>
      <c r="G351" s="236"/>
      <c r="H351" s="236"/>
      <c r="I351" s="236"/>
      <c r="J351" s="236"/>
      <c r="K351" s="236"/>
      <c r="L351" s="236"/>
      <c r="M351" s="236"/>
      <c r="N351" s="236"/>
      <c r="O351" s="236"/>
      <c r="P351" s="236"/>
      <c r="Q351" s="236"/>
      <c r="R351" s="236"/>
    </row>
    <row r="352">
      <c r="A352" s="236"/>
      <c r="B352" s="236"/>
      <c r="C352" s="236"/>
      <c r="D352" s="236"/>
      <c r="E352" s="236"/>
      <c r="F352" s="367"/>
      <c r="G352" s="236"/>
      <c r="H352" s="236"/>
      <c r="I352" s="236"/>
      <c r="J352" s="236"/>
      <c r="K352" s="236"/>
      <c r="L352" s="236"/>
      <c r="M352" s="236"/>
      <c r="N352" s="236"/>
      <c r="O352" s="236"/>
      <c r="P352" s="236"/>
      <c r="Q352" s="236"/>
      <c r="R352" s="236"/>
    </row>
    <row r="353">
      <c r="A353" s="236"/>
      <c r="B353" s="236"/>
      <c r="C353" s="236"/>
      <c r="D353" s="236"/>
      <c r="E353" s="236"/>
      <c r="F353" s="367"/>
      <c r="G353" s="236"/>
      <c r="H353" s="236"/>
      <c r="I353" s="236"/>
      <c r="J353" s="236"/>
      <c r="K353" s="236"/>
      <c r="L353" s="236"/>
      <c r="M353" s="236"/>
      <c r="N353" s="236"/>
      <c r="O353" s="236"/>
      <c r="P353" s="236"/>
      <c r="Q353" s="236"/>
      <c r="R353" s="236"/>
    </row>
    <row r="354">
      <c r="A354" s="236"/>
      <c r="B354" s="236"/>
      <c r="C354" s="236"/>
      <c r="D354" s="236"/>
      <c r="E354" s="236"/>
      <c r="F354" s="367"/>
      <c r="G354" s="236"/>
      <c r="H354" s="236"/>
      <c r="I354" s="236"/>
      <c r="J354" s="236"/>
      <c r="K354" s="236"/>
      <c r="L354" s="236"/>
      <c r="M354" s="236"/>
      <c r="N354" s="236"/>
      <c r="O354" s="236"/>
      <c r="P354" s="236"/>
      <c r="Q354" s="236"/>
      <c r="R354" s="236"/>
    </row>
    <row r="355">
      <c r="A355" s="236"/>
      <c r="B355" s="236"/>
      <c r="C355" s="236"/>
      <c r="D355" s="236"/>
      <c r="E355" s="236"/>
      <c r="F355" s="367"/>
      <c r="G355" s="236"/>
      <c r="H355" s="236"/>
      <c r="I355" s="236"/>
      <c r="J355" s="236"/>
      <c r="K355" s="236"/>
      <c r="L355" s="236"/>
      <c r="M355" s="236"/>
      <c r="N355" s="236"/>
      <c r="O355" s="236"/>
      <c r="P355" s="236"/>
      <c r="Q355" s="236"/>
      <c r="R355" s="236"/>
    </row>
    <row r="356">
      <c r="A356" s="236"/>
      <c r="B356" s="236"/>
      <c r="C356" s="236"/>
      <c r="D356" s="236"/>
      <c r="E356" s="236"/>
      <c r="F356" s="367"/>
      <c r="G356" s="236"/>
      <c r="H356" s="236"/>
      <c r="I356" s="236"/>
      <c r="J356" s="236"/>
      <c r="K356" s="236"/>
      <c r="L356" s="236"/>
      <c r="M356" s="236"/>
      <c r="N356" s="236"/>
      <c r="O356" s="236"/>
      <c r="P356" s="236"/>
      <c r="Q356" s="236"/>
      <c r="R356" s="236"/>
    </row>
    <row r="357">
      <c r="A357" s="236"/>
      <c r="B357" s="236"/>
      <c r="C357" s="236"/>
      <c r="D357" s="236"/>
      <c r="E357" s="236"/>
      <c r="F357" s="367"/>
      <c r="G357" s="236"/>
      <c r="H357" s="236"/>
      <c r="I357" s="236"/>
      <c r="J357" s="236"/>
      <c r="K357" s="236"/>
      <c r="L357" s="236"/>
      <c r="M357" s="236"/>
      <c r="N357" s="236"/>
      <c r="O357" s="236"/>
      <c r="P357" s="236"/>
      <c r="Q357" s="236"/>
      <c r="R357" s="236"/>
    </row>
    <row r="358">
      <c r="A358" s="236"/>
      <c r="B358" s="236"/>
      <c r="C358" s="236"/>
      <c r="D358" s="236"/>
      <c r="E358" s="236"/>
      <c r="F358" s="367"/>
      <c r="G358" s="236"/>
      <c r="H358" s="236"/>
      <c r="I358" s="236"/>
      <c r="J358" s="236"/>
      <c r="K358" s="236"/>
      <c r="L358" s="236"/>
      <c r="M358" s="236"/>
      <c r="N358" s="236"/>
      <c r="O358" s="236"/>
      <c r="P358" s="236"/>
      <c r="Q358" s="236"/>
      <c r="R358" s="236"/>
    </row>
    <row r="359">
      <c r="A359" s="236"/>
      <c r="B359" s="236"/>
      <c r="C359" s="236"/>
      <c r="D359" s="236"/>
      <c r="E359" s="236"/>
      <c r="F359" s="367"/>
      <c r="G359" s="236"/>
      <c r="H359" s="236"/>
      <c r="I359" s="236"/>
      <c r="J359" s="236"/>
      <c r="K359" s="236"/>
      <c r="L359" s="236"/>
      <c r="M359" s="236"/>
      <c r="N359" s="236"/>
      <c r="O359" s="236"/>
      <c r="P359" s="236"/>
      <c r="Q359" s="236"/>
      <c r="R359" s="236"/>
    </row>
    <row r="360">
      <c r="A360" s="236"/>
      <c r="B360" s="236"/>
      <c r="C360" s="236"/>
      <c r="D360" s="236"/>
      <c r="E360" s="236"/>
      <c r="F360" s="367"/>
      <c r="G360" s="236"/>
      <c r="H360" s="236"/>
      <c r="I360" s="236"/>
      <c r="J360" s="236"/>
      <c r="K360" s="236"/>
      <c r="L360" s="236"/>
      <c r="M360" s="236"/>
      <c r="N360" s="236"/>
      <c r="O360" s="236"/>
      <c r="P360" s="236"/>
      <c r="Q360" s="236"/>
      <c r="R360" s="236"/>
    </row>
    <row r="361">
      <c r="A361" s="236"/>
      <c r="B361" s="236"/>
      <c r="C361" s="236"/>
      <c r="D361" s="236"/>
      <c r="E361" s="236"/>
      <c r="F361" s="367"/>
      <c r="G361" s="236"/>
      <c r="H361" s="236"/>
      <c r="I361" s="236"/>
      <c r="J361" s="236"/>
      <c r="K361" s="236"/>
      <c r="L361" s="236"/>
      <c r="M361" s="236"/>
      <c r="N361" s="236"/>
      <c r="O361" s="236"/>
      <c r="P361" s="236"/>
      <c r="Q361" s="236"/>
      <c r="R361" s="236"/>
    </row>
    <row r="362">
      <c r="A362" s="236"/>
      <c r="B362" s="236"/>
      <c r="C362" s="236"/>
      <c r="D362" s="236"/>
      <c r="E362" s="236"/>
      <c r="F362" s="367"/>
      <c r="G362" s="236"/>
      <c r="H362" s="236"/>
      <c r="I362" s="236"/>
      <c r="J362" s="236"/>
      <c r="K362" s="236"/>
      <c r="L362" s="236"/>
      <c r="M362" s="236"/>
      <c r="N362" s="236"/>
      <c r="O362" s="236"/>
      <c r="P362" s="236"/>
      <c r="Q362" s="236"/>
      <c r="R362" s="236"/>
    </row>
    <row r="363">
      <c r="A363" s="236"/>
      <c r="B363" s="236"/>
      <c r="C363" s="236"/>
      <c r="D363" s="236"/>
      <c r="E363" s="236"/>
      <c r="F363" s="367"/>
      <c r="G363" s="236"/>
      <c r="H363" s="236"/>
      <c r="I363" s="236"/>
      <c r="J363" s="236"/>
      <c r="K363" s="236"/>
      <c r="L363" s="236"/>
      <c r="M363" s="236"/>
      <c r="N363" s="236"/>
      <c r="O363" s="236"/>
      <c r="P363" s="236"/>
      <c r="Q363" s="236"/>
      <c r="R363" s="236"/>
    </row>
    <row r="364">
      <c r="A364" s="236"/>
      <c r="B364" s="236"/>
      <c r="C364" s="236"/>
      <c r="D364" s="236"/>
      <c r="E364" s="236"/>
      <c r="F364" s="367"/>
      <c r="G364" s="236"/>
      <c r="H364" s="236"/>
      <c r="I364" s="236"/>
      <c r="J364" s="236"/>
      <c r="K364" s="236"/>
      <c r="L364" s="236"/>
      <c r="M364" s="236"/>
      <c r="N364" s="236"/>
      <c r="O364" s="236"/>
      <c r="P364" s="236"/>
      <c r="Q364" s="236"/>
      <c r="R364" s="236"/>
    </row>
    <row r="365">
      <c r="A365" s="236"/>
      <c r="B365" s="236"/>
      <c r="C365" s="236"/>
      <c r="D365" s="236"/>
      <c r="E365" s="236"/>
      <c r="F365" s="367"/>
      <c r="G365" s="236"/>
      <c r="H365" s="236"/>
      <c r="I365" s="236"/>
      <c r="J365" s="236"/>
      <c r="K365" s="236"/>
      <c r="L365" s="236"/>
      <c r="M365" s="236"/>
      <c r="N365" s="236"/>
      <c r="O365" s="236"/>
      <c r="P365" s="236"/>
      <c r="Q365" s="236"/>
      <c r="R365" s="236"/>
    </row>
    <row r="366">
      <c r="A366" s="236"/>
      <c r="B366" s="236"/>
      <c r="C366" s="236"/>
      <c r="D366" s="236"/>
      <c r="E366" s="236"/>
      <c r="F366" s="367"/>
      <c r="G366" s="236"/>
      <c r="H366" s="236"/>
      <c r="I366" s="236"/>
      <c r="J366" s="236"/>
      <c r="K366" s="236"/>
      <c r="L366" s="236"/>
      <c r="M366" s="236"/>
      <c r="N366" s="236"/>
      <c r="O366" s="236"/>
      <c r="P366" s="236"/>
      <c r="Q366" s="236"/>
      <c r="R366" s="236"/>
    </row>
    <row r="367">
      <c r="A367" s="236"/>
      <c r="B367" s="236"/>
      <c r="C367" s="236"/>
      <c r="D367" s="236"/>
      <c r="E367" s="236"/>
      <c r="F367" s="367"/>
      <c r="G367" s="236"/>
      <c r="H367" s="236"/>
      <c r="I367" s="236"/>
      <c r="J367" s="236"/>
      <c r="K367" s="236"/>
      <c r="L367" s="236"/>
      <c r="M367" s="236"/>
      <c r="N367" s="236"/>
      <c r="O367" s="236"/>
      <c r="P367" s="236"/>
      <c r="Q367" s="236"/>
      <c r="R367" s="236"/>
    </row>
    <row r="368">
      <c r="A368" s="236"/>
      <c r="B368" s="236"/>
      <c r="C368" s="236"/>
      <c r="D368" s="236"/>
      <c r="E368" s="236"/>
      <c r="F368" s="367"/>
      <c r="G368" s="236"/>
      <c r="H368" s="236"/>
      <c r="I368" s="236"/>
      <c r="J368" s="236"/>
      <c r="K368" s="236"/>
      <c r="L368" s="236"/>
      <c r="M368" s="236"/>
      <c r="N368" s="236"/>
      <c r="O368" s="236"/>
      <c r="P368" s="236"/>
      <c r="Q368" s="236"/>
      <c r="R368" s="236"/>
    </row>
    <row r="369">
      <c r="A369" s="236"/>
      <c r="B369" s="236"/>
      <c r="C369" s="236"/>
      <c r="D369" s="236"/>
      <c r="E369" s="236"/>
      <c r="F369" s="367"/>
      <c r="G369" s="236"/>
      <c r="H369" s="236"/>
      <c r="I369" s="236"/>
      <c r="J369" s="236"/>
      <c r="K369" s="236"/>
      <c r="L369" s="236"/>
      <c r="M369" s="236"/>
      <c r="N369" s="236"/>
      <c r="O369" s="236"/>
      <c r="P369" s="236"/>
      <c r="Q369" s="236"/>
      <c r="R369" s="236"/>
    </row>
    <row r="370">
      <c r="A370" s="236"/>
      <c r="B370" s="236"/>
      <c r="C370" s="236"/>
      <c r="D370" s="236"/>
      <c r="E370" s="236"/>
      <c r="F370" s="367"/>
      <c r="G370" s="236"/>
      <c r="H370" s="236"/>
      <c r="I370" s="236"/>
      <c r="J370" s="236"/>
      <c r="K370" s="236"/>
      <c r="L370" s="236"/>
      <c r="M370" s="236"/>
      <c r="N370" s="236"/>
      <c r="O370" s="236"/>
      <c r="P370" s="236"/>
      <c r="Q370" s="236"/>
      <c r="R370" s="236"/>
    </row>
    <row r="371">
      <c r="A371" s="236"/>
      <c r="B371" s="236"/>
      <c r="C371" s="236"/>
      <c r="D371" s="236"/>
      <c r="E371" s="236"/>
      <c r="F371" s="367"/>
      <c r="G371" s="236"/>
      <c r="H371" s="236"/>
      <c r="I371" s="236"/>
      <c r="J371" s="236"/>
      <c r="K371" s="236"/>
      <c r="L371" s="236"/>
      <c r="M371" s="236"/>
      <c r="N371" s="236"/>
      <c r="O371" s="236"/>
      <c r="P371" s="236"/>
      <c r="Q371" s="236"/>
      <c r="R371" s="236"/>
    </row>
    <row r="372">
      <c r="A372" s="236"/>
      <c r="B372" s="236"/>
      <c r="C372" s="236"/>
      <c r="D372" s="236"/>
      <c r="E372" s="236"/>
      <c r="F372" s="367"/>
      <c r="G372" s="236"/>
      <c r="H372" s="236"/>
      <c r="I372" s="236"/>
      <c r="J372" s="236"/>
      <c r="K372" s="236"/>
      <c r="L372" s="236"/>
      <c r="M372" s="236"/>
      <c r="N372" s="236"/>
      <c r="O372" s="236"/>
      <c r="P372" s="236"/>
      <c r="Q372" s="236"/>
      <c r="R372" s="236"/>
    </row>
    <row r="373">
      <c r="A373" s="236"/>
      <c r="B373" s="236"/>
      <c r="C373" s="236"/>
      <c r="D373" s="236"/>
      <c r="E373" s="236"/>
      <c r="F373" s="367"/>
      <c r="G373" s="236"/>
      <c r="H373" s="236"/>
      <c r="I373" s="236"/>
      <c r="J373" s="236"/>
      <c r="K373" s="236"/>
      <c r="L373" s="236"/>
      <c r="M373" s="236"/>
      <c r="N373" s="236"/>
      <c r="O373" s="236"/>
      <c r="P373" s="236"/>
      <c r="Q373" s="236"/>
      <c r="R373" s="236"/>
    </row>
    <row r="374">
      <c r="A374" s="236"/>
      <c r="B374" s="236"/>
      <c r="C374" s="236"/>
      <c r="D374" s="236"/>
      <c r="E374" s="236"/>
      <c r="F374" s="367"/>
      <c r="G374" s="236"/>
      <c r="H374" s="236"/>
      <c r="I374" s="236"/>
      <c r="J374" s="236"/>
      <c r="K374" s="236"/>
      <c r="L374" s="236"/>
      <c r="M374" s="236"/>
      <c r="N374" s="236"/>
      <c r="O374" s="236"/>
      <c r="P374" s="236"/>
      <c r="Q374" s="236"/>
      <c r="R374" s="236"/>
    </row>
    <row r="375">
      <c r="A375" s="236"/>
      <c r="B375" s="236"/>
      <c r="C375" s="236"/>
      <c r="D375" s="236"/>
      <c r="E375" s="236"/>
      <c r="F375" s="367"/>
      <c r="G375" s="236"/>
      <c r="H375" s="236"/>
      <c r="I375" s="236"/>
      <c r="J375" s="236"/>
      <c r="K375" s="236"/>
      <c r="L375" s="236"/>
      <c r="M375" s="236"/>
      <c r="N375" s="236"/>
      <c r="O375" s="236"/>
      <c r="P375" s="236"/>
      <c r="Q375" s="236"/>
      <c r="R375" s="236"/>
    </row>
    <row r="376">
      <c r="A376" s="236"/>
      <c r="B376" s="236"/>
      <c r="C376" s="236"/>
      <c r="D376" s="236"/>
      <c r="E376" s="236"/>
      <c r="F376" s="367"/>
      <c r="G376" s="236"/>
      <c r="H376" s="236"/>
      <c r="I376" s="236"/>
      <c r="J376" s="236"/>
      <c r="K376" s="236"/>
      <c r="L376" s="236"/>
      <c r="M376" s="236"/>
      <c r="N376" s="236"/>
      <c r="O376" s="236"/>
      <c r="P376" s="236"/>
      <c r="Q376" s="236"/>
      <c r="R376" s="236"/>
    </row>
    <row r="377">
      <c r="A377" s="236"/>
      <c r="B377" s="236"/>
      <c r="C377" s="236"/>
      <c r="D377" s="236"/>
      <c r="E377" s="236"/>
      <c r="F377" s="367"/>
      <c r="G377" s="236"/>
      <c r="H377" s="236"/>
      <c r="I377" s="236"/>
      <c r="J377" s="236"/>
      <c r="K377" s="236"/>
      <c r="L377" s="236"/>
      <c r="M377" s="236"/>
      <c r="N377" s="236"/>
      <c r="O377" s="236"/>
      <c r="P377" s="236"/>
      <c r="Q377" s="236"/>
      <c r="R377" s="236"/>
    </row>
    <row r="378">
      <c r="A378" s="236"/>
      <c r="B378" s="236"/>
      <c r="C378" s="236"/>
      <c r="D378" s="236"/>
      <c r="E378" s="236"/>
      <c r="F378" s="367"/>
      <c r="G378" s="236"/>
      <c r="H378" s="236"/>
      <c r="I378" s="236"/>
      <c r="J378" s="236"/>
      <c r="K378" s="236"/>
      <c r="L378" s="236"/>
      <c r="M378" s="236"/>
      <c r="N378" s="236"/>
      <c r="O378" s="236"/>
      <c r="P378" s="236"/>
      <c r="Q378" s="236"/>
      <c r="R378" s="236"/>
    </row>
    <row r="379">
      <c r="A379" s="236"/>
      <c r="B379" s="236"/>
      <c r="C379" s="236"/>
      <c r="D379" s="236"/>
      <c r="E379" s="236"/>
      <c r="F379" s="367"/>
      <c r="G379" s="236"/>
      <c r="H379" s="236"/>
      <c r="I379" s="236"/>
      <c r="J379" s="236"/>
      <c r="K379" s="236"/>
      <c r="L379" s="236"/>
      <c r="M379" s="236"/>
      <c r="N379" s="236"/>
      <c r="O379" s="236"/>
      <c r="P379" s="236"/>
      <c r="Q379" s="236"/>
      <c r="R379" s="236"/>
    </row>
    <row r="380">
      <c r="A380" s="236"/>
      <c r="B380" s="236"/>
      <c r="C380" s="236"/>
      <c r="D380" s="236"/>
      <c r="E380" s="236"/>
      <c r="F380" s="367"/>
      <c r="G380" s="236"/>
      <c r="H380" s="236"/>
      <c r="I380" s="236"/>
      <c r="J380" s="236"/>
      <c r="K380" s="236"/>
      <c r="L380" s="236"/>
      <c r="M380" s="236"/>
      <c r="N380" s="236"/>
      <c r="O380" s="236"/>
      <c r="P380" s="236"/>
      <c r="Q380" s="236"/>
      <c r="R380" s="236"/>
    </row>
    <row r="381">
      <c r="A381" s="236"/>
      <c r="B381" s="236"/>
      <c r="C381" s="236"/>
      <c r="D381" s="236"/>
      <c r="E381" s="236"/>
      <c r="F381" s="367"/>
      <c r="G381" s="236"/>
      <c r="H381" s="236"/>
      <c r="I381" s="236"/>
      <c r="J381" s="236"/>
      <c r="K381" s="236"/>
      <c r="L381" s="236"/>
      <c r="M381" s="236"/>
      <c r="N381" s="236"/>
      <c r="O381" s="236"/>
      <c r="P381" s="236"/>
      <c r="Q381" s="236"/>
      <c r="R381" s="236"/>
    </row>
    <row r="382">
      <c r="A382" s="236"/>
      <c r="B382" s="236"/>
      <c r="C382" s="236"/>
      <c r="D382" s="236"/>
      <c r="E382" s="236"/>
      <c r="F382" s="367"/>
      <c r="G382" s="236"/>
      <c r="H382" s="236"/>
      <c r="I382" s="236"/>
      <c r="J382" s="236"/>
      <c r="K382" s="236"/>
      <c r="L382" s="236"/>
      <c r="M382" s="236"/>
      <c r="N382" s="236"/>
      <c r="O382" s="236"/>
      <c r="P382" s="236"/>
      <c r="Q382" s="236"/>
      <c r="R382" s="236"/>
    </row>
    <row r="383">
      <c r="A383" s="236"/>
      <c r="B383" s="236"/>
      <c r="C383" s="236"/>
      <c r="D383" s="236"/>
      <c r="E383" s="236"/>
      <c r="F383" s="367"/>
      <c r="G383" s="236"/>
      <c r="H383" s="236"/>
      <c r="I383" s="236"/>
      <c r="J383" s="236"/>
      <c r="K383" s="236"/>
      <c r="L383" s="236"/>
      <c r="M383" s="236"/>
      <c r="N383" s="236"/>
      <c r="O383" s="236"/>
      <c r="P383" s="236"/>
      <c r="Q383" s="236"/>
      <c r="R383" s="236"/>
    </row>
    <row r="384">
      <c r="A384" s="236"/>
      <c r="B384" s="236"/>
      <c r="C384" s="236"/>
      <c r="D384" s="236"/>
      <c r="E384" s="236"/>
      <c r="F384" s="367"/>
      <c r="G384" s="236"/>
      <c r="H384" s="236"/>
      <c r="I384" s="236"/>
      <c r="J384" s="236"/>
      <c r="K384" s="236"/>
      <c r="L384" s="236"/>
      <c r="M384" s="236"/>
      <c r="N384" s="236"/>
      <c r="O384" s="236"/>
      <c r="P384" s="236"/>
      <c r="Q384" s="236"/>
      <c r="R384" s="236"/>
    </row>
    <row r="385">
      <c r="A385" s="236"/>
      <c r="B385" s="236"/>
      <c r="C385" s="236"/>
      <c r="D385" s="236"/>
      <c r="E385" s="236"/>
      <c r="F385" s="367"/>
      <c r="G385" s="236"/>
      <c r="H385" s="236"/>
      <c r="I385" s="236"/>
      <c r="J385" s="236"/>
      <c r="K385" s="236"/>
      <c r="L385" s="236"/>
      <c r="M385" s="236"/>
      <c r="N385" s="236"/>
      <c r="O385" s="236"/>
      <c r="P385" s="236"/>
      <c r="Q385" s="236"/>
      <c r="R385" s="236"/>
    </row>
    <row r="386">
      <c r="A386" s="236"/>
      <c r="B386" s="236"/>
      <c r="C386" s="236"/>
      <c r="D386" s="236"/>
      <c r="E386" s="236"/>
      <c r="F386" s="367"/>
      <c r="G386" s="236"/>
      <c r="H386" s="236"/>
      <c r="I386" s="236"/>
      <c r="J386" s="236"/>
      <c r="K386" s="236"/>
      <c r="L386" s="236"/>
      <c r="M386" s="236"/>
      <c r="N386" s="236"/>
      <c r="O386" s="236"/>
      <c r="P386" s="236"/>
      <c r="Q386" s="236"/>
      <c r="R386" s="236"/>
    </row>
    <row r="387">
      <c r="A387" s="236"/>
      <c r="B387" s="236"/>
      <c r="C387" s="236"/>
      <c r="D387" s="236"/>
      <c r="E387" s="236"/>
      <c r="F387" s="367"/>
      <c r="G387" s="236"/>
      <c r="H387" s="236"/>
      <c r="I387" s="236"/>
      <c r="J387" s="236"/>
      <c r="K387" s="236"/>
      <c r="L387" s="236"/>
      <c r="M387" s="236"/>
      <c r="N387" s="236"/>
      <c r="O387" s="236"/>
      <c r="P387" s="236"/>
      <c r="Q387" s="236"/>
      <c r="R387" s="236"/>
    </row>
    <row r="388">
      <c r="A388" s="236"/>
      <c r="B388" s="236"/>
      <c r="C388" s="236"/>
      <c r="D388" s="236"/>
      <c r="E388" s="236"/>
      <c r="F388" s="367"/>
      <c r="G388" s="236"/>
      <c r="H388" s="236"/>
      <c r="I388" s="236"/>
      <c r="J388" s="236"/>
      <c r="K388" s="236"/>
      <c r="L388" s="236"/>
      <c r="M388" s="236"/>
      <c r="N388" s="236"/>
      <c r="O388" s="236"/>
      <c r="P388" s="236"/>
      <c r="Q388" s="236"/>
      <c r="R388" s="236"/>
    </row>
    <row r="389">
      <c r="A389" s="236"/>
      <c r="B389" s="236"/>
      <c r="C389" s="236"/>
      <c r="D389" s="236"/>
      <c r="E389" s="236"/>
      <c r="F389" s="367"/>
      <c r="G389" s="236"/>
      <c r="H389" s="236"/>
      <c r="I389" s="236"/>
      <c r="J389" s="236"/>
      <c r="K389" s="236"/>
      <c r="L389" s="236"/>
      <c r="M389" s="236"/>
      <c r="N389" s="236"/>
      <c r="O389" s="236"/>
      <c r="P389" s="236"/>
      <c r="Q389" s="236"/>
      <c r="R389" s="236"/>
    </row>
    <row r="390">
      <c r="A390" s="236"/>
      <c r="B390" s="236"/>
      <c r="C390" s="236"/>
      <c r="D390" s="236"/>
      <c r="E390" s="236"/>
      <c r="F390" s="367"/>
      <c r="G390" s="236"/>
      <c r="H390" s="236"/>
      <c r="I390" s="236"/>
      <c r="J390" s="236"/>
      <c r="K390" s="236"/>
      <c r="L390" s="236"/>
      <c r="M390" s="236"/>
      <c r="N390" s="236"/>
      <c r="O390" s="236"/>
      <c r="P390" s="236"/>
      <c r="Q390" s="236"/>
      <c r="R390" s="236"/>
    </row>
    <row r="391">
      <c r="A391" s="236"/>
      <c r="B391" s="236"/>
      <c r="C391" s="236"/>
      <c r="D391" s="236"/>
      <c r="E391" s="236"/>
      <c r="F391" s="367"/>
      <c r="G391" s="236"/>
      <c r="H391" s="236"/>
      <c r="I391" s="236"/>
      <c r="J391" s="236"/>
      <c r="K391" s="236"/>
      <c r="L391" s="236"/>
      <c r="M391" s="236"/>
      <c r="N391" s="236"/>
      <c r="O391" s="236"/>
      <c r="P391" s="236"/>
      <c r="Q391" s="236"/>
      <c r="R391" s="236"/>
    </row>
    <row r="392">
      <c r="A392" s="236"/>
      <c r="B392" s="236"/>
      <c r="C392" s="236"/>
      <c r="D392" s="236"/>
      <c r="E392" s="236"/>
      <c r="F392" s="367"/>
      <c r="G392" s="236"/>
      <c r="H392" s="236"/>
      <c r="I392" s="236"/>
      <c r="J392" s="236"/>
      <c r="K392" s="236"/>
      <c r="L392" s="236"/>
      <c r="M392" s="236"/>
      <c r="N392" s="236"/>
      <c r="O392" s="236"/>
      <c r="P392" s="236"/>
      <c r="Q392" s="236"/>
      <c r="R392" s="236"/>
    </row>
    <row r="393">
      <c r="A393" s="236"/>
      <c r="B393" s="236"/>
      <c r="C393" s="236"/>
      <c r="D393" s="236"/>
      <c r="E393" s="236"/>
      <c r="F393" s="367"/>
      <c r="G393" s="236"/>
      <c r="H393" s="236"/>
      <c r="I393" s="236"/>
      <c r="J393" s="236"/>
      <c r="K393" s="236"/>
      <c r="L393" s="236"/>
      <c r="M393" s="236"/>
      <c r="N393" s="236"/>
      <c r="O393" s="236"/>
      <c r="P393" s="236"/>
      <c r="Q393" s="236"/>
      <c r="R393" s="236"/>
    </row>
    <row r="394">
      <c r="A394" s="236"/>
      <c r="B394" s="236"/>
      <c r="C394" s="236"/>
      <c r="D394" s="236"/>
      <c r="E394" s="236"/>
      <c r="F394" s="367"/>
      <c r="G394" s="236"/>
      <c r="H394" s="236"/>
      <c r="I394" s="236"/>
      <c r="J394" s="236"/>
      <c r="K394" s="236"/>
      <c r="L394" s="236"/>
      <c r="M394" s="236"/>
      <c r="N394" s="236"/>
      <c r="O394" s="236"/>
      <c r="P394" s="236"/>
      <c r="Q394" s="236"/>
      <c r="R394" s="236"/>
    </row>
    <row r="395">
      <c r="A395" s="236"/>
      <c r="B395" s="236"/>
      <c r="C395" s="236"/>
      <c r="D395" s="236"/>
      <c r="E395" s="236"/>
      <c r="F395" s="367"/>
      <c r="G395" s="236"/>
      <c r="H395" s="236"/>
      <c r="I395" s="236"/>
      <c r="J395" s="236"/>
      <c r="K395" s="236"/>
      <c r="L395" s="236"/>
      <c r="M395" s="236"/>
      <c r="N395" s="236"/>
      <c r="O395" s="236"/>
      <c r="P395" s="236"/>
      <c r="Q395" s="236"/>
      <c r="R395" s="236"/>
    </row>
    <row r="396">
      <c r="A396" s="236"/>
      <c r="B396" s="236"/>
      <c r="C396" s="236"/>
      <c r="D396" s="236"/>
      <c r="E396" s="236"/>
      <c r="F396" s="367"/>
      <c r="G396" s="236"/>
      <c r="H396" s="236"/>
      <c r="I396" s="236"/>
      <c r="J396" s="236"/>
      <c r="K396" s="236"/>
      <c r="L396" s="236"/>
      <c r="M396" s="236"/>
      <c r="N396" s="236"/>
      <c r="O396" s="236"/>
      <c r="P396" s="236"/>
      <c r="Q396" s="236"/>
      <c r="R396" s="236"/>
    </row>
    <row r="397">
      <c r="A397" s="236"/>
      <c r="B397" s="236"/>
      <c r="C397" s="236"/>
      <c r="D397" s="236"/>
      <c r="E397" s="236"/>
      <c r="F397" s="367"/>
      <c r="G397" s="236"/>
      <c r="H397" s="236"/>
      <c r="I397" s="236"/>
      <c r="J397" s="236"/>
      <c r="K397" s="236"/>
      <c r="L397" s="236"/>
      <c r="M397" s="236"/>
      <c r="N397" s="236"/>
      <c r="O397" s="236"/>
      <c r="P397" s="236"/>
      <c r="Q397" s="236"/>
      <c r="R397" s="236"/>
    </row>
    <row r="398">
      <c r="A398" s="236"/>
      <c r="B398" s="236"/>
      <c r="C398" s="236"/>
      <c r="D398" s="236"/>
      <c r="E398" s="236"/>
      <c r="F398" s="367"/>
      <c r="G398" s="236"/>
      <c r="H398" s="236"/>
      <c r="I398" s="236"/>
      <c r="J398" s="236"/>
      <c r="K398" s="236"/>
      <c r="L398" s="236"/>
      <c r="M398" s="236"/>
      <c r="N398" s="236"/>
      <c r="O398" s="236"/>
      <c r="P398" s="236"/>
      <c r="Q398" s="236"/>
      <c r="R398" s="236"/>
    </row>
    <row r="399">
      <c r="A399" s="236"/>
      <c r="B399" s="236"/>
      <c r="C399" s="236"/>
      <c r="D399" s="236"/>
      <c r="E399" s="236"/>
      <c r="F399" s="367"/>
      <c r="G399" s="236"/>
      <c r="H399" s="236"/>
      <c r="I399" s="236"/>
      <c r="J399" s="236"/>
      <c r="K399" s="236"/>
      <c r="L399" s="236"/>
      <c r="M399" s="236"/>
      <c r="N399" s="236"/>
      <c r="O399" s="236"/>
      <c r="P399" s="236"/>
      <c r="Q399" s="236"/>
      <c r="R399" s="236"/>
    </row>
    <row r="400">
      <c r="A400" s="236"/>
      <c r="B400" s="236"/>
      <c r="C400" s="236"/>
      <c r="D400" s="236"/>
      <c r="E400" s="236"/>
      <c r="F400" s="367"/>
      <c r="G400" s="236"/>
      <c r="H400" s="236"/>
      <c r="I400" s="236"/>
      <c r="J400" s="236"/>
      <c r="K400" s="236"/>
      <c r="L400" s="236"/>
      <c r="M400" s="236"/>
      <c r="N400" s="236"/>
      <c r="O400" s="236"/>
      <c r="P400" s="236"/>
      <c r="Q400" s="236"/>
      <c r="R400" s="236"/>
    </row>
    <row r="401">
      <c r="A401" s="236"/>
      <c r="B401" s="236"/>
      <c r="C401" s="236"/>
      <c r="D401" s="236"/>
      <c r="E401" s="236"/>
      <c r="F401" s="367"/>
      <c r="G401" s="236"/>
      <c r="H401" s="236"/>
      <c r="I401" s="236"/>
      <c r="J401" s="236"/>
      <c r="K401" s="236"/>
      <c r="L401" s="236"/>
      <c r="M401" s="236"/>
      <c r="N401" s="236"/>
      <c r="O401" s="236"/>
      <c r="P401" s="236"/>
      <c r="Q401" s="236"/>
      <c r="R401" s="236"/>
    </row>
    <row r="402">
      <c r="A402" s="236"/>
      <c r="B402" s="236"/>
      <c r="C402" s="236"/>
      <c r="D402" s="236"/>
      <c r="E402" s="236"/>
      <c r="F402" s="367"/>
      <c r="G402" s="236"/>
      <c r="H402" s="236"/>
      <c r="I402" s="236"/>
      <c r="J402" s="236"/>
      <c r="K402" s="236"/>
      <c r="L402" s="236"/>
      <c r="M402" s="236"/>
      <c r="N402" s="236"/>
      <c r="O402" s="236"/>
      <c r="P402" s="236"/>
      <c r="Q402" s="236"/>
      <c r="R402" s="236"/>
    </row>
    <row r="403">
      <c r="A403" s="236"/>
      <c r="B403" s="236"/>
      <c r="C403" s="236"/>
      <c r="D403" s="236"/>
      <c r="E403" s="236"/>
      <c r="F403" s="367"/>
      <c r="G403" s="236"/>
      <c r="H403" s="236"/>
      <c r="I403" s="236"/>
      <c r="J403" s="236"/>
      <c r="K403" s="236"/>
      <c r="L403" s="236"/>
      <c r="M403" s="236"/>
      <c r="N403" s="236"/>
      <c r="O403" s="236"/>
      <c r="P403" s="236"/>
      <c r="Q403" s="236"/>
      <c r="R403" s="236"/>
    </row>
    <row r="404">
      <c r="A404" s="236"/>
      <c r="B404" s="236"/>
      <c r="C404" s="236"/>
      <c r="D404" s="236"/>
      <c r="E404" s="236"/>
      <c r="F404" s="367"/>
      <c r="G404" s="236"/>
      <c r="H404" s="236"/>
      <c r="I404" s="236"/>
      <c r="J404" s="236"/>
      <c r="K404" s="236"/>
      <c r="L404" s="236"/>
      <c r="M404" s="236"/>
      <c r="N404" s="236"/>
      <c r="O404" s="236"/>
      <c r="P404" s="236"/>
      <c r="Q404" s="236"/>
      <c r="R404" s="236"/>
    </row>
    <row r="405">
      <c r="A405" s="236"/>
      <c r="B405" s="236"/>
      <c r="C405" s="236"/>
      <c r="D405" s="236"/>
      <c r="E405" s="236"/>
      <c r="F405" s="367"/>
      <c r="G405" s="236"/>
      <c r="H405" s="236"/>
      <c r="I405" s="236"/>
      <c r="J405" s="236"/>
      <c r="K405" s="236"/>
      <c r="L405" s="236"/>
      <c r="M405" s="236"/>
      <c r="N405" s="236"/>
      <c r="O405" s="236"/>
      <c r="P405" s="236"/>
      <c r="Q405" s="236"/>
      <c r="R405" s="236"/>
    </row>
    <row r="406">
      <c r="A406" s="236"/>
      <c r="B406" s="236"/>
      <c r="C406" s="236"/>
      <c r="D406" s="236"/>
      <c r="E406" s="236"/>
      <c r="F406" s="367"/>
      <c r="G406" s="236"/>
      <c r="H406" s="236"/>
      <c r="I406" s="236"/>
      <c r="J406" s="236"/>
      <c r="K406" s="236"/>
      <c r="L406" s="236"/>
      <c r="M406" s="236"/>
      <c r="N406" s="236"/>
      <c r="O406" s="236"/>
      <c r="P406" s="236"/>
      <c r="Q406" s="236"/>
      <c r="R406" s="236"/>
    </row>
    <row r="407">
      <c r="A407" s="236"/>
      <c r="B407" s="236"/>
      <c r="C407" s="236"/>
      <c r="D407" s="236"/>
      <c r="E407" s="236"/>
      <c r="F407" s="367"/>
      <c r="G407" s="236"/>
      <c r="H407" s="236"/>
      <c r="I407" s="236"/>
      <c r="J407" s="236"/>
      <c r="K407" s="236"/>
      <c r="L407" s="236"/>
      <c r="M407" s="236"/>
      <c r="N407" s="236"/>
      <c r="O407" s="236"/>
      <c r="P407" s="236"/>
      <c r="Q407" s="236"/>
      <c r="R407" s="236"/>
    </row>
    <row r="408">
      <c r="A408" s="236"/>
      <c r="B408" s="236"/>
      <c r="C408" s="236"/>
      <c r="D408" s="236"/>
      <c r="E408" s="236"/>
      <c r="F408" s="367"/>
      <c r="G408" s="236"/>
      <c r="H408" s="236"/>
      <c r="I408" s="236"/>
      <c r="J408" s="236"/>
      <c r="K408" s="236"/>
      <c r="L408" s="236"/>
      <c r="M408" s="236"/>
      <c r="N408" s="236"/>
      <c r="O408" s="236"/>
      <c r="P408" s="236"/>
      <c r="Q408" s="236"/>
      <c r="R408" s="236"/>
    </row>
    <row r="409">
      <c r="A409" s="236"/>
      <c r="B409" s="236"/>
      <c r="C409" s="236"/>
      <c r="D409" s="236"/>
      <c r="E409" s="236"/>
      <c r="F409" s="367"/>
      <c r="G409" s="236"/>
      <c r="H409" s="236"/>
      <c r="I409" s="236"/>
      <c r="J409" s="236"/>
      <c r="K409" s="236"/>
      <c r="L409" s="236"/>
      <c r="M409" s="236"/>
      <c r="N409" s="236"/>
      <c r="O409" s="236"/>
      <c r="P409" s="236"/>
      <c r="Q409" s="236"/>
      <c r="R409" s="236"/>
    </row>
    <row r="410">
      <c r="A410" s="236"/>
      <c r="B410" s="236"/>
      <c r="C410" s="236"/>
      <c r="D410" s="236"/>
      <c r="E410" s="236"/>
      <c r="F410" s="367"/>
      <c r="G410" s="236"/>
      <c r="H410" s="236"/>
      <c r="I410" s="236"/>
      <c r="J410" s="236"/>
      <c r="K410" s="236"/>
      <c r="L410" s="236"/>
      <c r="M410" s="236"/>
      <c r="N410" s="236"/>
      <c r="O410" s="236"/>
      <c r="P410" s="236"/>
      <c r="Q410" s="236"/>
      <c r="R410" s="236"/>
    </row>
    <row r="411">
      <c r="A411" s="236"/>
      <c r="B411" s="236"/>
      <c r="C411" s="236"/>
      <c r="D411" s="236"/>
      <c r="E411" s="236"/>
      <c r="F411" s="367"/>
      <c r="G411" s="236"/>
      <c r="H411" s="236"/>
      <c r="I411" s="236"/>
      <c r="J411" s="236"/>
      <c r="K411" s="236"/>
      <c r="L411" s="236"/>
      <c r="M411" s="236"/>
      <c r="N411" s="236"/>
      <c r="O411" s="236"/>
      <c r="P411" s="236"/>
      <c r="Q411" s="236"/>
      <c r="R411" s="236"/>
    </row>
    <row r="412">
      <c r="A412" s="236"/>
      <c r="B412" s="236"/>
      <c r="C412" s="236"/>
      <c r="D412" s="236"/>
      <c r="E412" s="236"/>
      <c r="F412" s="367"/>
      <c r="G412" s="236"/>
      <c r="H412" s="236"/>
      <c r="I412" s="236"/>
      <c r="J412" s="236"/>
      <c r="K412" s="236"/>
      <c r="L412" s="236"/>
      <c r="M412" s="236"/>
      <c r="N412" s="236"/>
      <c r="O412" s="236"/>
      <c r="P412" s="236"/>
      <c r="Q412" s="236"/>
      <c r="R412" s="236"/>
    </row>
    <row r="413">
      <c r="A413" s="236"/>
      <c r="B413" s="236"/>
      <c r="C413" s="236"/>
      <c r="D413" s="236"/>
      <c r="E413" s="236"/>
      <c r="F413" s="367"/>
      <c r="G413" s="236"/>
      <c r="H413" s="236"/>
      <c r="I413" s="236"/>
      <c r="J413" s="236"/>
      <c r="K413" s="236"/>
      <c r="L413" s="236"/>
      <c r="M413" s="236"/>
      <c r="N413" s="236"/>
      <c r="O413" s="236"/>
      <c r="P413" s="236"/>
      <c r="Q413" s="236"/>
      <c r="R413" s="236"/>
    </row>
    <row r="414">
      <c r="A414" s="236"/>
      <c r="B414" s="236"/>
      <c r="C414" s="236"/>
      <c r="D414" s="236"/>
      <c r="E414" s="236"/>
      <c r="F414" s="367"/>
      <c r="G414" s="236"/>
      <c r="H414" s="236"/>
      <c r="I414" s="236"/>
      <c r="J414" s="236"/>
      <c r="K414" s="236"/>
      <c r="L414" s="236"/>
      <c r="M414" s="236"/>
      <c r="N414" s="236"/>
      <c r="O414" s="236"/>
      <c r="P414" s="236"/>
      <c r="Q414" s="236"/>
      <c r="R414" s="236"/>
    </row>
    <row r="415">
      <c r="A415" s="236"/>
      <c r="B415" s="236"/>
      <c r="C415" s="236"/>
      <c r="D415" s="236"/>
      <c r="E415" s="236"/>
      <c r="F415" s="367"/>
      <c r="G415" s="236"/>
      <c r="H415" s="236"/>
      <c r="I415" s="236"/>
      <c r="J415" s="236"/>
      <c r="K415" s="236"/>
      <c r="L415" s="236"/>
      <c r="M415" s="236"/>
      <c r="N415" s="236"/>
      <c r="O415" s="236"/>
      <c r="P415" s="236"/>
      <c r="Q415" s="236"/>
      <c r="R415" s="236"/>
    </row>
    <row r="416">
      <c r="A416" s="236"/>
      <c r="B416" s="236"/>
      <c r="C416" s="236"/>
      <c r="D416" s="236"/>
      <c r="E416" s="236"/>
      <c r="F416" s="367"/>
      <c r="G416" s="236"/>
      <c r="H416" s="236"/>
      <c r="I416" s="236"/>
      <c r="J416" s="236"/>
      <c r="K416" s="236"/>
      <c r="L416" s="236"/>
      <c r="M416" s="236"/>
      <c r="N416" s="236"/>
      <c r="O416" s="236"/>
      <c r="P416" s="236"/>
      <c r="Q416" s="236"/>
      <c r="R416" s="236"/>
    </row>
    <row r="417">
      <c r="A417" s="236"/>
      <c r="B417" s="236"/>
      <c r="C417" s="236"/>
      <c r="D417" s="236"/>
      <c r="E417" s="236"/>
      <c r="F417" s="367"/>
      <c r="G417" s="236"/>
      <c r="H417" s="236"/>
      <c r="I417" s="236"/>
      <c r="J417" s="236"/>
      <c r="K417" s="236"/>
      <c r="L417" s="236"/>
      <c r="M417" s="236"/>
      <c r="N417" s="236"/>
      <c r="O417" s="236"/>
      <c r="P417" s="236"/>
      <c r="Q417" s="236"/>
      <c r="R417" s="236"/>
    </row>
    <row r="418">
      <c r="A418" s="236"/>
      <c r="B418" s="236"/>
      <c r="C418" s="236"/>
      <c r="D418" s="236"/>
      <c r="E418" s="236"/>
      <c r="F418" s="367"/>
      <c r="G418" s="236"/>
      <c r="H418" s="236"/>
      <c r="I418" s="236"/>
      <c r="J418" s="236"/>
      <c r="K418" s="236"/>
      <c r="L418" s="236"/>
      <c r="M418" s="236"/>
      <c r="N418" s="236"/>
      <c r="O418" s="236"/>
      <c r="P418" s="236"/>
      <c r="Q418" s="236"/>
      <c r="R418" s="236"/>
    </row>
    <row r="419">
      <c r="A419" s="236"/>
      <c r="B419" s="236"/>
      <c r="C419" s="236"/>
      <c r="D419" s="236"/>
      <c r="E419" s="236"/>
      <c r="F419" s="367"/>
      <c r="G419" s="236"/>
      <c r="H419" s="236"/>
      <c r="I419" s="236"/>
      <c r="J419" s="236"/>
      <c r="K419" s="236"/>
      <c r="L419" s="236"/>
      <c r="M419" s="236"/>
      <c r="N419" s="236"/>
      <c r="O419" s="236"/>
      <c r="P419" s="236"/>
      <c r="Q419" s="236"/>
      <c r="R419" s="236"/>
    </row>
    <row r="420">
      <c r="A420" s="236"/>
      <c r="B420" s="236"/>
      <c r="C420" s="236"/>
      <c r="D420" s="236"/>
      <c r="E420" s="236"/>
      <c r="F420" s="367"/>
      <c r="G420" s="236"/>
      <c r="H420" s="236"/>
      <c r="I420" s="236"/>
      <c r="J420" s="236"/>
      <c r="K420" s="236"/>
      <c r="L420" s="236"/>
      <c r="M420" s="236"/>
      <c r="N420" s="236"/>
      <c r="O420" s="236"/>
      <c r="P420" s="236"/>
      <c r="Q420" s="236"/>
      <c r="R420" s="236"/>
    </row>
    <row r="421">
      <c r="A421" s="236"/>
      <c r="B421" s="236"/>
      <c r="C421" s="236"/>
      <c r="D421" s="236"/>
      <c r="E421" s="236"/>
      <c r="F421" s="367"/>
      <c r="G421" s="236"/>
      <c r="H421" s="236"/>
      <c r="I421" s="236"/>
      <c r="J421" s="236"/>
      <c r="K421" s="236"/>
      <c r="L421" s="236"/>
      <c r="M421" s="236"/>
      <c r="N421" s="236"/>
      <c r="O421" s="236"/>
      <c r="P421" s="236"/>
      <c r="Q421" s="236"/>
      <c r="R421" s="236"/>
    </row>
    <row r="422">
      <c r="A422" s="236"/>
      <c r="B422" s="236"/>
      <c r="C422" s="236"/>
      <c r="D422" s="236"/>
      <c r="E422" s="236"/>
      <c r="F422" s="367"/>
      <c r="G422" s="236"/>
      <c r="H422" s="236"/>
      <c r="I422" s="236"/>
      <c r="J422" s="236"/>
      <c r="K422" s="236"/>
      <c r="L422" s="236"/>
      <c r="M422" s="236"/>
      <c r="N422" s="236"/>
      <c r="O422" s="236"/>
      <c r="P422" s="236"/>
      <c r="Q422" s="236"/>
      <c r="R422" s="236"/>
    </row>
    <row r="423">
      <c r="A423" s="236"/>
      <c r="B423" s="236"/>
      <c r="C423" s="236"/>
      <c r="D423" s="236"/>
      <c r="E423" s="236"/>
      <c r="F423" s="367"/>
      <c r="G423" s="236"/>
      <c r="H423" s="236"/>
      <c r="I423" s="236"/>
      <c r="J423" s="236"/>
      <c r="K423" s="236"/>
      <c r="L423" s="236"/>
      <c r="M423" s="236"/>
      <c r="N423" s="236"/>
      <c r="O423" s="236"/>
      <c r="P423" s="236"/>
      <c r="Q423" s="236"/>
      <c r="R423" s="236"/>
    </row>
    <row r="424">
      <c r="A424" s="236"/>
      <c r="B424" s="236"/>
      <c r="C424" s="236"/>
      <c r="D424" s="236"/>
      <c r="E424" s="236"/>
      <c r="F424" s="367"/>
      <c r="G424" s="236"/>
      <c r="H424" s="236"/>
      <c r="I424" s="236"/>
      <c r="J424" s="236"/>
      <c r="K424" s="236"/>
      <c r="L424" s="236"/>
      <c r="M424" s="236"/>
      <c r="N424" s="236"/>
      <c r="O424" s="236"/>
      <c r="P424" s="236"/>
      <c r="Q424" s="236"/>
      <c r="R424" s="236"/>
    </row>
    <row r="425">
      <c r="A425" s="236"/>
      <c r="B425" s="236"/>
      <c r="C425" s="236"/>
      <c r="D425" s="236"/>
      <c r="E425" s="236"/>
      <c r="F425" s="367"/>
      <c r="G425" s="236"/>
      <c r="H425" s="236"/>
      <c r="I425" s="236"/>
      <c r="J425" s="236"/>
      <c r="K425" s="236"/>
      <c r="L425" s="236"/>
      <c r="M425" s="236"/>
      <c r="N425" s="236"/>
      <c r="O425" s="236"/>
      <c r="P425" s="236"/>
      <c r="Q425" s="236"/>
      <c r="R425" s="236"/>
    </row>
    <row r="426">
      <c r="A426" s="236"/>
      <c r="B426" s="236"/>
      <c r="C426" s="236"/>
      <c r="D426" s="236"/>
      <c r="E426" s="236"/>
      <c r="F426" s="367"/>
      <c r="G426" s="236"/>
      <c r="H426" s="236"/>
      <c r="I426" s="236"/>
      <c r="J426" s="236"/>
      <c r="K426" s="236"/>
      <c r="L426" s="236"/>
      <c r="M426" s="236"/>
      <c r="N426" s="236"/>
      <c r="O426" s="236"/>
      <c r="P426" s="236"/>
      <c r="Q426" s="236"/>
      <c r="R426" s="236"/>
    </row>
    <row r="427">
      <c r="A427" s="236"/>
      <c r="B427" s="236"/>
      <c r="C427" s="236"/>
      <c r="D427" s="236"/>
      <c r="E427" s="236"/>
      <c r="F427" s="367"/>
      <c r="G427" s="236"/>
      <c r="H427" s="236"/>
      <c r="I427" s="236"/>
      <c r="J427" s="236"/>
      <c r="K427" s="236"/>
      <c r="L427" s="236"/>
      <c r="M427" s="236"/>
      <c r="N427" s="236"/>
      <c r="O427" s="236"/>
      <c r="P427" s="236"/>
      <c r="Q427" s="236"/>
      <c r="R427" s="236"/>
    </row>
    <row r="428">
      <c r="A428" s="236"/>
      <c r="B428" s="236"/>
      <c r="C428" s="236"/>
      <c r="D428" s="236"/>
      <c r="E428" s="236"/>
      <c r="F428" s="367"/>
      <c r="G428" s="236"/>
      <c r="H428" s="236"/>
      <c r="I428" s="236"/>
      <c r="J428" s="236"/>
      <c r="K428" s="236"/>
      <c r="L428" s="236"/>
      <c r="M428" s="236"/>
      <c r="N428" s="236"/>
      <c r="O428" s="236"/>
      <c r="P428" s="236"/>
      <c r="Q428" s="236"/>
      <c r="R428" s="236"/>
    </row>
    <row r="429">
      <c r="A429" s="236"/>
      <c r="B429" s="236"/>
      <c r="C429" s="236"/>
      <c r="D429" s="236"/>
      <c r="E429" s="236"/>
      <c r="F429" s="367"/>
      <c r="G429" s="236"/>
      <c r="H429" s="236"/>
      <c r="I429" s="236"/>
      <c r="J429" s="236"/>
      <c r="K429" s="236"/>
      <c r="L429" s="236"/>
      <c r="M429" s="236"/>
      <c r="N429" s="236"/>
      <c r="O429" s="236"/>
      <c r="P429" s="236"/>
      <c r="Q429" s="236"/>
      <c r="R429" s="236"/>
    </row>
    <row r="430">
      <c r="A430" s="236"/>
      <c r="B430" s="236"/>
      <c r="C430" s="236"/>
      <c r="D430" s="236"/>
      <c r="E430" s="236"/>
      <c r="F430" s="367"/>
      <c r="G430" s="236"/>
      <c r="H430" s="236"/>
      <c r="I430" s="236"/>
      <c r="J430" s="236"/>
      <c r="K430" s="236"/>
      <c r="L430" s="236"/>
      <c r="M430" s="236"/>
      <c r="N430" s="236"/>
      <c r="O430" s="236"/>
      <c r="P430" s="236"/>
      <c r="Q430" s="236"/>
      <c r="R430" s="236"/>
    </row>
    <row r="431">
      <c r="A431" s="236"/>
      <c r="B431" s="236"/>
      <c r="C431" s="236"/>
      <c r="D431" s="236"/>
      <c r="E431" s="236"/>
      <c r="F431" s="367"/>
      <c r="G431" s="236"/>
      <c r="H431" s="236"/>
      <c r="I431" s="236"/>
      <c r="J431" s="236"/>
      <c r="K431" s="236"/>
      <c r="L431" s="236"/>
      <c r="M431" s="236"/>
      <c r="N431" s="236"/>
      <c r="O431" s="236"/>
      <c r="P431" s="236"/>
      <c r="Q431" s="236"/>
      <c r="R431" s="236"/>
    </row>
    <row r="432">
      <c r="A432" s="236"/>
      <c r="B432" s="236"/>
      <c r="C432" s="236"/>
      <c r="D432" s="236"/>
      <c r="E432" s="236"/>
      <c r="F432" s="367"/>
      <c r="G432" s="236"/>
      <c r="H432" s="236"/>
      <c r="I432" s="236"/>
      <c r="J432" s="236"/>
      <c r="K432" s="236"/>
      <c r="L432" s="236"/>
      <c r="M432" s="236"/>
      <c r="N432" s="236"/>
      <c r="O432" s="236"/>
      <c r="P432" s="236"/>
      <c r="Q432" s="236"/>
      <c r="R432" s="236"/>
    </row>
    <row r="433">
      <c r="A433" s="236"/>
      <c r="B433" s="236"/>
      <c r="C433" s="236"/>
      <c r="D433" s="236"/>
      <c r="E433" s="236"/>
      <c r="F433" s="367"/>
      <c r="G433" s="236"/>
      <c r="H433" s="236"/>
      <c r="I433" s="236"/>
      <c r="J433" s="236"/>
      <c r="K433" s="236"/>
      <c r="L433" s="236"/>
      <c r="M433" s="236"/>
      <c r="N433" s="236"/>
      <c r="O433" s="236"/>
      <c r="P433" s="236"/>
      <c r="Q433" s="236"/>
      <c r="R433" s="236"/>
    </row>
    <row r="434">
      <c r="A434" s="236"/>
      <c r="B434" s="236"/>
      <c r="C434" s="236"/>
      <c r="D434" s="236"/>
      <c r="E434" s="236"/>
      <c r="F434" s="367"/>
      <c r="G434" s="236"/>
      <c r="H434" s="236"/>
      <c r="I434" s="236"/>
      <c r="J434" s="236"/>
      <c r="K434" s="236"/>
      <c r="L434" s="236"/>
      <c r="M434" s="236"/>
      <c r="N434" s="236"/>
      <c r="O434" s="236"/>
      <c r="P434" s="236"/>
      <c r="Q434" s="236"/>
      <c r="R434" s="236"/>
    </row>
    <row r="435">
      <c r="A435" s="236"/>
      <c r="B435" s="236"/>
      <c r="C435" s="236"/>
      <c r="D435" s="236"/>
      <c r="E435" s="236"/>
      <c r="F435" s="367"/>
      <c r="G435" s="236"/>
      <c r="H435" s="236"/>
      <c r="I435" s="236"/>
      <c r="J435" s="236"/>
      <c r="K435" s="236"/>
      <c r="L435" s="236"/>
      <c r="M435" s="236"/>
      <c r="N435" s="236"/>
      <c r="O435" s="236"/>
      <c r="P435" s="236"/>
      <c r="Q435" s="236"/>
      <c r="R435" s="236"/>
    </row>
    <row r="436">
      <c r="A436" s="236"/>
      <c r="B436" s="236"/>
      <c r="C436" s="236"/>
      <c r="D436" s="236"/>
      <c r="E436" s="236"/>
      <c r="F436" s="367"/>
      <c r="G436" s="236"/>
      <c r="H436" s="236"/>
      <c r="I436" s="236"/>
      <c r="J436" s="236"/>
      <c r="K436" s="236"/>
      <c r="L436" s="236"/>
      <c r="M436" s="236"/>
      <c r="N436" s="236"/>
      <c r="O436" s="236"/>
      <c r="P436" s="236"/>
      <c r="Q436" s="236"/>
      <c r="R436" s="236"/>
    </row>
    <row r="437">
      <c r="A437" s="236"/>
      <c r="B437" s="236"/>
      <c r="C437" s="236"/>
      <c r="D437" s="236"/>
      <c r="E437" s="236"/>
      <c r="F437" s="367"/>
      <c r="G437" s="236"/>
      <c r="H437" s="236"/>
      <c r="I437" s="236"/>
      <c r="J437" s="236"/>
      <c r="K437" s="236"/>
      <c r="L437" s="236"/>
      <c r="M437" s="236"/>
      <c r="N437" s="236"/>
      <c r="O437" s="236"/>
      <c r="P437" s="236"/>
      <c r="Q437" s="236"/>
      <c r="R437" s="236"/>
    </row>
    <row r="438">
      <c r="A438" s="236"/>
      <c r="B438" s="236"/>
      <c r="C438" s="236"/>
      <c r="D438" s="236"/>
      <c r="E438" s="236"/>
      <c r="F438" s="367"/>
      <c r="G438" s="236"/>
      <c r="H438" s="236"/>
      <c r="I438" s="236"/>
      <c r="J438" s="236"/>
      <c r="K438" s="236"/>
      <c r="L438" s="236"/>
      <c r="M438" s="236"/>
      <c r="N438" s="236"/>
      <c r="O438" s="236"/>
      <c r="P438" s="236"/>
      <c r="Q438" s="236"/>
      <c r="R438" s="236"/>
    </row>
    <row r="439">
      <c r="A439" s="236"/>
      <c r="B439" s="236"/>
      <c r="C439" s="236"/>
      <c r="D439" s="236"/>
      <c r="E439" s="236"/>
      <c r="F439" s="367"/>
      <c r="G439" s="236"/>
      <c r="H439" s="236"/>
      <c r="I439" s="236"/>
      <c r="J439" s="236"/>
      <c r="K439" s="236"/>
      <c r="L439" s="236"/>
      <c r="M439" s="236"/>
      <c r="N439" s="236"/>
      <c r="O439" s="236"/>
      <c r="P439" s="236"/>
      <c r="Q439" s="236"/>
      <c r="R439" s="236"/>
    </row>
    <row r="440">
      <c r="A440" s="236"/>
      <c r="B440" s="236"/>
      <c r="C440" s="236"/>
      <c r="D440" s="236"/>
      <c r="E440" s="236"/>
      <c r="F440" s="367"/>
      <c r="G440" s="236"/>
      <c r="H440" s="236"/>
      <c r="I440" s="236"/>
      <c r="J440" s="236"/>
      <c r="K440" s="236"/>
      <c r="L440" s="236"/>
      <c r="M440" s="236"/>
      <c r="N440" s="236"/>
      <c r="O440" s="236"/>
      <c r="P440" s="236"/>
      <c r="Q440" s="236"/>
      <c r="R440" s="236"/>
    </row>
    <row r="441">
      <c r="A441" s="236"/>
      <c r="B441" s="236"/>
      <c r="C441" s="236"/>
      <c r="D441" s="236"/>
      <c r="E441" s="236"/>
      <c r="F441" s="367"/>
      <c r="G441" s="236"/>
      <c r="H441" s="236"/>
      <c r="I441" s="236"/>
      <c r="J441" s="236"/>
      <c r="K441" s="236"/>
      <c r="L441" s="236"/>
      <c r="M441" s="236"/>
      <c r="N441" s="236"/>
      <c r="O441" s="236"/>
      <c r="P441" s="236"/>
      <c r="Q441" s="236"/>
      <c r="R441" s="236"/>
    </row>
    <row r="442">
      <c r="A442" s="236"/>
      <c r="B442" s="236"/>
      <c r="C442" s="236"/>
      <c r="D442" s="236"/>
      <c r="E442" s="236"/>
      <c r="F442" s="367"/>
      <c r="G442" s="236"/>
      <c r="H442" s="236"/>
      <c r="I442" s="236"/>
      <c r="J442" s="236"/>
      <c r="K442" s="236"/>
      <c r="L442" s="236"/>
      <c r="M442" s="236"/>
      <c r="N442" s="236"/>
      <c r="O442" s="236"/>
      <c r="P442" s="236"/>
      <c r="Q442" s="236"/>
      <c r="R442" s="236"/>
    </row>
    <row r="443">
      <c r="A443" s="236"/>
      <c r="B443" s="236"/>
      <c r="C443" s="236"/>
      <c r="D443" s="236"/>
      <c r="E443" s="236"/>
      <c r="F443" s="367"/>
      <c r="G443" s="236"/>
      <c r="H443" s="236"/>
      <c r="I443" s="236"/>
      <c r="J443" s="236"/>
      <c r="K443" s="236"/>
      <c r="L443" s="236"/>
      <c r="M443" s="236"/>
      <c r="N443" s="236"/>
      <c r="O443" s="236"/>
      <c r="P443" s="236"/>
      <c r="Q443" s="236"/>
      <c r="R443" s="236"/>
    </row>
    <row r="444">
      <c r="A444" s="236"/>
      <c r="B444" s="236"/>
      <c r="C444" s="236"/>
      <c r="D444" s="236"/>
      <c r="E444" s="236"/>
      <c r="F444" s="367"/>
      <c r="G444" s="236"/>
      <c r="H444" s="236"/>
      <c r="I444" s="236"/>
      <c r="J444" s="236"/>
      <c r="K444" s="236"/>
      <c r="L444" s="236"/>
      <c r="M444" s="236"/>
      <c r="N444" s="236"/>
      <c r="O444" s="236"/>
      <c r="P444" s="236"/>
      <c r="Q444" s="236"/>
      <c r="R444" s="236"/>
    </row>
    <row r="445">
      <c r="A445" s="236"/>
      <c r="B445" s="236"/>
      <c r="C445" s="236"/>
      <c r="D445" s="236"/>
      <c r="E445" s="236"/>
      <c r="F445" s="367"/>
      <c r="G445" s="236"/>
      <c r="H445" s="236"/>
      <c r="I445" s="236"/>
      <c r="J445" s="236"/>
      <c r="K445" s="236"/>
      <c r="L445" s="236"/>
      <c r="M445" s="236"/>
      <c r="N445" s="236"/>
      <c r="O445" s="236"/>
      <c r="P445" s="236"/>
      <c r="Q445" s="236"/>
      <c r="R445" s="236"/>
    </row>
    <row r="446">
      <c r="A446" s="236"/>
      <c r="B446" s="236"/>
      <c r="C446" s="236"/>
      <c r="D446" s="236"/>
      <c r="E446" s="236"/>
      <c r="F446" s="367"/>
      <c r="G446" s="236"/>
      <c r="H446" s="236"/>
      <c r="I446" s="236"/>
      <c r="J446" s="236"/>
      <c r="K446" s="236"/>
      <c r="L446" s="236"/>
      <c r="M446" s="236"/>
      <c r="N446" s="236"/>
      <c r="O446" s="236"/>
      <c r="P446" s="236"/>
      <c r="Q446" s="236"/>
      <c r="R446" s="236"/>
    </row>
    <row r="447">
      <c r="A447" s="236"/>
      <c r="B447" s="236"/>
      <c r="C447" s="236"/>
      <c r="D447" s="236"/>
      <c r="E447" s="236"/>
      <c r="F447" s="367"/>
      <c r="G447" s="236"/>
      <c r="H447" s="236"/>
      <c r="I447" s="236"/>
      <c r="J447" s="236"/>
      <c r="K447" s="236"/>
      <c r="L447" s="236"/>
      <c r="M447" s="236"/>
      <c r="N447" s="236"/>
      <c r="O447" s="236"/>
      <c r="P447" s="236"/>
      <c r="Q447" s="236"/>
      <c r="R447" s="236"/>
    </row>
    <row r="448">
      <c r="A448" s="236"/>
      <c r="B448" s="236"/>
      <c r="C448" s="236"/>
      <c r="D448" s="236"/>
      <c r="E448" s="236"/>
      <c r="F448" s="367"/>
      <c r="G448" s="236"/>
      <c r="H448" s="236"/>
      <c r="I448" s="236"/>
      <c r="J448" s="236"/>
      <c r="K448" s="236"/>
      <c r="L448" s="236"/>
      <c r="M448" s="236"/>
      <c r="N448" s="236"/>
      <c r="O448" s="236"/>
      <c r="P448" s="236"/>
      <c r="Q448" s="236"/>
      <c r="R448" s="236"/>
    </row>
    <row r="449">
      <c r="A449" s="236"/>
      <c r="B449" s="236"/>
      <c r="C449" s="236"/>
      <c r="D449" s="236"/>
      <c r="E449" s="236"/>
      <c r="F449" s="367"/>
      <c r="G449" s="236"/>
      <c r="H449" s="236"/>
      <c r="I449" s="236"/>
      <c r="J449" s="236"/>
      <c r="K449" s="236"/>
      <c r="L449" s="236"/>
      <c r="M449" s="236"/>
      <c r="N449" s="236"/>
      <c r="O449" s="236"/>
      <c r="P449" s="236"/>
      <c r="Q449" s="236"/>
      <c r="R449" s="236"/>
    </row>
    <row r="450">
      <c r="A450" s="236"/>
      <c r="B450" s="236"/>
      <c r="C450" s="236"/>
      <c r="D450" s="236"/>
      <c r="E450" s="236"/>
      <c r="F450" s="367"/>
      <c r="G450" s="236"/>
      <c r="H450" s="236"/>
      <c r="I450" s="236"/>
      <c r="J450" s="236"/>
      <c r="K450" s="236"/>
      <c r="L450" s="236"/>
      <c r="M450" s="236"/>
      <c r="N450" s="236"/>
      <c r="O450" s="236"/>
      <c r="P450" s="236"/>
      <c r="Q450" s="236"/>
      <c r="R450" s="236"/>
    </row>
    <row r="451">
      <c r="A451" s="236"/>
      <c r="B451" s="236"/>
      <c r="C451" s="236"/>
      <c r="D451" s="236"/>
      <c r="E451" s="236"/>
      <c r="F451" s="367"/>
      <c r="G451" s="236"/>
      <c r="H451" s="236"/>
      <c r="I451" s="236"/>
      <c r="J451" s="236"/>
      <c r="K451" s="236"/>
      <c r="L451" s="236"/>
      <c r="M451" s="236"/>
      <c r="N451" s="236"/>
      <c r="O451" s="236"/>
      <c r="P451" s="236"/>
      <c r="Q451" s="236"/>
      <c r="R451" s="236"/>
    </row>
    <row r="452">
      <c r="A452" s="236"/>
      <c r="B452" s="236"/>
      <c r="C452" s="236"/>
      <c r="D452" s="236"/>
      <c r="E452" s="236"/>
      <c r="F452" s="367"/>
      <c r="G452" s="236"/>
      <c r="H452" s="236"/>
      <c r="I452" s="236"/>
      <c r="J452" s="236"/>
      <c r="K452" s="236"/>
      <c r="L452" s="236"/>
      <c r="M452" s="236"/>
      <c r="N452" s="236"/>
      <c r="O452" s="236"/>
      <c r="P452" s="236"/>
      <c r="Q452" s="236"/>
      <c r="R452" s="236"/>
    </row>
    <row r="453">
      <c r="A453" s="236"/>
      <c r="B453" s="236"/>
      <c r="C453" s="236"/>
      <c r="D453" s="236"/>
      <c r="E453" s="236"/>
      <c r="F453" s="367"/>
      <c r="G453" s="236"/>
      <c r="H453" s="236"/>
      <c r="I453" s="236"/>
      <c r="J453" s="236"/>
      <c r="K453" s="236"/>
      <c r="L453" s="236"/>
      <c r="M453" s="236"/>
      <c r="N453" s="236"/>
      <c r="O453" s="236"/>
      <c r="P453" s="236"/>
      <c r="Q453" s="236"/>
      <c r="R453" s="236"/>
    </row>
    <row r="454">
      <c r="A454" s="236"/>
      <c r="B454" s="236"/>
      <c r="C454" s="236"/>
      <c r="D454" s="236"/>
      <c r="E454" s="236"/>
      <c r="F454" s="367"/>
      <c r="G454" s="236"/>
      <c r="H454" s="236"/>
      <c r="I454" s="236"/>
      <c r="J454" s="236"/>
      <c r="K454" s="236"/>
      <c r="L454" s="236"/>
      <c r="M454" s="236"/>
      <c r="N454" s="236"/>
      <c r="O454" s="236"/>
      <c r="P454" s="236"/>
      <c r="Q454" s="236"/>
      <c r="R454" s="236"/>
    </row>
    <row r="455">
      <c r="A455" s="236"/>
      <c r="B455" s="236"/>
      <c r="C455" s="236"/>
      <c r="D455" s="236"/>
      <c r="E455" s="236"/>
      <c r="F455" s="367"/>
      <c r="G455" s="236"/>
      <c r="H455" s="236"/>
      <c r="I455" s="236"/>
      <c r="J455" s="236"/>
      <c r="K455" s="236"/>
      <c r="L455" s="236"/>
      <c r="M455" s="236"/>
      <c r="N455" s="236"/>
      <c r="O455" s="236"/>
      <c r="P455" s="236"/>
      <c r="Q455" s="236"/>
      <c r="R455" s="236"/>
    </row>
    <row r="456">
      <c r="A456" s="236"/>
      <c r="B456" s="236"/>
      <c r="C456" s="236"/>
      <c r="D456" s="236"/>
      <c r="E456" s="236"/>
      <c r="F456" s="367"/>
      <c r="G456" s="236"/>
      <c r="H456" s="236"/>
      <c r="I456" s="236"/>
      <c r="J456" s="236"/>
      <c r="K456" s="236"/>
      <c r="L456" s="236"/>
      <c r="M456" s="236"/>
      <c r="N456" s="236"/>
      <c r="O456" s="236"/>
      <c r="P456" s="236"/>
      <c r="Q456" s="236"/>
      <c r="R456" s="236"/>
    </row>
    <row r="457">
      <c r="A457" s="236"/>
      <c r="B457" s="236"/>
      <c r="C457" s="236"/>
      <c r="D457" s="236"/>
      <c r="E457" s="236"/>
      <c r="F457" s="367"/>
      <c r="G457" s="236"/>
      <c r="H457" s="236"/>
      <c r="I457" s="236"/>
      <c r="J457" s="236"/>
      <c r="K457" s="236"/>
      <c r="L457" s="236"/>
      <c r="M457" s="236"/>
      <c r="N457" s="236"/>
      <c r="O457" s="236"/>
      <c r="P457" s="236"/>
      <c r="Q457" s="236"/>
      <c r="R457" s="236"/>
    </row>
    <row r="458">
      <c r="A458" s="236"/>
      <c r="B458" s="236"/>
      <c r="C458" s="236"/>
      <c r="D458" s="236"/>
      <c r="E458" s="236"/>
      <c r="F458" s="367"/>
      <c r="G458" s="236"/>
      <c r="H458" s="236"/>
      <c r="I458" s="236"/>
      <c r="J458" s="236"/>
      <c r="K458" s="236"/>
      <c r="L458" s="236"/>
      <c r="M458" s="236"/>
      <c r="N458" s="236"/>
      <c r="O458" s="236"/>
      <c r="P458" s="236"/>
      <c r="Q458" s="236"/>
      <c r="R458" s="236"/>
    </row>
    <row r="459">
      <c r="A459" s="236"/>
      <c r="B459" s="236"/>
      <c r="C459" s="236"/>
      <c r="D459" s="236"/>
      <c r="E459" s="236"/>
      <c r="F459" s="367"/>
      <c r="G459" s="236"/>
      <c r="H459" s="236"/>
      <c r="I459" s="236"/>
      <c r="J459" s="236"/>
      <c r="K459" s="236"/>
      <c r="L459" s="236"/>
      <c r="M459" s="236"/>
      <c r="N459" s="236"/>
      <c r="O459" s="236"/>
      <c r="P459" s="236"/>
      <c r="Q459" s="236"/>
      <c r="R459" s="236"/>
    </row>
    <row r="460">
      <c r="A460" s="236"/>
      <c r="B460" s="236"/>
      <c r="C460" s="236"/>
      <c r="D460" s="236"/>
      <c r="E460" s="236"/>
      <c r="F460" s="367"/>
      <c r="G460" s="236"/>
      <c r="H460" s="236"/>
      <c r="I460" s="236"/>
      <c r="J460" s="236"/>
      <c r="K460" s="236"/>
      <c r="L460" s="236"/>
      <c r="M460" s="236"/>
      <c r="N460" s="236"/>
      <c r="O460" s="236"/>
      <c r="P460" s="236"/>
      <c r="Q460" s="236"/>
      <c r="R460" s="236"/>
    </row>
    <row r="461">
      <c r="A461" s="236"/>
      <c r="B461" s="236"/>
      <c r="C461" s="236"/>
      <c r="D461" s="236"/>
      <c r="E461" s="236"/>
      <c r="F461" s="367"/>
      <c r="G461" s="236"/>
      <c r="H461" s="236"/>
      <c r="I461" s="236"/>
      <c r="J461" s="236"/>
      <c r="K461" s="236"/>
      <c r="L461" s="236"/>
      <c r="M461" s="236"/>
      <c r="N461" s="236"/>
      <c r="O461" s="236"/>
      <c r="P461" s="236"/>
      <c r="Q461" s="236"/>
      <c r="R461" s="236"/>
    </row>
    <row r="462">
      <c r="A462" s="236"/>
      <c r="B462" s="236"/>
      <c r="C462" s="236"/>
      <c r="D462" s="236"/>
      <c r="E462" s="236"/>
      <c r="F462" s="367"/>
      <c r="G462" s="236"/>
      <c r="H462" s="236"/>
      <c r="I462" s="236"/>
      <c r="J462" s="236"/>
      <c r="K462" s="236"/>
      <c r="L462" s="236"/>
      <c r="M462" s="236"/>
      <c r="N462" s="236"/>
      <c r="O462" s="236"/>
      <c r="P462" s="236"/>
      <c r="Q462" s="236"/>
      <c r="R462" s="236"/>
    </row>
    <row r="463">
      <c r="A463" s="236"/>
      <c r="B463" s="236"/>
      <c r="C463" s="236"/>
      <c r="D463" s="236"/>
      <c r="E463" s="236"/>
      <c r="F463" s="367"/>
      <c r="G463" s="236"/>
      <c r="H463" s="236"/>
      <c r="I463" s="236"/>
      <c r="J463" s="236"/>
      <c r="K463" s="236"/>
      <c r="L463" s="236"/>
      <c r="M463" s="236"/>
      <c r="N463" s="236"/>
      <c r="O463" s="236"/>
      <c r="P463" s="236"/>
      <c r="Q463" s="236"/>
      <c r="R463" s="236"/>
    </row>
    <row r="464">
      <c r="A464" s="236"/>
      <c r="B464" s="236"/>
      <c r="C464" s="236"/>
      <c r="D464" s="236"/>
      <c r="E464" s="236"/>
      <c r="F464" s="367"/>
      <c r="G464" s="236"/>
      <c r="H464" s="236"/>
      <c r="I464" s="236"/>
      <c r="J464" s="236"/>
      <c r="K464" s="236"/>
      <c r="L464" s="236"/>
      <c r="M464" s="236"/>
      <c r="N464" s="236"/>
      <c r="O464" s="236"/>
      <c r="P464" s="236"/>
      <c r="Q464" s="236"/>
      <c r="R464" s="236"/>
    </row>
    <row r="465">
      <c r="A465" s="236"/>
      <c r="B465" s="236"/>
      <c r="C465" s="236"/>
      <c r="D465" s="236"/>
      <c r="E465" s="236"/>
      <c r="F465" s="367"/>
      <c r="G465" s="236"/>
      <c r="H465" s="236"/>
      <c r="I465" s="236"/>
      <c r="J465" s="236"/>
      <c r="K465" s="236"/>
      <c r="L465" s="236"/>
      <c r="M465" s="236"/>
      <c r="N465" s="236"/>
      <c r="O465" s="236"/>
      <c r="P465" s="236"/>
      <c r="Q465" s="236"/>
      <c r="R465" s="236"/>
    </row>
    <row r="466">
      <c r="A466" s="236"/>
      <c r="B466" s="236"/>
      <c r="C466" s="236"/>
      <c r="D466" s="236"/>
      <c r="E466" s="236"/>
      <c r="F466" s="367"/>
      <c r="G466" s="236"/>
      <c r="H466" s="236"/>
      <c r="I466" s="236"/>
      <c r="J466" s="236"/>
      <c r="K466" s="236"/>
      <c r="L466" s="236"/>
      <c r="M466" s="236"/>
      <c r="N466" s="236"/>
      <c r="O466" s="236"/>
      <c r="P466" s="236"/>
      <c r="Q466" s="236"/>
      <c r="R466" s="236"/>
    </row>
    <row r="467">
      <c r="A467" s="236"/>
      <c r="B467" s="236"/>
      <c r="C467" s="236"/>
      <c r="D467" s="236"/>
      <c r="E467" s="236"/>
      <c r="F467" s="367"/>
      <c r="G467" s="236"/>
      <c r="H467" s="236"/>
      <c r="I467" s="236"/>
      <c r="J467" s="236"/>
      <c r="K467" s="236"/>
      <c r="L467" s="236"/>
      <c r="M467" s="236"/>
      <c r="N467" s="236"/>
      <c r="O467" s="236"/>
      <c r="P467" s="236"/>
      <c r="Q467" s="236"/>
      <c r="R467" s="236"/>
    </row>
    <row r="468">
      <c r="A468" s="236"/>
      <c r="B468" s="236"/>
      <c r="C468" s="236"/>
      <c r="D468" s="236"/>
      <c r="E468" s="236"/>
      <c r="F468" s="367"/>
      <c r="G468" s="236"/>
      <c r="H468" s="236"/>
      <c r="I468" s="236"/>
      <c r="J468" s="236"/>
      <c r="K468" s="236"/>
      <c r="L468" s="236"/>
      <c r="M468" s="236"/>
      <c r="N468" s="236"/>
      <c r="O468" s="236"/>
      <c r="P468" s="236"/>
      <c r="Q468" s="236"/>
      <c r="R468" s="236"/>
    </row>
    <row r="469">
      <c r="A469" s="236"/>
      <c r="B469" s="236"/>
      <c r="C469" s="236"/>
      <c r="D469" s="236"/>
      <c r="E469" s="236"/>
      <c r="F469" s="367"/>
      <c r="G469" s="236"/>
      <c r="H469" s="236"/>
      <c r="I469" s="236"/>
      <c r="J469" s="236"/>
      <c r="K469" s="236"/>
      <c r="L469" s="236"/>
      <c r="M469" s="236"/>
      <c r="N469" s="236"/>
      <c r="O469" s="236"/>
      <c r="P469" s="236"/>
      <c r="Q469" s="236"/>
      <c r="R469" s="236"/>
    </row>
    <row r="470">
      <c r="A470" s="236"/>
      <c r="B470" s="236"/>
      <c r="C470" s="236"/>
      <c r="D470" s="236"/>
      <c r="E470" s="236"/>
      <c r="F470" s="367"/>
      <c r="G470" s="236"/>
      <c r="H470" s="236"/>
      <c r="I470" s="236"/>
      <c r="J470" s="236"/>
      <c r="K470" s="236"/>
      <c r="L470" s="236"/>
      <c r="M470" s="236"/>
      <c r="N470" s="236"/>
      <c r="O470" s="236"/>
      <c r="P470" s="236"/>
      <c r="Q470" s="236"/>
      <c r="R470" s="236"/>
    </row>
    <row r="471">
      <c r="A471" s="236"/>
      <c r="B471" s="236"/>
      <c r="C471" s="236"/>
      <c r="D471" s="236"/>
      <c r="E471" s="236"/>
      <c r="F471" s="367"/>
      <c r="G471" s="236"/>
      <c r="H471" s="236"/>
      <c r="I471" s="236"/>
      <c r="J471" s="236"/>
      <c r="K471" s="236"/>
      <c r="L471" s="236"/>
      <c r="M471" s="236"/>
      <c r="N471" s="236"/>
      <c r="O471" s="236"/>
      <c r="P471" s="236"/>
      <c r="Q471" s="236"/>
      <c r="R471" s="236"/>
    </row>
    <row r="472">
      <c r="A472" s="236"/>
      <c r="B472" s="236"/>
      <c r="C472" s="236"/>
      <c r="D472" s="236"/>
      <c r="E472" s="236"/>
      <c r="F472" s="367"/>
      <c r="G472" s="236"/>
      <c r="H472" s="236"/>
      <c r="I472" s="236"/>
      <c r="J472" s="236"/>
      <c r="K472" s="236"/>
      <c r="L472" s="236"/>
      <c r="M472" s="236"/>
      <c r="N472" s="236"/>
      <c r="O472" s="236"/>
      <c r="P472" s="236"/>
      <c r="Q472" s="236"/>
      <c r="R472" s="236"/>
    </row>
    <row r="473">
      <c r="A473" s="236"/>
      <c r="B473" s="236"/>
      <c r="C473" s="236"/>
      <c r="D473" s="236"/>
      <c r="E473" s="236"/>
      <c r="F473" s="367"/>
      <c r="G473" s="236"/>
      <c r="H473" s="236"/>
      <c r="I473" s="236"/>
      <c r="J473" s="236"/>
      <c r="K473" s="236"/>
      <c r="L473" s="236"/>
      <c r="M473" s="236"/>
      <c r="N473" s="236"/>
      <c r="O473" s="236"/>
      <c r="P473" s="236"/>
      <c r="Q473" s="236"/>
      <c r="R473" s="236"/>
    </row>
    <row r="474">
      <c r="A474" s="236"/>
      <c r="B474" s="236"/>
      <c r="C474" s="236"/>
      <c r="D474" s="236"/>
      <c r="E474" s="236"/>
      <c r="F474" s="367"/>
      <c r="G474" s="236"/>
      <c r="H474" s="236"/>
      <c r="I474" s="236"/>
      <c r="J474" s="236"/>
      <c r="K474" s="236"/>
      <c r="L474" s="236"/>
      <c r="M474" s="236"/>
      <c r="N474" s="236"/>
      <c r="O474" s="236"/>
      <c r="P474" s="236"/>
      <c r="Q474" s="236"/>
      <c r="R474" s="236"/>
    </row>
    <row r="475">
      <c r="A475" s="236"/>
      <c r="B475" s="236"/>
      <c r="C475" s="236"/>
      <c r="D475" s="236"/>
      <c r="E475" s="236"/>
      <c r="F475" s="367"/>
      <c r="G475" s="236"/>
      <c r="H475" s="236"/>
      <c r="I475" s="236"/>
      <c r="J475" s="236"/>
      <c r="K475" s="236"/>
      <c r="L475" s="236"/>
      <c r="M475" s="236"/>
      <c r="N475" s="236"/>
      <c r="O475" s="236"/>
      <c r="P475" s="236"/>
      <c r="Q475" s="236"/>
      <c r="R475" s="236"/>
    </row>
    <row r="476">
      <c r="A476" s="236"/>
      <c r="B476" s="236"/>
      <c r="C476" s="236"/>
      <c r="D476" s="236"/>
      <c r="E476" s="236"/>
      <c r="F476" s="367"/>
      <c r="G476" s="236"/>
      <c r="H476" s="236"/>
      <c r="I476" s="236"/>
      <c r="J476" s="236"/>
      <c r="K476" s="236"/>
      <c r="L476" s="236"/>
      <c r="M476" s="236"/>
      <c r="N476" s="236"/>
      <c r="O476" s="236"/>
      <c r="P476" s="236"/>
      <c r="Q476" s="236"/>
      <c r="R476" s="236"/>
    </row>
    <row r="477">
      <c r="A477" s="236"/>
      <c r="B477" s="236"/>
      <c r="C477" s="236"/>
      <c r="D477" s="236"/>
      <c r="E477" s="236"/>
      <c r="F477" s="367"/>
      <c r="G477" s="236"/>
      <c r="H477" s="236"/>
      <c r="I477" s="236"/>
      <c r="J477" s="236"/>
      <c r="K477" s="236"/>
      <c r="L477" s="236"/>
      <c r="M477" s="236"/>
      <c r="N477" s="236"/>
      <c r="O477" s="236"/>
      <c r="P477" s="236"/>
      <c r="Q477" s="236"/>
      <c r="R477" s="236"/>
    </row>
    <row r="478">
      <c r="A478" s="236"/>
      <c r="B478" s="236"/>
      <c r="C478" s="236"/>
      <c r="D478" s="236"/>
      <c r="E478" s="236"/>
      <c r="F478" s="367"/>
      <c r="G478" s="236"/>
      <c r="H478" s="236"/>
      <c r="I478" s="236"/>
      <c r="J478" s="236"/>
      <c r="K478" s="236"/>
      <c r="L478" s="236"/>
      <c r="M478" s="236"/>
      <c r="N478" s="236"/>
      <c r="O478" s="236"/>
      <c r="P478" s="236"/>
      <c r="Q478" s="236"/>
      <c r="R478" s="236"/>
    </row>
    <row r="479">
      <c r="A479" s="236"/>
      <c r="B479" s="236"/>
      <c r="C479" s="236"/>
      <c r="D479" s="236"/>
      <c r="E479" s="236"/>
      <c r="F479" s="367"/>
      <c r="G479" s="236"/>
      <c r="H479" s="236"/>
      <c r="I479" s="236"/>
      <c r="J479" s="236"/>
      <c r="K479" s="236"/>
      <c r="L479" s="236"/>
      <c r="M479" s="236"/>
      <c r="N479" s="236"/>
      <c r="O479" s="236"/>
      <c r="P479" s="236"/>
      <c r="Q479" s="236"/>
      <c r="R479" s="236"/>
    </row>
    <row r="480">
      <c r="A480" s="236"/>
      <c r="B480" s="236"/>
      <c r="C480" s="236"/>
      <c r="D480" s="236"/>
      <c r="E480" s="236"/>
      <c r="F480" s="367"/>
      <c r="G480" s="236"/>
      <c r="H480" s="236"/>
      <c r="I480" s="236"/>
      <c r="J480" s="236"/>
      <c r="K480" s="236"/>
      <c r="L480" s="236"/>
      <c r="M480" s="236"/>
      <c r="N480" s="236"/>
      <c r="O480" s="236"/>
      <c r="P480" s="236"/>
      <c r="Q480" s="236"/>
      <c r="R480" s="236"/>
    </row>
    <row r="481">
      <c r="A481" s="236"/>
      <c r="B481" s="236"/>
      <c r="C481" s="236"/>
      <c r="D481" s="236"/>
      <c r="E481" s="236"/>
      <c r="F481" s="367"/>
      <c r="G481" s="236"/>
      <c r="H481" s="236"/>
      <c r="I481" s="236"/>
      <c r="J481" s="236"/>
      <c r="K481" s="236"/>
      <c r="L481" s="236"/>
      <c r="M481" s="236"/>
      <c r="N481" s="236"/>
      <c r="O481" s="236"/>
      <c r="P481" s="236"/>
      <c r="Q481" s="236"/>
      <c r="R481" s="236"/>
    </row>
    <row r="482">
      <c r="A482" s="236"/>
      <c r="B482" s="236"/>
      <c r="C482" s="236"/>
      <c r="D482" s="236"/>
      <c r="E482" s="236"/>
      <c r="F482" s="367"/>
      <c r="G482" s="236"/>
      <c r="H482" s="236"/>
      <c r="I482" s="236"/>
      <c r="J482" s="236"/>
      <c r="K482" s="236"/>
      <c r="L482" s="236"/>
      <c r="M482" s="236"/>
      <c r="N482" s="236"/>
      <c r="O482" s="236"/>
      <c r="P482" s="236"/>
      <c r="Q482" s="236"/>
      <c r="R482" s="236"/>
    </row>
    <row r="483">
      <c r="A483" s="236"/>
      <c r="B483" s="236"/>
      <c r="C483" s="236"/>
      <c r="D483" s="236"/>
      <c r="E483" s="236"/>
      <c r="F483" s="367"/>
      <c r="G483" s="236"/>
      <c r="H483" s="236"/>
      <c r="I483" s="236"/>
      <c r="J483" s="236"/>
      <c r="K483" s="236"/>
      <c r="L483" s="236"/>
      <c r="M483" s="236"/>
      <c r="N483" s="236"/>
      <c r="O483" s="236"/>
      <c r="P483" s="236"/>
      <c r="Q483" s="236"/>
      <c r="R483" s="236"/>
    </row>
    <row r="484">
      <c r="A484" s="236"/>
      <c r="B484" s="236"/>
      <c r="C484" s="236"/>
      <c r="D484" s="236"/>
      <c r="E484" s="236"/>
      <c r="F484" s="367"/>
      <c r="G484" s="236"/>
      <c r="H484" s="236"/>
      <c r="I484" s="236"/>
      <c r="J484" s="236"/>
      <c r="K484" s="236"/>
      <c r="L484" s="236"/>
      <c r="M484" s="236"/>
      <c r="N484" s="236"/>
      <c r="O484" s="236"/>
      <c r="P484" s="236"/>
      <c r="Q484" s="236"/>
      <c r="R484" s="236"/>
    </row>
    <row r="485">
      <c r="A485" s="236"/>
      <c r="B485" s="236"/>
      <c r="C485" s="236"/>
      <c r="D485" s="236"/>
      <c r="E485" s="236"/>
      <c r="F485" s="367"/>
      <c r="G485" s="236"/>
      <c r="H485" s="236"/>
      <c r="I485" s="236"/>
      <c r="J485" s="236"/>
      <c r="K485" s="236"/>
      <c r="L485" s="236"/>
      <c r="M485" s="236"/>
      <c r="N485" s="236"/>
      <c r="O485" s="236"/>
      <c r="P485" s="236"/>
      <c r="Q485" s="236"/>
      <c r="R485" s="236"/>
    </row>
    <row r="486">
      <c r="A486" s="236"/>
      <c r="B486" s="236"/>
      <c r="C486" s="236"/>
      <c r="D486" s="236"/>
      <c r="E486" s="236"/>
      <c r="F486" s="367"/>
      <c r="G486" s="236"/>
      <c r="H486" s="236"/>
      <c r="I486" s="236"/>
      <c r="J486" s="236"/>
      <c r="K486" s="236"/>
      <c r="L486" s="236"/>
      <c r="M486" s="236"/>
      <c r="N486" s="236"/>
      <c r="O486" s="236"/>
      <c r="P486" s="236"/>
      <c r="Q486" s="236"/>
      <c r="R486" s="236"/>
    </row>
    <row r="487">
      <c r="A487" s="236"/>
      <c r="B487" s="236"/>
      <c r="C487" s="236"/>
      <c r="D487" s="236"/>
      <c r="E487" s="236"/>
      <c r="F487" s="367"/>
      <c r="G487" s="236"/>
      <c r="H487" s="236"/>
      <c r="I487" s="236"/>
      <c r="J487" s="236"/>
      <c r="K487" s="236"/>
      <c r="L487" s="236"/>
      <c r="M487" s="236"/>
      <c r="N487" s="236"/>
      <c r="O487" s="236"/>
      <c r="P487" s="236"/>
      <c r="Q487" s="236"/>
      <c r="R487" s="236"/>
    </row>
    <row r="488">
      <c r="A488" s="236"/>
      <c r="B488" s="236"/>
      <c r="C488" s="236"/>
      <c r="D488" s="236"/>
      <c r="E488" s="236"/>
      <c r="F488" s="367"/>
      <c r="G488" s="236"/>
      <c r="H488" s="236"/>
      <c r="I488" s="236"/>
      <c r="J488" s="236"/>
      <c r="K488" s="236"/>
      <c r="L488" s="236"/>
      <c r="M488" s="236"/>
      <c r="N488" s="236"/>
      <c r="O488" s="236"/>
      <c r="P488" s="236"/>
      <c r="Q488" s="236"/>
      <c r="R488" s="236"/>
    </row>
    <row r="489">
      <c r="A489" s="236"/>
      <c r="B489" s="236"/>
      <c r="C489" s="236"/>
      <c r="D489" s="236"/>
      <c r="E489" s="236"/>
      <c r="F489" s="367"/>
      <c r="G489" s="236"/>
      <c r="H489" s="236"/>
      <c r="I489" s="236"/>
      <c r="J489" s="236"/>
      <c r="K489" s="236"/>
      <c r="L489" s="236"/>
      <c r="M489" s="236"/>
      <c r="N489" s="236"/>
      <c r="O489" s="236"/>
      <c r="P489" s="236"/>
      <c r="Q489" s="236"/>
      <c r="R489" s="236"/>
    </row>
    <row r="490">
      <c r="A490" s="236"/>
      <c r="B490" s="236"/>
      <c r="C490" s="236"/>
      <c r="D490" s="236"/>
      <c r="E490" s="236"/>
      <c r="F490" s="367"/>
      <c r="G490" s="236"/>
      <c r="H490" s="236"/>
      <c r="I490" s="236"/>
      <c r="J490" s="236"/>
      <c r="K490" s="236"/>
      <c r="L490" s="236"/>
      <c r="M490" s="236"/>
      <c r="N490" s="236"/>
      <c r="O490" s="236"/>
      <c r="P490" s="236"/>
      <c r="Q490" s="236"/>
      <c r="R490" s="236"/>
    </row>
    <row r="491">
      <c r="A491" s="236"/>
      <c r="B491" s="236"/>
      <c r="C491" s="236"/>
      <c r="D491" s="236"/>
      <c r="E491" s="236"/>
      <c r="F491" s="367"/>
      <c r="G491" s="236"/>
      <c r="H491" s="236"/>
      <c r="I491" s="236"/>
      <c r="J491" s="236"/>
      <c r="K491" s="236"/>
      <c r="L491" s="236"/>
      <c r="M491" s="236"/>
      <c r="N491" s="236"/>
      <c r="O491" s="236"/>
      <c r="P491" s="236"/>
      <c r="Q491" s="236"/>
      <c r="R491" s="236"/>
    </row>
    <row r="492">
      <c r="A492" s="236"/>
      <c r="B492" s="236"/>
      <c r="C492" s="236"/>
      <c r="D492" s="236"/>
      <c r="E492" s="236"/>
      <c r="F492" s="367"/>
      <c r="G492" s="236"/>
      <c r="H492" s="236"/>
      <c r="I492" s="236"/>
      <c r="J492" s="236"/>
      <c r="K492" s="236"/>
      <c r="L492" s="236"/>
      <c r="M492" s="236"/>
      <c r="N492" s="236"/>
      <c r="O492" s="236"/>
      <c r="P492" s="236"/>
      <c r="Q492" s="236"/>
      <c r="R492" s="236"/>
    </row>
    <row r="493">
      <c r="A493" s="236"/>
      <c r="B493" s="236"/>
      <c r="C493" s="236"/>
      <c r="D493" s="236"/>
      <c r="E493" s="236"/>
      <c r="F493" s="367"/>
      <c r="G493" s="236"/>
      <c r="H493" s="236"/>
      <c r="I493" s="236"/>
      <c r="J493" s="236"/>
      <c r="K493" s="236"/>
      <c r="L493" s="236"/>
      <c r="M493" s="236"/>
      <c r="N493" s="236"/>
      <c r="O493" s="236"/>
      <c r="P493" s="236"/>
      <c r="Q493" s="236"/>
      <c r="R493" s="236"/>
    </row>
    <row r="494">
      <c r="A494" s="236"/>
      <c r="B494" s="236"/>
      <c r="C494" s="236"/>
      <c r="D494" s="236"/>
      <c r="E494" s="236"/>
      <c r="F494" s="367"/>
      <c r="G494" s="236"/>
      <c r="H494" s="236"/>
      <c r="I494" s="236"/>
      <c r="J494" s="236"/>
      <c r="K494" s="236"/>
      <c r="L494" s="236"/>
      <c r="M494" s="236"/>
      <c r="N494" s="236"/>
      <c r="O494" s="236"/>
      <c r="P494" s="236"/>
      <c r="Q494" s="236"/>
      <c r="R494" s="236"/>
    </row>
    <row r="495">
      <c r="A495" s="236"/>
      <c r="B495" s="236"/>
      <c r="C495" s="236"/>
      <c r="D495" s="236"/>
      <c r="E495" s="236"/>
      <c r="F495" s="367"/>
      <c r="G495" s="236"/>
      <c r="H495" s="236"/>
      <c r="I495" s="236"/>
      <c r="J495" s="236"/>
      <c r="K495" s="236"/>
      <c r="L495" s="236"/>
      <c r="M495" s="236"/>
      <c r="N495" s="236"/>
      <c r="O495" s="236"/>
      <c r="P495" s="236"/>
      <c r="Q495" s="236"/>
      <c r="R495" s="236"/>
    </row>
    <row r="496">
      <c r="A496" s="236"/>
      <c r="B496" s="236"/>
      <c r="C496" s="236"/>
      <c r="D496" s="236"/>
      <c r="E496" s="236"/>
      <c r="F496" s="367"/>
      <c r="G496" s="236"/>
      <c r="H496" s="236"/>
      <c r="I496" s="236"/>
      <c r="J496" s="236"/>
      <c r="K496" s="236"/>
      <c r="L496" s="236"/>
      <c r="M496" s="236"/>
      <c r="N496" s="236"/>
      <c r="O496" s="236"/>
      <c r="P496" s="236"/>
      <c r="Q496" s="236"/>
      <c r="R496" s="236"/>
    </row>
    <row r="497">
      <c r="A497" s="236"/>
      <c r="B497" s="236"/>
      <c r="C497" s="236"/>
      <c r="D497" s="236"/>
      <c r="E497" s="236"/>
      <c r="F497" s="367"/>
      <c r="G497" s="236"/>
      <c r="H497" s="236"/>
      <c r="I497" s="236"/>
      <c r="J497" s="236"/>
      <c r="K497" s="236"/>
      <c r="L497" s="236"/>
      <c r="M497" s="236"/>
      <c r="N497" s="236"/>
      <c r="O497" s="236"/>
      <c r="P497" s="236"/>
      <c r="Q497" s="236"/>
      <c r="R497" s="236"/>
    </row>
    <row r="498">
      <c r="A498" s="236"/>
      <c r="B498" s="236"/>
      <c r="C498" s="236"/>
      <c r="D498" s="236"/>
      <c r="E498" s="236"/>
      <c r="F498" s="367"/>
      <c r="G498" s="236"/>
      <c r="H498" s="236"/>
      <c r="I498" s="236"/>
      <c r="J498" s="236"/>
      <c r="K498" s="236"/>
      <c r="L498" s="236"/>
      <c r="M498" s="236"/>
      <c r="N498" s="236"/>
      <c r="O498" s="236"/>
      <c r="P498" s="236"/>
      <c r="Q498" s="236"/>
      <c r="R498" s="236"/>
    </row>
    <row r="499">
      <c r="A499" s="236"/>
      <c r="B499" s="236"/>
      <c r="C499" s="236"/>
      <c r="D499" s="236"/>
      <c r="E499" s="236"/>
      <c r="F499" s="367"/>
      <c r="G499" s="236"/>
      <c r="H499" s="236"/>
      <c r="I499" s="236"/>
      <c r="J499" s="236"/>
      <c r="K499" s="236"/>
      <c r="L499" s="236"/>
      <c r="M499" s="236"/>
      <c r="N499" s="236"/>
      <c r="O499" s="236"/>
      <c r="P499" s="236"/>
      <c r="Q499" s="236"/>
      <c r="R499" s="236"/>
    </row>
    <row r="500">
      <c r="A500" s="236"/>
      <c r="B500" s="236"/>
      <c r="C500" s="236"/>
      <c r="D500" s="236"/>
      <c r="E500" s="236"/>
      <c r="F500" s="367"/>
      <c r="G500" s="236"/>
      <c r="H500" s="236"/>
      <c r="I500" s="236"/>
      <c r="J500" s="236"/>
      <c r="K500" s="236"/>
      <c r="L500" s="236"/>
      <c r="M500" s="236"/>
      <c r="N500" s="236"/>
      <c r="O500" s="236"/>
      <c r="P500" s="236"/>
      <c r="Q500" s="236"/>
      <c r="R500" s="236"/>
    </row>
    <row r="501">
      <c r="A501" s="236"/>
      <c r="B501" s="236"/>
      <c r="C501" s="236"/>
      <c r="D501" s="236"/>
      <c r="E501" s="236"/>
      <c r="F501" s="367"/>
      <c r="G501" s="236"/>
      <c r="H501" s="236"/>
      <c r="I501" s="236"/>
      <c r="J501" s="236"/>
      <c r="K501" s="236"/>
      <c r="L501" s="236"/>
      <c r="M501" s="236"/>
      <c r="N501" s="236"/>
      <c r="O501" s="236"/>
      <c r="P501" s="236"/>
      <c r="Q501" s="236"/>
      <c r="R501" s="236"/>
    </row>
    <row r="502">
      <c r="A502" s="236"/>
      <c r="B502" s="236"/>
      <c r="C502" s="236"/>
      <c r="D502" s="236"/>
      <c r="E502" s="236"/>
      <c r="F502" s="367"/>
      <c r="G502" s="236"/>
      <c r="H502" s="236"/>
      <c r="I502" s="236"/>
      <c r="J502" s="236"/>
      <c r="K502" s="236"/>
      <c r="L502" s="236"/>
      <c r="M502" s="236"/>
      <c r="N502" s="236"/>
      <c r="O502" s="236"/>
      <c r="P502" s="236"/>
      <c r="Q502" s="236"/>
      <c r="R502" s="236"/>
    </row>
    <row r="503">
      <c r="A503" s="236"/>
      <c r="B503" s="236"/>
      <c r="C503" s="236"/>
      <c r="D503" s="236"/>
      <c r="E503" s="236"/>
      <c r="F503" s="367"/>
      <c r="G503" s="236"/>
      <c r="H503" s="236"/>
      <c r="I503" s="236"/>
      <c r="J503" s="236"/>
      <c r="K503" s="236"/>
      <c r="L503" s="236"/>
      <c r="M503" s="236"/>
      <c r="N503" s="236"/>
      <c r="O503" s="236"/>
      <c r="P503" s="236"/>
      <c r="Q503" s="236"/>
      <c r="R503" s="236"/>
    </row>
    <row r="504">
      <c r="A504" s="236"/>
      <c r="B504" s="236"/>
      <c r="C504" s="236"/>
      <c r="D504" s="236"/>
      <c r="E504" s="236"/>
      <c r="F504" s="367"/>
      <c r="G504" s="236"/>
      <c r="H504" s="236"/>
      <c r="I504" s="236"/>
      <c r="J504" s="236"/>
      <c r="K504" s="236"/>
      <c r="L504" s="236"/>
      <c r="M504" s="236"/>
      <c r="N504" s="236"/>
      <c r="O504" s="236"/>
      <c r="P504" s="236"/>
      <c r="Q504" s="236"/>
      <c r="R504" s="236"/>
    </row>
    <row r="505">
      <c r="A505" s="236"/>
      <c r="B505" s="236"/>
      <c r="C505" s="236"/>
      <c r="D505" s="236"/>
      <c r="E505" s="236"/>
      <c r="F505" s="367"/>
      <c r="G505" s="236"/>
      <c r="H505" s="236"/>
      <c r="I505" s="236"/>
      <c r="J505" s="236"/>
      <c r="K505" s="236"/>
      <c r="L505" s="236"/>
      <c r="M505" s="236"/>
      <c r="N505" s="236"/>
      <c r="O505" s="236"/>
      <c r="P505" s="236"/>
      <c r="Q505" s="236"/>
      <c r="R505" s="236"/>
    </row>
    <row r="506">
      <c r="A506" s="236"/>
      <c r="B506" s="236"/>
      <c r="C506" s="236"/>
      <c r="D506" s="236"/>
      <c r="E506" s="236"/>
      <c r="F506" s="367"/>
      <c r="G506" s="236"/>
      <c r="H506" s="236"/>
      <c r="I506" s="236"/>
      <c r="J506" s="236"/>
      <c r="K506" s="236"/>
      <c r="L506" s="236"/>
      <c r="M506" s="236"/>
      <c r="N506" s="236"/>
      <c r="O506" s="236"/>
      <c r="P506" s="236"/>
      <c r="Q506" s="236"/>
      <c r="R506" s="236"/>
    </row>
    <row r="507">
      <c r="A507" s="236"/>
      <c r="B507" s="236"/>
      <c r="C507" s="236"/>
      <c r="D507" s="236"/>
      <c r="E507" s="236"/>
      <c r="F507" s="367"/>
      <c r="G507" s="236"/>
      <c r="H507" s="236"/>
      <c r="I507" s="236"/>
      <c r="J507" s="236"/>
      <c r="K507" s="236"/>
      <c r="L507" s="236"/>
      <c r="M507" s="236"/>
      <c r="N507" s="236"/>
      <c r="O507" s="236"/>
      <c r="P507" s="236"/>
      <c r="Q507" s="236"/>
      <c r="R507" s="236"/>
    </row>
    <row r="508">
      <c r="A508" s="236"/>
      <c r="B508" s="236"/>
      <c r="C508" s="236"/>
      <c r="D508" s="236"/>
      <c r="E508" s="236"/>
      <c r="F508" s="367"/>
      <c r="G508" s="236"/>
      <c r="H508" s="236"/>
      <c r="I508" s="236"/>
      <c r="J508" s="236"/>
      <c r="K508" s="236"/>
      <c r="L508" s="236"/>
      <c r="M508" s="236"/>
      <c r="N508" s="236"/>
      <c r="O508" s="236"/>
      <c r="P508" s="236"/>
      <c r="Q508" s="236"/>
      <c r="R508" s="236"/>
    </row>
    <row r="509">
      <c r="A509" s="236"/>
      <c r="B509" s="236"/>
      <c r="C509" s="236"/>
      <c r="D509" s="236"/>
      <c r="E509" s="236"/>
      <c r="F509" s="367"/>
      <c r="G509" s="236"/>
      <c r="H509" s="236"/>
      <c r="I509" s="236"/>
      <c r="J509" s="236"/>
      <c r="K509" s="236"/>
      <c r="L509" s="236"/>
      <c r="M509" s="236"/>
      <c r="N509" s="236"/>
      <c r="O509" s="236"/>
      <c r="P509" s="236"/>
      <c r="Q509" s="236"/>
      <c r="R509" s="236"/>
    </row>
    <row r="510">
      <c r="A510" s="236"/>
      <c r="B510" s="236"/>
      <c r="C510" s="236"/>
      <c r="D510" s="236"/>
      <c r="E510" s="236"/>
      <c r="F510" s="367"/>
      <c r="G510" s="236"/>
      <c r="H510" s="236"/>
      <c r="I510" s="236"/>
      <c r="J510" s="236"/>
      <c r="K510" s="236"/>
      <c r="L510" s="236"/>
      <c r="M510" s="236"/>
      <c r="N510" s="236"/>
      <c r="O510" s="236"/>
      <c r="P510" s="236"/>
      <c r="Q510" s="236"/>
      <c r="R510" s="236"/>
    </row>
    <row r="511">
      <c r="A511" s="236"/>
      <c r="B511" s="236"/>
      <c r="C511" s="236"/>
      <c r="D511" s="236"/>
      <c r="E511" s="236"/>
      <c r="F511" s="367"/>
      <c r="G511" s="236"/>
      <c r="H511" s="236"/>
      <c r="I511" s="236"/>
      <c r="J511" s="236"/>
      <c r="K511" s="236"/>
      <c r="L511" s="236"/>
      <c r="M511" s="236"/>
      <c r="N511" s="236"/>
      <c r="O511" s="236"/>
      <c r="P511" s="236"/>
      <c r="Q511" s="236"/>
      <c r="R511" s="236"/>
    </row>
    <row r="512">
      <c r="A512" s="236"/>
      <c r="B512" s="236"/>
      <c r="C512" s="236"/>
      <c r="D512" s="236"/>
      <c r="E512" s="236"/>
      <c r="F512" s="367"/>
      <c r="G512" s="236"/>
      <c r="H512" s="236"/>
      <c r="I512" s="236"/>
      <c r="J512" s="236"/>
      <c r="K512" s="236"/>
      <c r="L512" s="236"/>
      <c r="M512" s="236"/>
      <c r="N512" s="236"/>
      <c r="O512" s="236"/>
      <c r="P512" s="236"/>
      <c r="Q512" s="236"/>
      <c r="R512" s="236"/>
    </row>
    <row r="513">
      <c r="A513" s="236"/>
      <c r="B513" s="236"/>
      <c r="C513" s="236"/>
      <c r="D513" s="236"/>
      <c r="E513" s="236"/>
      <c r="F513" s="367"/>
      <c r="G513" s="236"/>
      <c r="H513" s="236"/>
      <c r="I513" s="236"/>
      <c r="J513" s="236"/>
      <c r="K513" s="236"/>
      <c r="L513" s="236"/>
      <c r="M513" s="236"/>
      <c r="N513" s="236"/>
      <c r="O513" s="236"/>
      <c r="P513" s="236"/>
      <c r="Q513" s="236"/>
      <c r="R513" s="236"/>
    </row>
    <row r="514">
      <c r="A514" s="236"/>
      <c r="B514" s="236"/>
      <c r="C514" s="236"/>
      <c r="D514" s="236"/>
      <c r="E514" s="236"/>
      <c r="F514" s="367"/>
      <c r="G514" s="236"/>
      <c r="H514" s="236"/>
      <c r="I514" s="236"/>
      <c r="J514" s="236"/>
      <c r="K514" s="236"/>
      <c r="L514" s="236"/>
      <c r="M514" s="236"/>
      <c r="N514" s="236"/>
      <c r="O514" s="236"/>
      <c r="P514" s="236"/>
      <c r="Q514" s="236"/>
      <c r="R514" s="236"/>
    </row>
    <row r="515">
      <c r="A515" s="236"/>
      <c r="B515" s="236"/>
      <c r="C515" s="236"/>
      <c r="D515" s="236"/>
      <c r="E515" s="236"/>
      <c r="F515" s="367"/>
      <c r="G515" s="236"/>
      <c r="H515" s="236"/>
      <c r="I515" s="236"/>
      <c r="J515" s="236"/>
      <c r="K515" s="236"/>
      <c r="L515" s="236"/>
      <c r="M515" s="236"/>
      <c r="N515" s="236"/>
      <c r="O515" s="236"/>
      <c r="P515" s="236"/>
      <c r="Q515" s="236"/>
      <c r="R515" s="236"/>
    </row>
    <row r="516">
      <c r="A516" s="236"/>
      <c r="B516" s="236"/>
      <c r="C516" s="236"/>
      <c r="D516" s="236"/>
      <c r="E516" s="236"/>
      <c r="F516" s="367"/>
      <c r="G516" s="236"/>
      <c r="H516" s="236"/>
      <c r="I516" s="236"/>
      <c r="J516" s="236"/>
      <c r="K516" s="236"/>
      <c r="L516" s="236"/>
      <c r="M516" s="236"/>
      <c r="N516" s="236"/>
      <c r="O516" s="236"/>
      <c r="P516" s="236"/>
      <c r="Q516" s="236"/>
      <c r="R516" s="236"/>
    </row>
    <row r="517">
      <c r="A517" s="236"/>
      <c r="B517" s="236"/>
      <c r="C517" s="236"/>
      <c r="D517" s="236"/>
      <c r="E517" s="236"/>
      <c r="F517" s="367"/>
      <c r="G517" s="236"/>
      <c r="H517" s="236"/>
      <c r="I517" s="236"/>
      <c r="J517" s="236"/>
      <c r="K517" s="236"/>
      <c r="L517" s="236"/>
      <c r="M517" s="236"/>
      <c r="N517" s="236"/>
      <c r="O517" s="236"/>
      <c r="P517" s="236"/>
      <c r="Q517" s="236"/>
      <c r="R517" s="236"/>
    </row>
    <row r="518">
      <c r="A518" s="236"/>
      <c r="B518" s="236"/>
      <c r="C518" s="236"/>
      <c r="D518" s="236"/>
      <c r="E518" s="236"/>
      <c r="F518" s="367"/>
      <c r="G518" s="236"/>
      <c r="H518" s="236"/>
      <c r="I518" s="236"/>
      <c r="J518" s="236"/>
      <c r="K518" s="236"/>
      <c r="L518" s="236"/>
      <c r="M518" s="236"/>
      <c r="N518" s="236"/>
      <c r="O518" s="236"/>
      <c r="P518" s="236"/>
      <c r="Q518" s="236"/>
      <c r="R518" s="236"/>
    </row>
    <row r="519">
      <c r="A519" s="236"/>
      <c r="B519" s="236"/>
      <c r="C519" s="236"/>
      <c r="D519" s="236"/>
      <c r="E519" s="236"/>
      <c r="F519" s="367"/>
      <c r="G519" s="236"/>
      <c r="H519" s="236"/>
      <c r="I519" s="236"/>
      <c r="J519" s="236"/>
      <c r="K519" s="236"/>
      <c r="L519" s="236"/>
      <c r="M519" s="236"/>
      <c r="N519" s="236"/>
      <c r="O519" s="236"/>
      <c r="P519" s="236"/>
      <c r="Q519" s="236"/>
      <c r="R519" s="236"/>
    </row>
    <row r="520">
      <c r="A520" s="236"/>
      <c r="B520" s="236"/>
      <c r="C520" s="236"/>
      <c r="D520" s="236"/>
      <c r="E520" s="236"/>
      <c r="F520" s="367"/>
      <c r="G520" s="236"/>
      <c r="H520" s="236"/>
      <c r="I520" s="236"/>
      <c r="J520" s="236"/>
      <c r="K520" s="236"/>
      <c r="L520" s="236"/>
      <c r="M520" s="236"/>
      <c r="N520" s="236"/>
      <c r="O520" s="236"/>
      <c r="P520" s="236"/>
      <c r="Q520" s="236"/>
      <c r="R520" s="236"/>
    </row>
    <row r="521">
      <c r="A521" s="236"/>
      <c r="B521" s="236"/>
      <c r="C521" s="236"/>
      <c r="D521" s="236"/>
      <c r="E521" s="236"/>
      <c r="F521" s="367"/>
      <c r="G521" s="236"/>
      <c r="H521" s="236"/>
      <c r="I521" s="236"/>
      <c r="J521" s="236"/>
      <c r="K521" s="236"/>
      <c r="L521" s="236"/>
      <c r="M521" s="236"/>
      <c r="N521" s="236"/>
      <c r="O521" s="236"/>
      <c r="P521" s="236"/>
      <c r="Q521" s="236"/>
      <c r="R521" s="236"/>
    </row>
    <row r="522">
      <c r="A522" s="236"/>
      <c r="B522" s="236"/>
      <c r="C522" s="236"/>
      <c r="D522" s="236"/>
      <c r="E522" s="236"/>
      <c r="F522" s="367"/>
      <c r="G522" s="236"/>
      <c r="H522" s="236"/>
      <c r="I522" s="236"/>
      <c r="J522" s="236"/>
      <c r="K522" s="236"/>
      <c r="L522" s="236"/>
      <c r="M522" s="236"/>
      <c r="N522" s="236"/>
      <c r="O522" s="236"/>
      <c r="P522" s="236"/>
      <c r="Q522" s="236"/>
      <c r="R522" s="236"/>
    </row>
    <row r="523">
      <c r="A523" s="236"/>
      <c r="B523" s="236"/>
      <c r="C523" s="236"/>
      <c r="D523" s="236"/>
      <c r="E523" s="236"/>
      <c r="F523" s="367"/>
      <c r="G523" s="236"/>
      <c r="H523" s="236"/>
      <c r="I523" s="236"/>
      <c r="J523" s="236"/>
      <c r="K523" s="236"/>
      <c r="L523" s="236"/>
      <c r="M523" s="236"/>
      <c r="N523" s="236"/>
      <c r="O523" s="236"/>
      <c r="P523" s="236"/>
      <c r="Q523" s="236"/>
      <c r="R523" s="236"/>
    </row>
    <row r="524">
      <c r="A524" s="236"/>
      <c r="B524" s="236"/>
      <c r="C524" s="236"/>
      <c r="D524" s="236"/>
      <c r="E524" s="236"/>
      <c r="F524" s="367"/>
      <c r="G524" s="236"/>
      <c r="H524" s="236"/>
      <c r="I524" s="236"/>
      <c r="J524" s="236"/>
      <c r="K524" s="236"/>
      <c r="L524" s="236"/>
      <c r="M524" s="236"/>
      <c r="N524" s="236"/>
      <c r="O524" s="236"/>
      <c r="P524" s="236"/>
      <c r="Q524" s="236"/>
      <c r="R524" s="236"/>
    </row>
    <row r="525">
      <c r="A525" s="236"/>
      <c r="B525" s="236"/>
      <c r="C525" s="236"/>
      <c r="D525" s="236"/>
      <c r="E525" s="236"/>
      <c r="F525" s="367"/>
      <c r="G525" s="236"/>
      <c r="H525" s="236"/>
      <c r="I525" s="236"/>
      <c r="J525" s="236"/>
      <c r="K525" s="236"/>
      <c r="L525" s="236"/>
      <c r="M525" s="236"/>
      <c r="N525" s="236"/>
      <c r="O525" s="236"/>
      <c r="P525" s="236"/>
      <c r="Q525" s="236"/>
      <c r="R525" s="236"/>
    </row>
    <row r="526">
      <c r="A526" s="236"/>
      <c r="B526" s="236"/>
      <c r="C526" s="236"/>
      <c r="D526" s="236"/>
      <c r="E526" s="236"/>
      <c r="F526" s="367"/>
      <c r="G526" s="236"/>
      <c r="H526" s="236"/>
      <c r="I526" s="236"/>
      <c r="J526" s="236"/>
      <c r="K526" s="236"/>
      <c r="L526" s="236"/>
      <c r="M526" s="236"/>
      <c r="N526" s="236"/>
      <c r="O526" s="236"/>
      <c r="P526" s="236"/>
      <c r="Q526" s="236"/>
      <c r="R526" s="236"/>
    </row>
    <row r="527">
      <c r="A527" s="236"/>
      <c r="B527" s="236"/>
      <c r="C527" s="236"/>
      <c r="D527" s="236"/>
      <c r="E527" s="236"/>
      <c r="F527" s="367"/>
      <c r="G527" s="236"/>
      <c r="H527" s="236"/>
      <c r="I527" s="236"/>
      <c r="J527" s="236"/>
      <c r="K527" s="236"/>
      <c r="L527" s="236"/>
      <c r="M527" s="236"/>
      <c r="N527" s="236"/>
      <c r="O527" s="236"/>
      <c r="P527" s="236"/>
      <c r="Q527" s="236"/>
      <c r="R527" s="236"/>
    </row>
    <row r="528">
      <c r="A528" s="236"/>
      <c r="B528" s="236"/>
      <c r="C528" s="236"/>
      <c r="D528" s="236"/>
      <c r="E528" s="236"/>
      <c r="F528" s="367"/>
      <c r="G528" s="236"/>
      <c r="H528" s="236"/>
      <c r="I528" s="236"/>
      <c r="J528" s="236"/>
      <c r="K528" s="236"/>
      <c r="L528" s="236"/>
      <c r="M528" s="236"/>
      <c r="N528" s="236"/>
      <c r="O528" s="236"/>
      <c r="P528" s="236"/>
      <c r="Q528" s="236"/>
      <c r="R528" s="236"/>
    </row>
    <row r="529">
      <c r="A529" s="236"/>
      <c r="B529" s="236"/>
      <c r="C529" s="236"/>
      <c r="D529" s="236"/>
      <c r="E529" s="236"/>
      <c r="F529" s="367"/>
      <c r="G529" s="236"/>
      <c r="H529" s="236"/>
      <c r="I529" s="236"/>
      <c r="J529" s="236"/>
      <c r="K529" s="236"/>
      <c r="L529" s="236"/>
      <c r="M529" s="236"/>
      <c r="N529" s="236"/>
      <c r="O529" s="236"/>
      <c r="P529" s="236"/>
      <c r="Q529" s="236"/>
      <c r="R529" s="236"/>
    </row>
    <row r="530">
      <c r="A530" s="236"/>
      <c r="B530" s="236"/>
      <c r="C530" s="236"/>
      <c r="D530" s="236"/>
      <c r="E530" s="236"/>
      <c r="F530" s="367"/>
      <c r="G530" s="236"/>
      <c r="H530" s="236"/>
      <c r="I530" s="236"/>
      <c r="J530" s="236"/>
      <c r="K530" s="236"/>
      <c r="L530" s="236"/>
      <c r="M530" s="236"/>
      <c r="N530" s="236"/>
      <c r="O530" s="236"/>
      <c r="P530" s="236"/>
      <c r="Q530" s="236"/>
      <c r="R530" s="236"/>
    </row>
    <row r="531">
      <c r="A531" s="236"/>
      <c r="B531" s="236"/>
      <c r="C531" s="236"/>
      <c r="D531" s="236"/>
      <c r="E531" s="236"/>
      <c r="F531" s="367"/>
      <c r="G531" s="236"/>
      <c r="H531" s="236"/>
      <c r="I531" s="236"/>
      <c r="J531" s="236"/>
      <c r="K531" s="236"/>
      <c r="L531" s="236"/>
      <c r="M531" s="236"/>
      <c r="N531" s="236"/>
      <c r="O531" s="236"/>
      <c r="P531" s="236"/>
      <c r="Q531" s="236"/>
      <c r="R531" s="236"/>
    </row>
    <row r="532">
      <c r="A532" s="236"/>
      <c r="B532" s="236"/>
      <c r="C532" s="236"/>
      <c r="D532" s="236"/>
      <c r="E532" s="236"/>
      <c r="F532" s="367"/>
      <c r="G532" s="236"/>
      <c r="H532" s="236"/>
      <c r="I532" s="236"/>
      <c r="J532" s="236"/>
      <c r="K532" s="236"/>
      <c r="L532" s="236"/>
      <c r="M532" s="236"/>
      <c r="N532" s="236"/>
      <c r="O532" s="236"/>
      <c r="P532" s="236"/>
      <c r="Q532" s="236"/>
      <c r="R532" s="236"/>
    </row>
    <row r="533">
      <c r="A533" s="236"/>
      <c r="B533" s="236"/>
      <c r="C533" s="236"/>
      <c r="D533" s="236"/>
      <c r="E533" s="236"/>
      <c r="F533" s="367"/>
      <c r="G533" s="236"/>
      <c r="H533" s="236"/>
      <c r="I533" s="236"/>
      <c r="J533" s="236"/>
      <c r="K533" s="236"/>
      <c r="L533" s="236"/>
      <c r="M533" s="236"/>
      <c r="N533" s="236"/>
      <c r="O533" s="236"/>
      <c r="P533" s="236"/>
      <c r="Q533" s="236"/>
      <c r="R533" s="236"/>
    </row>
    <row r="534">
      <c r="A534" s="236"/>
      <c r="B534" s="236"/>
      <c r="C534" s="236"/>
      <c r="D534" s="236"/>
      <c r="E534" s="236"/>
      <c r="F534" s="367"/>
      <c r="G534" s="236"/>
      <c r="H534" s="236"/>
      <c r="I534" s="236"/>
      <c r="J534" s="236"/>
      <c r="K534" s="236"/>
      <c r="L534" s="236"/>
      <c r="M534" s="236"/>
      <c r="N534" s="236"/>
      <c r="O534" s="236"/>
      <c r="P534" s="236"/>
      <c r="Q534" s="236"/>
      <c r="R534" s="236"/>
    </row>
    <row r="535">
      <c r="A535" s="236"/>
      <c r="B535" s="236"/>
      <c r="C535" s="236"/>
      <c r="D535" s="236"/>
      <c r="E535" s="236"/>
      <c r="F535" s="367"/>
      <c r="G535" s="236"/>
      <c r="H535" s="236"/>
      <c r="I535" s="236"/>
      <c r="J535" s="236"/>
      <c r="K535" s="236"/>
      <c r="L535" s="236"/>
      <c r="M535" s="236"/>
      <c r="N535" s="236"/>
      <c r="O535" s="236"/>
      <c r="P535" s="236"/>
      <c r="Q535" s="236"/>
      <c r="R535" s="236"/>
    </row>
    <row r="536">
      <c r="A536" s="236"/>
      <c r="B536" s="236"/>
      <c r="C536" s="236"/>
      <c r="D536" s="236"/>
      <c r="E536" s="236"/>
      <c r="F536" s="367"/>
      <c r="G536" s="236"/>
      <c r="H536" s="236"/>
      <c r="I536" s="236"/>
      <c r="J536" s="236"/>
      <c r="K536" s="236"/>
      <c r="L536" s="236"/>
      <c r="M536" s="236"/>
      <c r="N536" s="236"/>
      <c r="O536" s="236"/>
      <c r="P536" s="236"/>
      <c r="Q536" s="236"/>
      <c r="R536" s="236"/>
    </row>
    <row r="537">
      <c r="A537" s="236"/>
      <c r="B537" s="236"/>
      <c r="C537" s="236"/>
      <c r="D537" s="236"/>
      <c r="E537" s="236"/>
      <c r="F537" s="367"/>
      <c r="G537" s="236"/>
      <c r="H537" s="236"/>
      <c r="I537" s="236"/>
      <c r="J537" s="236"/>
      <c r="K537" s="236"/>
      <c r="L537" s="236"/>
      <c r="M537" s="236"/>
      <c r="N537" s="236"/>
      <c r="O537" s="236"/>
      <c r="P537" s="236"/>
      <c r="Q537" s="236"/>
      <c r="R537" s="236"/>
    </row>
    <row r="538">
      <c r="A538" s="236"/>
      <c r="B538" s="236"/>
      <c r="C538" s="236"/>
      <c r="D538" s="236"/>
      <c r="E538" s="236"/>
      <c r="F538" s="367"/>
      <c r="G538" s="236"/>
      <c r="H538" s="236"/>
      <c r="I538" s="236"/>
      <c r="J538" s="236"/>
      <c r="K538" s="236"/>
      <c r="L538" s="236"/>
      <c r="M538" s="236"/>
      <c r="N538" s="236"/>
      <c r="O538" s="236"/>
      <c r="P538" s="236"/>
      <c r="Q538" s="236"/>
      <c r="R538" s="236"/>
    </row>
    <row r="539">
      <c r="A539" s="236"/>
      <c r="B539" s="236"/>
      <c r="C539" s="236"/>
      <c r="D539" s="236"/>
      <c r="E539" s="236"/>
      <c r="F539" s="367"/>
      <c r="G539" s="236"/>
      <c r="H539" s="236"/>
      <c r="I539" s="236"/>
      <c r="J539" s="236"/>
      <c r="K539" s="236"/>
      <c r="L539" s="236"/>
      <c r="M539" s="236"/>
      <c r="N539" s="236"/>
      <c r="O539" s="236"/>
      <c r="P539" s="236"/>
      <c r="Q539" s="236"/>
      <c r="R539" s="236"/>
    </row>
    <row r="540">
      <c r="A540" s="236"/>
      <c r="B540" s="236"/>
      <c r="C540" s="236"/>
      <c r="D540" s="236"/>
      <c r="E540" s="236"/>
      <c r="F540" s="367"/>
      <c r="G540" s="236"/>
      <c r="H540" s="236"/>
      <c r="I540" s="236"/>
      <c r="J540" s="236"/>
      <c r="K540" s="236"/>
      <c r="L540" s="236"/>
      <c r="M540" s="236"/>
      <c r="N540" s="236"/>
      <c r="O540" s="236"/>
      <c r="P540" s="236"/>
      <c r="Q540" s="236"/>
      <c r="R540" s="236"/>
    </row>
    <row r="541">
      <c r="A541" s="236"/>
      <c r="B541" s="236"/>
      <c r="C541" s="236"/>
      <c r="D541" s="236"/>
      <c r="E541" s="236"/>
      <c r="F541" s="367"/>
      <c r="G541" s="236"/>
      <c r="H541" s="236"/>
      <c r="I541" s="236"/>
      <c r="J541" s="236"/>
      <c r="K541" s="236"/>
      <c r="L541" s="236"/>
      <c r="M541" s="236"/>
      <c r="N541" s="236"/>
      <c r="O541" s="236"/>
      <c r="P541" s="236"/>
      <c r="Q541" s="236"/>
      <c r="R541" s="236"/>
    </row>
    <row r="542">
      <c r="A542" s="236"/>
      <c r="B542" s="236"/>
      <c r="C542" s="236"/>
      <c r="D542" s="236"/>
      <c r="E542" s="236"/>
      <c r="F542" s="367"/>
      <c r="G542" s="236"/>
      <c r="H542" s="236"/>
      <c r="I542" s="236"/>
      <c r="J542" s="236"/>
      <c r="K542" s="236"/>
      <c r="L542" s="236"/>
      <c r="M542" s="236"/>
      <c r="N542" s="236"/>
      <c r="O542" s="236"/>
      <c r="P542" s="236"/>
      <c r="Q542" s="236"/>
      <c r="R542" s="236"/>
    </row>
    <row r="543">
      <c r="A543" s="236"/>
      <c r="B543" s="236"/>
      <c r="C543" s="236"/>
      <c r="D543" s="236"/>
      <c r="E543" s="236"/>
      <c r="F543" s="367"/>
      <c r="G543" s="236"/>
      <c r="H543" s="236"/>
      <c r="I543" s="236"/>
      <c r="J543" s="236"/>
      <c r="K543" s="236"/>
      <c r="L543" s="236"/>
      <c r="M543" s="236"/>
      <c r="N543" s="236"/>
      <c r="O543" s="236"/>
      <c r="P543" s="236"/>
      <c r="Q543" s="236"/>
      <c r="R543" s="236"/>
    </row>
    <row r="544">
      <c r="A544" s="236"/>
      <c r="B544" s="236"/>
      <c r="C544" s="236"/>
      <c r="D544" s="236"/>
      <c r="E544" s="236"/>
      <c r="F544" s="367"/>
      <c r="G544" s="236"/>
      <c r="H544" s="236"/>
      <c r="I544" s="236"/>
      <c r="J544" s="236"/>
      <c r="K544" s="236"/>
      <c r="L544" s="236"/>
      <c r="M544" s="236"/>
      <c r="N544" s="236"/>
      <c r="O544" s="236"/>
      <c r="P544" s="236"/>
      <c r="Q544" s="236"/>
      <c r="R544" s="236"/>
    </row>
    <row r="545">
      <c r="A545" s="236"/>
      <c r="B545" s="236"/>
      <c r="C545" s="236"/>
      <c r="D545" s="236"/>
      <c r="E545" s="236"/>
      <c r="F545" s="367"/>
      <c r="G545" s="236"/>
      <c r="H545" s="236"/>
      <c r="I545" s="236"/>
      <c r="J545" s="236"/>
      <c r="K545" s="236"/>
      <c r="L545" s="236"/>
      <c r="M545" s="236"/>
      <c r="N545" s="236"/>
      <c r="O545" s="236"/>
      <c r="P545" s="236"/>
      <c r="Q545" s="236"/>
      <c r="R545" s="236"/>
    </row>
    <row r="546">
      <c r="A546" s="236"/>
      <c r="B546" s="236"/>
      <c r="C546" s="236"/>
      <c r="D546" s="236"/>
      <c r="E546" s="236"/>
      <c r="F546" s="367"/>
      <c r="G546" s="236"/>
      <c r="H546" s="236"/>
      <c r="I546" s="236"/>
      <c r="J546" s="236"/>
      <c r="K546" s="236"/>
      <c r="L546" s="236"/>
      <c r="M546" s="236"/>
      <c r="N546" s="236"/>
      <c r="O546" s="236"/>
      <c r="P546" s="236"/>
      <c r="Q546" s="236"/>
      <c r="R546" s="236"/>
    </row>
    <row r="547">
      <c r="A547" s="236"/>
      <c r="B547" s="236"/>
      <c r="C547" s="236"/>
      <c r="D547" s="236"/>
      <c r="E547" s="236"/>
      <c r="F547" s="367"/>
      <c r="G547" s="236"/>
      <c r="H547" s="236"/>
      <c r="I547" s="236"/>
      <c r="J547" s="236"/>
      <c r="K547" s="236"/>
      <c r="L547" s="236"/>
      <c r="M547" s="236"/>
      <c r="N547" s="236"/>
      <c r="O547" s="236"/>
      <c r="P547" s="236"/>
      <c r="Q547" s="236"/>
      <c r="R547" s="236"/>
    </row>
    <row r="548">
      <c r="A548" s="236"/>
      <c r="B548" s="236"/>
      <c r="C548" s="236"/>
      <c r="D548" s="236"/>
      <c r="E548" s="236"/>
      <c r="F548" s="367"/>
      <c r="G548" s="236"/>
      <c r="H548" s="236"/>
      <c r="I548" s="236"/>
      <c r="J548" s="236"/>
      <c r="K548" s="236"/>
      <c r="L548" s="236"/>
      <c r="M548" s="236"/>
      <c r="N548" s="236"/>
      <c r="O548" s="236"/>
      <c r="P548" s="236"/>
      <c r="Q548" s="236"/>
      <c r="R548" s="236"/>
    </row>
    <row r="549">
      <c r="A549" s="236"/>
      <c r="B549" s="236"/>
      <c r="C549" s="236"/>
      <c r="D549" s="236"/>
      <c r="E549" s="236"/>
      <c r="F549" s="367"/>
      <c r="G549" s="236"/>
      <c r="H549" s="236"/>
      <c r="I549" s="236"/>
      <c r="J549" s="236"/>
      <c r="K549" s="236"/>
      <c r="L549" s="236"/>
      <c r="M549" s="236"/>
      <c r="N549" s="236"/>
      <c r="O549" s="236"/>
      <c r="P549" s="236"/>
      <c r="Q549" s="236"/>
      <c r="R549" s="236"/>
    </row>
    <row r="550">
      <c r="A550" s="236"/>
      <c r="B550" s="236"/>
      <c r="C550" s="236"/>
      <c r="D550" s="236"/>
      <c r="E550" s="236"/>
      <c r="F550" s="367"/>
      <c r="G550" s="236"/>
      <c r="H550" s="236"/>
      <c r="I550" s="236"/>
      <c r="J550" s="236"/>
      <c r="K550" s="236"/>
      <c r="L550" s="236"/>
      <c r="M550" s="236"/>
      <c r="N550" s="236"/>
      <c r="O550" s="236"/>
      <c r="P550" s="236"/>
      <c r="Q550" s="236"/>
      <c r="R550" s="236"/>
    </row>
    <row r="551">
      <c r="A551" s="236"/>
      <c r="B551" s="236"/>
      <c r="C551" s="236"/>
      <c r="D551" s="236"/>
      <c r="E551" s="236"/>
      <c r="F551" s="367"/>
      <c r="G551" s="236"/>
      <c r="H551" s="236"/>
      <c r="I551" s="236"/>
      <c r="J551" s="236"/>
      <c r="K551" s="236"/>
      <c r="L551" s="236"/>
      <c r="M551" s="236"/>
      <c r="N551" s="236"/>
      <c r="O551" s="236"/>
      <c r="P551" s="236"/>
      <c r="Q551" s="236"/>
      <c r="R551" s="236"/>
    </row>
    <row r="552">
      <c r="A552" s="236"/>
      <c r="B552" s="236"/>
      <c r="C552" s="236"/>
      <c r="D552" s="236"/>
      <c r="E552" s="236"/>
      <c r="F552" s="367"/>
      <c r="G552" s="236"/>
      <c r="H552" s="236"/>
      <c r="I552" s="236"/>
      <c r="J552" s="236"/>
      <c r="K552" s="236"/>
      <c r="L552" s="236"/>
      <c r="M552" s="236"/>
      <c r="N552" s="236"/>
      <c r="O552" s="236"/>
      <c r="P552" s="236"/>
      <c r="Q552" s="236"/>
      <c r="R552" s="236"/>
    </row>
    <row r="553">
      <c r="A553" s="236"/>
      <c r="B553" s="236"/>
      <c r="C553" s="236"/>
      <c r="D553" s="236"/>
      <c r="E553" s="236"/>
      <c r="F553" s="367"/>
      <c r="G553" s="236"/>
      <c r="H553" s="236"/>
      <c r="I553" s="236"/>
      <c r="J553" s="236"/>
      <c r="K553" s="236"/>
      <c r="L553" s="236"/>
      <c r="M553" s="236"/>
      <c r="N553" s="236"/>
      <c r="O553" s="236"/>
      <c r="P553" s="236"/>
      <c r="Q553" s="236"/>
      <c r="R553" s="236"/>
    </row>
    <row r="554">
      <c r="A554" s="236"/>
      <c r="B554" s="236"/>
      <c r="C554" s="236"/>
      <c r="D554" s="236"/>
      <c r="E554" s="236"/>
      <c r="F554" s="367"/>
      <c r="G554" s="236"/>
      <c r="H554" s="236"/>
      <c r="I554" s="236"/>
      <c r="J554" s="236"/>
      <c r="K554" s="236"/>
      <c r="L554" s="236"/>
      <c r="M554" s="236"/>
      <c r="N554" s="236"/>
      <c r="O554" s="236"/>
      <c r="P554" s="236"/>
      <c r="Q554" s="236"/>
      <c r="R554" s="236"/>
    </row>
    <row r="555">
      <c r="A555" s="236"/>
      <c r="B555" s="236"/>
      <c r="C555" s="236"/>
      <c r="D555" s="236"/>
      <c r="E555" s="236"/>
      <c r="F555" s="367"/>
      <c r="G555" s="236"/>
      <c r="H555" s="236"/>
      <c r="I555" s="236"/>
      <c r="J555" s="236"/>
      <c r="K555" s="236"/>
      <c r="L555" s="236"/>
      <c r="M555" s="236"/>
      <c r="N555" s="236"/>
      <c r="O555" s="236"/>
      <c r="P555" s="236"/>
      <c r="Q555" s="236"/>
      <c r="R555" s="236"/>
    </row>
    <row r="556">
      <c r="A556" s="236"/>
      <c r="B556" s="236"/>
      <c r="C556" s="236"/>
      <c r="D556" s="236"/>
      <c r="E556" s="236"/>
      <c r="F556" s="367"/>
      <c r="G556" s="236"/>
      <c r="H556" s="236"/>
      <c r="I556" s="236"/>
      <c r="J556" s="236"/>
      <c r="K556" s="236"/>
      <c r="L556" s="236"/>
      <c r="M556" s="236"/>
      <c r="N556" s="236"/>
      <c r="O556" s="236"/>
      <c r="P556" s="236"/>
      <c r="Q556" s="236"/>
      <c r="R556" s="236"/>
    </row>
    <row r="557">
      <c r="A557" s="236"/>
      <c r="B557" s="236"/>
      <c r="C557" s="236"/>
      <c r="D557" s="236"/>
      <c r="E557" s="236"/>
      <c r="F557" s="367"/>
      <c r="G557" s="236"/>
      <c r="H557" s="236"/>
      <c r="I557" s="236"/>
      <c r="J557" s="236"/>
      <c r="K557" s="236"/>
      <c r="L557" s="236"/>
      <c r="M557" s="236"/>
      <c r="N557" s="236"/>
      <c r="O557" s="236"/>
      <c r="P557" s="236"/>
      <c r="Q557" s="236"/>
      <c r="R557" s="236"/>
    </row>
    <row r="558">
      <c r="A558" s="236"/>
      <c r="B558" s="236"/>
      <c r="C558" s="236"/>
      <c r="D558" s="236"/>
      <c r="E558" s="236"/>
      <c r="F558" s="367"/>
      <c r="G558" s="236"/>
      <c r="H558" s="236"/>
      <c r="I558" s="236"/>
      <c r="J558" s="236"/>
      <c r="K558" s="236"/>
      <c r="L558" s="236"/>
      <c r="M558" s="236"/>
      <c r="N558" s="236"/>
      <c r="O558" s="236"/>
      <c r="P558" s="236"/>
      <c r="Q558" s="236"/>
      <c r="R558" s="236"/>
    </row>
    <row r="559">
      <c r="A559" s="236"/>
      <c r="B559" s="236"/>
      <c r="C559" s="236"/>
      <c r="D559" s="236"/>
      <c r="E559" s="236"/>
      <c r="F559" s="367"/>
      <c r="G559" s="236"/>
      <c r="H559" s="236"/>
      <c r="I559" s="236"/>
      <c r="J559" s="236"/>
      <c r="K559" s="236"/>
      <c r="L559" s="236"/>
      <c r="M559" s="236"/>
      <c r="N559" s="236"/>
      <c r="O559" s="236"/>
      <c r="P559" s="236"/>
      <c r="Q559" s="236"/>
      <c r="R559" s="236"/>
    </row>
    <row r="560">
      <c r="A560" s="236"/>
      <c r="B560" s="236"/>
      <c r="C560" s="236"/>
      <c r="D560" s="236"/>
      <c r="E560" s="236"/>
      <c r="F560" s="367"/>
      <c r="G560" s="236"/>
      <c r="H560" s="236"/>
      <c r="I560" s="236"/>
      <c r="J560" s="236"/>
      <c r="K560" s="236"/>
      <c r="L560" s="236"/>
      <c r="M560" s="236"/>
      <c r="N560" s="236"/>
      <c r="O560" s="236"/>
      <c r="P560" s="236"/>
      <c r="Q560" s="236"/>
      <c r="R560" s="236"/>
    </row>
    <row r="561">
      <c r="A561" s="236"/>
      <c r="B561" s="236"/>
      <c r="C561" s="236"/>
      <c r="D561" s="236"/>
      <c r="E561" s="236"/>
      <c r="F561" s="367"/>
      <c r="G561" s="236"/>
      <c r="H561" s="236"/>
      <c r="I561" s="236"/>
      <c r="J561" s="236"/>
      <c r="K561" s="236"/>
      <c r="L561" s="236"/>
      <c r="M561" s="236"/>
      <c r="N561" s="236"/>
      <c r="O561" s="236"/>
      <c r="P561" s="236"/>
      <c r="Q561" s="236"/>
      <c r="R561" s="236"/>
    </row>
    <row r="562">
      <c r="A562" s="236"/>
      <c r="B562" s="236"/>
      <c r="C562" s="236"/>
      <c r="D562" s="236"/>
      <c r="E562" s="236"/>
      <c r="F562" s="367"/>
      <c r="G562" s="236"/>
      <c r="H562" s="236"/>
      <c r="I562" s="236"/>
      <c r="J562" s="236"/>
      <c r="K562" s="236"/>
      <c r="L562" s="236"/>
      <c r="M562" s="236"/>
      <c r="N562" s="236"/>
      <c r="O562" s="236"/>
      <c r="P562" s="236"/>
      <c r="Q562" s="236"/>
      <c r="R562" s="236"/>
    </row>
    <row r="563">
      <c r="A563" s="236"/>
      <c r="B563" s="236"/>
      <c r="C563" s="236"/>
      <c r="D563" s="236"/>
      <c r="E563" s="236"/>
      <c r="F563" s="367"/>
      <c r="G563" s="236"/>
      <c r="H563" s="236"/>
      <c r="I563" s="236"/>
      <c r="J563" s="236"/>
      <c r="K563" s="236"/>
      <c r="L563" s="236"/>
      <c r="M563" s="236"/>
      <c r="N563" s="236"/>
      <c r="O563" s="236"/>
      <c r="P563" s="236"/>
      <c r="Q563" s="236"/>
      <c r="R563" s="236"/>
    </row>
    <row r="564">
      <c r="A564" s="236"/>
      <c r="B564" s="236"/>
      <c r="C564" s="236"/>
      <c r="D564" s="236"/>
      <c r="E564" s="236"/>
      <c r="F564" s="367"/>
      <c r="G564" s="236"/>
      <c r="H564" s="236"/>
      <c r="I564" s="236"/>
      <c r="J564" s="236"/>
      <c r="K564" s="236"/>
      <c r="L564" s="236"/>
      <c r="M564" s="236"/>
      <c r="N564" s="236"/>
      <c r="O564" s="236"/>
      <c r="P564" s="236"/>
      <c r="Q564" s="236"/>
      <c r="R564" s="236"/>
    </row>
    <row r="565">
      <c r="A565" s="236"/>
      <c r="B565" s="236"/>
      <c r="C565" s="236"/>
      <c r="D565" s="236"/>
      <c r="E565" s="236"/>
      <c r="F565" s="367"/>
      <c r="G565" s="236"/>
      <c r="H565" s="236"/>
      <c r="I565" s="236"/>
      <c r="J565" s="236"/>
      <c r="K565" s="236"/>
      <c r="L565" s="236"/>
      <c r="M565" s="236"/>
      <c r="N565" s="236"/>
      <c r="O565" s="236"/>
      <c r="P565" s="236"/>
      <c r="Q565" s="236"/>
      <c r="R565" s="236"/>
    </row>
    <row r="566">
      <c r="A566" s="236"/>
      <c r="B566" s="236"/>
      <c r="C566" s="236"/>
      <c r="D566" s="236"/>
      <c r="E566" s="236"/>
      <c r="F566" s="367"/>
      <c r="G566" s="236"/>
      <c r="H566" s="236"/>
      <c r="I566" s="236"/>
      <c r="J566" s="236"/>
      <c r="K566" s="236"/>
      <c r="L566" s="236"/>
      <c r="M566" s="236"/>
      <c r="N566" s="236"/>
      <c r="O566" s="236"/>
      <c r="P566" s="236"/>
      <c r="Q566" s="236"/>
      <c r="R566" s="236"/>
    </row>
    <row r="567">
      <c r="A567" s="236"/>
      <c r="B567" s="236"/>
      <c r="C567" s="236"/>
      <c r="D567" s="236"/>
      <c r="E567" s="236"/>
      <c r="F567" s="367"/>
      <c r="G567" s="236"/>
      <c r="H567" s="236"/>
      <c r="I567" s="236"/>
      <c r="J567" s="236"/>
      <c r="K567" s="236"/>
      <c r="L567" s="236"/>
      <c r="M567" s="236"/>
      <c r="N567" s="236"/>
      <c r="O567" s="236"/>
      <c r="P567" s="236"/>
      <c r="Q567" s="236"/>
      <c r="R567" s="236"/>
    </row>
    <row r="568">
      <c r="A568" s="236"/>
      <c r="B568" s="236"/>
      <c r="C568" s="236"/>
      <c r="D568" s="236"/>
      <c r="E568" s="236"/>
      <c r="F568" s="367"/>
      <c r="G568" s="236"/>
      <c r="H568" s="236"/>
      <c r="I568" s="236"/>
      <c r="J568" s="236"/>
      <c r="K568" s="236"/>
      <c r="L568" s="236"/>
      <c r="M568" s="236"/>
      <c r="N568" s="236"/>
      <c r="O568" s="236"/>
      <c r="P568" s="236"/>
      <c r="Q568" s="236"/>
      <c r="R568" s="236"/>
    </row>
    <row r="569">
      <c r="A569" s="236"/>
      <c r="B569" s="236"/>
      <c r="C569" s="236"/>
      <c r="D569" s="236"/>
      <c r="E569" s="236"/>
      <c r="F569" s="367"/>
      <c r="G569" s="236"/>
      <c r="H569" s="236"/>
      <c r="I569" s="236"/>
      <c r="J569" s="236"/>
      <c r="K569" s="236"/>
      <c r="L569" s="236"/>
      <c r="M569" s="236"/>
      <c r="N569" s="236"/>
      <c r="O569" s="236"/>
      <c r="P569" s="236"/>
      <c r="Q569" s="236"/>
      <c r="R569" s="236"/>
    </row>
    <row r="570">
      <c r="A570" s="236"/>
      <c r="B570" s="236"/>
      <c r="C570" s="236"/>
      <c r="D570" s="236"/>
      <c r="E570" s="236"/>
      <c r="F570" s="367"/>
      <c r="G570" s="236"/>
      <c r="H570" s="236"/>
      <c r="I570" s="236"/>
      <c r="J570" s="236"/>
      <c r="K570" s="236"/>
      <c r="L570" s="236"/>
      <c r="M570" s="236"/>
      <c r="N570" s="236"/>
      <c r="O570" s="236"/>
      <c r="P570" s="236"/>
      <c r="Q570" s="236"/>
      <c r="R570" s="236"/>
    </row>
    <row r="571">
      <c r="A571" s="236"/>
      <c r="B571" s="236"/>
      <c r="C571" s="236"/>
      <c r="D571" s="236"/>
      <c r="E571" s="236"/>
      <c r="F571" s="367"/>
      <c r="G571" s="236"/>
      <c r="H571" s="236"/>
      <c r="I571" s="236"/>
      <c r="J571" s="236"/>
      <c r="K571" s="236"/>
      <c r="L571" s="236"/>
      <c r="M571" s="236"/>
      <c r="N571" s="236"/>
      <c r="O571" s="236"/>
      <c r="P571" s="236"/>
      <c r="Q571" s="236"/>
      <c r="R571" s="236"/>
    </row>
    <row r="572">
      <c r="A572" s="236"/>
      <c r="B572" s="236"/>
      <c r="C572" s="236"/>
      <c r="D572" s="236"/>
      <c r="E572" s="236"/>
      <c r="F572" s="367"/>
      <c r="G572" s="236"/>
      <c r="H572" s="236"/>
      <c r="I572" s="236"/>
      <c r="J572" s="236"/>
      <c r="K572" s="236"/>
      <c r="L572" s="236"/>
      <c r="M572" s="236"/>
      <c r="N572" s="236"/>
      <c r="O572" s="236"/>
      <c r="P572" s="236"/>
      <c r="Q572" s="236"/>
      <c r="R572" s="236"/>
    </row>
    <row r="573">
      <c r="A573" s="236"/>
      <c r="B573" s="236"/>
      <c r="C573" s="236"/>
      <c r="D573" s="236"/>
      <c r="E573" s="236"/>
      <c r="F573" s="367"/>
      <c r="G573" s="236"/>
      <c r="H573" s="236"/>
      <c r="I573" s="236"/>
      <c r="J573" s="236"/>
      <c r="K573" s="236"/>
      <c r="L573" s="236"/>
      <c r="M573" s="236"/>
      <c r="N573" s="236"/>
      <c r="O573" s="236"/>
      <c r="P573" s="236"/>
      <c r="Q573" s="236"/>
      <c r="R573" s="236"/>
    </row>
    <row r="574">
      <c r="A574" s="236"/>
      <c r="B574" s="236"/>
      <c r="C574" s="236"/>
      <c r="D574" s="236"/>
      <c r="E574" s="236"/>
      <c r="F574" s="367"/>
      <c r="G574" s="236"/>
      <c r="H574" s="236"/>
      <c r="I574" s="236"/>
      <c r="J574" s="236"/>
      <c r="K574" s="236"/>
      <c r="L574" s="236"/>
      <c r="M574" s="236"/>
      <c r="N574" s="236"/>
      <c r="O574" s="236"/>
      <c r="P574" s="236"/>
      <c r="Q574" s="236"/>
      <c r="R574" s="236"/>
    </row>
    <row r="575">
      <c r="A575" s="236"/>
      <c r="B575" s="236"/>
      <c r="C575" s="236"/>
      <c r="D575" s="236"/>
      <c r="E575" s="236"/>
      <c r="F575" s="367"/>
      <c r="G575" s="236"/>
      <c r="H575" s="236"/>
      <c r="I575" s="236"/>
      <c r="J575" s="236"/>
      <c r="K575" s="236"/>
      <c r="L575" s="236"/>
      <c r="M575" s="236"/>
      <c r="N575" s="236"/>
      <c r="O575" s="236"/>
      <c r="P575" s="236"/>
      <c r="Q575" s="236"/>
      <c r="R575" s="236"/>
    </row>
    <row r="576">
      <c r="A576" s="236"/>
      <c r="B576" s="236"/>
      <c r="C576" s="236"/>
      <c r="D576" s="236"/>
      <c r="E576" s="236"/>
      <c r="F576" s="367"/>
      <c r="G576" s="236"/>
      <c r="H576" s="236"/>
      <c r="I576" s="236"/>
      <c r="J576" s="236"/>
      <c r="K576" s="236"/>
      <c r="L576" s="236"/>
      <c r="M576" s="236"/>
      <c r="N576" s="236"/>
      <c r="O576" s="236"/>
      <c r="P576" s="236"/>
      <c r="Q576" s="236"/>
      <c r="R576" s="236"/>
    </row>
    <row r="577">
      <c r="A577" s="236"/>
      <c r="B577" s="236"/>
      <c r="C577" s="236"/>
      <c r="D577" s="236"/>
      <c r="E577" s="236"/>
      <c r="F577" s="367"/>
      <c r="G577" s="236"/>
      <c r="H577" s="236"/>
      <c r="I577" s="236"/>
      <c r="J577" s="236"/>
      <c r="K577" s="236"/>
      <c r="L577" s="236"/>
      <c r="M577" s="236"/>
      <c r="N577" s="236"/>
      <c r="O577" s="236"/>
      <c r="P577" s="236"/>
      <c r="Q577" s="236"/>
      <c r="R577" s="236"/>
    </row>
    <row r="578">
      <c r="A578" s="236"/>
      <c r="B578" s="236"/>
      <c r="C578" s="236"/>
      <c r="D578" s="236"/>
      <c r="E578" s="236"/>
      <c r="F578" s="367"/>
      <c r="G578" s="236"/>
      <c r="H578" s="236"/>
      <c r="I578" s="236"/>
      <c r="J578" s="236"/>
      <c r="K578" s="236"/>
      <c r="L578" s="236"/>
      <c r="M578" s="236"/>
      <c r="N578" s="236"/>
      <c r="O578" s="236"/>
      <c r="P578" s="236"/>
      <c r="Q578" s="236"/>
      <c r="R578" s="236"/>
    </row>
    <row r="579">
      <c r="A579" s="236"/>
      <c r="B579" s="236"/>
      <c r="C579" s="236"/>
      <c r="D579" s="236"/>
      <c r="E579" s="236"/>
      <c r="F579" s="367"/>
      <c r="G579" s="236"/>
      <c r="H579" s="236"/>
      <c r="I579" s="236"/>
      <c r="J579" s="236"/>
      <c r="K579" s="236"/>
      <c r="L579" s="236"/>
      <c r="M579" s="236"/>
      <c r="N579" s="236"/>
      <c r="O579" s="236"/>
      <c r="P579" s="236"/>
      <c r="Q579" s="236"/>
      <c r="R579" s="236"/>
    </row>
    <row r="580">
      <c r="A580" s="236"/>
      <c r="B580" s="236"/>
      <c r="C580" s="236"/>
      <c r="D580" s="236"/>
      <c r="E580" s="236"/>
      <c r="F580" s="367"/>
      <c r="G580" s="236"/>
      <c r="H580" s="236"/>
      <c r="I580" s="236"/>
      <c r="J580" s="236"/>
      <c r="K580" s="236"/>
      <c r="L580" s="236"/>
      <c r="M580" s="236"/>
      <c r="N580" s="236"/>
      <c r="O580" s="236"/>
      <c r="P580" s="236"/>
      <c r="Q580" s="236"/>
      <c r="R580" s="236"/>
    </row>
    <row r="581">
      <c r="A581" s="236"/>
      <c r="B581" s="236"/>
      <c r="C581" s="236"/>
      <c r="D581" s="236"/>
      <c r="E581" s="236"/>
      <c r="F581" s="367"/>
      <c r="G581" s="236"/>
      <c r="H581" s="236"/>
      <c r="I581" s="236"/>
      <c r="J581" s="236"/>
      <c r="K581" s="236"/>
      <c r="L581" s="236"/>
      <c r="M581" s="236"/>
      <c r="N581" s="236"/>
      <c r="O581" s="236"/>
      <c r="P581" s="236"/>
      <c r="Q581" s="236"/>
      <c r="R581" s="236"/>
    </row>
    <row r="582">
      <c r="A582" s="236"/>
      <c r="B582" s="236"/>
      <c r="C582" s="236"/>
      <c r="D582" s="236"/>
      <c r="E582" s="236"/>
      <c r="F582" s="367"/>
      <c r="G582" s="236"/>
      <c r="H582" s="236"/>
      <c r="I582" s="236"/>
      <c r="J582" s="236"/>
      <c r="K582" s="236"/>
      <c r="L582" s="236"/>
      <c r="M582" s="236"/>
      <c r="N582" s="236"/>
      <c r="O582" s="236"/>
      <c r="P582" s="236"/>
      <c r="Q582" s="236"/>
      <c r="R582" s="236"/>
    </row>
    <row r="583">
      <c r="A583" s="236"/>
      <c r="B583" s="236"/>
      <c r="C583" s="236"/>
      <c r="D583" s="236"/>
      <c r="E583" s="236"/>
      <c r="F583" s="367"/>
      <c r="G583" s="236"/>
      <c r="H583" s="236"/>
      <c r="I583" s="236"/>
      <c r="J583" s="236"/>
      <c r="K583" s="236"/>
      <c r="L583" s="236"/>
      <c r="M583" s="236"/>
      <c r="N583" s="236"/>
      <c r="O583" s="236"/>
      <c r="P583" s="236"/>
      <c r="Q583" s="236"/>
      <c r="R583" s="236"/>
    </row>
    <row r="584">
      <c r="A584" s="236"/>
      <c r="B584" s="236"/>
      <c r="C584" s="236"/>
      <c r="D584" s="236"/>
      <c r="E584" s="236"/>
      <c r="F584" s="367"/>
      <c r="G584" s="236"/>
      <c r="H584" s="236"/>
      <c r="I584" s="236"/>
      <c r="J584" s="236"/>
      <c r="K584" s="236"/>
      <c r="L584" s="236"/>
      <c r="M584" s="236"/>
      <c r="N584" s="236"/>
      <c r="O584" s="236"/>
      <c r="P584" s="236"/>
      <c r="Q584" s="236"/>
      <c r="R584" s="236"/>
    </row>
    <row r="585">
      <c r="A585" s="236"/>
      <c r="B585" s="236"/>
      <c r="C585" s="236"/>
      <c r="D585" s="236"/>
      <c r="E585" s="236"/>
      <c r="F585" s="367"/>
      <c r="G585" s="236"/>
      <c r="H585" s="236"/>
      <c r="I585" s="236"/>
      <c r="J585" s="236"/>
      <c r="K585" s="236"/>
      <c r="L585" s="236"/>
      <c r="M585" s="236"/>
      <c r="N585" s="236"/>
      <c r="O585" s="236"/>
      <c r="P585" s="236"/>
      <c r="Q585" s="236"/>
      <c r="R585" s="236"/>
    </row>
    <row r="586">
      <c r="A586" s="236"/>
      <c r="B586" s="236"/>
      <c r="C586" s="236"/>
      <c r="D586" s="236"/>
      <c r="E586" s="236"/>
      <c r="F586" s="367"/>
      <c r="G586" s="236"/>
      <c r="H586" s="236"/>
      <c r="I586" s="236"/>
      <c r="J586" s="236"/>
      <c r="K586" s="236"/>
      <c r="L586" s="236"/>
      <c r="M586" s="236"/>
      <c r="N586" s="236"/>
      <c r="O586" s="236"/>
      <c r="P586" s="236"/>
      <c r="Q586" s="236"/>
      <c r="R586" s="236"/>
    </row>
    <row r="587">
      <c r="A587" s="236"/>
      <c r="B587" s="236"/>
      <c r="C587" s="236"/>
      <c r="D587" s="236"/>
      <c r="E587" s="236"/>
      <c r="F587" s="367"/>
      <c r="G587" s="236"/>
      <c r="H587" s="236"/>
      <c r="I587" s="236"/>
      <c r="J587" s="236"/>
      <c r="K587" s="236"/>
      <c r="L587" s="236"/>
      <c r="M587" s="236"/>
      <c r="N587" s="236"/>
      <c r="O587" s="236"/>
      <c r="P587" s="236"/>
      <c r="Q587" s="236"/>
      <c r="R587" s="236"/>
    </row>
    <row r="588">
      <c r="A588" s="236"/>
      <c r="B588" s="236"/>
      <c r="C588" s="236"/>
      <c r="D588" s="236"/>
      <c r="E588" s="236"/>
      <c r="F588" s="367"/>
      <c r="G588" s="236"/>
      <c r="H588" s="236"/>
      <c r="I588" s="236"/>
      <c r="J588" s="236"/>
      <c r="K588" s="236"/>
      <c r="L588" s="236"/>
      <c r="M588" s="236"/>
      <c r="N588" s="236"/>
      <c r="O588" s="236"/>
      <c r="P588" s="236"/>
      <c r="Q588" s="236"/>
      <c r="R588" s="236"/>
    </row>
    <row r="589">
      <c r="A589" s="236"/>
      <c r="B589" s="236"/>
      <c r="C589" s="236"/>
      <c r="D589" s="236"/>
      <c r="E589" s="236"/>
      <c r="F589" s="367"/>
      <c r="G589" s="236"/>
      <c r="H589" s="236"/>
      <c r="I589" s="236"/>
      <c r="J589" s="236"/>
      <c r="K589" s="236"/>
      <c r="L589" s="236"/>
      <c r="M589" s="236"/>
      <c r="N589" s="236"/>
      <c r="O589" s="236"/>
      <c r="P589" s="236"/>
      <c r="Q589" s="236"/>
      <c r="R589" s="236"/>
    </row>
    <row r="590">
      <c r="A590" s="236"/>
      <c r="B590" s="236"/>
      <c r="C590" s="236"/>
      <c r="D590" s="236"/>
      <c r="E590" s="236"/>
      <c r="F590" s="367"/>
      <c r="G590" s="236"/>
      <c r="H590" s="236"/>
      <c r="I590" s="236"/>
      <c r="J590" s="236"/>
      <c r="K590" s="236"/>
      <c r="L590" s="236"/>
      <c r="M590" s="236"/>
      <c r="N590" s="236"/>
      <c r="O590" s="236"/>
      <c r="P590" s="236"/>
      <c r="Q590" s="236"/>
      <c r="R590" s="236"/>
    </row>
    <row r="591">
      <c r="A591" s="236"/>
      <c r="B591" s="236"/>
      <c r="C591" s="236"/>
      <c r="D591" s="236"/>
      <c r="E591" s="236"/>
      <c r="F591" s="367"/>
      <c r="G591" s="236"/>
      <c r="H591" s="236"/>
      <c r="I591" s="236"/>
      <c r="J591" s="236"/>
      <c r="K591" s="236"/>
      <c r="L591" s="236"/>
      <c r="M591" s="236"/>
      <c r="N591" s="236"/>
      <c r="O591" s="236"/>
      <c r="P591" s="236"/>
      <c r="Q591" s="236"/>
      <c r="R591" s="236"/>
    </row>
    <row r="592">
      <c r="A592" s="236"/>
      <c r="B592" s="236"/>
      <c r="C592" s="236"/>
      <c r="D592" s="236"/>
      <c r="E592" s="236"/>
      <c r="F592" s="367"/>
      <c r="G592" s="236"/>
      <c r="H592" s="236"/>
      <c r="I592" s="236"/>
      <c r="J592" s="236"/>
      <c r="K592" s="236"/>
      <c r="L592" s="236"/>
      <c r="M592" s="236"/>
      <c r="N592" s="236"/>
      <c r="O592" s="236"/>
      <c r="P592" s="236"/>
      <c r="Q592" s="236"/>
      <c r="R592" s="236"/>
    </row>
    <row r="593">
      <c r="A593" s="236"/>
      <c r="B593" s="236"/>
      <c r="C593" s="236"/>
      <c r="D593" s="236"/>
      <c r="E593" s="236"/>
      <c r="F593" s="367"/>
      <c r="G593" s="236"/>
      <c r="H593" s="236"/>
      <c r="I593" s="236"/>
      <c r="J593" s="236"/>
      <c r="K593" s="236"/>
      <c r="L593" s="236"/>
      <c r="M593" s="236"/>
      <c r="N593" s="236"/>
      <c r="O593" s="236"/>
      <c r="P593" s="236"/>
      <c r="Q593" s="236"/>
      <c r="R593" s="236"/>
    </row>
    <row r="594">
      <c r="A594" s="236"/>
      <c r="B594" s="236"/>
      <c r="C594" s="236"/>
      <c r="D594" s="236"/>
      <c r="E594" s="236"/>
      <c r="F594" s="367"/>
      <c r="G594" s="236"/>
      <c r="H594" s="236"/>
      <c r="I594" s="236"/>
      <c r="J594" s="236"/>
      <c r="K594" s="236"/>
      <c r="L594" s="236"/>
      <c r="M594" s="236"/>
      <c r="N594" s="236"/>
      <c r="O594" s="236"/>
      <c r="P594" s="236"/>
      <c r="Q594" s="236"/>
      <c r="R594" s="236"/>
    </row>
    <row r="595">
      <c r="A595" s="236"/>
      <c r="B595" s="236"/>
      <c r="C595" s="236"/>
      <c r="D595" s="236"/>
      <c r="E595" s="236"/>
      <c r="F595" s="367"/>
      <c r="G595" s="236"/>
      <c r="H595" s="236"/>
      <c r="I595" s="236"/>
      <c r="J595" s="236"/>
      <c r="K595" s="236"/>
      <c r="L595" s="236"/>
      <c r="M595" s="236"/>
      <c r="N595" s="236"/>
      <c r="O595" s="236"/>
      <c r="P595" s="236"/>
      <c r="Q595" s="236"/>
      <c r="R595" s="236"/>
    </row>
    <row r="596">
      <c r="A596" s="236"/>
      <c r="B596" s="236"/>
      <c r="C596" s="236"/>
      <c r="D596" s="236"/>
      <c r="E596" s="236"/>
      <c r="F596" s="367"/>
      <c r="G596" s="236"/>
      <c r="H596" s="236"/>
      <c r="I596" s="236"/>
      <c r="J596" s="236"/>
      <c r="K596" s="236"/>
      <c r="L596" s="236"/>
      <c r="M596" s="236"/>
      <c r="N596" s="236"/>
      <c r="O596" s="236"/>
      <c r="P596" s="236"/>
      <c r="Q596" s="236"/>
      <c r="R596" s="236"/>
    </row>
    <row r="597">
      <c r="A597" s="236"/>
      <c r="B597" s="236"/>
      <c r="C597" s="236"/>
      <c r="D597" s="236"/>
      <c r="E597" s="236"/>
      <c r="F597" s="367"/>
      <c r="G597" s="236"/>
      <c r="H597" s="236"/>
      <c r="I597" s="236"/>
      <c r="J597" s="236"/>
      <c r="K597" s="236"/>
      <c r="L597" s="236"/>
      <c r="M597" s="236"/>
      <c r="N597" s="236"/>
      <c r="O597" s="236"/>
      <c r="P597" s="236"/>
      <c r="Q597" s="236"/>
      <c r="R597" s="236"/>
    </row>
    <row r="598">
      <c r="A598" s="236"/>
      <c r="B598" s="236"/>
      <c r="C598" s="236"/>
      <c r="D598" s="236"/>
      <c r="E598" s="236"/>
      <c r="F598" s="367"/>
      <c r="G598" s="236"/>
      <c r="H598" s="236"/>
      <c r="I598" s="236"/>
      <c r="J598" s="236"/>
      <c r="K598" s="236"/>
      <c r="L598" s="236"/>
      <c r="M598" s="236"/>
      <c r="N598" s="236"/>
      <c r="O598" s="236"/>
      <c r="P598" s="236"/>
      <c r="Q598" s="236"/>
      <c r="R598" s="236"/>
    </row>
    <row r="599">
      <c r="A599" s="236"/>
      <c r="B599" s="236"/>
      <c r="C599" s="236"/>
      <c r="D599" s="236"/>
      <c r="E599" s="236"/>
      <c r="F599" s="367"/>
      <c r="G599" s="236"/>
      <c r="H599" s="236"/>
      <c r="I599" s="236"/>
      <c r="J599" s="236"/>
      <c r="K599" s="236"/>
      <c r="L599" s="236"/>
      <c r="M599" s="236"/>
      <c r="N599" s="236"/>
      <c r="O599" s="236"/>
      <c r="P599" s="236"/>
      <c r="Q599" s="236"/>
      <c r="R599" s="236"/>
    </row>
    <row r="600">
      <c r="A600" s="236"/>
      <c r="B600" s="236"/>
      <c r="C600" s="236"/>
      <c r="D600" s="236"/>
      <c r="E600" s="236"/>
      <c r="F600" s="367"/>
      <c r="G600" s="236"/>
      <c r="H600" s="236"/>
      <c r="I600" s="236"/>
      <c r="J600" s="236"/>
      <c r="K600" s="236"/>
      <c r="L600" s="236"/>
      <c r="M600" s="236"/>
      <c r="N600" s="236"/>
      <c r="O600" s="236"/>
      <c r="P600" s="236"/>
      <c r="Q600" s="236"/>
      <c r="R600" s="236"/>
    </row>
    <row r="601">
      <c r="A601" s="236"/>
      <c r="B601" s="236"/>
      <c r="C601" s="236"/>
      <c r="D601" s="236"/>
      <c r="E601" s="236"/>
      <c r="F601" s="367"/>
      <c r="G601" s="236"/>
      <c r="H601" s="236"/>
      <c r="I601" s="236"/>
      <c r="J601" s="236"/>
      <c r="K601" s="236"/>
      <c r="L601" s="236"/>
      <c r="M601" s="236"/>
      <c r="N601" s="236"/>
      <c r="O601" s="236"/>
      <c r="P601" s="236"/>
      <c r="Q601" s="236"/>
      <c r="R601" s="236"/>
    </row>
    <row r="602">
      <c r="A602" s="236"/>
      <c r="B602" s="236"/>
      <c r="C602" s="236"/>
      <c r="D602" s="236"/>
      <c r="E602" s="236"/>
      <c r="F602" s="367"/>
      <c r="G602" s="236"/>
      <c r="H602" s="236"/>
      <c r="I602" s="236"/>
      <c r="J602" s="236"/>
      <c r="K602" s="236"/>
      <c r="L602" s="236"/>
      <c r="M602" s="236"/>
      <c r="N602" s="236"/>
      <c r="O602" s="236"/>
      <c r="P602" s="236"/>
      <c r="Q602" s="236"/>
      <c r="R602" s="236"/>
    </row>
    <row r="603">
      <c r="A603" s="236"/>
      <c r="B603" s="236"/>
      <c r="C603" s="236"/>
      <c r="D603" s="236"/>
      <c r="E603" s="236"/>
      <c r="F603" s="367"/>
      <c r="G603" s="236"/>
      <c r="H603" s="236"/>
      <c r="I603" s="236"/>
      <c r="J603" s="236"/>
      <c r="K603" s="236"/>
      <c r="L603" s="236"/>
      <c r="M603" s="236"/>
      <c r="N603" s="236"/>
      <c r="O603" s="236"/>
      <c r="P603" s="236"/>
      <c r="Q603" s="236"/>
      <c r="R603" s="236"/>
    </row>
    <row r="604">
      <c r="A604" s="236"/>
      <c r="B604" s="236"/>
      <c r="C604" s="236"/>
      <c r="D604" s="236"/>
      <c r="E604" s="236"/>
      <c r="F604" s="367"/>
      <c r="G604" s="236"/>
      <c r="H604" s="236"/>
      <c r="I604" s="236"/>
      <c r="J604" s="236"/>
      <c r="K604" s="236"/>
      <c r="L604" s="236"/>
      <c r="M604" s="236"/>
      <c r="N604" s="236"/>
      <c r="O604" s="236"/>
      <c r="P604" s="236"/>
      <c r="Q604" s="236"/>
      <c r="R604" s="236"/>
    </row>
    <row r="605">
      <c r="A605" s="236"/>
      <c r="B605" s="236"/>
      <c r="C605" s="236"/>
      <c r="D605" s="236"/>
      <c r="E605" s="236"/>
      <c r="F605" s="367"/>
      <c r="G605" s="236"/>
      <c r="H605" s="236"/>
      <c r="I605" s="236"/>
      <c r="J605" s="236"/>
      <c r="K605" s="236"/>
      <c r="L605" s="236"/>
      <c r="M605" s="236"/>
      <c r="N605" s="236"/>
      <c r="O605" s="236"/>
      <c r="P605" s="236"/>
      <c r="Q605" s="236"/>
      <c r="R605" s="236"/>
    </row>
    <row r="606">
      <c r="A606" s="236"/>
      <c r="B606" s="236"/>
      <c r="C606" s="236"/>
      <c r="D606" s="236"/>
      <c r="E606" s="236"/>
      <c r="F606" s="367"/>
      <c r="G606" s="236"/>
      <c r="H606" s="236"/>
      <c r="I606" s="236"/>
      <c r="J606" s="236"/>
      <c r="K606" s="236"/>
      <c r="L606" s="236"/>
      <c r="M606" s="236"/>
      <c r="N606" s="236"/>
      <c r="O606" s="236"/>
      <c r="P606" s="236"/>
      <c r="Q606" s="236"/>
      <c r="R606" s="236"/>
    </row>
    <row r="607">
      <c r="A607" s="236"/>
      <c r="B607" s="236"/>
      <c r="C607" s="236"/>
      <c r="D607" s="236"/>
      <c r="E607" s="236"/>
      <c r="F607" s="367"/>
      <c r="G607" s="236"/>
      <c r="H607" s="236"/>
      <c r="I607" s="236"/>
      <c r="J607" s="236"/>
      <c r="K607" s="236"/>
      <c r="L607" s="236"/>
      <c r="M607" s="236"/>
      <c r="N607" s="236"/>
      <c r="O607" s="236"/>
      <c r="P607" s="236"/>
      <c r="Q607" s="236"/>
      <c r="R607" s="236"/>
    </row>
    <row r="608">
      <c r="A608" s="236"/>
      <c r="B608" s="236"/>
      <c r="C608" s="236"/>
      <c r="D608" s="236"/>
      <c r="E608" s="236"/>
      <c r="F608" s="367"/>
      <c r="G608" s="236"/>
      <c r="H608" s="236"/>
      <c r="I608" s="236"/>
      <c r="J608" s="236"/>
      <c r="K608" s="236"/>
      <c r="L608" s="236"/>
      <c r="M608" s="236"/>
      <c r="N608" s="236"/>
      <c r="O608" s="236"/>
      <c r="P608" s="236"/>
      <c r="Q608" s="236"/>
      <c r="R608" s="236"/>
    </row>
    <row r="609">
      <c r="A609" s="236"/>
      <c r="B609" s="236"/>
      <c r="C609" s="236"/>
      <c r="D609" s="236"/>
      <c r="E609" s="236"/>
      <c r="F609" s="367"/>
      <c r="G609" s="236"/>
      <c r="H609" s="236"/>
      <c r="I609" s="236"/>
      <c r="J609" s="236"/>
      <c r="K609" s="236"/>
      <c r="L609" s="236"/>
      <c r="M609" s="236"/>
      <c r="N609" s="236"/>
      <c r="O609" s="236"/>
      <c r="P609" s="236"/>
      <c r="Q609" s="236"/>
      <c r="R609" s="236"/>
    </row>
    <row r="610">
      <c r="A610" s="236"/>
      <c r="B610" s="236"/>
      <c r="C610" s="236"/>
      <c r="D610" s="236"/>
      <c r="E610" s="236"/>
      <c r="F610" s="367"/>
      <c r="G610" s="236"/>
      <c r="H610" s="236"/>
      <c r="I610" s="236"/>
      <c r="J610" s="236"/>
      <c r="K610" s="236"/>
      <c r="L610" s="236"/>
      <c r="M610" s="236"/>
      <c r="N610" s="236"/>
      <c r="O610" s="236"/>
      <c r="P610" s="236"/>
      <c r="Q610" s="236"/>
      <c r="R610" s="236"/>
    </row>
    <row r="611">
      <c r="A611" s="236"/>
      <c r="B611" s="236"/>
      <c r="C611" s="236"/>
      <c r="D611" s="236"/>
      <c r="E611" s="236"/>
      <c r="F611" s="367"/>
      <c r="G611" s="236"/>
      <c r="H611" s="236"/>
      <c r="I611" s="236"/>
      <c r="J611" s="236"/>
      <c r="K611" s="236"/>
      <c r="L611" s="236"/>
      <c r="M611" s="236"/>
      <c r="N611" s="236"/>
      <c r="O611" s="236"/>
      <c r="P611" s="236"/>
      <c r="Q611" s="236"/>
      <c r="R611" s="236"/>
    </row>
    <row r="612">
      <c r="A612" s="236"/>
      <c r="B612" s="236"/>
      <c r="C612" s="236"/>
      <c r="D612" s="236"/>
      <c r="E612" s="236"/>
      <c r="F612" s="367"/>
      <c r="G612" s="236"/>
      <c r="H612" s="236"/>
      <c r="I612" s="236"/>
      <c r="J612" s="236"/>
      <c r="K612" s="236"/>
      <c r="L612" s="236"/>
      <c r="M612" s="236"/>
      <c r="N612" s="236"/>
      <c r="O612" s="236"/>
      <c r="P612" s="236"/>
      <c r="Q612" s="236"/>
      <c r="R612" s="236"/>
    </row>
    <row r="613">
      <c r="A613" s="236"/>
      <c r="B613" s="236"/>
      <c r="C613" s="236"/>
      <c r="D613" s="236"/>
      <c r="E613" s="236"/>
      <c r="F613" s="367"/>
      <c r="G613" s="236"/>
      <c r="H613" s="236"/>
      <c r="I613" s="236"/>
      <c r="J613" s="236"/>
      <c r="K613" s="236"/>
      <c r="L613" s="236"/>
      <c r="M613" s="236"/>
      <c r="N613" s="236"/>
      <c r="O613" s="236"/>
      <c r="P613" s="236"/>
      <c r="Q613" s="236"/>
      <c r="R613" s="236"/>
    </row>
    <row r="614">
      <c r="A614" s="236"/>
      <c r="B614" s="236"/>
      <c r="C614" s="236"/>
      <c r="D614" s="236"/>
      <c r="E614" s="236"/>
      <c r="F614" s="367"/>
      <c r="G614" s="236"/>
      <c r="H614" s="236"/>
      <c r="I614" s="236"/>
      <c r="J614" s="236"/>
      <c r="K614" s="236"/>
      <c r="L614" s="236"/>
      <c r="M614" s="236"/>
      <c r="N614" s="236"/>
      <c r="O614" s="236"/>
      <c r="P614" s="236"/>
      <c r="Q614" s="236"/>
      <c r="R614" s="236"/>
    </row>
    <row r="615">
      <c r="A615" s="236"/>
      <c r="B615" s="236"/>
      <c r="C615" s="236"/>
      <c r="D615" s="236"/>
      <c r="E615" s="236"/>
      <c r="F615" s="367"/>
      <c r="G615" s="236"/>
      <c r="H615" s="236"/>
      <c r="I615" s="236"/>
      <c r="J615" s="236"/>
      <c r="K615" s="236"/>
      <c r="L615" s="236"/>
      <c r="M615" s="236"/>
      <c r="N615" s="236"/>
      <c r="O615" s="236"/>
      <c r="P615" s="236"/>
      <c r="Q615" s="236"/>
      <c r="R615" s="236"/>
    </row>
    <row r="616">
      <c r="A616" s="236"/>
      <c r="B616" s="236"/>
      <c r="C616" s="236"/>
      <c r="D616" s="236"/>
      <c r="E616" s="236"/>
      <c r="F616" s="367"/>
      <c r="G616" s="236"/>
      <c r="H616" s="236"/>
      <c r="I616" s="236"/>
      <c r="J616" s="236"/>
      <c r="K616" s="236"/>
      <c r="L616" s="236"/>
      <c r="M616" s="236"/>
      <c r="N616" s="236"/>
      <c r="O616" s="236"/>
      <c r="P616" s="236"/>
      <c r="Q616" s="236"/>
      <c r="R616" s="236"/>
    </row>
    <row r="617">
      <c r="A617" s="236"/>
      <c r="B617" s="236"/>
      <c r="C617" s="236"/>
      <c r="D617" s="236"/>
      <c r="E617" s="236"/>
      <c r="F617" s="367"/>
      <c r="G617" s="236"/>
      <c r="H617" s="236"/>
      <c r="I617" s="236"/>
      <c r="J617" s="236"/>
      <c r="K617" s="236"/>
      <c r="L617" s="236"/>
      <c r="M617" s="236"/>
      <c r="N617" s="236"/>
      <c r="O617" s="236"/>
      <c r="P617" s="236"/>
      <c r="Q617" s="236"/>
      <c r="R617" s="236"/>
    </row>
    <row r="618">
      <c r="A618" s="236"/>
      <c r="B618" s="236"/>
      <c r="C618" s="236"/>
      <c r="D618" s="236"/>
      <c r="E618" s="236"/>
      <c r="F618" s="367"/>
      <c r="G618" s="236"/>
      <c r="H618" s="236"/>
      <c r="I618" s="236"/>
      <c r="J618" s="236"/>
      <c r="K618" s="236"/>
      <c r="L618" s="236"/>
      <c r="M618" s="236"/>
      <c r="N618" s="236"/>
      <c r="O618" s="236"/>
      <c r="P618" s="236"/>
      <c r="Q618" s="236"/>
      <c r="R618" s="236"/>
    </row>
    <row r="619">
      <c r="A619" s="236"/>
      <c r="B619" s="236"/>
      <c r="C619" s="236"/>
      <c r="D619" s="236"/>
      <c r="E619" s="236"/>
      <c r="F619" s="367"/>
      <c r="G619" s="236"/>
      <c r="H619" s="236"/>
      <c r="I619" s="236"/>
      <c r="J619" s="236"/>
      <c r="K619" s="236"/>
      <c r="L619" s="236"/>
      <c r="M619" s="236"/>
      <c r="N619" s="236"/>
      <c r="O619" s="236"/>
      <c r="P619" s="236"/>
      <c r="Q619" s="236"/>
      <c r="R619" s="236"/>
    </row>
    <row r="620">
      <c r="A620" s="236"/>
      <c r="B620" s="236"/>
      <c r="C620" s="236"/>
      <c r="D620" s="236"/>
      <c r="E620" s="236"/>
      <c r="F620" s="367"/>
      <c r="G620" s="236"/>
      <c r="H620" s="236"/>
      <c r="I620" s="236"/>
      <c r="J620" s="236"/>
      <c r="K620" s="236"/>
      <c r="L620" s="236"/>
      <c r="M620" s="236"/>
      <c r="N620" s="236"/>
      <c r="O620" s="236"/>
      <c r="P620" s="236"/>
      <c r="Q620" s="236"/>
      <c r="R620" s="236"/>
    </row>
    <row r="621">
      <c r="A621" s="236"/>
      <c r="B621" s="236"/>
      <c r="C621" s="236"/>
      <c r="D621" s="236"/>
      <c r="E621" s="236"/>
      <c r="F621" s="367"/>
      <c r="G621" s="236"/>
      <c r="H621" s="236"/>
      <c r="I621" s="236"/>
      <c r="J621" s="236"/>
      <c r="K621" s="236"/>
      <c r="L621" s="236"/>
      <c r="M621" s="236"/>
      <c r="N621" s="236"/>
      <c r="O621" s="236"/>
      <c r="P621" s="236"/>
      <c r="Q621" s="236"/>
      <c r="R621" s="236"/>
    </row>
    <row r="622">
      <c r="A622" s="236"/>
      <c r="B622" s="236"/>
      <c r="C622" s="236"/>
      <c r="D622" s="236"/>
      <c r="E622" s="236"/>
      <c r="F622" s="367"/>
      <c r="G622" s="236"/>
      <c r="H622" s="236"/>
      <c r="I622" s="236"/>
      <c r="J622" s="236"/>
      <c r="K622" s="236"/>
      <c r="L622" s="236"/>
      <c r="M622" s="236"/>
      <c r="N622" s="236"/>
      <c r="O622" s="236"/>
      <c r="P622" s="236"/>
      <c r="Q622" s="236"/>
      <c r="R622" s="236"/>
    </row>
    <row r="623">
      <c r="A623" s="236"/>
      <c r="B623" s="236"/>
      <c r="C623" s="236"/>
      <c r="D623" s="236"/>
      <c r="E623" s="236"/>
      <c r="F623" s="367"/>
      <c r="G623" s="236"/>
      <c r="H623" s="236"/>
      <c r="I623" s="236"/>
      <c r="J623" s="236"/>
      <c r="K623" s="236"/>
      <c r="L623" s="236"/>
      <c r="M623" s="236"/>
      <c r="N623" s="236"/>
      <c r="O623" s="236"/>
      <c r="P623" s="236"/>
      <c r="Q623" s="236"/>
      <c r="R623" s="236"/>
    </row>
    <row r="624">
      <c r="A624" s="236"/>
      <c r="B624" s="236"/>
      <c r="C624" s="236"/>
      <c r="D624" s="236"/>
      <c r="E624" s="236"/>
      <c r="F624" s="367"/>
      <c r="G624" s="236"/>
      <c r="H624" s="236"/>
      <c r="I624" s="236"/>
      <c r="J624" s="236"/>
      <c r="K624" s="236"/>
      <c r="L624" s="236"/>
      <c r="M624" s="236"/>
      <c r="N624" s="236"/>
      <c r="O624" s="236"/>
      <c r="P624" s="236"/>
      <c r="Q624" s="236"/>
      <c r="R624" s="236"/>
    </row>
    <row r="625">
      <c r="A625" s="236"/>
      <c r="B625" s="236"/>
      <c r="C625" s="236"/>
      <c r="D625" s="236"/>
      <c r="E625" s="236"/>
      <c r="F625" s="367"/>
      <c r="G625" s="236"/>
      <c r="H625" s="236"/>
      <c r="I625" s="236"/>
      <c r="J625" s="236"/>
      <c r="K625" s="236"/>
      <c r="L625" s="236"/>
      <c r="M625" s="236"/>
      <c r="N625" s="236"/>
      <c r="O625" s="236"/>
      <c r="P625" s="236"/>
      <c r="Q625" s="236"/>
      <c r="R625" s="236"/>
    </row>
    <row r="626">
      <c r="A626" s="236"/>
      <c r="B626" s="236"/>
      <c r="C626" s="236"/>
      <c r="D626" s="236"/>
      <c r="E626" s="236"/>
      <c r="F626" s="367"/>
      <c r="G626" s="236"/>
      <c r="H626" s="236"/>
      <c r="I626" s="236"/>
      <c r="J626" s="236"/>
      <c r="K626" s="236"/>
      <c r="L626" s="236"/>
      <c r="M626" s="236"/>
      <c r="N626" s="236"/>
      <c r="O626" s="236"/>
      <c r="P626" s="236"/>
      <c r="Q626" s="236"/>
      <c r="R626" s="236"/>
    </row>
    <row r="627">
      <c r="A627" s="236"/>
      <c r="B627" s="236"/>
      <c r="C627" s="236"/>
      <c r="D627" s="236"/>
      <c r="E627" s="236"/>
      <c r="F627" s="367"/>
      <c r="G627" s="236"/>
      <c r="H627" s="236"/>
      <c r="I627" s="236"/>
      <c r="J627" s="236"/>
      <c r="K627" s="236"/>
      <c r="L627" s="236"/>
      <c r="M627" s="236"/>
      <c r="N627" s="236"/>
      <c r="O627" s="236"/>
      <c r="P627" s="236"/>
      <c r="Q627" s="236"/>
      <c r="R627" s="236"/>
    </row>
    <row r="628">
      <c r="A628" s="236"/>
      <c r="B628" s="236"/>
      <c r="C628" s="236"/>
      <c r="D628" s="236"/>
      <c r="E628" s="236"/>
      <c r="F628" s="367"/>
      <c r="G628" s="236"/>
      <c r="H628" s="236"/>
      <c r="I628" s="236"/>
      <c r="J628" s="236"/>
      <c r="K628" s="236"/>
      <c r="L628" s="236"/>
      <c r="M628" s="236"/>
      <c r="N628" s="236"/>
      <c r="O628" s="236"/>
      <c r="P628" s="236"/>
      <c r="Q628" s="236"/>
      <c r="R628" s="236"/>
    </row>
    <row r="629">
      <c r="A629" s="236"/>
      <c r="B629" s="236"/>
      <c r="C629" s="236"/>
      <c r="D629" s="236"/>
      <c r="E629" s="236"/>
      <c r="F629" s="367"/>
      <c r="G629" s="236"/>
      <c r="H629" s="236"/>
      <c r="I629" s="236"/>
      <c r="J629" s="236"/>
      <c r="K629" s="236"/>
      <c r="L629" s="236"/>
      <c r="M629" s="236"/>
      <c r="N629" s="236"/>
      <c r="O629" s="236"/>
      <c r="P629" s="236"/>
      <c r="Q629" s="236"/>
      <c r="R629" s="236"/>
    </row>
    <row r="630">
      <c r="A630" s="236"/>
      <c r="B630" s="236"/>
      <c r="C630" s="236"/>
      <c r="D630" s="236"/>
      <c r="E630" s="236"/>
      <c r="F630" s="367"/>
      <c r="G630" s="236"/>
      <c r="H630" s="236"/>
      <c r="I630" s="236"/>
      <c r="J630" s="236"/>
      <c r="K630" s="236"/>
      <c r="L630" s="236"/>
      <c r="M630" s="236"/>
      <c r="N630" s="236"/>
      <c r="O630" s="236"/>
      <c r="P630" s="236"/>
      <c r="Q630" s="236"/>
      <c r="R630" s="236"/>
    </row>
    <row r="631">
      <c r="A631" s="236"/>
      <c r="B631" s="236"/>
      <c r="C631" s="236"/>
      <c r="D631" s="236"/>
      <c r="E631" s="236"/>
      <c r="F631" s="367"/>
      <c r="G631" s="236"/>
      <c r="H631" s="236"/>
      <c r="I631" s="236"/>
      <c r="J631" s="236"/>
      <c r="K631" s="236"/>
      <c r="L631" s="236"/>
      <c r="M631" s="236"/>
      <c r="N631" s="236"/>
      <c r="O631" s="236"/>
      <c r="P631" s="236"/>
      <c r="Q631" s="236"/>
      <c r="R631" s="236"/>
    </row>
    <row r="632">
      <c r="A632" s="236"/>
      <c r="B632" s="236"/>
      <c r="C632" s="236"/>
      <c r="D632" s="236"/>
      <c r="E632" s="236"/>
      <c r="F632" s="367"/>
      <c r="G632" s="236"/>
      <c r="H632" s="236"/>
      <c r="I632" s="236"/>
      <c r="J632" s="236"/>
      <c r="K632" s="236"/>
      <c r="L632" s="236"/>
      <c r="M632" s="236"/>
      <c r="N632" s="236"/>
      <c r="O632" s="236"/>
      <c r="P632" s="236"/>
      <c r="Q632" s="236"/>
      <c r="R632" s="236"/>
    </row>
    <row r="633">
      <c r="A633" s="236"/>
      <c r="B633" s="236"/>
      <c r="C633" s="236"/>
      <c r="D633" s="236"/>
      <c r="E633" s="236"/>
      <c r="F633" s="367"/>
      <c r="G633" s="236"/>
      <c r="H633" s="236"/>
      <c r="I633" s="236"/>
      <c r="J633" s="236"/>
      <c r="K633" s="236"/>
      <c r="L633" s="236"/>
      <c r="M633" s="236"/>
      <c r="N633" s="236"/>
      <c r="O633" s="236"/>
      <c r="P633" s="236"/>
      <c r="Q633" s="236"/>
      <c r="R633" s="236"/>
    </row>
    <row r="634">
      <c r="A634" s="236"/>
      <c r="B634" s="236"/>
      <c r="C634" s="236"/>
      <c r="D634" s="236"/>
      <c r="E634" s="236"/>
      <c r="F634" s="367"/>
      <c r="G634" s="236"/>
      <c r="H634" s="236"/>
      <c r="I634" s="236"/>
      <c r="J634" s="236"/>
      <c r="K634" s="236"/>
      <c r="L634" s="236"/>
      <c r="M634" s="236"/>
      <c r="N634" s="236"/>
      <c r="O634" s="236"/>
      <c r="P634" s="236"/>
      <c r="Q634" s="236"/>
      <c r="R634" s="236"/>
    </row>
    <row r="635">
      <c r="A635" s="236"/>
      <c r="B635" s="236"/>
      <c r="C635" s="236"/>
      <c r="D635" s="236"/>
      <c r="E635" s="236"/>
      <c r="F635" s="367"/>
      <c r="G635" s="236"/>
      <c r="H635" s="236"/>
      <c r="I635" s="236"/>
      <c r="J635" s="236"/>
      <c r="K635" s="236"/>
      <c r="L635" s="236"/>
      <c r="M635" s="236"/>
      <c r="N635" s="236"/>
      <c r="O635" s="236"/>
      <c r="P635" s="236"/>
      <c r="Q635" s="236"/>
      <c r="R635" s="236"/>
    </row>
    <row r="636">
      <c r="A636" s="236"/>
      <c r="B636" s="236"/>
      <c r="C636" s="236"/>
      <c r="D636" s="236"/>
      <c r="E636" s="236"/>
      <c r="F636" s="367"/>
      <c r="G636" s="236"/>
      <c r="H636" s="236"/>
      <c r="I636" s="236"/>
      <c r="J636" s="236"/>
      <c r="K636" s="236"/>
      <c r="L636" s="236"/>
      <c r="M636" s="236"/>
      <c r="N636" s="236"/>
      <c r="O636" s="236"/>
      <c r="P636" s="236"/>
      <c r="Q636" s="236"/>
      <c r="R636" s="236"/>
    </row>
    <row r="637">
      <c r="A637" s="236"/>
      <c r="B637" s="236"/>
      <c r="C637" s="236"/>
      <c r="D637" s="236"/>
      <c r="E637" s="236"/>
      <c r="F637" s="367"/>
      <c r="G637" s="236"/>
      <c r="H637" s="236"/>
      <c r="I637" s="236"/>
      <c r="J637" s="236"/>
      <c r="K637" s="236"/>
      <c r="L637" s="236"/>
      <c r="M637" s="236"/>
      <c r="N637" s="236"/>
      <c r="O637" s="236"/>
      <c r="P637" s="236"/>
      <c r="Q637" s="236"/>
      <c r="R637" s="236"/>
    </row>
    <row r="638">
      <c r="A638" s="236"/>
      <c r="B638" s="236"/>
      <c r="C638" s="236"/>
      <c r="D638" s="236"/>
      <c r="E638" s="236"/>
      <c r="F638" s="367"/>
      <c r="G638" s="236"/>
      <c r="H638" s="236"/>
      <c r="I638" s="236"/>
      <c r="J638" s="236"/>
      <c r="K638" s="236"/>
      <c r="L638" s="236"/>
      <c r="M638" s="236"/>
      <c r="N638" s="236"/>
      <c r="O638" s="236"/>
      <c r="P638" s="236"/>
      <c r="Q638" s="236"/>
      <c r="R638" s="236"/>
    </row>
    <row r="639">
      <c r="A639" s="236"/>
      <c r="B639" s="236"/>
      <c r="C639" s="236"/>
      <c r="D639" s="236"/>
      <c r="E639" s="236"/>
      <c r="F639" s="367"/>
      <c r="G639" s="236"/>
      <c r="H639" s="236"/>
      <c r="I639" s="236"/>
      <c r="J639" s="236"/>
      <c r="K639" s="236"/>
      <c r="L639" s="236"/>
      <c r="M639" s="236"/>
      <c r="N639" s="236"/>
      <c r="O639" s="236"/>
      <c r="P639" s="236"/>
      <c r="Q639" s="236"/>
      <c r="R639" s="236"/>
    </row>
    <row r="640">
      <c r="A640" s="236"/>
      <c r="B640" s="236"/>
      <c r="C640" s="236"/>
      <c r="D640" s="236"/>
      <c r="E640" s="236"/>
      <c r="F640" s="367"/>
      <c r="G640" s="236"/>
      <c r="H640" s="236"/>
      <c r="I640" s="236"/>
      <c r="J640" s="236"/>
      <c r="K640" s="236"/>
      <c r="L640" s="236"/>
      <c r="M640" s="236"/>
      <c r="N640" s="236"/>
      <c r="O640" s="236"/>
      <c r="P640" s="236"/>
      <c r="Q640" s="236"/>
      <c r="R640" s="236"/>
    </row>
    <row r="641">
      <c r="A641" s="236"/>
      <c r="B641" s="236"/>
      <c r="C641" s="236"/>
      <c r="D641" s="236"/>
      <c r="E641" s="236"/>
      <c r="F641" s="367"/>
      <c r="G641" s="236"/>
      <c r="H641" s="236"/>
      <c r="I641" s="236"/>
      <c r="J641" s="236"/>
      <c r="K641" s="236"/>
      <c r="L641" s="236"/>
      <c r="M641" s="236"/>
      <c r="N641" s="236"/>
      <c r="O641" s="236"/>
      <c r="P641" s="236"/>
      <c r="Q641" s="236"/>
      <c r="R641" s="236"/>
    </row>
    <row r="642">
      <c r="A642" s="236"/>
      <c r="B642" s="236"/>
      <c r="C642" s="236"/>
      <c r="D642" s="236"/>
      <c r="E642" s="236"/>
      <c r="F642" s="367"/>
      <c r="G642" s="236"/>
      <c r="H642" s="236"/>
      <c r="I642" s="236"/>
      <c r="J642" s="236"/>
      <c r="K642" s="236"/>
      <c r="L642" s="236"/>
      <c r="M642" s="236"/>
      <c r="N642" s="236"/>
      <c r="O642" s="236"/>
      <c r="P642" s="236"/>
      <c r="Q642" s="236"/>
      <c r="R642" s="236"/>
    </row>
    <row r="643">
      <c r="A643" s="236"/>
      <c r="B643" s="236"/>
      <c r="C643" s="236"/>
      <c r="D643" s="236"/>
      <c r="E643" s="236"/>
      <c r="F643" s="367"/>
      <c r="G643" s="236"/>
      <c r="H643" s="236"/>
      <c r="I643" s="236"/>
      <c r="J643" s="236"/>
      <c r="K643" s="236"/>
      <c r="L643" s="236"/>
      <c r="M643" s="236"/>
      <c r="N643" s="236"/>
      <c r="O643" s="236"/>
      <c r="P643" s="236"/>
      <c r="Q643" s="236"/>
      <c r="R643" s="236"/>
    </row>
    <row r="644">
      <c r="A644" s="236"/>
      <c r="B644" s="236"/>
      <c r="C644" s="236"/>
      <c r="D644" s="236"/>
      <c r="E644" s="236"/>
      <c r="F644" s="367"/>
      <c r="G644" s="236"/>
      <c r="H644" s="236"/>
      <c r="I644" s="236"/>
      <c r="J644" s="236"/>
      <c r="K644" s="236"/>
      <c r="L644" s="236"/>
      <c r="M644" s="236"/>
      <c r="N644" s="236"/>
      <c r="O644" s="236"/>
      <c r="P644" s="236"/>
      <c r="Q644" s="236"/>
      <c r="R644" s="236"/>
    </row>
    <row r="645">
      <c r="A645" s="236"/>
      <c r="B645" s="236"/>
      <c r="C645" s="236"/>
      <c r="D645" s="236"/>
      <c r="E645" s="236"/>
      <c r="F645" s="367"/>
      <c r="G645" s="236"/>
      <c r="H645" s="236"/>
      <c r="I645" s="236"/>
      <c r="J645" s="236"/>
      <c r="K645" s="236"/>
      <c r="L645" s="236"/>
      <c r="M645" s="236"/>
      <c r="N645" s="236"/>
      <c r="O645" s="236"/>
      <c r="P645" s="236"/>
      <c r="Q645" s="236"/>
      <c r="R645" s="236"/>
    </row>
    <row r="646">
      <c r="A646" s="236"/>
      <c r="B646" s="236"/>
      <c r="C646" s="236"/>
      <c r="D646" s="236"/>
      <c r="E646" s="236"/>
      <c r="F646" s="367"/>
      <c r="G646" s="236"/>
      <c r="H646" s="236"/>
      <c r="I646" s="236"/>
      <c r="J646" s="236"/>
      <c r="K646" s="236"/>
      <c r="L646" s="236"/>
      <c r="M646" s="236"/>
      <c r="N646" s="236"/>
      <c r="O646" s="236"/>
      <c r="P646" s="236"/>
      <c r="Q646" s="236"/>
      <c r="R646" s="236"/>
    </row>
    <row r="647">
      <c r="A647" s="236"/>
      <c r="B647" s="236"/>
      <c r="C647" s="236"/>
      <c r="D647" s="236"/>
      <c r="E647" s="236"/>
      <c r="F647" s="367"/>
      <c r="G647" s="236"/>
      <c r="H647" s="236"/>
      <c r="I647" s="236"/>
      <c r="J647" s="236"/>
      <c r="K647" s="236"/>
      <c r="L647" s="236"/>
      <c r="M647" s="236"/>
      <c r="N647" s="236"/>
      <c r="O647" s="236"/>
      <c r="P647" s="236"/>
      <c r="Q647" s="236"/>
      <c r="R647" s="236"/>
    </row>
    <row r="648">
      <c r="A648" s="236"/>
      <c r="B648" s="236"/>
      <c r="C648" s="236"/>
      <c r="D648" s="236"/>
      <c r="E648" s="236"/>
      <c r="F648" s="367"/>
      <c r="G648" s="236"/>
      <c r="H648" s="236"/>
      <c r="I648" s="236"/>
      <c r="J648" s="236"/>
      <c r="K648" s="236"/>
      <c r="L648" s="236"/>
      <c r="M648" s="236"/>
      <c r="N648" s="236"/>
      <c r="O648" s="236"/>
      <c r="P648" s="236"/>
      <c r="Q648" s="236"/>
      <c r="R648" s="236"/>
    </row>
    <row r="649">
      <c r="A649" s="236"/>
      <c r="B649" s="236"/>
      <c r="C649" s="236"/>
      <c r="D649" s="236"/>
      <c r="E649" s="236"/>
      <c r="F649" s="367"/>
      <c r="G649" s="236"/>
      <c r="H649" s="236"/>
      <c r="I649" s="236"/>
      <c r="J649" s="236"/>
      <c r="K649" s="236"/>
      <c r="L649" s="236"/>
      <c r="M649" s="236"/>
      <c r="N649" s="236"/>
      <c r="O649" s="236"/>
      <c r="P649" s="236"/>
      <c r="Q649" s="236"/>
      <c r="R649" s="236"/>
    </row>
    <row r="650">
      <c r="A650" s="236"/>
      <c r="B650" s="236"/>
      <c r="C650" s="236"/>
      <c r="D650" s="236"/>
      <c r="E650" s="236"/>
      <c r="F650" s="367"/>
      <c r="G650" s="236"/>
      <c r="H650" s="236"/>
      <c r="I650" s="236"/>
      <c r="J650" s="236"/>
      <c r="K650" s="236"/>
      <c r="L650" s="236"/>
      <c r="M650" s="236"/>
      <c r="N650" s="236"/>
      <c r="O650" s="236"/>
      <c r="P650" s="236"/>
      <c r="Q650" s="236"/>
      <c r="R650" s="236"/>
    </row>
    <row r="651">
      <c r="A651" s="236"/>
      <c r="B651" s="236"/>
      <c r="C651" s="236"/>
      <c r="D651" s="236"/>
      <c r="E651" s="236"/>
      <c r="F651" s="367"/>
      <c r="G651" s="236"/>
      <c r="H651" s="236"/>
      <c r="I651" s="236"/>
      <c r="J651" s="236"/>
      <c r="K651" s="236"/>
      <c r="L651" s="236"/>
      <c r="M651" s="236"/>
      <c r="N651" s="236"/>
      <c r="O651" s="236"/>
      <c r="P651" s="236"/>
      <c r="Q651" s="236"/>
      <c r="R651" s="236"/>
    </row>
    <row r="652">
      <c r="A652" s="236"/>
      <c r="B652" s="236"/>
      <c r="C652" s="236"/>
      <c r="D652" s="236"/>
      <c r="E652" s="236"/>
      <c r="F652" s="367"/>
      <c r="G652" s="236"/>
      <c r="H652" s="236"/>
      <c r="I652" s="236"/>
      <c r="J652" s="236"/>
      <c r="K652" s="236"/>
      <c r="L652" s="236"/>
      <c r="M652" s="236"/>
      <c r="N652" s="236"/>
      <c r="O652" s="236"/>
      <c r="P652" s="236"/>
      <c r="Q652" s="236"/>
      <c r="R652" s="236"/>
    </row>
    <row r="653">
      <c r="A653" s="236"/>
      <c r="B653" s="236"/>
      <c r="C653" s="236"/>
      <c r="D653" s="236"/>
      <c r="E653" s="236"/>
      <c r="F653" s="367"/>
      <c r="G653" s="236"/>
      <c r="H653" s="236"/>
      <c r="I653" s="236"/>
      <c r="J653" s="236"/>
      <c r="K653" s="236"/>
      <c r="L653" s="236"/>
      <c r="M653" s="236"/>
      <c r="N653" s="236"/>
      <c r="O653" s="236"/>
      <c r="P653" s="236"/>
      <c r="Q653" s="236"/>
      <c r="R653" s="236"/>
    </row>
    <row r="654">
      <c r="A654" s="236"/>
      <c r="B654" s="236"/>
      <c r="C654" s="236"/>
      <c r="D654" s="236"/>
      <c r="E654" s="236"/>
      <c r="F654" s="367"/>
      <c r="G654" s="236"/>
      <c r="H654" s="236"/>
      <c r="I654" s="236"/>
      <c r="J654" s="236"/>
      <c r="K654" s="236"/>
      <c r="L654" s="236"/>
      <c r="M654" s="236"/>
      <c r="N654" s="236"/>
      <c r="O654" s="236"/>
      <c r="P654" s="236"/>
      <c r="Q654" s="236"/>
      <c r="R654" s="236"/>
    </row>
    <row r="655">
      <c r="A655" s="236"/>
      <c r="B655" s="236"/>
      <c r="C655" s="236"/>
      <c r="D655" s="236"/>
      <c r="E655" s="236"/>
      <c r="F655" s="367"/>
      <c r="G655" s="236"/>
      <c r="H655" s="236"/>
      <c r="I655" s="236"/>
      <c r="J655" s="236"/>
      <c r="K655" s="236"/>
      <c r="L655" s="236"/>
      <c r="M655" s="236"/>
      <c r="N655" s="236"/>
      <c r="O655" s="236"/>
      <c r="P655" s="236"/>
      <c r="Q655" s="236"/>
      <c r="R655" s="236"/>
    </row>
    <row r="656">
      <c r="A656" s="236"/>
      <c r="B656" s="236"/>
      <c r="C656" s="236"/>
      <c r="D656" s="236"/>
      <c r="E656" s="236"/>
      <c r="F656" s="367"/>
      <c r="G656" s="236"/>
      <c r="H656" s="236"/>
      <c r="I656" s="236"/>
      <c r="J656" s="236"/>
      <c r="K656" s="236"/>
      <c r="L656" s="236"/>
      <c r="M656" s="236"/>
      <c r="N656" s="236"/>
      <c r="O656" s="236"/>
      <c r="P656" s="236"/>
      <c r="Q656" s="236"/>
      <c r="R656" s="236"/>
    </row>
    <row r="657">
      <c r="A657" s="236"/>
      <c r="B657" s="236"/>
      <c r="C657" s="236"/>
      <c r="D657" s="236"/>
      <c r="E657" s="236"/>
      <c r="F657" s="367"/>
      <c r="G657" s="236"/>
      <c r="H657" s="236"/>
      <c r="I657" s="236"/>
      <c r="J657" s="236"/>
      <c r="K657" s="236"/>
      <c r="L657" s="236"/>
      <c r="M657" s="236"/>
      <c r="N657" s="236"/>
      <c r="O657" s="236"/>
      <c r="P657" s="236"/>
      <c r="Q657" s="236"/>
      <c r="R657" s="236"/>
    </row>
    <row r="658">
      <c r="A658" s="236"/>
      <c r="B658" s="236"/>
      <c r="C658" s="236"/>
      <c r="D658" s="236"/>
      <c r="E658" s="236"/>
      <c r="F658" s="367"/>
      <c r="G658" s="236"/>
      <c r="H658" s="236"/>
      <c r="I658" s="236"/>
      <c r="J658" s="236"/>
      <c r="K658" s="236"/>
      <c r="L658" s="236"/>
      <c r="M658" s="236"/>
      <c r="N658" s="236"/>
      <c r="O658" s="236"/>
      <c r="P658" s="236"/>
      <c r="Q658" s="236"/>
      <c r="R658" s="236"/>
    </row>
    <row r="659">
      <c r="A659" s="236"/>
      <c r="B659" s="236"/>
      <c r="C659" s="236"/>
      <c r="D659" s="236"/>
      <c r="E659" s="236"/>
      <c r="F659" s="367"/>
      <c r="G659" s="236"/>
      <c r="H659" s="236"/>
      <c r="I659" s="236"/>
      <c r="J659" s="236"/>
      <c r="K659" s="236"/>
      <c r="L659" s="236"/>
      <c r="M659" s="236"/>
      <c r="N659" s="236"/>
      <c r="O659" s="236"/>
      <c r="P659" s="236"/>
      <c r="Q659" s="236"/>
      <c r="R659" s="236"/>
    </row>
    <row r="660">
      <c r="A660" s="236"/>
      <c r="B660" s="236"/>
      <c r="C660" s="236"/>
      <c r="D660" s="236"/>
      <c r="E660" s="236"/>
      <c r="F660" s="367"/>
      <c r="G660" s="236"/>
      <c r="H660" s="236"/>
      <c r="I660" s="236"/>
      <c r="J660" s="236"/>
      <c r="K660" s="236"/>
      <c r="L660" s="236"/>
      <c r="M660" s="236"/>
      <c r="N660" s="236"/>
      <c r="O660" s="236"/>
      <c r="P660" s="236"/>
      <c r="Q660" s="236"/>
      <c r="R660" s="236"/>
    </row>
    <row r="661">
      <c r="A661" s="236"/>
      <c r="B661" s="236"/>
      <c r="C661" s="236"/>
      <c r="D661" s="236"/>
      <c r="E661" s="236"/>
      <c r="F661" s="367"/>
      <c r="G661" s="236"/>
      <c r="H661" s="236"/>
      <c r="I661" s="236"/>
      <c r="J661" s="236"/>
      <c r="K661" s="236"/>
      <c r="L661" s="236"/>
      <c r="M661" s="236"/>
      <c r="N661" s="236"/>
      <c r="O661" s="236"/>
      <c r="P661" s="236"/>
      <c r="Q661" s="236"/>
      <c r="R661" s="236"/>
    </row>
    <row r="662">
      <c r="A662" s="236"/>
      <c r="B662" s="236"/>
      <c r="C662" s="236"/>
      <c r="D662" s="236"/>
      <c r="E662" s="236"/>
      <c r="F662" s="367"/>
      <c r="G662" s="236"/>
      <c r="H662" s="236"/>
      <c r="I662" s="236"/>
      <c r="J662" s="236"/>
      <c r="K662" s="236"/>
      <c r="L662" s="236"/>
      <c r="M662" s="236"/>
      <c r="N662" s="236"/>
      <c r="O662" s="236"/>
      <c r="P662" s="236"/>
      <c r="Q662" s="236"/>
      <c r="R662" s="236"/>
    </row>
    <row r="663">
      <c r="A663" s="236"/>
      <c r="B663" s="236"/>
      <c r="C663" s="236"/>
      <c r="D663" s="236"/>
      <c r="E663" s="236"/>
      <c r="F663" s="367"/>
      <c r="G663" s="236"/>
      <c r="H663" s="236"/>
      <c r="I663" s="236"/>
      <c r="J663" s="236"/>
      <c r="K663" s="236"/>
      <c r="L663" s="236"/>
      <c r="M663" s="236"/>
      <c r="N663" s="236"/>
      <c r="O663" s="236"/>
      <c r="P663" s="236"/>
      <c r="Q663" s="236"/>
      <c r="R663" s="236"/>
    </row>
    <row r="664">
      <c r="A664" s="236"/>
      <c r="B664" s="236"/>
      <c r="C664" s="236"/>
      <c r="D664" s="236"/>
      <c r="E664" s="236"/>
      <c r="F664" s="367"/>
      <c r="G664" s="236"/>
      <c r="H664" s="236"/>
      <c r="I664" s="236"/>
      <c r="J664" s="236"/>
      <c r="K664" s="236"/>
      <c r="L664" s="236"/>
      <c r="M664" s="236"/>
      <c r="N664" s="236"/>
      <c r="O664" s="236"/>
      <c r="P664" s="236"/>
      <c r="Q664" s="236"/>
      <c r="R664" s="236"/>
    </row>
    <row r="665">
      <c r="A665" s="236"/>
      <c r="B665" s="236"/>
      <c r="C665" s="236"/>
      <c r="D665" s="236"/>
      <c r="E665" s="236"/>
      <c r="F665" s="367"/>
      <c r="G665" s="236"/>
      <c r="H665" s="236"/>
      <c r="I665" s="236"/>
      <c r="J665" s="236"/>
      <c r="K665" s="236"/>
      <c r="L665" s="236"/>
      <c r="M665" s="236"/>
      <c r="N665" s="236"/>
      <c r="O665" s="236"/>
      <c r="P665" s="236"/>
      <c r="Q665" s="236"/>
      <c r="R665" s="236"/>
    </row>
    <row r="666">
      <c r="A666" s="236"/>
      <c r="B666" s="236"/>
      <c r="C666" s="236"/>
      <c r="D666" s="236"/>
      <c r="E666" s="236"/>
      <c r="F666" s="367"/>
      <c r="G666" s="236"/>
      <c r="H666" s="236"/>
      <c r="I666" s="236"/>
      <c r="J666" s="236"/>
      <c r="K666" s="236"/>
      <c r="L666" s="236"/>
      <c r="M666" s="236"/>
      <c r="N666" s="236"/>
      <c r="O666" s="236"/>
      <c r="P666" s="236"/>
      <c r="Q666" s="236"/>
      <c r="R666" s="236"/>
    </row>
    <row r="667">
      <c r="A667" s="236"/>
      <c r="B667" s="236"/>
      <c r="C667" s="236"/>
      <c r="D667" s="236"/>
      <c r="E667" s="236"/>
      <c r="F667" s="367"/>
      <c r="G667" s="236"/>
      <c r="H667" s="236"/>
      <c r="I667" s="236"/>
      <c r="J667" s="236"/>
      <c r="K667" s="236"/>
      <c r="L667" s="236"/>
      <c r="M667" s="236"/>
      <c r="N667" s="236"/>
      <c r="O667" s="236"/>
      <c r="P667" s="236"/>
      <c r="Q667" s="236"/>
      <c r="R667" s="236"/>
    </row>
    <row r="668">
      <c r="A668" s="236"/>
      <c r="B668" s="236"/>
      <c r="C668" s="236"/>
      <c r="D668" s="236"/>
      <c r="E668" s="236"/>
      <c r="F668" s="367"/>
      <c r="G668" s="236"/>
      <c r="H668" s="236"/>
      <c r="I668" s="236"/>
      <c r="J668" s="236"/>
      <c r="K668" s="236"/>
      <c r="L668" s="236"/>
      <c r="M668" s="236"/>
      <c r="N668" s="236"/>
      <c r="O668" s="236"/>
      <c r="P668" s="236"/>
      <c r="Q668" s="236"/>
      <c r="R668" s="236"/>
    </row>
    <row r="669">
      <c r="A669" s="236"/>
      <c r="B669" s="236"/>
      <c r="C669" s="236"/>
      <c r="D669" s="236"/>
      <c r="E669" s="236"/>
      <c r="F669" s="367"/>
      <c r="G669" s="236"/>
      <c r="H669" s="236"/>
      <c r="I669" s="236"/>
      <c r="J669" s="236"/>
      <c r="K669" s="236"/>
      <c r="L669" s="236"/>
      <c r="M669" s="236"/>
      <c r="N669" s="236"/>
      <c r="O669" s="236"/>
      <c r="P669" s="236"/>
      <c r="Q669" s="236"/>
      <c r="R669" s="236"/>
    </row>
    <row r="670">
      <c r="A670" s="236"/>
      <c r="B670" s="236"/>
      <c r="C670" s="236"/>
      <c r="D670" s="236"/>
      <c r="E670" s="236"/>
      <c r="F670" s="367"/>
      <c r="G670" s="236"/>
      <c r="H670" s="236"/>
      <c r="I670" s="236"/>
      <c r="J670" s="236"/>
      <c r="K670" s="236"/>
      <c r="L670" s="236"/>
      <c r="M670" s="236"/>
      <c r="N670" s="236"/>
      <c r="O670" s="236"/>
      <c r="P670" s="236"/>
      <c r="Q670" s="236"/>
      <c r="R670" s="236"/>
    </row>
    <row r="671">
      <c r="A671" s="236"/>
      <c r="B671" s="236"/>
      <c r="C671" s="236"/>
      <c r="D671" s="236"/>
      <c r="E671" s="236"/>
      <c r="F671" s="367"/>
      <c r="G671" s="236"/>
      <c r="H671" s="236"/>
      <c r="I671" s="236"/>
      <c r="J671" s="236"/>
      <c r="K671" s="236"/>
      <c r="L671" s="236"/>
      <c r="M671" s="236"/>
      <c r="N671" s="236"/>
      <c r="O671" s="236"/>
      <c r="P671" s="236"/>
      <c r="Q671" s="236"/>
      <c r="R671" s="236"/>
    </row>
    <row r="672">
      <c r="A672" s="236"/>
      <c r="B672" s="236"/>
      <c r="C672" s="236"/>
      <c r="D672" s="236"/>
      <c r="E672" s="236"/>
      <c r="F672" s="367"/>
      <c r="G672" s="236"/>
      <c r="H672" s="236"/>
      <c r="I672" s="236"/>
      <c r="J672" s="236"/>
      <c r="K672" s="236"/>
      <c r="L672" s="236"/>
      <c r="M672" s="236"/>
      <c r="N672" s="236"/>
      <c r="O672" s="236"/>
      <c r="P672" s="236"/>
      <c r="Q672" s="236"/>
      <c r="R672" s="236"/>
    </row>
    <row r="673">
      <c r="A673" s="236"/>
      <c r="B673" s="236"/>
      <c r="C673" s="236"/>
      <c r="D673" s="236"/>
      <c r="E673" s="236"/>
      <c r="F673" s="367"/>
      <c r="G673" s="236"/>
      <c r="H673" s="236"/>
      <c r="I673" s="236"/>
      <c r="J673" s="236"/>
      <c r="K673" s="236"/>
      <c r="L673" s="236"/>
      <c r="M673" s="236"/>
      <c r="N673" s="236"/>
      <c r="O673" s="236"/>
      <c r="P673" s="236"/>
      <c r="Q673" s="236"/>
      <c r="R673" s="236"/>
    </row>
    <row r="674">
      <c r="A674" s="236"/>
      <c r="B674" s="236"/>
      <c r="C674" s="236"/>
      <c r="D674" s="236"/>
      <c r="E674" s="236"/>
      <c r="F674" s="367"/>
      <c r="G674" s="236"/>
      <c r="H674" s="236"/>
      <c r="I674" s="236"/>
      <c r="J674" s="236"/>
      <c r="K674" s="236"/>
      <c r="L674" s="236"/>
      <c r="M674" s="236"/>
      <c r="N674" s="236"/>
      <c r="O674" s="236"/>
      <c r="P674" s="236"/>
      <c r="Q674" s="236"/>
      <c r="R674" s="236"/>
    </row>
    <row r="675">
      <c r="A675" s="236"/>
      <c r="B675" s="236"/>
      <c r="C675" s="236"/>
      <c r="D675" s="236"/>
      <c r="E675" s="236"/>
      <c r="F675" s="367"/>
      <c r="G675" s="236"/>
      <c r="H675" s="236"/>
      <c r="I675" s="236"/>
      <c r="J675" s="236"/>
      <c r="K675" s="236"/>
      <c r="L675" s="236"/>
      <c r="M675" s="236"/>
      <c r="N675" s="236"/>
      <c r="O675" s="236"/>
      <c r="P675" s="236"/>
      <c r="Q675" s="236"/>
      <c r="R675" s="236"/>
    </row>
    <row r="676">
      <c r="A676" s="236"/>
      <c r="B676" s="236"/>
      <c r="C676" s="236"/>
      <c r="D676" s="236"/>
      <c r="E676" s="236"/>
      <c r="F676" s="367"/>
      <c r="G676" s="236"/>
      <c r="H676" s="236"/>
      <c r="I676" s="236"/>
      <c r="J676" s="236"/>
      <c r="K676" s="236"/>
      <c r="L676" s="236"/>
      <c r="M676" s="236"/>
      <c r="N676" s="236"/>
      <c r="O676" s="236"/>
      <c r="P676" s="236"/>
      <c r="Q676" s="236"/>
      <c r="R676" s="236"/>
    </row>
    <row r="677">
      <c r="A677" s="236"/>
      <c r="B677" s="236"/>
      <c r="C677" s="236"/>
      <c r="D677" s="236"/>
      <c r="E677" s="236"/>
      <c r="F677" s="367"/>
      <c r="G677" s="236"/>
      <c r="H677" s="236"/>
      <c r="I677" s="236"/>
      <c r="J677" s="236"/>
      <c r="K677" s="236"/>
      <c r="L677" s="236"/>
      <c r="M677" s="236"/>
      <c r="N677" s="236"/>
      <c r="O677" s="236"/>
      <c r="P677" s="236"/>
      <c r="Q677" s="236"/>
      <c r="R677" s="236"/>
    </row>
    <row r="678">
      <c r="A678" s="236"/>
      <c r="B678" s="236"/>
      <c r="C678" s="236"/>
      <c r="D678" s="236"/>
      <c r="E678" s="236"/>
      <c r="F678" s="367"/>
      <c r="G678" s="236"/>
      <c r="H678" s="236"/>
      <c r="I678" s="236"/>
      <c r="J678" s="236"/>
      <c r="K678" s="236"/>
      <c r="L678" s="236"/>
      <c r="M678" s="236"/>
      <c r="N678" s="236"/>
      <c r="O678" s="236"/>
      <c r="P678" s="236"/>
      <c r="Q678" s="236"/>
      <c r="R678" s="236"/>
    </row>
    <row r="679">
      <c r="A679" s="236"/>
      <c r="B679" s="236"/>
      <c r="C679" s="236"/>
      <c r="D679" s="236"/>
      <c r="E679" s="236"/>
      <c r="F679" s="367"/>
      <c r="G679" s="236"/>
      <c r="H679" s="236"/>
      <c r="I679" s="236"/>
      <c r="J679" s="236"/>
      <c r="K679" s="236"/>
      <c r="L679" s="236"/>
      <c r="M679" s="236"/>
      <c r="N679" s="236"/>
      <c r="O679" s="236"/>
      <c r="P679" s="236"/>
      <c r="Q679" s="236"/>
      <c r="R679" s="236"/>
    </row>
    <row r="680">
      <c r="A680" s="236"/>
      <c r="B680" s="236"/>
      <c r="C680" s="236"/>
      <c r="D680" s="236"/>
      <c r="E680" s="236"/>
      <c r="F680" s="367"/>
      <c r="G680" s="236"/>
      <c r="H680" s="236"/>
      <c r="I680" s="236"/>
      <c r="J680" s="236"/>
      <c r="K680" s="236"/>
      <c r="L680" s="236"/>
      <c r="M680" s="236"/>
      <c r="N680" s="236"/>
      <c r="O680" s="236"/>
      <c r="P680" s="236"/>
      <c r="Q680" s="236"/>
      <c r="R680" s="236"/>
    </row>
    <row r="681">
      <c r="A681" s="236"/>
      <c r="B681" s="236"/>
      <c r="C681" s="236"/>
      <c r="D681" s="236"/>
      <c r="E681" s="236"/>
      <c r="F681" s="367"/>
      <c r="G681" s="236"/>
      <c r="H681" s="236"/>
      <c r="I681" s="236"/>
      <c r="J681" s="236"/>
      <c r="K681" s="236"/>
      <c r="L681" s="236"/>
      <c r="M681" s="236"/>
      <c r="N681" s="236"/>
      <c r="O681" s="236"/>
      <c r="P681" s="236"/>
      <c r="Q681" s="236"/>
      <c r="R681" s="236"/>
    </row>
    <row r="682">
      <c r="A682" s="236"/>
      <c r="B682" s="236"/>
      <c r="C682" s="236"/>
      <c r="D682" s="236"/>
      <c r="E682" s="236"/>
      <c r="F682" s="367"/>
      <c r="G682" s="236"/>
      <c r="H682" s="236"/>
      <c r="I682" s="236"/>
      <c r="J682" s="236"/>
      <c r="K682" s="236"/>
      <c r="L682" s="236"/>
      <c r="M682" s="236"/>
      <c r="N682" s="236"/>
      <c r="O682" s="236"/>
      <c r="P682" s="236"/>
      <c r="Q682" s="236"/>
      <c r="R682" s="236"/>
    </row>
    <row r="683">
      <c r="A683" s="236"/>
      <c r="B683" s="236"/>
      <c r="C683" s="236"/>
      <c r="D683" s="236"/>
      <c r="E683" s="236"/>
      <c r="F683" s="367"/>
      <c r="G683" s="236"/>
      <c r="H683" s="236"/>
      <c r="I683" s="236"/>
      <c r="J683" s="236"/>
      <c r="K683" s="236"/>
      <c r="L683" s="236"/>
      <c r="M683" s="236"/>
      <c r="N683" s="236"/>
      <c r="O683" s="236"/>
      <c r="P683" s="236"/>
      <c r="Q683" s="236"/>
      <c r="R683" s="236"/>
    </row>
    <row r="684">
      <c r="A684" s="236"/>
      <c r="B684" s="236"/>
      <c r="C684" s="236"/>
      <c r="D684" s="236"/>
      <c r="E684" s="236"/>
      <c r="F684" s="367"/>
      <c r="G684" s="236"/>
      <c r="H684" s="236"/>
      <c r="I684" s="236"/>
      <c r="J684" s="236"/>
      <c r="K684" s="236"/>
      <c r="L684" s="236"/>
      <c r="M684" s="236"/>
      <c r="N684" s="236"/>
      <c r="O684" s="236"/>
      <c r="P684" s="236"/>
      <c r="Q684" s="236"/>
      <c r="R684" s="236"/>
    </row>
    <row r="685">
      <c r="A685" s="236"/>
      <c r="B685" s="236"/>
      <c r="C685" s="236"/>
      <c r="D685" s="236"/>
      <c r="E685" s="236"/>
      <c r="F685" s="367"/>
      <c r="G685" s="236"/>
      <c r="H685" s="236"/>
      <c r="I685" s="236"/>
      <c r="J685" s="236"/>
      <c r="K685" s="236"/>
      <c r="L685" s="236"/>
      <c r="M685" s="236"/>
      <c r="N685" s="236"/>
      <c r="O685" s="236"/>
      <c r="P685" s="236"/>
      <c r="Q685" s="236"/>
      <c r="R685" s="236"/>
    </row>
    <row r="686">
      <c r="A686" s="236"/>
      <c r="B686" s="236"/>
      <c r="C686" s="236"/>
      <c r="D686" s="236"/>
      <c r="E686" s="236"/>
      <c r="F686" s="367"/>
      <c r="G686" s="236"/>
      <c r="H686" s="236"/>
      <c r="I686" s="236"/>
      <c r="J686" s="236"/>
      <c r="K686" s="236"/>
      <c r="L686" s="236"/>
      <c r="M686" s="236"/>
      <c r="N686" s="236"/>
      <c r="O686" s="236"/>
      <c r="P686" s="236"/>
      <c r="Q686" s="236"/>
      <c r="R686" s="236"/>
    </row>
    <row r="687">
      <c r="A687" s="236"/>
      <c r="B687" s="236"/>
      <c r="C687" s="236"/>
      <c r="D687" s="236"/>
      <c r="E687" s="236"/>
      <c r="F687" s="367"/>
      <c r="G687" s="236"/>
      <c r="H687" s="236"/>
      <c r="I687" s="236"/>
      <c r="J687" s="236"/>
      <c r="K687" s="236"/>
      <c r="L687" s="236"/>
      <c r="M687" s="236"/>
      <c r="N687" s="236"/>
      <c r="O687" s="236"/>
      <c r="P687" s="236"/>
      <c r="Q687" s="236"/>
      <c r="R687" s="236"/>
    </row>
    <row r="688">
      <c r="A688" s="236"/>
      <c r="B688" s="236"/>
      <c r="C688" s="236"/>
      <c r="D688" s="236"/>
      <c r="E688" s="236"/>
      <c r="F688" s="367"/>
      <c r="G688" s="236"/>
      <c r="H688" s="236"/>
      <c r="I688" s="236"/>
      <c r="J688" s="236"/>
      <c r="K688" s="236"/>
      <c r="L688" s="236"/>
      <c r="M688" s="236"/>
      <c r="N688" s="236"/>
      <c r="O688" s="236"/>
      <c r="P688" s="236"/>
      <c r="Q688" s="236"/>
      <c r="R688" s="236"/>
    </row>
    <row r="689">
      <c r="A689" s="236"/>
      <c r="B689" s="236"/>
      <c r="C689" s="236"/>
      <c r="D689" s="236"/>
      <c r="E689" s="236"/>
      <c r="F689" s="367"/>
      <c r="G689" s="236"/>
      <c r="H689" s="236"/>
      <c r="I689" s="236"/>
      <c r="J689" s="236"/>
      <c r="K689" s="236"/>
      <c r="L689" s="236"/>
      <c r="M689" s="236"/>
      <c r="N689" s="236"/>
      <c r="O689" s="236"/>
      <c r="P689" s="236"/>
      <c r="Q689" s="236"/>
      <c r="R689" s="236"/>
    </row>
    <row r="690">
      <c r="A690" s="236"/>
      <c r="B690" s="236"/>
      <c r="C690" s="236"/>
      <c r="D690" s="236"/>
      <c r="E690" s="236"/>
      <c r="F690" s="367"/>
      <c r="G690" s="236"/>
      <c r="H690" s="236"/>
      <c r="I690" s="236"/>
      <c r="J690" s="236"/>
      <c r="K690" s="236"/>
      <c r="L690" s="236"/>
      <c r="M690" s="236"/>
      <c r="N690" s="236"/>
      <c r="O690" s="236"/>
      <c r="P690" s="236"/>
      <c r="Q690" s="236"/>
      <c r="R690" s="236"/>
    </row>
    <row r="691">
      <c r="A691" s="236"/>
      <c r="B691" s="236"/>
      <c r="C691" s="236"/>
      <c r="D691" s="236"/>
      <c r="E691" s="236"/>
      <c r="F691" s="367"/>
      <c r="G691" s="236"/>
      <c r="H691" s="236"/>
      <c r="I691" s="236"/>
      <c r="J691" s="236"/>
      <c r="K691" s="236"/>
      <c r="L691" s="236"/>
      <c r="M691" s="236"/>
      <c r="N691" s="236"/>
      <c r="O691" s="236"/>
      <c r="P691" s="236"/>
      <c r="Q691" s="236"/>
      <c r="R691" s="236"/>
    </row>
    <row r="692">
      <c r="A692" s="236"/>
      <c r="B692" s="236"/>
      <c r="C692" s="236"/>
      <c r="D692" s="236"/>
      <c r="E692" s="236"/>
      <c r="F692" s="367"/>
      <c r="G692" s="236"/>
      <c r="H692" s="236"/>
      <c r="I692" s="236"/>
      <c r="J692" s="236"/>
      <c r="K692" s="236"/>
      <c r="L692" s="236"/>
      <c r="M692" s="236"/>
      <c r="N692" s="236"/>
      <c r="O692" s="236"/>
      <c r="P692" s="236"/>
      <c r="Q692" s="236"/>
      <c r="R692" s="236"/>
    </row>
    <row r="693">
      <c r="A693" s="236"/>
      <c r="B693" s="236"/>
      <c r="C693" s="236"/>
      <c r="D693" s="236"/>
      <c r="E693" s="236"/>
      <c r="F693" s="367"/>
      <c r="G693" s="236"/>
      <c r="H693" s="236"/>
      <c r="I693" s="236"/>
      <c r="J693" s="236"/>
      <c r="K693" s="236"/>
      <c r="L693" s="236"/>
      <c r="M693" s="236"/>
      <c r="N693" s="236"/>
      <c r="O693" s="236"/>
      <c r="P693" s="236"/>
      <c r="Q693" s="236"/>
      <c r="R693" s="236"/>
    </row>
    <row r="694">
      <c r="A694" s="236"/>
      <c r="B694" s="236"/>
      <c r="C694" s="236"/>
      <c r="D694" s="236"/>
      <c r="E694" s="236"/>
      <c r="F694" s="367"/>
      <c r="G694" s="236"/>
      <c r="H694" s="236"/>
      <c r="I694" s="236"/>
      <c r="J694" s="236"/>
      <c r="K694" s="236"/>
      <c r="L694" s="236"/>
      <c r="M694" s="236"/>
      <c r="N694" s="236"/>
      <c r="O694" s="236"/>
      <c r="P694" s="236"/>
      <c r="Q694" s="236"/>
      <c r="R694" s="236"/>
    </row>
    <row r="695">
      <c r="A695" s="236"/>
      <c r="B695" s="236"/>
      <c r="C695" s="236"/>
      <c r="D695" s="236"/>
      <c r="E695" s="236"/>
      <c r="F695" s="367"/>
      <c r="G695" s="236"/>
      <c r="H695" s="236"/>
      <c r="I695" s="236"/>
      <c r="J695" s="236"/>
      <c r="K695" s="236"/>
      <c r="L695" s="236"/>
      <c r="M695" s="236"/>
      <c r="N695" s="236"/>
      <c r="O695" s="236"/>
      <c r="P695" s="236"/>
      <c r="Q695" s="236"/>
      <c r="R695" s="236"/>
    </row>
    <row r="696">
      <c r="A696" s="236"/>
      <c r="B696" s="236"/>
      <c r="C696" s="236"/>
      <c r="D696" s="236"/>
      <c r="E696" s="236"/>
      <c r="F696" s="367"/>
      <c r="G696" s="236"/>
      <c r="H696" s="236"/>
      <c r="I696" s="236"/>
      <c r="J696" s="236"/>
      <c r="K696" s="236"/>
      <c r="L696" s="236"/>
      <c r="M696" s="236"/>
      <c r="N696" s="236"/>
      <c r="O696" s="236"/>
      <c r="P696" s="236"/>
      <c r="Q696" s="236"/>
      <c r="R696" s="236"/>
    </row>
    <row r="697">
      <c r="A697" s="236"/>
      <c r="B697" s="236"/>
      <c r="C697" s="236"/>
      <c r="D697" s="236"/>
      <c r="E697" s="236"/>
      <c r="F697" s="367"/>
      <c r="G697" s="236"/>
      <c r="H697" s="236"/>
      <c r="I697" s="236"/>
      <c r="J697" s="236"/>
      <c r="K697" s="236"/>
      <c r="L697" s="236"/>
      <c r="M697" s="236"/>
      <c r="N697" s="236"/>
      <c r="O697" s="236"/>
      <c r="P697" s="236"/>
      <c r="Q697" s="236"/>
      <c r="R697" s="236"/>
    </row>
    <row r="698">
      <c r="A698" s="236"/>
      <c r="B698" s="236"/>
      <c r="C698" s="236"/>
      <c r="D698" s="236"/>
      <c r="E698" s="236"/>
      <c r="F698" s="367"/>
      <c r="G698" s="236"/>
      <c r="H698" s="236"/>
      <c r="I698" s="236"/>
      <c r="J698" s="236"/>
      <c r="K698" s="236"/>
      <c r="L698" s="236"/>
      <c r="M698" s="236"/>
      <c r="N698" s="236"/>
      <c r="O698" s="236"/>
      <c r="P698" s="236"/>
      <c r="Q698" s="236"/>
      <c r="R698" s="236"/>
    </row>
    <row r="699">
      <c r="A699" s="236"/>
      <c r="B699" s="236"/>
      <c r="C699" s="236"/>
      <c r="D699" s="236"/>
      <c r="E699" s="236"/>
      <c r="F699" s="367"/>
      <c r="G699" s="236"/>
      <c r="H699" s="236"/>
      <c r="I699" s="236"/>
      <c r="J699" s="236"/>
      <c r="K699" s="236"/>
      <c r="L699" s="236"/>
      <c r="M699" s="236"/>
      <c r="N699" s="236"/>
      <c r="O699" s="236"/>
      <c r="P699" s="236"/>
      <c r="Q699" s="236"/>
      <c r="R699" s="236"/>
    </row>
    <row r="700">
      <c r="A700" s="236"/>
      <c r="B700" s="236"/>
      <c r="C700" s="236"/>
      <c r="D700" s="236"/>
      <c r="E700" s="236"/>
      <c r="F700" s="367"/>
      <c r="G700" s="236"/>
      <c r="H700" s="236"/>
      <c r="I700" s="236"/>
      <c r="J700" s="236"/>
      <c r="K700" s="236"/>
      <c r="L700" s="236"/>
      <c r="M700" s="236"/>
      <c r="N700" s="236"/>
      <c r="O700" s="236"/>
      <c r="P700" s="236"/>
      <c r="Q700" s="236"/>
      <c r="R700" s="236"/>
    </row>
    <row r="701">
      <c r="A701" s="236"/>
      <c r="B701" s="236"/>
      <c r="C701" s="236"/>
      <c r="D701" s="236"/>
      <c r="E701" s="236"/>
      <c r="F701" s="367"/>
      <c r="G701" s="236"/>
      <c r="H701" s="236"/>
      <c r="I701" s="236"/>
      <c r="J701" s="236"/>
      <c r="K701" s="236"/>
      <c r="L701" s="236"/>
      <c r="M701" s="236"/>
      <c r="N701" s="236"/>
      <c r="O701" s="236"/>
      <c r="P701" s="236"/>
      <c r="Q701" s="236"/>
      <c r="R701" s="236"/>
    </row>
    <row r="702">
      <c r="A702" s="236"/>
      <c r="B702" s="236"/>
      <c r="C702" s="236"/>
      <c r="D702" s="236"/>
      <c r="E702" s="236"/>
      <c r="F702" s="367"/>
      <c r="G702" s="236"/>
      <c r="H702" s="236"/>
      <c r="I702" s="236"/>
      <c r="J702" s="236"/>
      <c r="K702" s="236"/>
      <c r="L702" s="236"/>
      <c r="M702" s="236"/>
      <c r="N702" s="236"/>
      <c r="O702" s="236"/>
      <c r="P702" s="236"/>
      <c r="Q702" s="236"/>
      <c r="R702" s="236"/>
    </row>
    <row r="703">
      <c r="A703" s="236"/>
      <c r="B703" s="236"/>
      <c r="C703" s="236"/>
      <c r="D703" s="236"/>
      <c r="E703" s="236"/>
      <c r="F703" s="367"/>
      <c r="G703" s="236"/>
      <c r="H703" s="236"/>
      <c r="I703" s="236"/>
      <c r="J703" s="236"/>
      <c r="K703" s="236"/>
      <c r="L703" s="236"/>
      <c r="M703" s="236"/>
      <c r="N703" s="236"/>
      <c r="O703" s="236"/>
      <c r="P703" s="236"/>
      <c r="Q703" s="236"/>
      <c r="R703" s="236"/>
    </row>
    <row r="704">
      <c r="A704" s="236"/>
      <c r="B704" s="236"/>
      <c r="C704" s="236"/>
      <c r="D704" s="236"/>
      <c r="E704" s="236"/>
      <c r="F704" s="367"/>
      <c r="G704" s="236"/>
      <c r="H704" s="236"/>
      <c r="I704" s="236"/>
      <c r="J704" s="236"/>
      <c r="K704" s="236"/>
      <c r="L704" s="236"/>
      <c r="M704" s="236"/>
      <c r="N704" s="236"/>
      <c r="O704" s="236"/>
      <c r="P704" s="236"/>
      <c r="Q704" s="236"/>
      <c r="R704" s="236"/>
    </row>
    <row r="705">
      <c r="A705" s="236"/>
      <c r="B705" s="236"/>
      <c r="C705" s="236"/>
      <c r="D705" s="236"/>
      <c r="E705" s="236"/>
      <c r="F705" s="367"/>
      <c r="G705" s="236"/>
      <c r="H705" s="236"/>
      <c r="I705" s="236"/>
      <c r="J705" s="236"/>
      <c r="K705" s="236"/>
      <c r="L705" s="236"/>
      <c r="M705" s="236"/>
      <c r="N705" s="236"/>
      <c r="O705" s="236"/>
      <c r="P705" s="236"/>
      <c r="Q705" s="236"/>
      <c r="R705" s="236"/>
    </row>
    <row r="706">
      <c r="A706" s="236"/>
      <c r="B706" s="236"/>
      <c r="C706" s="236"/>
      <c r="D706" s="236"/>
      <c r="E706" s="236"/>
      <c r="F706" s="367"/>
      <c r="G706" s="236"/>
      <c r="H706" s="236"/>
      <c r="I706" s="236"/>
      <c r="J706" s="236"/>
      <c r="K706" s="236"/>
      <c r="L706" s="236"/>
      <c r="M706" s="236"/>
      <c r="N706" s="236"/>
      <c r="O706" s="236"/>
      <c r="P706" s="236"/>
      <c r="Q706" s="236"/>
      <c r="R706" s="236"/>
    </row>
    <row r="707">
      <c r="A707" s="236"/>
      <c r="B707" s="236"/>
      <c r="C707" s="236"/>
      <c r="D707" s="236"/>
      <c r="E707" s="236"/>
      <c r="F707" s="367"/>
      <c r="G707" s="236"/>
      <c r="H707" s="236"/>
      <c r="I707" s="236"/>
      <c r="J707" s="236"/>
      <c r="K707" s="236"/>
      <c r="L707" s="236"/>
      <c r="M707" s="236"/>
      <c r="N707" s="236"/>
      <c r="O707" s="236"/>
      <c r="P707" s="236"/>
      <c r="Q707" s="236"/>
      <c r="R707" s="236"/>
    </row>
    <row r="708">
      <c r="A708" s="236"/>
      <c r="B708" s="236"/>
      <c r="C708" s="236"/>
      <c r="D708" s="236"/>
      <c r="E708" s="236"/>
      <c r="F708" s="367"/>
      <c r="G708" s="236"/>
      <c r="H708" s="236"/>
      <c r="I708" s="236"/>
      <c r="J708" s="236"/>
      <c r="K708" s="236"/>
      <c r="L708" s="236"/>
      <c r="M708" s="236"/>
      <c r="N708" s="236"/>
      <c r="O708" s="236"/>
      <c r="P708" s="236"/>
      <c r="Q708" s="236"/>
      <c r="R708" s="236"/>
    </row>
    <row r="709">
      <c r="A709" s="236"/>
      <c r="B709" s="236"/>
      <c r="C709" s="236"/>
      <c r="D709" s="236"/>
      <c r="E709" s="236"/>
      <c r="F709" s="367"/>
      <c r="G709" s="236"/>
      <c r="H709" s="236"/>
      <c r="I709" s="236"/>
      <c r="J709" s="236"/>
      <c r="K709" s="236"/>
      <c r="L709" s="236"/>
      <c r="M709" s="236"/>
      <c r="N709" s="236"/>
      <c r="O709" s="236"/>
      <c r="P709" s="236"/>
      <c r="Q709" s="236"/>
      <c r="R709" s="236"/>
    </row>
    <row r="710">
      <c r="A710" s="236"/>
      <c r="B710" s="236"/>
      <c r="C710" s="236"/>
      <c r="D710" s="236"/>
      <c r="E710" s="236"/>
      <c r="F710" s="367"/>
      <c r="G710" s="236"/>
      <c r="H710" s="236"/>
      <c r="I710" s="236"/>
      <c r="J710" s="236"/>
      <c r="K710" s="236"/>
      <c r="L710" s="236"/>
      <c r="M710" s="236"/>
      <c r="N710" s="236"/>
      <c r="O710" s="236"/>
      <c r="P710" s="236"/>
      <c r="Q710" s="236"/>
      <c r="R710" s="236"/>
    </row>
    <row r="711">
      <c r="A711" s="236"/>
      <c r="B711" s="236"/>
      <c r="C711" s="236"/>
      <c r="D711" s="236"/>
      <c r="E711" s="236"/>
      <c r="F711" s="367"/>
      <c r="G711" s="236"/>
      <c r="H711" s="236"/>
      <c r="I711" s="236"/>
      <c r="J711" s="236"/>
      <c r="K711" s="236"/>
      <c r="L711" s="236"/>
      <c r="M711" s="236"/>
      <c r="N711" s="236"/>
      <c r="O711" s="236"/>
      <c r="P711" s="236"/>
      <c r="Q711" s="236"/>
      <c r="R711" s="236"/>
    </row>
    <row r="712">
      <c r="A712" s="236"/>
      <c r="B712" s="236"/>
      <c r="C712" s="236"/>
      <c r="D712" s="236"/>
      <c r="E712" s="236"/>
      <c r="F712" s="367"/>
      <c r="G712" s="236"/>
      <c r="H712" s="236"/>
      <c r="I712" s="236"/>
      <c r="J712" s="236"/>
      <c r="K712" s="236"/>
      <c r="L712" s="236"/>
      <c r="M712" s="236"/>
      <c r="N712" s="236"/>
      <c r="O712" s="236"/>
      <c r="P712" s="236"/>
      <c r="Q712" s="236"/>
      <c r="R712" s="236"/>
    </row>
    <row r="713">
      <c r="A713" s="236"/>
      <c r="B713" s="236"/>
      <c r="C713" s="236"/>
      <c r="D713" s="236"/>
      <c r="E713" s="236"/>
      <c r="F713" s="367"/>
      <c r="G713" s="236"/>
      <c r="H713" s="236"/>
      <c r="I713" s="236"/>
      <c r="J713" s="236"/>
      <c r="K713" s="236"/>
      <c r="L713" s="236"/>
      <c r="M713" s="236"/>
      <c r="N713" s="236"/>
      <c r="O713" s="236"/>
      <c r="P713" s="236"/>
      <c r="Q713" s="236"/>
      <c r="R713" s="236"/>
    </row>
    <row r="714">
      <c r="A714" s="236"/>
      <c r="B714" s="236"/>
      <c r="C714" s="236"/>
      <c r="D714" s="236"/>
      <c r="E714" s="236"/>
      <c r="F714" s="367"/>
      <c r="G714" s="236"/>
      <c r="H714" s="236"/>
      <c r="I714" s="236"/>
      <c r="J714" s="236"/>
      <c r="K714" s="236"/>
      <c r="L714" s="236"/>
      <c r="M714" s="236"/>
      <c r="N714" s="236"/>
      <c r="O714" s="236"/>
      <c r="P714" s="236"/>
      <c r="Q714" s="236"/>
      <c r="R714" s="236"/>
    </row>
    <row r="715">
      <c r="A715" s="236"/>
      <c r="B715" s="236"/>
      <c r="C715" s="236"/>
      <c r="D715" s="236"/>
      <c r="E715" s="236"/>
      <c r="F715" s="367"/>
      <c r="G715" s="236"/>
      <c r="H715" s="236"/>
      <c r="I715" s="236"/>
      <c r="J715" s="236"/>
      <c r="K715" s="236"/>
      <c r="L715" s="236"/>
      <c r="M715" s="236"/>
      <c r="N715" s="236"/>
      <c r="O715" s="236"/>
      <c r="P715" s="236"/>
      <c r="Q715" s="236"/>
      <c r="R715" s="236"/>
    </row>
    <row r="716">
      <c r="A716" s="236"/>
      <c r="B716" s="236"/>
      <c r="C716" s="236"/>
      <c r="D716" s="236"/>
      <c r="E716" s="236"/>
      <c r="F716" s="367"/>
      <c r="G716" s="236"/>
      <c r="H716" s="236"/>
      <c r="I716" s="236"/>
      <c r="J716" s="236"/>
      <c r="K716" s="236"/>
      <c r="L716" s="236"/>
      <c r="M716" s="236"/>
      <c r="N716" s="236"/>
      <c r="O716" s="236"/>
      <c r="P716" s="236"/>
      <c r="Q716" s="236"/>
      <c r="R716" s="236"/>
    </row>
    <row r="717">
      <c r="A717" s="236"/>
      <c r="B717" s="236"/>
      <c r="C717" s="236"/>
      <c r="D717" s="236"/>
      <c r="E717" s="236"/>
      <c r="F717" s="367"/>
      <c r="G717" s="236"/>
      <c r="H717" s="236"/>
      <c r="I717" s="236"/>
      <c r="J717" s="236"/>
      <c r="K717" s="236"/>
      <c r="L717" s="236"/>
      <c r="M717" s="236"/>
      <c r="N717" s="236"/>
      <c r="O717" s="236"/>
      <c r="P717" s="236"/>
      <c r="Q717" s="236"/>
      <c r="R717" s="236"/>
    </row>
    <row r="718">
      <c r="A718" s="236"/>
      <c r="B718" s="236"/>
      <c r="C718" s="236"/>
      <c r="D718" s="236"/>
      <c r="E718" s="236"/>
      <c r="F718" s="367"/>
      <c r="G718" s="236"/>
      <c r="H718" s="236"/>
      <c r="I718" s="236"/>
      <c r="J718" s="236"/>
      <c r="K718" s="236"/>
      <c r="L718" s="236"/>
      <c r="M718" s="236"/>
      <c r="N718" s="236"/>
      <c r="O718" s="236"/>
      <c r="P718" s="236"/>
      <c r="Q718" s="236"/>
      <c r="R718" s="236"/>
    </row>
    <row r="719">
      <c r="A719" s="236"/>
      <c r="B719" s="236"/>
      <c r="C719" s="236"/>
      <c r="D719" s="236"/>
      <c r="E719" s="236"/>
      <c r="F719" s="367"/>
      <c r="G719" s="236"/>
      <c r="H719" s="236"/>
      <c r="I719" s="236"/>
      <c r="J719" s="236"/>
      <c r="K719" s="236"/>
      <c r="L719" s="236"/>
      <c r="M719" s="236"/>
      <c r="N719" s="236"/>
      <c r="O719" s="236"/>
      <c r="P719" s="236"/>
      <c r="Q719" s="236"/>
      <c r="R719" s="236"/>
    </row>
    <row r="720">
      <c r="A720" s="236"/>
      <c r="B720" s="236"/>
      <c r="C720" s="236"/>
      <c r="D720" s="236"/>
      <c r="E720" s="236"/>
      <c r="F720" s="367"/>
      <c r="G720" s="236"/>
      <c r="H720" s="236"/>
      <c r="I720" s="236"/>
      <c r="J720" s="236"/>
      <c r="K720" s="236"/>
      <c r="L720" s="236"/>
      <c r="M720" s="236"/>
      <c r="N720" s="236"/>
      <c r="O720" s="236"/>
      <c r="P720" s="236"/>
      <c r="Q720" s="236"/>
      <c r="R720" s="236"/>
    </row>
    <row r="721">
      <c r="A721" s="236"/>
      <c r="B721" s="236"/>
      <c r="C721" s="236"/>
      <c r="D721" s="236"/>
      <c r="E721" s="236"/>
      <c r="F721" s="367"/>
      <c r="G721" s="236"/>
      <c r="H721" s="236"/>
      <c r="I721" s="236"/>
      <c r="J721" s="236"/>
      <c r="K721" s="236"/>
      <c r="L721" s="236"/>
      <c r="M721" s="236"/>
      <c r="N721" s="236"/>
      <c r="O721" s="236"/>
      <c r="P721" s="236"/>
      <c r="Q721" s="236"/>
      <c r="R721" s="236"/>
    </row>
    <row r="722">
      <c r="A722" s="236"/>
      <c r="B722" s="236"/>
      <c r="C722" s="236"/>
      <c r="D722" s="236"/>
      <c r="E722" s="236"/>
      <c r="F722" s="367"/>
      <c r="G722" s="236"/>
      <c r="H722" s="236"/>
      <c r="I722" s="236"/>
      <c r="J722" s="236"/>
      <c r="K722" s="236"/>
      <c r="L722" s="236"/>
      <c r="M722" s="236"/>
      <c r="N722" s="236"/>
      <c r="O722" s="236"/>
      <c r="P722" s="236"/>
      <c r="Q722" s="236"/>
      <c r="R722" s="236"/>
    </row>
    <row r="723">
      <c r="A723" s="236"/>
      <c r="B723" s="236"/>
      <c r="C723" s="236"/>
      <c r="D723" s="236"/>
      <c r="E723" s="236"/>
      <c r="F723" s="367"/>
      <c r="G723" s="236"/>
      <c r="H723" s="236"/>
      <c r="I723" s="236"/>
      <c r="J723" s="236"/>
      <c r="K723" s="236"/>
      <c r="L723" s="236"/>
      <c r="M723" s="236"/>
      <c r="N723" s="236"/>
      <c r="O723" s="236"/>
      <c r="P723" s="236"/>
      <c r="Q723" s="236"/>
      <c r="R723" s="236"/>
    </row>
    <row r="724">
      <c r="A724" s="236"/>
      <c r="B724" s="236"/>
      <c r="C724" s="236"/>
      <c r="D724" s="236"/>
      <c r="E724" s="236"/>
      <c r="F724" s="367"/>
      <c r="G724" s="236"/>
      <c r="H724" s="236"/>
      <c r="I724" s="236"/>
      <c r="J724" s="236"/>
      <c r="K724" s="236"/>
      <c r="L724" s="236"/>
      <c r="M724" s="236"/>
      <c r="N724" s="236"/>
      <c r="O724" s="236"/>
      <c r="P724" s="236"/>
      <c r="Q724" s="236"/>
      <c r="R724" s="236"/>
    </row>
    <row r="725">
      <c r="A725" s="236"/>
      <c r="B725" s="236"/>
      <c r="C725" s="236"/>
      <c r="D725" s="236"/>
      <c r="E725" s="236"/>
      <c r="F725" s="367"/>
      <c r="G725" s="236"/>
      <c r="H725" s="236"/>
      <c r="I725" s="236"/>
      <c r="J725" s="236"/>
      <c r="K725" s="236"/>
      <c r="L725" s="236"/>
      <c r="M725" s="236"/>
      <c r="N725" s="236"/>
      <c r="O725" s="236"/>
      <c r="P725" s="236"/>
      <c r="Q725" s="236"/>
      <c r="R725" s="236"/>
    </row>
    <row r="726">
      <c r="A726" s="236"/>
      <c r="B726" s="236"/>
      <c r="C726" s="236"/>
      <c r="D726" s="236"/>
      <c r="E726" s="236"/>
      <c r="F726" s="367"/>
      <c r="G726" s="236"/>
      <c r="H726" s="236"/>
      <c r="I726" s="236"/>
      <c r="J726" s="236"/>
      <c r="K726" s="236"/>
      <c r="L726" s="236"/>
      <c r="M726" s="236"/>
      <c r="N726" s="236"/>
      <c r="O726" s="236"/>
      <c r="P726" s="236"/>
      <c r="Q726" s="236"/>
      <c r="R726" s="236"/>
    </row>
    <row r="727">
      <c r="A727" s="236"/>
      <c r="B727" s="236"/>
      <c r="C727" s="236"/>
      <c r="D727" s="236"/>
      <c r="E727" s="236"/>
      <c r="F727" s="367"/>
      <c r="G727" s="236"/>
      <c r="H727" s="236"/>
      <c r="I727" s="236"/>
      <c r="J727" s="236"/>
      <c r="K727" s="236"/>
      <c r="L727" s="236"/>
      <c r="M727" s="236"/>
      <c r="N727" s="236"/>
      <c r="O727" s="236"/>
      <c r="P727" s="236"/>
      <c r="Q727" s="236"/>
      <c r="R727" s="236"/>
    </row>
    <row r="728">
      <c r="A728" s="236"/>
      <c r="B728" s="236"/>
      <c r="C728" s="236"/>
      <c r="D728" s="236"/>
      <c r="E728" s="236"/>
      <c r="F728" s="367"/>
      <c r="G728" s="236"/>
      <c r="H728" s="236"/>
      <c r="I728" s="236"/>
      <c r="J728" s="236"/>
      <c r="K728" s="236"/>
      <c r="L728" s="236"/>
      <c r="M728" s="236"/>
      <c r="N728" s="236"/>
      <c r="O728" s="236"/>
      <c r="P728" s="236"/>
      <c r="Q728" s="236"/>
      <c r="R728" s="236"/>
    </row>
    <row r="729">
      <c r="A729" s="236"/>
      <c r="B729" s="236"/>
      <c r="C729" s="236"/>
      <c r="D729" s="236"/>
      <c r="E729" s="236"/>
      <c r="F729" s="367"/>
      <c r="G729" s="236"/>
      <c r="H729" s="236"/>
      <c r="I729" s="236"/>
      <c r="J729" s="236"/>
      <c r="K729" s="236"/>
      <c r="L729" s="236"/>
      <c r="M729" s="236"/>
      <c r="N729" s="236"/>
      <c r="O729" s="236"/>
      <c r="P729" s="236"/>
      <c r="Q729" s="236"/>
      <c r="R729" s="236"/>
    </row>
    <row r="730">
      <c r="A730" s="236"/>
      <c r="B730" s="236"/>
      <c r="C730" s="236"/>
      <c r="D730" s="236"/>
      <c r="E730" s="236"/>
      <c r="F730" s="367"/>
      <c r="G730" s="236"/>
      <c r="H730" s="236"/>
      <c r="I730" s="236"/>
      <c r="J730" s="236"/>
      <c r="K730" s="236"/>
      <c r="L730" s="236"/>
      <c r="M730" s="236"/>
      <c r="N730" s="236"/>
      <c r="O730" s="236"/>
      <c r="P730" s="236"/>
      <c r="Q730" s="236"/>
      <c r="R730" s="236"/>
    </row>
    <row r="731">
      <c r="A731" s="236"/>
      <c r="B731" s="236"/>
      <c r="C731" s="236"/>
      <c r="D731" s="236"/>
      <c r="E731" s="236"/>
      <c r="F731" s="367"/>
      <c r="G731" s="236"/>
      <c r="H731" s="236"/>
      <c r="I731" s="236"/>
      <c r="J731" s="236"/>
      <c r="K731" s="236"/>
      <c r="L731" s="236"/>
      <c r="M731" s="236"/>
      <c r="N731" s="236"/>
      <c r="O731" s="236"/>
      <c r="P731" s="236"/>
      <c r="Q731" s="236"/>
      <c r="R731" s="236"/>
    </row>
    <row r="732">
      <c r="A732" s="236"/>
      <c r="B732" s="236"/>
      <c r="C732" s="236"/>
      <c r="D732" s="236"/>
      <c r="E732" s="236"/>
      <c r="F732" s="367"/>
      <c r="G732" s="236"/>
      <c r="H732" s="236"/>
      <c r="I732" s="236"/>
      <c r="J732" s="236"/>
      <c r="K732" s="236"/>
      <c r="L732" s="236"/>
      <c r="M732" s="236"/>
      <c r="N732" s="236"/>
      <c r="O732" s="236"/>
      <c r="P732" s="236"/>
      <c r="Q732" s="236"/>
      <c r="R732" s="236"/>
    </row>
    <row r="733">
      <c r="A733" s="236"/>
      <c r="B733" s="236"/>
      <c r="C733" s="236"/>
      <c r="D733" s="236"/>
      <c r="E733" s="236"/>
      <c r="F733" s="367"/>
      <c r="G733" s="236"/>
      <c r="H733" s="236"/>
      <c r="I733" s="236"/>
      <c r="J733" s="236"/>
      <c r="K733" s="236"/>
      <c r="L733" s="236"/>
      <c r="M733" s="236"/>
      <c r="N733" s="236"/>
      <c r="O733" s="236"/>
      <c r="P733" s="236"/>
      <c r="Q733" s="236"/>
      <c r="R733" s="236"/>
    </row>
    <row r="734">
      <c r="A734" s="236"/>
      <c r="B734" s="236"/>
      <c r="C734" s="236"/>
      <c r="D734" s="236"/>
      <c r="E734" s="236"/>
      <c r="F734" s="367"/>
      <c r="G734" s="236"/>
      <c r="H734" s="236"/>
      <c r="I734" s="236"/>
      <c r="J734" s="236"/>
      <c r="K734" s="236"/>
      <c r="L734" s="236"/>
      <c r="M734" s="236"/>
      <c r="N734" s="236"/>
      <c r="O734" s="236"/>
      <c r="P734" s="236"/>
      <c r="Q734" s="236"/>
      <c r="R734" s="236"/>
    </row>
    <row r="735">
      <c r="A735" s="236"/>
      <c r="B735" s="236"/>
      <c r="C735" s="236"/>
      <c r="D735" s="236"/>
      <c r="E735" s="236"/>
      <c r="F735" s="367"/>
      <c r="G735" s="236"/>
      <c r="H735" s="236"/>
      <c r="I735" s="236"/>
      <c r="J735" s="236"/>
      <c r="K735" s="236"/>
      <c r="L735" s="236"/>
      <c r="M735" s="236"/>
      <c r="N735" s="236"/>
      <c r="O735" s="236"/>
      <c r="P735" s="236"/>
      <c r="Q735" s="236"/>
      <c r="R735" s="236"/>
    </row>
    <row r="736">
      <c r="A736" s="236"/>
      <c r="B736" s="236"/>
      <c r="C736" s="236"/>
      <c r="D736" s="236"/>
      <c r="E736" s="236"/>
      <c r="F736" s="367"/>
      <c r="G736" s="236"/>
      <c r="H736" s="236"/>
      <c r="I736" s="236"/>
      <c r="J736" s="236"/>
      <c r="K736" s="236"/>
      <c r="L736" s="236"/>
      <c r="M736" s="236"/>
      <c r="N736" s="236"/>
      <c r="O736" s="236"/>
      <c r="P736" s="236"/>
      <c r="Q736" s="236"/>
      <c r="R736" s="236"/>
    </row>
    <row r="737">
      <c r="A737" s="236"/>
      <c r="B737" s="236"/>
      <c r="C737" s="236"/>
      <c r="D737" s="236"/>
      <c r="E737" s="236"/>
      <c r="F737" s="367"/>
      <c r="G737" s="236"/>
      <c r="H737" s="236"/>
      <c r="I737" s="236"/>
      <c r="J737" s="236"/>
      <c r="K737" s="236"/>
      <c r="L737" s="236"/>
      <c r="M737" s="236"/>
      <c r="N737" s="236"/>
      <c r="O737" s="236"/>
      <c r="P737" s="236"/>
      <c r="Q737" s="236"/>
      <c r="R737" s="236"/>
    </row>
    <row r="738">
      <c r="A738" s="236"/>
      <c r="B738" s="236"/>
      <c r="C738" s="236"/>
      <c r="D738" s="236"/>
      <c r="E738" s="236"/>
      <c r="F738" s="367"/>
      <c r="G738" s="236"/>
      <c r="H738" s="236"/>
      <c r="I738" s="236"/>
      <c r="J738" s="236"/>
      <c r="K738" s="236"/>
      <c r="L738" s="236"/>
      <c r="M738" s="236"/>
      <c r="N738" s="236"/>
      <c r="O738" s="236"/>
      <c r="P738" s="236"/>
      <c r="Q738" s="236"/>
      <c r="R738" s="236"/>
    </row>
    <row r="739">
      <c r="A739" s="236"/>
      <c r="B739" s="236"/>
      <c r="C739" s="236"/>
      <c r="D739" s="236"/>
      <c r="E739" s="236"/>
      <c r="F739" s="367"/>
      <c r="G739" s="236"/>
      <c r="H739" s="236"/>
      <c r="I739" s="236"/>
      <c r="J739" s="236"/>
      <c r="K739" s="236"/>
      <c r="L739" s="236"/>
      <c r="M739" s="236"/>
      <c r="N739" s="236"/>
      <c r="O739" s="236"/>
      <c r="P739" s="236"/>
      <c r="Q739" s="236"/>
      <c r="R739" s="236"/>
    </row>
    <row r="740">
      <c r="A740" s="236"/>
      <c r="B740" s="236"/>
      <c r="C740" s="236"/>
      <c r="D740" s="236"/>
      <c r="E740" s="236"/>
      <c r="F740" s="367"/>
      <c r="G740" s="236"/>
      <c r="H740" s="236"/>
      <c r="I740" s="236"/>
      <c r="J740" s="236"/>
      <c r="K740" s="236"/>
      <c r="L740" s="236"/>
      <c r="M740" s="236"/>
      <c r="N740" s="236"/>
      <c r="O740" s="236"/>
      <c r="P740" s="236"/>
      <c r="Q740" s="236"/>
      <c r="R740" s="236"/>
    </row>
    <row r="741">
      <c r="A741" s="236"/>
      <c r="B741" s="236"/>
      <c r="C741" s="236"/>
      <c r="D741" s="236"/>
      <c r="E741" s="236"/>
      <c r="F741" s="367"/>
      <c r="G741" s="236"/>
      <c r="H741" s="236"/>
      <c r="I741" s="236"/>
      <c r="J741" s="236"/>
      <c r="K741" s="236"/>
      <c r="L741" s="236"/>
      <c r="M741" s="236"/>
      <c r="N741" s="236"/>
      <c r="O741" s="236"/>
      <c r="P741" s="236"/>
      <c r="Q741" s="236"/>
      <c r="R741" s="236"/>
    </row>
    <row r="742">
      <c r="A742" s="236"/>
      <c r="B742" s="236"/>
      <c r="C742" s="236"/>
      <c r="D742" s="236"/>
      <c r="E742" s="236"/>
      <c r="F742" s="367"/>
      <c r="G742" s="236"/>
      <c r="H742" s="236"/>
      <c r="I742" s="236"/>
      <c r="J742" s="236"/>
      <c r="K742" s="236"/>
      <c r="L742" s="236"/>
      <c r="M742" s="236"/>
      <c r="N742" s="236"/>
      <c r="O742" s="236"/>
      <c r="P742" s="236"/>
      <c r="Q742" s="236"/>
      <c r="R742" s="236"/>
    </row>
    <row r="743">
      <c r="A743" s="236"/>
      <c r="B743" s="236"/>
      <c r="C743" s="236"/>
      <c r="D743" s="236"/>
      <c r="E743" s="236"/>
      <c r="F743" s="367"/>
      <c r="G743" s="236"/>
      <c r="H743" s="236"/>
      <c r="I743" s="236"/>
      <c r="J743" s="236"/>
      <c r="K743" s="236"/>
      <c r="L743" s="236"/>
      <c r="M743" s="236"/>
      <c r="N743" s="236"/>
      <c r="O743" s="236"/>
      <c r="P743" s="236"/>
      <c r="Q743" s="236"/>
      <c r="R743" s="236"/>
    </row>
    <row r="744">
      <c r="A744" s="236"/>
      <c r="B744" s="236"/>
      <c r="C744" s="236"/>
      <c r="D744" s="236"/>
      <c r="E744" s="236"/>
      <c r="F744" s="367"/>
      <c r="G744" s="236"/>
      <c r="H744" s="236"/>
      <c r="I744" s="236"/>
      <c r="J744" s="236"/>
      <c r="K744" s="236"/>
      <c r="L744" s="236"/>
      <c r="M744" s="236"/>
      <c r="N744" s="236"/>
      <c r="O744" s="236"/>
      <c r="P744" s="236"/>
      <c r="Q744" s="236"/>
      <c r="R744" s="236"/>
    </row>
    <row r="745">
      <c r="A745" s="236"/>
      <c r="B745" s="236"/>
      <c r="C745" s="236"/>
      <c r="D745" s="236"/>
      <c r="E745" s="236"/>
      <c r="F745" s="367"/>
      <c r="G745" s="236"/>
      <c r="H745" s="236"/>
      <c r="I745" s="236"/>
      <c r="J745" s="236"/>
      <c r="K745" s="236"/>
      <c r="L745" s="236"/>
      <c r="M745" s="236"/>
      <c r="N745" s="236"/>
      <c r="O745" s="236"/>
      <c r="P745" s="236"/>
      <c r="Q745" s="236"/>
      <c r="R745" s="236"/>
    </row>
    <row r="746">
      <c r="A746" s="236"/>
      <c r="B746" s="236"/>
      <c r="C746" s="236"/>
      <c r="D746" s="236"/>
      <c r="E746" s="236"/>
      <c r="F746" s="367"/>
      <c r="G746" s="236"/>
      <c r="H746" s="236"/>
      <c r="I746" s="236"/>
      <c r="J746" s="236"/>
      <c r="K746" s="236"/>
      <c r="L746" s="236"/>
      <c r="M746" s="236"/>
      <c r="N746" s="236"/>
      <c r="O746" s="236"/>
      <c r="P746" s="236"/>
      <c r="Q746" s="236"/>
      <c r="R746" s="236"/>
    </row>
    <row r="747">
      <c r="A747" s="236"/>
      <c r="B747" s="236"/>
      <c r="C747" s="236"/>
      <c r="D747" s="236"/>
      <c r="E747" s="236"/>
      <c r="F747" s="367"/>
      <c r="G747" s="236"/>
      <c r="H747" s="236"/>
      <c r="I747" s="236"/>
      <c r="J747" s="236"/>
      <c r="K747" s="236"/>
      <c r="L747" s="236"/>
      <c r="M747" s="236"/>
      <c r="N747" s="236"/>
      <c r="O747" s="236"/>
      <c r="P747" s="236"/>
      <c r="Q747" s="236"/>
      <c r="R747" s="236"/>
    </row>
    <row r="748">
      <c r="A748" s="236"/>
      <c r="B748" s="236"/>
      <c r="C748" s="236"/>
      <c r="D748" s="236"/>
      <c r="E748" s="236"/>
      <c r="F748" s="367"/>
      <c r="G748" s="236"/>
      <c r="H748" s="236"/>
      <c r="I748" s="236"/>
      <c r="J748" s="236"/>
      <c r="K748" s="236"/>
      <c r="L748" s="236"/>
      <c r="M748" s="236"/>
      <c r="N748" s="236"/>
      <c r="O748" s="236"/>
      <c r="P748" s="236"/>
      <c r="Q748" s="236"/>
      <c r="R748" s="236"/>
    </row>
    <row r="749">
      <c r="A749" s="236"/>
      <c r="B749" s="236"/>
      <c r="C749" s="236"/>
      <c r="D749" s="236"/>
      <c r="E749" s="236"/>
      <c r="F749" s="367"/>
      <c r="G749" s="236"/>
      <c r="H749" s="236"/>
      <c r="I749" s="236"/>
      <c r="J749" s="236"/>
      <c r="K749" s="236"/>
      <c r="L749" s="236"/>
      <c r="M749" s="236"/>
      <c r="N749" s="236"/>
      <c r="O749" s="236"/>
      <c r="P749" s="236"/>
      <c r="Q749" s="236"/>
      <c r="R749" s="236"/>
    </row>
    <row r="750">
      <c r="A750" s="236"/>
      <c r="B750" s="236"/>
      <c r="C750" s="236"/>
      <c r="D750" s="236"/>
      <c r="E750" s="236"/>
      <c r="F750" s="367"/>
      <c r="G750" s="236"/>
      <c r="H750" s="236"/>
      <c r="I750" s="236"/>
      <c r="J750" s="236"/>
      <c r="K750" s="236"/>
      <c r="L750" s="236"/>
      <c r="M750" s="236"/>
      <c r="N750" s="236"/>
      <c r="O750" s="236"/>
      <c r="P750" s="236"/>
      <c r="Q750" s="236"/>
      <c r="R750" s="236"/>
    </row>
    <row r="751">
      <c r="A751" s="236"/>
      <c r="B751" s="236"/>
      <c r="C751" s="236"/>
      <c r="D751" s="236"/>
      <c r="E751" s="236"/>
      <c r="F751" s="367"/>
      <c r="G751" s="236"/>
      <c r="H751" s="236"/>
      <c r="I751" s="236"/>
      <c r="J751" s="236"/>
      <c r="K751" s="236"/>
      <c r="L751" s="236"/>
      <c r="M751" s="236"/>
      <c r="N751" s="236"/>
      <c r="O751" s="236"/>
      <c r="P751" s="236"/>
      <c r="Q751" s="236"/>
      <c r="R751" s="236"/>
    </row>
    <row r="752">
      <c r="A752" s="236"/>
      <c r="B752" s="236"/>
      <c r="C752" s="236"/>
      <c r="D752" s="236"/>
      <c r="E752" s="236"/>
      <c r="F752" s="367"/>
      <c r="G752" s="236"/>
      <c r="H752" s="236"/>
      <c r="I752" s="236"/>
      <c r="J752" s="236"/>
      <c r="K752" s="236"/>
      <c r="L752" s="236"/>
      <c r="M752" s="236"/>
      <c r="N752" s="236"/>
      <c r="O752" s="236"/>
      <c r="P752" s="236"/>
      <c r="Q752" s="236"/>
      <c r="R752" s="236"/>
    </row>
    <row r="753">
      <c r="A753" s="236"/>
      <c r="B753" s="236"/>
      <c r="C753" s="236"/>
      <c r="D753" s="236"/>
      <c r="E753" s="236"/>
      <c r="F753" s="367"/>
      <c r="G753" s="236"/>
      <c r="H753" s="236"/>
      <c r="I753" s="236"/>
      <c r="J753" s="236"/>
      <c r="K753" s="236"/>
      <c r="L753" s="236"/>
      <c r="M753" s="236"/>
      <c r="N753" s="236"/>
      <c r="O753" s="236"/>
      <c r="P753" s="236"/>
      <c r="Q753" s="236"/>
      <c r="R753" s="236"/>
    </row>
    <row r="754">
      <c r="A754" s="236"/>
      <c r="B754" s="236"/>
      <c r="C754" s="236"/>
      <c r="D754" s="236"/>
      <c r="E754" s="236"/>
      <c r="F754" s="367"/>
      <c r="G754" s="236"/>
      <c r="H754" s="236"/>
      <c r="I754" s="236"/>
      <c r="J754" s="236"/>
      <c r="K754" s="236"/>
      <c r="L754" s="236"/>
      <c r="M754" s="236"/>
      <c r="N754" s="236"/>
      <c r="O754" s="236"/>
      <c r="P754" s="236"/>
      <c r="Q754" s="236"/>
      <c r="R754" s="236"/>
    </row>
    <row r="755">
      <c r="A755" s="236"/>
      <c r="B755" s="236"/>
      <c r="C755" s="236"/>
      <c r="D755" s="236"/>
      <c r="E755" s="236"/>
      <c r="F755" s="367"/>
      <c r="G755" s="236"/>
      <c r="H755" s="236"/>
      <c r="I755" s="236"/>
      <c r="J755" s="236"/>
      <c r="K755" s="236"/>
      <c r="L755" s="236"/>
      <c r="M755" s="236"/>
      <c r="N755" s="236"/>
      <c r="O755" s="236"/>
      <c r="P755" s="236"/>
      <c r="Q755" s="236"/>
      <c r="R755" s="236"/>
    </row>
    <row r="756">
      <c r="A756" s="236"/>
      <c r="B756" s="236"/>
      <c r="C756" s="236"/>
      <c r="D756" s="236"/>
      <c r="E756" s="236"/>
      <c r="F756" s="367"/>
      <c r="G756" s="236"/>
      <c r="H756" s="236"/>
      <c r="I756" s="236"/>
      <c r="J756" s="236"/>
      <c r="K756" s="236"/>
      <c r="L756" s="236"/>
      <c r="M756" s="236"/>
      <c r="N756" s="236"/>
      <c r="O756" s="236"/>
      <c r="P756" s="236"/>
      <c r="Q756" s="236"/>
      <c r="R756" s="236"/>
    </row>
    <row r="757">
      <c r="A757" s="236"/>
      <c r="B757" s="236"/>
      <c r="C757" s="236"/>
      <c r="D757" s="236"/>
      <c r="E757" s="236"/>
      <c r="F757" s="367"/>
      <c r="G757" s="236"/>
      <c r="H757" s="236"/>
      <c r="I757" s="236"/>
      <c r="J757" s="236"/>
      <c r="K757" s="236"/>
      <c r="L757" s="236"/>
      <c r="M757" s="236"/>
      <c r="N757" s="236"/>
      <c r="O757" s="236"/>
      <c r="P757" s="236"/>
      <c r="Q757" s="236"/>
      <c r="R757" s="236"/>
    </row>
    <row r="758">
      <c r="A758" s="236"/>
      <c r="B758" s="236"/>
      <c r="C758" s="236"/>
      <c r="D758" s="236"/>
      <c r="E758" s="236"/>
      <c r="F758" s="367"/>
      <c r="G758" s="236"/>
      <c r="H758" s="236"/>
      <c r="I758" s="236"/>
      <c r="J758" s="236"/>
      <c r="K758" s="236"/>
      <c r="L758" s="236"/>
      <c r="M758" s="236"/>
      <c r="N758" s="236"/>
      <c r="O758" s="236"/>
      <c r="P758" s="236"/>
      <c r="Q758" s="236"/>
      <c r="R758" s="236"/>
    </row>
    <row r="759">
      <c r="A759" s="236"/>
      <c r="B759" s="236"/>
      <c r="C759" s="236"/>
      <c r="D759" s="236"/>
      <c r="E759" s="236"/>
      <c r="F759" s="367"/>
      <c r="G759" s="236"/>
      <c r="H759" s="236"/>
      <c r="I759" s="236"/>
      <c r="J759" s="236"/>
      <c r="K759" s="236"/>
      <c r="L759" s="236"/>
      <c r="M759" s="236"/>
      <c r="N759" s="236"/>
      <c r="O759" s="236"/>
      <c r="P759" s="236"/>
      <c r="Q759" s="236"/>
      <c r="R759" s="236"/>
    </row>
    <row r="760">
      <c r="A760" s="236"/>
      <c r="B760" s="236"/>
      <c r="C760" s="236"/>
      <c r="D760" s="236"/>
      <c r="E760" s="236"/>
      <c r="F760" s="367"/>
      <c r="G760" s="236"/>
      <c r="H760" s="236"/>
      <c r="I760" s="236"/>
      <c r="J760" s="236"/>
      <c r="K760" s="236"/>
      <c r="L760" s="236"/>
      <c r="M760" s="236"/>
      <c r="N760" s="236"/>
      <c r="O760" s="236"/>
      <c r="P760" s="236"/>
      <c r="Q760" s="236"/>
      <c r="R760" s="236"/>
    </row>
    <row r="761">
      <c r="A761" s="236"/>
      <c r="B761" s="236"/>
      <c r="C761" s="236"/>
      <c r="D761" s="236"/>
      <c r="E761" s="236"/>
      <c r="F761" s="367"/>
      <c r="G761" s="236"/>
      <c r="H761" s="236"/>
      <c r="I761" s="236"/>
      <c r="J761" s="236"/>
      <c r="K761" s="236"/>
      <c r="L761" s="236"/>
      <c r="M761" s="236"/>
      <c r="N761" s="236"/>
      <c r="O761" s="236"/>
      <c r="P761" s="236"/>
      <c r="Q761" s="236"/>
      <c r="R761" s="236"/>
    </row>
    <row r="762">
      <c r="A762" s="236"/>
      <c r="B762" s="236"/>
      <c r="C762" s="236"/>
      <c r="D762" s="236"/>
      <c r="E762" s="236"/>
      <c r="F762" s="367"/>
      <c r="G762" s="236"/>
      <c r="H762" s="236"/>
      <c r="I762" s="236"/>
      <c r="J762" s="236"/>
      <c r="K762" s="236"/>
      <c r="L762" s="236"/>
      <c r="M762" s="236"/>
      <c r="N762" s="236"/>
      <c r="O762" s="236"/>
      <c r="P762" s="236"/>
      <c r="Q762" s="236"/>
      <c r="R762" s="236"/>
    </row>
    <row r="763">
      <c r="A763" s="236"/>
      <c r="B763" s="236"/>
      <c r="C763" s="236"/>
      <c r="D763" s="236"/>
      <c r="E763" s="236"/>
      <c r="F763" s="367"/>
      <c r="G763" s="236"/>
      <c r="H763" s="236"/>
      <c r="I763" s="236"/>
      <c r="J763" s="236"/>
      <c r="K763" s="236"/>
      <c r="L763" s="236"/>
      <c r="M763" s="236"/>
      <c r="N763" s="236"/>
      <c r="O763" s="236"/>
      <c r="P763" s="236"/>
      <c r="Q763" s="236"/>
      <c r="R763" s="236"/>
    </row>
    <row r="764">
      <c r="A764" s="236"/>
      <c r="B764" s="236"/>
      <c r="C764" s="236"/>
      <c r="D764" s="236"/>
      <c r="E764" s="236"/>
      <c r="F764" s="367"/>
      <c r="G764" s="236"/>
      <c r="H764" s="236"/>
      <c r="I764" s="236"/>
      <c r="J764" s="236"/>
      <c r="K764" s="236"/>
      <c r="L764" s="236"/>
      <c r="M764" s="236"/>
      <c r="N764" s="236"/>
      <c r="O764" s="236"/>
      <c r="P764" s="236"/>
      <c r="Q764" s="236"/>
      <c r="R764" s="236"/>
    </row>
    <row r="765">
      <c r="A765" s="236"/>
      <c r="B765" s="236"/>
      <c r="C765" s="236"/>
      <c r="D765" s="236"/>
      <c r="E765" s="236"/>
      <c r="F765" s="367"/>
      <c r="G765" s="236"/>
      <c r="H765" s="236"/>
      <c r="I765" s="236"/>
      <c r="J765" s="236"/>
      <c r="K765" s="236"/>
      <c r="L765" s="236"/>
      <c r="M765" s="236"/>
      <c r="N765" s="236"/>
      <c r="O765" s="236"/>
      <c r="P765" s="236"/>
      <c r="Q765" s="236"/>
      <c r="R765" s="236"/>
    </row>
    <row r="766">
      <c r="A766" s="236"/>
      <c r="B766" s="236"/>
      <c r="C766" s="236"/>
      <c r="D766" s="236"/>
      <c r="E766" s="236"/>
      <c r="F766" s="367"/>
      <c r="G766" s="236"/>
      <c r="H766" s="236"/>
      <c r="I766" s="236"/>
      <c r="J766" s="236"/>
      <c r="K766" s="236"/>
      <c r="L766" s="236"/>
      <c r="M766" s="236"/>
      <c r="N766" s="236"/>
      <c r="O766" s="236"/>
      <c r="P766" s="236"/>
      <c r="Q766" s="236"/>
      <c r="R766" s="236"/>
    </row>
    <row r="767">
      <c r="A767" s="236"/>
      <c r="B767" s="236"/>
      <c r="C767" s="236"/>
      <c r="D767" s="236"/>
      <c r="E767" s="236"/>
      <c r="F767" s="367"/>
      <c r="G767" s="236"/>
      <c r="H767" s="236"/>
      <c r="I767" s="236"/>
      <c r="J767" s="236"/>
      <c r="K767" s="236"/>
      <c r="L767" s="236"/>
      <c r="M767" s="236"/>
      <c r="N767" s="236"/>
      <c r="O767" s="236"/>
      <c r="P767" s="236"/>
      <c r="Q767" s="236"/>
      <c r="R767" s="236"/>
    </row>
    <row r="768">
      <c r="A768" s="236"/>
      <c r="B768" s="236"/>
      <c r="C768" s="236"/>
      <c r="D768" s="236"/>
      <c r="E768" s="236"/>
      <c r="F768" s="367"/>
      <c r="G768" s="236"/>
      <c r="H768" s="236"/>
      <c r="I768" s="236"/>
      <c r="J768" s="236"/>
      <c r="K768" s="236"/>
      <c r="L768" s="236"/>
      <c r="M768" s="236"/>
      <c r="N768" s="236"/>
      <c r="O768" s="236"/>
      <c r="P768" s="236"/>
      <c r="Q768" s="236"/>
      <c r="R768" s="236"/>
    </row>
    <row r="769">
      <c r="A769" s="236"/>
      <c r="B769" s="236"/>
      <c r="C769" s="236"/>
      <c r="D769" s="236"/>
      <c r="E769" s="236"/>
      <c r="F769" s="367"/>
      <c r="G769" s="236"/>
      <c r="H769" s="236"/>
      <c r="I769" s="236"/>
      <c r="J769" s="236"/>
      <c r="K769" s="236"/>
      <c r="L769" s="236"/>
      <c r="M769" s="236"/>
      <c r="N769" s="236"/>
      <c r="O769" s="236"/>
      <c r="P769" s="236"/>
      <c r="Q769" s="236"/>
      <c r="R769" s="236"/>
    </row>
    <row r="770">
      <c r="A770" s="236"/>
      <c r="B770" s="236"/>
      <c r="C770" s="236"/>
      <c r="D770" s="236"/>
      <c r="E770" s="236"/>
      <c r="F770" s="367"/>
      <c r="G770" s="236"/>
      <c r="H770" s="236"/>
      <c r="I770" s="236"/>
      <c r="J770" s="236"/>
      <c r="K770" s="236"/>
      <c r="L770" s="236"/>
      <c r="M770" s="236"/>
      <c r="N770" s="236"/>
      <c r="O770" s="236"/>
      <c r="P770" s="236"/>
      <c r="Q770" s="236"/>
      <c r="R770" s="236"/>
    </row>
    <row r="771">
      <c r="A771" s="236"/>
      <c r="B771" s="236"/>
      <c r="C771" s="236"/>
      <c r="D771" s="236"/>
      <c r="E771" s="236"/>
      <c r="F771" s="367"/>
      <c r="G771" s="236"/>
      <c r="H771" s="236"/>
      <c r="I771" s="236"/>
      <c r="J771" s="236"/>
      <c r="K771" s="236"/>
      <c r="L771" s="236"/>
      <c r="M771" s="236"/>
      <c r="N771" s="236"/>
      <c r="O771" s="236"/>
      <c r="P771" s="236"/>
      <c r="Q771" s="236"/>
      <c r="R771" s="236"/>
    </row>
    <row r="772">
      <c r="A772" s="236"/>
      <c r="B772" s="236"/>
      <c r="C772" s="236"/>
      <c r="D772" s="236"/>
      <c r="E772" s="236"/>
      <c r="F772" s="367"/>
      <c r="G772" s="236"/>
      <c r="H772" s="236"/>
      <c r="I772" s="236"/>
      <c r="J772" s="236"/>
      <c r="K772" s="236"/>
      <c r="L772" s="236"/>
      <c r="M772" s="236"/>
      <c r="N772" s="236"/>
      <c r="O772" s="236"/>
      <c r="P772" s="236"/>
      <c r="Q772" s="236"/>
      <c r="R772" s="236"/>
    </row>
    <row r="773">
      <c r="A773" s="236"/>
      <c r="B773" s="236"/>
      <c r="C773" s="236"/>
      <c r="D773" s="236"/>
      <c r="E773" s="236"/>
      <c r="F773" s="367"/>
      <c r="G773" s="236"/>
      <c r="H773" s="236"/>
      <c r="I773" s="236"/>
      <c r="J773" s="236"/>
      <c r="K773" s="236"/>
      <c r="L773" s="236"/>
      <c r="M773" s="236"/>
      <c r="N773" s="236"/>
      <c r="O773" s="236"/>
      <c r="P773" s="236"/>
      <c r="Q773" s="236"/>
      <c r="R773" s="236"/>
    </row>
    <row r="774">
      <c r="A774" s="236"/>
      <c r="B774" s="236"/>
      <c r="C774" s="236"/>
      <c r="D774" s="236"/>
      <c r="E774" s="236"/>
      <c r="F774" s="367"/>
      <c r="G774" s="236"/>
      <c r="H774" s="236"/>
      <c r="I774" s="236"/>
      <c r="J774" s="236"/>
      <c r="K774" s="236"/>
      <c r="L774" s="236"/>
      <c r="M774" s="236"/>
      <c r="N774" s="236"/>
      <c r="O774" s="236"/>
      <c r="P774" s="236"/>
      <c r="Q774" s="236"/>
      <c r="R774" s="236"/>
    </row>
    <row r="775">
      <c r="A775" s="236"/>
      <c r="B775" s="236"/>
      <c r="C775" s="236"/>
      <c r="D775" s="236"/>
      <c r="E775" s="236"/>
      <c r="F775" s="367"/>
      <c r="G775" s="236"/>
      <c r="H775" s="236"/>
      <c r="I775" s="236"/>
      <c r="J775" s="236"/>
      <c r="K775" s="236"/>
      <c r="L775" s="236"/>
      <c r="M775" s="236"/>
      <c r="N775" s="236"/>
      <c r="O775" s="236"/>
      <c r="P775" s="236"/>
      <c r="Q775" s="236"/>
      <c r="R775" s="236"/>
    </row>
    <row r="776">
      <c r="A776" s="236"/>
      <c r="B776" s="236"/>
      <c r="C776" s="236"/>
      <c r="D776" s="236"/>
      <c r="E776" s="236"/>
      <c r="F776" s="367"/>
      <c r="G776" s="236"/>
      <c r="H776" s="236"/>
      <c r="I776" s="236"/>
      <c r="J776" s="236"/>
      <c r="K776" s="236"/>
      <c r="L776" s="236"/>
      <c r="M776" s="236"/>
      <c r="N776" s="236"/>
      <c r="O776" s="236"/>
      <c r="P776" s="236"/>
      <c r="Q776" s="236"/>
      <c r="R776" s="236"/>
    </row>
    <row r="777">
      <c r="A777" s="236"/>
      <c r="B777" s="236"/>
      <c r="C777" s="236"/>
      <c r="D777" s="236"/>
      <c r="E777" s="236"/>
      <c r="F777" s="367"/>
      <c r="G777" s="236"/>
      <c r="H777" s="236"/>
      <c r="I777" s="236"/>
      <c r="J777" s="236"/>
      <c r="K777" s="236"/>
      <c r="L777" s="236"/>
      <c r="M777" s="236"/>
      <c r="N777" s="236"/>
      <c r="O777" s="236"/>
      <c r="P777" s="236"/>
      <c r="Q777" s="236"/>
      <c r="R777" s="236"/>
    </row>
    <row r="778">
      <c r="A778" s="236"/>
      <c r="B778" s="236"/>
      <c r="C778" s="236"/>
      <c r="D778" s="236"/>
      <c r="E778" s="236"/>
      <c r="F778" s="367"/>
      <c r="G778" s="236"/>
      <c r="H778" s="236"/>
      <c r="I778" s="236"/>
      <c r="J778" s="236"/>
      <c r="K778" s="236"/>
      <c r="L778" s="236"/>
      <c r="M778" s="236"/>
      <c r="N778" s="236"/>
      <c r="O778" s="236"/>
      <c r="P778" s="236"/>
      <c r="Q778" s="236"/>
      <c r="R778" s="236"/>
    </row>
    <row r="779">
      <c r="A779" s="236"/>
      <c r="B779" s="236"/>
      <c r="C779" s="236"/>
      <c r="D779" s="236"/>
      <c r="E779" s="236"/>
      <c r="F779" s="367"/>
      <c r="G779" s="236"/>
      <c r="H779" s="236"/>
      <c r="I779" s="236"/>
      <c r="J779" s="236"/>
      <c r="K779" s="236"/>
      <c r="L779" s="236"/>
      <c r="M779" s="236"/>
      <c r="N779" s="236"/>
      <c r="O779" s="236"/>
      <c r="P779" s="236"/>
      <c r="Q779" s="236"/>
      <c r="R779" s="236"/>
    </row>
    <row r="780">
      <c r="A780" s="236"/>
      <c r="B780" s="236"/>
      <c r="C780" s="236"/>
      <c r="D780" s="236"/>
      <c r="E780" s="236"/>
      <c r="F780" s="367"/>
      <c r="G780" s="236"/>
      <c r="H780" s="236"/>
      <c r="I780" s="236"/>
      <c r="J780" s="236"/>
      <c r="K780" s="236"/>
      <c r="L780" s="236"/>
      <c r="M780" s="236"/>
      <c r="N780" s="236"/>
      <c r="O780" s="236"/>
      <c r="P780" s="236"/>
      <c r="Q780" s="236"/>
      <c r="R780" s="236"/>
    </row>
    <row r="781">
      <c r="A781" s="236"/>
      <c r="B781" s="236"/>
      <c r="C781" s="236"/>
      <c r="D781" s="236"/>
      <c r="E781" s="236"/>
      <c r="F781" s="367"/>
      <c r="G781" s="236"/>
      <c r="H781" s="236"/>
      <c r="I781" s="236"/>
      <c r="J781" s="236"/>
      <c r="K781" s="236"/>
      <c r="L781" s="236"/>
      <c r="M781" s="236"/>
      <c r="N781" s="236"/>
      <c r="O781" s="236"/>
      <c r="P781" s="236"/>
      <c r="Q781" s="236"/>
      <c r="R781" s="236"/>
    </row>
    <row r="782">
      <c r="A782" s="236"/>
      <c r="B782" s="236"/>
      <c r="C782" s="236"/>
      <c r="D782" s="236"/>
      <c r="E782" s="236"/>
      <c r="F782" s="367"/>
      <c r="G782" s="236"/>
      <c r="H782" s="236"/>
      <c r="I782" s="236"/>
      <c r="J782" s="236"/>
      <c r="K782" s="236"/>
      <c r="L782" s="236"/>
      <c r="M782" s="236"/>
      <c r="N782" s="236"/>
      <c r="O782" s="236"/>
      <c r="P782" s="236"/>
      <c r="Q782" s="236"/>
      <c r="R782" s="236"/>
    </row>
    <row r="783">
      <c r="A783" s="236"/>
      <c r="B783" s="236"/>
      <c r="C783" s="236"/>
      <c r="D783" s="236"/>
      <c r="E783" s="236"/>
      <c r="F783" s="367"/>
      <c r="G783" s="236"/>
      <c r="H783" s="236"/>
      <c r="I783" s="236"/>
      <c r="J783" s="236"/>
      <c r="K783" s="236"/>
      <c r="L783" s="236"/>
      <c r="M783" s="236"/>
      <c r="N783" s="236"/>
      <c r="O783" s="236"/>
      <c r="P783" s="236"/>
      <c r="Q783" s="236"/>
      <c r="R783" s="236"/>
    </row>
    <row r="784">
      <c r="A784" s="236"/>
      <c r="B784" s="236"/>
      <c r="C784" s="236"/>
      <c r="D784" s="236"/>
      <c r="E784" s="236"/>
      <c r="F784" s="367"/>
      <c r="G784" s="236"/>
      <c r="H784" s="236"/>
      <c r="I784" s="236"/>
      <c r="J784" s="236"/>
      <c r="K784" s="236"/>
      <c r="L784" s="236"/>
      <c r="M784" s="236"/>
      <c r="N784" s="236"/>
      <c r="O784" s="236"/>
      <c r="P784" s="236"/>
      <c r="Q784" s="236"/>
      <c r="R784" s="236"/>
    </row>
    <row r="785">
      <c r="A785" s="236"/>
      <c r="B785" s="236"/>
      <c r="C785" s="236"/>
      <c r="D785" s="236"/>
      <c r="E785" s="236"/>
      <c r="F785" s="367"/>
      <c r="G785" s="236"/>
      <c r="H785" s="236"/>
      <c r="I785" s="236"/>
      <c r="J785" s="236"/>
      <c r="K785" s="236"/>
      <c r="L785" s="236"/>
      <c r="M785" s="236"/>
      <c r="N785" s="236"/>
      <c r="O785" s="236"/>
      <c r="P785" s="236"/>
      <c r="Q785" s="236"/>
      <c r="R785" s="236"/>
    </row>
    <row r="786">
      <c r="A786" s="236"/>
      <c r="B786" s="236"/>
      <c r="C786" s="236"/>
      <c r="D786" s="236"/>
      <c r="E786" s="236"/>
      <c r="F786" s="367"/>
      <c r="G786" s="236"/>
      <c r="H786" s="236"/>
      <c r="I786" s="236"/>
      <c r="J786" s="236"/>
      <c r="K786" s="236"/>
      <c r="L786" s="236"/>
      <c r="M786" s="236"/>
      <c r="N786" s="236"/>
      <c r="O786" s="236"/>
      <c r="P786" s="236"/>
      <c r="Q786" s="236"/>
      <c r="R786" s="236"/>
    </row>
    <row r="787">
      <c r="A787" s="236"/>
      <c r="B787" s="236"/>
      <c r="C787" s="236"/>
      <c r="D787" s="236"/>
      <c r="E787" s="236"/>
      <c r="F787" s="367"/>
      <c r="G787" s="236"/>
      <c r="H787" s="236"/>
      <c r="I787" s="236"/>
      <c r="J787" s="236"/>
      <c r="K787" s="236"/>
      <c r="L787" s="236"/>
      <c r="M787" s="236"/>
      <c r="N787" s="236"/>
      <c r="O787" s="236"/>
      <c r="P787" s="236"/>
      <c r="Q787" s="236"/>
      <c r="R787" s="236"/>
    </row>
    <row r="788">
      <c r="A788" s="236"/>
      <c r="B788" s="236"/>
      <c r="C788" s="236"/>
      <c r="D788" s="236"/>
      <c r="E788" s="236"/>
      <c r="F788" s="367"/>
      <c r="G788" s="236"/>
      <c r="H788" s="236"/>
      <c r="I788" s="236"/>
      <c r="J788" s="236"/>
      <c r="K788" s="236"/>
      <c r="L788" s="236"/>
      <c r="M788" s="236"/>
      <c r="N788" s="236"/>
      <c r="O788" s="236"/>
      <c r="P788" s="236"/>
      <c r="Q788" s="236"/>
      <c r="R788" s="236"/>
    </row>
    <row r="789">
      <c r="A789" s="236"/>
      <c r="B789" s="236"/>
      <c r="C789" s="236"/>
      <c r="D789" s="236"/>
      <c r="E789" s="236"/>
      <c r="F789" s="367"/>
      <c r="G789" s="236"/>
      <c r="H789" s="236"/>
      <c r="I789" s="236"/>
      <c r="J789" s="236"/>
      <c r="K789" s="236"/>
      <c r="L789" s="236"/>
      <c r="M789" s="236"/>
      <c r="N789" s="236"/>
      <c r="O789" s="236"/>
      <c r="P789" s="236"/>
      <c r="Q789" s="236"/>
      <c r="R789" s="236"/>
    </row>
    <row r="790">
      <c r="A790" s="236"/>
      <c r="B790" s="236"/>
      <c r="C790" s="236"/>
      <c r="D790" s="236"/>
      <c r="E790" s="236"/>
      <c r="F790" s="367"/>
      <c r="G790" s="236"/>
      <c r="H790" s="236"/>
      <c r="I790" s="236"/>
      <c r="J790" s="236"/>
      <c r="K790" s="236"/>
      <c r="L790" s="236"/>
      <c r="M790" s="236"/>
      <c r="N790" s="236"/>
      <c r="O790" s="236"/>
      <c r="P790" s="236"/>
      <c r="Q790" s="236"/>
      <c r="R790" s="236"/>
    </row>
    <row r="791">
      <c r="A791" s="236"/>
      <c r="B791" s="236"/>
      <c r="C791" s="236"/>
      <c r="D791" s="236"/>
      <c r="E791" s="236"/>
      <c r="F791" s="367"/>
      <c r="G791" s="236"/>
      <c r="H791" s="236"/>
      <c r="I791" s="236"/>
      <c r="J791" s="236"/>
      <c r="K791" s="236"/>
      <c r="L791" s="236"/>
      <c r="M791" s="236"/>
      <c r="N791" s="236"/>
      <c r="O791" s="236"/>
      <c r="P791" s="236"/>
      <c r="Q791" s="236"/>
      <c r="R791" s="236"/>
    </row>
    <row r="792">
      <c r="A792" s="236"/>
      <c r="B792" s="236"/>
      <c r="C792" s="236"/>
      <c r="D792" s="236"/>
      <c r="E792" s="236"/>
      <c r="F792" s="367"/>
      <c r="G792" s="236"/>
      <c r="H792" s="236"/>
      <c r="I792" s="236"/>
      <c r="J792" s="236"/>
      <c r="K792" s="236"/>
      <c r="L792" s="236"/>
      <c r="M792" s="236"/>
      <c r="N792" s="236"/>
      <c r="O792" s="236"/>
      <c r="P792" s="236"/>
      <c r="Q792" s="236"/>
      <c r="R792" s="236"/>
    </row>
    <row r="793">
      <c r="A793" s="236"/>
      <c r="B793" s="236"/>
      <c r="C793" s="236"/>
      <c r="D793" s="236"/>
      <c r="E793" s="236"/>
      <c r="F793" s="367"/>
      <c r="G793" s="236"/>
      <c r="H793" s="236"/>
      <c r="I793" s="236"/>
      <c r="J793" s="236"/>
      <c r="K793" s="236"/>
      <c r="L793" s="236"/>
      <c r="M793" s="236"/>
      <c r="N793" s="236"/>
      <c r="O793" s="236"/>
      <c r="P793" s="236"/>
      <c r="Q793" s="236"/>
      <c r="R793" s="236"/>
    </row>
    <row r="794">
      <c r="A794" s="236"/>
      <c r="B794" s="236"/>
      <c r="C794" s="236"/>
      <c r="D794" s="236"/>
      <c r="E794" s="236"/>
      <c r="F794" s="367"/>
      <c r="G794" s="236"/>
      <c r="H794" s="236"/>
      <c r="I794" s="236"/>
      <c r="J794" s="236"/>
      <c r="K794" s="236"/>
      <c r="L794" s="236"/>
      <c r="M794" s="236"/>
      <c r="N794" s="236"/>
      <c r="O794" s="236"/>
      <c r="P794" s="236"/>
      <c r="Q794" s="236"/>
      <c r="R794" s="236"/>
    </row>
    <row r="795">
      <c r="A795" s="236"/>
      <c r="B795" s="236"/>
      <c r="C795" s="236"/>
      <c r="D795" s="236"/>
      <c r="E795" s="236"/>
      <c r="F795" s="367"/>
      <c r="G795" s="236"/>
      <c r="H795" s="236"/>
      <c r="I795" s="236"/>
      <c r="J795" s="236"/>
      <c r="K795" s="236"/>
      <c r="L795" s="236"/>
      <c r="M795" s="236"/>
      <c r="N795" s="236"/>
      <c r="O795" s="236"/>
      <c r="P795" s="236"/>
      <c r="Q795" s="236"/>
      <c r="R795" s="236"/>
    </row>
    <row r="796">
      <c r="A796" s="236"/>
      <c r="B796" s="236"/>
      <c r="C796" s="236"/>
      <c r="D796" s="236"/>
      <c r="E796" s="236"/>
      <c r="F796" s="367"/>
      <c r="G796" s="236"/>
      <c r="H796" s="236"/>
      <c r="I796" s="236"/>
      <c r="J796" s="236"/>
      <c r="K796" s="236"/>
      <c r="L796" s="236"/>
      <c r="M796" s="236"/>
      <c r="N796" s="236"/>
      <c r="O796" s="236"/>
      <c r="P796" s="236"/>
      <c r="Q796" s="236"/>
      <c r="R796" s="236"/>
    </row>
    <row r="797">
      <c r="A797" s="236"/>
      <c r="B797" s="236"/>
      <c r="C797" s="236"/>
      <c r="D797" s="236"/>
      <c r="E797" s="236"/>
      <c r="F797" s="367"/>
      <c r="G797" s="236"/>
      <c r="H797" s="236"/>
      <c r="I797" s="236"/>
      <c r="J797" s="236"/>
      <c r="K797" s="236"/>
      <c r="L797" s="236"/>
      <c r="M797" s="236"/>
      <c r="N797" s="236"/>
      <c r="O797" s="236"/>
      <c r="P797" s="236"/>
      <c r="Q797" s="236"/>
      <c r="R797" s="236"/>
    </row>
    <row r="798">
      <c r="A798" s="236"/>
      <c r="B798" s="236"/>
      <c r="C798" s="236"/>
      <c r="D798" s="236"/>
      <c r="E798" s="236"/>
      <c r="F798" s="367"/>
      <c r="G798" s="236"/>
      <c r="H798" s="236"/>
      <c r="I798" s="236"/>
      <c r="J798" s="236"/>
      <c r="K798" s="236"/>
      <c r="L798" s="236"/>
      <c r="M798" s="236"/>
      <c r="N798" s="236"/>
      <c r="O798" s="236"/>
      <c r="P798" s="236"/>
      <c r="Q798" s="236"/>
      <c r="R798" s="236"/>
    </row>
    <row r="799">
      <c r="A799" s="236"/>
      <c r="B799" s="236"/>
      <c r="C799" s="236"/>
      <c r="D799" s="236"/>
      <c r="E799" s="236"/>
      <c r="F799" s="367"/>
      <c r="G799" s="236"/>
      <c r="H799" s="236"/>
      <c r="I799" s="236"/>
      <c r="J799" s="236"/>
      <c r="K799" s="236"/>
      <c r="L799" s="236"/>
      <c r="M799" s="236"/>
      <c r="N799" s="236"/>
      <c r="O799" s="236"/>
      <c r="P799" s="236"/>
      <c r="Q799" s="236"/>
      <c r="R799" s="236"/>
    </row>
    <row r="800">
      <c r="A800" s="236"/>
      <c r="B800" s="236"/>
      <c r="C800" s="236"/>
      <c r="D800" s="236"/>
      <c r="E800" s="236"/>
      <c r="F800" s="367"/>
      <c r="G800" s="236"/>
      <c r="H800" s="236"/>
      <c r="I800" s="236"/>
      <c r="J800" s="236"/>
      <c r="K800" s="236"/>
      <c r="L800" s="236"/>
      <c r="M800" s="236"/>
      <c r="N800" s="236"/>
      <c r="O800" s="236"/>
      <c r="P800" s="236"/>
      <c r="Q800" s="236"/>
      <c r="R800" s="236"/>
    </row>
    <row r="801">
      <c r="A801" s="236"/>
      <c r="B801" s="236"/>
      <c r="C801" s="236"/>
      <c r="D801" s="236"/>
      <c r="E801" s="236"/>
      <c r="F801" s="367"/>
      <c r="G801" s="236"/>
      <c r="H801" s="236"/>
      <c r="I801" s="236"/>
      <c r="J801" s="236"/>
      <c r="K801" s="236"/>
      <c r="L801" s="236"/>
      <c r="M801" s="236"/>
      <c r="N801" s="236"/>
      <c r="O801" s="236"/>
      <c r="P801" s="236"/>
      <c r="Q801" s="236"/>
      <c r="R801" s="236"/>
    </row>
    <row r="802">
      <c r="A802" s="236"/>
      <c r="B802" s="236"/>
      <c r="C802" s="236"/>
      <c r="D802" s="236"/>
      <c r="E802" s="236"/>
      <c r="F802" s="367"/>
      <c r="G802" s="236"/>
      <c r="H802" s="236"/>
      <c r="I802" s="236"/>
      <c r="J802" s="236"/>
      <c r="K802" s="236"/>
      <c r="L802" s="236"/>
      <c r="M802" s="236"/>
      <c r="N802" s="236"/>
      <c r="O802" s="236"/>
      <c r="P802" s="236"/>
      <c r="Q802" s="236"/>
      <c r="R802" s="236"/>
    </row>
    <row r="803">
      <c r="A803" s="236"/>
      <c r="B803" s="236"/>
      <c r="C803" s="236"/>
      <c r="D803" s="236"/>
      <c r="E803" s="236"/>
      <c r="F803" s="367"/>
      <c r="G803" s="236"/>
      <c r="H803" s="236"/>
      <c r="I803" s="236"/>
      <c r="J803" s="236"/>
      <c r="K803" s="236"/>
      <c r="L803" s="236"/>
      <c r="M803" s="236"/>
      <c r="N803" s="236"/>
      <c r="O803" s="236"/>
      <c r="P803" s="236"/>
      <c r="Q803" s="236"/>
      <c r="R803" s="236"/>
    </row>
    <row r="804">
      <c r="A804" s="236"/>
      <c r="B804" s="236"/>
      <c r="C804" s="236"/>
      <c r="D804" s="236"/>
      <c r="E804" s="236"/>
      <c r="F804" s="367"/>
      <c r="G804" s="236"/>
      <c r="H804" s="236"/>
      <c r="I804" s="236"/>
      <c r="J804" s="236"/>
      <c r="K804" s="236"/>
      <c r="L804" s="236"/>
      <c r="M804" s="236"/>
      <c r="N804" s="236"/>
      <c r="O804" s="236"/>
      <c r="P804" s="236"/>
      <c r="Q804" s="236"/>
      <c r="R804" s="236"/>
    </row>
    <row r="805">
      <c r="A805" s="236"/>
      <c r="B805" s="236"/>
      <c r="C805" s="236"/>
      <c r="D805" s="236"/>
      <c r="E805" s="236"/>
      <c r="F805" s="367"/>
      <c r="G805" s="236"/>
      <c r="H805" s="236"/>
      <c r="I805" s="236"/>
      <c r="J805" s="236"/>
      <c r="K805" s="236"/>
      <c r="L805" s="236"/>
      <c r="M805" s="236"/>
      <c r="N805" s="236"/>
      <c r="O805" s="236"/>
      <c r="P805" s="236"/>
      <c r="Q805" s="236"/>
      <c r="R805" s="236"/>
    </row>
    <row r="806">
      <c r="A806" s="236"/>
      <c r="B806" s="236"/>
      <c r="C806" s="236"/>
      <c r="D806" s="236"/>
      <c r="E806" s="236"/>
      <c r="F806" s="367"/>
      <c r="G806" s="236"/>
      <c r="H806" s="236"/>
      <c r="I806" s="236"/>
      <c r="J806" s="236"/>
      <c r="K806" s="236"/>
      <c r="L806" s="236"/>
      <c r="M806" s="236"/>
      <c r="N806" s="236"/>
      <c r="O806" s="236"/>
      <c r="P806" s="236"/>
      <c r="Q806" s="236"/>
      <c r="R806" s="236"/>
    </row>
    <row r="807">
      <c r="A807" s="236"/>
      <c r="B807" s="236"/>
      <c r="C807" s="236"/>
      <c r="D807" s="236"/>
      <c r="E807" s="236"/>
      <c r="F807" s="367"/>
      <c r="G807" s="236"/>
      <c r="H807" s="236"/>
      <c r="I807" s="236"/>
      <c r="J807" s="236"/>
      <c r="K807" s="236"/>
      <c r="L807" s="236"/>
      <c r="M807" s="236"/>
      <c r="N807" s="236"/>
      <c r="O807" s="236"/>
      <c r="P807" s="236"/>
      <c r="Q807" s="236"/>
      <c r="R807" s="236"/>
    </row>
    <row r="808">
      <c r="A808" s="236"/>
      <c r="B808" s="236"/>
      <c r="C808" s="236"/>
      <c r="D808" s="236"/>
      <c r="E808" s="236"/>
      <c r="F808" s="367"/>
      <c r="G808" s="236"/>
      <c r="H808" s="236"/>
      <c r="I808" s="236"/>
      <c r="J808" s="236"/>
      <c r="K808" s="236"/>
      <c r="L808" s="236"/>
      <c r="M808" s="236"/>
      <c r="N808" s="236"/>
      <c r="O808" s="236"/>
      <c r="P808" s="236"/>
      <c r="Q808" s="236"/>
      <c r="R808" s="236"/>
    </row>
    <row r="809">
      <c r="A809" s="236"/>
      <c r="B809" s="236"/>
      <c r="C809" s="236"/>
      <c r="D809" s="236"/>
      <c r="E809" s="236"/>
      <c r="F809" s="367"/>
      <c r="G809" s="236"/>
      <c r="H809" s="236"/>
      <c r="I809" s="236"/>
      <c r="J809" s="236"/>
      <c r="K809" s="236"/>
      <c r="L809" s="236"/>
      <c r="M809" s="236"/>
      <c r="N809" s="236"/>
      <c r="O809" s="236"/>
      <c r="P809" s="236"/>
      <c r="Q809" s="236"/>
      <c r="R809" s="236"/>
    </row>
    <row r="810">
      <c r="A810" s="236"/>
      <c r="B810" s="236"/>
      <c r="C810" s="236"/>
      <c r="D810" s="236"/>
      <c r="E810" s="236"/>
      <c r="F810" s="367"/>
      <c r="G810" s="236"/>
      <c r="H810" s="236"/>
      <c r="I810" s="236"/>
      <c r="J810" s="236"/>
      <c r="K810" s="236"/>
      <c r="L810" s="236"/>
      <c r="M810" s="236"/>
      <c r="N810" s="236"/>
      <c r="O810" s="236"/>
      <c r="P810" s="236"/>
      <c r="Q810" s="236"/>
      <c r="R810" s="236"/>
    </row>
    <row r="811">
      <c r="A811" s="236"/>
      <c r="B811" s="236"/>
      <c r="C811" s="236"/>
      <c r="D811" s="236"/>
      <c r="E811" s="236"/>
      <c r="F811" s="367"/>
      <c r="G811" s="236"/>
      <c r="H811" s="236"/>
      <c r="I811" s="236"/>
      <c r="J811" s="236"/>
      <c r="K811" s="236"/>
      <c r="L811" s="236"/>
      <c r="M811" s="236"/>
      <c r="N811" s="236"/>
      <c r="O811" s="236"/>
      <c r="P811" s="236"/>
      <c r="Q811" s="236"/>
      <c r="R811" s="236"/>
    </row>
    <row r="812">
      <c r="A812" s="236"/>
      <c r="B812" s="236"/>
      <c r="C812" s="236"/>
      <c r="D812" s="236"/>
      <c r="E812" s="236"/>
      <c r="F812" s="367"/>
      <c r="G812" s="236"/>
      <c r="H812" s="236"/>
      <c r="I812" s="236"/>
      <c r="J812" s="236"/>
      <c r="K812" s="236"/>
      <c r="L812" s="236"/>
      <c r="M812" s="236"/>
      <c r="N812" s="236"/>
      <c r="O812" s="236"/>
      <c r="P812" s="236"/>
      <c r="Q812" s="236"/>
      <c r="R812" s="236"/>
    </row>
    <row r="813">
      <c r="A813" s="236"/>
      <c r="B813" s="236"/>
      <c r="C813" s="236"/>
      <c r="D813" s="236"/>
      <c r="E813" s="236"/>
      <c r="F813" s="367"/>
      <c r="G813" s="236"/>
      <c r="H813" s="236"/>
      <c r="I813" s="236"/>
      <c r="J813" s="236"/>
      <c r="K813" s="236"/>
      <c r="L813" s="236"/>
      <c r="M813" s="236"/>
      <c r="N813" s="236"/>
      <c r="O813" s="236"/>
      <c r="P813" s="236"/>
      <c r="Q813" s="236"/>
      <c r="R813" s="236"/>
    </row>
    <row r="814">
      <c r="A814" s="236"/>
      <c r="B814" s="236"/>
      <c r="C814" s="236"/>
      <c r="D814" s="236"/>
      <c r="E814" s="236"/>
      <c r="F814" s="367"/>
      <c r="G814" s="236"/>
      <c r="H814" s="236"/>
      <c r="I814" s="236"/>
      <c r="J814" s="236"/>
      <c r="K814" s="236"/>
      <c r="L814" s="236"/>
      <c r="M814" s="236"/>
      <c r="N814" s="236"/>
      <c r="O814" s="236"/>
      <c r="P814" s="236"/>
      <c r="Q814" s="236"/>
      <c r="R814" s="236"/>
    </row>
    <row r="815">
      <c r="A815" s="236"/>
      <c r="B815" s="236"/>
      <c r="C815" s="236"/>
      <c r="D815" s="236"/>
      <c r="E815" s="236"/>
      <c r="F815" s="367"/>
      <c r="G815" s="236"/>
      <c r="H815" s="236"/>
      <c r="I815" s="236"/>
      <c r="J815" s="236"/>
      <c r="K815" s="236"/>
      <c r="L815" s="236"/>
      <c r="M815" s="236"/>
      <c r="N815" s="236"/>
      <c r="O815" s="236"/>
      <c r="P815" s="236"/>
      <c r="Q815" s="236"/>
      <c r="R815" s="236"/>
    </row>
    <row r="816">
      <c r="A816" s="236"/>
      <c r="B816" s="236"/>
      <c r="C816" s="236"/>
      <c r="D816" s="236"/>
      <c r="E816" s="236"/>
      <c r="F816" s="367"/>
      <c r="G816" s="236"/>
      <c r="H816" s="236"/>
      <c r="I816" s="236"/>
      <c r="J816" s="236"/>
      <c r="K816" s="236"/>
      <c r="L816" s="236"/>
      <c r="M816" s="236"/>
      <c r="N816" s="236"/>
      <c r="O816" s="236"/>
      <c r="P816" s="236"/>
      <c r="Q816" s="236"/>
      <c r="R816" s="236"/>
    </row>
    <row r="817">
      <c r="A817" s="236"/>
      <c r="B817" s="236"/>
      <c r="C817" s="236"/>
      <c r="D817" s="236"/>
      <c r="E817" s="236"/>
      <c r="F817" s="367"/>
      <c r="G817" s="236"/>
      <c r="H817" s="236"/>
      <c r="I817" s="236"/>
      <c r="J817" s="236"/>
      <c r="K817" s="236"/>
      <c r="L817" s="236"/>
      <c r="M817" s="236"/>
      <c r="N817" s="236"/>
      <c r="O817" s="236"/>
      <c r="P817" s="236"/>
      <c r="Q817" s="236"/>
      <c r="R817" s="236"/>
    </row>
    <row r="818">
      <c r="A818" s="236"/>
      <c r="B818" s="236"/>
      <c r="C818" s="236"/>
      <c r="D818" s="236"/>
      <c r="E818" s="236"/>
      <c r="F818" s="367"/>
      <c r="G818" s="236"/>
      <c r="H818" s="236"/>
      <c r="I818" s="236"/>
      <c r="J818" s="236"/>
      <c r="K818" s="236"/>
      <c r="L818" s="236"/>
      <c r="M818" s="236"/>
      <c r="N818" s="236"/>
      <c r="O818" s="236"/>
      <c r="P818" s="236"/>
      <c r="Q818" s="236"/>
      <c r="R818" s="236"/>
    </row>
    <row r="819">
      <c r="A819" s="236"/>
      <c r="B819" s="236"/>
      <c r="C819" s="236"/>
      <c r="D819" s="236"/>
      <c r="E819" s="236"/>
      <c r="F819" s="367"/>
      <c r="G819" s="236"/>
      <c r="H819" s="236"/>
      <c r="I819" s="236"/>
      <c r="J819" s="236"/>
      <c r="K819" s="236"/>
      <c r="L819" s="236"/>
      <c r="M819" s="236"/>
      <c r="N819" s="236"/>
      <c r="O819" s="236"/>
      <c r="P819" s="236"/>
      <c r="Q819" s="236"/>
      <c r="R819" s="236"/>
    </row>
    <row r="820">
      <c r="A820" s="236"/>
      <c r="B820" s="236"/>
      <c r="C820" s="236"/>
      <c r="D820" s="236"/>
      <c r="E820" s="236"/>
      <c r="F820" s="367"/>
      <c r="G820" s="236"/>
      <c r="H820" s="236"/>
      <c r="I820" s="236"/>
      <c r="J820" s="236"/>
      <c r="K820" s="236"/>
      <c r="L820" s="236"/>
      <c r="M820" s="236"/>
      <c r="N820" s="236"/>
      <c r="O820" s="236"/>
      <c r="P820" s="236"/>
      <c r="Q820" s="236"/>
      <c r="R820" s="236"/>
    </row>
    <row r="821">
      <c r="A821" s="236"/>
      <c r="B821" s="236"/>
      <c r="C821" s="236"/>
      <c r="D821" s="236"/>
      <c r="E821" s="236"/>
      <c r="F821" s="367"/>
      <c r="G821" s="236"/>
      <c r="H821" s="236"/>
      <c r="I821" s="236"/>
      <c r="J821" s="236"/>
      <c r="K821" s="236"/>
      <c r="L821" s="236"/>
      <c r="M821" s="236"/>
      <c r="N821" s="236"/>
      <c r="O821" s="236"/>
      <c r="P821" s="236"/>
      <c r="Q821" s="236"/>
      <c r="R821" s="236"/>
    </row>
    <row r="822">
      <c r="A822" s="236"/>
      <c r="B822" s="236"/>
      <c r="C822" s="236"/>
      <c r="D822" s="236"/>
      <c r="E822" s="236"/>
      <c r="F822" s="367"/>
      <c r="G822" s="236"/>
      <c r="H822" s="236"/>
      <c r="I822" s="236"/>
      <c r="J822" s="236"/>
      <c r="K822" s="236"/>
      <c r="L822" s="236"/>
      <c r="M822" s="236"/>
      <c r="N822" s="236"/>
      <c r="O822" s="236"/>
      <c r="P822" s="236"/>
      <c r="Q822" s="236"/>
      <c r="R822" s="236"/>
    </row>
    <row r="823">
      <c r="A823" s="236"/>
      <c r="B823" s="236"/>
      <c r="C823" s="236"/>
      <c r="D823" s="236"/>
      <c r="E823" s="236"/>
      <c r="F823" s="367"/>
      <c r="G823" s="236"/>
      <c r="H823" s="236"/>
      <c r="I823" s="236"/>
      <c r="J823" s="236"/>
      <c r="K823" s="236"/>
      <c r="L823" s="236"/>
      <c r="M823" s="236"/>
      <c r="N823" s="236"/>
      <c r="O823" s="236"/>
      <c r="P823" s="236"/>
      <c r="Q823" s="236"/>
      <c r="R823" s="236"/>
    </row>
    <row r="824">
      <c r="A824" s="236"/>
      <c r="B824" s="236"/>
      <c r="C824" s="236"/>
      <c r="D824" s="236"/>
      <c r="E824" s="236"/>
      <c r="F824" s="367"/>
      <c r="G824" s="236"/>
      <c r="H824" s="236"/>
      <c r="I824" s="236"/>
      <c r="J824" s="236"/>
      <c r="K824" s="236"/>
      <c r="L824" s="236"/>
      <c r="M824" s="236"/>
      <c r="N824" s="236"/>
      <c r="O824" s="236"/>
      <c r="P824" s="236"/>
      <c r="Q824" s="236"/>
      <c r="R824" s="236"/>
    </row>
    <row r="825">
      <c r="A825" s="236"/>
      <c r="B825" s="236"/>
      <c r="C825" s="236"/>
      <c r="D825" s="236"/>
      <c r="E825" s="236"/>
      <c r="F825" s="367"/>
      <c r="G825" s="236"/>
      <c r="H825" s="236"/>
      <c r="I825" s="236"/>
      <c r="J825" s="236"/>
      <c r="K825" s="236"/>
      <c r="L825" s="236"/>
      <c r="M825" s="236"/>
      <c r="N825" s="236"/>
      <c r="O825" s="236"/>
      <c r="P825" s="236"/>
      <c r="Q825" s="236"/>
      <c r="R825" s="236"/>
    </row>
    <row r="826">
      <c r="A826" s="236"/>
      <c r="B826" s="236"/>
      <c r="C826" s="236"/>
      <c r="D826" s="236"/>
      <c r="E826" s="236"/>
      <c r="F826" s="367"/>
      <c r="G826" s="236"/>
      <c r="H826" s="236"/>
      <c r="I826" s="236"/>
      <c r="J826" s="236"/>
      <c r="K826" s="236"/>
      <c r="L826" s="236"/>
      <c r="M826" s="236"/>
      <c r="N826" s="236"/>
      <c r="O826" s="236"/>
      <c r="P826" s="236"/>
      <c r="Q826" s="236"/>
      <c r="R826" s="236"/>
    </row>
    <row r="827">
      <c r="A827" s="236"/>
      <c r="B827" s="236"/>
      <c r="C827" s="236"/>
      <c r="D827" s="236"/>
      <c r="E827" s="236"/>
      <c r="F827" s="367"/>
      <c r="G827" s="236"/>
      <c r="H827" s="236"/>
      <c r="I827" s="236"/>
      <c r="J827" s="236"/>
      <c r="K827" s="236"/>
      <c r="L827" s="236"/>
      <c r="M827" s="236"/>
      <c r="N827" s="236"/>
      <c r="O827" s="236"/>
      <c r="P827" s="236"/>
      <c r="Q827" s="236"/>
      <c r="R827" s="236"/>
    </row>
    <row r="828">
      <c r="A828" s="236"/>
      <c r="B828" s="236"/>
      <c r="C828" s="236"/>
      <c r="D828" s="236"/>
      <c r="E828" s="236"/>
      <c r="F828" s="367"/>
      <c r="G828" s="236"/>
      <c r="H828" s="236"/>
      <c r="I828" s="236"/>
      <c r="J828" s="236"/>
      <c r="K828" s="236"/>
      <c r="L828" s="236"/>
      <c r="M828" s="236"/>
      <c r="N828" s="236"/>
      <c r="O828" s="236"/>
      <c r="P828" s="236"/>
      <c r="Q828" s="236"/>
      <c r="R828" s="236"/>
    </row>
    <row r="829">
      <c r="A829" s="236"/>
      <c r="B829" s="236"/>
      <c r="C829" s="236"/>
      <c r="D829" s="236"/>
      <c r="E829" s="236"/>
      <c r="F829" s="367"/>
      <c r="G829" s="236"/>
      <c r="H829" s="236"/>
      <c r="I829" s="236"/>
      <c r="J829" s="236"/>
      <c r="K829" s="236"/>
      <c r="L829" s="236"/>
      <c r="M829" s="236"/>
      <c r="N829" s="236"/>
      <c r="O829" s="236"/>
      <c r="P829" s="236"/>
      <c r="Q829" s="236"/>
      <c r="R829" s="236"/>
    </row>
    <row r="830">
      <c r="A830" s="236"/>
      <c r="B830" s="236"/>
      <c r="C830" s="236"/>
      <c r="D830" s="236"/>
      <c r="E830" s="236"/>
      <c r="F830" s="367"/>
      <c r="G830" s="236"/>
      <c r="H830" s="236"/>
      <c r="I830" s="236"/>
      <c r="J830" s="236"/>
      <c r="K830" s="236"/>
      <c r="L830" s="236"/>
      <c r="M830" s="236"/>
      <c r="N830" s="236"/>
      <c r="O830" s="236"/>
      <c r="P830" s="236"/>
      <c r="Q830" s="236"/>
      <c r="R830" s="236"/>
    </row>
    <row r="831">
      <c r="A831" s="236"/>
      <c r="B831" s="236"/>
      <c r="C831" s="236"/>
      <c r="D831" s="236"/>
      <c r="E831" s="236"/>
      <c r="F831" s="367"/>
      <c r="G831" s="236"/>
      <c r="H831" s="236"/>
      <c r="I831" s="236"/>
      <c r="J831" s="236"/>
      <c r="K831" s="236"/>
      <c r="L831" s="236"/>
      <c r="M831" s="236"/>
      <c r="N831" s="236"/>
      <c r="O831" s="236"/>
      <c r="P831" s="236"/>
      <c r="Q831" s="236"/>
      <c r="R831" s="236"/>
    </row>
    <row r="832">
      <c r="A832" s="236"/>
      <c r="B832" s="236"/>
      <c r="C832" s="236"/>
      <c r="D832" s="236"/>
      <c r="E832" s="236"/>
      <c r="F832" s="367"/>
      <c r="G832" s="236"/>
      <c r="H832" s="236"/>
      <c r="I832" s="236"/>
      <c r="J832" s="236"/>
      <c r="K832" s="236"/>
      <c r="L832" s="236"/>
      <c r="M832" s="236"/>
      <c r="N832" s="236"/>
      <c r="O832" s="236"/>
      <c r="P832" s="236"/>
      <c r="Q832" s="236"/>
      <c r="R832" s="236"/>
    </row>
    <row r="833">
      <c r="A833" s="236"/>
      <c r="B833" s="236"/>
      <c r="C833" s="236"/>
      <c r="D833" s="236"/>
      <c r="E833" s="236"/>
      <c r="F833" s="367"/>
      <c r="G833" s="236"/>
      <c r="H833" s="236"/>
      <c r="I833" s="236"/>
      <c r="J833" s="236"/>
      <c r="K833" s="236"/>
      <c r="L833" s="236"/>
      <c r="M833" s="236"/>
      <c r="N833" s="236"/>
      <c r="O833" s="236"/>
      <c r="P833" s="236"/>
      <c r="Q833" s="236"/>
      <c r="R833" s="236"/>
    </row>
    <row r="834">
      <c r="A834" s="236"/>
      <c r="B834" s="236"/>
      <c r="C834" s="236"/>
      <c r="D834" s="236"/>
      <c r="E834" s="236"/>
      <c r="F834" s="367"/>
      <c r="G834" s="236"/>
      <c r="H834" s="236"/>
      <c r="I834" s="236"/>
      <c r="J834" s="236"/>
      <c r="K834" s="236"/>
      <c r="L834" s="236"/>
      <c r="M834" s="236"/>
      <c r="N834" s="236"/>
      <c r="O834" s="236"/>
      <c r="P834" s="236"/>
      <c r="Q834" s="236"/>
      <c r="R834" s="236"/>
    </row>
    <row r="835">
      <c r="A835" s="236"/>
      <c r="B835" s="236"/>
      <c r="C835" s="236"/>
      <c r="D835" s="236"/>
      <c r="E835" s="236"/>
      <c r="F835" s="367"/>
      <c r="G835" s="236"/>
      <c r="H835" s="236"/>
      <c r="I835" s="236"/>
      <c r="J835" s="236"/>
      <c r="K835" s="236"/>
      <c r="L835" s="236"/>
      <c r="M835" s="236"/>
      <c r="N835" s="236"/>
      <c r="O835" s="236"/>
      <c r="P835" s="236"/>
      <c r="Q835" s="236"/>
      <c r="R835" s="236"/>
    </row>
    <row r="836">
      <c r="A836" s="236"/>
      <c r="B836" s="236"/>
      <c r="C836" s="236"/>
      <c r="D836" s="236"/>
      <c r="E836" s="236"/>
      <c r="F836" s="367"/>
      <c r="G836" s="236"/>
      <c r="H836" s="236"/>
      <c r="I836" s="236"/>
      <c r="J836" s="236"/>
      <c r="K836" s="236"/>
      <c r="L836" s="236"/>
      <c r="M836" s="236"/>
      <c r="N836" s="236"/>
      <c r="O836" s="236"/>
      <c r="P836" s="236"/>
      <c r="Q836" s="236"/>
      <c r="R836" s="236"/>
    </row>
    <row r="837">
      <c r="A837" s="236"/>
      <c r="B837" s="236"/>
      <c r="C837" s="236"/>
      <c r="D837" s="236"/>
      <c r="E837" s="236"/>
      <c r="F837" s="367"/>
      <c r="G837" s="236"/>
      <c r="H837" s="236"/>
      <c r="I837" s="236"/>
      <c r="J837" s="236"/>
      <c r="K837" s="236"/>
      <c r="L837" s="236"/>
      <c r="M837" s="236"/>
      <c r="N837" s="236"/>
      <c r="O837" s="236"/>
      <c r="P837" s="236"/>
      <c r="Q837" s="236"/>
      <c r="R837" s="236"/>
    </row>
    <row r="838">
      <c r="A838" s="236"/>
      <c r="B838" s="236"/>
      <c r="C838" s="236"/>
      <c r="D838" s="236"/>
      <c r="E838" s="236"/>
      <c r="F838" s="367"/>
      <c r="G838" s="236"/>
      <c r="H838" s="236"/>
      <c r="I838" s="236"/>
      <c r="J838" s="236"/>
      <c r="K838" s="236"/>
      <c r="L838" s="236"/>
      <c r="M838" s="236"/>
      <c r="N838" s="236"/>
      <c r="O838" s="236"/>
      <c r="P838" s="236"/>
      <c r="Q838" s="236"/>
      <c r="R838" s="236"/>
    </row>
    <row r="839">
      <c r="A839" s="236"/>
      <c r="B839" s="236"/>
      <c r="C839" s="236"/>
      <c r="D839" s="236"/>
      <c r="E839" s="236"/>
      <c r="F839" s="367"/>
      <c r="G839" s="236"/>
      <c r="H839" s="236"/>
      <c r="I839" s="236"/>
      <c r="J839" s="236"/>
      <c r="K839" s="236"/>
      <c r="L839" s="236"/>
      <c r="M839" s="236"/>
      <c r="N839" s="236"/>
      <c r="O839" s="236"/>
      <c r="P839" s="236"/>
      <c r="Q839" s="236"/>
      <c r="R839" s="236"/>
    </row>
    <row r="840">
      <c r="A840" s="236"/>
      <c r="B840" s="236"/>
      <c r="C840" s="236"/>
      <c r="D840" s="236"/>
      <c r="E840" s="236"/>
      <c r="F840" s="367"/>
      <c r="G840" s="236"/>
      <c r="H840" s="236"/>
      <c r="I840" s="236"/>
      <c r="J840" s="236"/>
      <c r="K840" s="236"/>
      <c r="L840" s="236"/>
      <c r="M840" s="236"/>
      <c r="N840" s="236"/>
      <c r="O840" s="236"/>
      <c r="P840" s="236"/>
      <c r="Q840" s="236"/>
      <c r="R840" s="236"/>
    </row>
    <row r="841">
      <c r="A841" s="236"/>
      <c r="B841" s="236"/>
      <c r="C841" s="236"/>
      <c r="D841" s="236"/>
      <c r="E841" s="236"/>
      <c r="F841" s="367"/>
      <c r="G841" s="236"/>
      <c r="H841" s="236"/>
      <c r="I841" s="236"/>
      <c r="J841" s="236"/>
      <c r="K841" s="236"/>
      <c r="L841" s="236"/>
      <c r="M841" s="236"/>
      <c r="N841" s="236"/>
      <c r="O841" s="236"/>
      <c r="P841" s="236"/>
      <c r="Q841" s="236"/>
      <c r="R841" s="236"/>
    </row>
    <row r="842">
      <c r="A842" s="236"/>
      <c r="B842" s="236"/>
      <c r="C842" s="236"/>
      <c r="D842" s="236"/>
      <c r="E842" s="236"/>
      <c r="F842" s="367"/>
      <c r="G842" s="236"/>
      <c r="H842" s="236"/>
      <c r="I842" s="236"/>
      <c r="J842" s="236"/>
      <c r="K842" s="236"/>
      <c r="L842" s="236"/>
      <c r="M842" s="236"/>
      <c r="N842" s="236"/>
      <c r="O842" s="236"/>
      <c r="P842" s="236"/>
      <c r="Q842" s="236"/>
      <c r="R842" s="236"/>
    </row>
    <row r="843">
      <c r="A843" s="236"/>
      <c r="B843" s="236"/>
      <c r="C843" s="236"/>
      <c r="D843" s="236"/>
      <c r="E843" s="236"/>
      <c r="F843" s="367"/>
      <c r="G843" s="236"/>
      <c r="H843" s="236"/>
      <c r="I843" s="236"/>
      <c r="J843" s="236"/>
      <c r="K843" s="236"/>
      <c r="L843" s="236"/>
      <c r="M843" s="236"/>
      <c r="N843" s="236"/>
      <c r="O843" s="236"/>
      <c r="P843" s="236"/>
      <c r="Q843" s="236"/>
      <c r="R843" s="236"/>
    </row>
    <row r="844">
      <c r="A844" s="236"/>
      <c r="B844" s="236"/>
      <c r="C844" s="236"/>
      <c r="D844" s="236"/>
      <c r="E844" s="236"/>
      <c r="F844" s="367"/>
      <c r="G844" s="236"/>
      <c r="H844" s="236"/>
      <c r="I844" s="236"/>
      <c r="J844" s="236"/>
      <c r="K844" s="236"/>
      <c r="L844" s="236"/>
      <c r="M844" s="236"/>
      <c r="N844" s="236"/>
      <c r="O844" s="236"/>
      <c r="P844" s="236"/>
      <c r="Q844" s="236"/>
      <c r="R844" s="236"/>
    </row>
    <row r="845">
      <c r="A845" s="236"/>
      <c r="B845" s="236"/>
      <c r="C845" s="236"/>
      <c r="D845" s="236"/>
      <c r="E845" s="236"/>
      <c r="F845" s="367"/>
      <c r="G845" s="236"/>
      <c r="H845" s="236"/>
      <c r="I845" s="236"/>
      <c r="J845" s="236"/>
      <c r="K845" s="236"/>
      <c r="L845" s="236"/>
      <c r="M845" s="236"/>
      <c r="N845" s="236"/>
      <c r="O845" s="236"/>
      <c r="P845" s="236"/>
      <c r="Q845" s="236"/>
      <c r="R845" s="236"/>
    </row>
    <row r="846">
      <c r="A846" s="236"/>
      <c r="B846" s="236"/>
      <c r="C846" s="236"/>
      <c r="D846" s="236"/>
      <c r="E846" s="236"/>
      <c r="F846" s="367"/>
      <c r="G846" s="236"/>
      <c r="H846" s="236"/>
      <c r="I846" s="236"/>
      <c r="J846" s="236"/>
      <c r="K846" s="236"/>
      <c r="L846" s="236"/>
      <c r="M846" s="236"/>
      <c r="N846" s="236"/>
      <c r="O846" s="236"/>
      <c r="P846" s="236"/>
      <c r="Q846" s="236"/>
      <c r="R846" s="236"/>
    </row>
    <row r="847">
      <c r="A847" s="236"/>
      <c r="B847" s="236"/>
      <c r="C847" s="236"/>
      <c r="D847" s="236"/>
      <c r="E847" s="236"/>
      <c r="F847" s="367"/>
      <c r="G847" s="236"/>
      <c r="H847" s="236"/>
      <c r="I847" s="236"/>
      <c r="J847" s="236"/>
      <c r="K847" s="236"/>
      <c r="L847" s="236"/>
      <c r="M847" s="236"/>
      <c r="N847" s="236"/>
      <c r="O847" s="236"/>
      <c r="P847" s="236"/>
      <c r="Q847" s="236"/>
      <c r="R847" s="236"/>
    </row>
    <row r="848">
      <c r="A848" s="236"/>
      <c r="B848" s="236"/>
      <c r="C848" s="236"/>
      <c r="D848" s="236"/>
      <c r="E848" s="236"/>
      <c r="F848" s="367"/>
      <c r="G848" s="236"/>
      <c r="H848" s="236"/>
      <c r="I848" s="236"/>
      <c r="J848" s="236"/>
      <c r="K848" s="236"/>
      <c r="L848" s="236"/>
      <c r="M848" s="236"/>
      <c r="N848" s="236"/>
      <c r="O848" s="236"/>
      <c r="P848" s="236"/>
      <c r="Q848" s="236"/>
      <c r="R848" s="236"/>
    </row>
    <row r="849">
      <c r="A849" s="236"/>
      <c r="B849" s="236"/>
      <c r="C849" s="236"/>
      <c r="D849" s="236"/>
      <c r="E849" s="236"/>
      <c r="F849" s="367"/>
      <c r="G849" s="236"/>
      <c r="H849" s="236"/>
      <c r="I849" s="236"/>
      <c r="J849" s="236"/>
      <c r="K849" s="236"/>
      <c r="L849" s="236"/>
      <c r="M849" s="236"/>
      <c r="N849" s="236"/>
      <c r="O849" s="236"/>
      <c r="P849" s="236"/>
      <c r="Q849" s="236"/>
      <c r="R849" s="236"/>
    </row>
    <row r="850">
      <c r="A850" s="236"/>
      <c r="B850" s="236"/>
      <c r="C850" s="236"/>
      <c r="D850" s="236"/>
      <c r="E850" s="236"/>
      <c r="F850" s="367"/>
      <c r="G850" s="236"/>
      <c r="H850" s="236"/>
      <c r="I850" s="236"/>
      <c r="J850" s="236"/>
      <c r="K850" s="236"/>
      <c r="L850" s="236"/>
      <c r="M850" s="236"/>
      <c r="N850" s="236"/>
      <c r="O850" s="236"/>
      <c r="P850" s="236"/>
      <c r="Q850" s="236"/>
      <c r="R850" s="236"/>
    </row>
    <row r="851">
      <c r="A851" s="236"/>
      <c r="B851" s="236"/>
      <c r="C851" s="236"/>
      <c r="D851" s="236"/>
      <c r="E851" s="236"/>
      <c r="F851" s="367"/>
      <c r="G851" s="236"/>
      <c r="H851" s="236"/>
      <c r="I851" s="236"/>
      <c r="J851" s="236"/>
      <c r="K851" s="236"/>
      <c r="L851" s="236"/>
      <c r="M851" s="236"/>
      <c r="N851" s="236"/>
      <c r="O851" s="236"/>
      <c r="P851" s="236"/>
      <c r="Q851" s="236"/>
      <c r="R851" s="236"/>
    </row>
    <row r="852">
      <c r="A852" s="236"/>
      <c r="B852" s="236"/>
      <c r="C852" s="236"/>
      <c r="D852" s="236"/>
      <c r="E852" s="236"/>
      <c r="F852" s="367"/>
      <c r="G852" s="236"/>
      <c r="H852" s="236"/>
      <c r="I852" s="236"/>
      <c r="J852" s="236"/>
      <c r="K852" s="236"/>
      <c r="L852" s="236"/>
      <c r="M852" s="236"/>
      <c r="N852" s="236"/>
      <c r="O852" s="236"/>
      <c r="P852" s="236"/>
      <c r="Q852" s="236"/>
      <c r="R852" s="236"/>
    </row>
    <row r="853">
      <c r="A853" s="236"/>
      <c r="B853" s="236"/>
      <c r="C853" s="236"/>
      <c r="D853" s="236"/>
      <c r="E853" s="236"/>
      <c r="F853" s="367"/>
      <c r="G853" s="236"/>
      <c r="H853" s="236"/>
      <c r="I853" s="236"/>
      <c r="J853" s="236"/>
      <c r="K853" s="236"/>
      <c r="L853" s="236"/>
      <c r="M853" s="236"/>
      <c r="N853" s="236"/>
      <c r="O853" s="236"/>
      <c r="P853" s="236"/>
      <c r="Q853" s="236"/>
      <c r="R853" s="236"/>
    </row>
    <row r="854">
      <c r="A854" s="236"/>
      <c r="B854" s="236"/>
      <c r="C854" s="236"/>
      <c r="D854" s="236"/>
      <c r="E854" s="236"/>
      <c r="F854" s="367"/>
      <c r="G854" s="236"/>
      <c r="H854" s="236"/>
      <c r="I854" s="236"/>
      <c r="J854" s="236"/>
      <c r="K854" s="236"/>
      <c r="L854" s="236"/>
      <c r="M854" s="236"/>
      <c r="N854" s="236"/>
      <c r="O854" s="236"/>
      <c r="P854" s="236"/>
      <c r="Q854" s="236"/>
      <c r="R854" s="236"/>
    </row>
    <row r="855">
      <c r="A855" s="236"/>
      <c r="B855" s="236"/>
      <c r="C855" s="236"/>
      <c r="D855" s="236"/>
      <c r="E855" s="236"/>
      <c r="F855" s="367"/>
      <c r="G855" s="236"/>
      <c r="H855" s="236"/>
      <c r="I855" s="236"/>
      <c r="J855" s="236"/>
      <c r="K855" s="236"/>
      <c r="L855" s="236"/>
      <c r="M855" s="236"/>
      <c r="N855" s="236"/>
      <c r="O855" s="236"/>
      <c r="P855" s="236"/>
      <c r="Q855" s="236"/>
      <c r="R855" s="236"/>
    </row>
    <row r="856">
      <c r="A856" s="236"/>
      <c r="B856" s="236"/>
      <c r="C856" s="236"/>
      <c r="D856" s="236"/>
      <c r="E856" s="236"/>
      <c r="F856" s="367"/>
      <c r="G856" s="236"/>
      <c r="H856" s="236"/>
      <c r="I856" s="236"/>
      <c r="J856" s="236"/>
      <c r="K856" s="236"/>
      <c r="L856" s="236"/>
      <c r="M856" s="236"/>
      <c r="N856" s="236"/>
      <c r="O856" s="236"/>
      <c r="P856" s="236"/>
      <c r="Q856" s="236"/>
      <c r="R856" s="236"/>
    </row>
    <row r="857">
      <c r="A857" s="236"/>
      <c r="B857" s="236"/>
      <c r="C857" s="236"/>
      <c r="D857" s="236"/>
      <c r="E857" s="236"/>
      <c r="F857" s="367"/>
      <c r="G857" s="236"/>
      <c r="H857" s="236"/>
      <c r="I857" s="236"/>
      <c r="J857" s="236"/>
      <c r="K857" s="236"/>
      <c r="L857" s="236"/>
      <c r="M857" s="236"/>
      <c r="N857" s="236"/>
      <c r="O857" s="236"/>
      <c r="P857" s="236"/>
      <c r="Q857" s="236"/>
      <c r="R857" s="236"/>
    </row>
    <row r="858">
      <c r="A858" s="236"/>
      <c r="B858" s="236"/>
      <c r="C858" s="236"/>
      <c r="D858" s="236"/>
      <c r="E858" s="236"/>
      <c r="F858" s="367"/>
      <c r="G858" s="236"/>
      <c r="H858" s="236"/>
      <c r="I858" s="236"/>
      <c r="J858" s="236"/>
      <c r="K858" s="236"/>
      <c r="L858" s="236"/>
      <c r="M858" s="236"/>
      <c r="N858" s="236"/>
      <c r="O858" s="236"/>
      <c r="P858" s="236"/>
      <c r="Q858" s="236"/>
      <c r="R858" s="236"/>
    </row>
    <row r="859">
      <c r="A859" s="236"/>
      <c r="B859" s="236"/>
      <c r="C859" s="236"/>
      <c r="D859" s="236"/>
      <c r="E859" s="236"/>
      <c r="F859" s="367"/>
      <c r="G859" s="236"/>
      <c r="H859" s="236"/>
      <c r="I859" s="236"/>
      <c r="J859" s="236"/>
      <c r="K859" s="236"/>
      <c r="L859" s="236"/>
      <c r="M859" s="236"/>
      <c r="N859" s="236"/>
      <c r="O859" s="236"/>
      <c r="P859" s="236"/>
      <c r="Q859" s="236"/>
      <c r="R859" s="236"/>
    </row>
    <row r="860">
      <c r="A860" s="236"/>
      <c r="B860" s="236"/>
      <c r="C860" s="236"/>
      <c r="D860" s="236"/>
      <c r="E860" s="236"/>
      <c r="F860" s="367"/>
      <c r="G860" s="236"/>
      <c r="H860" s="236"/>
      <c r="I860" s="236"/>
      <c r="J860" s="236"/>
      <c r="K860" s="236"/>
      <c r="L860" s="236"/>
      <c r="M860" s="236"/>
      <c r="N860" s="236"/>
      <c r="O860" s="236"/>
      <c r="P860" s="236"/>
      <c r="Q860" s="236"/>
      <c r="R860" s="236"/>
    </row>
    <row r="861">
      <c r="A861" s="236"/>
      <c r="B861" s="236"/>
      <c r="C861" s="236"/>
      <c r="D861" s="236"/>
      <c r="E861" s="236"/>
      <c r="F861" s="367"/>
      <c r="G861" s="236"/>
      <c r="H861" s="236"/>
      <c r="I861" s="236"/>
      <c r="J861" s="236"/>
      <c r="K861" s="236"/>
      <c r="L861" s="236"/>
      <c r="M861" s="236"/>
      <c r="N861" s="236"/>
      <c r="O861" s="236"/>
      <c r="P861" s="236"/>
      <c r="Q861" s="236"/>
      <c r="R861" s="236"/>
    </row>
    <row r="862">
      <c r="A862" s="236"/>
      <c r="B862" s="236"/>
      <c r="C862" s="236"/>
      <c r="D862" s="236"/>
      <c r="E862" s="236"/>
      <c r="F862" s="367"/>
      <c r="G862" s="236"/>
      <c r="H862" s="236"/>
      <c r="I862" s="236"/>
      <c r="J862" s="236"/>
      <c r="K862" s="236"/>
      <c r="L862" s="236"/>
      <c r="M862" s="236"/>
      <c r="N862" s="236"/>
      <c r="O862" s="236"/>
      <c r="P862" s="236"/>
      <c r="Q862" s="236"/>
      <c r="R862" s="236"/>
    </row>
    <row r="863">
      <c r="A863" s="236"/>
      <c r="B863" s="236"/>
      <c r="C863" s="236"/>
      <c r="D863" s="236"/>
      <c r="E863" s="236"/>
      <c r="F863" s="367"/>
      <c r="G863" s="236"/>
      <c r="H863" s="236"/>
      <c r="I863" s="236"/>
      <c r="J863" s="236"/>
      <c r="K863" s="236"/>
      <c r="L863" s="236"/>
      <c r="M863" s="236"/>
      <c r="N863" s="236"/>
      <c r="O863" s="236"/>
      <c r="P863" s="236"/>
      <c r="Q863" s="236"/>
      <c r="R863" s="236"/>
    </row>
    <row r="864">
      <c r="A864" s="236"/>
      <c r="B864" s="236"/>
      <c r="C864" s="236"/>
      <c r="D864" s="236"/>
      <c r="E864" s="236"/>
      <c r="F864" s="367"/>
      <c r="G864" s="236"/>
      <c r="H864" s="236"/>
      <c r="I864" s="236"/>
      <c r="J864" s="236"/>
      <c r="K864" s="236"/>
      <c r="L864" s="236"/>
      <c r="M864" s="236"/>
      <c r="N864" s="236"/>
      <c r="O864" s="236"/>
      <c r="P864" s="236"/>
      <c r="Q864" s="236"/>
      <c r="R864" s="236"/>
    </row>
    <row r="865">
      <c r="A865" s="236"/>
      <c r="B865" s="236"/>
      <c r="C865" s="236"/>
      <c r="D865" s="236"/>
      <c r="E865" s="236"/>
      <c r="F865" s="367"/>
      <c r="G865" s="236"/>
      <c r="H865" s="236"/>
      <c r="I865" s="236"/>
      <c r="J865" s="236"/>
      <c r="K865" s="236"/>
      <c r="L865" s="236"/>
      <c r="M865" s="236"/>
      <c r="N865" s="236"/>
      <c r="O865" s="236"/>
      <c r="P865" s="236"/>
      <c r="Q865" s="236"/>
      <c r="R865" s="236"/>
    </row>
    <row r="866">
      <c r="A866" s="236"/>
      <c r="B866" s="236"/>
      <c r="C866" s="236"/>
      <c r="D866" s="236"/>
      <c r="E866" s="236"/>
      <c r="F866" s="367"/>
      <c r="G866" s="236"/>
      <c r="H866" s="236"/>
      <c r="I866" s="236"/>
      <c r="J866" s="236"/>
      <c r="K866" s="236"/>
      <c r="L866" s="236"/>
      <c r="M866" s="236"/>
      <c r="N866" s="236"/>
      <c r="O866" s="236"/>
      <c r="P866" s="236"/>
      <c r="Q866" s="236"/>
      <c r="R866" s="236"/>
    </row>
    <row r="867">
      <c r="A867" s="236"/>
      <c r="B867" s="236"/>
      <c r="C867" s="236"/>
      <c r="D867" s="236"/>
      <c r="E867" s="236"/>
      <c r="F867" s="367"/>
      <c r="G867" s="236"/>
      <c r="H867" s="236"/>
      <c r="I867" s="236"/>
      <c r="J867" s="236"/>
      <c r="K867" s="236"/>
      <c r="L867" s="236"/>
      <c r="M867" s="236"/>
      <c r="N867" s="236"/>
      <c r="O867" s="236"/>
      <c r="P867" s="236"/>
      <c r="Q867" s="236"/>
      <c r="R867" s="236"/>
    </row>
    <row r="868">
      <c r="A868" s="236"/>
      <c r="B868" s="236"/>
      <c r="C868" s="236"/>
      <c r="D868" s="236"/>
      <c r="E868" s="236"/>
      <c r="F868" s="367"/>
      <c r="G868" s="236"/>
      <c r="H868" s="236"/>
      <c r="I868" s="236"/>
      <c r="J868" s="236"/>
      <c r="K868" s="236"/>
      <c r="L868" s="236"/>
      <c r="M868" s="236"/>
      <c r="N868" s="236"/>
      <c r="O868" s="236"/>
      <c r="P868" s="236"/>
      <c r="Q868" s="236"/>
      <c r="R868" s="236"/>
    </row>
    <row r="869">
      <c r="A869" s="236"/>
      <c r="B869" s="236"/>
      <c r="C869" s="236"/>
      <c r="D869" s="236"/>
      <c r="E869" s="236"/>
      <c r="F869" s="367"/>
      <c r="G869" s="236"/>
      <c r="H869" s="236"/>
      <c r="I869" s="236"/>
      <c r="J869" s="236"/>
      <c r="K869" s="236"/>
      <c r="L869" s="236"/>
      <c r="M869" s="236"/>
      <c r="N869" s="236"/>
      <c r="O869" s="236"/>
      <c r="P869" s="236"/>
      <c r="Q869" s="236"/>
      <c r="R869" s="236"/>
    </row>
    <row r="870">
      <c r="A870" s="236"/>
      <c r="B870" s="236"/>
      <c r="C870" s="236"/>
      <c r="D870" s="236"/>
      <c r="E870" s="236"/>
      <c r="F870" s="367"/>
      <c r="G870" s="236"/>
      <c r="H870" s="236"/>
      <c r="I870" s="236"/>
      <c r="J870" s="236"/>
      <c r="K870" s="236"/>
      <c r="L870" s="236"/>
      <c r="M870" s="236"/>
      <c r="N870" s="236"/>
      <c r="O870" s="236"/>
      <c r="P870" s="236"/>
      <c r="Q870" s="236"/>
      <c r="R870" s="236"/>
    </row>
    <row r="871">
      <c r="A871" s="236"/>
      <c r="B871" s="236"/>
      <c r="C871" s="236"/>
      <c r="D871" s="236"/>
      <c r="E871" s="236"/>
      <c r="F871" s="367"/>
      <c r="G871" s="236"/>
      <c r="H871" s="236"/>
      <c r="I871" s="236"/>
      <c r="J871" s="236"/>
      <c r="K871" s="236"/>
      <c r="L871" s="236"/>
      <c r="M871" s="236"/>
      <c r="N871" s="236"/>
      <c r="O871" s="236"/>
      <c r="P871" s="236"/>
      <c r="Q871" s="236"/>
      <c r="R871" s="236"/>
    </row>
    <row r="872">
      <c r="A872" s="236"/>
      <c r="B872" s="236"/>
      <c r="C872" s="236"/>
      <c r="D872" s="236"/>
      <c r="E872" s="236"/>
      <c r="F872" s="367"/>
      <c r="G872" s="236"/>
      <c r="H872" s="236"/>
      <c r="I872" s="236"/>
      <c r="J872" s="236"/>
      <c r="K872" s="236"/>
      <c r="L872" s="236"/>
      <c r="M872" s="236"/>
      <c r="N872" s="236"/>
      <c r="O872" s="236"/>
      <c r="P872" s="236"/>
      <c r="Q872" s="236"/>
      <c r="R872" s="236"/>
    </row>
    <row r="873">
      <c r="A873" s="236"/>
      <c r="B873" s="236"/>
      <c r="C873" s="236"/>
      <c r="D873" s="236"/>
      <c r="E873" s="236"/>
      <c r="F873" s="367"/>
      <c r="G873" s="236"/>
      <c r="H873" s="236"/>
      <c r="I873" s="236"/>
      <c r="J873" s="236"/>
      <c r="K873" s="236"/>
      <c r="L873" s="236"/>
      <c r="M873" s="236"/>
      <c r="N873" s="236"/>
      <c r="O873" s="236"/>
      <c r="P873" s="236"/>
      <c r="Q873" s="236"/>
      <c r="R873" s="236"/>
    </row>
    <row r="874">
      <c r="A874" s="236"/>
      <c r="B874" s="236"/>
      <c r="C874" s="236"/>
      <c r="D874" s="236"/>
      <c r="E874" s="236"/>
      <c r="F874" s="367"/>
      <c r="G874" s="236"/>
      <c r="H874" s="236"/>
      <c r="I874" s="236"/>
      <c r="J874" s="236"/>
      <c r="K874" s="236"/>
      <c r="L874" s="236"/>
      <c r="M874" s="236"/>
      <c r="N874" s="236"/>
      <c r="O874" s="236"/>
      <c r="P874" s="236"/>
      <c r="Q874" s="236"/>
      <c r="R874" s="236"/>
    </row>
    <row r="875">
      <c r="A875" s="236"/>
      <c r="B875" s="236"/>
      <c r="C875" s="236"/>
      <c r="D875" s="236"/>
      <c r="E875" s="236"/>
      <c r="F875" s="367"/>
      <c r="G875" s="236"/>
      <c r="H875" s="236"/>
      <c r="I875" s="236"/>
      <c r="J875" s="236"/>
      <c r="K875" s="236"/>
      <c r="L875" s="236"/>
      <c r="M875" s="236"/>
      <c r="N875" s="236"/>
      <c r="O875" s="236"/>
      <c r="P875" s="236"/>
      <c r="Q875" s="236"/>
      <c r="R875" s="236"/>
    </row>
    <row r="876">
      <c r="A876" s="236"/>
      <c r="B876" s="236"/>
      <c r="C876" s="236"/>
      <c r="D876" s="236"/>
      <c r="E876" s="236"/>
      <c r="F876" s="367"/>
      <c r="G876" s="236"/>
      <c r="H876" s="236"/>
      <c r="I876" s="236"/>
      <c r="J876" s="236"/>
      <c r="K876" s="236"/>
      <c r="L876" s="236"/>
      <c r="M876" s="236"/>
      <c r="N876" s="236"/>
      <c r="O876" s="236"/>
      <c r="P876" s="236"/>
      <c r="Q876" s="236"/>
      <c r="R876" s="236"/>
    </row>
    <row r="877">
      <c r="A877" s="236"/>
      <c r="B877" s="236"/>
      <c r="C877" s="236"/>
      <c r="D877" s="236"/>
      <c r="E877" s="236"/>
      <c r="F877" s="367"/>
      <c r="G877" s="236"/>
      <c r="H877" s="236"/>
      <c r="I877" s="236"/>
      <c r="J877" s="236"/>
      <c r="K877" s="236"/>
      <c r="L877" s="236"/>
      <c r="M877" s="236"/>
      <c r="N877" s="236"/>
      <c r="O877" s="236"/>
      <c r="P877" s="236"/>
      <c r="Q877" s="236"/>
      <c r="R877" s="236"/>
    </row>
    <row r="878">
      <c r="A878" s="236"/>
      <c r="B878" s="236"/>
      <c r="C878" s="236"/>
      <c r="D878" s="236"/>
      <c r="E878" s="236"/>
      <c r="F878" s="367"/>
      <c r="G878" s="236"/>
      <c r="H878" s="236"/>
      <c r="I878" s="236"/>
      <c r="J878" s="236"/>
      <c r="K878" s="236"/>
      <c r="L878" s="236"/>
      <c r="M878" s="236"/>
      <c r="N878" s="236"/>
      <c r="O878" s="236"/>
      <c r="P878" s="236"/>
      <c r="Q878" s="236"/>
      <c r="R878" s="236"/>
    </row>
    <row r="879">
      <c r="A879" s="236"/>
      <c r="B879" s="236"/>
      <c r="C879" s="236"/>
      <c r="D879" s="236"/>
      <c r="E879" s="236"/>
      <c r="F879" s="367"/>
      <c r="G879" s="236"/>
      <c r="H879" s="236"/>
      <c r="I879" s="236"/>
      <c r="J879" s="236"/>
      <c r="K879" s="236"/>
      <c r="L879" s="236"/>
      <c r="M879" s="236"/>
      <c r="N879" s="236"/>
      <c r="O879" s="236"/>
      <c r="P879" s="236"/>
      <c r="Q879" s="236"/>
      <c r="R879" s="236"/>
    </row>
    <row r="880">
      <c r="A880" s="236"/>
      <c r="B880" s="236"/>
      <c r="C880" s="236"/>
      <c r="D880" s="236"/>
      <c r="E880" s="236"/>
      <c r="F880" s="367"/>
      <c r="G880" s="236"/>
      <c r="H880" s="236"/>
      <c r="I880" s="236"/>
      <c r="J880" s="236"/>
      <c r="K880" s="236"/>
      <c r="L880" s="236"/>
      <c r="M880" s="236"/>
      <c r="N880" s="236"/>
      <c r="O880" s="236"/>
      <c r="P880" s="236"/>
      <c r="Q880" s="236"/>
      <c r="R880" s="236"/>
    </row>
    <row r="881">
      <c r="A881" s="236"/>
      <c r="B881" s="236"/>
      <c r="C881" s="236"/>
      <c r="D881" s="236"/>
      <c r="E881" s="236"/>
      <c r="F881" s="367"/>
      <c r="G881" s="236"/>
      <c r="H881" s="236"/>
      <c r="I881" s="236"/>
      <c r="J881" s="236"/>
      <c r="K881" s="236"/>
      <c r="L881" s="236"/>
      <c r="M881" s="236"/>
      <c r="N881" s="236"/>
      <c r="O881" s="236"/>
      <c r="P881" s="236"/>
      <c r="Q881" s="236"/>
      <c r="R881" s="236"/>
    </row>
    <row r="882">
      <c r="A882" s="236"/>
      <c r="B882" s="236"/>
      <c r="C882" s="236"/>
      <c r="D882" s="236"/>
      <c r="E882" s="236"/>
      <c r="F882" s="367"/>
      <c r="G882" s="236"/>
      <c r="H882" s="236"/>
      <c r="I882" s="236"/>
      <c r="J882" s="236"/>
      <c r="K882" s="236"/>
      <c r="L882" s="236"/>
      <c r="M882" s="236"/>
      <c r="N882" s="236"/>
      <c r="O882" s="236"/>
      <c r="P882" s="236"/>
      <c r="Q882" s="236"/>
      <c r="R882" s="236"/>
    </row>
    <row r="883">
      <c r="A883" s="236"/>
      <c r="B883" s="236"/>
      <c r="C883" s="236"/>
      <c r="D883" s="236"/>
      <c r="E883" s="236"/>
      <c r="F883" s="367"/>
      <c r="G883" s="236"/>
      <c r="H883" s="236"/>
      <c r="I883" s="236"/>
      <c r="J883" s="236"/>
      <c r="K883" s="236"/>
      <c r="L883" s="236"/>
      <c r="M883" s="236"/>
      <c r="N883" s="236"/>
      <c r="O883" s="236"/>
      <c r="P883" s="236"/>
      <c r="Q883" s="236"/>
      <c r="R883" s="236"/>
    </row>
    <row r="884">
      <c r="A884" s="236"/>
      <c r="B884" s="236"/>
      <c r="C884" s="236"/>
      <c r="D884" s="236"/>
      <c r="E884" s="236"/>
      <c r="F884" s="367"/>
      <c r="G884" s="236"/>
      <c r="H884" s="236"/>
      <c r="I884" s="236"/>
      <c r="J884" s="236"/>
      <c r="K884" s="236"/>
      <c r="L884" s="236"/>
      <c r="M884" s="236"/>
      <c r="N884" s="236"/>
      <c r="O884" s="236"/>
      <c r="P884" s="236"/>
      <c r="Q884" s="236"/>
      <c r="R884" s="236"/>
    </row>
    <row r="885">
      <c r="A885" s="236"/>
      <c r="B885" s="236"/>
      <c r="C885" s="236"/>
      <c r="D885" s="236"/>
      <c r="E885" s="236"/>
      <c r="F885" s="367"/>
      <c r="G885" s="236"/>
      <c r="H885" s="236"/>
      <c r="I885" s="236"/>
      <c r="J885" s="236"/>
      <c r="K885" s="236"/>
      <c r="L885" s="236"/>
      <c r="M885" s="236"/>
      <c r="N885" s="236"/>
      <c r="O885" s="236"/>
      <c r="P885" s="236"/>
      <c r="Q885" s="236"/>
      <c r="R885" s="236"/>
    </row>
    <row r="886">
      <c r="A886" s="236"/>
      <c r="B886" s="236"/>
      <c r="C886" s="236"/>
      <c r="D886" s="236"/>
      <c r="E886" s="236"/>
      <c r="F886" s="367"/>
      <c r="G886" s="236"/>
      <c r="H886" s="236"/>
      <c r="I886" s="236"/>
      <c r="J886" s="236"/>
      <c r="K886" s="236"/>
      <c r="L886" s="236"/>
      <c r="M886" s="236"/>
      <c r="N886" s="236"/>
      <c r="O886" s="236"/>
      <c r="P886" s="236"/>
      <c r="Q886" s="236"/>
      <c r="R886" s="236"/>
    </row>
    <row r="887">
      <c r="A887" s="236"/>
      <c r="B887" s="236"/>
      <c r="C887" s="236"/>
      <c r="D887" s="236"/>
      <c r="E887" s="236"/>
      <c r="F887" s="367"/>
      <c r="G887" s="236"/>
      <c r="H887" s="236"/>
      <c r="I887" s="236"/>
      <c r="J887" s="236"/>
      <c r="K887" s="236"/>
      <c r="L887" s="236"/>
      <c r="M887" s="236"/>
      <c r="N887" s="236"/>
      <c r="O887" s="236"/>
      <c r="P887" s="236"/>
      <c r="Q887" s="236"/>
      <c r="R887" s="236"/>
    </row>
    <row r="888">
      <c r="A888" s="236"/>
      <c r="B888" s="236"/>
      <c r="C888" s="236"/>
      <c r="D888" s="236"/>
      <c r="E888" s="236"/>
      <c r="F888" s="367"/>
      <c r="G888" s="236"/>
      <c r="H888" s="236"/>
      <c r="I888" s="236"/>
      <c r="J888" s="236"/>
      <c r="K888" s="236"/>
      <c r="L888" s="236"/>
      <c r="M888" s="236"/>
      <c r="N888" s="236"/>
      <c r="O888" s="236"/>
      <c r="P888" s="236"/>
      <c r="Q888" s="236"/>
      <c r="R888" s="236"/>
    </row>
    <row r="889">
      <c r="A889" s="236"/>
      <c r="B889" s="236"/>
      <c r="C889" s="236"/>
      <c r="D889" s="236"/>
      <c r="E889" s="236"/>
      <c r="F889" s="367"/>
      <c r="G889" s="236"/>
      <c r="H889" s="236"/>
      <c r="I889" s="236"/>
      <c r="J889" s="236"/>
      <c r="K889" s="236"/>
      <c r="L889" s="236"/>
      <c r="M889" s="236"/>
      <c r="N889" s="236"/>
      <c r="O889" s="236"/>
      <c r="P889" s="236"/>
      <c r="Q889" s="236"/>
      <c r="R889" s="236"/>
    </row>
    <row r="890">
      <c r="A890" s="236"/>
      <c r="B890" s="236"/>
      <c r="C890" s="236"/>
      <c r="D890" s="236"/>
      <c r="E890" s="236"/>
      <c r="F890" s="367"/>
      <c r="G890" s="236"/>
      <c r="H890" s="236"/>
      <c r="I890" s="236"/>
      <c r="J890" s="236"/>
      <c r="K890" s="236"/>
      <c r="L890" s="236"/>
      <c r="M890" s="236"/>
      <c r="N890" s="236"/>
      <c r="O890" s="236"/>
      <c r="P890" s="236"/>
      <c r="Q890" s="236"/>
      <c r="R890" s="236"/>
    </row>
    <row r="891">
      <c r="A891" s="236"/>
      <c r="B891" s="236"/>
      <c r="C891" s="236"/>
      <c r="D891" s="236"/>
      <c r="E891" s="236"/>
      <c r="F891" s="367"/>
      <c r="G891" s="236"/>
      <c r="H891" s="236"/>
      <c r="I891" s="236"/>
      <c r="J891" s="236"/>
      <c r="K891" s="236"/>
      <c r="L891" s="236"/>
      <c r="M891" s="236"/>
      <c r="N891" s="236"/>
      <c r="O891" s="236"/>
      <c r="P891" s="236"/>
      <c r="Q891" s="236"/>
      <c r="R891" s="236"/>
    </row>
    <row r="892">
      <c r="A892" s="236"/>
      <c r="B892" s="236"/>
      <c r="C892" s="236"/>
      <c r="D892" s="236"/>
      <c r="E892" s="236"/>
      <c r="F892" s="367"/>
      <c r="G892" s="236"/>
      <c r="H892" s="236"/>
      <c r="I892" s="236"/>
      <c r="J892" s="236"/>
      <c r="K892" s="236"/>
      <c r="L892" s="236"/>
      <c r="M892" s="236"/>
      <c r="N892" s="236"/>
      <c r="O892" s="236"/>
      <c r="P892" s="236"/>
      <c r="Q892" s="236"/>
      <c r="R892" s="236"/>
    </row>
    <row r="893">
      <c r="A893" s="236"/>
      <c r="B893" s="236"/>
      <c r="C893" s="236"/>
      <c r="D893" s="236"/>
      <c r="E893" s="236"/>
      <c r="F893" s="367"/>
      <c r="G893" s="236"/>
      <c r="H893" s="236"/>
      <c r="I893" s="236"/>
      <c r="J893" s="236"/>
      <c r="K893" s="236"/>
      <c r="L893" s="236"/>
      <c r="M893" s="236"/>
      <c r="N893" s="236"/>
      <c r="O893" s="236"/>
      <c r="P893" s="236"/>
      <c r="Q893" s="236"/>
      <c r="R893" s="236"/>
    </row>
    <row r="894">
      <c r="A894" s="236"/>
      <c r="B894" s="236"/>
      <c r="C894" s="236"/>
      <c r="D894" s="236"/>
      <c r="E894" s="236"/>
      <c r="F894" s="367"/>
      <c r="G894" s="236"/>
      <c r="H894" s="236"/>
      <c r="I894" s="236"/>
      <c r="J894" s="236"/>
      <c r="K894" s="236"/>
      <c r="L894" s="236"/>
      <c r="M894" s="236"/>
      <c r="N894" s="236"/>
      <c r="O894" s="236"/>
      <c r="P894" s="236"/>
      <c r="Q894" s="236"/>
      <c r="R894" s="236"/>
    </row>
    <row r="895">
      <c r="A895" s="236"/>
      <c r="B895" s="236"/>
      <c r="C895" s="236"/>
      <c r="D895" s="236"/>
      <c r="E895" s="236"/>
      <c r="F895" s="367"/>
      <c r="G895" s="236"/>
      <c r="H895" s="236"/>
      <c r="I895" s="236"/>
      <c r="J895" s="236"/>
      <c r="K895" s="236"/>
      <c r="L895" s="236"/>
      <c r="M895" s="236"/>
      <c r="N895" s="236"/>
      <c r="O895" s="236"/>
      <c r="P895" s="236"/>
      <c r="Q895" s="236"/>
      <c r="R895" s="236"/>
    </row>
    <row r="896">
      <c r="A896" s="236"/>
      <c r="B896" s="236"/>
      <c r="C896" s="236"/>
      <c r="D896" s="236"/>
      <c r="E896" s="236"/>
      <c r="F896" s="367"/>
      <c r="G896" s="236"/>
      <c r="H896" s="236"/>
      <c r="I896" s="236"/>
      <c r="J896" s="236"/>
      <c r="K896" s="236"/>
      <c r="L896" s="236"/>
      <c r="M896" s="236"/>
      <c r="N896" s="236"/>
      <c r="O896" s="236"/>
      <c r="P896" s="236"/>
      <c r="Q896" s="236"/>
      <c r="R896" s="236"/>
    </row>
    <row r="897">
      <c r="A897" s="236"/>
      <c r="B897" s="236"/>
      <c r="C897" s="236"/>
      <c r="D897" s="236"/>
      <c r="E897" s="236"/>
      <c r="F897" s="367"/>
      <c r="G897" s="236"/>
      <c r="H897" s="236"/>
      <c r="I897" s="236"/>
      <c r="J897" s="236"/>
      <c r="K897" s="236"/>
      <c r="L897" s="236"/>
      <c r="M897" s="236"/>
      <c r="N897" s="236"/>
      <c r="O897" s="236"/>
      <c r="P897" s="236"/>
      <c r="Q897" s="236"/>
      <c r="R897" s="236"/>
    </row>
    <row r="898">
      <c r="A898" s="236"/>
      <c r="B898" s="236"/>
      <c r="C898" s="236"/>
      <c r="D898" s="236"/>
      <c r="E898" s="236"/>
      <c r="F898" s="367"/>
      <c r="G898" s="236"/>
      <c r="H898" s="236"/>
      <c r="I898" s="236"/>
      <c r="J898" s="236"/>
      <c r="K898" s="236"/>
      <c r="L898" s="236"/>
      <c r="M898" s="236"/>
      <c r="N898" s="236"/>
      <c r="O898" s="236"/>
      <c r="P898" s="236"/>
      <c r="Q898" s="236"/>
      <c r="R898" s="236"/>
    </row>
    <row r="899">
      <c r="A899" s="236"/>
      <c r="B899" s="236"/>
      <c r="C899" s="236"/>
      <c r="D899" s="236"/>
      <c r="E899" s="236"/>
      <c r="F899" s="367"/>
      <c r="G899" s="236"/>
      <c r="H899" s="236"/>
      <c r="I899" s="236"/>
      <c r="J899" s="236"/>
      <c r="K899" s="236"/>
      <c r="L899" s="236"/>
      <c r="M899" s="236"/>
      <c r="N899" s="236"/>
      <c r="O899" s="236"/>
      <c r="P899" s="236"/>
      <c r="Q899" s="236"/>
      <c r="R899" s="236"/>
    </row>
    <row r="900">
      <c r="A900" s="236"/>
      <c r="B900" s="236"/>
      <c r="C900" s="236"/>
      <c r="D900" s="236"/>
      <c r="E900" s="236"/>
      <c r="F900" s="367"/>
      <c r="G900" s="236"/>
      <c r="H900" s="236"/>
      <c r="I900" s="236"/>
      <c r="J900" s="236"/>
      <c r="K900" s="236"/>
      <c r="L900" s="236"/>
      <c r="M900" s="236"/>
      <c r="N900" s="236"/>
      <c r="O900" s="236"/>
      <c r="P900" s="236"/>
      <c r="Q900" s="236"/>
      <c r="R900" s="236"/>
    </row>
    <row r="901">
      <c r="A901" s="236"/>
      <c r="B901" s="236"/>
      <c r="C901" s="236"/>
      <c r="D901" s="236"/>
      <c r="E901" s="236"/>
      <c r="F901" s="367"/>
      <c r="G901" s="236"/>
      <c r="H901" s="236"/>
      <c r="I901" s="236"/>
      <c r="J901" s="236"/>
      <c r="K901" s="236"/>
      <c r="L901" s="236"/>
      <c r="M901" s="236"/>
      <c r="N901" s="236"/>
      <c r="O901" s="236"/>
      <c r="P901" s="236"/>
      <c r="Q901" s="236"/>
      <c r="R901" s="236"/>
    </row>
    <row r="902">
      <c r="A902" s="236"/>
      <c r="B902" s="236"/>
      <c r="C902" s="236"/>
      <c r="D902" s="236"/>
      <c r="E902" s="236"/>
      <c r="F902" s="367"/>
      <c r="G902" s="236"/>
      <c r="H902" s="236"/>
      <c r="I902" s="236"/>
      <c r="J902" s="236"/>
      <c r="K902" s="236"/>
      <c r="L902" s="236"/>
      <c r="M902" s="236"/>
      <c r="N902" s="236"/>
      <c r="O902" s="236"/>
      <c r="P902" s="236"/>
      <c r="Q902" s="236"/>
      <c r="R902" s="236"/>
    </row>
    <row r="903">
      <c r="A903" s="236"/>
      <c r="B903" s="236"/>
      <c r="C903" s="236"/>
      <c r="D903" s="236"/>
      <c r="E903" s="236"/>
      <c r="F903" s="367"/>
      <c r="G903" s="236"/>
      <c r="H903" s="236"/>
      <c r="I903" s="236"/>
      <c r="J903" s="236"/>
      <c r="K903" s="236"/>
      <c r="L903" s="236"/>
      <c r="M903" s="236"/>
      <c r="N903" s="236"/>
      <c r="O903" s="236"/>
      <c r="P903" s="236"/>
      <c r="Q903" s="236"/>
      <c r="R903" s="236"/>
    </row>
    <row r="904">
      <c r="A904" s="236"/>
      <c r="B904" s="236"/>
      <c r="C904" s="236"/>
      <c r="D904" s="236"/>
      <c r="E904" s="236"/>
      <c r="F904" s="367"/>
      <c r="G904" s="236"/>
      <c r="H904" s="236"/>
      <c r="I904" s="236"/>
      <c r="J904" s="236"/>
      <c r="K904" s="236"/>
      <c r="L904" s="236"/>
      <c r="M904" s="236"/>
      <c r="N904" s="236"/>
      <c r="O904" s="236"/>
      <c r="P904" s="236"/>
      <c r="Q904" s="236"/>
      <c r="R904" s="236"/>
    </row>
    <row r="905">
      <c r="A905" s="236"/>
      <c r="B905" s="236"/>
      <c r="C905" s="236"/>
      <c r="D905" s="236"/>
      <c r="E905" s="236"/>
      <c r="F905" s="367"/>
      <c r="G905" s="236"/>
      <c r="H905" s="236"/>
      <c r="I905" s="236"/>
      <c r="J905" s="236"/>
      <c r="K905" s="236"/>
      <c r="L905" s="236"/>
      <c r="M905" s="236"/>
      <c r="N905" s="236"/>
      <c r="O905" s="236"/>
      <c r="P905" s="236"/>
      <c r="Q905" s="236"/>
      <c r="R905" s="236"/>
    </row>
    <row r="906">
      <c r="A906" s="236"/>
      <c r="B906" s="236"/>
      <c r="C906" s="236"/>
      <c r="D906" s="236"/>
      <c r="E906" s="236"/>
      <c r="F906" s="367"/>
      <c r="G906" s="236"/>
      <c r="H906" s="236"/>
      <c r="I906" s="236"/>
      <c r="J906" s="236"/>
      <c r="K906" s="236"/>
      <c r="L906" s="236"/>
      <c r="M906" s="236"/>
      <c r="N906" s="236"/>
      <c r="O906" s="236"/>
      <c r="P906" s="236"/>
      <c r="Q906" s="236"/>
      <c r="R906" s="236"/>
    </row>
    <row r="907">
      <c r="A907" s="236"/>
      <c r="B907" s="236"/>
      <c r="C907" s="236"/>
      <c r="D907" s="236"/>
      <c r="E907" s="236"/>
      <c r="F907" s="367"/>
      <c r="G907" s="236"/>
      <c r="H907" s="236"/>
      <c r="I907" s="236"/>
      <c r="J907" s="236"/>
      <c r="K907" s="236"/>
      <c r="L907" s="236"/>
      <c r="M907" s="236"/>
      <c r="N907" s="236"/>
      <c r="O907" s="236"/>
      <c r="P907" s="236"/>
      <c r="Q907" s="236"/>
      <c r="R907" s="236"/>
    </row>
    <row r="908">
      <c r="A908" s="236"/>
      <c r="B908" s="236"/>
      <c r="C908" s="236"/>
      <c r="D908" s="236"/>
      <c r="E908" s="236"/>
      <c r="F908" s="367"/>
      <c r="G908" s="236"/>
      <c r="H908" s="236"/>
      <c r="I908" s="236"/>
      <c r="J908" s="236"/>
      <c r="K908" s="236"/>
      <c r="L908" s="236"/>
      <c r="M908" s="236"/>
      <c r="N908" s="236"/>
      <c r="O908" s="236"/>
      <c r="P908" s="236"/>
      <c r="Q908" s="236"/>
      <c r="R908" s="236"/>
    </row>
    <row r="909">
      <c r="A909" s="236"/>
      <c r="B909" s="236"/>
      <c r="C909" s="236"/>
      <c r="D909" s="236"/>
      <c r="E909" s="236"/>
      <c r="F909" s="367"/>
      <c r="G909" s="236"/>
      <c r="H909" s="236"/>
      <c r="I909" s="236"/>
      <c r="J909" s="236"/>
      <c r="K909" s="236"/>
      <c r="L909" s="236"/>
      <c r="M909" s="236"/>
      <c r="N909" s="236"/>
      <c r="O909" s="236"/>
      <c r="P909" s="236"/>
      <c r="Q909" s="236"/>
      <c r="R909" s="236"/>
    </row>
    <row r="910">
      <c r="A910" s="236"/>
      <c r="B910" s="236"/>
      <c r="C910" s="236"/>
      <c r="D910" s="236"/>
      <c r="E910" s="236"/>
      <c r="F910" s="367"/>
      <c r="G910" s="236"/>
      <c r="H910" s="236"/>
      <c r="I910" s="236"/>
      <c r="J910" s="236"/>
      <c r="K910" s="236"/>
      <c r="L910" s="236"/>
      <c r="M910" s="236"/>
      <c r="N910" s="236"/>
      <c r="O910" s="236"/>
      <c r="P910" s="236"/>
      <c r="Q910" s="236"/>
      <c r="R910" s="236"/>
    </row>
    <row r="911">
      <c r="A911" s="236"/>
      <c r="B911" s="236"/>
      <c r="C911" s="236"/>
      <c r="D911" s="236"/>
      <c r="E911" s="236"/>
      <c r="F911" s="367"/>
      <c r="G911" s="236"/>
      <c r="H911" s="236"/>
      <c r="I911" s="236"/>
      <c r="J911" s="236"/>
      <c r="K911" s="236"/>
      <c r="L911" s="236"/>
      <c r="M911" s="236"/>
      <c r="N911" s="236"/>
      <c r="O911" s="236"/>
      <c r="P911" s="236"/>
      <c r="Q911" s="236"/>
      <c r="R911" s="236"/>
    </row>
    <row r="912">
      <c r="A912" s="236"/>
      <c r="B912" s="236"/>
      <c r="C912" s="236"/>
      <c r="D912" s="236"/>
      <c r="E912" s="236"/>
      <c r="F912" s="367"/>
      <c r="G912" s="236"/>
      <c r="H912" s="236"/>
      <c r="I912" s="236"/>
      <c r="J912" s="236"/>
      <c r="K912" s="236"/>
      <c r="L912" s="236"/>
      <c r="M912" s="236"/>
      <c r="N912" s="236"/>
      <c r="O912" s="236"/>
      <c r="P912" s="236"/>
      <c r="Q912" s="236"/>
      <c r="R912" s="236"/>
    </row>
    <row r="913">
      <c r="A913" s="236"/>
      <c r="B913" s="236"/>
      <c r="C913" s="236"/>
      <c r="D913" s="236"/>
      <c r="E913" s="236"/>
      <c r="F913" s="367"/>
      <c r="G913" s="236"/>
      <c r="H913" s="236"/>
      <c r="I913" s="236"/>
      <c r="J913" s="236"/>
      <c r="K913" s="236"/>
      <c r="L913" s="236"/>
      <c r="M913" s="236"/>
      <c r="N913" s="236"/>
      <c r="O913" s="236"/>
      <c r="P913" s="236"/>
      <c r="Q913" s="236"/>
      <c r="R913" s="236"/>
    </row>
    <row r="914">
      <c r="A914" s="236"/>
      <c r="B914" s="236"/>
      <c r="C914" s="236"/>
      <c r="D914" s="236"/>
      <c r="E914" s="236"/>
      <c r="F914" s="367"/>
      <c r="G914" s="236"/>
      <c r="H914" s="236"/>
      <c r="I914" s="236"/>
      <c r="J914" s="236"/>
      <c r="K914" s="236"/>
      <c r="L914" s="236"/>
      <c r="M914" s="236"/>
      <c r="N914" s="236"/>
      <c r="O914" s="236"/>
      <c r="P914" s="236"/>
      <c r="Q914" s="236"/>
      <c r="R914" s="236"/>
    </row>
    <row r="915">
      <c r="A915" s="236"/>
      <c r="B915" s="236"/>
      <c r="C915" s="236"/>
      <c r="D915" s="236"/>
      <c r="E915" s="236"/>
      <c r="F915" s="367"/>
      <c r="G915" s="236"/>
      <c r="H915" s="236"/>
      <c r="I915" s="236"/>
      <c r="J915" s="236"/>
      <c r="K915" s="236"/>
      <c r="L915" s="236"/>
      <c r="M915" s="236"/>
      <c r="N915" s="236"/>
      <c r="O915" s="236"/>
      <c r="P915" s="236"/>
      <c r="Q915" s="236"/>
      <c r="R915" s="236"/>
    </row>
    <row r="916">
      <c r="A916" s="236"/>
      <c r="B916" s="236"/>
      <c r="C916" s="236"/>
      <c r="D916" s="236"/>
      <c r="E916" s="236"/>
      <c r="F916" s="367"/>
      <c r="G916" s="236"/>
      <c r="H916" s="236"/>
      <c r="I916" s="236"/>
      <c r="J916" s="236"/>
      <c r="K916" s="236"/>
      <c r="L916" s="236"/>
      <c r="M916" s="236"/>
      <c r="N916" s="236"/>
      <c r="O916" s="236"/>
      <c r="P916" s="236"/>
      <c r="Q916" s="236"/>
      <c r="R916" s="236"/>
    </row>
    <row r="917">
      <c r="A917" s="236"/>
      <c r="B917" s="236"/>
      <c r="C917" s="236"/>
      <c r="D917" s="236"/>
      <c r="E917" s="236"/>
      <c r="F917" s="367"/>
      <c r="G917" s="236"/>
      <c r="H917" s="236"/>
      <c r="I917" s="236"/>
      <c r="J917" s="236"/>
      <c r="K917" s="236"/>
      <c r="L917" s="236"/>
      <c r="M917" s="236"/>
      <c r="N917" s="236"/>
      <c r="O917" s="236"/>
      <c r="P917" s="236"/>
      <c r="Q917" s="236"/>
      <c r="R917" s="236"/>
    </row>
    <row r="918">
      <c r="A918" s="236"/>
      <c r="B918" s="236"/>
      <c r="C918" s="236"/>
      <c r="D918" s="236"/>
      <c r="E918" s="236"/>
      <c r="F918" s="367"/>
      <c r="G918" s="236"/>
      <c r="H918" s="236"/>
      <c r="I918" s="236"/>
      <c r="J918" s="236"/>
      <c r="K918" s="236"/>
      <c r="L918" s="236"/>
      <c r="M918" s="236"/>
      <c r="N918" s="236"/>
      <c r="O918" s="236"/>
      <c r="P918" s="236"/>
      <c r="Q918" s="236"/>
      <c r="R918" s="236"/>
    </row>
    <row r="919">
      <c r="A919" s="236"/>
      <c r="B919" s="236"/>
      <c r="C919" s="236"/>
      <c r="D919" s="236"/>
      <c r="E919" s="236"/>
      <c r="F919" s="367"/>
      <c r="G919" s="236"/>
      <c r="H919" s="236"/>
      <c r="I919" s="236"/>
      <c r="J919" s="236"/>
      <c r="K919" s="236"/>
      <c r="L919" s="236"/>
      <c r="M919" s="236"/>
      <c r="N919" s="236"/>
      <c r="O919" s="236"/>
      <c r="P919" s="236"/>
      <c r="Q919" s="236"/>
      <c r="R919" s="236"/>
    </row>
    <row r="920">
      <c r="A920" s="236"/>
      <c r="B920" s="236"/>
      <c r="C920" s="236"/>
      <c r="D920" s="236"/>
      <c r="E920" s="236"/>
      <c r="F920" s="367"/>
      <c r="G920" s="236"/>
      <c r="H920" s="236"/>
      <c r="I920" s="236"/>
      <c r="J920" s="236"/>
      <c r="K920" s="236"/>
      <c r="L920" s="236"/>
      <c r="M920" s="236"/>
      <c r="N920" s="236"/>
      <c r="O920" s="236"/>
      <c r="P920" s="236"/>
      <c r="Q920" s="236"/>
      <c r="R920" s="236"/>
    </row>
    <row r="921">
      <c r="A921" s="236"/>
      <c r="B921" s="236"/>
      <c r="C921" s="236"/>
      <c r="D921" s="236"/>
      <c r="E921" s="236"/>
      <c r="F921" s="367"/>
      <c r="G921" s="236"/>
      <c r="H921" s="236"/>
      <c r="I921" s="236"/>
      <c r="J921" s="236"/>
      <c r="K921" s="236"/>
      <c r="L921" s="236"/>
      <c r="M921" s="236"/>
      <c r="N921" s="236"/>
      <c r="O921" s="236"/>
      <c r="P921" s="236"/>
      <c r="Q921" s="236"/>
      <c r="R921" s="236"/>
    </row>
    <row r="922">
      <c r="A922" s="236"/>
      <c r="B922" s="236"/>
      <c r="C922" s="236"/>
      <c r="D922" s="236"/>
      <c r="E922" s="236"/>
      <c r="F922" s="367"/>
      <c r="G922" s="236"/>
      <c r="H922" s="236"/>
      <c r="I922" s="236"/>
      <c r="J922" s="236"/>
      <c r="K922" s="236"/>
      <c r="L922" s="236"/>
      <c r="M922" s="236"/>
      <c r="N922" s="236"/>
      <c r="O922" s="236"/>
      <c r="P922" s="236"/>
      <c r="Q922" s="236"/>
      <c r="R922" s="236"/>
    </row>
    <row r="923">
      <c r="A923" s="236"/>
      <c r="B923" s="236"/>
      <c r="C923" s="236"/>
      <c r="D923" s="236"/>
      <c r="E923" s="236"/>
      <c r="F923" s="367"/>
      <c r="G923" s="236"/>
      <c r="H923" s="236"/>
      <c r="I923" s="236"/>
      <c r="J923" s="236"/>
      <c r="K923" s="236"/>
      <c r="L923" s="236"/>
      <c r="M923" s="236"/>
      <c r="N923" s="236"/>
      <c r="O923" s="236"/>
      <c r="P923" s="236"/>
      <c r="Q923" s="236"/>
      <c r="R923" s="236"/>
    </row>
    <row r="924">
      <c r="A924" s="236"/>
      <c r="B924" s="236"/>
      <c r="C924" s="236"/>
      <c r="D924" s="236"/>
      <c r="E924" s="236"/>
      <c r="F924" s="367"/>
      <c r="G924" s="236"/>
      <c r="H924" s="236"/>
      <c r="I924" s="236"/>
      <c r="J924" s="236"/>
      <c r="K924" s="236"/>
      <c r="L924" s="236"/>
      <c r="M924" s="236"/>
      <c r="N924" s="236"/>
      <c r="O924" s="236"/>
      <c r="P924" s="236"/>
      <c r="Q924" s="236"/>
      <c r="R924" s="236"/>
    </row>
    <row r="925">
      <c r="A925" s="236"/>
      <c r="B925" s="236"/>
      <c r="C925" s="236"/>
      <c r="D925" s="236"/>
      <c r="E925" s="236"/>
      <c r="F925" s="367"/>
      <c r="G925" s="236"/>
      <c r="H925" s="236"/>
      <c r="I925" s="236"/>
      <c r="J925" s="236"/>
      <c r="K925" s="236"/>
      <c r="L925" s="236"/>
      <c r="M925" s="236"/>
      <c r="N925" s="236"/>
      <c r="O925" s="236"/>
      <c r="P925" s="236"/>
      <c r="Q925" s="236"/>
      <c r="R925" s="236"/>
    </row>
    <row r="926">
      <c r="A926" s="236"/>
      <c r="B926" s="236"/>
      <c r="C926" s="236"/>
      <c r="D926" s="236"/>
      <c r="E926" s="236"/>
      <c r="F926" s="367"/>
      <c r="G926" s="236"/>
      <c r="H926" s="236"/>
      <c r="I926" s="236"/>
      <c r="J926" s="236"/>
      <c r="K926" s="236"/>
      <c r="L926" s="236"/>
      <c r="M926" s="236"/>
      <c r="N926" s="236"/>
      <c r="O926" s="236"/>
      <c r="P926" s="236"/>
      <c r="Q926" s="236"/>
      <c r="R926" s="236"/>
    </row>
    <row r="927">
      <c r="A927" s="236"/>
      <c r="B927" s="236"/>
      <c r="C927" s="236"/>
      <c r="D927" s="236"/>
      <c r="E927" s="236"/>
      <c r="F927" s="367"/>
      <c r="G927" s="236"/>
      <c r="H927" s="236"/>
      <c r="I927" s="236"/>
      <c r="J927" s="236"/>
      <c r="K927" s="236"/>
      <c r="L927" s="236"/>
      <c r="M927" s="236"/>
      <c r="N927" s="236"/>
      <c r="O927" s="236"/>
      <c r="P927" s="236"/>
      <c r="Q927" s="236"/>
      <c r="R927" s="236"/>
    </row>
    <row r="928">
      <c r="A928" s="236"/>
      <c r="B928" s="236"/>
      <c r="C928" s="236"/>
      <c r="D928" s="236"/>
      <c r="E928" s="236"/>
      <c r="F928" s="367"/>
      <c r="G928" s="236"/>
      <c r="H928" s="236"/>
      <c r="I928" s="236"/>
      <c r="J928" s="236"/>
      <c r="K928" s="236"/>
      <c r="L928" s="236"/>
      <c r="M928" s="236"/>
      <c r="N928" s="236"/>
      <c r="O928" s="236"/>
      <c r="P928" s="236"/>
      <c r="Q928" s="236"/>
      <c r="R928" s="236"/>
    </row>
    <row r="929">
      <c r="A929" s="236"/>
      <c r="B929" s="236"/>
      <c r="C929" s="236"/>
      <c r="D929" s="236"/>
      <c r="E929" s="236"/>
      <c r="F929" s="367"/>
      <c r="G929" s="236"/>
      <c r="H929" s="236"/>
      <c r="I929" s="236"/>
      <c r="J929" s="236"/>
      <c r="K929" s="236"/>
      <c r="L929" s="236"/>
      <c r="M929" s="236"/>
      <c r="N929" s="236"/>
      <c r="O929" s="236"/>
      <c r="P929" s="236"/>
      <c r="Q929" s="236"/>
      <c r="R929" s="236"/>
    </row>
    <row r="930">
      <c r="A930" s="236"/>
      <c r="B930" s="236"/>
      <c r="C930" s="236"/>
      <c r="D930" s="236"/>
      <c r="E930" s="236"/>
      <c r="F930" s="367"/>
      <c r="G930" s="236"/>
      <c r="H930" s="236"/>
      <c r="I930" s="236"/>
      <c r="J930" s="236"/>
      <c r="K930" s="236"/>
      <c r="L930" s="236"/>
      <c r="M930" s="236"/>
      <c r="N930" s="236"/>
      <c r="O930" s="236"/>
      <c r="P930" s="236"/>
      <c r="Q930" s="236"/>
      <c r="R930" s="236"/>
    </row>
    <row r="931">
      <c r="A931" s="236"/>
      <c r="B931" s="236"/>
      <c r="C931" s="236"/>
      <c r="D931" s="236"/>
      <c r="E931" s="236"/>
      <c r="F931" s="367"/>
      <c r="G931" s="236"/>
      <c r="H931" s="236"/>
      <c r="I931" s="236"/>
      <c r="J931" s="236"/>
      <c r="K931" s="236"/>
      <c r="L931" s="236"/>
      <c r="M931" s="236"/>
      <c r="N931" s="236"/>
      <c r="O931" s="236"/>
      <c r="P931" s="236"/>
      <c r="Q931" s="236"/>
      <c r="R931" s="236"/>
    </row>
    <row r="932">
      <c r="A932" s="236"/>
      <c r="B932" s="236"/>
      <c r="C932" s="236"/>
      <c r="D932" s="236"/>
      <c r="E932" s="236"/>
      <c r="F932" s="367"/>
      <c r="G932" s="236"/>
      <c r="H932" s="236"/>
      <c r="I932" s="236"/>
      <c r="J932" s="236"/>
      <c r="K932" s="236"/>
      <c r="L932" s="236"/>
      <c r="M932" s="236"/>
      <c r="N932" s="236"/>
      <c r="O932" s="236"/>
      <c r="P932" s="236"/>
      <c r="Q932" s="236"/>
      <c r="R932" s="236"/>
    </row>
    <row r="933">
      <c r="A933" s="236"/>
      <c r="B933" s="236"/>
      <c r="C933" s="236"/>
      <c r="D933" s="236"/>
      <c r="E933" s="236"/>
      <c r="F933" s="367"/>
      <c r="G933" s="236"/>
      <c r="H933" s="236"/>
      <c r="I933" s="236"/>
      <c r="J933" s="236"/>
      <c r="K933" s="236"/>
      <c r="L933" s="236"/>
      <c r="M933" s="236"/>
      <c r="N933" s="236"/>
      <c r="O933" s="236"/>
      <c r="P933" s="236"/>
      <c r="Q933" s="236"/>
      <c r="R933" s="236"/>
    </row>
    <row r="934">
      <c r="A934" s="236"/>
      <c r="B934" s="236"/>
      <c r="C934" s="236"/>
      <c r="D934" s="236"/>
      <c r="E934" s="236"/>
      <c r="F934" s="367"/>
      <c r="G934" s="236"/>
      <c r="H934" s="236"/>
      <c r="I934" s="236"/>
      <c r="J934" s="236"/>
      <c r="K934" s="236"/>
      <c r="L934" s="236"/>
      <c r="M934" s="236"/>
      <c r="N934" s="236"/>
      <c r="O934" s="236"/>
      <c r="P934" s="236"/>
      <c r="Q934" s="236"/>
      <c r="R934" s="236"/>
    </row>
    <row r="935">
      <c r="A935" s="236"/>
      <c r="B935" s="236"/>
      <c r="C935" s="236"/>
      <c r="D935" s="236"/>
      <c r="E935" s="236"/>
      <c r="F935" s="367"/>
      <c r="G935" s="236"/>
      <c r="H935" s="236"/>
      <c r="I935" s="236"/>
      <c r="J935" s="236"/>
      <c r="K935" s="236"/>
      <c r="L935" s="236"/>
      <c r="M935" s="236"/>
      <c r="N935" s="236"/>
      <c r="O935" s="236"/>
      <c r="P935" s="236"/>
      <c r="Q935" s="236"/>
      <c r="R935" s="236"/>
    </row>
    <row r="936">
      <c r="A936" s="236"/>
      <c r="B936" s="236"/>
      <c r="C936" s="236"/>
      <c r="D936" s="236"/>
      <c r="E936" s="236"/>
      <c r="F936" s="367"/>
      <c r="G936" s="236"/>
      <c r="H936" s="236"/>
      <c r="I936" s="236"/>
      <c r="J936" s="236"/>
      <c r="K936" s="236"/>
      <c r="L936" s="236"/>
      <c r="M936" s="236"/>
      <c r="N936" s="236"/>
      <c r="O936" s="236"/>
      <c r="P936" s="236"/>
      <c r="Q936" s="236"/>
      <c r="R936" s="236"/>
    </row>
    <row r="937">
      <c r="A937" s="236"/>
      <c r="B937" s="236"/>
      <c r="C937" s="236"/>
      <c r="D937" s="236"/>
      <c r="E937" s="236"/>
      <c r="F937" s="367"/>
      <c r="G937" s="236"/>
      <c r="H937" s="236"/>
      <c r="I937" s="236"/>
      <c r="J937" s="236"/>
      <c r="K937" s="236"/>
      <c r="L937" s="236"/>
      <c r="M937" s="236"/>
      <c r="N937" s="236"/>
      <c r="O937" s="236"/>
      <c r="P937" s="236"/>
      <c r="Q937" s="236"/>
      <c r="R937" s="236"/>
    </row>
    <row r="938">
      <c r="A938" s="236"/>
      <c r="B938" s="236"/>
      <c r="C938" s="236"/>
      <c r="D938" s="236"/>
      <c r="E938" s="236"/>
      <c r="F938" s="367"/>
      <c r="G938" s="236"/>
      <c r="H938" s="236"/>
      <c r="I938" s="236"/>
      <c r="J938" s="236"/>
      <c r="K938" s="236"/>
      <c r="L938" s="236"/>
      <c r="M938" s="236"/>
      <c r="N938" s="236"/>
      <c r="O938" s="236"/>
      <c r="P938" s="236"/>
      <c r="Q938" s="236"/>
      <c r="R938" s="236"/>
    </row>
    <row r="939">
      <c r="A939" s="236"/>
      <c r="B939" s="236"/>
      <c r="C939" s="236"/>
      <c r="D939" s="236"/>
      <c r="E939" s="236"/>
      <c r="F939" s="367"/>
      <c r="G939" s="236"/>
      <c r="H939" s="236"/>
      <c r="I939" s="236"/>
      <c r="J939" s="236"/>
      <c r="K939" s="236"/>
      <c r="L939" s="236"/>
      <c r="M939" s="236"/>
      <c r="N939" s="236"/>
      <c r="O939" s="236"/>
      <c r="P939" s="236"/>
      <c r="Q939" s="236"/>
      <c r="R939" s="236"/>
    </row>
    <row r="940">
      <c r="A940" s="236"/>
      <c r="B940" s="236"/>
      <c r="C940" s="236"/>
      <c r="D940" s="236"/>
      <c r="E940" s="236"/>
      <c r="F940" s="367"/>
      <c r="G940" s="236"/>
      <c r="H940" s="236"/>
      <c r="I940" s="236"/>
      <c r="J940" s="236"/>
      <c r="K940" s="236"/>
      <c r="L940" s="236"/>
      <c r="M940" s="236"/>
      <c r="N940" s="236"/>
      <c r="O940" s="236"/>
      <c r="P940" s="236"/>
      <c r="Q940" s="236"/>
      <c r="R940" s="236"/>
    </row>
    <row r="941">
      <c r="A941" s="236"/>
      <c r="B941" s="236"/>
      <c r="C941" s="236"/>
      <c r="D941" s="236"/>
      <c r="E941" s="236"/>
      <c r="F941" s="367"/>
      <c r="G941" s="236"/>
      <c r="H941" s="236"/>
      <c r="I941" s="236"/>
      <c r="J941" s="236"/>
      <c r="K941" s="236"/>
      <c r="L941" s="236"/>
      <c r="M941" s="236"/>
      <c r="N941" s="236"/>
      <c r="O941" s="236"/>
      <c r="P941" s="236"/>
      <c r="Q941" s="236"/>
      <c r="R941" s="236"/>
    </row>
    <row r="942">
      <c r="A942" s="236"/>
      <c r="B942" s="236"/>
      <c r="C942" s="236"/>
      <c r="D942" s="236"/>
      <c r="E942" s="236"/>
      <c r="F942" s="367"/>
      <c r="G942" s="236"/>
      <c r="H942" s="236"/>
      <c r="I942" s="236"/>
      <c r="J942" s="236"/>
      <c r="K942" s="236"/>
      <c r="L942" s="236"/>
      <c r="M942" s="236"/>
      <c r="N942" s="236"/>
      <c r="O942" s="236"/>
      <c r="P942" s="236"/>
      <c r="Q942" s="236"/>
      <c r="R942" s="236"/>
    </row>
    <row r="943">
      <c r="A943" s="236"/>
      <c r="B943" s="236"/>
      <c r="C943" s="236"/>
      <c r="D943" s="236"/>
      <c r="E943" s="236"/>
      <c r="F943" s="367"/>
      <c r="G943" s="236"/>
      <c r="H943" s="236"/>
      <c r="I943" s="236"/>
      <c r="J943" s="236"/>
      <c r="K943" s="236"/>
      <c r="L943" s="236"/>
      <c r="M943" s="236"/>
      <c r="N943" s="236"/>
      <c r="O943" s="236"/>
      <c r="P943" s="236"/>
      <c r="Q943" s="236"/>
      <c r="R943" s="236"/>
    </row>
    <row r="944">
      <c r="A944" s="236"/>
      <c r="B944" s="236"/>
      <c r="C944" s="236"/>
      <c r="D944" s="236"/>
      <c r="E944" s="236"/>
      <c r="F944" s="367"/>
      <c r="G944" s="236"/>
      <c r="H944" s="236"/>
      <c r="I944" s="236"/>
      <c r="J944" s="236"/>
      <c r="K944" s="236"/>
      <c r="L944" s="236"/>
      <c r="M944" s="236"/>
      <c r="N944" s="236"/>
      <c r="O944" s="236"/>
      <c r="P944" s="236"/>
      <c r="Q944" s="236"/>
      <c r="R944" s="236"/>
    </row>
    <row r="945">
      <c r="A945" s="236"/>
      <c r="B945" s="236"/>
      <c r="C945" s="236"/>
      <c r="D945" s="236"/>
      <c r="E945" s="236"/>
      <c r="F945" s="367"/>
      <c r="G945" s="236"/>
      <c r="H945" s="236"/>
      <c r="I945" s="236"/>
      <c r="J945" s="236"/>
      <c r="K945" s="236"/>
      <c r="L945" s="236"/>
      <c r="M945" s="236"/>
      <c r="N945" s="236"/>
      <c r="O945" s="236"/>
      <c r="P945" s="236"/>
      <c r="Q945" s="236"/>
      <c r="R945" s="236"/>
    </row>
    <row r="946">
      <c r="A946" s="236"/>
      <c r="B946" s="236"/>
      <c r="C946" s="236"/>
      <c r="D946" s="236"/>
      <c r="E946" s="236"/>
      <c r="F946" s="367"/>
      <c r="G946" s="236"/>
      <c r="H946" s="236"/>
      <c r="I946" s="236"/>
      <c r="J946" s="236"/>
      <c r="K946" s="236"/>
      <c r="L946" s="236"/>
      <c r="M946" s="236"/>
      <c r="N946" s="236"/>
      <c r="O946" s="236"/>
      <c r="P946" s="236"/>
      <c r="Q946" s="236"/>
      <c r="R946" s="236"/>
    </row>
    <row r="947">
      <c r="A947" s="236"/>
      <c r="B947" s="236"/>
      <c r="C947" s="236"/>
      <c r="D947" s="236"/>
      <c r="E947" s="236"/>
      <c r="F947" s="367"/>
      <c r="G947" s="236"/>
      <c r="H947" s="236"/>
      <c r="I947" s="236"/>
      <c r="J947" s="236"/>
      <c r="K947" s="236"/>
      <c r="L947" s="236"/>
      <c r="M947" s="236"/>
      <c r="N947" s="236"/>
      <c r="O947" s="236"/>
      <c r="P947" s="236"/>
      <c r="Q947" s="236"/>
      <c r="R947" s="236"/>
    </row>
    <row r="948">
      <c r="A948" s="236"/>
      <c r="B948" s="236"/>
      <c r="C948" s="236"/>
      <c r="D948" s="236"/>
      <c r="E948" s="236"/>
      <c r="F948" s="367"/>
      <c r="G948" s="236"/>
      <c r="H948" s="236"/>
      <c r="I948" s="236"/>
      <c r="J948" s="236"/>
      <c r="K948" s="236"/>
      <c r="L948" s="236"/>
      <c r="M948" s="236"/>
      <c r="N948" s="236"/>
      <c r="O948" s="236"/>
      <c r="P948" s="236"/>
      <c r="Q948" s="236"/>
      <c r="R948" s="236"/>
    </row>
    <row r="949">
      <c r="A949" s="236"/>
      <c r="B949" s="236"/>
      <c r="C949" s="236"/>
      <c r="D949" s="236"/>
      <c r="E949" s="236"/>
      <c r="F949" s="367"/>
      <c r="G949" s="236"/>
      <c r="H949" s="236"/>
      <c r="I949" s="236"/>
      <c r="J949" s="236"/>
      <c r="K949" s="236"/>
      <c r="L949" s="236"/>
      <c r="M949" s="236"/>
      <c r="N949" s="236"/>
      <c r="O949" s="236"/>
      <c r="P949" s="236"/>
      <c r="Q949" s="236"/>
      <c r="R949" s="236"/>
    </row>
    <row r="950">
      <c r="A950" s="236"/>
      <c r="B950" s="236"/>
      <c r="C950" s="236"/>
      <c r="D950" s="236"/>
      <c r="E950" s="236"/>
      <c r="F950" s="367"/>
      <c r="G950" s="236"/>
      <c r="H950" s="236"/>
      <c r="I950" s="236"/>
      <c r="J950" s="236"/>
      <c r="K950" s="236"/>
      <c r="L950" s="236"/>
      <c r="M950" s="236"/>
      <c r="N950" s="236"/>
      <c r="O950" s="236"/>
      <c r="P950" s="236"/>
      <c r="Q950" s="236"/>
      <c r="R950" s="236"/>
    </row>
    <row r="951">
      <c r="A951" s="236"/>
      <c r="B951" s="236"/>
      <c r="C951" s="236"/>
      <c r="D951" s="236"/>
      <c r="E951" s="236"/>
      <c r="F951" s="367"/>
      <c r="G951" s="236"/>
      <c r="H951" s="236"/>
      <c r="I951" s="236"/>
      <c r="J951" s="236"/>
      <c r="K951" s="236"/>
      <c r="L951" s="236"/>
      <c r="M951" s="236"/>
      <c r="N951" s="236"/>
      <c r="O951" s="236"/>
      <c r="P951" s="236"/>
      <c r="Q951" s="236"/>
      <c r="R951" s="236"/>
    </row>
    <row r="952">
      <c r="A952" s="236"/>
      <c r="B952" s="236"/>
      <c r="C952" s="236"/>
      <c r="D952" s="236"/>
      <c r="E952" s="236"/>
      <c r="F952" s="367"/>
      <c r="G952" s="236"/>
      <c r="H952" s="236"/>
      <c r="I952" s="236"/>
      <c r="J952" s="236"/>
      <c r="K952" s="236"/>
      <c r="L952" s="236"/>
      <c r="M952" s="236"/>
      <c r="N952" s="236"/>
      <c r="O952" s="236"/>
      <c r="P952" s="236"/>
      <c r="Q952" s="236"/>
      <c r="R952" s="236"/>
    </row>
    <row r="953">
      <c r="A953" s="236"/>
      <c r="B953" s="236"/>
      <c r="C953" s="236"/>
      <c r="D953" s="236"/>
      <c r="E953" s="236"/>
      <c r="F953" s="367"/>
      <c r="G953" s="236"/>
      <c r="H953" s="236"/>
      <c r="I953" s="236"/>
      <c r="J953" s="236"/>
      <c r="K953" s="236"/>
      <c r="L953" s="236"/>
      <c r="M953" s="236"/>
      <c r="N953" s="236"/>
      <c r="O953" s="236"/>
      <c r="P953" s="236"/>
      <c r="Q953" s="236"/>
      <c r="R953" s="236"/>
    </row>
    <row r="954">
      <c r="A954" s="236"/>
      <c r="B954" s="236"/>
      <c r="C954" s="236"/>
      <c r="D954" s="236"/>
      <c r="E954" s="236"/>
      <c r="F954" s="367"/>
      <c r="G954" s="236"/>
      <c r="H954" s="236"/>
      <c r="I954" s="236"/>
      <c r="J954" s="236"/>
      <c r="K954" s="236"/>
      <c r="L954" s="236"/>
      <c r="M954" s="236"/>
      <c r="N954" s="236"/>
      <c r="O954" s="236"/>
      <c r="P954" s="236"/>
      <c r="Q954" s="236"/>
      <c r="R954" s="236"/>
    </row>
    <row r="955">
      <c r="A955" s="236"/>
      <c r="B955" s="236"/>
      <c r="C955" s="236"/>
      <c r="D955" s="236"/>
      <c r="E955" s="236"/>
      <c r="F955" s="367"/>
      <c r="G955" s="236"/>
      <c r="H955" s="236"/>
      <c r="I955" s="236"/>
      <c r="J955" s="236"/>
      <c r="K955" s="236"/>
      <c r="L955" s="236"/>
      <c r="M955" s="236"/>
      <c r="N955" s="236"/>
      <c r="O955" s="236"/>
      <c r="P955" s="236"/>
      <c r="Q955" s="236"/>
      <c r="R955" s="236"/>
    </row>
    <row r="956">
      <c r="A956" s="236"/>
      <c r="B956" s="236"/>
      <c r="C956" s="236"/>
      <c r="D956" s="236"/>
      <c r="E956" s="236"/>
      <c r="F956" s="367"/>
      <c r="G956" s="236"/>
      <c r="H956" s="236"/>
      <c r="I956" s="236"/>
      <c r="J956" s="236"/>
      <c r="K956" s="236"/>
      <c r="L956" s="236"/>
      <c r="M956" s="236"/>
      <c r="N956" s="236"/>
      <c r="O956" s="236"/>
      <c r="P956" s="236"/>
      <c r="Q956" s="236"/>
      <c r="R956" s="236"/>
    </row>
    <row r="957">
      <c r="A957" s="236"/>
      <c r="B957" s="236"/>
      <c r="C957" s="236"/>
      <c r="D957" s="236"/>
      <c r="E957" s="236"/>
      <c r="F957" s="367"/>
      <c r="G957" s="236"/>
      <c r="H957" s="236"/>
      <c r="I957" s="236"/>
      <c r="J957" s="236"/>
      <c r="K957" s="236"/>
      <c r="L957" s="236"/>
      <c r="M957" s="236"/>
      <c r="N957" s="236"/>
      <c r="O957" s="236"/>
      <c r="P957" s="236"/>
      <c r="Q957" s="236"/>
      <c r="R957" s="236"/>
    </row>
    <row r="958">
      <c r="A958" s="236"/>
      <c r="B958" s="236"/>
      <c r="C958" s="236"/>
      <c r="D958" s="236"/>
      <c r="E958" s="236"/>
      <c r="F958" s="367"/>
      <c r="G958" s="236"/>
      <c r="H958" s="236"/>
      <c r="I958" s="236"/>
      <c r="J958" s="236"/>
      <c r="K958" s="236"/>
      <c r="L958" s="236"/>
      <c r="M958" s="236"/>
      <c r="N958" s="236"/>
      <c r="O958" s="236"/>
      <c r="P958" s="236"/>
      <c r="Q958" s="236"/>
      <c r="R958" s="236"/>
    </row>
    <row r="959">
      <c r="A959" s="236"/>
      <c r="B959" s="236"/>
      <c r="C959" s="236"/>
      <c r="D959" s="236"/>
      <c r="E959" s="236"/>
      <c r="F959" s="367"/>
      <c r="G959" s="236"/>
      <c r="H959" s="236"/>
      <c r="I959" s="236"/>
      <c r="J959" s="236"/>
      <c r="K959" s="236"/>
      <c r="L959" s="236"/>
      <c r="M959" s="236"/>
      <c r="N959" s="236"/>
      <c r="O959" s="236"/>
      <c r="P959" s="236"/>
      <c r="Q959" s="236"/>
      <c r="R959" s="236"/>
    </row>
    <row r="960">
      <c r="A960" s="236"/>
      <c r="B960" s="236"/>
      <c r="C960" s="236"/>
      <c r="D960" s="236"/>
      <c r="E960" s="236"/>
      <c r="F960" s="367"/>
      <c r="G960" s="236"/>
      <c r="H960" s="236"/>
      <c r="I960" s="236"/>
      <c r="J960" s="236"/>
      <c r="K960" s="236"/>
      <c r="L960" s="236"/>
      <c r="M960" s="236"/>
      <c r="N960" s="236"/>
      <c r="O960" s="236"/>
      <c r="P960" s="236"/>
      <c r="Q960" s="236"/>
      <c r="R960" s="236"/>
    </row>
    <row r="961">
      <c r="A961" s="236"/>
      <c r="B961" s="236"/>
      <c r="C961" s="236"/>
      <c r="D961" s="236"/>
      <c r="E961" s="236"/>
      <c r="F961" s="367"/>
      <c r="G961" s="236"/>
      <c r="H961" s="236"/>
      <c r="I961" s="236"/>
      <c r="J961" s="236"/>
      <c r="K961" s="236"/>
      <c r="L961" s="236"/>
      <c r="M961" s="236"/>
      <c r="N961" s="236"/>
      <c r="O961" s="236"/>
      <c r="P961" s="236"/>
      <c r="Q961" s="236"/>
      <c r="R961" s="236"/>
    </row>
    <row r="962">
      <c r="A962" s="236"/>
      <c r="B962" s="236"/>
      <c r="C962" s="236"/>
      <c r="D962" s="236"/>
      <c r="E962" s="236"/>
      <c r="F962" s="367"/>
      <c r="G962" s="236"/>
      <c r="H962" s="236"/>
      <c r="I962" s="236"/>
      <c r="J962" s="236"/>
      <c r="K962" s="236"/>
      <c r="L962" s="236"/>
      <c r="M962" s="236"/>
      <c r="N962" s="236"/>
      <c r="O962" s="236"/>
      <c r="P962" s="236"/>
      <c r="Q962" s="236"/>
      <c r="R962" s="236"/>
    </row>
    <row r="963">
      <c r="A963" s="236"/>
      <c r="B963" s="236"/>
      <c r="C963" s="236"/>
      <c r="D963" s="236"/>
      <c r="E963" s="236"/>
      <c r="F963" s="367"/>
      <c r="G963" s="236"/>
      <c r="H963" s="236"/>
      <c r="I963" s="236"/>
      <c r="J963" s="236"/>
      <c r="K963" s="236"/>
      <c r="L963" s="236"/>
      <c r="M963" s="236"/>
      <c r="N963" s="236"/>
      <c r="O963" s="236"/>
      <c r="P963" s="236"/>
      <c r="Q963" s="236"/>
      <c r="R963" s="236"/>
    </row>
    <row r="964">
      <c r="A964" s="236"/>
      <c r="B964" s="236"/>
      <c r="C964" s="236"/>
      <c r="D964" s="236"/>
      <c r="E964" s="236"/>
      <c r="F964" s="367"/>
      <c r="G964" s="236"/>
      <c r="H964" s="236"/>
      <c r="I964" s="236"/>
      <c r="J964" s="236"/>
      <c r="K964" s="236"/>
      <c r="L964" s="236"/>
      <c r="M964" s="236"/>
      <c r="N964" s="236"/>
      <c r="O964" s="236"/>
      <c r="P964" s="236"/>
      <c r="Q964" s="236"/>
      <c r="R964" s="236"/>
    </row>
    <row r="965">
      <c r="A965" s="236"/>
      <c r="B965" s="236"/>
      <c r="C965" s="236"/>
      <c r="D965" s="236"/>
      <c r="E965" s="236"/>
      <c r="F965" s="367"/>
      <c r="G965" s="236"/>
      <c r="H965" s="236"/>
      <c r="I965" s="236"/>
      <c r="J965" s="236"/>
      <c r="K965" s="236"/>
      <c r="L965" s="236"/>
      <c r="M965" s="236"/>
      <c r="N965" s="236"/>
      <c r="O965" s="236"/>
      <c r="P965" s="236"/>
      <c r="Q965" s="236"/>
      <c r="R965" s="236"/>
    </row>
    <row r="966">
      <c r="A966" s="236"/>
      <c r="B966" s="236"/>
      <c r="C966" s="236"/>
      <c r="D966" s="236"/>
      <c r="E966" s="236"/>
      <c r="F966" s="367"/>
      <c r="G966" s="236"/>
      <c r="H966" s="236"/>
      <c r="I966" s="236"/>
      <c r="J966" s="236"/>
      <c r="K966" s="236"/>
      <c r="L966" s="236"/>
      <c r="M966" s="236"/>
      <c r="N966" s="236"/>
      <c r="O966" s="236"/>
      <c r="P966" s="236"/>
      <c r="Q966" s="236"/>
      <c r="R966" s="236"/>
    </row>
    <row r="967">
      <c r="A967" s="236"/>
      <c r="B967" s="236"/>
      <c r="C967" s="236"/>
      <c r="D967" s="236"/>
      <c r="E967" s="236"/>
      <c r="F967" s="367"/>
      <c r="G967" s="236"/>
      <c r="H967" s="236"/>
      <c r="I967" s="236"/>
      <c r="J967" s="236"/>
      <c r="K967" s="236"/>
      <c r="L967" s="236"/>
      <c r="M967" s="236"/>
      <c r="N967" s="236"/>
      <c r="O967" s="236"/>
      <c r="P967" s="236"/>
      <c r="Q967" s="236"/>
      <c r="R967" s="236"/>
    </row>
    <row r="968">
      <c r="A968" s="236"/>
      <c r="B968" s="236"/>
      <c r="C968" s="236"/>
      <c r="D968" s="236"/>
      <c r="E968" s="236"/>
      <c r="F968" s="367"/>
      <c r="G968" s="236"/>
      <c r="H968" s="236"/>
      <c r="I968" s="236"/>
      <c r="J968" s="236"/>
      <c r="K968" s="236"/>
      <c r="L968" s="236"/>
      <c r="M968" s="236"/>
      <c r="N968" s="236"/>
      <c r="O968" s="236"/>
      <c r="P968" s="236"/>
      <c r="Q968" s="236"/>
      <c r="R968" s="236"/>
    </row>
    <row r="969">
      <c r="A969" s="236"/>
      <c r="B969" s="236"/>
      <c r="C969" s="236"/>
      <c r="D969" s="236"/>
      <c r="E969" s="236"/>
      <c r="F969" s="367"/>
      <c r="G969" s="236"/>
      <c r="H969" s="236"/>
      <c r="I969" s="236"/>
      <c r="J969" s="236"/>
      <c r="K969" s="236"/>
      <c r="L969" s="236"/>
      <c r="M969" s="236"/>
      <c r="N969" s="236"/>
      <c r="O969" s="236"/>
      <c r="P969" s="236"/>
      <c r="Q969" s="236"/>
      <c r="R969" s="236"/>
    </row>
    <row r="970">
      <c r="A970" s="236"/>
      <c r="B970" s="236"/>
      <c r="C970" s="236"/>
      <c r="D970" s="236"/>
      <c r="E970" s="236"/>
      <c r="F970" s="367"/>
      <c r="G970" s="236"/>
      <c r="H970" s="236"/>
      <c r="I970" s="236"/>
      <c r="J970" s="236"/>
      <c r="K970" s="236"/>
      <c r="L970" s="236"/>
      <c r="M970" s="236"/>
      <c r="N970" s="236"/>
      <c r="O970" s="236"/>
      <c r="P970" s="236"/>
      <c r="Q970" s="236"/>
      <c r="R970" s="236"/>
    </row>
    <row r="971">
      <c r="A971" s="236"/>
      <c r="B971" s="236"/>
      <c r="C971" s="236"/>
      <c r="D971" s="236"/>
      <c r="E971" s="236"/>
      <c r="F971" s="367"/>
      <c r="G971" s="236"/>
      <c r="H971" s="236"/>
      <c r="I971" s="236"/>
      <c r="J971" s="236"/>
      <c r="K971" s="236"/>
      <c r="L971" s="236"/>
      <c r="M971" s="236"/>
      <c r="N971" s="236"/>
      <c r="O971" s="236"/>
      <c r="P971" s="236"/>
      <c r="Q971" s="236"/>
      <c r="R971" s="236"/>
    </row>
    <row r="972">
      <c r="A972" s="236"/>
      <c r="B972" s="236"/>
      <c r="C972" s="236"/>
      <c r="D972" s="236"/>
      <c r="E972" s="236"/>
      <c r="F972" s="367"/>
      <c r="G972" s="236"/>
      <c r="H972" s="236"/>
      <c r="I972" s="236"/>
      <c r="J972" s="236"/>
      <c r="K972" s="236"/>
      <c r="L972" s="236"/>
      <c r="M972" s="236"/>
      <c r="N972" s="236"/>
      <c r="O972" s="236"/>
      <c r="P972" s="236"/>
      <c r="Q972" s="236"/>
      <c r="R972" s="236"/>
    </row>
    <row r="973">
      <c r="A973" s="236"/>
      <c r="B973" s="236"/>
      <c r="C973" s="236"/>
      <c r="D973" s="236"/>
      <c r="E973" s="236"/>
      <c r="F973" s="367"/>
      <c r="G973" s="236"/>
      <c r="H973" s="236"/>
      <c r="I973" s="236"/>
      <c r="J973" s="236"/>
      <c r="K973" s="236"/>
      <c r="L973" s="236"/>
      <c r="M973" s="236"/>
      <c r="N973" s="236"/>
      <c r="O973" s="236"/>
      <c r="P973" s="236"/>
      <c r="Q973" s="236"/>
      <c r="R973" s="236"/>
    </row>
    <row r="974">
      <c r="A974" s="236"/>
      <c r="B974" s="236"/>
      <c r="C974" s="236"/>
      <c r="D974" s="236"/>
      <c r="E974" s="236"/>
      <c r="F974" s="367"/>
      <c r="G974" s="236"/>
      <c r="H974" s="236"/>
      <c r="I974" s="236"/>
      <c r="J974" s="236"/>
      <c r="K974" s="236"/>
      <c r="L974" s="236"/>
      <c r="M974" s="236"/>
      <c r="N974" s="236"/>
      <c r="O974" s="236"/>
      <c r="P974" s="236"/>
      <c r="Q974" s="236"/>
      <c r="R974" s="236"/>
    </row>
    <row r="975">
      <c r="A975" s="236"/>
      <c r="B975" s="236"/>
      <c r="C975" s="236"/>
      <c r="D975" s="236"/>
      <c r="E975" s="236"/>
      <c r="F975" s="367"/>
      <c r="G975" s="236"/>
      <c r="H975" s="236"/>
      <c r="I975" s="236"/>
      <c r="J975" s="236"/>
      <c r="K975" s="236"/>
      <c r="L975" s="236"/>
      <c r="M975" s="236"/>
      <c r="N975" s="236"/>
      <c r="O975" s="236"/>
      <c r="P975" s="236"/>
      <c r="Q975" s="236"/>
      <c r="R975" s="236"/>
    </row>
    <row r="976">
      <c r="A976" s="236"/>
      <c r="B976" s="236"/>
      <c r="C976" s="236"/>
      <c r="D976" s="236"/>
      <c r="E976" s="236"/>
      <c r="F976" s="367"/>
      <c r="G976" s="236"/>
      <c r="H976" s="236"/>
      <c r="I976" s="236"/>
      <c r="J976" s="236"/>
      <c r="K976" s="236"/>
      <c r="L976" s="236"/>
      <c r="M976" s="236"/>
      <c r="N976" s="236"/>
      <c r="O976" s="236"/>
      <c r="P976" s="236"/>
      <c r="Q976" s="236"/>
      <c r="R976" s="236"/>
    </row>
    <row r="977">
      <c r="A977" s="236"/>
      <c r="B977" s="236"/>
      <c r="C977" s="236"/>
      <c r="D977" s="236"/>
      <c r="E977" s="236"/>
      <c r="F977" s="367"/>
      <c r="G977" s="236"/>
      <c r="H977" s="236"/>
      <c r="I977" s="236"/>
      <c r="J977" s="236"/>
      <c r="K977" s="236"/>
      <c r="L977" s="236"/>
      <c r="M977" s="236"/>
      <c r="N977" s="236"/>
      <c r="O977" s="236"/>
      <c r="P977" s="236"/>
      <c r="Q977" s="236"/>
      <c r="R977" s="236"/>
    </row>
    <row r="978">
      <c r="A978" s="236"/>
      <c r="B978" s="236"/>
      <c r="C978" s="236"/>
      <c r="D978" s="236"/>
      <c r="E978" s="236"/>
      <c r="F978" s="367"/>
      <c r="G978" s="236"/>
      <c r="H978" s="236"/>
      <c r="I978" s="236"/>
      <c r="J978" s="236"/>
      <c r="K978" s="236"/>
      <c r="L978" s="236"/>
      <c r="M978" s="236"/>
      <c r="N978" s="236"/>
      <c r="O978" s="236"/>
      <c r="P978" s="236"/>
      <c r="Q978" s="236"/>
      <c r="R978" s="236"/>
    </row>
    <row r="979">
      <c r="A979" s="236"/>
      <c r="B979" s="236"/>
      <c r="C979" s="236"/>
      <c r="D979" s="236"/>
      <c r="E979" s="236"/>
      <c r="F979" s="367"/>
      <c r="G979" s="236"/>
      <c r="H979" s="236"/>
      <c r="I979" s="236"/>
      <c r="J979" s="236"/>
      <c r="K979" s="236"/>
      <c r="L979" s="236"/>
      <c r="M979" s="236"/>
      <c r="N979" s="236"/>
      <c r="O979" s="236"/>
      <c r="P979" s="236"/>
      <c r="Q979" s="236"/>
      <c r="R979" s="236"/>
    </row>
    <row r="980">
      <c r="A980" s="236"/>
      <c r="B980" s="236"/>
      <c r="C980" s="236"/>
      <c r="D980" s="236"/>
      <c r="E980" s="236"/>
      <c r="F980" s="367"/>
      <c r="G980" s="236"/>
      <c r="H980" s="236"/>
      <c r="I980" s="236"/>
      <c r="J980" s="236"/>
      <c r="K980" s="236"/>
      <c r="L980" s="236"/>
      <c r="M980" s="236"/>
      <c r="N980" s="236"/>
      <c r="O980" s="236"/>
      <c r="P980" s="236"/>
      <c r="Q980" s="236"/>
      <c r="R980" s="236"/>
    </row>
    <row r="981">
      <c r="A981" s="236"/>
      <c r="B981" s="236"/>
      <c r="C981" s="236"/>
      <c r="D981" s="236"/>
      <c r="E981" s="236"/>
      <c r="F981" s="367"/>
      <c r="G981" s="236"/>
      <c r="H981" s="236"/>
      <c r="I981" s="236"/>
      <c r="J981" s="236"/>
      <c r="K981" s="236"/>
      <c r="L981" s="236"/>
      <c r="M981" s="236"/>
      <c r="N981" s="236"/>
      <c r="O981" s="236"/>
      <c r="P981" s="236"/>
      <c r="Q981" s="236"/>
      <c r="R981" s="236"/>
    </row>
    <row r="982">
      <c r="A982" s="236"/>
      <c r="B982" s="236"/>
      <c r="C982" s="236"/>
      <c r="D982" s="236"/>
      <c r="E982" s="236"/>
      <c r="F982" s="367"/>
      <c r="G982" s="236"/>
      <c r="H982" s="236"/>
      <c r="I982" s="236"/>
      <c r="J982" s="236"/>
      <c r="K982" s="236"/>
      <c r="L982" s="236"/>
      <c r="M982" s="236"/>
      <c r="N982" s="236"/>
      <c r="O982" s="236"/>
      <c r="P982" s="236"/>
      <c r="Q982" s="236"/>
      <c r="R982" s="236"/>
    </row>
    <row r="983">
      <c r="A983" s="236"/>
      <c r="B983" s="236"/>
      <c r="C983" s="236"/>
      <c r="D983" s="236"/>
      <c r="E983" s="236"/>
      <c r="F983" s="367"/>
      <c r="G983" s="236"/>
      <c r="H983" s="236"/>
      <c r="I983" s="236"/>
      <c r="J983" s="236"/>
      <c r="K983" s="236"/>
      <c r="L983" s="236"/>
      <c r="M983" s="236"/>
      <c r="N983" s="236"/>
      <c r="O983" s="236"/>
      <c r="P983" s="236"/>
      <c r="Q983" s="236"/>
      <c r="R983" s="236"/>
    </row>
    <row r="984">
      <c r="A984" s="236"/>
      <c r="B984" s="236"/>
      <c r="C984" s="236"/>
      <c r="D984" s="236"/>
      <c r="E984" s="236"/>
      <c r="F984" s="367"/>
      <c r="G984" s="236"/>
      <c r="H984" s="236"/>
      <c r="I984" s="236"/>
      <c r="J984" s="236"/>
      <c r="K984" s="236"/>
      <c r="L984" s="236"/>
      <c r="M984" s="236"/>
      <c r="N984" s="236"/>
      <c r="O984" s="236"/>
      <c r="P984" s="236"/>
      <c r="Q984" s="236"/>
      <c r="R984" s="236"/>
    </row>
    <row r="985">
      <c r="A985" s="236"/>
      <c r="B985" s="236"/>
      <c r="C985" s="236"/>
      <c r="D985" s="236"/>
      <c r="E985" s="236"/>
      <c r="F985" s="367"/>
      <c r="G985" s="236"/>
      <c r="H985" s="236"/>
      <c r="I985" s="236"/>
      <c r="J985" s="236"/>
      <c r="K985" s="236"/>
      <c r="L985" s="236"/>
      <c r="M985" s="236"/>
      <c r="N985" s="236"/>
      <c r="O985" s="236"/>
      <c r="P985" s="236"/>
      <c r="Q985" s="236"/>
      <c r="R985" s="236"/>
    </row>
    <row r="986">
      <c r="A986" s="236"/>
      <c r="B986" s="236"/>
      <c r="C986" s="236"/>
      <c r="D986" s="236"/>
      <c r="E986" s="236"/>
      <c r="F986" s="367"/>
      <c r="G986" s="236"/>
      <c r="H986" s="236"/>
      <c r="I986" s="236"/>
      <c r="J986" s="236"/>
      <c r="K986" s="236"/>
      <c r="L986" s="236"/>
      <c r="M986" s="236"/>
      <c r="N986" s="236"/>
      <c r="O986" s="236"/>
      <c r="P986" s="236"/>
      <c r="Q986" s="236"/>
      <c r="R986" s="236"/>
    </row>
    <row r="987">
      <c r="A987" s="236"/>
      <c r="B987" s="236"/>
      <c r="C987" s="236"/>
      <c r="D987" s="236"/>
      <c r="E987" s="236"/>
      <c r="F987" s="367"/>
      <c r="G987" s="236"/>
      <c r="H987" s="236"/>
      <c r="I987" s="236"/>
      <c r="J987" s="236"/>
      <c r="K987" s="236"/>
      <c r="L987" s="236"/>
      <c r="M987" s="236"/>
      <c r="N987" s="236"/>
      <c r="O987" s="236"/>
      <c r="P987" s="236"/>
      <c r="Q987" s="236"/>
      <c r="R987" s="236"/>
    </row>
    <row r="988">
      <c r="A988" s="236"/>
      <c r="B988" s="236"/>
      <c r="C988" s="236"/>
      <c r="D988" s="236"/>
      <c r="E988" s="236"/>
      <c r="F988" s="367"/>
      <c r="G988" s="236"/>
      <c r="H988" s="236"/>
      <c r="I988" s="236"/>
      <c r="J988" s="236"/>
      <c r="K988" s="236"/>
      <c r="L988" s="236"/>
      <c r="M988" s="236"/>
      <c r="N988" s="236"/>
      <c r="O988" s="236"/>
      <c r="P988" s="236"/>
      <c r="Q988" s="236"/>
      <c r="R988" s="236"/>
    </row>
    <row r="989">
      <c r="A989" s="236"/>
      <c r="B989" s="236"/>
      <c r="C989" s="236"/>
      <c r="D989" s="236"/>
      <c r="E989" s="236"/>
      <c r="F989" s="367"/>
      <c r="G989" s="236"/>
      <c r="H989" s="236"/>
      <c r="I989" s="236"/>
      <c r="J989" s="236"/>
      <c r="K989" s="236"/>
      <c r="L989" s="236"/>
      <c r="M989" s="236"/>
      <c r="N989" s="236"/>
      <c r="O989" s="236"/>
      <c r="P989" s="236"/>
      <c r="Q989" s="236"/>
      <c r="R989" s="236"/>
    </row>
    <row r="990">
      <c r="A990" s="236"/>
      <c r="B990" s="236"/>
      <c r="C990" s="236"/>
      <c r="D990" s="236"/>
      <c r="E990" s="236"/>
      <c r="F990" s="367"/>
      <c r="G990" s="236"/>
      <c r="H990" s="236"/>
      <c r="I990" s="236"/>
      <c r="J990" s="236"/>
      <c r="K990" s="236"/>
      <c r="L990" s="236"/>
      <c r="M990" s="236"/>
      <c r="N990" s="236"/>
      <c r="O990" s="236"/>
      <c r="P990" s="236"/>
      <c r="Q990" s="236"/>
      <c r="R990" s="236"/>
    </row>
    <row r="991">
      <c r="A991" s="236"/>
      <c r="B991" s="236"/>
      <c r="C991" s="236"/>
      <c r="D991" s="236"/>
      <c r="E991" s="236"/>
      <c r="F991" s="367"/>
      <c r="G991" s="236"/>
      <c r="H991" s="236"/>
      <c r="I991" s="236"/>
      <c r="J991" s="236"/>
      <c r="K991" s="236"/>
      <c r="L991" s="236"/>
      <c r="M991" s="236"/>
      <c r="N991" s="236"/>
      <c r="O991" s="236"/>
      <c r="P991" s="236"/>
      <c r="Q991" s="236"/>
      <c r="R991" s="236"/>
    </row>
    <row r="992">
      <c r="A992" s="236"/>
      <c r="B992" s="236"/>
      <c r="C992" s="236"/>
      <c r="D992" s="236"/>
      <c r="E992" s="236"/>
      <c r="F992" s="367"/>
      <c r="G992" s="236"/>
      <c r="H992" s="236"/>
      <c r="I992" s="236"/>
      <c r="J992" s="236"/>
      <c r="K992" s="236"/>
      <c r="L992" s="236"/>
      <c r="M992" s="236"/>
      <c r="N992" s="236"/>
      <c r="O992" s="236"/>
      <c r="P992" s="236"/>
      <c r="Q992" s="236"/>
      <c r="R992" s="236"/>
    </row>
    <row r="993">
      <c r="A993" s="236"/>
      <c r="B993" s="236"/>
      <c r="C993" s="236"/>
      <c r="D993" s="236"/>
      <c r="E993" s="236"/>
      <c r="F993" s="367"/>
      <c r="G993" s="236"/>
      <c r="H993" s="236"/>
      <c r="I993" s="236"/>
      <c r="J993" s="236"/>
      <c r="K993" s="236"/>
      <c r="L993" s="236"/>
      <c r="M993" s="236"/>
      <c r="N993" s="236"/>
      <c r="O993" s="236"/>
      <c r="P993" s="236"/>
      <c r="Q993" s="236"/>
      <c r="R993" s="236"/>
    </row>
    <row r="994">
      <c r="A994" s="236"/>
      <c r="B994" s="236"/>
      <c r="C994" s="236"/>
      <c r="D994" s="236"/>
      <c r="E994" s="236"/>
      <c r="F994" s="367"/>
      <c r="G994" s="236"/>
      <c r="H994" s="236"/>
      <c r="I994" s="236"/>
      <c r="J994" s="236"/>
      <c r="K994" s="236"/>
      <c r="L994" s="236"/>
      <c r="M994" s="236"/>
      <c r="N994" s="236"/>
      <c r="O994" s="236"/>
      <c r="P994" s="236"/>
      <c r="Q994" s="236"/>
      <c r="R994" s="236"/>
    </row>
    <row r="995">
      <c r="A995" s="236"/>
      <c r="B995" s="236"/>
      <c r="C995" s="236"/>
      <c r="D995" s="236"/>
      <c r="E995" s="236"/>
      <c r="F995" s="367"/>
      <c r="G995" s="236"/>
      <c r="H995" s="236"/>
      <c r="I995" s="236"/>
      <c r="J995" s="236"/>
      <c r="K995" s="236"/>
      <c r="L995" s="236"/>
      <c r="M995" s="236"/>
      <c r="N995" s="236"/>
      <c r="O995" s="236"/>
      <c r="P995" s="236"/>
      <c r="Q995" s="236"/>
      <c r="R995" s="236"/>
    </row>
    <row r="996">
      <c r="A996" s="236"/>
      <c r="B996" s="236"/>
      <c r="C996" s="236"/>
      <c r="D996" s="236"/>
      <c r="E996" s="236"/>
      <c r="F996" s="367"/>
      <c r="G996" s="236"/>
      <c r="H996" s="236"/>
      <c r="I996" s="236"/>
      <c r="J996" s="236"/>
      <c r="K996" s="236"/>
      <c r="L996" s="236"/>
      <c r="M996" s="236"/>
      <c r="N996" s="236"/>
      <c r="O996" s="236"/>
      <c r="P996" s="236"/>
      <c r="Q996" s="236"/>
      <c r="R996" s="236"/>
    </row>
    <row r="997">
      <c r="A997" s="236"/>
      <c r="B997" s="236"/>
      <c r="C997" s="236"/>
      <c r="D997" s="236"/>
      <c r="E997" s="236"/>
      <c r="F997" s="367"/>
      <c r="G997" s="236"/>
      <c r="H997" s="236"/>
      <c r="I997" s="236"/>
      <c r="J997" s="236"/>
      <c r="K997" s="236"/>
      <c r="L997" s="236"/>
      <c r="M997" s="236"/>
      <c r="N997" s="236"/>
      <c r="O997" s="236"/>
      <c r="P997" s="236"/>
      <c r="Q997" s="236"/>
      <c r="R997" s="236"/>
    </row>
    <row r="998">
      <c r="A998" s="236"/>
      <c r="B998" s="236"/>
      <c r="C998" s="236"/>
      <c r="D998" s="236"/>
      <c r="E998" s="236"/>
      <c r="F998" s="367"/>
      <c r="G998" s="236"/>
      <c r="H998" s="236"/>
      <c r="I998" s="236"/>
      <c r="J998" s="236"/>
      <c r="K998" s="236"/>
      <c r="L998" s="236"/>
      <c r="M998" s="236"/>
      <c r="N998" s="236"/>
      <c r="O998" s="236"/>
      <c r="P998" s="236"/>
      <c r="Q998" s="236"/>
      <c r="R998" s="236"/>
    </row>
    <row r="999">
      <c r="A999" s="236"/>
      <c r="B999" s="236"/>
      <c r="C999" s="236"/>
      <c r="D999" s="236"/>
      <c r="E999" s="236"/>
      <c r="F999" s="367"/>
      <c r="G999" s="236"/>
      <c r="H999" s="236"/>
      <c r="I999" s="236"/>
      <c r="J999" s="236"/>
      <c r="K999" s="236"/>
      <c r="L999" s="236"/>
      <c r="M999" s="236"/>
      <c r="N999" s="236"/>
      <c r="O999" s="236"/>
      <c r="P999" s="236"/>
      <c r="Q999" s="236"/>
      <c r="R999" s="236"/>
    </row>
    <row r="1000">
      <c r="A1000" s="236"/>
      <c r="B1000" s="236"/>
      <c r="C1000" s="236"/>
      <c r="D1000" s="236"/>
      <c r="E1000" s="236"/>
      <c r="F1000" s="367"/>
      <c r="G1000" s="236"/>
      <c r="H1000" s="236"/>
      <c r="I1000" s="236"/>
      <c r="J1000" s="236"/>
      <c r="K1000" s="236"/>
      <c r="L1000" s="236"/>
      <c r="M1000" s="236"/>
      <c r="N1000" s="236"/>
      <c r="O1000" s="236"/>
      <c r="P1000" s="236"/>
      <c r="Q1000" s="236"/>
      <c r="R1000" s="236"/>
    </row>
    <row r="1001">
      <c r="A1001" s="236"/>
      <c r="B1001" s="236"/>
      <c r="C1001" s="236"/>
      <c r="D1001" s="236"/>
      <c r="E1001" s="236"/>
      <c r="F1001" s="236"/>
      <c r="G1001" s="236"/>
      <c r="H1001" s="236"/>
      <c r="I1001" s="236"/>
      <c r="J1001" s="236"/>
      <c r="K1001" s="236"/>
      <c r="L1001" s="236"/>
      <c r="M1001" s="236"/>
      <c r="N1001" s="236"/>
      <c r="O1001" s="236"/>
      <c r="P1001" s="236"/>
      <c r="Q1001" s="236"/>
      <c r="R1001" s="236"/>
    </row>
    <row r="1002">
      <c r="A1002" s="236"/>
      <c r="B1002" s="236"/>
      <c r="C1002" s="236"/>
      <c r="D1002" s="236"/>
      <c r="E1002" s="236"/>
      <c r="F1002" s="236"/>
      <c r="G1002" s="236"/>
      <c r="H1002" s="236"/>
      <c r="I1002" s="236"/>
      <c r="J1002" s="236"/>
      <c r="K1002" s="236"/>
      <c r="L1002" s="236"/>
      <c r="M1002" s="236"/>
      <c r="N1002" s="236"/>
      <c r="O1002" s="236"/>
      <c r="P1002" s="236"/>
      <c r="Q1002" s="236"/>
      <c r="R1002" s="236"/>
    </row>
    <row r="1003">
      <c r="A1003" s="236"/>
      <c r="B1003" s="236"/>
      <c r="C1003" s="236"/>
      <c r="D1003" s="236"/>
      <c r="E1003" s="236"/>
      <c r="F1003" s="236"/>
      <c r="G1003" s="236"/>
      <c r="H1003" s="236"/>
      <c r="I1003" s="236"/>
      <c r="J1003" s="236"/>
      <c r="K1003" s="236"/>
      <c r="L1003" s="236"/>
      <c r="M1003" s="236"/>
      <c r="N1003" s="236"/>
      <c r="O1003" s="236"/>
      <c r="P1003" s="236"/>
      <c r="Q1003" s="236"/>
      <c r="R1003" s="236"/>
    </row>
    <row r="1004">
      <c r="A1004" s="236"/>
      <c r="B1004" s="236"/>
      <c r="C1004" s="236"/>
      <c r="D1004" s="236"/>
      <c r="E1004" s="236"/>
      <c r="F1004" s="236"/>
      <c r="G1004" s="236"/>
      <c r="H1004" s="236"/>
      <c r="I1004" s="236"/>
      <c r="J1004" s="236"/>
      <c r="K1004" s="236"/>
      <c r="L1004" s="236"/>
      <c r="M1004" s="236"/>
      <c r="N1004" s="236"/>
      <c r="O1004" s="236"/>
      <c r="P1004" s="236"/>
      <c r="Q1004" s="236"/>
      <c r="R1004" s="236"/>
    </row>
    <row r="1005">
      <c r="A1005" s="236"/>
      <c r="B1005" s="236"/>
      <c r="C1005" s="236"/>
      <c r="D1005" s="236"/>
      <c r="E1005" s="236"/>
      <c r="F1005" s="236"/>
      <c r="G1005" s="236"/>
      <c r="H1005" s="236"/>
      <c r="I1005" s="236"/>
      <c r="J1005" s="236"/>
      <c r="K1005" s="236"/>
      <c r="L1005" s="236"/>
      <c r="M1005" s="236"/>
      <c r="N1005" s="236"/>
      <c r="O1005" s="236"/>
      <c r="P1005" s="236"/>
      <c r="Q1005" s="236"/>
      <c r="R1005" s="236"/>
    </row>
    <row r="1006">
      <c r="A1006" s="236"/>
      <c r="B1006" s="236"/>
      <c r="C1006" s="236"/>
      <c r="D1006" s="236"/>
      <c r="E1006" s="236"/>
      <c r="F1006" s="236"/>
      <c r="G1006" s="236"/>
      <c r="H1006" s="236"/>
      <c r="I1006" s="236"/>
      <c r="J1006" s="236"/>
      <c r="K1006" s="236"/>
      <c r="L1006" s="236"/>
      <c r="M1006" s="236"/>
      <c r="N1006" s="236"/>
      <c r="O1006" s="236"/>
      <c r="P1006" s="236"/>
      <c r="Q1006" s="236"/>
      <c r="R1006" s="236"/>
    </row>
    <row r="1007">
      <c r="A1007" s="236"/>
      <c r="B1007" s="236"/>
      <c r="C1007" s="236"/>
      <c r="D1007" s="236"/>
      <c r="E1007" s="236"/>
      <c r="F1007" s="236"/>
      <c r="G1007" s="236"/>
      <c r="H1007" s="236"/>
      <c r="I1007" s="236"/>
      <c r="J1007" s="236"/>
      <c r="K1007" s="236"/>
      <c r="L1007" s="236"/>
      <c r="M1007" s="236"/>
      <c r="N1007" s="236"/>
      <c r="O1007" s="236"/>
      <c r="P1007" s="236"/>
      <c r="Q1007" s="236"/>
      <c r="R1007" s="236"/>
    </row>
    <row r="1008">
      <c r="A1008" s="236"/>
      <c r="B1008" s="236"/>
      <c r="C1008" s="236"/>
      <c r="D1008" s="236"/>
      <c r="E1008" s="236"/>
      <c r="F1008" s="236"/>
      <c r="G1008" s="236"/>
      <c r="H1008" s="236"/>
      <c r="I1008" s="236"/>
      <c r="J1008" s="236"/>
      <c r="K1008" s="236"/>
      <c r="L1008" s="236"/>
      <c r="M1008" s="236"/>
      <c r="N1008" s="236"/>
      <c r="O1008" s="236"/>
      <c r="P1008" s="236"/>
      <c r="Q1008" s="236"/>
      <c r="R1008" s="236"/>
    </row>
    <row r="1009">
      <c r="A1009" s="236"/>
      <c r="B1009" s="236"/>
      <c r="C1009" s="236"/>
      <c r="D1009" s="236"/>
      <c r="E1009" s="236"/>
      <c r="F1009" s="236"/>
      <c r="G1009" s="236"/>
      <c r="H1009" s="236"/>
      <c r="I1009" s="236"/>
      <c r="J1009" s="236"/>
      <c r="K1009" s="236"/>
      <c r="L1009" s="236"/>
      <c r="M1009" s="236"/>
      <c r="N1009" s="236"/>
      <c r="O1009" s="236"/>
      <c r="P1009" s="236"/>
      <c r="Q1009" s="236"/>
      <c r="R1009" s="236"/>
    </row>
    <row r="1010">
      <c r="A1010" s="236"/>
      <c r="B1010" s="236"/>
      <c r="C1010" s="236"/>
      <c r="D1010" s="236"/>
      <c r="E1010" s="236"/>
      <c r="F1010" s="236"/>
      <c r="G1010" s="236"/>
      <c r="H1010" s="236"/>
      <c r="I1010" s="236"/>
      <c r="J1010" s="236"/>
      <c r="K1010" s="236"/>
      <c r="L1010" s="236"/>
      <c r="M1010" s="236"/>
      <c r="N1010" s="236"/>
      <c r="O1010" s="236"/>
      <c r="P1010" s="236"/>
      <c r="Q1010" s="236"/>
      <c r="R1010" s="236"/>
    </row>
    <row r="1011">
      <c r="A1011" s="236"/>
      <c r="B1011" s="236"/>
      <c r="C1011" s="236"/>
      <c r="D1011" s="236"/>
      <c r="E1011" s="236"/>
      <c r="F1011" s="236"/>
      <c r="G1011" s="236"/>
      <c r="H1011" s="236"/>
      <c r="I1011" s="236"/>
      <c r="J1011" s="236"/>
      <c r="K1011" s="236"/>
      <c r="L1011" s="236"/>
      <c r="M1011" s="236"/>
      <c r="N1011" s="236"/>
      <c r="O1011" s="236"/>
      <c r="P1011" s="236"/>
      <c r="Q1011" s="236"/>
      <c r="R1011" s="236"/>
    </row>
    <row r="1012">
      <c r="A1012" s="236"/>
      <c r="B1012" s="236"/>
      <c r="C1012" s="236"/>
      <c r="D1012" s="236"/>
      <c r="E1012" s="236"/>
      <c r="F1012" s="236"/>
      <c r="G1012" s="236"/>
      <c r="H1012" s="236"/>
      <c r="I1012" s="236"/>
      <c r="J1012" s="236"/>
      <c r="K1012" s="236"/>
      <c r="L1012" s="236"/>
      <c r="M1012" s="236"/>
      <c r="N1012" s="236"/>
      <c r="O1012" s="236"/>
      <c r="P1012" s="236"/>
      <c r="Q1012" s="236"/>
      <c r="R1012" s="236"/>
    </row>
    <row r="1013">
      <c r="A1013" s="236"/>
      <c r="B1013" s="236"/>
      <c r="C1013" s="236"/>
      <c r="D1013" s="236"/>
      <c r="E1013" s="236"/>
      <c r="F1013" s="236"/>
      <c r="G1013" s="236"/>
      <c r="H1013" s="236"/>
      <c r="I1013" s="236"/>
      <c r="J1013" s="236"/>
      <c r="K1013" s="236"/>
      <c r="L1013" s="236"/>
      <c r="M1013" s="236"/>
      <c r="N1013" s="236"/>
      <c r="O1013" s="236"/>
      <c r="P1013" s="236"/>
      <c r="Q1013" s="236"/>
      <c r="R1013" s="236"/>
    </row>
    <row r="1014">
      <c r="A1014" s="236"/>
      <c r="B1014" s="236"/>
      <c r="C1014" s="236"/>
      <c r="D1014" s="236"/>
      <c r="E1014" s="236"/>
      <c r="F1014" s="236"/>
      <c r="G1014" s="236"/>
      <c r="H1014" s="236"/>
      <c r="I1014" s="236"/>
      <c r="J1014" s="236"/>
      <c r="K1014" s="236"/>
      <c r="L1014" s="236"/>
      <c r="M1014" s="236"/>
      <c r="N1014" s="236"/>
      <c r="O1014" s="236"/>
      <c r="P1014" s="236"/>
      <c r="Q1014" s="236"/>
      <c r="R1014" s="236"/>
    </row>
    <row r="1015">
      <c r="A1015" s="236"/>
      <c r="B1015" s="236"/>
      <c r="C1015" s="236"/>
      <c r="D1015" s="236"/>
      <c r="E1015" s="236"/>
      <c r="F1015" s="236"/>
      <c r="G1015" s="236"/>
      <c r="H1015" s="236"/>
      <c r="I1015" s="236"/>
      <c r="J1015" s="236"/>
      <c r="K1015" s="236"/>
      <c r="L1015" s="236"/>
      <c r="M1015" s="236"/>
      <c r="N1015" s="236"/>
      <c r="O1015" s="236"/>
      <c r="P1015" s="236"/>
      <c r="Q1015" s="236"/>
      <c r="R1015" s="236"/>
    </row>
    <row r="1016">
      <c r="A1016" s="236"/>
      <c r="B1016" s="236"/>
      <c r="C1016" s="236"/>
      <c r="D1016" s="236"/>
      <c r="E1016" s="236"/>
      <c r="F1016" s="236"/>
      <c r="G1016" s="236"/>
      <c r="H1016" s="236"/>
      <c r="I1016" s="236"/>
      <c r="J1016" s="236"/>
      <c r="K1016" s="236"/>
      <c r="L1016" s="236"/>
      <c r="M1016" s="236"/>
      <c r="N1016" s="236"/>
      <c r="O1016" s="236"/>
      <c r="P1016" s="236"/>
      <c r="Q1016" s="236"/>
      <c r="R1016" s="236"/>
    </row>
    <row r="1017">
      <c r="A1017" s="236"/>
      <c r="B1017" s="236"/>
      <c r="C1017" s="236"/>
      <c r="D1017" s="236"/>
      <c r="E1017" s="236"/>
      <c r="F1017" s="236"/>
      <c r="G1017" s="236"/>
      <c r="H1017" s="236"/>
      <c r="I1017" s="236"/>
      <c r="J1017" s="236"/>
      <c r="K1017" s="236"/>
      <c r="L1017" s="236"/>
      <c r="M1017" s="236"/>
      <c r="N1017" s="236"/>
      <c r="O1017" s="236"/>
      <c r="P1017" s="236"/>
      <c r="Q1017" s="236"/>
      <c r="R1017" s="236"/>
    </row>
    <row r="1018">
      <c r="A1018" s="236"/>
      <c r="B1018" s="236"/>
      <c r="C1018" s="236"/>
      <c r="D1018" s="236"/>
      <c r="E1018" s="236"/>
      <c r="F1018" s="236"/>
      <c r="G1018" s="236"/>
      <c r="H1018" s="236"/>
      <c r="I1018" s="236"/>
      <c r="J1018" s="236"/>
      <c r="K1018" s="236"/>
      <c r="L1018" s="236"/>
      <c r="M1018" s="236"/>
      <c r="N1018" s="236"/>
      <c r="O1018" s="236"/>
      <c r="P1018" s="236"/>
      <c r="Q1018" s="236"/>
      <c r="R1018" s="236"/>
    </row>
    <row r="1019">
      <c r="A1019" s="236"/>
      <c r="B1019" s="236"/>
      <c r="C1019" s="236"/>
      <c r="D1019" s="236"/>
      <c r="E1019" s="236"/>
      <c r="F1019" s="236"/>
      <c r="G1019" s="236"/>
      <c r="H1019" s="236"/>
      <c r="I1019" s="236"/>
      <c r="J1019" s="236"/>
      <c r="K1019" s="236"/>
      <c r="L1019" s="236"/>
      <c r="M1019" s="236"/>
      <c r="N1019" s="236"/>
      <c r="O1019" s="236"/>
      <c r="P1019" s="236"/>
      <c r="Q1019" s="236"/>
      <c r="R1019" s="236"/>
    </row>
    <row r="1020">
      <c r="A1020" s="236"/>
      <c r="B1020" s="236"/>
      <c r="C1020" s="236"/>
      <c r="D1020" s="236"/>
      <c r="E1020" s="236"/>
      <c r="F1020" s="236"/>
      <c r="G1020" s="236"/>
      <c r="H1020" s="236"/>
      <c r="I1020" s="236"/>
      <c r="J1020" s="236"/>
      <c r="K1020" s="236"/>
      <c r="L1020" s="236"/>
      <c r="M1020" s="236"/>
      <c r="N1020" s="236"/>
      <c r="O1020" s="236"/>
      <c r="P1020" s="236"/>
      <c r="Q1020" s="236"/>
      <c r="R1020" s="236"/>
    </row>
    <row r="1021">
      <c r="A1021" s="236"/>
      <c r="B1021" s="236"/>
      <c r="C1021" s="236"/>
      <c r="D1021" s="236"/>
      <c r="E1021" s="236"/>
      <c r="F1021" s="236"/>
      <c r="G1021" s="236"/>
      <c r="H1021" s="236"/>
      <c r="I1021" s="236"/>
      <c r="J1021" s="236"/>
      <c r="K1021" s="236"/>
      <c r="L1021" s="236"/>
      <c r="M1021" s="236"/>
      <c r="N1021" s="236"/>
      <c r="O1021" s="236"/>
      <c r="P1021" s="236"/>
      <c r="Q1021" s="236"/>
      <c r="R1021" s="236"/>
    </row>
    <row r="1022">
      <c r="A1022" s="236"/>
      <c r="B1022" s="236"/>
      <c r="C1022" s="236"/>
      <c r="D1022" s="236"/>
      <c r="E1022" s="236"/>
      <c r="F1022" s="236"/>
      <c r="G1022" s="236"/>
      <c r="H1022" s="236"/>
      <c r="I1022" s="236"/>
      <c r="J1022" s="236"/>
      <c r="K1022" s="236"/>
      <c r="L1022" s="236"/>
      <c r="M1022" s="236"/>
      <c r="N1022" s="236"/>
      <c r="O1022" s="236"/>
      <c r="P1022" s="236"/>
      <c r="Q1022" s="236"/>
      <c r="R1022" s="236"/>
    </row>
  </sheetData>
  <hyperlinks>
    <hyperlink r:id="rId1" ref="A6"/>
    <hyperlink r:id="rId2" ref="B6"/>
    <hyperlink r:id="rId3" ref="C6"/>
    <hyperlink r:id="rId4" ref="D6"/>
    <hyperlink r:id="rId5" ref="E6"/>
    <hyperlink r:id="rId6" ref="F6"/>
    <hyperlink r:id="rId7" ref="G6"/>
    <hyperlink r:id="rId8" ref="H6"/>
  </hyperlinks>
  <drawing r:id="rId9"/>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60.38"/>
    <col customWidth="1" min="4" max="4" width="14.13"/>
  </cols>
  <sheetData>
    <row r="1" ht="447.75" customHeight="1">
      <c r="A1" s="572" t="s">
        <v>12648</v>
      </c>
      <c r="B1" s="573" t="str">
        <f>IFERROR(__xludf.DUMMYFUNCTION("GOOGLETRANSLATE(A1,""zh-tw"",""ja"")"),"このゲームに関連する動画・音声リンクの投稿を歓迎します。
現在、YouTubeとBillboardへの投稿のみ受け付けています。
動画ファイルのみをお持ちの場合は、YouTubeへのアップロードを代行いたしますので、私にお送りください。
（投稿者の情報は記載されますが、動画・音声ファイルに関するその後の問題や収益・権利については一切責任を負いません。）
ご質問等ございましたら、ガイド作成者のROROまでご連絡ください（連絡先は告知ページに記載されています）。
AI翻訳の都合上、URLを埋め込むこ"&amp;"とはできません。動画・音声ファイルへは、繁体字中国語のリンクを直接クリックしてください。
投稿ルール：
1. 動画が1本のみの場合は、タイトルのみを投稿してください。
2. 動画が複数ある場合は、リストが長くなりすぎないよう、指定されたチャンネルにまとめて投稿してください。
3. 著作権侵害に関する情報を含む動画、情報、コメントは禁止します。
4. ファンメイドコンテンツ、楽曲付き背景、AI生成コンテンツ等については、著作権およびプラットフォームの規約にご注意ください。
5. プラットフォー"&amp;"ムの規約を遵守してください。イエロータグ付きコンテンツ、ヌード等は禁止されています。
6. コンテンツ作成時には字幕を付けてください。
7. 動画内に広告、スポンサー付きコンテンツ、宣伝資料、その他本ゲームに関係のないコンテンツを含めないでください。")</f>
        <v>このゲームに関連する動画・音声リンクの投稿を歓迎します。
現在、YouTubeとBillboardへの投稿のみ受け付けています。
動画ファイルのみをお持ちの場合は、YouTubeへのアップロードを代行いたしますので、私にお送りください。
（投稿者の情報は記載されますが、動画・音声ファイルに関するその後の問題や収益・権利については一切責任を負いません。）
ご質問等ございましたら、ガイド作成者のROROまでご連絡ください（連絡先は告知ページに記載されています）。
AI翻訳の都合上、URLを埋め込むことはできません。動画・音声ファイルへは、繁体字中国語のリンクを直接クリックしてください。
投稿ルール：
1. 動画が1本のみの場合は、タイトルのみを投稿してください。
2. 動画が複数ある場合は、リストが長くなりすぎないよう、指定されたチャンネルにまとめて投稿してください。
3. 著作権侵害に関する情報を含む動画、情報、コメントは禁止します。
4. ファンメイドコンテンツ、楽曲付き背景、AI生成コンテンツ等については、著作権およびプラットフォームの規約にご注意ください。
5. プラットフォームの規約を遵守してください。イエロータグ付きコンテンツ、ヌード等は禁止されています。
6. コンテンツ作成時には字幕を付けてください。
7. 動画内に広告、スポンサー付きコンテンツ、宣伝資料、その他本ゲームに関係のないコンテンツを含めないでください。</v>
      </c>
      <c r="C1" s="574" t="str">
        <f>IFERROR(__xludf.DUMMYFUNCTION("GOOGLETRANSLATE(A1,""zh-tw"",""en"")"),"We welcome submissions of video/audio links related to this game.
Currently, we are only accepting submissions to YouTube and Billboard.
If you only have the video file, you can submit it to me for uploading to YouTube.
(Author information will be incl"&amp;"uded, but I will not be responsible for any subsequent issues or revenue/rights related to the video/audio file.)
For any inquiries, please contact the guide author: RORO (contact details can be found on the announcement page).
Due to AI translation iss"&amp;"ues, URLs cannot be embedded. Please click the Traditional Chinese link directly for the video/audio file.
Submission Rules:
1. If you only have a single video, please submit the title.
2. If you have multiple videos, please submit them on the designat"&amp;"ed channel to avoid an excessively long list.
3. Videos/information/comments containing any information related to piracy are prohibited.
4. Regarding fan-made content, backgrounds with songs, AI-generated content, etc., please be aware of copyright and"&amp;" platform regulations.
5. Please comply with platform rules; content with yellow tags, nudity, etc., is prohibited.
6. Please include subtitles when creating your content.
7. Please do not include advertisements, sponsored content, promotional material"&amp;"s, or any content unrelated to this game in the video.")</f>
        <v>We welcome submissions of video/audio links related to this game.
Currently, we are only accepting submissions to YouTube and Billboard.
If you only have the video file, you can submit it to me for uploading to YouTube.
(Author information will be included, but I will not be responsible for any subsequent issues or revenue/rights related to the video/audio file.)
For any inquiries, please contact the guide author: RORO (contact details can be found on the announcement page).
Due to AI translation issues, URLs cannot be embedded. Please click the Traditional Chinese link directly for the video/audio file.
Submission Rules:
1. If you only have a single video, please submit the title.
2. If you have multiple videos, please submit them on the designated channel to avoid an excessively long list.
3. Videos/information/comments containing any information related to piracy are prohibited.
4. Regarding fan-made content, backgrounds with songs, AI-generated content, etc., please be aware of copyright and platform regulations.
5. Please comply with platform rules; content with yellow tags, nudity, etc., is prohibited.
6. Please include subtitles when creating your content.
7. Please do not include advertisements, sponsored content, promotional materials, or any content unrelated to this game in the video.</v>
      </c>
      <c r="D1" s="540"/>
      <c r="E1" s="575"/>
      <c r="F1" s="575"/>
      <c r="G1" s="575"/>
      <c r="H1" s="575"/>
      <c r="I1" s="575"/>
      <c r="J1" s="575"/>
      <c r="K1" s="575"/>
      <c r="L1" s="575"/>
      <c r="M1" s="575"/>
      <c r="N1" s="575"/>
      <c r="O1" s="575"/>
      <c r="P1" s="575"/>
      <c r="Q1" s="575"/>
      <c r="R1" s="575"/>
      <c r="S1" s="575"/>
      <c r="T1" s="575"/>
      <c r="U1" s="575"/>
      <c r="V1" s="575"/>
      <c r="W1" s="575"/>
      <c r="X1" s="575"/>
      <c r="Y1" s="575"/>
      <c r="Z1" s="575"/>
    </row>
    <row r="2">
      <c r="A2" s="576" t="s">
        <v>12649</v>
      </c>
      <c r="B2" s="80" t="str">
        <f>IFERROR(__xludf.DUMMYFUNCTION("GOOGLETRANSLATE(A2,""zh-tw"",""ja"")"),"公式Discordグループ：
https://discord.gg/2Bt7RWknyH")</f>
        <v>公式Discordグループ：
https://discord.gg/2Bt7RWknyH</v>
      </c>
      <c r="C2" s="577" t="str">
        <f>IFERROR(__xludf.DUMMYFUNCTION("GOOGLETRANSLATE(A2,""zh-tw"",""en"")"),"Official Discord group:
https://discord.gg/2Bt7RWknyH")</f>
        <v>Official Discord group:
https://discord.gg/2Bt7RWknyH</v>
      </c>
      <c r="E2" s="575"/>
      <c r="F2" s="575"/>
      <c r="G2" s="575"/>
      <c r="H2" s="575"/>
      <c r="I2" s="575"/>
      <c r="J2" s="575"/>
      <c r="K2" s="575"/>
      <c r="L2" s="575"/>
      <c r="M2" s="575"/>
      <c r="N2" s="575"/>
      <c r="O2" s="575"/>
      <c r="P2" s="575"/>
      <c r="Q2" s="575"/>
      <c r="R2" s="575"/>
      <c r="S2" s="575"/>
      <c r="T2" s="575"/>
      <c r="U2" s="575"/>
      <c r="V2" s="575"/>
      <c r="W2" s="575"/>
      <c r="X2" s="575"/>
      <c r="Y2" s="575"/>
      <c r="Z2" s="575"/>
    </row>
    <row r="3">
      <c r="A3" s="578" t="s">
        <v>12650</v>
      </c>
      <c r="B3" s="80" t="s">
        <v>12650</v>
      </c>
      <c r="C3" s="577" t="s">
        <v>12650</v>
      </c>
      <c r="E3" s="575"/>
      <c r="F3" s="575"/>
      <c r="G3" s="575"/>
      <c r="H3" s="575"/>
      <c r="I3" s="575"/>
      <c r="J3" s="575"/>
      <c r="K3" s="575"/>
      <c r="L3" s="575"/>
      <c r="M3" s="575"/>
      <c r="N3" s="575"/>
      <c r="O3" s="575"/>
      <c r="P3" s="575"/>
      <c r="Q3" s="575"/>
      <c r="R3" s="575"/>
      <c r="S3" s="575"/>
      <c r="T3" s="575"/>
      <c r="U3" s="575"/>
      <c r="V3" s="575"/>
      <c r="W3" s="575"/>
      <c r="X3" s="575"/>
      <c r="Y3" s="575"/>
      <c r="Z3" s="575"/>
    </row>
    <row r="4">
      <c r="A4" s="579"/>
      <c r="E4" s="575"/>
      <c r="F4" s="575"/>
      <c r="G4" s="575"/>
      <c r="H4" s="575"/>
      <c r="I4" s="575"/>
      <c r="J4" s="575"/>
      <c r="K4" s="575"/>
      <c r="L4" s="575"/>
      <c r="M4" s="575"/>
      <c r="N4" s="575"/>
      <c r="O4" s="575"/>
      <c r="P4" s="575"/>
      <c r="Q4" s="575"/>
      <c r="R4" s="575"/>
      <c r="S4" s="575"/>
      <c r="T4" s="575"/>
      <c r="U4" s="575"/>
      <c r="V4" s="575"/>
      <c r="W4" s="575"/>
      <c r="X4" s="575"/>
      <c r="Y4" s="575"/>
      <c r="Z4" s="575"/>
    </row>
    <row r="5">
      <c r="A5" s="576" t="s">
        <v>12651</v>
      </c>
      <c r="B5" s="80" t="str">
        <f>IFERROR(__xludf.DUMMYFUNCTION("GOOGLETRANSLATE(A5,""zh-tw"",""ja"")"),"公式YouTubeチャンネル")</f>
        <v>公式YouTubeチャンネル</v>
      </c>
      <c r="C5" s="577" t="str">
        <f>IFERROR(__xludf.DUMMYFUNCTION("GOOGLETRANSLATE(A5,""zh-tw"",""en"")"),"Official YouTube channel")</f>
        <v>Official YouTube channel</v>
      </c>
      <c r="D5" s="517" t="s">
        <v>12652</v>
      </c>
      <c r="E5" s="575"/>
      <c r="F5" s="575"/>
      <c r="G5" s="575"/>
      <c r="H5" s="575"/>
      <c r="I5" s="575"/>
      <c r="J5" s="575"/>
      <c r="K5" s="575"/>
      <c r="L5" s="575"/>
      <c r="M5" s="575"/>
      <c r="N5" s="575"/>
      <c r="O5" s="575"/>
      <c r="P5" s="575"/>
      <c r="Q5" s="575"/>
      <c r="R5" s="575"/>
      <c r="S5" s="575"/>
      <c r="T5" s="575"/>
      <c r="U5" s="575"/>
      <c r="V5" s="575"/>
      <c r="W5" s="575"/>
      <c r="X5" s="575"/>
      <c r="Y5" s="575"/>
      <c r="Z5" s="575"/>
    </row>
    <row r="6">
      <c r="A6" s="576" t="s">
        <v>12653</v>
      </c>
      <c r="B6" s="80" t="str">
        <f>IFERROR(__xludf.DUMMYFUNCTION("GOOGLETRANSLATE(A6,""zh-tw"",""ja"")"),"公式法案")</f>
        <v>公式法案</v>
      </c>
      <c r="C6" s="577" t="str">
        <f>IFERROR(__xludf.DUMMYFUNCTION("GOOGLETRANSLATE(A6,""zh-tw"",""en"")"),"Official bill")</f>
        <v>Official bill</v>
      </c>
      <c r="D6" s="517" t="s">
        <v>12652</v>
      </c>
      <c r="E6" s="575"/>
      <c r="F6" s="575"/>
      <c r="G6" s="575"/>
      <c r="H6" s="575"/>
      <c r="I6" s="575"/>
      <c r="J6" s="575"/>
      <c r="K6" s="575"/>
      <c r="L6" s="575"/>
      <c r="M6" s="575"/>
      <c r="N6" s="575"/>
      <c r="O6" s="575"/>
      <c r="P6" s="575"/>
      <c r="Q6" s="575"/>
      <c r="R6" s="575"/>
      <c r="S6" s="575"/>
      <c r="T6" s="575"/>
      <c r="U6" s="575"/>
      <c r="V6" s="575"/>
      <c r="W6" s="575"/>
      <c r="X6" s="575"/>
      <c r="Y6" s="575"/>
      <c r="Z6" s="575"/>
    </row>
    <row r="7">
      <c r="A7" s="576" t="s">
        <v>12654</v>
      </c>
      <c r="B7" s="80" t="str">
        <f>IFERROR(__xludf.DUMMYFUNCTION("GOOGLETRANSLATE(A7,""zh-tw"",""ja"")"),"片桐あきさんのYouTubeチャンネル
（妹役の声優）")</f>
        <v>片桐あきさんのYouTubeチャンネル
（妹役の声優）</v>
      </c>
      <c r="C7" s="577" t="str">
        <f>IFERROR(__xludf.DUMMYFUNCTION("GOOGLETRANSLATE(A7,""zh-tw"",""en"")"),"Aki Katagiri's YouTube channel
(Voice actress for her younger sister)")</f>
        <v>Aki Katagiri's YouTube channel
(Voice actress for her younger sister)</v>
      </c>
      <c r="D7" s="517" t="s">
        <v>12655</v>
      </c>
      <c r="E7" s="575"/>
      <c r="F7" s="575"/>
      <c r="G7" s="575"/>
      <c r="H7" s="575"/>
      <c r="I7" s="575"/>
      <c r="J7" s="575"/>
      <c r="K7" s="575"/>
      <c r="L7" s="575"/>
      <c r="M7" s="575"/>
      <c r="N7" s="575"/>
      <c r="O7" s="575"/>
      <c r="P7" s="575"/>
      <c r="Q7" s="575"/>
      <c r="R7" s="575"/>
      <c r="S7" s="575"/>
      <c r="T7" s="575"/>
      <c r="U7" s="575"/>
      <c r="V7" s="575"/>
      <c r="W7" s="575"/>
      <c r="X7" s="575"/>
      <c r="Y7" s="575"/>
      <c r="Z7" s="575"/>
    </row>
    <row r="8">
      <c r="A8" s="576" t="s">
        <v>12656</v>
      </c>
      <c r="B8" s="80" t="str">
        <f>IFERROR(__xludf.DUMMYFUNCTION("GOOGLETRANSLATE(A8,""zh-tw"",""ja"")"),"片桐亜樹（ビルビルチャンネル）
（妹役の声優）")</f>
        <v>片桐亜樹（ビルビルチャンネル）
（妹役の声優）</v>
      </c>
      <c r="C8" s="577" t="str">
        <f>IFERROR(__xludf.DUMMYFUNCTION("GOOGLETRANSLATE(A8,""zh-tw"",""en"")"),"Aki Katagiri (bilbill channel)
(Voice actress for the younger sister)")</f>
        <v>Aki Katagiri (bilbill channel)
(Voice actress for the younger sister)</v>
      </c>
      <c r="D8" s="517" t="s">
        <v>12655</v>
      </c>
      <c r="E8" s="575"/>
      <c r="F8" s="575"/>
      <c r="G8" s="575"/>
      <c r="H8" s="575"/>
      <c r="I8" s="575"/>
      <c r="J8" s="575"/>
      <c r="K8" s="575"/>
      <c r="L8" s="575"/>
      <c r="M8" s="575"/>
      <c r="N8" s="575"/>
      <c r="O8" s="575"/>
      <c r="P8" s="575"/>
      <c r="Q8" s="575"/>
      <c r="R8" s="575"/>
      <c r="S8" s="575"/>
      <c r="T8" s="575"/>
      <c r="U8" s="575"/>
      <c r="V8" s="575"/>
      <c r="W8" s="575"/>
      <c r="X8" s="575"/>
      <c r="Y8" s="575"/>
      <c r="Z8" s="575"/>
    </row>
    <row r="9">
      <c r="A9" s="576" t="s">
        <v>12657</v>
      </c>
      <c r="B9" s="80" t="str">
        <f>IFERROR(__xludf.DUMMYFUNCTION("GOOGLETRANSLATE(A9,""zh-tw"",""ja"")"),"ROROのYouTubeチャンネル（攻略ガイド作成チャンネル、現在準備中、ぜひチャンネル登録してください）")</f>
        <v>ROROのYouTubeチャンネル（攻略ガイド作成チャンネル、現在準備中、ぜひチャンネル登録してください）</v>
      </c>
      <c r="C9" s="577" t="str">
        <f>IFERROR(__xludf.DUMMYFUNCTION("GOOGLETRANSLATE(A9,""zh-tw"",""en"")"),"RORO's YouTube channel (Strategy guide creator channel, currently in preparation, welcome to subscribe)")</f>
        <v>RORO's YouTube channel (Strategy guide creator channel, currently in preparation, welcome to subscribe)</v>
      </c>
      <c r="D9" s="517" t="s">
        <v>12658</v>
      </c>
      <c r="E9" s="575"/>
      <c r="F9" s="575"/>
      <c r="G9" s="575"/>
      <c r="H9" s="575"/>
      <c r="I9" s="575"/>
      <c r="J9" s="575"/>
      <c r="K9" s="575"/>
      <c r="L9" s="575"/>
      <c r="M9" s="575"/>
      <c r="N9" s="575"/>
      <c r="O9" s="575"/>
      <c r="P9" s="575"/>
      <c r="Q9" s="575"/>
      <c r="R9" s="575"/>
      <c r="S9" s="575"/>
      <c r="T9" s="575"/>
      <c r="U9" s="575"/>
      <c r="V9" s="575"/>
      <c r="W9" s="575"/>
      <c r="X9" s="575"/>
      <c r="Y9" s="575"/>
      <c r="Z9" s="575"/>
    </row>
    <row r="10">
      <c r="A10" s="579"/>
      <c r="E10" s="575"/>
      <c r="F10" s="575"/>
      <c r="G10" s="575"/>
      <c r="H10" s="575"/>
      <c r="I10" s="575"/>
      <c r="J10" s="575"/>
      <c r="K10" s="575"/>
      <c r="L10" s="575"/>
      <c r="M10" s="575"/>
      <c r="N10" s="575"/>
      <c r="O10" s="575"/>
      <c r="P10" s="575"/>
      <c r="Q10" s="575"/>
      <c r="R10" s="575"/>
      <c r="S10" s="575"/>
      <c r="T10" s="575"/>
      <c r="U10" s="575"/>
      <c r="V10" s="575"/>
      <c r="W10" s="575"/>
      <c r="X10" s="575"/>
      <c r="Y10" s="575"/>
      <c r="Z10" s="575"/>
    </row>
    <row r="11">
      <c r="A11" s="580" t="s">
        <v>12659</v>
      </c>
      <c r="B11" s="80" t="str">
        <f>IFERROR(__xludf.DUMMYFUNCTION("GOOGLETRANSLATE(A11,""zh-tw"",""ja"")"),"プレイヤー応募受付中（準備中、応募は歓迎します）")</f>
        <v>プレイヤー応募受付中（準備中、応募は歓迎します）</v>
      </c>
      <c r="C11" s="577" t="str">
        <f>IFERROR(__xludf.DUMMYFUNCTION("GOOGLETRANSLATE(A11,""zh-tw"",""en"")"),"Player submissions (in preparation, submissions are welcome)")</f>
        <v>Player submissions (in preparation, submissions are welcome)</v>
      </c>
      <c r="D11" s="581" t="s">
        <v>12660</v>
      </c>
      <c r="E11" s="575"/>
      <c r="F11" s="575"/>
      <c r="G11" s="575"/>
      <c r="H11" s="575"/>
      <c r="I11" s="575"/>
      <c r="J11" s="575"/>
      <c r="K11" s="575"/>
      <c r="L11" s="575"/>
      <c r="M11" s="575"/>
      <c r="N11" s="575"/>
      <c r="O11" s="575"/>
      <c r="P11" s="575"/>
      <c r="Q11" s="575"/>
      <c r="R11" s="575"/>
      <c r="S11" s="575"/>
      <c r="T11" s="575"/>
      <c r="U11" s="575"/>
      <c r="V11" s="575"/>
      <c r="W11" s="575"/>
      <c r="X11" s="575"/>
      <c r="Y11" s="575"/>
      <c r="Z11" s="575"/>
    </row>
    <row r="12">
      <c r="A12" s="582"/>
      <c r="B12" s="583"/>
      <c r="C12" s="584"/>
      <c r="D12" s="585"/>
      <c r="E12" s="575"/>
      <c r="F12" s="575"/>
      <c r="G12" s="575"/>
      <c r="H12" s="575"/>
      <c r="I12" s="575"/>
      <c r="J12" s="575"/>
      <c r="K12" s="575"/>
      <c r="L12" s="575"/>
      <c r="M12" s="575"/>
      <c r="N12" s="575"/>
      <c r="O12" s="575"/>
      <c r="P12" s="575"/>
      <c r="Q12" s="575"/>
      <c r="R12" s="575"/>
      <c r="S12" s="575"/>
      <c r="T12" s="575"/>
      <c r="U12" s="575"/>
      <c r="V12" s="575"/>
      <c r="W12" s="575"/>
      <c r="X12" s="575"/>
      <c r="Y12" s="575"/>
      <c r="Z12" s="575"/>
    </row>
    <row r="13">
      <c r="A13" s="582"/>
      <c r="B13" s="583"/>
      <c r="C13" s="584"/>
      <c r="D13" s="585"/>
      <c r="E13" s="575"/>
      <c r="F13" s="575"/>
      <c r="G13" s="575"/>
      <c r="H13" s="575"/>
      <c r="I13" s="575"/>
      <c r="J13" s="575"/>
      <c r="K13" s="575"/>
      <c r="L13" s="575"/>
      <c r="M13" s="575"/>
      <c r="N13" s="575"/>
      <c r="O13" s="575"/>
      <c r="P13" s="575"/>
      <c r="Q13" s="575"/>
      <c r="R13" s="575"/>
      <c r="S13" s="575"/>
      <c r="T13" s="575"/>
      <c r="U13" s="575"/>
      <c r="V13" s="575"/>
      <c r="W13" s="575"/>
      <c r="X13" s="575"/>
      <c r="Y13" s="575"/>
      <c r="Z13" s="575"/>
    </row>
    <row r="14">
      <c r="A14" s="582"/>
      <c r="B14" s="583"/>
      <c r="C14" s="584"/>
      <c r="D14" s="585"/>
      <c r="E14" s="575"/>
      <c r="F14" s="575"/>
      <c r="G14" s="575"/>
      <c r="H14" s="575"/>
      <c r="I14" s="575"/>
      <c r="J14" s="575"/>
      <c r="K14" s="575"/>
      <c r="L14" s="575"/>
      <c r="M14" s="575"/>
      <c r="N14" s="575"/>
      <c r="O14" s="575"/>
      <c r="P14" s="575"/>
      <c r="Q14" s="575"/>
      <c r="R14" s="575"/>
      <c r="S14" s="575"/>
      <c r="T14" s="575"/>
      <c r="U14" s="575"/>
      <c r="V14" s="575"/>
      <c r="W14" s="575"/>
      <c r="X14" s="575"/>
      <c r="Y14" s="575"/>
      <c r="Z14" s="575"/>
    </row>
    <row r="15">
      <c r="A15" s="582"/>
      <c r="B15" s="583"/>
      <c r="C15" s="584"/>
      <c r="D15" s="585"/>
      <c r="E15" s="575"/>
      <c r="F15" s="575"/>
      <c r="G15" s="575"/>
      <c r="H15" s="575"/>
      <c r="I15" s="575"/>
      <c r="J15" s="575"/>
      <c r="K15" s="575"/>
      <c r="L15" s="575"/>
      <c r="M15" s="575"/>
      <c r="N15" s="575"/>
      <c r="O15" s="575"/>
      <c r="P15" s="575"/>
      <c r="Q15" s="575"/>
      <c r="R15" s="575"/>
      <c r="S15" s="575"/>
      <c r="T15" s="575"/>
      <c r="U15" s="575"/>
      <c r="V15" s="575"/>
      <c r="W15" s="575"/>
      <c r="X15" s="575"/>
      <c r="Y15" s="575"/>
      <c r="Z15" s="575"/>
    </row>
    <row r="16">
      <c r="A16" s="582"/>
      <c r="B16" s="583"/>
      <c r="C16" s="584"/>
      <c r="D16" s="585"/>
      <c r="E16" s="575"/>
      <c r="F16" s="575"/>
      <c r="G16" s="575"/>
      <c r="H16" s="575"/>
      <c r="I16" s="575"/>
      <c r="J16" s="575"/>
      <c r="K16" s="575"/>
      <c r="L16" s="575"/>
      <c r="M16" s="575"/>
      <c r="N16" s="575"/>
      <c r="O16" s="575"/>
      <c r="P16" s="575"/>
      <c r="Q16" s="575"/>
      <c r="R16" s="575"/>
      <c r="S16" s="575"/>
      <c r="T16" s="575"/>
      <c r="U16" s="575"/>
      <c r="V16" s="575"/>
      <c r="W16" s="575"/>
      <c r="X16" s="575"/>
      <c r="Y16" s="575"/>
      <c r="Z16" s="575"/>
    </row>
    <row r="17">
      <c r="A17" s="582"/>
      <c r="B17" s="583"/>
      <c r="C17" s="584"/>
      <c r="D17" s="585"/>
      <c r="E17" s="575"/>
      <c r="F17" s="575"/>
      <c r="G17" s="575"/>
      <c r="H17" s="575"/>
      <c r="I17" s="575"/>
      <c r="J17" s="575"/>
      <c r="K17" s="575"/>
      <c r="L17" s="575"/>
      <c r="M17" s="575"/>
      <c r="N17" s="575"/>
      <c r="O17" s="575"/>
      <c r="P17" s="575"/>
      <c r="Q17" s="575"/>
      <c r="R17" s="575"/>
      <c r="S17" s="575"/>
      <c r="T17" s="575"/>
      <c r="U17" s="575"/>
      <c r="V17" s="575"/>
      <c r="W17" s="575"/>
      <c r="X17" s="575"/>
      <c r="Y17" s="575"/>
      <c r="Z17" s="575"/>
    </row>
    <row r="18">
      <c r="A18" s="582"/>
      <c r="B18" s="583"/>
      <c r="C18" s="584"/>
      <c r="D18" s="585"/>
      <c r="E18" s="575"/>
      <c r="F18" s="575"/>
      <c r="G18" s="575"/>
      <c r="H18" s="575"/>
      <c r="I18" s="575"/>
      <c r="J18" s="575"/>
      <c r="K18" s="575"/>
      <c r="L18" s="575"/>
      <c r="M18" s="575"/>
      <c r="N18" s="575"/>
      <c r="O18" s="575"/>
      <c r="P18" s="575"/>
      <c r="Q18" s="575"/>
      <c r="R18" s="575"/>
      <c r="S18" s="575"/>
      <c r="T18" s="575"/>
      <c r="U18" s="575"/>
      <c r="V18" s="575"/>
      <c r="W18" s="575"/>
      <c r="X18" s="575"/>
      <c r="Y18" s="575"/>
      <c r="Z18" s="575"/>
    </row>
    <row r="19">
      <c r="A19" s="582"/>
      <c r="B19" s="583"/>
      <c r="C19" s="584"/>
      <c r="D19" s="585"/>
      <c r="E19" s="575"/>
      <c r="F19" s="575"/>
      <c r="G19" s="575"/>
      <c r="H19" s="575"/>
      <c r="I19" s="575"/>
      <c r="J19" s="575"/>
      <c r="K19" s="575"/>
      <c r="L19" s="575"/>
      <c r="M19" s="575"/>
      <c r="N19" s="575"/>
      <c r="O19" s="575"/>
      <c r="P19" s="575"/>
      <c r="Q19" s="575"/>
      <c r="R19" s="575"/>
      <c r="S19" s="575"/>
      <c r="T19" s="575"/>
      <c r="U19" s="575"/>
      <c r="V19" s="575"/>
      <c r="W19" s="575"/>
      <c r="X19" s="575"/>
      <c r="Y19" s="575"/>
      <c r="Z19" s="575"/>
    </row>
    <row r="20">
      <c r="A20" s="582"/>
      <c r="B20" s="583"/>
      <c r="C20" s="584"/>
      <c r="D20" s="585"/>
      <c r="E20" s="575"/>
      <c r="F20" s="575"/>
      <c r="G20" s="575"/>
      <c r="H20" s="575"/>
      <c r="I20" s="575"/>
      <c r="J20" s="575"/>
      <c r="K20" s="575"/>
      <c r="L20" s="575"/>
      <c r="M20" s="575"/>
      <c r="N20" s="575"/>
      <c r="O20" s="575"/>
      <c r="P20" s="575"/>
      <c r="Q20" s="575"/>
      <c r="R20" s="575"/>
      <c r="S20" s="575"/>
      <c r="T20" s="575"/>
      <c r="U20" s="575"/>
      <c r="V20" s="575"/>
      <c r="W20" s="575"/>
      <c r="X20" s="575"/>
      <c r="Y20" s="575"/>
      <c r="Z20" s="575"/>
    </row>
    <row r="21">
      <c r="A21" s="582"/>
      <c r="B21" s="583"/>
      <c r="C21" s="584"/>
      <c r="D21" s="585"/>
      <c r="E21" s="575"/>
      <c r="F21" s="575"/>
      <c r="G21" s="575"/>
      <c r="H21" s="575"/>
      <c r="I21" s="575"/>
      <c r="J21" s="575"/>
      <c r="K21" s="575"/>
      <c r="L21" s="575"/>
      <c r="M21" s="575"/>
      <c r="N21" s="575"/>
      <c r="O21" s="575"/>
      <c r="P21" s="575"/>
      <c r="Q21" s="575"/>
      <c r="R21" s="575"/>
      <c r="S21" s="575"/>
      <c r="T21" s="575"/>
      <c r="U21" s="575"/>
      <c r="V21" s="575"/>
      <c r="W21" s="575"/>
      <c r="X21" s="575"/>
      <c r="Y21" s="575"/>
      <c r="Z21" s="575"/>
    </row>
    <row r="22">
      <c r="A22" s="582"/>
      <c r="B22" s="583"/>
      <c r="C22" s="584"/>
      <c r="D22" s="585"/>
      <c r="E22" s="575"/>
      <c r="F22" s="575"/>
      <c r="G22" s="575"/>
      <c r="H22" s="575"/>
      <c r="I22" s="575"/>
      <c r="J22" s="575"/>
      <c r="K22" s="575"/>
      <c r="L22" s="575"/>
      <c r="M22" s="575"/>
      <c r="N22" s="575"/>
      <c r="O22" s="575"/>
      <c r="P22" s="575"/>
      <c r="Q22" s="575"/>
      <c r="R22" s="575"/>
      <c r="S22" s="575"/>
      <c r="T22" s="575"/>
      <c r="U22" s="575"/>
      <c r="V22" s="575"/>
      <c r="W22" s="575"/>
      <c r="X22" s="575"/>
      <c r="Y22" s="575"/>
      <c r="Z22" s="575"/>
    </row>
    <row r="23">
      <c r="A23" s="582"/>
      <c r="B23" s="583"/>
      <c r="C23" s="584"/>
      <c r="D23" s="585"/>
      <c r="E23" s="575"/>
      <c r="F23" s="575"/>
      <c r="G23" s="575"/>
      <c r="H23" s="575"/>
      <c r="I23" s="575"/>
      <c r="J23" s="575"/>
      <c r="K23" s="575"/>
      <c r="L23" s="575"/>
      <c r="M23" s="575"/>
      <c r="N23" s="575"/>
      <c r="O23" s="575"/>
      <c r="P23" s="575"/>
      <c r="Q23" s="575"/>
      <c r="R23" s="575"/>
      <c r="S23" s="575"/>
      <c r="T23" s="575"/>
      <c r="U23" s="575"/>
      <c r="V23" s="575"/>
      <c r="W23" s="575"/>
      <c r="X23" s="575"/>
      <c r="Y23" s="575"/>
      <c r="Z23" s="575"/>
    </row>
    <row r="24">
      <c r="A24" s="582"/>
      <c r="B24" s="583"/>
      <c r="C24" s="584"/>
      <c r="D24" s="585"/>
      <c r="E24" s="575"/>
      <c r="F24" s="575"/>
      <c r="G24" s="575"/>
      <c r="H24" s="575"/>
      <c r="I24" s="575"/>
      <c r="J24" s="575"/>
      <c r="K24" s="575"/>
      <c r="L24" s="575"/>
      <c r="M24" s="575"/>
      <c r="N24" s="575"/>
      <c r="O24" s="575"/>
      <c r="P24" s="575"/>
      <c r="Q24" s="575"/>
      <c r="R24" s="575"/>
      <c r="S24" s="575"/>
      <c r="T24" s="575"/>
      <c r="U24" s="575"/>
      <c r="V24" s="575"/>
      <c r="W24" s="575"/>
      <c r="X24" s="575"/>
      <c r="Y24" s="575"/>
      <c r="Z24" s="575"/>
    </row>
    <row r="25">
      <c r="A25" s="582"/>
      <c r="B25" s="583"/>
      <c r="C25" s="584"/>
      <c r="D25" s="585"/>
      <c r="E25" s="575"/>
      <c r="F25" s="575"/>
      <c r="G25" s="575"/>
      <c r="H25" s="575"/>
      <c r="I25" s="575"/>
      <c r="J25" s="575"/>
      <c r="K25" s="575"/>
      <c r="L25" s="575"/>
      <c r="M25" s="575"/>
      <c r="N25" s="575"/>
      <c r="O25" s="575"/>
      <c r="P25" s="575"/>
      <c r="Q25" s="575"/>
      <c r="R25" s="575"/>
      <c r="S25" s="575"/>
      <c r="T25" s="575"/>
      <c r="U25" s="575"/>
      <c r="V25" s="575"/>
      <c r="W25" s="575"/>
      <c r="X25" s="575"/>
      <c r="Y25" s="575"/>
      <c r="Z25" s="575"/>
    </row>
    <row r="26">
      <c r="A26" s="582"/>
      <c r="B26" s="583"/>
      <c r="C26" s="584"/>
      <c r="D26" s="585"/>
      <c r="E26" s="575"/>
      <c r="F26" s="575"/>
      <c r="G26" s="575"/>
      <c r="H26" s="575"/>
      <c r="I26" s="575"/>
      <c r="J26" s="575"/>
      <c r="K26" s="575"/>
      <c r="L26" s="575"/>
      <c r="M26" s="575"/>
      <c r="N26" s="575"/>
      <c r="O26" s="575"/>
      <c r="P26" s="575"/>
      <c r="Q26" s="575"/>
      <c r="R26" s="575"/>
      <c r="S26" s="575"/>
      <c r="T26" s="575"/>
      <c r="U26" s="575"/>
      <c r="V26" s="575"/>
      <c r="W26" s="575"/>
      <c r="X26" s="575"/>
      <c r="Y26" s="575"/>
      <c r="Z26" s="575"/>
    </row>
    <row r="27">
      <c r="A27" s="582"/>
      <c r="B27" s="583"/>
      <c r="C27" s="584"/>
      <c r="D27" s="585"/>
      <c r="E27" s="575"/>
      <c r="F27" s="575"/>
      <c r="G27" s="575"/>
      <c r="H27" s="575"/>
      <c r="I27" s="575"/>
      <c r="J27" s="575"/>
      <c r="K27" s="575"/>
      <c r="L27" s="575"/>
      <c r="M27" s="575"/>
      <c r="N27" s="575"/>
      <c r="O27" s="575"/>
      <c r="P27" s="575"/>
      <c r="Q27" s="575"/>
      <c r="R27" s="575"/>
      <c r="S27" s="575"/>
      <c r="T27" s="575"/>
      <c r="U27" s="575"/>
      <c r="V27" s="575"/>
      <c r="W27" s="575"/>
      <c r="X27" s="575"/>
      <c r="Y27" s="575"/>
      <c r="Z27" s="575"/>
    </row>
    <row r="28">
      <c r="A28" s="582"/>
      <c r="B28" s="583"/>
      <c r="C28" s="584"/>
      <c r="D28" s="585"/>
      <c r="E28" s="575"/>
      <c r="F28" s="575"/>
      <c r="G28" s="575"/>
      <c r="H28" s="575"/>
      <c r="I28" s="575"/>
      <c r="J28" s="575"/>
      <c r="K28" s="575"/>
      <c r="L28" s="575"/>
      <c r="M28" s="575"/>
      <c r="N28" s="575"/>
      <c r="O28" s="575"/>
      <c r="P28" s="575"/>
      <c r="Q28" s="575"/>
      <c r="R28" s="575"/>
      <c r="S28" s="575"/>
      <c r="T28" s="575"/>
      <c r="U28" s="575"/>
      <c r="V28" s="575"/>
      <c r="W28" s="575"/>
      <c r="X28" s="575"/>
      <c r="Y28" s="575"/>
      <c r="Z28" s="575"/>
    </row>
    <row r="29">
      <c r="A29" s="582"/>
      <c r="B29" s="583"/>
      <c r="C29" s="584"/>
      <c r="D29" s="585"/>
      <c r="E29" s="575"/>
      <c r="F29" s="575"/>
      <c r="G29" s="575"/>
      <c r="H29" s="575"/>
      <c r="I29" s="575"/>
      <c r="J29" s="575"/>
      <c r="K29" s="575"/>
      <c r="L29" s="575"/>
      <c r="M29" s="575"/>
      <c r="N29" s="575"/>
      <c r="O29" s="575"/>
      <c r="P29" s="575"/>
      <c r="Q29" s="575"/>
      <c r="R29" s="575"/>
      <c r="S29" s="575"/>
      <c r="T29" s="575"/>
      <c r="U29" s="575"/>
      <c r="V29" s="575"/>
      <c r="W29" s="575"/>
      <c r="X29" s="575"/>
      <c r="Y29" s="575"/>
      <c r="Z29" s="575"/>
    </row>
    <row r="30">
      <c r="A30" s="582"/>
      <c r="B30" s="583"/>
      <c r="C30" s="584"/>
      <c r="D30" s="585"/>
      <c r="E30" s="575"/>
      <c r="F30" s="575"/>
      <c r="G30" s="575"/>
      <c r="H30" s="575"/>
      <c r="I30" s="575"/>
      <c r="J30" s="575"/>
      <c r="K30" s="575"/>
      <c r="L30" s="575"/>
      <c r="M30" s="575"/>
      <c r="N30" s="575"/>
      <c r="O30" s="575"/>
      <c r="P30" s="575"/>
      <c r="Q30" s="575"/>
      <c r="R30" s="575"/>
      <c r="S30" s="575"/>
      <c r="T30" s="575"/>
      <c r="U30" s="575"/>
      <c r="V30" s="575"/>
      <c r="W30" s="575"/>
      <c r="X30" s="575"/>
      <c r="Y30" s="575"/>
      <c r="Z30" s="575"/>
    </row>
    <row r="31">
      <c r="A31" s="582"/>
      <c r="B31" s="583"/>
      <c r="C31" s="584"/>
      <c r="D31" s="585"/>
      <c r="E31" s="575"/>
      <c r="F31" s="575"/>
      <c r="G31" s="575"/>
      <c r="H31" s="575"/>
      <c r="I31" s="575"/>
      <c r="J31" s="575"/>
      <c r="K31" s="575"/>
      <c r="L31" s="575"/>
      <c r="M31" s="575"/>
      <c r="N31" s="575"/>
      <c r="O31" s="575"/>
      <c r="P31" s="575"/>
      <c r="Q31" s="575"/>
      <c r="R31" s="575"/>
      <c r="S31" s="575"/>
      <c r="T31" s="575"/>
      <c r="U31" s="575"/>
      <c r="V31" s="575"/>
      <c r="W31" s="575"/>
      <c r="X31" s="575"/>
      <c r="Y31" s="575"/>
      <c r="Z31" s="575"/>
    </row>
    <row r="32">
      <c r="A32" s="582"/>
      <c r="B32" s="583"/>
      <c r="C32" s="584"/>
      <c r="D32" s="585"/>
      <c r="E32" s="575"/>
      <c r="F32" s="575"/>
      <c r="G32" s="575"/>
      <c r="H32" s="575"/>
      <c r="I32" s="575"/>
      <c r="J32" s="575"/>
      <c r="K32" s="575"/>
      <c r="L32" s="575"/>
      <c r="M32" s="575"/>
      <c r="N32" s="575"/>
      <c r="O32" s="575"/>
      <c r="P32" s="575"/>
      <c r="Q32" s="575"/>
      <c r="R32" s="575"/>
      <c r="S32" s="575"/>
      <c r="T32" s="575"/>
      <c r="U32" s="575"/>
      <c r="V32" s="575"/>
      <c r="W32" s="575"/>
      <c r="X32" s="575"/>
      <c r="Y32" s="575"/>
      <c r="Z32" s="575"/>
    </row>
    <row r="33">
      <c r="A33" s="582"/>
      <c r="B33" s="583"/>
      <c r="C33" s="584"/>
      <c r="D33" s="585"/>
      <c r="E33" s="575"/>
      <c r="F33" s="575"/>
      <c r="G33" s="575"/>
      <c r="H33" s="575"/>
      <c r="I33" s="575"/>
      <c r="J33" s="575"/>
      <c r="K33" s="575"/>
      <c r="L33" s="575"/>
      <c r="M33" s="575"/>
      <c r="N33" s="575"/>
      <c r="O33" s="575"/>
      <c r="P33" s="575"/>
      <c r="Q33" s="575"/>
      <c r="R33" s="575"/>
      <c r="S33" s="575"/>
      <c r="T33" s="575"/>
      <c r="U33" s="575"/>
      <c r="V33" s="575"/>
      <c r="W33" s="575"/>
      <c r="X33" s="575"/>
      <c r="Y33" s="575"/>
      <c r="Z33" s="575"/>
    </row>
    <row r="34">
      <c r="A34" s="582"/>
      <c r="B34" s="583"/>
      <c r="C34" s="584"/>
      <c r="D34" s="585"/>
      <c r="E34" s="575"/>
      <c r="F34" s="575"/>
      <c r="G34" s="575"/>
      <c r="H34" s="575"/>
      <c r="I34" s="575"/>
      <c r="J34" s="575"/>
      <c r="K34" s="575"/>
      <c r="L34" s="575"/>
      <c r="M34" s="575"/>
      <c r="N34" s="575"/>
      <c r="O34" s="575"/>
      <c r="P34" s="575"/>
      <c r="Q34" s="575"/>
      <c r="R34" s="575"/>
      <c r="S34" s="575"/>
      <c r="T34" s="575"/>
      <c r="U34" s="575"/>
      <c r="V34" s="575"/>
      <c r="W34" s="575"/>
      <c r="X34" s="575"/>
      <c r="Y34" s="575"/>
      <c r="Z34" s="575"/>
    </row>
    <row r="35">
      <c r="A35" s="582"/>
      <c r="B35" s="583"/>
      <c r="C35" s="584"/>
      <c r="D35" s="585"/>
      <c r="E35" s="575"/>
      <c r="F35" s="575"/>
      <c r="G35" s="575"/>
      <c r="H35" s="575"/>
      <c r="I35" s="575"/>
      <c r="J35" s="575"/>
      <c r="K35" s="575"/>
      <c r="L35" s="575"/>
      <c r="M35" s="575"/>
      <c r="N35" s="575"/>
      <c r="O35" s="575"/>
      <c r="P35" s="575"/>
      <c r="Q35" s="575"/>
      <c r="R35" s="575"/>
      <c r="S35" s="575"/>
      <c r="T35" s="575"/>
      <c r="U35" s="575"/>
      <c r="V35" s="575"/>
      <c r="W35" s="575"/>
      <c r="X35" s="575"/>
      <c r="Y35" s="575"/>
      <c r="Z35" s="575"/>
    </row>
    <row r="36">
      <c r="A36" s="582"/>
      <c r="B36" s="583"/>
      <c r="C36" s="584"/>
      <c r="D36" s="585"/>
      <c r="E36" s="575"/>
      <c r="F36" s="575"/>
      <c r="G36" s="575"/>
      <c r="H36" s="575"/>
      <c r="I36" s="575"/>
      <c r="J36" s="575"/>
      <c r="K36" s="575"/>
      <c r="L36" s="575"/>
      <c r="M36" s="575"/>
      <c r="N36" s="575"/>
      <c r="O36" s="575"/>
      <c r="P36" s="575"/>
      <c r="Q36" s="575"/>
      <c r="R36" s="575"/>
      <c r="S36" s="575"/>
      <c r="T36" s="575"/>
      <c r="U36" s="575"/>
      <c r="V36" s="575"/>
      <c r="W36" s="575"/>
      <c r="X36" s="575"/>
      <c r="Y36" s="575"/>
      <c r="Z36" s="575"/>
    </row>
    <row r="37">
      <c r="A37" s="582"/>
      <c r="B37" s="583"/>
      <c r="C37" s="584"/>
      <c r="D37" s="585"/>
      <c r="E37" s="575"/>
      <c r="F37" s="575"/>
      <c r="G37" s="575"/>
      <c r="H37" s="575"/>
      <c r="I37" s="575"/>
      <c r="J37" s="575"/>
      <c r="K37" s="575"/>
      <c r="L37" s="575"/>
      <c r="M37" s="575"/>
      <c r="N37" s="575"/>
      <c r="O37" s="575"/>
      <c r="P37" s="575"/>
      <c r="Q37" s="575"/>
      <c r="R37" s="575"/>
      <c r="S37" s="575"/>
      <c r="T37" s="575"/>
      <c r="U37" s="575"/>
      <c r="V37" s="575"/>
      <c r="W37" s="575"/>
      <c r="X37" s="575"/>
      <c r="Y37" s="575"/>
      <c r="Z37" s="575"/>
    </row>
    <row r="38">
      <c r="A38" s="582"/>
      <c r="B38" s="583"/>
      <c r="C38" s="584"/>
      <c r="D38" s="585"/>
      <c r="E38" s="575"/>
      <c r="F38" s="575"/>
      <c r="G38" s="575"/>
      <c r="H38" s="575"/>
      <c r="I38" s="575"/>
      <c r="J38" s="575"/>
      <c r="K38" s="575"/>
      <c r="L38" s="575"/>
      <c r="M38" s="575"/>
      <c r="N38" s="575"/>
      <c r="O38" s="575"/>
      <c r="P38" s="575"/>
      <c r="Q38" s="575"/>
      <c r="R38" s="575"/>
      <c r="S38" s="575"/>
      <c r="T38" s="575"/>
      <c r="U38" s="575"/>
      <c r="V38" s="575"/>
      <c r="W38" s="575"/>
      <c r="X38" s="575"/>
      <c r="Y38" s="575"/>
      <c r="Z38" s="575"/>
    </row>
    <row r="39">
      <c r="A39" s="582"/>
      <c r="B39" s="583"/>
      <c r="C39" s="584"/>
      <c r="D39" s="585"/>
      <c r="E39" s="575"/>
      <c r="F39" s="575"/>
      <c r="G39" s="575"/>
      <c r="H39" s="575"/>
      <c r="I39" s="575"/>
      <c r="J39" s="575"/>
      <c r="K39" s="575"/>
      <c r="L39" s="575"/>
      <c r="M39" s="575"/>
      <c r="N39" s="575"/>
      <c r="O39" s="575"/>
      <c r="P39" s="575"/>
      <c r="Q39" s="575"/>
      <c r="R39" s="575"/>
      <c r="S39" s="575"/>
      <c r="T39" s="575"/>
      <c r="U39" s="575"/>
      <c r="V39" s="575"/>
      <c r="W39" s="575"/>
      <c r="X39" s="575"/>
      <c r="Y39" s="575"/>
      <c r="Z39" s="575"/>
    </row>
    <row r="40">
      <c r="A40" s="582"/>
      <c r="B40" s="583"/>
      <c r="C40" s="584"/>
      <c r="D40" s="585"/>
      <c r="E40" s="575"/>
      <c r="F40" s="575"/>
      <c r="G40" s="575"/>
      <c r="H40" s="575"/>
      <c r="I40" s="575"/>
      <c r="J40" s="575"/>
      <c r="K40" s="575"/>
      <c r="L40" s="575"/>
      <c r="M40" s="575"/>
      <c r="N40" s="575"/>
      <c r="O40" s="575"/>
      <c r="P40" s="575"/>
      <c r="Q40" s="575"/>
      <c r="R40" s="575"/>
      <c r="S40" s="575"/>
      <c r="T40" s="575"/>
      <c r="U40" s="575"/>
      <c r="V40" s="575"/>
      <c r="W40" s="575"/>
      <c r="X40" s="575"/>
      <c r="Y40" s="575"/>
      <c r="Z40" s="575"/>
    </row>
    <row r="41">
      <c r="A41" s="582"/>
      <c r="B41" s="583"/>
      <c r="C41" s="584"/>
      <c r="D41" s="585"/>
      <c r="E41" s="575"/>
      <c r="F41" s="575"/>
      <c r="G41" s="575"/>
      <c r="H41" s="575"/>
      <c r="I41" s="575"/>
      <c r="J41" s="575"/>
      <c r="K41" s="575"/>
      <c r="L41" s="575"/>
      <c r="M41" s="575"/>
      <c r="N41" s="575"/>
      <c r="O41" s="575"/>
      <c r="P41" s="575"/>
      <c r="Q41" s="575"/>
      <c r="R41" s="575"/>
      <c r="S41" s="575"/>
      <c r="T41" s="575"/>
      <c r="U41" s="575"/>
      <c r="V41" s="575"/>
      <c r="W41" s="575"/>
      <c r="X41" s="575"/>
      <c r="Y41" s="575"/>
      <c r="Z41" s="575"/>
    </row>
    <row r="42">
      <c r="A42" s="582"/>
      <c r="B42" s="583"/>
      <c r="C42" s="584"/>
      <c r="D42" s="585"/>
      <c r="E42" s="575"/>
      <c r="F42" s="575"/>
      <c r="G42" s="575"/>
      <c r="H42" s="575"/>
      <c r="I42" s="575"/>
      <c r="J42" s="575"/>
      <c r="K42" s="575"/>
      <c r="L42" s="575"/>
      <c r="M42" s="575"/>
      <c r="N42" s="575"/>
      <c r="O42" s="575"/>
      <c r="P42" s="575"/>
      <c r="Q42" s="575"/>
      <c r="R42" s="575"/>
      <c r="S42" s="575"/>
      <c r="T42" s="575"/>
      <c r="U42" s="575"/>
      <c r="V42" s="575"/>
      <c r="W42" s="575"/>
      <c r="X42" s="575"/>
      <c r="Y42" s="575"/>
      <c r="Z42" s="575"/>
    </row>
    <row r="43">
      <c r="A43" s="582"/>
      <c r="B43" s="583"/>
      <c r="C43" s="584"/>
      <c r="D43" s="585"/>
      <c r="E43" s="575"/>
      <c r="F43" s="575"/>
      <c r="G43" s="575"/>
      <c r="H43" s="575"/>
      <c r="I43" s="575"/>
      <c r="J43" s="575"/>
      <c r="K43" s="575"/>
      <c r="L43" s="575"/>
      <c r="M43" s="575"/>
      <c r="N43" s="575"/>
      <c r="O43" s="575"/>
      <c r="P43" s="575"/>
      <c r="Q43" s="575"/>
      <c r="R43" s="575"/>
      <c r="S43" s="575"/>
      <c r="T43" s="575"/>
      <c r="U43" s="575"/>
      <c r="V43" s="575"/>
      <c r="W43" s="575"/>
      <c r="X43" s="575"/>
      <c r="Y43" s="575"/>
      <c r="Z43" s="575"/>
    </row>
    <row r="44">
      <c r="A44" s="582"/>
      <c r="B44" s="583"/>
      <c r="C44" s="584"/>
      <c r="D44" s="585"/>
      <c r="E44" s="575"/>
      <c r="F44" s="575"/>
      <c r="G44" s="575"/>
      <c r="H44" s="575"/>
      <c r="I44" s="575"/>
      <c r="J44" s="575"/>
      <c r="K44" s="575"/>
      <c r="L44" s="575"/>
      <c r="M44" s="575"/>
      <c r="N44" s="575"/>
      <c r="O44" s="575"/>
      <c r="P44" s="575"/>
      <c r="Q44" s="575"/>
      <c r="R44" s="575"/>
      <c r="S44" s="575"/>
      <c r="T44" s="575"/>
      <c r="U44" s="575"/>
      <c r="V44" s="575"/>
      <c r="W44" s="575"/>
      <c r="X44" s="575"/>
      <c r="Y44" s="575"/>
      <c r="Z44" s="575"/>
    </row>
    <row r="45">
      <c r="A45" s="582"/>
      <c r="B45" s="583"/>
      <c r="C45" s="584"/>
      <c r="D45" s="585"/>
      <c r="E45" s="575"/>
      <c r="F45" s="575"/>
      <c r="G45" s="575"/>
      <c r="H45" s="575"/>
      <c r="I45" s="575"/>
      <c r="J45" s="575"/>
      <c r="K45" s="575"/>
      <c r="L45" s="575"/>
      <c r="M45" s="575"/>
      <c r="N45" s="575"/>
      <c r="O45" s="575"/>
      <c r="P45" s="575"/>
      <c r="Q45" s="575"/>
      <c r="R45" s="575"/>
      <c r="S45" s="575"/>
      <c r="T45" s="575"/>
      <c r="U45" s="575"/>
      <c r="V45" s="575"/>
      <c r="W45" s="575"/>
      <c r="X45" s="575"/>
      <c r="Y45" s="575"/>
      <c r="Z45" s="575"/>
    </row>
    <row r="46">
      <c r="A46" s="582"/>
      <c r="B46" s="583"/>
      <c r="C46" s="584"/>
      <c r="D46" s="585"/>
      <c r="E46" s="575"/>
      <c r="F46" s="575"/>
      <c r="G46" s="575"/>
      <c r="H46" s="575"/>
      <c r="I46" s="575"/>
      <c r="J46" s="575"/>
      <c r="K46" s="575"/>
      <c r="L46" s="575"/>
      <c r="M46" s="575"/>
      <c r="N46" s="575"/>
      <c r="O46" s="575"/>
      <c r="P46" s="575"/>
      <c r="Q46" s="575"/>
      <c r="R46" s="575"/>
      <c r="S46" s="575"/>
      <c r="T46" s="575"/>
      <c r="U46" s="575"/>
      <c r="V46" s="575"/>
      <c r="W46" s="575"/>
      <c r="X46" s="575"/>
      <c r="Y46" s="575"/>
      <c r="Z46" s="575"/>
    </row>
    <row r="47">
      <c r="A47" s="582"/>
      <c r="B47" s="583"/>
      <c r="C47" s="584"/>
      <c r="D47" s="585"/>
      <c r="E47" s="575"/>
      <c r="F47" s="575"/>
      <c r="G47" s="575"/>
      <c r="H47" s="575"/>
      <c r="I47" s="575"/>
      <c r="J47" s="575"/>
      <c r="K47" s="575"/>
      <c r="L47" s="575"/>
      <c r="M47" s="575"/>
      <c r="N47" s="575"/>
      <c r="O47" s="575"/>
      <c r="P47" s="575"/>
      <c r="Q47" s="575"/>
      <c r="R47" s="575"/>
      <c r="S47" s="575"/>
      <c r="T47" s="575"/>
      <c r="U47" s="575"/>
      <c r="V47" s="575"/>
      <c r="W47" s="575"/>
      <c r="X47" s="575"/>
      <c r="Y47" s="575"/>
      <c r="Z47" s="575"/>
    </row>
    <row r="48">
      <c r="A48" s="582"/>
      <c r="B48" s="583"/>
      <c r="C48" s="584"/>
      <c r="D48" s="585"/>
      <c r="E48" s="575"/>
      <c r="F48" s="575"/>
      <c r="G48" s="575"/>
      <c r="H48" s="575"/>
      <c r="I48" s="575"/>
      <c r="J48" s="575"/>
      <c r="K48" s="575"/>
      <c r="L48" s="575"/>
      <c r="M48" s="575"/>
      <c r="N48" s="575"/>
      <c r="O48" s="575"/>
      <c r="P48" s="575"/>
      <c r="Q48" s="575"/>
      <c r="R48" s="575"/>
      <c r="S48" s="575"/>
      <c r="T48" s="575"/>
      <c r="U48" s="575"/>
      <c r="V48" s="575"/>
      <c r="W48" s="575"/>
      <c r="X48" s="575"/>
      <c r="Y48" s="575"/>
      <c r="Z48" s="575"/>
    </row>
    <row r="49">
      <c r="A49" s="582"/>
      <c r="B49" s="583"/>
      <c r="C49" s="584"/>
      <c r="D49" s="585"/>
      <c r="E49" s="575"/>
      <c r="F49" s="575"/>
      <c r="G49" s="575"/>
      <c r="H49" s="575"/>
      <c r="I49" s="575"/>
      <c r="J49" s="575"/>
      <c r="K49" s="575"/>
      <c r="L49" s="575"/>
      <c r="M49" s="575"/>
      <c r="N49" s="575"/>
      <c r="O49" s="575"/>
      <c r="P49" s="575"/>
      <c r="Q49" s="575"/>
      <c r="R49" s="575"/>
      <c r="S49" s="575"/>
      <c r="T49" s="575"/>
      <c r="U49" s="575"/>
      <c r="V49" s="575"/>
      <c r="W49" s="575"/>
      <c r="X49" s="575"/>
      <c r="Y49" s="575"/>
      <c r="Z49" s="575"/>
    </row>
    <row r="50">
      <c r="A50" s="582"/>
      <c r="B50" s="583"/>
      <c r="C50" s="584"/>
      <c r="D50" s="585"/>
      <c r="E50" s="575"/>
      <c r="F50" s="575"/>
      <c r="G50" s="575"/>
      <c r="H50" s="575"/>
      <c r="I50" s="575"/>
      <c r="J50" s="575"/>
      <c r="K50" s="575"/>
      <c r="L50" s="575"/>
      <c r="M50" s="575"/>
      <c r="N50" s="575"/>
      <c r="O50" s="575"/>
      <c r="P50" s="575"/>
      <c r="Q50" s="575"/>
      <c r="R50" s="575"/>
      <c r="S50" s="575"/>
      <c r="T50" s="575"/>
      <c r="U50" s="575"/>
      <c r="V50" s="575"/>
      <c r="W50" s="575"/>
      <c r="X50" s="575"/>
      <c r="Y50" s="575"/>
      <c r="Z50" s="575"/>
    </row>
    <row r="51">
      <c r="A51" s="582"/>
      <c r="B51" s="583"/>
      <c r="C51" s="584"/>
      <c r="D51" s="585"/>
      <c r="E51" s="575"/>
      <c r="F51" s="575"/>
      <c r="G51" s="575"/>
      <c r="H51" s="575"/>
      <c r="I51" s="575"/>
      <c r="J51" s="575"/>
      <c r="K51" s="575"/>
      <c r="L51" s="575"/>
      <c r="M51" s="575"/>
      <c r="N51" s="575"/>
      <c r="O51" s="575"/>
      <c r="P51" s="575"/>
      <c r="Q51" s="575"/>
      <c r="R51" s="575"/>
      <c r="S51" s="575"/>
      <c r="T51" s="575"/>
      <c r="U51" s="575"/>
      <c r="V51" s="575"/>
      <c r="W51" s="575"/>
      <c r="X51" s="575"/>
      <c r="Y51" s="575"/>
      <c r="Z51" s="575"/>
    </row>
    <row r="52">
      <c r="A52" s="582"/>
      <c r="B52" s="583"/>
      <c r="C52" s="584"/>
      <c r="D52" s="585"/>
      <c r="E52" s="575"/>
      <c r="F52" s="575"/>
      <c r="G52" s="575"/>
      <c r="H52" s="575"/>
      <c r="I52" s="575"/>
      <c r="J52" s="575"/>
      <c r="K52" s="575"/>
      <c r="L52" s="575"/>
      <c r="M52" s="575"/>
      <c r="N52" s="575"/>
      <c r="O52" s="575"/>
      <c r="P52" s="575"/>
      <c r="Q52" s="575"/>
      <c r="R52" s="575"/>
      <c r="S52" s="575"/>
      <c r="T52" s="575"/>
      <c r="U52" s="575"/>
      <c r="V52" s="575"/>
      <c r="W52" s="575"/>
      <c r="X52" s="575"/>
      <c r="Y52" s="575"/>
      <c r="Z52" s="575"/>
    </row>
    <row r="53">
      <c r="A53" s="582"/>
      <c r="B53" s="583"/>
      <c r="C53" s="584"/>
      <c r="D53" s="585"/>
      <c r="E53" s="575"/>
      <c r="F53" s="575"/>
      <c r="G53" s="575"/>
      <c r="H53" s="575"/>
      <c r="I53" s="575"/>
      <c r="J53" s="575"/>
      <c r="K53" s="575"/>
      <c r="L53" s="575"/>
      <c r="M53" s="575"/>
      <c r="N53" s="575"/>
      <c r="O53" s="575"/>
      <c r="P53" s="575"/>
      <c r="Q53" s="575"/>
      <c r="R53" s="575"/>
      <c r="S53" s="575"/>
      <c r="T53" s="575"/>
      <c r="U53" s="575"/>
      <c r="V53" s="575"/>
      <c r="W53" s="575"/>
      <c r="X53" s="575"/>
      <c r="Y53" s="575"/>
      <c r="Z53" s="575"/>
    </row>
    <row r="54">
      <c r="A54" s="582"/>
      <c r="B54" s="583"/>
      <c r="C54" s="584"/>
      <c r="D54" s="585"/>
      <c r="E54" s="575"/>
      <c r="F54" s="575"/>
      <c r="G54" s="575"/>
      <c r="H54" s="575"/>
      <c r="I54" s="575"/>
      <c r="J54" s="575"/>
      <c r="K54" s="575"/>
      <c r="L54" s="575"/>
      <c r="M54" s="575"/>
      <c r="N54" s="575"/>
      <c r="O54" s="575"/>
      <c r="P54" s="575"/>
      <c r="Q54" s="575"/>
      <c r="R54" s="575"/>
      <c r="S54" s="575"/>
      <c r="T54" s="575"/>
      <c r="U54" s="575"/>
      <c r="V54" s="575"/>
      <c r="W54" s="575"/>
      <c r="X54" s="575"/>
      <c r="Y54" s="575"/>
      <c r="Z54" s="575"/>
    </row>
    <row r="55">
      <c r="A55" s="582"/>
      <c r="B55" s="583"/>
      <c r="C55" s="584"/>
      <c r="D55" s="585"/>
      <c r="E55" s="575"/>
      <c r="F55" s="575"/>
      <c r="G55" s="575"/>
      <c r="H55" s="575"/>
      <c r="I55" s="575"/>
      <c r="J55" s="575"/>
      <c r="K55" s="575"/>
      <c r="L55" s="575"/>
      <c r="M55" s="575"/>
      <c r="N55" s="575"/>
      <c r="O55" s="575"/>
      <c r="P55" s="575"/>
      <c r="Q55" s="575"/>
      <c r="R55" s="575"/>
      <c r="S55" s="575"/>
      <c r="T55" s="575"/>
      <c r="U55" s="575"/>
      <c r="V55" s="575"/>
      <c r="W55" s="575"/>
      <c r="X55" s="575"/>
      <c r="Y55" s="575"/>
      <c r="Z55" s="575"/>
    </row>
    <row r="56">
      <c r="A56" s="582"/>
      <c r="B56" s="583"/>
      <c r="C56" s="584"/>
      <c r="D56" s="585"/>
      <c r="E56" s="575"/>
      <c r="F56" s="575"/>
      <c r="G56" s="575"/>
      <c r="H56" s="575"/>
      <c r="I56" s="575"/>
      <c r="J56" s="575"/>
      <c r="K56" s="575"/>
      <c r="L56" s="575"/>
      <c r="M56" s="575"/>
      <c r="N56" s="575"/>
      <c r="O56" s="575"/>
      <c r="P56" s="575"/>
      <c r="Q56" s="575"/>
      <c r="R56" s="575"/>
      <c r="S56" s="575"/>
      <c r="T56" s="575"/>
      <c r="U56" s="575"/>
      <c r="V56" s="575"/>
      <c r="W56" s="575"/>
      <c r="X56" s="575"/>
      <c r="Y56" s="575"/>
      <c r="Z56" s="575"/>
    </row>
    <row r="57">
      <c r="A57" s="582"/>
      <c r="B57" s="583"/>
      <c r="C57" s="584"/>
      <c r="D57" s="585"/>
      <c r="E57" s="575"/>
      <c r="F57" s="575"/>
      <c r="G57" s="575"/>
      <c r="H57" s="575"/>
      <c r="I57" s="575"/>
      <c r="J57" s="575"/>
      <c r="K57" s="575"/>
      <c r="L57" s="575"/>
      <c r="M57" s="575"/>
      <c r="N57" s="575"/>
      <c r="O57" s="575"/>
      <c r="P57" s="575"/>
      <c r="Q57" s="575"/>
      <c r="R57" s="575"/>
      <c r="S57" s="575"/>
      <c r="T57" s="575"/>
      <c r="U57" s="575"/>
      <c r="V57" s="575"/>
      <c r="W57" s="575"/>
      <c r="X57" s="575"/>
      <c r="Y57" s="575"/>
      <c r="Z57" s="575"/>
    </row>
    <row r="58">
      <c r="A58" s="582"/>
      <c r="B58" s="583"/>
      <c r="C58" s="584"/>
      <c r="D58" s="585"/>
      <c r="E58" s="575"/>
      <c r="F58" s="575"/>
      <c r="G58" s="575"/>
      <c r="H58" s="575"/>
      <c r="I58" s="575"/>
      <c r="J58" s="575"/>
      <c r="K58" s="575"/>
      <c r="L58" s="575"/>
      <c r="M58" s="575"/>
      <c r="N58" s="575"/>
      <c r="O58" s="575"/>
      <c r="P58" s="575"/>
      <c r="Q58" s="575"/>
      <c r="R58" s="575"/>
      <c r="S58" s="575"/>
      <c r="T58" s="575"/>
      <c r="U58" s="575"/>
      <c r="V58" s="575"/>
      <c r="W58" s="575"/>
      <c r="X58" s="575"/>
      <c r="Y58" s="575"/>
      <c r="Z58" s="575"/>
    </row>
    <row r="59">
      <c r="A59" s="582"/>
      <c r="B59" s="583"/>
      <c r="C59" s="584"/>
      <c r="D59" s="585"/>
      <c r="E59" s="575"/>
      <c r="F59" s="575"/>
      <c r="G59" s="575"/>
      <c r="H59" s="575"/>
      <c r="I59" s="575"/>
      <c r="J59" s="575"/>
      <c r="K59" s="575"/>
      <c r="L59" s="575"/>
      <c r="M59" s="575"/>
      <c r="N59" s="575"/>
      <c r="O59" s="575"/>
      <c r="P59" s="575"/>
      <c r="Q59" s="575"/>
      <c r="R59" s="575"/>
      <c r="S59" s="575"/>
      <c r="T59" s="575"/>
      <c r="U59" s="575"/>
      <c r="V59" s="575"/>
      <c r="W59" s="575"/>
      <c r="X59" s="575"/>
      <c r="Y59" s="575"/>
      <c r="Z59" s="575"/>
    </row>
    <row r="60">
      <c r="A60" s="582"/>
      <c r="B60" s="583"/>
      <c r="C60" s="584"/>
      <c r="D60" s="585"/>
      <c r="E60" s="575"/>
      <c r="F60" s="575"/>
      <c r="G60" s="575"/>
      <c r="H60" s="575"/>
      <c r="I60" s="575"/>
      <c r="J60" s="575"/>
      <c r="K60" s="575"/>
      <c r="L60" s="575"/>
      <c r="M60" s="575"/>
      <c r="N60" s="575"/>
      <c r="O60" s="575"/>
      <c r="P60" s="575"/>
      <c r="Q60" s="575"/>
      <c r="R60" s="575"/>
      <c r="S60" s="575"/>
      <c r="T60" s="575"/>
      <c r="U60" s="575"/>
      <c r="V60" s="575"/>
      <c r="W60" s="575"/>
      <c r="X60" s="575"/>
      <c r="Y60" s="575"/>
      <c r="Z60" s="575"/>
    </row>
    <row r="61">
      <c r="A61" s="582"/>
      <c r="B61" s="583"/>
      <c r="C61" s="584"/>
      <c r="D61" s="585"/>
      <c r="E61" s="575"/>
      <c r="F61" s="575"/>
      <c r="G61" s="575"/>
      <c r="H61" s="575"/>
      <c r="I61" s="575"/>
      <c r="J61" s="575"/>
      <c r="K61" s="575"/>
      <c r="L61" s="575"/>
      <c r="M61" s="575"/>
      <c r="N61" s="575"/>
      <c r="O61" s="575"/>
      <c r="P61" s="575"/>
      <c r="Q61" s="575"/>
      <c r="R61" s="575"/>
      <c r="S61" s="575"/>
      <c r="T61" s="575"/>
      <c r="U61" s="575"/>
      <c r="V61" s="575"/>
      <c r="W61" s="575"/>
      <c r="X61" s="575"/>
      <c r="Y61" s="575"/>
      <c r="Z61" s="575"/>
    </row>
    <row r="62">
      <c r="A62" s="582"/>
      <c r="B62" s="583"/>
      <c r="C62" s="584"/>
      <c r="D62" s="585"/>
      <c r="E62" s="575"/>
      <c r="F62" s="575"/>
      <c r="G62" s="575"/>
      <c r="H62" s="575"/>
      <c r="I62" s="575"/>
      <c r="J62" s="575"/>
      <c r="K62" s="575"/>
      <c r="L62" s="575"/>
      <c r="M62" s="575"/>
      <c r="N62" s="575"/>
      <c r="O62" s="575"/>
      <c r="P62" s="575"/>
      <c r="Q62" s="575"/>
      <c r="R62" s="575"/>
      <c r="S62" s="575"/>
      <c r="T62" s="575"/>
      <c r="U62" s="575"/>
      <c r="V62" s="575"/>
      <c r="W62" s="575"/>
      <c r="X62" s="575"/>
      <c r="Y62" s="575"/>
      <c r="Z62" s="575"/>
    </row>
    <row r="63">
      <c r="A63" s="582"/>
      <c r="B63" s="583"/>
      <c r="C63" s="584"/>
      <c r="D63" s="585"/>
      <c r="E63" s="575"/>
      <c r="F63" s="575"/>
      <c r="G63" s="575"/>
      <c r="H63" s="575"/>
      <c r="I63" s="575"/>
      <c r="J63" s="575"/>
      <c r="K63" s="575"/>
      <c r="L63" s="575"/>
      <c r="M63" s="575"/>
      <c r="N63" s="575"/>
      <c r="O63" s="575"/>
      <c r="P63" s="575"/>
      <c r="Q63" s="575"/>
      <c r="R63" s="575"/>
      <c r="S63" s="575"/>
      <c r="T63" s="575"/>
      <c r="U63" s="575"/>
      <c r="V63" s="575"/>
      <c r="W63" s="575"/>
      <c r="X63" s="575"/>
      <c r="Y63" s="575"/>
      <c r="Z63" s="575"/>
    </row>
    <row r="64">
      <c r="A64" s="582"/>
      <c r="B64" s="583"/>
      <c r="C64" s="584"/>
      <c r="D64" s="585"/>
      <c r="E64" s="575"/>
      <c r="F64" s="575"/>
      <c r="G64" s="575"/>
      <c r="H64" s="575"/>
      <c r="I64" s="575"/>
      <c r="J64" s="575"/>
      <c r="K64" s="575"/>
      <c r="L64" s="575"/>
      <c r="M64" s="575"/>
      <c r="N64" s="575"/>
      <c r="O64" s="575"/>
      <c r="P64" s="575"/>
      <c r="Q64" s="575"/>
      <c r="R64" s="575"/>
      <c r="S64" s="575"/>
      <c r="T64" s="575"/>
      <c r="U64" s="575"/>
      <c r="V64" s="575"/>
      <c r="W64" s="575"/>
      <c r="X64" s="575"/>
      <c r="Y64" s="575"/>
      <c r="Z64" s="575"/>
    </row>
    <row r="65">
      <c r="A65" s="582"/>
      <c r="B65" s="583"/>
      <c r="C65" s="584"/>
      <c r="D65" s="585"/>
      <c r="E65" s="575"/>
      <c r="F65" s="575"/>
      <c r="G65" s="575"/>
      <c r="H65" s="575"/>
      <c r="I65" s="575"/>
      <c r="J65" s="575"/>
      <c r="K65" s="575"/>
      <c r="L65" s="575"/>
      <c r="M65" s="575"/>
      <c r="N65" s="575"/>
      <c r="O65" s="575"/>
      <c r="P65" s="575"/>
      <c r="Q65" s="575"/>
      <c r="R65" s="575"/>
      <c r="S65" s="575"/>
      <c r="T65" s="575"/>
      <c r="U65" s="575"/>
      <c r="V65" s="575"/>
      <c r="W65" s="575"/>
      <c r="X65" s="575"/>
      <c r="Y65" s="575"/>
      <c r="Z65" s="575"/>
    </row>
    <row r="66">
      <c r="A66" s="582"/>
      <c r="B66" s="583"/>
      <c r="C66" s="584"/>
      <c r="D66" s="585"/>
      <c r="E66" s="575"/>
      <c r="F66" s="575"/>
      <c r="G66" s="575"/>
      <c r="H66" s="575"/>
      <c r="I66" s="575"/>
      <c r="J66" s="575"/>
      <c r="K66" s="575"/>
      <c r="L66" s="575"/>
      <c r="M66" s="575"/>
      <c r="N66" s="575"/>
      <c r="O66" s="575"/>
      <c r="P66" s="575"/>
      <c r="Q66" s="575"/>
      <c r="R66" s="575"/>
      <c r="S66" s="575"/>
      <c r="T66" s="575"/>
      <c r="U66" s="575"/>
      <c r="V66" s="575"/>
      <c r="W66" s="575"/>
      <c r="X66" s="575"/>
      <c r="Y66" s="575"/>
      <c r="Z66" s="575"/>
    </row>
    <row r="67">
      <c r="A67" s="582"/>
      <c r="B67" s="583"/>
      <c r="C67" s="584"/>
      <c r="D67" s="585"/>
      <c r="E67" s="575"/>
      <c r="F67" s="575"/>
      <c r="G67" s="575"/>
      <c r="H67" s="575"/>
      <c r="I67" s="575"/>
      <c r="J67" s="575"/>
      <c r="K67" s="575"/>
      <c r="L67" s="575"/>
      <c r="M67" s="575"/>
      <c r="N67" s="575"/>
      <c r="O67" s="575"/>
      <c r="P67" s="575"/>
      <c r="Q67" s="575"/>
      <c r="R67" s="575"/>
      <c r="S67" s="575"/>
      <c r="T67" s="575"/>
      <c r="U67" s="575"/>
      <c r="V67" s="575"/>
      <c r="W67" s="575"/>
      <c r="X67" s="575"/>
      <c r="Y67" s="575"/>
      <c r="Z67" s="575"/>
    </row>
    <row r="68">
      <c r="A68" s="582"/>
      <c r="B68" s="583"/>
      <c r="C68" s="584"/>
      <c r="D68" s="585"/>
      <c r="E68" s="575"/>
      <c r="F68" s="575"/>
      <c r="G68" s="575"/>
      <c r="H68" s="575"/>
      <c r="I68" s="575"/>
      <c r="J68" s="575"/>
      <c r="K68" s="575"/>
      <c r="L68" s="575"/>
      <c r="M68" s="575"/>
      <c r="N68" s="575"/>
      <c r="O68" s="575"/>
      <c r="P68" s="575"/>
      <c r="Q68" s="575"/>
      <c r="R68" s="575"/>
      <c r="S68" s="575"/>
      <c r="T68" s="575"/>
      <c r="U68" s="575"/>
      <c r="V68" s="575"/>
      <c r="W68" s="575"/>
      <c r="X68" s="575"/>
      <c r="Y68" s="575"/>
      <c r="Z68" s="575"/>
    </row>
    <row r="69">
      <c r="A69" s="582"/>
      <c r="B69" s="583"/>
      <c r="C69" s="584"/>
      <c r="D69" s="585"/>
      <c r="E69" s="575"/>
      <c r="F69" s="575"/>
      <c r="G69" s="575"/>
      <c r="H69" s="575"/>
      <c r="I69" s="575"/>
      <c r="J69" s="575"/>
      <c r="K69" s="575"/>
      <c r="L69" s="575"/>
      <c r="M69" s="575"/>
      <c r="N69" s="575"/>
      <c r="O69" s="575"/>
      <c r="P69" s="575"/>
      <c r="Q69" s="575"/>
      <c r="R69" s="575"/>
      <c r="S69" s="575"/>
      <c r="T69" s="575"/>
      <c r="U69" s="575"/>
      <c r="V69" s="575"/>
      <c r="W69" s="575"/>
      <c r="X69" s="575"/>
      <c r="Y69" s="575"/>
      <c r="Z69" s="575"/>
    </row>
    <row r="70">
      <c r="A70" s="582"/>
      <c r="B70" s="583"/>
      <c r="C70" s="584"/>
      <c r="D70" s="585"/>
      <c r="E70" s="575"/>
      <c r="F70" s="575"/>
      <c r="G70" s="575"/>
      <c r="H70" s="575"/>
      <c r="I70" s="575"/>
      <c r="J70" s="575"/>
      <c r="K70" s="575"/>
      <c r="L70" s="575"/>
      <c r="M70" s="575"/>
      <c r="N70" s="575"/>
      <c r="O70" s="575"/>
      <c r="P70" s="575"/>
      <c r="Q70" s="575"/>
      <c r="R70" s="575"/>
      <c r="S70" s="575"/>
      <c r="T70" s="575"/>
      <c r="U70" s="575"/>
      <c r="V70" s="575"/>
      <c r="W70" s="575"/>
      <c r="X70" s="575"/>
      <c r="Y70" s="575"/>
      <c r="Z70" s="575"/>
    </row>
    <row r="71">
      <c r="A71" s="582"/>
      <c r="B71" s="583"/>
      <c r="C71" s="584"/>
      <c r="D71" s="585"/>
      <c r="E71" s="575"/>
      <c r="F71" s="575"/>
      <c r="G71" s="575"/>
      <c r="H71" s="575"/>
      <c r="I71" s="575"/>
      <c r="J71" s="575"/>
      <c r="K71" s="575"/>
      <c r="L71" s="575"/>
      <c r="M71" s="575"/>
      <c r="N71" s="575"/>
      <c r="O71" s="575"/>
      <c r="P71" s="575"/>
      <c r="Q71" s="575"/>
      <c r="R71" s="575"/>
      <c r="S71" s="575"/>
      <c r="T71" s="575"/>
      <c r="U71" s="575"/>
      <c r="V71" s="575"/>
      <c r="W71" s="575"/>
      <c r="X71" s="575"/>
      <c r="Y71" s="575"/>
      <c r="Z71" s="575"/>
    </row>
    <row r="72">
      <c r="A72" s="582"/>
      <c r="B72" s="583"/>
      <c r="C72" s="584"/>
      <c r="D72" s="585"/>
      <c r="E72" s="575"/>
      <c r="F72" s="575"/>
      <c r="G72" s="575"/>
      <c r="H72" s="575"/>
      <c r="I72" s="575"/>
      <c r="J72" s="575"/>
      <c r="K72" s="575"/>
      <c r="L72" s="575"/>
      <c r="M72" s="575"/>
      <c r="N72" s="575"/>
      <c r="O72" s="575"/>
      <c r="P72" s="575"/>
      <c r="Q72" s="575"/>
      <c r="R72" s="575"/>
      <c r="S72" s="575"/>
      <c r="T72" s="575"/>
      <c r="U72" s="575"/>
      <c r="V72" s="575"/>
      <c r="W72" s="575"/>
      <c r="X72" s="575"/>
      <c r="Y72" s="575"/>
      <c r="Z72" s="575"/>
    </row>
    <row r="73">
      <c r="A73" s="582"/>
      <c r="B73" s="583"/>
      <c r="C73" s="584"/>
      <c r="D73" s="585"/>
      <c r="E73" s="575"/>
      <c r="F73" s="575"/>
      <c r="G73" s="575"/>
      <c r="H73" s="575"/>
      <c r="I73" s="575"/>
      <c r="J73" s="575"/>
      <c r="K73" s="575"/>
      <c r="L73" s="575"/>
      <c r="M73" s="575"/>
      <c r="N73" s="575"/>
      <c r="O73" s="575"/>
      <c r="P73" s="575"/>
      <c r="Q73" s="575"/>
      <c r="R73" s="575"/>
      <c r="S73" s="575"/>
      <c r="T73" s="575"/>
      <c r="U73" s="575"/>
      <c r="V73" s="575"/>
      <c r="W73" s="575"/>
      <c r="X73" s="575"/>
      <c r="Y73" s="575"/>
      <c r="Z73" s="575"/>
    </row>
    <row r="74">
      <c r="A74" s="582"/>
      <c r="B74" s="583"/>
      <c r="C74" s="584"/>
      <c r="D74" s="585"/>
      <c r="E74" s="575"/>
      <c r="F74" s="575"/>
      <c r="G74" s="575"/>
      <c r="H74" s="575"/>
      <c r="I74" s="575"/>
      <c r="J74" s="575"/>
      <c r="K74" s="575"/>
      <c r="L74" s="575"/>
      <c r="M74" s="575"/>
      <c r="N74" s="575"/>
      <c r="O74" s="575"/>
      <c r="P74" s="575"/>
      <c r="Q74" s="575"/>
      <c r="R74" s="575"/>
      <c r="S74" s="575"/>
      <c r="T74" s="575"/>
      <c r="U74" s="575"/>
      <c r="V74" s="575"/>
      <c r="W74" s="575"/>
      <c r="X74" s="575"/>
      <c r="Y74" s="575"/>
      <c r="Z74" s="575"/>
    </row>
    <row r="75">
      <c r="A75" s="582"/>
      <c r="B75" s="583"/>
      <c r="C75" s="584"/>
      <c r="D75" s="585"/>
      <c r="E75" s="575"/>
      <c r="F75" s="575"/>
      <c r="G75" s="575"/>
      <c r="H75" s="575"/>
      <c r="I75" s="575"/>
      <c r="J75" s="575"/>
      <c r="K75" s="575"/>
      <c r="L75" s="575"/>
      <c r="M75" s="575"/>
      <c r="N75" s="575"/>
      <c r="O75" s="575"/>
      <c r="P75" s="575"/>
      <c r="Q75" s="575"/>
      <c r="R75" s="575"/>
      <c r="S75" s="575"/>
      <c r="T75" s="575"/>
      <c r="U75" s="575"/>
      <c r="V75" s="575"/>
      <c r="W75" s="575"/>
      <c r="X75" s="575"/>
      <c r="Y75" s="575"/>
      <c r="Z75" s="575"/>
    </row>
    <row r="76">
      <c r="A76" s="582"/>
      <c r="B76" s="583"/>
      <c r="C76" s="584"/>
      <c r="D76" s="585"/>
      <c r="E76" s="575"/>
      <c r="F76" s="575"/>
      <c r="G76" s="575"/>
      <c r="H76" s="575"/>
      <c r="I76" s="575"/>
      <c r="J76" s="575"/>
      <c r="K76" s="575"/>
      <c r="L76" s="575"/>
      <c r="M76" s="575"/>
      <c r="N76" s="575"/>
      <c r="O76" s="575"/>
      <c r="P76" s="575"/>
      <c r="Q76" s="575"/>
      <c r="R76" s="575"/>
      <c r="S76" s="575"/>
      <c r="T76" s="575"/>
      <c r="U76" s="575"/>
      <c r="V76" s="575"/>
      <c r="W76" s="575"/>
      <c r="X76" s="575"/>
      <c r="Y76" s="575"/>
      <c r="Z76" s="575"/>
    </row>
    <row r="77">
      <c r="A77" s="582"/>
      <c r="B77" s="583"/>
      <c r="C77" s="584"/>
      <c r="D77" s="585"/>
      <c r="E77" s="575"/>
      <c r="F77" s="575"/>
      <c r="G77" s="575"/>
      <c r="H77" s="575"/>
      <c r="I77" s="575"/>
      <c r="J77" s="575"/>
      <c r="K77" s="575"/>
      <c r="L77" s="575"/>
      <c r="M77" s="575"/>
      <c r="N77" s="575"/>
      <c r="O77" s="575"/>
      <c r="P77" s="575"/>
      <c r="Q77" s="575"/>
      <c r="R77" s="575"/>
      <c r="S77" s="575"/>
      <c r="T77" s="575"/>
      <c r="U77" s="575"/>
      <c r="V77" s="575"/>
      <c r="W77" s="575"/>
      <c r="X77" s="575"/>
      <c r="Y77" s="575"/>
      <c r="Z77" s="575"/>
    </row>
    <row r="78">
      <c r="A78" s="582"/>
      <c r="B78" s="583"/>
      <c r="C78" s="584"/>
      <c r="D78" s="585"/>
      <c r="E78" s="575"/>
      <c r="F78" s="575"/>
      <c r="G78" s="575"/>
      <c r="H78" s="575"/>
      <c r="I78" s="575"/>
      <c r="J78" s="575"/>
      <c r="K78" s="575"/>
      <c r="L78" s="575"/>
      <c r="M78" s="575"/>
      <c r="N78" s="575"/>
      <c r="O78" s="575"/>
      <c r="P78" s="575"/>
      <c r="Q78" s="575"/>
      <c r="R78" s="575"/>
      <c r="S78" s="575"/>
      <c r="T78" s="575"/>
      <c r="U78" s="575"/>
      <c r="V78" s="575"/>
      <c r="W78" s="575"/>
      <c r="X78" s="575"/>
      <c r="Y78" s="575"/>
      <c r="Z78" s="575"/>
    </row>
    <row r="79">
      <c r="A79" s="582"/>
      <c r="B79" s="583"/>
      <c r="C79" s="584"/>
      <c r="D79" s="585"/>
      <c r="E79" s="575"/>
      <c r="F79" s="575"/>
      <c r="G79" s="575"/>
      <c r="H79" s="575"/>
      <c r="I79" s="575"/>
      <c r="J79" s="575"/>
      <c r="K79" s="575"/>
      <c r="L79" s="575"/>
      <c r="M79" s="575"/>
      <c r="N79" s="575"/>
      <c r="O79" s="575"/>
      <c r="P79" s="575"/>
      <c r="Q79" s="575"/>
      <c r="R79" s="575"/>
      <c r="S79" s="575"/>
      <c r="T79" s="575"/>
      <c r="U79" s="575"/>
      <c r="V79" s="575"/>
      <c r="W79" s="575"/>
      <c r="X79" s="575"/>
      <c r="Y79" s="575"/>
      <c r="Z79" s="575"/>
    </row>
    <row r="80">
      <c r="A80" s="582"/>
      <c r="B80" s="583"/>
      <c r="C80" s="584"/>
      <c r="D80" s="585"/>
      <c r="E80" s="575"/>
      <c r="F80" s="575"/>
      <c r="G80" s="575"/>
      <c r="H80" s="575"/>
      <c r="I80" s="575"/>
      <c r="J80" s="575"/>
      <c r="K80" s="575"/>
      <c r="L80" s="575"/>
      <c r="M80" s="575"/>
      <c r="N80" s="575"/>
      <c r="O80" s="575"/>
      <c r="P80" s="575"/>
      <c r="Q80" s="575"/>
      <c r="R80" s="575"/>
      <c r="S80" s="575"/>
      <c r="T80" s="575"/>
      <c r="U80" s="575"/>
      <c r="V80" s="575"/>
      <c r="W80" s="575"/>
      <c r="X80" s="575"/>
      <c r="Y80" s="575"/>
      <c r="Z80" s="575"/>
    </row>
    <row r="81">
      <c r="A81" s="582"/>
      <c r="B81" s="583"/>
      <c r="C81" s="584"/>
      <c r="D81" s="585"/>
      <c r="E81" s="575"/>
      <c r="F81" s="575"/>
      <c r="G81" s="575"/>
      <c r="H81" s="575"/>
      <c r="I81" s="575"/>
      <c r="J81" s="575"/>
      <c r="K81" s="575"/>
      <c r="L81" s="575"/>
      <c r="M81" s="575"/>
      <c r="N81" s="575"/>
      <c r="O81" s="575"/>
      <c r="P81" s="575"/>
      <c r="Q81" s="575"/>
      <c r="R81" s="575"/>
      <c r="S81" s="575"/>
      <c r="T81" s="575"/>
      <c r="U81" s="575"/>
      <c r="V81" s="575"/>
      <c r="W81" s="575"/>
      <c r="X81" s="575"/>
      <c r="Y81" s="575"/>
      <c r="Z81" s="575"/>
    </row>
    <row r="82">
      <c r="A82" s="582"/>
      <c r="B82" s="583"/>
      <c r="C82" s="584"/>
      <c r="D82" s="585"/>
      <c r="E82" s="575"/>
      <c r="F82" s="575"/>
      <c r="G82" s="575"/>
      <c r="H82" s="575"/>
      <c r="I82" s="575"/>
      <c r="J82" s="575"/>
      <c r="K82" s="575"/>
      <c r="L82" s="575"/>
      <c r="M82" s="575"/>
      <c r="N82" s="575"/>
      <c r="O82" s="575"/>
      <c r="P82" s="575"/>
      <c r="Q82" s="575"/>
      <c r="R82" s="575"/>
      <c r="S82" s="575"/>
      <c r="T82" s="575"/>
      <c r="U82" s="575"/>
      <c r="V82" s="575"/>
      <c r="W82" s="575"/>
      <c r="X82" s="575"/>
      <c r="Y82" s="575"/>
      <c r="Z82" s="575"/>
    </row>
    <row r="83">
      <c r="A83" s="582"/>
      <c r="B83" s="583"/>
      <c r="C83" s="584"/>
      <c r="D83" s="585"/>
      <c r="E83" s="575"/>
      <c r="F83" s="575"/>
      <c r="G83" s="575"/>
      <c r="H83" s="575"/>
      <c r="I83" s="575"/>
      <c r="J83" s="575"/>
      <c r="K83" s="575"/>
      <c r="L83" s="575"/>
      <c r="M83" s="575"/>
      <c r="N83" s="575"/>
      <c r="O83" s="575"/>
      <c r="P83" s="575"/>
      <c r="Q83" s="575"/>
      <c r="R83" s="575"/>
      <c r="S83" s="575"/>
      <c r="T83" s="575"/>
      <c r="U83" s="575"/>
      <c r="V83" s="575"/>
      <c r="W83" s="575"/>
      <c r="X83" s="575"/>
      <c r="Y83" s="575"/>
      <c r="Z83" s="575"/>
    </row>
    <row r="84">
      <c r="A84" s="582"/>
      <c r="B84" s="583"/>
      <c r="C84" s="584"/>
      <c r="D84" s="585"/>
      <c r="E84" s="575"/>
      <c r="F84" s="575"/>
      <c r="G84" s="575"/>
      <c r="H84" s="575"/>
      <c r="I84" s="575"/>
      <c r="J84" s="575"/>
      <c r="K84" s="575"/>
      <c r="L84" s="575"/>
      <c r="M84" s="575"/>
      <c r="N84" s="575"/>
      <c r="O84" s="575"/>
      <c r="P84" s="575"/>
      <c r="Q84" s="575"/>
      <c r="R84" s="575"/>
      <c r="S84" s="575"/>
      <c r="T84" s="575"/>
      <c r="U84" s="575"/>
      <c r="V84" s="575"/>
      <c r="W84" s="575"/>
      <c r="X84" s="575"/>
      <c r="Y84" s="575"/>
      <c r="Z84" s="575"/>
    </row>
    <row r="85">
      <c r="A85" s="582"/>
      <c r="B85" s="583"/>
      <c r="C85" s="584"/>
      <c r="D85" s="585"/>
      <c r="E85" s="575"/>
      <c r="F85" s="575"/>
      <c r="G85" s="575"/>
      <c r="H85" s="575"/>
      <c r="I85" s="575"/>
      <c r="J85" s="575"/>
      <c r="K85" s="575"/>
      <c r="L85" s="575"/>
      <c r="M85" s="575"/>
      <c r="N85" s="575"/>
      <c r="O85" s="575"/>
      <c r="P85" s="575"/>
      <c r="Q85" s="575"/>
      <c r="R85" s="575"/>
      <c r="S85" s="575"/>
      <c r="T85" s="575"/>
      <c r="U85" s="575"/>
      <c r="V85" s="575"/>
      <c r="W85" s="575"/>
      <c r="X85" s="575"/>
      <c r="Y85" s="575"/>
      <c r="Z85" s="575"/>
    </row>
    <row r="86">
      <c r="A86" s="582"/>
      <c r="B86" s="583"/>
      <c r="C86" s="584"/>
      <c r="D86" s="585"/>
      <c r="E86" s="575"/>
      <c r="F86" s="575"/>
      <c r="G86" s="575"/>
      <c r="H86" s="575"/>
      <c r="I86" s="575"/>
      <c r="J86" s="575"/>
      <c r="K86" s="575"/>
      <c r="L86" s="575"/>
      <c r="M86" s="575"/>
      <c r="N86" s="575"/>
      <c r="O86" s="575"/>
      <c r="P86" s="575"/>
      <c r="Q86" s="575"/>
      <c r="R86" s="575"/>
      <c r="S86" s="575"/>
      <c r="T86" s="575"/>
      <c r="U86" s="575"/>
      <c r="V86" s="575"/>
      <c r="W86" s="575"/>
      <c r="X86" s="575"/>
      <c r="Y86" s="575"/>
      <c r="Z86" s="575"/>
    </row>
    <row r="87">
      <c r="A87" s="582"/>
      <c r="B87" s="583"/>
      <c r="C87" s="584"/>
      <c r="D87" s="585"/>
      <c r="E87" s="575"/>
      <c r="F87" s="575"/>
      <c r="G87" s="575"/>
      <c r="H87" s="575"/>
      <c r="I87" s="575"/>
      <c r="J87" s="575"/>
      <c r="K87" s="575"/>
      <c r="L87" s="575"/>
      <c r="M87" s="575"/>
      <c r="N87" s="575"/>
      <c r="O87" s="575"/>
      <c r="P87" s="575"/>
      <c r="Q87" s="575"/>
      <c r="R87" s="575"/>
      <c r="S87" s="575"/>
      <c r="T87" s="575"/>
      <c r="U87" s="575"/>
      <c r="V87" s="575"/>
      <c r="W87" s="575"/>
      <c r="X87" s="575"/>
      <c r="Y87" s="575"/>
      <c r="Z87" s="575"/>
    </row>
    <row r="88">
      <c r="A88" s="582"/>
      <c r="B88" s="583"/>
      <c r="C88" s="584"/>
      <c r="D88" s="585"/>
      <c r="E88" s="575"/>
      <c r="F88" s="575"/>
      <c r="G88" s="575"/>
      <c r="H88" s="575"/>
      <c r="I88" s="575"/>
      <c r="J88" s="575"/>
      <c r="K88" s="575"/>
      <c r="L88" s="575"/>
      <c r="M88" s="575"/>
      <c r="N88" s="575"/>
      <c r="O88" s="575"/>
      <c r="P88" s="575"/>
      <c r="Q88" s="575"/>
      <c r="R88" s="575"/>
      <c r="S88" s="575"/>
      <c r="T88" s="575"/>
      <c r="U88" s="575"/>
      <c r="V88" s="575"/>
      <c r="W88" s="575"/>
      <c r="X88" s="575"/>
      <c r="Y88" s="575"/>
      <c r="Z88" s="575"/>
    </row>
    <row r="89">
      <c r="A89" s="582"/>
      <c r="B89" s="583"/>
      <c r="C89" s="584"/>
      <c r="D89" s="585"/>
      <c r="E89" s="575"/>
      <c r="F89" s="575"/>
      <c r="G89" s="575"/>
      <c r="H89" s="575"/>
      <c r="I89" s="575"/>
      <c r="J89" s="575"/>
      <c r="K89" s="575"/>
      <c r="L89" s="575"/>
      <c r="M89" s="575"/>
      <c r="N89" s="575"/>
      <c r="O89" s="575"/>
      <c r="P89" s="575"/>
      <c r="Q89" s="575"/>
      <c r="R89" s="575"/>
      <c r="S89" s="575"/>
      <c r="T89" s="575"/>
      <c r="U89" s="575"/>
      <c r="V89" s="575"/>
      <c r="W89" s="575"/>
      <c r="X89" s="575"/>
      <c r="Y89" s="575"/>
      <c r="Z89" s="575"/>
    </row>
    <row r="90">
      <c r="A90" s="582"/>
      <c r="B90" s="583"/>
      <c r="C90" s="584"/>
      <c r="D90" s="585"/>
      <c r="E90" s="575"/>
      <c r="F90" s="575"/>
      <c r="G90" s="575"/>
      <c r="H90" s="575"/>
      <c r="I90" s="575"/>
      <c r="J90" s="575"/>
      <c r="K90" s="575"/>
      <c r="L90" s="575"/>
      <c r="M90" s="575"/>
      <c r="N90" s="575"/>
      <c r="O90" s="575"/>
      <c r="P90" s="575"/>
      <c r="Q90" s="575"/>
      <c r="R90" s="575"/>
      <c r="S90" s="575"/>
      <c r="T90" s="575"/>
      <c r="U90" s="575"/>
      <c r="V90" s="575"/>
      <c r="W90" s="575"/>
      <c r="X90" s="575"/>
      <c r="Y90" s="575"/>
      <c r="Z90" s="575"/>
    </row>
    <row r="91">
      <c r="A91" s="582"/>
      <c r="B91" s="583"/>
      <c r="C91" s="584"/>
      <c r="D91" s="585"/>
      <c r="E91" s="575"/>
      <c r="F91" s="575"/>
      <c r="G91" s="575"/>
      <c r="H91" s="575"/>
      <c r="I91" s="575"/>
      <c r="J91" s="575"/>
      <c r="K91" s="575"/>
      <c r="L91" s="575"/>
      <c r="M91" s="575"/>
      <c r="N91" s="575"/>
      <c r="O91" s="575"/>
      <c r="P91" s="575"/>
      <c r="Q91" s="575"/>
      <c r="R91" s="575"/>
      <c r="S91" s="575"/>
      <c r="T91" s="575"/>
      <c r="U91" s="575"/>
      <c r="V91" s="575"/>
      <c r="W91" s="575"/>
      <c r="X91" s="575"/>
      <c r="Y91" s="575"/>
      <c r="Z91" s="575"/>
    </row>
    <row r="92">
      <c r="A92" s="582"/>
      <c r="B92" s="583"/>
      <c r="C92" s="584"/>
      <c r="D92" s="585"/>
      <c r="E92" s="575"/>
      <c r="F92" s="575"/>
      <c r="G92" s="575"/>
      <c r="H92" s="575"/>
      <c r="I92" s="575"/>
      <c r="J92" s="575"/>
      <c r="K92" s="575"/>
      <c r="L92" s="575"/>
      <c r="M92" s="575"/>
      <c r="N92" s="575"/>
      <c r="O92" s="575"/>
      <c r="P92" s="575"/>
      <c r="Q92" s="575"/>
      <c r="R92" s="575"/>
      <c r="S92" s="575"/>
      <c r="T92" s="575"/>
      <c r="U92" s="575"/>
      <c r="V92" s="575"/>
      <c r="W92" s="575"/>
      <c r="X92" s="575"/>
      <c r="Y92" s="575"/>
      <c r="Z92" s="575"/>
    </row>
    <row r="93">
      <c r="A93" s="582"/>
      <c r="B93" s="583"/>
      <c r="C93" s="584"/>
      <c r="D93" s="585"/>
      <c r="E93" s="575"/>
      <c r="F93" s="575"/>
      <c r="G93" s="575"/>
      <c r="H93" s="575"/>
      <c r="I93" s="575"/>
      <c r="J93" s="575"/>
      <c r="K93" s="575"/>
      <c r="L93" s="575"/>
      <c r="M93" s="575"/>
      <c r="N93" s="575"/>
      <c r="O93" s="575"/>
      <c r="P93" s="575"/>
      <c r="Q93" s="575"/>
      <c r="R93" s="575"/>
      <c r="S93" s="575"/>
      <c r="T93" s="575"/>
      <c r="U93" s="575"/>
      <c r="V93" s="575"/>
      <c r="W93" s="575"/>
      <c r="X93" s="575"/>
      <c r="Y93" s="575"/>
      <c r="Z93" s="575"/>
    </row>
    <row r="94">
      <c r="A94" s="582"/>
      <c r="B94" s="583"/>
      <c r="C94" s="584"/>
      <c r="D94" s="585"/>
      <c r="E94" s="575"/>
      <c r="F94" s="575"/>
      <c r="G94" s="575"/>
      <c r="H94" s="575"/>
      <c r="I94" s="575"/>
      <c r="J94" s="575"/>
      <c r="K94" s="575"/>
      <c r="L94" s="575"/>
      <c r="M94" s="575"/>
      <c r="N94" s="575"/>
      <c r="O94" s="575"/>
      <c r="P94" s="575"/>
      <c r="Q94" s="575"/>
      <c r="R94" s="575"/>
      <c r="S94" s="575"/>
      <c r="T94" s="575"/>
      <c r="U94" s="575"/>
      <c r="V94" s="575"/>
      <c r="W94" s="575"/>
      <c r="X94" s="575"/>
      <c r="Y94" s="575"/>
      <c r="Z94" s="575"/>
    </row>
    <row r="95">
      <c r="A95" s="582"/>
      <c r="B95" s="583"/>
      <c r="C95" s="584"/>
      <c r="D95" s="585"/>
      <c r="E95" s="575"/>
      <c r="F95" s="575"/>
      <c r="G95" s="575"/>
      <c r="H95" s="575"/>
      <c r="I95" s="575"/>
      <c r="J95" s="575"/>
      <c r="K95" s="575"/>
      <c r="L95" s="575"/>
      <c r="M95" s="575"/>
      <c r="N95" s="575"/>
      <c r="O95" s="575"/>
      <c r="P95" s="575"/>
      <c r="Q95" s="575"/>
      <c r="R95" s="575"/>
      <c r="S95" s="575"/>
      <c r="T95" s="575"/>
      <c r="U95" s="575"/>
      <c r="V95" s="575"/>
      <c r="W95" s="575"/>
      <c r="X95" s="575"/>
      <c r="Y95" s="575"/>
      <c r="Z95" s="575"/>
    </row>
    <row r="96">
      <c r="A96" s="582"/>
      <c r="B96" s="583"/>
      <c r="C96" s="584"/>
      <c r="D96" s="585"/>
      <c r="E96" s="575"/>
      <c r="F96" s="575"/>
      <c r="G96" s="575"/>
      <c r="H96" s="575"/>
      <c r="I96" s="575"/>
      <c r="J96" s="575"/>
      <c r="K96" s="575"/>
      <c r="L96" s="575"/>
      <c r="M96" s="575"/>
      <c r="N96" s="575"/>
      <c r="O96" s="575"/>
      <c r="P96" s="575"/>
      <c r="Q96" s="575"/>
      <c r="R96" s="575"/>
      <c r="S96" s="575"/>
      <c r="T96" s="575"/>
      <c r="U96" s="575"/>
      <c r="V96" s="575"/>
      <c r="W96" s="575"/>
      <c r="X96" s="575"/>
      <c r="Y96" s="575"/>
      <c r="Z96" s="575"/>
    </row>
    <row r="97">
      <c r="A97" s="582"/>
      <c r="B97" s="583"/>
      <c r="C97" s="584"/>
      <c r="D97" s="585"/>
      <c r="E97" s="575"/>
      <c r="F97" s="575"/>
      <c r="G97" s="575"/>
      <c r="H97" s="575"/>
      <c r="I97" s="575"/>
      <c r="J97" s="575"/>
      <c r="K97" s="575"/>
      <c r="L97" s="575"/>
      <c r="M97" s="575"/>
      <c r="N97" s="575"/>
      <c r="O97" s="575"/>
      <c r="P97" s="575"/>
      <c r="Q97" s="575"/>
      <c r="R97" s="575"/>
      <c r="S97" s="575"/>
      <c r="T97" s="575"/>
      <c r="U97" s="575"/>
      <c r="V97" s="575"/>
      <c r="W97" s="575"/>
      <c r="X97" s="575"/>
      <c r="Y97" s="575"/>
      <c r="Z97" s="575"/>
    </row>
    <row r="98">
      <c r="A98" s="582"/>
      <c r="B98" s="583"/>
      <c r="C98" s="584"/>
      <c r="D98" s="585"/>
      <c r="E98" s="575"/>
      <c r="F98" s="575"/>
      <c r="G98" s="575"/>
      <c r="H98" s="575"/>
      <c r="I98" s="575"/>
      <c r="J98" s="575"/>
      <c r="K98" s="575"/>
      <c r="L98" s="575"/>
      <c r="M98" s="575"/>
      <c r="N98" s="575"/>
      <c r="O98" s="575"/>
      <c r="P98" s="575"/>
      <c r="Q98" s="575"/>
      <c r="R98" s="575"/>
      <c r="S98" s="575"/>
      <c r="T98" s="575"/>
      <c r="U98" s="575"/>
      <c r="V98" s="575"/>
      <c r="W98" s="575"/>
      <c r="X98" s="575"/>
      <c r="Y98" s="575"/>
      <c r="Z98" s="575"/>
    </row>
    <row r="99">
      <c r="A99" s="582"/>
      <c r="B99" s="583"/>
      <c r="C99" s="584"/>
      <c r="D99" s="585"/>
      <c r="E99" s="575"/>
      <c r="F99" s="575"/>
      <c r="G99" s="575"/>
      <c r="H99" s="575"/>
      <c r="I99" s="575"/>
      <c r="J99" s="575"/>
      <c r="K99" s="575"/>
      <c r="L99" s="575"/>
      <c r="M99" s="575"/>
      <c r="N99" s="575"/>
      <c r="O99" s="575"/>
      <c r="P99" s="575"/>
      <c r="Q99" s="575"/>
      <c r="R99" s="575"/>
      <c r="S99" s="575"/>
      <c r="T99" s="575"/>
      <c r="U99" s="575"/>
      <c r="V99" s="575"/>
      <c r="W99" s="575"/>
      <c r="X99" s="575"/>
      <c r="Y99" s="575"/>
      <c r="Z99" s="575"/>
    </row>
    <row r="100">
      <c r="A100" s="582"/>
      <c r="B100" s="583"/>
      <c r="C100" s="584"/>
      <c r="D100" s="585"/>
      <c r="E100" s="575"/>
      <c r="F100" s="575"/>
      <c r="G100" s="575"/>
      <c r="H100" s="575"/>
      <c r="I100" s="575"/>
      <c r="J100" s="575"/>
      <c r="K100" s="575"/>
      <c r="L100" s="575"/>
      <c r="M100" s="575"/>
      <c r="N100" s="575"/>
      <c r="O100" s="575"/>
      <c r="P100" s="575"/>
      <c r="Q100" s="575"/>
      <c r="R100" s="575"/>
      <c r="S100" s="575"/>
      <c r="T100" s="575"/>
      <c r="U100" s="575"/>
      <c r="V100" s="575"/>
      <c r="W100" s="575"/>
      <c r="X100" s="575"/>
      <c r="Y100" s="575"/>
      <c r="Z100" s="575"/>
    </row>
    <row r="101">
      <c r="A101" s="582"/>
      <c r="B101" s="583"/>
      <c r="C101" s="584"/>
      <c r="D101" s="585"/>
      <c r="E101" s="575"/>
      <c r="F101" s="575"/>
      <c r="G101" s="575"/>
      <c r="H101" s="575"/>
      <c r="I101" s="575"/>
      <c r="J101" s="575"/>
      <c r="K101" s="575"/>
      <c r="L101" s="575"/>
      <c r="M101" s="575"/>
      <c r="N101" s="575"/>
      <c r="O101" s="575"/>
      <c r="P101" s="575"/>
      <c r="Q101" s="575"/>
      <c r="R101" s="575"/>
      <c r="S101" s="575"/>
      <c r="T101" s="575"/>
      <c r="U101" s="575"/>
      <c r="V101" s="575"/>
      <c r="W101" s="575"/>
      <c r="X101" s="575"/>
      <c r="Y101" s="575"/>
      <c r="Z101" s="575"/>
    </row>
    <row r="102">
      <c r="A102" s="582"/>
      <c r="B102" s="583"/>
      <c r="C102" s="584"/>
      <c r="D102" s="585"/>
      <c r="E102" s="575"/>
      <c r="F102" s="575"/>
      <c r="G102" s="575"/>
      <c r="H102" s="575"/>
      <c r="I102" s="575"/>
      <c r="J102" s="575"/>
      <c r="K102" s="575"/>
      <c r="L102" s="575"/>
      <c r="M102" s="575"/>
      <c r="N102" s="575"/>
      <c r="O102" s="575"/>
      <c r="P102" s="575"/>
      <c r="Q102" s="575"/>
      <c r="R102" s="575"/>
      <c r="S102" s="575"/>
      <c r="T102" s="575"/>
      <c r="U102" s="575"/>
      <c r="V102" s="575"/>
      <c r="W102" s="575"/>
      <c r="X102" s="575"/>
      <c r="Y102" s="575"/>
      <c r="Z102" s="575"/>
    </row>
    <row r="103">
      <c r="A103" s="582"/>
      <c r="B103" s="583"/>
      <c r="C103" s="584"/>
      <c r="D103" s="585"/>
      <c r="E103" s="575"/>
      <c r="F103" s="575"/>
      <c r="G103" s="575"/>
      <c r="H103" s="575"/>
      <c r="I103" s="575"/>
      <c r="J103" s="575"/>
      <c r="K103" s="575"/>
      <c r="L103" s="575"/>
      <c r="M103" s="575"/>
      <c r="N103" s="575"/>
      <c r="O103" s="575"/>
      <c r="P103" s="575"/>
      <c r="Q103" s="575"/>
      <c r="R103" s="575"/>
      <c r="S103" s="575"/>
      <c r="T103" s="575"/>
      <c r="U103" s="575"/>
      <c r="V103" s="575"/>
      <c r="W103" s="575"/>
      <c r="X103" s="575"/>
      <c r="Y103" s="575"/>
      <c r="Z103" s="575"/>
    </row>
    <row r="104">
      <c r="A104" s="582"/>
      <c r="B104" s="583"/>
      <c r="C104" s="584"/>
      <c r="D104" s="585"/>
      <c r="E104" s="575"/>
      <c r="F104" s="575"/>
      <c r="G104" s="575"/>
      <c r="H104" s="575"/>
      <c r="I104" s="575"/>
      <c r="J104" s="575"/>
      <c r="K104" s="575"/>
      <c r="L104" s="575"/>
      <c r="M104" s="575"/>
      <c r="N104" s="575"/>
      <c r="O104" s="575"/>
      <c r="P104" s="575"/>
      <c r="Q104" s="575"/>
      <c r="R104" s="575"/>
      <c r="S104" s="575"/>
      <c r="T104" s="575"/>
      <c r="U104" s="575"/>
      <c r="V104" s="575"/>
      <c r="W104" s="575"/>
      <c r="X104" s="575"/>
      <c r="Y104" s="575"/>
      <c r="Z104" s="575"/>
    </row>
    <row r="105">
      <c r="A105" s="582"/>
      <c r="B105" s="583"/>
      <c r="C105" s="584"/>
      <c r="D105" s="585"/>
      <c r="E105" s="575"/>
      <c r="F105" s="575"/>
      <c r="G105" s="575"/>
      <c r="H105" s="575"/>
      <c r="I105" s="575"/>
      <c r="J105" s="575"/>
      <c r="K105" s="575"/>
      <c r="L105" s="575"/>
      <c r="M105" s="575"/>
      <c r="N105" s="575"/>
      <c r="O105" s="575"/>
      <c r="P105" s="575"/>
      <c r="Q105" s="575"/>
      <c r="R105" s="575"/>
      <c r="S105" s="575"/>
      <c r="T105" s="575"/>
      <c r="U105" s="575"/>
      <c r="V105" s="575"/>
      <c r="W105" s="575"/>
      <c r="X105" s="575"/>
      <c r="Y105" s="575"/>
      <c r="Z105" s="575"/>
    </row>
    <row r="106">
      <c r="A106" s="582"/>
      <c r="B106" s="583"/>
      <c r="C106" s="584"/>
      <c r="D106" s="585"/>
      <c r="E106" s="575"/>
      <c r="F106" s="575"/>
      <c r="G106" s="575"/>
      <c r="H106" s="575"/>
      <c r="I106" s="575"/>
      <c r="J106" s="575"/>
      <c r="K106" s="575"/>
      <c r="L106" s="575"/>
      <c r="M106" s="575"/>
      <c r="N106" s="575"/>
      <c r="O106" s="575"/>
      <c r="P106" s="575"/>
      <c r="Q106" s="575"/>
      <c r="R106" s="575"/>
      <c r="S106" s="575"/>
      <c r="T106" s="575"/>
      <c r="U106" s="575"/>
      <c r="V106" s="575"/>
      <c r="W106" s="575"/>
      <c r="X106" s="575"/>
      <c r="Y106" s="575"/>
      <c r="Z106" s="575"/>
    </row>
    <row r="107">
      <c r="A107" s="582"/>
      <c r="B107" s="583"/>
      <c r="C107" s="584"/>
      <c r="D107" s="585"/>
      <c r="E107" s="575"/>
      <c r="F107" s="575"/>
      <c r="G107" s="575"/>
      <c r="H107" s="575"/>
      <c r="I107" s="575"/>
      <c r="J107" s="575"/>
      <c r="K107" s="575"/>
      <c r="L107" s="575"/>
      <c r="M107" s="575"/>
      <c r="N107" s="575"/>
      <c r="O107" s="575"/>
      <c r="P107" s="575"/>
      <c r="Q107" s="575"/>
      <c r="R107" s="575"/>
      <c r="S107" s="575"/>
      <c r="T107" s="575"/>
      <c r="U107" s="575"/>
      <c r="V107" s="575"/>
      <c r="W107" s="575"/>
      <c r="X107" s="575"/>
      <c r="Y107" s="575"/>
      <c r="Z107" s="575"/>
    </row>
    <row r="108">
      <c r="A108" s="582"/>
      <c r="B108" s="583"/>
      <c r="C108" s="584"/>
      <c r="D108" s="585"/>
      <c r="E108" s="575"/>
      <c r="F108" s="575"/>
      <c r="G108" s="575"/>
      <c r="H108" s="575"/>
      <c r="I108" s="575"/>
      <c r="J108" s="575"/>
      <c r="K108" s="575"/>
      <c r="L108" s="575"/>
      <c r="M108" s="575"/>
      <c r="N108" s="575"/>
      <c r="O108" s="575"/>
      <c r="P108" s="575"/>
      <c r="Q108" s="575"/>
      <c r="R108" s="575"/>
      <c r="S108" s="575"/>
      <c r="T108" s="575"/>
      <c r="U108" s="575"/>
      <c r="V108" s="575"/>
      <c r="W108" s="575"/>
      <c r="X108" s="575"/>
      <c r="Y108" s="575"/>
      <c r="Z108" s="575"/>
    </row>
    <row r="109">
      <c r="A109" s="582"/>
      <c r="B109" s="583"/>
      <c r="C109" s="584"/>
      <c r="D109" s="585"/>
      <c r="E109" s="575"/>
      <c r="F109" s="575"/>
      <c r="G109" s="575"/>
      <c r="H109" s="575"/>
      <c r="I109" s="575"/>
      <c r="J109" s="575"/>
      <c r="K109" s="575"/>
      <c r="L109" s="575"/>
      <c r="M109" s="575"/>
      <c r="N109" s="575"/>
      <c r="O109" s="575"/>
      <c r="P109" s="575"/>
      <c r="Q109" s="575"/>
      <c r="R109" s="575"/>
      <c r="S109" s="575"/>
      <c r="T109" s="575"/>
      <c r="U109" s="575"/>
      <c r="V109" s="575"/>
      <c r="W109" s="575"/>
      <c r="X109" s="575"/>
      <c r="Y109" s="575"/>
      <c r="Z109" s="575"/>
    </row>
    <row r="110">
      <c r="A110" s="582"/>
      <c r="B110" s="583"/>
      <c r="C110" s="584"/>
      <c r="D110" s="585"/>
      <c r="E110" s="575"/>
      <c r="F110" s="575"/>
      <c r="G110" s="575"/>
      <c r="H110" s="575"/>
      <c r="I110" s="575"/>
      <c r="J110" s="575"/>
      <c r="K110" s="575"/>
      <c r="L110" s="575"/>
      <c r="M110" s="575"/>
      <c r="N110" s="575"/>
      <c r="O110" s="575"/>
      <c r="P110" s="575"/>
      <c r="Q110" s="575"/>
      <c r="R110" s="575"/>
      <c r="S110" s="575"/>
      <c r="T110" s="575"/>
      <c r="U110" s="575"/>
      <c r="V110" s="575"/>
      <c r="W110" s="575"/>
      <c r="X110" s="575"/>
      <c r="Y110" s="575"/>
      <c r="Z110" s="575"/>
    </row>
    <row r="111">
      <c r="A111" s="582"/>
      <c r="B111" s="583"/>
      <c r="C111" s="584"/>
      <c r="D111" s="585"/>
      <c r="E111" s="575"/>
      <c r="F111" s="575"/>
      <c r="G111" s="575"/>
      <c r="H111" s="575"/>
      <c r="I111" s="575"/>
      <c r="J111" s="575"/>
      <c r="K111" s="575"/>
      <c r="L111" s="575"/>
      <c r="M111" s="575"/>
      <c r="N111" s="575"/>
      <c r="O111" s="575"/>
      <c r="P111" s="575"/>
      <c r="Q111" s="575"/>
      <c r="R111" s="575"/>
      <c r="S111" s="575"/>
      <c r="T111" s="575"/>
      <c r="U111" s="575"/>
      <c r="V111" s="575"/>
      <c r="W111" s="575"/>
      <c r="X111" s="575"/>
      <c r="Y111" s="575"/>
      <c r="Z111" s="575"/>
    </row>
    <row r="112">
      <c r="A112" s="582"/>
      <c r="B112" s="583"/>
      <c r="C112" s="584"/>
      <c r="D112" s="585"/>
      <c r="E112" s="575"/>
      <c r="F112" s="575"/>
      <c r="G112" s="575"/>
      <c r="H112" s="575"/>
      <c r="I112" s="575"/>
      <c r="J112" s="575"/>
      <c r="K112" s="575"/>
      <c r="L112" s="575"/>
      <c r="M112" s="575"/>
      <c r="N112" s="575"/>
      <c r="O112" s="575"/>
      <c r="P112" s="575"/>
      <c r="Q112" s="575"/>
      <c r="R112" s="575"/>
      <c r="S112" s="575"/>
      <c r="T112" s="575"/>
      <c r="U112" s="575"/>
      <c r="V112" s="575"/>
      <c r="W112" s="575"/>
      <c r="X112" s="575"/>
      <c r="Y112" s="575"/>
      <c r="Z112" s="575"/>
    </row>
    <row r="113">
      <c r="A113" s="582"/>
      <c r="B113" s="583"/>
      <c r="C113" s="584"/>
      <c r="D113" s="585"/>
      <c r="E113" s="575"/>
      <c r="F113" s="575"/>
      <c r="G113" s="575"/>
      <c r="H113" s="575"/>
      <c r="I113" s="575"/>
      <c r="J113" s="575"/>
      <c r="K113" s="575"/>
      <c r="L113" s="575"/>
      <c r="M113" s="575"/>
      <c r="N113" s="575"/>
      <c r="O113" s="575"/>
      <c r="P113" s="575"/>
      <c r="Q113" s="575"/>
      <c r="R113" s="575"/>
      <c r="S113" s="575"/>
      <c r="T113" s="575"/>
      <c r="U113" s="575"/>
      <c r="V113" s="575"/>
      <c r="W113" s="575"/>
      <c r="X113" s="575"/>
      <c r="Y113" s="575"/>
      <c r="Z113" s="575"/>
    </row>
    <row r="114">
      <c r="A114" s="582"/>
      <c r="B114" s="583"/>
      <c r="C114" s="584"/>
      <c r="D114" s="585"/>
      <c r="E114" s="575"/>
      <c r="F114" s="575"/>
      <c r="G114" s="575"/>
      <c r="H114" s="575"/>
      <c r="I114" s="575"/>
      <c r="J114" s="575"/>
      <c r="K114" s="575"/>
      <c r="L114" s="575"/>
      <c r="M114" s="575"/>
      <c r="N114" s="575"/>
      <c r="O114" s="575"/>
      <c r="P114" s="575"/>
      <c r="Q114" s="575"/>
      <c r="R114" s="575"/>
      <c r="S114" s="575"/>
      <c r="T114" s="575"/>
      <c r="U114" s="575"/>
      <c r="V114" s="575"/>
      <c r="W114" s="575"/>
      <c r="X114" s="575"/>
      <c r="Y114" s="575"/>
      <c r="Z114" s="575"/>
    </row>
    <row r="115">
      <c r="A115" s="582"/>
      <c r="B115" s="583"/>
      <c r="C115" s="584"/>
      <c r="D115" s="585"/>
      <c r="E115" s="575"/>
      <c r="F115" s="575"/>
      <c r="G115" s="575"/>
      <c r="H115" s="575"/>
      <c r="I115" s="575"/>
      <c r="J115" s="575"/>
      <c r="K115" s="575"/>
      <c r="L115" s="575"/>
      <c r="M115" s="575"/>
      <c r="N115" s="575"/>
      <c r="O115" s="575"/>
      <c r="P115" s="575"/>
      <c r="Q115" s="575"/>
      <c r="R115" s="575"/>
      <c r="S115" s="575"/>
      <c r="T115" s="575"/>
      <c r="U115" s="575"/>
      <c r="V115" s="575"/>
      <c r="W115" s="575"/>
      <c r="X115" s="575"/>
      <c r="Y115" s="575"/>
      <c r="Z115" s="575"/>
    </row>
    <row r="116">
      <c r="A116" s="582"/>
      <c r="B116" s="583"/>
      <c r="C116" s="584"/>
      <c r="D116" s="585"/>
      <c r="E116" s="575"/>
      <c r="F116" s="575"/>
      <c r="G116" s="575"/>
      <c r="H116" s="575"/>
      <c r="I116" s="575"/>
      <c r="J116" s="575"/>
      <c r="K116" s="575"/>
      <c r="L116" s="575"/>
      <c r="M116" s="575"/>
      <c r="N116" s="575"/>
      <c r="O116" s="575"/>
      <c r="P116" s="575"/>
      <c r="Q116" s="575"/>
      <c r="R116" s="575"/>
      <c r="S116" s="575"/>
      <c r="T116" s="575"/>
      <c r="U116" s="575"/>
      <c r="V116" s="575"/>
      <c r="W116" s="575"/>
      <c r="X116" s="575"/>
      <c r="Y116" s="575"/>
      <c r="Z116" s="575"/>
    </row>
    <row r="117">
      <c r="A117" s="582"/>
      <c r="B117" s="583"/>
      <c r="C117" s="584"/>
      <c r="D117" s="585"/>
      <c r="E117" s="575"/>
      <c r="F117" s="575"/>
      <c r="G117" s="575"/>
      <c r="H117" s="575"/>
      <c r="I117" s="575"/>
      <c r="J117" s="575"/>
      <c r="K117" s="575"/>
      <c r="L117" s="575"/>
      <c r="M117" s="575"/>
      <c r="N117" s="575"/>
      <c r="O117" s="575"/>
      <c r="P117" s="575"/>
      <c r="Q117" s="575"/>
      <c r="R117" s="575"/>
      <c r="S117" s="575"/>
      <c r="T117" s="575"/>
      <c r="U117" s="575"/>
      <c r="V117" s="575"/>
      <c r="W117" s="575"/>
      <c r="X117" s="575"/>
      <c r="Y117" s="575"/>
      <c r="Z117" s="575"/>
    </row>
    <row r="118">
      <c r="A118" s="582"/>
      <c r="B118" s="583"/>
      <c r="C118" s="584"/>
      <c r="D118" s="585"/>
      <c r="E118" s="575"/>
      <c r="F118" s="575"/>
      <c r="G118" s="575"/>
      <c r="H118" s="575"/>
      <c r="I118" s="575"/>
      <c r="J118" s="575"/>
      <c r="K118" s="575"/>
      <c r="L118" s="575"/>
      <c r="M118" s="575"/>
      <c r="N118" s="575"/>
      <c r="O118" s="575"/>
      <c r="P118" s="575"/>
      <c r="Q118" s="575"/>
      <c r="R118" s="575"/>
      <c r="S118" s="575"/>
      <c r="T118" s="575"/>
      <c r="U118" s="575"/>
      <c r="V118" s="575"/>
      <c r="W118" s="575"/>
      <c r="X118" s="575"/>
      <c r="Y118" s="575"/>
      <c r="Z118" s="575"/>
    </row>
    <row r="119">
      <c r="A119" s="582"/>
      <c r="B119" s="583"/>
      <c r="C119" s="584"/>
      <c r="D119" s="585"/>
      <c r="E119" s="575"/>
      <c r="F119" s="575"/>
      <c r="G119" s="575"/>
      <c r="H119" s="575"/>
      <c r="I119" s="575"/>
      <c r="J119" s="575"/>
      <c r="K119" s="575"/>
      <c r="L119" s="575"/>
      <c r="M119" s="575"/>
      <c r="N119" s="575"/>
      <c r="O119" s="575"/>
      <c r="P119" s="575"/>
      <c r="Q119" s="575"/>
      <c r="R119" s="575"/>
      <c r="S119" s="575"/>
      <c r="T119" s="575"/>
      <c r="U119" s="575"/>
      <c r="V119" s="575"/>
      <c r="W119" s="575"/>
      <c r="X119" s="575"/>
      <c r="Y119" s="575"/>
      <c r="Z119" s="575"/>
    </row>
    <row r="120">
      <c r="A120" s="582"/>
      <c r="B120" s="583"/>
      <c r="C120" s="584"/>
      <c r="D120" s="585"/>
      <c r="E120" s="575"/>
      <c r="F120" s="575"/>
      <c r="G120" s="575"/>
      <c r="H120" s="575"/>
      <c r="I120" s="575"/>
      <c r="J120" s="575"/>
      <c r="K120" s="575"/>
      <c r="L120" s="575"/>
      <c r="M120" s="575"/>
      <c r="N120" s="575"/>
      <c r="O120" s="575"/>
      <c r="P120" s="575"/>
      <c r="Q120" s="575"/>
      <c r="R120" s="575"/>
      <c r="S120" s="575"/>
      <c r="T120" s="575"/>
      <c r="U120" s="575"/>
      <c r="V120" s="575"/>
      <c r="W120" s="575"/>
      <c r="X120" s="575"/>
      <c r="Y120" s="575"/>
      <c r="Z120" s="575"/>
    </row>
    <row r="121">
      <c r="A121" s="582"/>
      <c r="B121" s="583"/>
      <c r="C121" s="584"/>
      <c r="D121" s="585"/>
      <c r="E121" s="575"/>
      <c r="F121" s="575"/>
      <c r="G121" s="575"/>
      <c r="H121" s="575"/>
      <c r="I121" s="575"/>
      <c r="J121" s="575"/>
      <c r="K121" s="575"/>
      <c r="L121" s="575"/>
      <c r="M121" s="575"/>
      <c r="N121" s="575"/>
      <c r="O121" s="575"/>
      <c r="P121" s="575"/>
      <c r="Q121" s="575"/>
      <c r="R121" s="575"/>
      <c r="S121" s="575"/>
      <c r="T121" s="575"/>
      <c r="U121" s="575"/>
      <c r="V121" s="575"/>
      <c r="W121" s="575"/>
      <c r="X121" s="575"/>
      <c r="Y121" s="575"/>
      <c r="Z121" s="575"/>
    </row>
    <row r="122">
      <c r="A122" s="582"/>
      <c r="B122" s="583"/>
      <c r="C122" s="584"/>
      <c r="D122" s="585"/>
      <c r="E122" s="575"/>
      <c r="F122" s="575"/>
      <c r="G122" s="575"/>
      <c r="H122" s="575"/>
      <c r="I122" s="575"/>
      <c r="J122" s="575"/>
      <c r="K122" s="575"/>
      <c r="L122" s="575"/>
      <c r="M122" s="575"/>
      <c r="N122" s="575"/>
      <c r="O122" s="575"/>
      <c r="P122" s="575"/>
      <c r="Q122" s="575"/>
      <c r="R122" s="575"/>
      <c r="S122" s="575"/>
      <c r="T122" s="575"/>
      <c r="U122" s="575"/>
      <c r="V122" s="575"/>
      <c r="W122" s="575"/>
      <c r="X122" s="575"/>
      <c r="Y122" s="575"/>
      <c r="Z122" s="575"/>
    </row>
    <row r="123">
      <c r="A123" s="582"/>
      <c r="B123" s="583"/>
      <c r="C123" s="584"/>
      <c r="D123" s="585"/>
      <c r="E123" s="575"/>
      <c r="F123" s="575"/>
      <c r="G123" s="575"/>
      <c r="H123" s="575"/>
      <c r="I123" s="575"/>
      <c r="J123" s="575"/>
      <c r="K123" s="575"/>
      <c r="L123" s="575"/>
      <c r="M123" s="575"/>
      <c r="N123" s="575"/>
      <c r="O123" s="575"/>
      <c r="P123" s="575"/>
      <c r="Q123" s="575"/>
      <c r="R123" s="575"/>
      <c r="S123" s="575"/>
      <c r="T123" s="575"/>
      <c r="U123" s="575"/>
      <c r="V123" s="575"/>
      <c r="W123" s="575"/>
      <c r="X123" s="575"/>
      <c r="Y123" s="575"/>
      <c r="Z123" s="575"/>
    </row>
    <row r="124">
      <c r="A124" s="582"/>
      <c r="B124" s="583"/>
      <c r="C124" s="584"/>
      <c r="D124" s="585"/>
      <c r="E124" s="575"/>
      <c r="F124" s="575"/>
      <c r="G124" s="575"/>
      <c r="H124" s="575"/>
      <c r="I124" s="575"/>
      <c r="J124" s="575"/>
      <c r="K124" s="575"/>
      <c r="L124" s="575"/>
      <c r="M124" s="575"/>
      <c r="N124" s="575"/>
      <c r="O124" s="575"/>
      <c r="P124" s="575"/>
      <c r="Q124" s="575"/>
      <c r="R124" s="575"/>
      <c r="S124" s="575"/>
      <c r="T124" s="575"/>
      <c r="U124" s="575"/>
      <c r="V124" s="575"/>
      <c r="W124" s="575"/>
      <c r="X124" s="575"/>
      <c r="Y124" s="575"/>
      <c r="Z124" s="575"/>
    </row>
    <row r="125">
      <c r="A125" s="582"/>
      <c r="B125" s="583"/>
      <c r="C125" s="584"/>
      <c r="D125" s="585"/>
      <c r="E125" s="575"/>
      <c r="F125" s="575"/>
      <c r="G125" s="575"/>
      <c r="H125" s="575"/>
      <c r="I125" s="575"/>
      <c r="J125" s="575"/>
      <c r="K125" s="575"/>
      <c r="L125" s="575"/>
      <c r="M125" s="575"/>
      <c r="N125" s="575"/>
      <c r="O125" s="575"/>
      <c r="P125" s="575"/>
      <c r="Q125" s="575"/>
      <c r="R125" s="575"/>
      <c r="S125" s="575"/>
      <c r="T125" s="575"/>
      <c r="U125" s="575"/>
      <c r="V125" s="575"/>
      <c r="W125" s="575"/>
      <c r="X125" s="575"/>
      <c r="Y125" s="575"/>
      <c r="Z125" s="575"/>
    </row>
    <row r="126">
      <c r="A126" s="582"/>
      <c r="B126" s="583"/>
      <c r="C126" s="584"/>
      <c r="D126" s="585"/>
      <c r="E126" s="575"/>
      <c r="F126" s="575"/>
      <c r="G126" s="575"/>
      <c r="H126" s="575"/>
      <c r="I126" s="575"/>
      <c r="J126" s="575"/>
      <c r="K126" s="575"/>
      <c r="L126" s="575"/>
      <c r="M126" s="575"/>
      <c r="N126" s="575"/>
      <c r="O126" s="575"/>
      <c r="P126" s="575"/>
      <c r="Q126" s="575"/>
      <c r="R126" s="575"/>
      <c r="S126" s="575"/>
      <c r="T126" s="575"/>
      <c r="U126" s="575"/>
      <c r="V126" s="575"/>
      <c r="W126" s="575"/>
      <c r="X126" s="575"/>
      <c r="Y126" s="575"/>
      <c r="Z126" s="575"/>
    </row>
    <row r="127">
      <c r="A127" s="582"/>
      <c r="B127" s="583"/>
      <c r="C127" s="584"/>
      <c r="D127" s="585"/>
      <c r="E127" s="575"/>
      <c r="F127" s="575"/>
      <c r="G127" s="575"/>
      <c r="H127" s="575"/>
      <c r="I127" s="575"/>
      <c r="J127" s="575"/>
      <c r="K127" s="575"/>
      <c r="L127" s="575"/>
      <c r="M127" s="575"/>
      <c r="N127" s="575"/>
      <c r="O127" s="575"/>
      <c r="P127" s="575"/>
      <c r="Q127" s="575"/>
      <c r="R127" s="575"/>
      <c r="S127" s="575"/>
      <c r="T127" s="575"/>
      <c r="U127" s="575"/>
      <c r="V127" s="575"/>
      <c r="W127" s="575"/>
      <c r="X127" s="575"/>
      <c r="Y127" s="575"/>
      <c r="Z127" s="575"/>
    </row>
    <row r="128">
      <c r="A128" s="582"/>
      <c r="B128" s="583"/>
      <c r="C128" s="584"/>
      <c r="D128" s="585"/>
      <c r="E128" s="575"/>
      <c r="F128" s="575"/>
      <c r="G128" s="575"/>
      <c r="H128" s="575"/>
      <c r="I128" s="575"/>
      <c r="J128" s="575"/>
      <c r="K128" s="575"/>
      <c r="L128" s="575"/>
      <c r="M128" s="575"/>
      <c r="N128" s="575"/>
      <c r="O128" s="575"/>
      <c r="P128" s="575"/>
      <c r="Q128" s="575"/>
      <c r="R128" s="575"/>
      <c r="S128" s="575"/>
      <c r="T128" s="575"/>
      <c r="U128" s="575"/>
      <c r="V128" s="575"/>
      <c r="W128" s="575"/>
      <c r="X128" s="575"/>
      <c r="Y128" s="575"/>
      <c r="Z128" s="575"/>
    </row>
    <row r="129">
      <c r="A129" s="582"/>
      <c r="B129" s="583"/>
      <c r="C129" s="584"/>
      <c r="D129" s="585"/>
      <c r="E129" s="575"/>
      <c r="F129" s="575"/>
      <c r="G129" s="575"/>
      <c r="H129" s="575"/>
      <c r="I129" s="575"/>
      <c r="J129" s="575"/>
      <c r="K129" s="575"/>
      <c r="L129" s="575"/>
      <c r="M129" s="575"/>
      <c r="N129" s="575"/>
      <c r="O129" s="575"/>
      <c r="P129" s="575"/>
      <c r="Q129" s="575"/>
      <c r="R129" s="575"/>
      <c r="S129" s="575"/>
      <c r="T129" s="575"/>
      <c r="U129" s="575"/>
      <c r="V129" s="575"/>
      <c r="W129" s="575"/>
      <c r="X129" s="575"/>
      <c r="Y129" s="575"/>
      <c r="Z129" s="575"/>
    </row>
    <row r="130">
      <c r="A130" s="582"/>
      <c r="B130" s="583"/>
      <c r="C130" s="584"/>
      <c r="D130" s="585"/>
      <c r="E130" s="575"/>
      <c r="F130" s="575"/>
      <c r="G130" s="575"/>
      <c r="H130" s="575"/>
      <c r="I130" s="575"/>
      <c r="J130" s="575"/>
      <c r="K130" s="575"/>
      <c r="L130" s="575"/>
      <c r="M130" s="575"/>
      <c r="N130" s="575"/>
      <c r="O130" s="575"/>
      <c r="P130" s="575"/>
      <c r="Q130" s="575"/>
      <c r="R130" s="575"/>
      <c r="S130" s="575"/>
      <c r="T130" s="575"/>
      <c r="U130" s="575"/>
      <c r="V130" s="575"/>
      <c r="W130" s="575"/>
      <c r="X130" s="575"/>
      <c r="Y130" s="575"/>
      <c r="Z130" s="575"/>
    </row>
    <row r="131">
      <c r="A131" s="582"/>
      <c r="B131" s="583"/>
      <c r="C131" s="584"/>
      <c r="D131" s="585"/>
      <c r="E131" s="575"/>
      <c r="F131" s="575"/>
      <c r="G131" s="575"/>
      <c r="H131" s="575"/>
      <c r="I131" s="575"/>
      <c r="J131" s="575"/>
      <c r="K131" s="575"/>
      <c r="L131" s="575"/>
      <c r="M131" s="575"/>
      <c r="N131" s="575"/>
      <c r="O131" s="575"/>
      <c r="P131" s="575"/>
      <c r="Q131" s="575"/>
      <c r="R131" s="575"/>
      <c r="S131" s="575"/>
      <c r="T131" s="575"/>
      <c r="U131" s="575"/>
      <c r="V131" s="575"/>
      <c r="W131" s="575"/>
      <c r="X131" s="575"/>
      <c r="Y131" s="575"/>
      <c r="Z131" s="575"/>
    </row>
    <row r="132">
      <c r="A132" s="582"/>
      <c r="B132" s="583"/>
      <c r="C132" s="584"/>
      <c r="D132" s="585"/>
      <c r="E132" s="575"/>
      <c r="F132" s="575"/>
      <c r="G132" s="575"/>
      <c r="H132" s="575"/>
      <c r="I132" s="575"/>
      <c r="J132" s="575"/>
      <c r="K132" s="575"/>
      <c r="L132" s="575"/>
      <c r="M132" s="575"/>
      <c r="N132" s="575"/>
      <c r="O132" s="575"/>
      <c r="P132" s="575"/>
      <c r="Q132" s="575"/>
      <c r="R132" s="575"/>
      <c r="S132" s="575"/>
      <c r="T132" s="575"/>
      <c r="U132" s="575"/>
      <c r="V132" s="575"/>
      <c r="W132" s="575"/>
      <c r="X132" s="575"/>
      <c r="Y132" s="575"/>
      <c r="Z132" s="575"/>
    </row>
    <row r="133">
      <c r="A133" s="582"/>
      <c r="B133" s="583"/>
      <c r="C133" s="584"/>
      <c r="D133" s="585"/>
      <c r="E133" s="575"/>
      <c r="F133" s="575"/>
      <c r="G133" s="575"/>
      <c r="H133" s="575"/>
      <c r="I133" s="575"/>
      <c r="J133" s="575"/>
      <c r="K133" s="575"/>
      <c r="L133" s="575"/>
      <c r="M133" s="575"/>
      <c r="N133" s="575"/>
      <c r="O133" s="575"/>
      <c r="P133" s="575"/>
      <c r="Q133" s="575"/>
      <c r="R133" s="575"/>
      <c r="S133" s="575"/>
      <c r="T133" s="575"/>
      <c r="U133" s="575"/>
      <c r="V133" s="575"/>
      <c r="W133" s="575"/>
      <c r="X133" s="575"/>
      <c r="Y133" s="575"/>
      <c r="Z133" s="575"/>
    </row>
    <row r="134">
      <c r="A134" s="582"/>
      <c r="B134" s="583"/>
      <c r="C134" s="584"/>
      <c r="D134" s="585"/>
      <c r="E134" s="575"/>
      <c r="F134" s="575"/>
      <c r="G134" s="575"/>
      <c r="H134" s="575"/>
      <c r="I134" s="575"/>
      <c r="J134" s="575"/>
      <c r="K134" s="575"/>
      <c r="L134" s="575"/>
      <c r="M134" s="575"/>
      <c r="N134" s="575"/>
      <c r="O134" s="575"/>
      <c r="P134" s="575"/>
      <c r="Q134" s="575"/>
      <c r="R134" s="575"/>
      <c r="S134" s="575"/>
      <c r="T134" s="575"/>
      <c r="U134" s="575"/>
      <c r="V134" s="575"/>
      <c r="W134" s="575"/>
      <c r="X134" s="575"/>
      <c r="Y134" s="575"/>
      <c r="Z134" s="575"/>
    </row>
    <row r="135">
      <c r="A135" s="582"/>
      <c r="B135" s="583"/>
      <c r="C135" s="584"/>
      <c r="D135" s="585"/>
      <c r="E135" s="575"/>
      <c r="F135" s="575"/>
      <c r="G135" s="575"/>
      <c r="H135" s="575"/>
      <c r="I135" s="575"/>
      <c r="J135" s="575"/>
      <c r="K135" s="575"/>
      <c r="L135" s="575"/>
      <c r="M135" s="575"/>
      <c r="N135" s="575"/>
      <c r="O135" s="575"/>
      <c r="P135" s="575"/>
      <c r="Q135" s="575"/>
      <c r="R135" s="575"/>
      <c r="S135" s="575"/>
      <c r="T135" s="575"/>
      <c r="U135" s="575"/>
      <c r="V135" s="575"/>
      <c r="W135" s="575"/>
      <c r="X135" s="575"/>
      <c r="Y135" s="575"/>
      <c r="Z135" s="575"/>
    </row>
    <row r="136">
      <c r="A136" s="582"/>
      <c r="B136" s="583"/>
      <c r="C136" s="584"/>
      <c r="D136" s="585"/>
      <c r="E136" s="575"/>
      <c r="F136" s="575"/>
      <c r="G136" s="575"/>
      <c r="H136" s="575"/>
      <c r="I136" s="575"/>
      <c r="J136" s="575"/>
      <c r="K136" s="575"/>
      <c r="L136" s="575"/>
      <c r="M136" s="575"/>
      <c r="N136" s="575"/>
      <c r="O136" s="575"/>
      <c r="P136" s="575"/>
      <c r="Q136" s="575"/>
      <c r="R136" s="575"/>
      <c r="S136" s="575"/>
      <c r="T136" s="575"/>
      <c r="U136" s="575"/>
      <c r="V136" s="575"/>
      <c r="W136" s="575"/>
      <c r="X136" s="575"/>
      <c r="Y136" s="575"/>
      <c r="Z136" s="575"/>
    </row>
    <row r="137">
      <c r="A137" s="582"/>
      <c r="B137" s="583"/>
      <c r="C137" s="584"/>
      <c r="D137" s="585"/>
      <c r="E137" s="575"/>
      <c r="F137" s="575"/>
      <c r="G137" s="575"/>
      <c r="H137" s="575"/>
      <c r="I137" s="575"/>
      <c r="J137" s="575"/>
      <c r="K137" s="575"/>
      <c r="L137" s="575"/>
      <c r="M137" s="575"/>
      <c r="N137" s="575"/>
      <c r="O137" s="575"/>
      <c r="P137" s="575"/>
      <c r="Q137" s="575"/>
      <c r="R137" s="575"/>
      <c r="S137" s="575"/>
      <c r="T137" s="575"/>
      <c r="U137" s="575"/>
      <c r="V137" s="575"/>
      <c r="W137" s="575"/>
      <c r="X137" s="575"/>
      <c r="Y137" s="575"/>
      <c r="Z137" s="575"/>
    </row>
    <row r="138">
      <c r="A138" s="582"/>
      <c r="B138" s="583"/>
      <c r="C138" s="584"/>
      <c r="D138" s="585"/>
      <c r="E138" s="575"/>
      <c r="F138" s="575"/>
      <c r="G138" s="575"/>
      <c r="H138" s="575"/>
      <c r="I138" s="575"/>
      <c r="J138" s="575"/>
      <c r="K138" s="575"/>
      <c r="L138" s="575"/>
      <c r="M138" s="575"/>
      <c r="N138" s="575"/>
      <c r="O138" s="575"/>
      <c r="P138" s="575"/>
      <c r="Q138" s="575"/>
      <c r="R138" s="575"/>
      <c r="S138" s="575"/>
      <c r="T138" s="575"/>
      <c r="U138" s="575"/>
      <c r="V138" s="575"/>
      <c r="W138" s="575"/>
      <c r="X138" s="575"/>
      <c r="Y138" s="575"/>
      <c r="Z138" s="575"/>
    </row>
    <row r="139">
      <c r="A139" s="582"/>
      <c r="B139" s="583"/>
      <c r="C139" s="584"/>
      <c r="D139" s="585"/>
      <c r="E139" s="575"/>
      <c r="F139" s="575"/>
      <c r="G139" s="575"/>
      <c r="H139" s="575"/>
      <c r="I139" s="575"/>
      <c r="J139" s="575"/>
      <c r="K139" s="575"/>
      <c r="L139" s="575"/>
      <c r="M139" s="575"/>
      <c r="N139" s="575"/>
      <c r="O139" s="575"/>
      <c r="P139" s="575"/>
      <c r="Q139" s="575"/>
      <c r="R139" s="575"/>
      <c r="S139" s="575"/>
      <c r="T139" s="575"/>
      <c r="U139" s="575"/>
      <c r="V139" s="575"/>
      <c r="W139" s="575"/>
      <c r="X139" s="575"/>
      <c r="Y139" s="575"/>
      <c r="Z139" s="575"/>
    </row>
    <row r="140">
      <c r="A140" s="582"/>
      <c r="B140" s="583"/>
      <c r="C140" s="584"/>
      <c r="D140" s="585"/>
      <c r="E140" s="575"/>
      <c r="F140" s="575"/>
      <c r="G140" s="575"/>
      <c r="H140" s="575"/>
      <c r="I140" s="575"/>
      <c r="J140" s="575"/>
      <c r="K140" s="575"/>
      <c r="L140" s="575"/>
      <c r="M140" s="575"/>
      <c r="N140" s="575"/>
      <c r="O140" s="575"/>
      <c r="P140" s="575"/>
      <c r="Q140" s="575"/>
      <c r="R140" s="575"/>
      <c r="S140" s="575"/>
      <c r="T140" s="575"/>
      <c r="U140" s="575"/>
      <c r="V140" s="575"/>
      <c r="W140" s="575"/>
      <c r="X140" s="575"/>
      <c r="Y140" s="575"/>
      <c r="Z140" s="575"/>
    </row>
    <row r="141">
      <c r="A141" s="582"/>
      <c r="B141" s="583"/>
      <c r="C141" s="584"/>
      <c r="D141" s="585"/>
      <c r="E141" s="575"/>
      <c r="F141" s="575"/>
      <c r="G141" s="575"/>
      <c r="H141" s="575"/>
      <c r="I141" s="575"/>
      <c r="J141" s="575"/>
      <c r="K141" s="575"/>
      <c r="L141" s="575"/>
      <c r="M141" s="575"/>
      <c r="N141" s="575"/>
      <c r="O141" s="575"/>
      <c r="P141" s="575"/>
      <c r="Q141" s="575"/>
      <c r="R141" s="575"/>
      <c r="S141" s="575"/>
      <c r="T141" s="575"/>
      <c r="U141" s="575"/>
      <c r="V141" s="575"/>
      <c r="W141" s="575"/>
      <c r="X141" s="575"/>
      <c r="Y141" s="575"/>
      <c r="Z141" s="575"/>
    </row>
    <row r="142">
      <c r="A142" s="582"/>
      <c r="B142" s="583"/>
      <c r="C142" s="584"/>
      <c r="D142" s="585"/>
      <c r="E142" s="575"/>
      <c r="F142" s="575"/>
      <c r="G142" s="575"/>
      <c r="H142" s="575"/>
      <c r="I142" s="575"/>
      <c r="J142" s="575"/>
      <c r="K142" s="575"/>
      <c r="L142" s="575"/>
      <c r="M142" s="575"/>
      <c r="N142" s="575"/>
      <c r="O142" s="575"/>
      <c r="P142" s="575"/>
      <c r="Q142" s="575"/>
      <c r="R142" s="575"/>
      <c r="S142" s="575"/>
      <c r="T142" s="575"/>
      <c r="U142" s="575"/>
      <c r="V142" s="575"/>
      <c r="W142" s="575"/>
      <c r="X142" s="575"/>
      <c r="Y142" s="575"/>
      <c r="Z142" s="575"/>
    </row>
    <row r="143">
      <c r="A143" s="582"/>
      <c r="B143" s="583"/>
      <c r="C143" s="584"/>
      <c r="D143" s="585"/>
      <c r="E143" s="575"/>
      <c r="F143" s="575"/>
      <c r="G143" s="575"/>
      <c r="H143" s="575"/>
      <c r="I143" s="575"/>
      <c r="J143" s="575"/>
      <c r="K143" s="575"/>
      <c r="L143" s="575"/>
      <c r="M143" s="575"/>
      <c r="N143" s="575"/>
      <c r="O143" s="575"/>
      <c r="P143" s="575"/>
      <c r="Q143" s="575"/>
      <c r="R143" s="575"/>
      <c r="S143" s="575"/>
      <c r="T143" s="575"/>
      <c r="U143" s="575"/>
      <c r="V143" s="575"/>
      <c r="W143" s="575"/>
      <c r="X143" s="575"/>
      <c r="Y143" s="575"/>
      <c r="Z143" s="575"/>
    </row>
    <row r="144">
      <c r="A144" s="582"/>
      <c r="B144" s="583"/>
      <c r="C144" s="584"/>
      <c r="D144" s="585"/>
      <c r="E144" s="575"/>
      <c r="F144" s="575"/>
      <c r="G144" s="575"/>
      <c r="H144" s="575"/>
      <c r="I144" s="575"/>
      <c r="J144" s="575"/>
      <c r="K144" s="575"/>
      <c r="L144" s="575"/>
      <c r="M144" s="575"/>
      <c r="N144" s="575"/>
      <c r="O144" s="575"/>
      <c r="P144" s="575"/>
      <c r="Q144" s="575"/>
      <c r="R144" s="575"/>
      <c r="S144" s="575"/>
      <c r="T144" s="575"/>
      <c r="U144" s="575"/>
      <c r="V144" s="575"/>
      <c r="W144" s="575"/>
      <c r="X144" s="575"/>
      <c r="Y144" s="575"/>
      <c r="Z144" s="575"/>
    </row>
    <row r="145">
      <c r="A145" s="582"/>
      <c r="B145" s="583"/>
      <c r="C145" s="584"/>
      <c r="D145" s="585"/>
      <c r="E145" s="575"/>
      <c r="F145" s="575"/>
      <c r="G145" s="575"/>
      <c r="H145" s="575"/>
      <c r="I145" s="575"/>
      <c r="J145" s="575"/>
      <c r="K145" s="575"/>
      <c r="L145" s="575"/>
      <c r="M145" s="575"/>
      <c r="N145" s="575"/>
      <c r="O145" s="575"/>
      <c r="P145" s="575"/>
      <c r="Q145" s="575"/>
      <c r="R145" s="575"/>
      <c r="S145" s="575"/>
      <c r="T145" s="575"/>
      <c r="U145" s="575"/>
      <c r="V145" s="575"/>
      <c r="W145" s="575"/>
      <c r="X145" s="575"/>
      <c r="Y145" s="575"/>
      <c r="Z145" s="575"/>
    </row>
    <row r="146">
      <c r="A146" s="582"/>
      <c r="B146" s="583"/>
      <c r="C146" s="584"/>
      <c r="D146" s="585"/>
      <c r="E146" s="575"/>
      <c r="F146" s="575"/>
      <c r="G146" s="575"/>
      <c r="H146" s="575"/>
      <c r="I146" s="575"/>
      <c r="J146" s="575"/>
      <c r="K146" s="575"/>
      <c r="L146" s="575"/>
      <c r="M146" s="575"/>
      <c r="N146" s="575"/>
      <c r="O146" s="575"/>
      <c r="P146" s="575"/>
      <c r="Q146" s="575"/>
      <c r="R146" s="575"/>
      <c r="S146" s="575"/>
      <c r="T146" s="575"/>
      <c r="U146" s="575"/>
      <c r="V146" s="575"/>
      <c r="W146" s="575"/>
      <c r="X146" s="575"/>
      <c r="Y146" s="575"/>
      <c r="Z146" s="575"/>
    </row>
    <row r="147">
      <c r="A147" s="582"/>
      <c r="B147" s="583"/>
      <c r="C147" s="584"/>
      <c r="D147" s="585"/>
      <c r="E147" s="575"/>
      <c r="F147" s="575"/>
      <c r="G147" s="575"/>
      <c r="H147" s="575"/>
      <c r="I147" s="575"/>
      <c r="J147" s="575"/>
      <c r="K147" s="575"/>
      <c r="L147" s="575"/>
      <c r="M147" s="575"/>
      <c r="N147" s="575"/>
      <c r="O147" s="575"/>
      <c r="P147" s="575"/>
      <c r="Q147" s="575"/>
      <c r="R147" s="575"/>
      <c r="S147" s="575"/>
      <c r="T147" s="575"/>
      <c r="U147" s="575"/>
      <c r="V147" s="575"/>
      <c r="W147" s="575"/>
      <c r="X147" s="575"/>
      <c r="Y147" s="575"/>
      <c r="Z147" s="575"/>
    </row>
    <row r="148">
      <c r="A148" s="582"/>
      <c r="B148" s="583"/>
      <c r="C148" s="584"/>
      <c r="D148" s="585"/>
      <c r="E148" s="575"/>
      <c r="F148" s="575"/>
      <c r="G148" s="575"/>
      <c r="H148" s="575"/>
      <c r="I148" s="575"/>
      <c r="J148" s="575"/>
      <c r="K148" s="575"/>
      <c r="L148" s="575"/>
      <c r="M148" s="575"/>
      <c r="N148" s="575"/>
      <c r="O148" s="575"/>
      <c r="P148" s="575"/>
      <c r="Q148" s="575"/>
      <c r="R148" s="575"/>
      <c r="S148" s="575"/>
      <c r="T148" s="575"/>
      <c r="U148" s="575"/>
      <c r="V148" s="575"/>
      <c r="W148" s="575"/>
      <c r="X148" s="575"/>
      <c r="Y148" s="575"/>
      <c r="Z148" s="575"/>
    </row>
    <row r="149">
      <c r="A149" s="582"/>
      <c r="B149" s="583"/>
      <c r="C149" s="584"/>
      <c r="D149" s="585"/>
      <c r="E149" s="575"/>
      <c r="F149" s="575"/>
      <c r="G149" s="575"/>
      <c r="H149" s="575"/>
      <c r="I149" s="575"/>
      <c r="J149" s="575"/>
      <c r="K149" s="575"/>
      <c r="L149" s="575"/>
      <c r="M149" s="575"/>
      <c r="N149" s="575"/>
      <c r="O149" s="575"/>
      <c r="P149" s="575"/>
      <c r="Q149" s="575"/>
      <c r="R149" s="575"/>
      <c r="S149" s="575"/>
      <c r="T149" s="575"/>
      <c r="U149" s="575"/>
      <c r="V149" s="575"/>
      <c r="W149" s="575"/>
      <c r="X149" s="575"/>
      <c r="Y149" s="575"/>
      <c r="Z149" s="575"/>
    </row>
    <row r="150">
      <c r="A150" s="582"/>
      <c r="B150" s="583"/>
      <c r="C150" s="584"/>
      <c r="D150" s="585"/>
      <c r="E150" s="575"/>
      <c r="F150" s="575"/>
      <c r="G150" s="575"/>
      <c r="H150" s="575"/>
      <c r="I150" s="575"/>
      <c r="J150" s="575"/>
      <c r="K150" s="575"/>
      <c r="L150" s="575"/>
      <c r="M150" s="575"/>
      <c r="N150" s="575"/>
      <c r="O150" s="575"/>
      <c r="P150" s="575"/>
      <c r="Q150" s="575"/>
      <c r="R150" s="575"/>
      <c r="S150" s="575"/>
      <c r="T150" s="575"/>
      <c r="U150" s="575"/>
      <c r="V150" s="575"/>
      <c r="W150" s="575"/>
      <c r="X150" s="575"/>
      <c r="Y150" s="575"/>
      <c r="Z150" s="575"/>
    </row>
    <row r="151">
      <c r="A151" s="582"/>
      <c r="B151" s="583"/>
      <c r="C151" s="584"/>
      <c r="D151" s="585"/>
      <c r="E151" s="575"/>
      <c r="F151" s="575"/>
      <c r="G151" s="575"/>
      <c r="H151" s="575"/>
      <c r="I151" s="575"/>
      <c r="J151" s="575"/>
      <c r="K151" s="575"/>
      <c r="L151" s="575"/>
      <c r="M151" s="575"/>
      <c r="N151" s="575"/>
      <c r="O151" s="575"/>
      <c r="P151" s="575"/>
      <c r="Q151" s="575"/>
      <c r="R151" s="575"/>
      <c r="S151" s="575"/>
      <c r="T151" s="575"/>
      <c r="U151" s="575"/>
      <c r="V151" s="575"/>
      <c r="W151" s="575"/>
      <c r="X151" s="575"/>
      <c r="Y151" s="575"/>
      <c r="Z151" s="575"/>
    </row>
    <row r="152">
      <c r="A152" s="582"/>
      <c r="B152" s="583"/>
      <c r="C152" s="584"/>
      <c r="D152" s="585"/>
      <c r="E152" s="575"/>
      <c r="F152" s="575"/>
      <c r="G152" s="575"/>
      <c r="H152" s="575"/>
      <c r="I152" s="575"/>
      <c r="J152" s="575"/>
      <c r="K152" s="575"/>
      <c r="L152" s="575"/>
      <c r="M152" s="575"/>
      <c r="N152" s="575"/>
      <c r="O152" s="575"/>
      <c r="P152" s="575"/>
      <c r="Q152" s="575"/>
      <c r="R152" s="575"/>
      <c r="S152" s="575"/>
      <c r="T152" s="575"/>
      <c r="U152" s="575"/>
      <c r="V152" s="575"/>
      <c r="W152" s="575"/>
      <c r="X152" s="575"/>
      <c r="Y152" s="575"/>
      <c r="Z152" s="575"/>
    </row>
    <row r="153">
      <c r="A153" s="582"/>
      <c r="B153" s="583"/>
      <c r="C153" s="584"/>
      <c r="D153" s="585"/>
      <c r="E153" s="575"/>
      <c r="F153" s="575"/>
      <c r="G153" s="575"/>
      <c r="H153" s="575"/>
      <c r="I153" s="575"/>
      <c r="J153" s="575"/>
      <c r="K153" s="575"/>
      <c r="L153" s="575"/>
      <c r="M153" s="575"/>
      <c r="N153" s="575"/>
      <c r="O153" s="575"/>
      <c r="P153" s="575"/>
      <c r="Q153" s="575"/>
      <c r="R153" s="575"/>
      <c r="S153" s="575"/>
      <c r="T153" s="575"/>
      <c r="U153" s="575"/>
      <c r="V153" s="575"/>
      <c r="W153" s="575"/>
      <c r="X153" s="575"/>
      <c r="Y153" s="575"/>
      <c r="Z153" s="575"/>
    </row>
    <row r="154">
      <c r="A154" s="582"/>
      <c r="B154" s="583"/>
      <c r="C154" s="584"/>
      <c r="D154" s="585"/>
      <c r="E154" s="575"/>
      <c r="F154" s="575"/>
      <c r="G154" s="575"/>
      <c r="H154" s="575"/>
      <c r="I154" s="575"/>
      <c r="J154" s="575"/>
      <c r="K154" s="575"/>
      <c r="L154" s="575"/>
      <c r="M154" s="575"/>
      <c r="N154" s="575"/>
      <c r="O154" s="575"/>
      <c r="P154" s="575"/>
      <c r="Q154" s="575"/>
      <c r="R154" s="575"/>
      <c r="S154" s="575"/>
      <c r="T154" s="575"/>
      <c r="U154" s="575"/>
      <c r="V154" s="575"/>
      <c r="W154" s="575"/>
      <c r="X154" s="575"/>
      <c r="Y154" s="575"/>
      <c r="Z154" s="575"/>
    </row>
    <row r="155">
      <c r="A155" s="582"/>
      <c r="B155" s="583"/>
      <c r="C155" s="584"/>
      <c r="D155" s="585"/>
      <c r="E155" s="575"/>
      <c r="F155" s="575"/>
      <c r="G155" s="575"/>
      <c r="H155" s="575"/>
      <c r="I155" s="575"/>
      <c r="J155" s="575"/>
      <c r="K155" s="575"/>
      <c r="L155" s="575"/>
      <c r="M155" s="575"/>
      <c r="N155" s="575"/>
      <c r="O155" s="575"/>
      <c r="P155" s="575"/>
      <c r="Q155" s="575"/>
      <c r="R155" s="575"/>
      <c r="S155" s="575"/>
      <c r="T155" s="575"/>
      <c r="U155" s="575"/>
      <c r="V155" s="575"/>
      <c r="W155" s="575"/>
      <c r="X155" s="575"/>
      <c r="Y155" s="575"/>
      <c r="Z155" s="575"/>
    </row>
    <row r="156">
      <c r="A156" s="582"/>
      <c r="B156" s="583"/>
      <c r="C156" s="584"/>
      <c r="D156" s="585"/>
      <c r="E156" s="575"/>
      <c r="F156" s="575"/>
      <c r="G156" s="575"/>
      <c r="H156" s="575"/>
      <c r="I156" s="575"/>
      <c r="J156" s="575"/>
      <c r="K156" s="575"/>
      <c r="L156" s="575"/>
      <c r="M156" s="575"/>
      <c r="N156" s="575"/>
      <c r="O156" s="575"/>
      <c r="P156" s="575"/>
      <c r="Q156" s="575"/>
      <c r="R156" s="575"/>
      <c r="S156" s="575"/>
      <c r="T156" s="575"/>
      <c r="U156" s="575"/>
      <c r="V156" s="575"/>
      <c r="W156" s="575"/>
      <c r="X156" s="575"/>
      <c r="Y156" s="575"/>
      <c r="Z156" s="575"/>
    </row>
    <row r="157">
      <c r="A157" s="582"/>
      <c r="B157" s="583"/>
      <c r="C157" s="584"/>
      <c r="D157" s="585"/>
      <c r="E157" s="575"/>
      <c r="F157" s="575"/>
      <c r="G157" s="575"/>
      <c r="H157" s="575"/>
      <c r="I157" s="575"/>
      <c r="J157" s="575"/>
      <c r="K157" s="575"/>
      <c r="L157" s="575"/>
      <c r="M157" s="575"/>
      <c r="N157" s="575"/>
      <c r="O157" s="575"/>
      <c r="P157" s="575"/>
      <c r="Q157" s="575"/>
      <c r="R157" s="575"/>
      <c r="S157" s="575"/>
      <c r="T157" s="575"/>
      <c r="U157" s="575"/>
      <c r="V157" s="575"/>
      <c r="W157" s="575"/>
      <c r="X157" s="575"/>
      <c r="Y157" s="575"/>
      <c r="Z157" s="575"/>
    </row>
    <row r="158">
      <c r="A158" s="582"/>
      <c r="B158" s="583"/>
      <c r="C158" s="584"/>
      <c r="D158" s="585"/>
      <c r="E158" s="575"/>
      <c r="F158" s="575"/>
      <c r="G158" s="575"/>
      <c r="H158" s="575"/>
      <c r="I158" s="575"/>
      <c r="J158" s="575"/>
      <c r="K158" s="575"/>
      <c r="L158" s="575"/>
      <c r="M158" s="575"/>
      <c r="N158" s="575"/>
      <c r="O158" s="575"/>
      <c r="P158" s="575"/>
      <c r="Q158" s="575"/>
      <c r="R158" s="575"/>
      <c r="S158" s="575"/>
      <c r="T158" s="575"/>
      <c r="U158" s="575"/>
      <c r="V158" s="575"/>
      <c r="W158" s="575"/>
      <c r="X158" s="575"/>
      <c r="Y158" s="575"/>
      <c r="Z158" s="575"/>
    </row>
    <row r="159">
      <c r="A159" s="582"/>
      <c r="B159" s="583"/>
      <c r="C159" s="584"/>
      <c r="D159" s="585"/>
      <c r="E159" s="575"/>
      <c r="F159" s="575"/>
      <c r="G159" s="575"/>
      <c r="H159" s="575"/>
      <c r="I159" s="575"/>
      <c r="J159" s="575"/>
      <c r="K159" s="575"/>
      <c r="L159" s="575"/>
      <c r="M159" s="575"/>
      <c r="N159" s="575"/>
      <c r="O159" s="575"/>
      <c r="P159" s="575"/>
      <c r="Q159" s="575"/>
      <c r="R159" s="575"/>
      <c r="S159" s="575"/>
      <c r="T159" s="575"/>
      <c r="U159" s="575"/>
      <c r="V159" s="575"/>
      <c r="W159" s="575"/>
      <c r="X159" s="575"/>
      <c r="Y159" s="575"/>
      <c r="Z159" s="575"/>
    </row>
    <row r="160">
      <c r="A160" s="582"/>
      <c r="B160" s="583"/>
      <c r="C160" s="584"/>
      <c r="D160" s="585"/>
      <c r="E160" s="575"/>
      <c r="F160" s="575"/>
      <c r="G160" s="575"/>
      <c r="H160" s="575"/>
      <c r="I160" s="575"/>
      <c r="J160" s="575"/>
      <c r="K160" s="575"/>
      <c r="L160" s="575"/>
      <c r="M160" s="575"/>
      <c r="N160" s="575"/>
      <c r="O160" s="575"/>
      <c r="P160" s="575"/>
      <c r="Q160" s="575"/>
      <c r="R160" s="575"/>
      <c r="S160" s="575"/>
      <c r="T160" s="575"/>
      <c r="U160" s="575"/>
      <c r="V160" s="575"/>
      <c r="W160" s="575"/>
      <c r="X160" s="575"/>
      <c r="Y160" s="575"/>
      <c r="Z160" s="575"/>
    </row>
    <row r="161">
      <c r="A161" s="582"/>
      <c r="B161" s="583"/>
      <c r="C161" s="584"/>
      <c r="D161" s="585"/>
      <c r="E161" s="575"/>
      <c r="F161" s="575"/>
      <c r="G161" s="575"/>
      <c r="H161" s="575"/>
      <c r="I161" s="575"/>
      <c r="J161" s="575"/>
      <c r="K161" s="575"/>
      <c r="L161" s="575"/>
      <c r="M161" s="575"/>
      <c r="N161" s="575"/>
      <c r="O161" s="575"/>
      <c r="P161" s="575"/>
      <c r="Q161" s="575"/>
      <c r="R161" s="575"/>
      <c r="S161" s="575"/>
      <c r="T161" s="575"/>
      <c r="U161" s="575"/>
      <c r="V161" s="575"/>
      <c r="W161" s="575"/>
      <c r="X161" s="575"/>
      <c r="Y161" s="575"/>
      <c r="Z161" s="575"/>
    </row>
    <row r="162">
      <c r="A162" s="582"/>
      <c r="B162" s="583"/>
      <c r="C162" s="584"/>
      <c r="D162" s="585"/>
      <c r="E162" s="575"/>
      <c r="F162" s="575"/>
      <c r="G162" s="575"/>
      <c r="H162" s="575"/>
      <c r="I162" s="575"/>
      <c r="J162" s="575"/>
      <c r="K162" s="575"/>
      <c r="L162" s="575"/>
      <c r="M162" s="575"/>
      <c r="N162" s="575"/>
      <c r="O162" s="575"/>
      <c r="P162" s="575"/>
      <c r="Q162" s="575"/>
      <c r="R162" s="575"/>
      <c r="S162" s="575"/>
      <c r="T162" s="575"/>
      <c r="U162" s="575"/>
      <c r="V162" s="575"/>
      <c r="W162" s="575"/>
      <c r="X162" s="575"/>
      <c r="Y162" s="575"/>
      <c r="Z162" s="575"/>
    </row>
    <row r="163">
      <c r="A163" s="582"/>
      <c r="B163" s="583"/>
      <c r="C163" s="584"/>
      <c r="D163" s="585"/>
      <c r="E163" s="575"/>
      <c r="F163" s="575"/>
      <c r="G163" s="575"/>
      <c r="H163" s="575"/>
      <c r="I163" s="575"/>
      <c r="J163" s="575"/>
      <c r="K163" s="575"/>
      <c r="L163" s="575"/>
      <c r="M163" s="575"/>
      <c r="N163" s="575"/>
      <c r="O163" s="575"/>
      <c r="P163" s="575"/>
      <c r="Q163" s="575"/>
      <c r="R163" s="575"/>
      <c r="S163" s="575"/>
      <c r="T163" s="575"/>
      <c r="U163" s="575"/>
      <c r="V163" s="575"/>
      <c r="W163" s="575"/>
      <c r="X163" s="575"/>
      <c r="Y163" s="575"/>
      <c r="Z163" s="575"/>
    </row>
    <row r="164">
      <c r="A164" s="582"/>
      <c r="B164" s="583"/>
      <c r="C164" s="584"/>
      <c r="D164" s="585"/>
      <c r="E164" s="575"/>
      <c r="F164" s="575"/>
      <c r="G164" s="575"/>
      <c r="H164" s="575"/>
      <c r="I164" s="575"/>
      <c r="J164" s="575"/>
      <c r="K164" s="575"/>
      <c r="L164" s="575"/>
      <c r="M164" s="575"/>
      <c r="N164" s="575"/>
      <c r="O164" s="575"/>
      <c r="P164" s="575"/>
      <c r="Q164" s="575"/>
      <c r="R164" s="575"/>
      <c r="S164" s="575"/>
      <c r="T164" s="575"/>
      <c r="U164" s="575"/>
      <c r="V164" s="575"/>
      <c r="W164" s="575"/>
      <c r="X164" s="575"/>
      <c r="Y164" s="575"/>
      <c r="Z164" s="575"/>
    </row>
    <row r="165">
      <c r="A165" s="582"/>
      <c r="B165" s="583"/>
      <c r="C165" s="584"/>
      <c r="D165" s="585"/>
      <c r="E165" s="575"/>
      <c r="F165" s="575"/>
      <c r="G165" s="575"/>
      <c r="H165" s="575"/>
      <c r="I165" s="575"/>
      <c r="J165" s="575"/>
      <c r="K165" s="575"/>
      <c r="L165" s="575"/>
      <c r="M165" s="575"/>
      <c r="N165" s="575"/>
      <c r="O165" s="575"/>
      <c r="P165" s="575"/>
      <c r="Q165" s="575"/>
      <c r="R165" s="575"/>
      <c r="S165" s="575"/>
      <c r="T165" s="575"/>
      <c r="U165" s="575"/>
      <c r="V165" s="575"/>
      <c r="W165" s="575"/>
      <c r="X165" s="575"/>
      <c r="Y165" s="575"/>
      <c r="Z165" s="575"/>
    </row>
    <row r="166">
      <c r="A166" s="582"/>
      <c r="B166" s="583"/>
      <c r="C166" s="584"/>
      <c r="D166" s="585"/>
      <c r="E166" s="575"/>
      <c r="F166" s="575"/>
      <c r="G166" s="575"/>
      <c r="H166" s="575"/>
      <c r="I166" s="575"/>
      <c r="J166" s="575"/>
      <c r="K166" s="575"/>
      <c r="L166" s="575"/>
      <c r="M166" s="575"/>
      <c r="N166" s="575"/>
      <c r="O166" s="575"/>
      <c r="P166" s="575"/>
      <c r="Q166" s="575"/>
      <c r="R166" s="575"/>
      <c r="S166" s="575"/>
      <c r="T166" s="575"/>
      <c r="U166" s="575"/>
      <c r="V166" s="575"/>
      <c r="W166" s="575"/>
      <c r="X166" s="575"/>
      <c r="Y166" s="575"/>
      <c r="Z166" s="575"/>
    </row>
    <row r="167">
      <c r="A167" s="582"/>
      <c r="B167" s="583"/>
      <c r="C167" s="584"/>
      <c r="D167" s="585"/>
      <c r="E167" s="575"/>
      <c r="F167" s="575"/>
      <c r="G167" s="575"/>
      <c r="H167" s="575"/>
      <c r="I167" s="575"/>
      <c r="J167" s="575"/>
      <c r="K167" s="575"/>
      <c r="L167" s="575"/>
      <c r="M167" s="575"/>
      <c r="N167" s="575"/>
      <c r="O167" s="575"/>
      <c r="P167" s="575"/>
      <c r="Q167" s="575"/>
      <c r="R167" s="575"/>
      <c r="S167" s="575"/>
      <c r="T167" s="575"/>
      <c r="U167" s="575"/>
      <c r="V167" s="575"/>
      <c r="W167" s="575"/>
      <c r="X167" s="575"/>
      <c r="Y167" s="575"/>
      <c r="Z167" s="575"/>
    </row>
    <row r="168">
      <c r="A168" s="582"/>
      <c r="B168" s="583"/>
      <c r="C168" s="584"/>
      <c r="D168" s="585"/>
      <c r="E168" s="575"/>
      <c r="F168" s="575"/>
      <c r="G168" s="575"/>
      <c r="H168" s="575"/>
      <c r="I168" s="575"/>
      <c r="J168" s="575"/>
      <c r="K168" s="575"/>
      <c r="L168" s="575"/>
      <c r="M168" s="575"/>
      <c r="N168" s="575"/>
      <c r="O168" s="575"/>
      <c r="P168" s="575"/>
      <c r="Q168" s="575"/>
      <c r="R168" s="575"/>
      <c r="S168" s="575"/>
      <c r="T168" s="575"/>
      <c r="U168" s="575"/>
      <c r="V168" s="575"/>
      <c r="W168" s="575"/>
      <c r="X168" s="575"/>
      <c r="Y168" s="575"/>
      <c r="Z168" s="575"/>
    </row>
    <row r="169">
      <c r="A169" s="582"/>
      <c r="B169" s="583"/>
      <c r="C169" s="584"/>
      <c r="D169" s="585"/>
      <c r="E169" s="575"/>
      <c r="F169" s="575"/>
      <c r="G169" s="575"/>
      <c r="H169" s="575"/>
      <c r="I169" s="575"/>
      <c r="J169" s="575"/>
      <c r="K169" s="575"/>
      <c r="L169" s="575"/>
      <c r="M169" s="575"/>
      <c r="N169" s="575"/>
      <c r="O169" s="575"/>
      <c r="P169" s="575"/>
      <c r="Q169" s="575"/>
      <c r="R169" s="575"/>
      <c r="S169" s="575"/>
      <c r="T169" s="575"/>
      <c r="U169" s="575"/>
      <c r="V169" s="575"/>
      <c r="W169" s="575"/>
      <c r="X169" s="575"/>
      <c r="Y169" s="575"/>
      <c r="Z169" s="575"/>
    </row>
    <row r="170">
      <c r="A170" s="582"/>
      <c r="B170" s="583"/>
      <c r="C170" s="584"/>
      <c r="D170" s="585"/>
      <c r="E170" s="575"/>
      <c r="F170" s="575"/>
      <c r="G170" s="575"/>
      <c r="H170" s="575"/>
      <c r="I170" s="575"/>
      <c r="J170" s="575"/>
      <c r="K170" s="575"/>
      <c r="L170" s="575"/>
      <c r="M170" s="575"/>
      <c r="N170" s="575"/>
      <c r="O170" s="575"/>
      <c r="P170" s="575"/>
      <c r="Q170" s="575"/>
      <c r="R170" s="575"/>
      <c r="S170" s="575"/>
      <c r="T170" s="575"/>
      <c r="U170" s="575"/>
      <c r="V170" s="575"/>
      <c r="W170" s="575"/>
      <c r="X170" s="575"/>
      <c r="Y170" s="575"/>
      <c r="Z170" s="575"/>
    </row>
    <row r="171">
      <c r="A171" s="582"/>
      <c r="B171" s="583"/>
      <c r="C171" s="584"/>
      <c r="D171" s="585"/>
      <c r="E171" s="575"/>
      <c r="F171" s="575"/>
      <c r="G171" s="575"/>
      <c r="H171" s="575"/>
      <c r="I171" s="575"/>
      <c r="J171" s="575"/>
      <c r="K171" s="575"/>
      <c r="L171" s="575"/>
      <c r="M171" s="575"/>
      <c r="N171" s="575"/>
      <c r="O171" s="575"/>
      <c r="P171" s="575"/>
      <c r="Q171" s="575"/>
      <c r="R171" s="575"/>
      <c r="S171" s="575"/>
      <c r="T171" s="575"/>
      <c r="U171" s="575"/>
      <c r="V171" s="575"/>
      <c r="W171" s="575"/>
      <c r="X171" s="575"/>
      <c r="Y171" s="575"/>
      <c r="Z171" s="575"/>
    </row>
    <row r="172">
      <c r="A172" s="582"/>
      <c r="B172" s="583"/>
      <c r="C172" s="584"/>
      <c r="D172" s="585"/>
      <c r="E172" s="575"/>
      <c r="F172" s="575"/>
      <c r="G172" s="575"/>
      <c r="H172" s="575"/>
      <c r="I172" s="575"/>
      <c r="J172" s="575"/>
      <c r="K172" s="575"/>
      <c r="L172" s="575"/>
      <c r="M172" s="575"/>
      <c r="N172" s="575"/>
      <c r="O172" s="575"/>
      <c r="P172" s="575"/>
      <c r="Q172" s="575"/>
      <c r="R172" s="575"/>
      <c r="S172" s="575"/>
      <c r="T172" s="575"/>
      <c r="U172" s="575"/>
      <c r="V172" s="575"/>
      <c r="W172" s="575"/>
      <c r="X172" s="575"/>
      <c r="Y172" s="575"/>
      <c r="Z172" s="575"/>
    </row>
    <row r="173">
      <c r="A173" s="582"/>
      <c r="B173" s="583"/>
      <c r="C173" s="584"/>
      <c r="D173" s="585"/>
      <c r="E173" s="575"/>
      <c r="F173" s="575"/>
      <c r="G173" s="575"/>
      <c r="H173" s="575"/>
      <c r="I173" s="575"/>
      <c r="J173" s="575"/>
      <c r="K173" s="575"/>
      <c r="L173" s="575"/>
      <c r="M173" s="575"/>
      <c r="N173" s="575"/>
      <c r="O173" s="575"/>
      <c r="P173" s="575"/>
      <c r="Q173" s="575"/>
      <c r="R173" s="575"/>
      <c r="S173" s="575"/>
      <c r="T173" s="575"/>
      <c r="U173" s="575"/>
      <c r="V173" s="575"/>
      <c r="W173" s="575"/>
      <c r="X173" s="575"/>
      <c r="Y173" s="575"/>
      <c r="Z173" s="575"/>
    </row>
    <row r="174">
      <c r="A174" s="582"/>
      <c r="B174" s="583"/>
      <c r="C174" s="584"/>
      <c r="D174" s="585"/>
      <c r="E174" s="575"/>
      <c r="F174" s="575"/>
      <c r="G174" s="575"/>
      <c r="H174" s="575"/>
      <c r="I174" s="575"/>
      <c r="J174" s="575"/>
      <c r="K174" s="575"/>
      <c r="L174" s="575"/>
      <c r="M174" s="575"/>
      <c r="N174" s="575"/>
      <c r="O174" s="575"/>
      <c r="P174" s="575"/>
      <c r="Q174" s="575"/>
      <c r="R174" s="575"/>
      <c r="S174" s="575"/>
      <c r="T174" s="575"/>
      <c r="U174" s="575"/>
      <c r="V174" s="575"/>
      <c r="W174" s="575"/>
      <c r="X174" s="575"/>
      <c r="Y174" s="575"/>
      <c r="Z174" s="575"/>
    </row>
    <row r="175">
      <c r="A175" s="582"/>
      <c r="B175" s="583"/>
      <c r="C175" s="584"/>
      <c r="D175" s="585"/>
      <c r="E175" s="575"/>
      <c r="F175" s="575"/>
      <c r="G175" s="575"/>
      <c r="H175" s="575"/>
      <c r="I175" s="575"/>
      <c r="J175" s="575"/>
      <c r="K175" s="575"/>
      <c r="L175" s="575"/>
      <c r="M175" s="575"/>
      <c r="N175" s="575"/>
      <c r="O175" s="575"/>
      <c r="P175" s="575"/>
      <c r="Q175" s="575"/>
      <c r="R175" s="575"/>
      <c r="S175" s="575"/>
      <c r="T175" s="575"/>
      <c r="U175" s="575"/>
      <c r="V175" s="575"/>
      <c r="W175" s="575"/>
      <c r="X175" s="575"/>
      <c r="Y175" s="575"/>
      <c r="Z175" s="575"/>
    </row>
    <row r="176">
      <c r="A176" s="582"/>
      <c r="B176" s="583"/>
      <c r="C176" s="584"/>
      <c r="D176" s="585"/>
      <c r="E176" s="575"/>
      <c r="F176" s="575"/>
      <c r="G176" s="575"/>
      <c r="H176" s="575"/>
      <c r="I176" s="575"/>
      <c r="J176" s="575"/>
      <c r="K176" s="575"/>
      <c r="L176" s="575"/>
      <c r="M176" s="575"/>
      <c r="N176" s="575"/>
      <c r="O176" s="575"/>
      <c r="P176" s="575"/>
      <c r="Q176" s="575"/>
      <c r="R176" s="575"/>
      <c r="S176" s="575"/>
      <c r="T176" s="575"/>
      <c r="U176" s="575"/>
      <c r="V176" s="575"/>
      <c r="W176" s="575"/>
      <c r="X176" s="575"/>
      <c r="Y176" s="575"/>
      <c r="Z176" s="575"/>
    </row>
    <row r="177">
      <c r="A177" s="582"/>
      <c r="B177" s="583"/>
      <c r="C177" s="584"/>
      <c r="D177" s="585"/>
      <c r="E177" s="575"/>
      <c r="F177" s="575"/>
      <c r="G177" s="575"/>
      <c r="H177" s="575"/>
      <c r="I177" s="575"/>
      <c r="J177" s="575"/>
      <c r="K177" s="575"/>
      <c r="L177" s="575"/>
      <c r="M177" s="575"/>
      <c r="N177" s="575"/>
      <c r="O177" s="575"/>
      <c r="P177" s="575"/>
      <c r="Q177" s="575"/>
      <c r="R177" s="575"/>
      <c r="S177" s="575"/>
      <c r="T177" s="575"/>
      <c r="U177" s="575"/>
      <c r="V177" s="575"/>
      <c r="W177" s="575"/>
      <c r="X177" s="575"/>
      <c r="Y177" s="575"/>
      <c r="Z177" s="575"/>
    </row>
    <row r="178">
      <c r="A178" s="582"/>
      <c r="B178" s="583"/>
      <c r="C178" s="584"/>
      <c r="D178" s="585"/>
      <c r="E178" s="575"/>
      <c r="F178" s="575"/>
      <c r="G178" s="575"/>
      <c r="H178" s="575"/>
      <c r="I178" s="575"/>
      <c r="J178" s="575"/>
      <c r="K178" s="575"/>
      <c r="L178" s="575"/>
      <c r="M178" s="575"/>
      <c r="N178" s="575"/>
      <c r="O178" s="575"/>
      <c r="P178" s="575"/>
      <c r="Q178" s="575"/>
      <c r="R178" s="575"/>
      <c r="S178" s="575"/>
      <c r="T178" s="575"/>
      <c r="U178" s="575"/>
      <c r="V178" s="575"/>
      <c r="W178" s="575"/>
      <c r="X178" s="575"/>
      <c r="Y178" s="575"/>
      <c r="Z178" s="575"/>
    </row>
    <row r="179">
      <c r="A179" s="582"/>
      <c r="B179" s="583"/>
      <c r="C179" s="584"/>
      <c r="D179" s="585"/>
      <c r="E179" s="575"/>
      <c r="F179" s="575"/>
      <c r="G179" s="575"/>
      <c r="H179" s="575"/>
      <c r="I179" s="575"/>
      <c r="J179" s="575"/>
      <c r="K179" s="575"/>
      <c r="L179" s="575"/>
      <c r="M179" s="575"/>
      <c r="N179" s="575"/>
      <c r="O179" s="575"/>
      <c r="P179" s="575"/>
      <c r="Q179" s="575"/>
      <c r="R179" s="575"/>
      <c r="S179" s="575"/>
      <c r="T179" s="575"/>
      <c r="U179" s="575"/>
      <c r="V179" s="575"/>
      <c r="W179" s="575"/>
      <c r="X179" s="575"/>
      <c r="Y179" s="575"/>
      <c r="Z179" s="575"/>
    </row>
    <row r="180">
      <c r="A180" s="582"/>
      <c r="B180" s="583"/>
      <c r="C180" s="584"/>
      <c r="D180" s="585"/>
      <c r="E180" s="575"/>
      <c r="F180" s="575"/>
      <c r="G180" s="575"/>
      <c r="H180" s="575"/>
      <c r="I180" s="575"/>
      <c r="J180" s="575"/>
      <c r="K180" s="575"/>
      <c r="L180" s="575"/>
      <c r="M180" s="575"/>
      <c r="N180" s="575"/>
      <c r="O180" s="575"/>
      <c r="P180" s="575"/>
      <c r="Q180" s="575"/>
      <c r="R180" s="575"/>
      <c r="S180" s="575"/>
      <c r="T180" s="575"/>
      <c r="U180" s="575"/>
      <c r="V180" s="575"/>
      <c r="W180" s="575"/>
      <c r="X180" s="575"/>
      <c r="Y180" s="575"/>
      <c r="Z180" s="575"/>
    </row>
    <row r="181">
      <c r="A181" s="582"/>
      <c r="B181" s="583"/>
      <c r="C181" s="584"/>
      <c r="D181" s="585"/>
      <c r="E181" s="575"/>
      <c r="F181" s="575"/>
      <c r="G181" s="575"/>
      <c r="H181" s="575"/>
      <c r="I181" s="575"/>
      <c r="J181" s="575"/>
      <c r="K181" s="575"/>
      <c r="L181" s="575"/>
      <c r="M181" s="575"/>
      <c r="N181" s="575"/>
      <c r="O181" s="575"/>
      <c r="P181" s="575"/>
      <c r="Q181" s="575"/>
      <c r="R181" s="575"/>
      <c r="S181" s="575"/>
      <c r="T181" s="575"/>
      <c r="U181" s="575"/>
      <c r="V181" s="575"/>
      <c r="W181" s="575"/>
      <c r="X181" s="575"/>
      <c r="Y181" s="575"/>
      <c r="Z181" s="575"/>
    </row>
    <row r="182">
      <c r="A182" s="582"/>
      <c r="B182" s="583"/>
      <c r="C182" s="584"/>
      <c r="D182" s="585"/>
      <c r="E182" s="575"/>
      <c r="F182" s="575"/>
      <c r="G182" s="575"/>
      <c r="H182" s="575"/>
      <c r="I182" s="575"/>
      <c r="J182" s="575"/>
      <c r="K182" s="575"/>
      <c r="L182" s="575"/>
      <c r="M182" s="575"/>
      <c r="N182" s="575"/>
      <c r="O182" s="575"/>
      <c r="P182" s="575"/>
      <c r="Q182" s="575"/>
      <c r="R182" s="575"/>
      <c r="S182" s="575"/>
      <c r="T182" s="575"/>
      <c r="U182" s="575"/>
      <c r="V182" s="575"/>
      <c r="W182" s="575"/>
      <c r="X182" s="575"/>
      <c r="Y182" s="575"/>
      <c r="Z182" s="575"/>
    </row>
    <row r="183">
      <c r="A183" s="582"/>
      <c r="B183" s="583"/>
      <c r="C183" s="584"/>
      <c r="D183" s="585"/>
      <c r="E183" s="575"/>
      <c r="F183" s="575"/>
      <c r="G183" s="575"/>
      <c r="H183" s="575"/>
      <c r="I183" s="575"/>
      <c r="J183" s="575"/>
      <c r="K183" s="575"/>
      <c r="L183" s="575"/>
      <c r="M183" s="575"/>
      <c r="N183" s="575"/>
      <c r="O183" s="575"/>
      <c r="P183" s="575"/>
      <c r="Q183" s="575"/>
      <c r="R183" s="575"/>
      <c r="S183" s="575"/>
      <c r="T183" s="575"/>
      <c r="U183" s="575"/>
      <c r="V183" s="575"/>
      <c r="W183" s="575"/>
      <c r="X183" s="575"/>
      <c r="Y183" s="575"/>
      <c r="Z183" s="575"/>
    </row>
    <row r="184">
      <c r="A184" s="582"/>
      <c r="B184" s="583"/>
      <c r="C184" s="584"/>
      <c r="D184" s="585"/>
      <c r="E184" s="575"/>
      <c r="F184" s="575"/>
      <c r="G184" s="575"/>
      <c r="H184" s="575"/>
      <c r="I184" s="575"/>
      <c r="J184" s="575"/>
      <c r="K184" s="575"/>
      <c r="L184" s="575"/>
      <c r="M184" s="575"/>
      <c r="N184" s="575"/>
      <c r="O184" s="575"/>
      <c r="P184" s="575"/>
      <c r="Q184" s="575"/>
      <c r="R184" s="575"/>
      <c r="S184" s="575"/>
      <c r="T184" s="575"/>
      <c r="U184" s="575"/>
      <c r="V184" s="575"/>
      <c r="W184" s="575"/>
      <c r="X184" s="575"/>
      <c r="Y184" s="575"/>
      <c r="Z184" s="575"/>
    </row>
    <row r="185">
      <c r="A185" s="582"/>
      <c r="B185" s="583"/>
      <c r="C185" s="584"/>
      <c r="D185" s="585"/>
      <c r="E185" s="575"/>
      <c r="F185" s="575"/>
      <c r="G185" s="575"/>
      <c r="H185" s="575"/>
      <c r="I185" s="575"/>
      <c r="J185" s="575"/>
      <c r="K185" s="575"/>
      <c r="L185" s="575"/>
      <c r="M185" s="575"/>
      <c r="N185" s="575"/>
      <c r="O185" s="575"/>
      <c r="P185" s="575"/>
      <c r="Q185" s="575"/>
      <c r="R185" s="575"/>
      <c r="S185" s="575"/>
      <c r="T185" s="575"/>
      <c r="U185" s="575"/>
      <c r="V185" s="575"/>
      <c r="W185" s="575"/>
      <c r="X185" s="575"/>
      <c r="Y185" s="575"/>
      <c r="Z185" s="575"/>
    </row>
    <row r="186">
      <c r="A186" s="582"/>
      <c r="B186" s="583"/>
      <c r="C186" s="584"/>
      <c r="D186" s="585"/>
      <c r="E186" s="575"/>
      <c r="F186" s="575"/>
      <c r="G186" s="575"/>
      <c r="H186" s="575"/>
      <c r="I186" s="575"/>
      <c r="J186" s="575"/>
      <c r="K186" s="575"/>
      <c r="L186" s="575"/>
      <c r="M186" s="575"/>
      <c r="N186" s="575"/>
      <c r="O186" s="575"/>
      <c r="P186" s="575"/>
      <c r="Q186" s="575"/>
      <c r="R186" s="575"/>
      <c r="S186" s="575"/>
      <c r="T186" s="575"/>
      <c r="U186" s="575"/>
      <c r="V186" s="575"/>
      <c r="W186" s="575"/>
      <c r="X186" s="575"/>
      <c r="Y186" s="575"/>
      <c r="Z186" s="575"/>
    </row>
    <row r="187">
      <c r="A187" s="582"/>
      <c r="B187" s="583"/>
      <c r="C187" s="584"/>
      <c r="D187" s="585"/>
      <c r="E187" s="575"/>
      <c r="F187" s="575"/>
      <c r="G187" s="575"/>
      <c r="H187" s="575"/>
      <c r="I187" s="575"/>
      <c r="J187" s="575"/>
      <c r="K187" s="575"/>
      <c r="L187" s="575"/>
      <c r="M187" s="575"/>
      <c r="N187" s="575"/>
      <c r="O187" s="575"/>
      <c r="P187" s="575"/>
      <c r="Q187" s="575"/>
      <c r="R187" s="575"/>
      <c r="S187" s="575"/>
      <c r="T187" s="575"/>
      <c r="U187" s="575"/>
      <c r="V187" s="575"/>
      <c r="W187" s="575"/>
      <c r="X187" s="575"/>
      <c r="Y187" s="575"/>
      <c r="Z187" s="575"/>
    </row>
    <row r="188">
      <c r="A188" s="582"/>
      <c r="B188" s="583"/>
      <c r="C188" s="584"/>
      <c r="D188" s="585"/>
      <c r="E188" s="575"/>
      <c r="F188" s="575"/>
      <c r="G188" s="575"/>
      <c r="H188" s="575"/>
      <c r="I188" s="575"/>
      <c r="J188" s="575"/>
      <c r="K188" s="575"/>
      <c r="L188" s="575"/>
      <c r="M188" s="575"/>
      <c r="N188" s="575"/>
      <c r="O188" s="575"/>
      <c r="P188" s="575"/>
      <c r="Q188" s="575"/>
      <c r="R188" s="575"/>
      <c r="S188" s="575"/>
      <c r="T188" s="575"/>
      <c r="U188" s="575"/>
      <c r="V188" s="575"/>
      <c r="W188" s="575"/>
      <c r="X188" s="575"/>
      <c r="Y188" s="575"/>
      <c r="Z188" s="575"/>
    </row>
    <row r="189">
      <c r="A189" s="582"/>
      <c r="B189" s="583"/>
      <c r="C189" s="584"/>
      <c r="D189" s="585"/>
      <c r="E189" s="575"/>
      <c r="F189" s="575"/>
      <c r="G189" s="575"/>
      <c r="H189" s="575"/>
      <c r="I189" s="575"/>
      <c r="J189" s="575"/>
      <c r="K189" s="575"/>
      <c r="L189" s="575"/>
      <c r="M189" s="575"/>
      <c r="N189" s="575"/>
      <c r="O189" s="575"/>
      <c r="P189" s="575"/>
      <c r="Q189" s="575"/>
      <c r="R189" s="575"/>
      <c r="S189" s="575"/>
      <c r="T189" s="575"/>
      <c r="U189" s="575"/>
      <c r="V189" s="575"/>
      <c r="W189" s="575"/>
      <c r="X189" s="575"/>
      <c r="Y189" s="575"/>
      <c r="Z189" s="575"/>
    </row>
    <row r="190">
      <c r="A190" s="582"/>
      <c r="B190" s="583"/>
      <c r="C190" s="584"/>
      <c r="D190" s="585"/>
      <c r="E190" s="575"/>
      <c r="F190" s="575"/>
      <c r="G190" s="575"/>
      <c r="H190" s="575"/>
      <c r="I190" s="575"/>
      <c r="J190" s="575"/>
      <c r="K190" s="575"/>
      <c r="L190" s="575"/>
      <c r="M190" s="575"/>
      <c r="N190" s="575"/>
      <c r="O190" s="575"/>
      <c r="P190" s="575"/>
      <c r="Q190" s="575"/>
      <c r="R190" s="575"/>
      <c r="S190" s="575"/>
      <c r="T190" s="575"/>
      <c r="U190" s="575"/>
      <c r="V190" s="575"/>
      <c r="W190" s="575"/>
      <c r="X190" s="575"/>
      <c r="Y190" s="575"/>
      <c r="Z190" s="575"/>
    </row>
    <row r="191">
      <c r="A191" s="582"/>
      <c r="B191" s="583"/>
      <c r="C191" s="584"/>
      <c r="D191" s="585"/>
      <c r="E191" s="575"/>
      <c r="F191" s="575"/>
      <c r="G191" s="575"/>
      <c r="H191" s="575"/>
      <c r="I191" s="575"/>
      <c r="J191" s="575"/>
      <c r="K191" s="575"/>
      <c r="L191" s="575"/>
      <c r="M191" s="575"/>
      <c r="N191" s="575"/>
      <c r="O191" s="575"/>
      <c r="P191" s="575"/>
      <c r="Q191" s="575"/>
      <c r="R191" s="575"/>
      <c r="S191" s="575"/>
      <c r="T191" s="575"/>
      <c r="U191" s="575"/>
      <c r="V191" s="575"/>
      <c r="W191" s="575"/>
      <c r="X191" s="575"/>
      <c r="Y191" s="575"/>
      <c r="Z191" s="575"/>
    </row>
    <row r="192">
      <c r="A192" s="582"/>
      <c r="B192" s="583"/>
      <c r="C192" s="584"/>
      <c r="D192" s="585"/>
      <c r="E192" s="575"/>
      <c r="F192" s="575"/>
      <c r="G192" s="575"/>
      <c r="H192" s="575"/>
      <c r="I192" s="575"/>
      <c r="J192" s="575"/>
      <c r="K192" s="575"/>
      <c r="L192" s="575"/>
      <c r="M192" s="575"/>
      <c r="N192" s="575"/>
      <c r="O192" s="575"/>
      <c r="P192" s="575"/>
      <c r="Q192" s="575"/>
      <c r="R192" s="575"/>
      <c r="S192" s="575"/>
      <c r="T192" s="575"/>
      <c r="U192" s="575"/>
      <c r="V192" s="575"/>
      <c r="W192" s="575"/>
      <c r="X192" s="575"/>
      <c r="Y192" s="575"/>
      <c r="Z192" s="575"/>
    </row>
    <row r="193">
      <c r="A193" s="582"/>
      <c r="B193" s="583"/>
      <c r="C193" s="584"/>
      <c r="D193" s="585"/>
      <c r="E193" s="575"/>
      <c r="F193" s="575"/>
      <c r="G193" s="575"/>
      <c r="H193" s="575"/>
      <c r="I193" s="575"/>
      <c r="J193" s="575"/>
      <c r="K193" s="575"/>
      <c r="L193" s="575"/>
      <c r="M193" s="575"/>
      <c r="N193" s="575"/>
      <c r="O193" s="575"/>
      <c r="P193" s="575"/>
      <c r="Q193" s="575"/>
      <c r="R193" s="575"/>
      <c r="S193" s="575"/>
      <c r="T193" s="575"/>
      <c r="U193" s="575"/>
      <c r="V193" s="575"/>
      <c r="W193" s="575"/>
      <c r="X193" s="575"/>
      <c r="Y193" s="575"/>
      <c r="Z193" s="575"/>
    </row>
    <row r="194">
      <c r="A194" s="582"/>
      <c r="B194" s="583"/>
      <c r="C194" s="584"/>
      <c r="D194" s="585"/>
      <c r="E194" s="575"/>
      <c r="F194" s="575"/>
      <c r="G194" s="575"/>
      <c r="H194" s="575"/>
      <c r="I194" s="575"/>
      <c r="J194" s="575"/>
      <c r="K194" s="575"/>
      <c r="L194" s="575"/>
      <c r="M194" s="575"/>
      <c r="N194" s="575"/>
      <c r="O194" s="575"/>
      <c r="P194" s="575"/>
      <c r="Q194" s="575"/>
      <c r="R194" s="575"/>
      <c r="S194" s="575"/>
      <c r="T194" s="575"/>
      <c r="U194" s="575"/>
      <c r="V194" s="575"/>
      <c r="W194" s="575"/>
      <c r="X194" s="575"/>
      <c r="Y194" s="575"/>
      <c r="Z194" s="575"/>
    </row>
    <row r="195">
      <c r="A195" s="582"/>
      <c r="B195" s="583"/>
      <c r="C195" s="584"/>
      <c r="D195" s="585"/>
      <c r="E195" s="575"/>
      <c r="F195" s="575"/>
      <c r="G195" s="575"/>
      <c r="H195" s="575"/>
      <c r="I195" s="575"/>
      <c r="J195" s="575"/>
      <c r="K195" s="575"/>
      <c r="L195" s="575"/>
      <c r="M195" s="575"/>
      <c r="N195" s="575"/>
      <c r="O195" s="575"/>
      <c r="P195" s="575"/>
      <c r="Q195" s="575"/>
      <c r="R195" s="575"/>
      <c r="S195" s="575"/>
      <c r="T195" s="575"/>
      <c r="U195" s="575"/>
      <c r="V195" s="575"/>
      <c r="W195" s="575"/>
      <c r="X195" s="575"/>
      <c r="Y195" s="575"/>
      <c r="Z195" s="575"/>
    </row>
    <row r="196">
      <c r="A196" s="582"/>
      <c r="B196" s="583"/>
      <c r="C196" s="584"/>
      <c r="D196" s="585"/>
      <c r="E196" s="575"/>
      <c r="F196" s="575"/>
      <c r="G196" s="575"/>
      <c r="H196" s="575"/>
      <c r="I196" s="575"/>
      <c r="J196" s="575"/>
      <c r="K196" s="575"/>
      <c r="L196" s="575"/>
      <c r="M196" s="575"/>
      <c r="N196" s="575"/>
      <c r="O196" s="575"/>
      <c r="P196" s="575"/>
      <c r="Q196" s="575"/>
      <c r="R196" s="575"/>
      <c r="S196" s="575"/>
      <c r="T196" s="575"/>
      <c r="U196" s="575"/>
      <c r="V196" s="575"/>
      <c r="W196" s="575"/>
      <c r="X196" s="575"/>
      <c r="Y196" s="575"/>
      <c r="Z196" s="575"/>
    </row>
    <row r="197">
      <c r="A197" s="582"/>
      <c r="B197" s="583"/>
      <c r="C197" s="584"/>
      <c r="D197" s="585"/>
      <c r="E197" s="575"/>
      <c r="F197" s="575"/>
      <c r="G197" s="575"/>
      <c r="H197" s="575"/>
      <c r="I197" s="575"/>
      <c r="J197" s="575"/>
      <c r="K197" s="575"/>
      <c r="L197" s="575"/>
      <c r="M197" s="575"/>
      <c r="N197" s="575"/>
      <c r="O197" s="575"/>
      <c r="P197" s="575"/>
      <c r="Q197" s="575"/>
      <c r="R197" s="575"/>
      <c r="S197" s="575"/>
      <c r="T197" s="575"/>
      <c r="U197" s="575"/>
      <c r="V197" s="575"/>
      <c r="W197" s="575"/>
      <c r="X197" s="575"/>
      <c r="Y197" s="575"/>
      <c r="Z197" s="575"/>
    </row>
    <row r="198">
      <c r="A198" s="582"/>
      <c r="B198" s="583"/>
      <c r="C198" s="584"/>
      <c r="D198" s="585"/>
      <c r="E198" s="575"/>
      <c r="F198" s="575"/>
      <c r="G198" s="575"/>
      <c r="H198" s="575"/>
      <c r="I198" s="575"/>
      <c r="J198" s="575"/>
      <c r="K198" s="575"/>
      <c r="L198" s="575"/>
      <c r="M198" s="575"/>
      <c r="N198" s="575"/>
      <c r="O198" s="575"/>
      <c r="P198" s="575"/>
      <c r="Q198" s="575"/>
      <c r="R198" s="575"/>
      <c r="S198" s="575"/>
      <c r="T198" s="575"/>
      <c r="U198" s="575"/>
      <c r="V198" s="575"/>
      <c r="W198" s="575"/>
      <c r="X198" s="575"/>
      <c r="Y198" s="575"/>
      <c r="Z198" s="575"/>
    </row>
    <row r="199">
      <c r="A199" s="582"/>
      <c r="B199" s="583"/>
      <c r="C199" s="584"/>
      <c r="D199" s="585"/>
      <c r="E199" s="575"/>
      <c r="F199" s="575"/>
      <c r="G199" s="575"/>
      <c r="H199" s="575"/>
      <c r="I199" s="575"/>
      <c r="J199" s="575"/>
      <c r="K199" s="575"/>
      <c r="L199" s="575"/>
      <c r="M199" s="575"/>
      <c r="N199" s="575"/>
      <c r="O199" s="575"/>
      <c r="P199" s="575"/>
      <c r="Q199" s="575"/>
      <c r="R199" s="575"/>
      <c r="S199" s="575"/>
      <c r="T199" s="575"/>
      <c r="U199" s="575"/>
      <c r="V199" s="575"/>
      <c r="W199" s="575"/>
      <c r="X199" s="575"/>
      <c r="Y199" s="575"/>
      <c r="Z199" s="575"/>
    </row>
    <row r="200">
      <c r="A200" s="582"/>
      <c r="B200" s="583"/>
      <c r="C200" s="584"/>
      <c r="D200" s="585"/>
      <c r="E200" s="575"/>
      <c r="F200" s="575"/>
      <c r="G200" s="575"/>
      <c r="H200" s="575"/>
      <c r="I200" s="575"/>
      <c r="J200" s="575"/>
      <c r="K200" s="575"/>
      <c r="L200" s="575"/>
      <c r="M200" s="575"/>
      <c r="N200" s="575"/>
      <c r="O200" s="575"/>
      <c r="P200" s="575"/>
      <c r="Q200" s="575"/>
      <c r="R200" s="575"/>
      <c r="S200" s="575"/>
      <c r="T200" s="575"/>
      <c r="U200" s="575"/>
      <c r="V200" s="575"/>
      <c r="W200" s="575"/>
      <c r="X200" s="575"/>
      <c r="Y200" s="575"/>
      <c r="Z200" s="575"/>
    </row>
    <row r="201">
      <c r="A201" s="582"/>
      <c r="B201" s="583"/>
      <c r="C201" s="584"/>
      <c r="D201" s="585"/>
      <c r="E201" s="575"/>
      <c r="F201" s="575"/>
      <c r="G201" s="575"/>
      <c r="H201" s="575"/>
      <c r="I201" s="575"/>
      <c r="J201" s="575"/>
      <c r="K201" s="575"/>
      <c r="L201" s="575"/>
      <c r="M201" s="575"/>
      <c r="N201" s="575"/>
      <c r="O201" s="575"/>
      <c r="P201" s="575"/>
      <c r="Q201" s="575"/>
      <c r="R201" s="575"/>
      <c r="S201" s="575"/>
      <c r="T201" s="575"/>
      <c r="U201" s="575"/>
      <c r="V201" s="575"/>
      <c r="W201" s="575"/>
      <c r="X201" s="575"/>
      <c r="Y201" s="575"/>
      <c r="Z201" s="575"/>
    </row>
    <row r="202">
      <c r="A202" s="582"/>
      <c r="B202" s="583"/>
      <c r="C202" s="584"/>
      <c r="D202" s="585"/>
      <c r="E202" s="575"/>
      <c r="F202" s="575"/>
      <c r="G202" s="575"/>
      <c r="H202" s="575"/>
      <c r="I202" s="575"/>
      <c r="J202" s="575"/>
      <c r="K202" s="575"/>
      <c r="L202" s="575"/>
      <c r="M202" s="575"/>
      <c r="N202" s="575"/>
      <c r="O202" s="575"/>
      <c r="P202" s="575"/>
      <c r="Q202" s="575"/>
      <c r="R202" s="575"/>
      <c r="S202" s="575"/>
      <c r="T202" s="575"/>
      <c r="U202" s="575"/>
      <c r="V202" s="575"/>
      <c r="W202" s="575"/>
      <c r="X202" s="575"/>
      <c r="Y202" s="575"/>
      <c r="Z202" s="575"/>
    </row>
    <row r="203">
      <c r="A203" s="582"/>
      <c r="B203" s="583"/>
      <c r="C203" s="584"/>
      <c r="D203" s="585"/>
      <c r="E203" s="575"/>
      <c r="F203" s="575"/>
      <c r="G203" s="575"/>
      <c r="H203" s="575"/>
      <c r="I203" s="575"/>
      <c r="J203" s="575"/>
      <c r="K203" s="575"/>
      <c r="L203" s="575"/>
      <c r="M203" s="575"/>
      <c r="N203" s="575"/>
      <c r="O203" s="575"/>
      <c r="P203" s="575"/>
      <c r="Q203" s="575"/>
      <c r="R203" s="575"/>
      <c r="S203" s="575"/>
      <c r="T203" s="575"/>
      <c r="U203" s="575"/>
      <c r="V203" s="575"/>
      <c r="W203" s="575"/>
      <c r="X203" s="575"/>
      <c r="Y203" s="575"/>
      <c r="Z203" s="575"/>
    </row>
    <row r="204">
      <c r="A204" s="582"/>
      <c r="B204" s="583"/>
      <c r="C204" s="584"/>
      <c r="D204" s="585"/>
      <c r="E204" s="575"/>
      <c r="F204" s="575"/>
      <c r="G204" s="575"/>
      <c r="H204" s="575"/>
      <c r="I204" s="575"/>
      <c r="J204" s="575"/>
      <c r="K204" s="575"/>
      <c r="L204" s="575"/>
      <c r="M204" s="575"/>
      <c r="N204" s="575"/>
      <c r="O204" s="575"/>
      <c r="P204" s="575"/>
      <c r="Q204" s="575"/>
      <c r="R204" s="575"/>
      <c r="S204" s="575"/>
      <c r="T204" s="575"/>
      <c r="U204" s="575"/>
      <c r="V204" s="575"/>
      <c r="W204" s="575"/>
      <c r="X204" s="575"/>
      <c r="Y204" s="575"/>
      <c r="Z204" s="575"/>
    </row>
    <row r="205">
      <c r="A205" s="582"/>
      <c r="B205" s="583"/>
      <c r="C205" s="584"/>
      <c r="D205" s="585"/>
      <c r="E205" s="575"/>
      <c r="F205" s="575"/>
      <c r="G205" s="575"/>
      <c r="H205" s="575"/>
      <c r="I205" s="575"/>
      <c r="J205" s="575"/>
      <c r="K205" s="575"/>
      <c r="L205" s="575"/>
      <c r="M205" s="575"/>
      <c r="N205" s="575"/>
      <c r="O205" s="575"/>
      <c r="P205" s="575"/>
      <c r="Q205" s="575"/>
      <c r="R205" s="575"/>
      <c r="S205" s="575"/>
      <c r="T205" s="575"/>
      <c r="U205" s="575"/>
      <c r="V205" s="575"/>
      <c r="W205" s="575"/>
      <c r="X205" s="575"/>
      <c r="Y205" s="575"/>
      <c r="Z205" s="575"/>
    </row>
    <row r="206">
      <c r="A206" s="582"/>
      <c r="B206" s="583"/>
      <c r="C206" s="584"/>
      <c r="D206" s="585"/>
      <c r="E206" s="575"/>
      <c r="F206" s="575"/>
      <c r="G206" s="575"/>
      <c r="H206" s="575"/>
      <c r="I206" s="575"/>
      <c r="J206" s="575"/>
      <c r="K206" s="575"/>
      <c r="L206" s="575"/>
      <c r="M206" s="575"/>
      <c r="N206" s="575"/>
      <c r="O206" s="575"/>
      <c r="P206" s="575"/>
      <c r="Q206" s="575"/>
      <c r="R206" s="575"/>
      <c r="S206" s="575"/>
      <c r="T206" s="575"/>
      <c r="U206" s="575"/>
      <c r="V206" s="575"/>
      <c r="W206" s="575"/>
      <c r="X206" s="575"/>
      <c r="Y206" s="575"/>
      <c r="Z206" s="575"/>
    </row>
    <row r="207">
      <c r="A207" s="582"/>
      <c r="B207" s="583"/>
      <c r="C207" s="584"/>
      <c r="D207" s="585"/>
      <c r="E207" s="575"/>
      <c r="F207" s="575"/>
      <c r="G207" s="575"/>
      <c r="H207" s="575"/>
      <c r="I207" s="575"/>
      <c r="J207" s="575"/>
      <c r="K207" s="575"/>
      <c r="L207" s="575"/>
      <c r="M207" s="575"/>
      <c r="N207" s="575"/>
      <c r="O207" s="575"/>
      <c r="P207" s="575"/>
      <c r="Q207" s="575"/>
      <c r="R207" s="575"/>
      <c r="S207" s="575"/>
      <c r="T207" s="575"/>
      <c r="U207" s="575"/>
      <c r="V207" s="575"/>
      <c r="W207" s="575"/>
      <c r="X207" s="575"/>
      <c r="Y207" s="575"/>
      <c r="Z207" s="575"/>
    </row>
    <row r="208">
      <c r="A208" s="582"/>
      <c r="B208" s="583"/>
      <c r="C208" s="584"/>
      <c r="D208" s="585"/>
      <c r="E208" s="575"/>
      <c r="F208" s="575"/>
      <c r="G208" s="575"/>
      <c r="H208" s="575"/>
      <c r="I208" s="575"/>
      <c r="J208" s="575"/>
      <c r="K208" s="575"/>
      <c r="L208" s="575"/>
      <c r="M208" s="575"/>
      <c r="N208" s="575"/>
      <c r="O208" s="575"/>
      <c r="P208" s="575"/>
      <c r="Q208" s="575"/>
      <c r="R208" s="575"/>
      <c r="S208" s="575"/>
      <c r="T208" s="575"/>
      <c r="U208" s="575"/>
      <c r="V208" s="575"/>
      <c r="W208" s="575"/>
      <c r="X208" s="575"/>
      <c r="Y208" s="575"/>
      <c r="Z208" s="575"/>
    </row>
    <row r="209">
      <c r="A209" s="582"/>
      <c r="B209" s="583"/>
      <c r="C209" s="584"/>
      <c r="D209" s="585"/>
      <c r="E209" s="575"/>
      <c r="F209" s="575"/>
      <c r="G209" s="575"/>
      <c r="H209" s="575"/>
      <c r="I209" s="575"/>
      <c r="J209" s="575"/>
      <c r="K209" s="575"/>
      <c r="L209" s="575"/>
      <c r="M209" s="575"/>
      <c r="N209" s="575"/>
      <c r="O209" s="575"/>
      <c r="P209" s="575"/>
      <c r="Q209" s="575"/>
      <c r="R209" s="575"/>
      <c r="S209" s="575"/>
      <c r="T209" s="575"/>
      <c r="U209" s="575"/>
      <c r="V209" s="575"/>
      <c r="W209" s="575"/>
      <c r="X209" s="575"/>
      <c r="Y209" s="575"/>
      <c r="Z209" s="575"/>
    </row>
    <row r="210">
      <c r="A210" s="582"/>
      <c r="B210" s="583"/>
      <c r="C210" s="584"/>
      <c r="D210" s="585"/>
      <c r="E210" s="575"/>
      <c r="F210" s="575"/>
      <c r="G210" s="575"/>
      <c r="H210" s="575"/>
      <c r="I210" s="575"/>
      <c r="J210" s="575"/>
      <c r="K210" s="575"/>
      <c r="L210" s="575"/>
      <c r="M210" s="575"/>
      <c r="N210" s="575"/>
      <c r="O210" s="575"/>
      <c r="P210" s="575"/>
      <c r="Q210" s="575"/>
      <c r="R210" s="575"/>
      <c r="S210" s="575"/>
      <c r="T210" s="575"/>
      <c r="U210" s="575"/>
      <c r="V210" s="575"/>
      <c r="W210" s="575"/>
      <c r="X210" s="575"/>
      <c r="Y210" s="575"/>
      <c r="Z210" s="575"/>
    </row>
    <row r="211">
      <c r="A211" s="582"/>
      <c r="B211" s="583"/>
      <c r="C211" s="584"/>
      <c r="D211" s="585"/>
      <c r="E211" s="575"/>
      <c r="F211" s="575"/>
      <c r="G211" s="575"/>
      <c r="H211" s="575"/>
      <c r="I211" s="575"/>
      <c r="J211" s="575"/>
      <c r="K211" s="575"/>
      <c r="L211" s="575"/>
      <c r="M211" s="575"/>
      <c r="N211" s="575"/>
      <c r="O211" s="575"/>
      <c r="P211" s="575"/>
      <c r="Q211" s="575"/>
      <c r="R211" s="575"/>
      <c r="S211" s="575"/>
      <c r="T211" s="575"/>
      <c r="U211" s="575"/>
      <c r="V211" s="575"/>
      <c r="W211" s="575"/>
      <c r="X211" s="575"/>
      <c r="Y211" s="575"/>
      <c r="Z211" s="575"/>
    </row>
    <row r="212">
      <c r="A212" s="582"/>
      <c r="B212" s="583"/>
      <c r="C212" s="584"/>
      <c r="D212" s="585"/>
      <c r="E212" s="575"/>
      <c r="F212" s="575"/>
      <c r="G212" s="575"/>
      <c r="H212" s="575"/>
      <c r="I212" s="575"/>
      <c r="J212" s="575"/>
      <c r="K212" s="575"/>
      <c r="L212" s="575"/>
      <c r="M212" s="575"/>
      <c r="N212" s="575"/>
      <c r="O212" s="575"/>
      <c r="P212" s="575"/>
      <c r="Q212" s="575"/>
      <c r="R212" s="575"/>
      <c r="S212" s="575"/>
      <c r="T212" s="575"/>
      <c r="U212" s="575"/>
      <c r="V212" s="575"/>
      <c r="W212" s="575"/>
      <c r="X212" s="575"/>
      <c r="Y212" s="575"/>
      <c r="Z212" s="575"/>
    </row>
    <row r="213">
      <c r="A213" s="582"/>
      <c r="B213" s="583"/>
      <c r="C213" s="584"/>
      <c r="D213" s="585"/>
      <c r="E213" s="575"/>
      <c r="F213" s="575"/>
      <c r="G213" s="575"/>
      <c r="H213" s="575"/>
      <c r="I213" s="575"/>
      <c r="J213" s="575"/>
      <c r="K213" s="575"/>
      <c r="L213" s="575"/>
      <c r="M213" s="575"/>
      <c r="N213" s="575"/>
      <c r="O213" s="575"/>
      <c r="P213" s="575"/>
      <c r="Q213" s="575"/>
      <c r="R213" s="575"/>
      <c r="S213" s="575"/>
      <c r="T213" s="575"/>
      <c r="U213" s="575"/>
      <c r="V213" s="575"/>
      <c r="W213" s="575"/>
      <c r="X213" s="575"/>
      <c r="Y213" s="575"/>
      <c r="Z213" s="575"/>
    </row>
    <row r="214">
      <c r="A214" s="582"/>
      <c r="B214" s="583"/>
      <c r="C214" s="584"/>
      <c r="D214" s="585"/>
      <c r="E214" s="575"/>
      <c r="F214" s="575"/>
      <c r="G214" s="575"/>
      <c r="H214" s="575"/>
      <c r="I214" s="575"/>
      <c r="J214" s="575"/>
      <c r="K214" s="575"/>
      <c r="L214" s="575"/>
      <c r="M214" s="575"/>
      <c r="N214" s="575"/>
      <c r="O214" s="575"/>
      <c r="P214" s="575"/>
      <c r="Q214" s="575"/>
      <c r="R214" s="575"/>
      <c r="S214" s="575"/>
      <c r="T214" s="575"/>
      <c r="U214" s="575"/>
      <c r="V214" s="575"/>
      <c r="W214" s="575"/>
      <c r="X214" s="575"/>
      <c r="Y214" s="575"/>
      <c r="Z214" s="575"/>
    </row>
    <row r="215">
      <c r="A215" s="582"/>
      <c r="B215" s="583"/>
      <c r="C215" s="584"/>
      <c r="D215" s="585"/>
      <c r="E215" s="575"/>
      <c r="F215" s="575"/>
      <c r="G215" s="575"/>
      <c r="H215" s="575"/>
      <c r="I215" s="575"/>
      <c r="J215" s="575"/>
      <c r="K215" s="575"/>
      <c r="L215" s="575"/>
      <c r="M215" s="575"/>
      <c r="N215" s="575"/>
      <c r="O215" s="575"/>
      <c r="P215" s="575"/>
      <c r="Q215" s="575"/>
      <c r="R215" s="575"/>
      <c r="S215" s="575"/>
      <c r="T215" s="575"/>
      <c r="U215" s="575"/>
      <c r="V215" s="575"/>
      <c r="W215" s="575"/>
      <c r="X215" s="575"/>
      <c r="Y215" s="575"/>
      <c r="Z215" s="575"/>
    </row>
    <row r="216">
      <c r="A216" s="582"/>
      <c r="B216" s="583"/>
      <c r="C216" s="584"/>
      <c r="D216" s="585"/>
      <c r="E216" s="575"/>
      <c r="F216" s="575"/>
      <c r="G216" s="575"/>
      <c r="H216" s="575"/>
      <c r="I216" s="575"/>
      <c r="J216" s="575"/>
      <c r="K216" s="575"/>
      <c r="L216" s="575"/>
      <c r="M216" s="575"/>
      <c r="N216" s="575"/>
      <c r="O216" s="575"/>
      <c r="P216" s="575"/>
      <c r="Q216" s="575"/>
      <c r="R216" s="575"/>
      <c r="S216" s="575"/>
      <c r="T216" s="575"/>
      <c r="U216" s="575"/>
      <c r="V216" s="575"/>
      <c r="W216" s="575"/>
      <c r="X216" s="575"/>
      <c r="Y216" s="575"/>
      <c r="Z216" s="575"/>
    </row>
    <row r="217">
      <c r="A217" s="582"/>
      <c r="B217" s="583"/>
      <c r="C217" s="584"/>
      <c r="D217" s="585"/>
      <c r="E217" s="575"/>
      <c r="F217" s="575"/>
      <c r="G217" s="575"/>
      <c r="H217" s="575"/>
      <c r="I217" s="575"/>
      <c r="J217" s="575"/>
      <c r="K217" s="575"/>
      <c r="L217" s="575"/>
      <c r="M217" s="575"/>
      <c r="N217" s="575"/>
      <c r="O217" s="575"/>
      <c r="P217" s="575"/>
      <c r="Q217" s="575"/>
      <c r="R217" s="575"/>
      <c r="S217" s="575"/>
      <c r="T217" s="575"/>
      <c r="U217" s="575"/>
      <c r="V217" s="575"/>
      <c r="W217" s="575"/>
      <c r="X217" s="575"/>
      <c r="Y217" s="575"/>
      <c r="Z217" s="575"/>
    </row>
    <row r="218">
      <c r="A218" s="582"/>
      <c r="B218" s="583"/>
      <c r="C218" s="584"/>
      <c r="D218" s="585"/>
      <c r="E218" s="575"/>
      <c r="F218" s="575"/>
      <c r="G218" s="575"/>
      <c r="H218" s="575"/>
      <c r="I218" s="575"/>
      <c r="J218" s="575"/>
      <c r="K218" s="575"/>
      <c r="L218" s="575"/>
      <c r="M218" s="575"/>
      <c r="N218" s="575"/>
      <c r="O218" s="575"/>
      <c r="P218" s="575"/>
      <c r="Q218" s="575"/>
      <c r="R218" s="575"/>
      <c r="S218" s="575"/>
      <c r="T218" s="575"/>
      <c r="U218" s="575"/>
      <c r="V218" s="575"/>
      <c r="W218" s="575"/>
      <c r="X218" s="575"/>
      <c r="Y218" s="575"/>
      <c r="Z218" s="575"/>
    </row>
    <row r="219">
      <c r="A219" s="582"/>
      <c r="B219" s="583"/>
      <c r="C219" s="584"/>
      <c r="D219" s="585"/>
      <c r="E219" s="575"/>
      <c r="F219" s="575"/>
      <c r="G219" s="575"/>
      <c r="H219" s="575"/>
      <c r="I219" s="575"/>
      <c r="J219" s="575"/>
      <c r="K219" s="575"/>
      <c r="L219" s="575"/>
      <c r="M219" s="575"/>
      <c r="N219" s="575"/>
      <c r="O219" s="575"/>
      <c r="P219" s="575"/>
      <c r="Q219" s="575"/>
      <c r="R219" s="575"/>
      <c r="S219" s="575"/>
      <c r="T219" s="575"/>
      <c r="U219" s="575"/>
      <c r="V219" s="575"/>
      <c r="W219" s="575"/>
      <c r="X219" s="575"/>
      <c r="Y219" s="575"/>
      <c r="Z219" s="575"/>
    </row>
    <row r="220">
      <c r="A220" s="582"/>
      <c r="B220" s="583"/>
      <c r="C220" s="584"/>
      <c r="D220" s="585"/>
      <c r="E220" s="575"/>
      <c r="F220" s="575"/>
      <c r="G220" s="575"/>
      <c r="H220" s="575"/>
      <c r="I220" s="575"/>
      <c r="J220" s="575"/>
      <c r="K220" s="575"/>
      <c r="L220" s="575"/>
      <c r="M220" s="575"/>
      <c r="N220" s="575"/>
      <c r="O220" s="575"/>
      <c r="P220" s="575"/>
      <c r="Q220" s="575"/>
      <c r="R220" s="575"/>
      <c r="S220" s="575"/>
      <c r="T220" s="575"/>
      <c r="U220" s="575"/>
      <c r="V220" s="575"/>
      <c r="W220" s="575"/>
      <c r="X220" s="575"/>
      <c r="Y220" s="575"/>
      <c r="Z220" s="575"/>
    </row>
    <row r="221">
      <c r="A221" s="582"/>
      <c r="B221" s="583"/>
      <c r="C221" s="584"/>
      <c r="D221" s="585"/>
      <c r="E221" s="575"/>
      <c r="F221" s="575"/>
      <c r="G221" s="575"/>
      <c r="H221" s="575"/>
      <c r="I221" s="575"/>
      <c r="J221" s="575"/>
      <c r="K221" s="575"/>
      <c r="L221" s="575"/>
      <c r="M221" s="575"/>
      <c r="N221" s="575"/>
      <c r="O221" s="575"/>
      <c r="P221" s="575"/>
      <c r="Q221" s="575"/>
      <c r="R221" s="575"/>
      <c r="S221" s="575"/>
      <c r="T221" s="575"/>
      <c r="U221" s="575"/>
      <c r="V221" s="575"/>
      <c r="W221" s="575"/>
      <c r="X221" s="575"/>
      <c r="Y221" s="575"/>
      <c r="Z221" s="575"/>
    </row>
    <row r="222">
      <c r="A222" s="582"/>
      <c r="B222" s="583"/>
      <c r="C222" s="584"/>
      <c r="D222" s="585"/>
      <c r="E222" s="575"/>
      <c r="F222" s="575"/>
      <c r="G222" s="575"/>
      <c r="H222" s="575"/>
      <c r="I222" s="575"/>
      <c r="J222" s="575"/>
      <c r="K222" s="575"/>
      <c r="L222" s="575"/>
      <c r="M222" s="575"/>
      <c r="N222" s="575"/>
      <c r="O222" s="575"/>
      <c r="P222" s="575"/>
      <c r="Q222" s="575"/>
      <c r="R222" s="575"/>
      <c r="S222" s="575"/>
      <c r="T222" s="575"/>
      <c r="U222" s="575"/>
      <c r="V222" s="575"/>
      <c r="W222" s="575"/>
      <c r="X222" s="575"/>
      <c r="Y222" s="575"/>
      <c r="Z222" s="575"/>
    </row>
    <row r="223">
      <c r="A223" s="582"/>
      <c r="B223" s="583"/>
      <c r="C223" s="584"/>
      <c r="D223" s="585"/>
      <c r="E223" s="575"/>
      <c r="F223" s="575"/>
      <c r="G223" s="575"/>
      <c r="H223" s="575"/>
      <c r="I223" s="575"/>
      <c r="J223" s="575"/>
      <c r="K223" s="575"/>
      <c r="L223" s="575"/>
      <c r="M223" s="575"/>
      <c r="N223" s="575"/>
      <c r="O223" s="575"/>
      <c r="P223" s="575"/>
      <c r="Q223" s="575"/>
      <c r="R223" s="575"/>
      <c r="S223" s="575"/>
      <c r="T223" s="575"/>
      <c r="U223" s="575"/>
      <c r="V223" s="575"/>
      <c r="W223" s="575"/>
      <c r="X223" s="575"/>
      <c r="Y223" s="575"/>
      <c r="Z223" s="575"/>
    </row>
    <row r="224">
      <c r="A224" s="582"/>
      <c r="B224" s="583"/>
      <c r="C224" s="584"/>
      <c r="D224" s="585"/>
      <c r="E224" s="575"/>
      <c r="F224" s="575"/>
      <c r="G224" s="575"/>
      <c r="H224" s="575"/>
      <c r="I224" s="575"/>
      <c r="J224" s="575"/>
      <c r="K224" s="575"/>
      <c r="L224" s="575"/>
      <c r="M224" s="575"/>
      <c r="N224" s="575"/>
      <c r="O224" s="575"/>
      <c r="P224" s="575"/>
      <c r="Q224" s="575"/>
      <c r="R224" s="575"/>
      <c r="S224" s="575"/>
      <c r="T224" s="575"/>
      <c r="U224" s="575"/>
      <c r="V224" s="575"/>
      <c r="W224" s="575"/>
      <c r="X224" s="575"/>
      <c r="Y224" s="575"/>
      <c r="Z224" s="575"/>
    </row>
    <row r="225">
      <c r="A225" s="582"/>
      <c r="B225" s="583"/>
      <c r="C225" s="584"/>
      <c r="D225" s="585"/>
      <c r="E225" s="575"/>
      <c r="F225" s="575"/>
      <c r="G225" s="575"/>
      <c r="H225" s="575"/>
      <c r="I225" s="575"/>
      <c r="J225" s="575"/>
      <c r="K225" s="575"/>
      <c r="L225" s="575"/>
      <c r="M225" s="575"/>
      <c r="N225" s="575"/>
      <c r="O225" s="575"/>
      <c r="P225" s="575"/>
      <c r="Q225" s="575"/>
      <c r="R225" s="575"/>
      <c r="S225" s="575"/>
      <c r="T225" s="575"/>
      <c r="U225" s="575"/>
      <c r="V225" s="575"/>
      <c r="W225" s="575"/>
      <c r="X225" s="575"/>
      <c r="Y225" s="575"/>
      <c r="Z225" s="575"/>
    </row>
    <row r="226">
      <c r="A226" s="582"/>
      <c r="B226" s="583"/>
      <c r="C226" s="584"/>
      <c r="D226" s="585"/>
      <c r="E226" s="575"/>
      <c r="F226" s="575"/>
      <c r="G226" s="575"/>
      <c r="H226" s="575"/>
      <c r="I226" s="575"/>
      <c r="J226" s="575"/>
      <c r="K226" s="575"/>
      <c r="L226" s="575"/>
      <c r="M226" s="575"/>
      <c r="N226" s="575"/>
      <c r="O226" s="575"/>
      <c r="P226" s="575"/>
      <c r="Q226" s="575"/>
      <c r="R226" s="575"/>
      <c r="S226" s="575"/>
      <c r="T226" s="575"/>
      <c r="U226" s="575"/>
      <c r="V226" s="575"/>
      <c r="W226" s="575"/>
      <c r="X226" s="575"/>
      <c r="Y226" s="575"/>
      <c r="Z226" s="575"/>
    </row>
    <row r="227">
      <c r="A227" s="582"/>
      <c r="B227" s="583"/>
      <c r="C227" s="584"/>
      <c r="D227" s="585"/>
      <c r="E227" s="575"/>
      <c r="F227" s="575"/>
      <c r="G227" s="575"/>
      <c r="H227" s="575"/>
      <c r="I227" s="575"/>
      <c r="J227" s="575"/>
      <c r="K227" s="575"/>
      <c r="L227" s="575"/>
      <c r="M227" s="575"/>
      <c r="N227" s="575"/>
      <c r="O227" s="575"/>
      <c r="P227" s="575"/>
      <c r="Q227" s="575"/>
      <c r="R227" s="575"/>
      <c r="S227" s="575"/>
      <c r="T227" s="575"/>
      <c r="U227" s="575"/>
      <c r="V227" s="575"/>
      <c r="W227" s="575"/>
      <c r="X227" s="575"/>
      <c r="Y227" s="575"/>
      <c r="Z227" s="575"/>
    </row>
    <row r="228">
      <c r="A228" s="582"/>
      <c r="B228" s="583"/>
      <c r="C228" s="584"/>
      <c r="D228" s="585"/>
      <c r="E228" s="575"/>
      <c r="F228" s="575"/>
      <c r="G228" s="575"/>
      <c r="H228" s="575"/>
      <c r="I228" s="575"/>
      <c r="J228" s="575"/>
      <c r="K228" s="575"/>
      <c r="L228" s="575"/>
      <c r="M228" s="575"/>
      <c r="N228" s="575"/>
      <c r="O228" s="575"/>
      <c r="P228" s="575"/>
      <c r="Q228" s="575"/>
      <c r="R228" s="575"/>
      <c r="S228" s="575"/>
      <c r="T228" s="575"/>
      <c r="U228" s="575"/>
      <c r="V228" s="575"/>
      <c r="W228" s="575"/>
      <c r="X228" s="575"/>
      <c r="Y228" s="575"/>
      <c r="Z228" s="575"/>
    </row>
    <row r="229">
      <c r="A229" s="582"/>
      <c r="B229" s="583"/>
      <c r="C229" s="584"/>
      <c r="D229" s="585"/>
      <c r="E229" s="575"/>
      <c r="F229" s="575"/>
      <c r="G229" s="575"/>
      <c r="H229" s="575"/>
      <c r="I229" s="575"/>
      <c r="J229" s="575"/>
      <c r="K229" s="575"/>
      <c r="L229" s="575"/>
      <c r="M229" s="575"/>
      <c r="N229" s="575"/>
      <c r="O229" s="575"/>
      <c r="P229" s="575"/>
      <c r="Q229" s="575"/>
      <c r="R229" s="575"/>
      <c r="S229" s="575"/>
      <c r="T229" s="575"/>
      <c r="U229" s="575"/>
      <c r="V229" s="575"/>
      <c r="W229" s="575"/>
      <c r="X229" s="575"/>
      <c r="Y229" s="575"/>
      <c r="Z229" s="575"/>
    </row>
    <row r="230">
      <c r="A230" s="582"/>
      <c r="B230" s="583"/>
      <c r="C230" s="584"/>
      <c r="D230" s="585"/>
      <c r="E230" s="575"/>
      <c r="F230" s="575"/>
      <c r="G230" s="575"/>
      <c r="H230" s="575"/>
      <c r="I230" s="575"/>
      <c r="J230" s="575"/>
      <c r="K230" s="575"/>
      <c r="L230" s="575"/>
      <c r="M230" s="575"/>
      <c r="N230" s="575"/>
      <c r="O230" s="575"/>
      <c r="P230" s="575"/>
      <c r="Q230" s="575"/>
      <c r="R230" s="575"/>
      <c r="S230" s="575"/>
      <c r="T230" s="575"/>
      <c r="U230" s="575"/>
      <c r="V230" s="575"/>
      <c r="W230" s="575"/>
      <c r="X230" s="575"/>
      <c r="Y230" s="575"/>
      <c r="Z230" s="575"/>
    </row>
    <row r="231">
      <c r="A231" s="582"/>
      <c r="B231" s="583"/>
      <c r="C231" s="584"/>
      <c r="D231" s="585"/>
      <c r="E231" s="575"/>
      <c r="F231" s="575"/>
      <c r="G231" s="575"/>
      <c r="H231" s="575"/>
      <c r="I231" s="575"/>
      <c r="J231" s="575"/>
      <c r="K231" s="575"/>
      <c r="L231" s="575"/>
      <c r="M231" s="575"/>
      <c r="N231" s="575"/>
      <c r="O231" s="575"/>
      <c r="P231" s="575"/>
      <c r="Q231" s="575"/>
      <c r="R231" s="575"/>
      <c r="S231" s="575"/>
      <c r="T231" s="575"/>
      <c r="U231" s="575"/>
      <c r="V231" s="575"/>
      <c r="W231" s="575"/>
      <c r="X231" s="575"/>
      <c r="Y231" s="575"/>
      <c r="Z231" s="575"/>
    </row>
    <row r="232">
      <c r="A232" s="582"/>
      <c r="B232" s="583"/>
      <c r="C232" s="584"/>
      <c r="D232" s="585"/>
      <c r="E232" s="575"/>
      <c r="F232" s="575"/>
      <c r="G232" s="575"/>
      <c r="H232" s="575"/>
      <c r="I232" s="575"/>
      <c r="J232" s="575"/>
      <c r="K232" s="575"/>
      <c r="L232" s="575"/>
      <c r="M232" s="575"/>
      <c r="N232" s="575"/>
      <c r="O232" s="575"/>
      <c r="P232" s="575"/>
      <c r="Q232" s="575"/>
      <c r="R232" s="575"/>
      <c r="S232" s="575"/>
      <c r="T232" s="575"/>
      <c r="U232" s="575"/>
      <c r="V232" s="575"/>
      <c r="W232" s="575"/>
      <c r="X232" s="575"/>
      <c r="Y232" s="575"/>
      <c r="Z232" s="575"/>
    </row>
    <row r="233">
      <c r="A233" s="582"/>
      <c r="B233" s="583"/>
      <c r="C233" s="584"/>
      <c r="D233" s="585"/>
      <c r="E233" s="575"/>
      <c r="F233" s="575"/>
      <c r="G233" s="575"/>
      <c r="H233" s="575"/>
      <c r="I233" s="575"/>
      <c r="J233" s="575"/>
      <c r="K233" s="575"/>
      <c r="L233" s="575"/>
      <c r="M233" s="575"/>
      <c r="N233" s="575"/>
      <c r="O233" s="575"/>
      <c r="P233" s="575"/>
      <c r="Q233" s="575"/>
      <c r="R233" s="575"/>
      <c r="S233" s="575"/>
      <c r="T233" s="575"/>
      <c r="U233" s="575"/>
      <c r="V233" s="575"/>
      <c r="W233" s="575"/>
      <c r="X233" s="575"/>
      <c r="Y233" s="575"/>
      <c r="Z233" s="575"/>
    </row>
    <row r="234">
      <c r="A234" s="582"/>
      <c r="B234" s="583"/>
      <c r="C234" s="584"/>
      <c r="D234" s="585"/>
      <c r="E234" s="575"/>
      <c r="F234" s="575"/>
      <c r="G234" s="575"/>
      <c r="H234" s="575"/>
      <c r="I234" s="575"/>
      <c r="J234" s="575"/>
      <c r="K234" s="575"/>
      <c r="L234" s="575"/>
      <c r="M234" s="575"/>
      <c r="N234" s="575"/>
      <c r="O234" s="575"/>
      <c r="P234" s="575"/>
      <c r="Q234" s="575"/>
      <c r="R234" s="575"/>
      <c r="S234" s="575"/>
      <c r="T234" s="575"/>
      <c r="U234" s="575"/>
      <c r="V234" s="575"/>
      <c r="W234" s="575"/>
      <c r="X234" s="575"/>
      <c r="Y234" s="575"/>
      <c r="Z234" s="575"/>
    </row>
    <row r="235">
      <c r="A235" s="582"/>
      <c r="B235" s="583"/>
      <c r="C235" s="584"/>
      <c r="D235" s="585"/>
      <c r="E235" s="575"/>
      <c r="F235" s="575"/>
      <c r="G235" s="575"/>
      <c r="H235" s="575"/>
      <c r="I235" s="575"/>
      <c r="J235" s="575"/>
      <c r="K235" s="575"/>
      <c r="L235" s="575"/>
      <c r="M235" s="575"/>
      <c r="N235" s="575"/>
      <c r="O235" s="575"/>
      <c r="P235" s="575"/>
      <c r="Q235" s="575"/>
      <c r="R235" s="575"/>
      <c r="S235" s="575"/>
      <c r="T235" s="575"/>
      <c r="U235" s="575"/>
      <c r="V235" s="575"/>
      <c r="W235" s="575"/>
      <c r="X235" s="575"/>
      <c r="Y235" s="575"/>
      <c r="Z235" s="575"/>
    </row>
    <row r="236">
      <c r="A236" s="582"/>
      <c r="B236" s="583"/>
      <c r="C236" s="584"/>
      <c r="D236" s="585"/>
      <c r="E236" s="575"/>
      <c r="F236" s="575"/>
      <c r="G236" s="575"/>
      <c r="H236" s="575"/>
      <c r="I236" s="575"/>
      <c r="J236" s="575"/>
      <c r="K236" s="575"/>
      <c r="L236" s="575"/>
      <c r="M236" s="575"/>
      <c r="N236" s="575"/>
      <c r="O236" s="575"/>
      <c r="P236" s="575"/>
      <c r="Q236" s="575"/>
      <c r="R236" s="575"/>
      <c r="S236" s="575"/>
      <c r="T236" s="575"/>
      <c r="U236" s="575"/>
      <c r="V236" s="575"/>
      <c r="W236" s="575"/>
      <c r="X236" s="575"/>
      <c r="Y236" s="575"/>
      <c r="Z236" s="575"/>
    </row>
    <row r="237">
      <c r="A237" s="582"/>
      <c r="B237" s="583"/>
      <c r="C237" s="584"/>
      <c r="D237" s="585"/>
      <c r="E237" s="575"/>
      <c r="F237" s="575"/>
      <c r="G237" s="575"/>
      <c r="H237" s="575"/>
      <c r="I237" s="575"/>
      <c r="J237" s="575"/>
      <c r="K237" s="575"/>
      <c r="L237" s="575"/>
      <c r="M237" s="575"/>
      <c r="N237" s="575"/>
      <c r="O237" s="575"/>
      <c r="P237" s="575"/>
      <c r="Q237" s="575"/>
      <c r="R237" s="575"/>
      <c r="S237" s="575"/>
      <c r="T237" s="575"/>
      <c r="U237" s="575"/>
      <c r="V237" s="575"/>
      <c r="W237" s="575"/>
      <c r="X237" s="575"/>
      <c r="Y237" s="575"/>
      <c r="Z237" s="575"/>
    </row>
    <row r="238">
      <c r="A238" s="582"/>
      <c r="B238" s="583"/>
      <c r="C238" s="584"/>
      <c r="D238" s="585"/>
      <c r="E238" s="575"/>
      <c r="F238" s="575"/>
      <c r="G238" s="575"/>
      <c r="H238" s="575"/>
      <c r="I238" s="575"/>
      <c r="J238" s="575"/>
      <c r="K238" s="575"/>
      <c r="L238" s="575"/>
      <c r="M238" s="575"/>
      <c r="N238" s="575"/>
      <c r="O238" s="575"/>
      <c r="P238" s="575"/>
      <c r="Q238" s="575"/>
      <c r="R238" s="575"/>
      <c r="S238" s="575"/>
      <c r="T238" s="575"/>
      <c r="U238" s="575"/>
      <c r="V238" s="575"/>
      <c r="W238" s="575"/>
      <c r="X238" s="575"/>
      <c r="Y238" s="575"/>
      <c r="Z238" s="575"/>
    </row>
    <row r="239">
      <c r="A239" s="582"/>
      <c r="B239" s="583"/>
      <c r="C239" s="584"/>
      <c r="D239" s="585"/>
      <c r="E239" s="575"/>
      <c r="F239" s="575"/>
      <c r="G239" s="575"/>
      <c r="H239" s="575"/>
      <c r="I239" s="575"/>
      <c r="J239" s="575"/>
      <c r="K239" s="575"/>
      <c r="L239" s="575"/>
      <c r="M239" s="575"/>
      <c r="N239" s="575"/>
      <c r="O239" s="575"/>
      <c r="P239" s="575"/>
      <c r="Q239" s="575"/>
      <c r="R239" s="575"/>
      <c r="S239" s="575"/>
      <c r="T239" s="575"/>
      <c r="U239" s="575"/>
      <c r="V239" s="575"/>
      <c r="W239" s="575"/>
      <c r="X239" s="575"/>
      <c r="Y239" s="575"/>
      <c r="Z239" s="575"/>
    </row>
    <row r="240">
      <c r="A240" s="582"/>
      <c r="B240" s="583"/>
      <c r="C240" s="584"/>
      <c r="D240" s="585"/>
      <c r="E240" s="575"/>
      <c r="F240" s="575"/>
      <c r="G240" s="575"/>
      <c r="H240" s="575"/>
      <c r="I240" s="575"/>
      <c r="J240" s="575"/>
      <c r="K240" s="575"/>
      <c r="L240" s="575"/>
      <c r="M240" s="575"/>
      <c r="N240" s="575"/>
      <c r="O240" s="575"/>
      <c r="P240" s="575"/>
      <c r="Q240" s="575"/>
      <c r="R240" s="575"/>
      <c r="S240" s="575"/>
      <c r="T240" s="575"/>
      <c r="U240" s="575"/>
      <c r="V240" s="575"/>
      <c r="W240" s="575"/>
      <c r="X240" s="575"/>
      <c r="Y240" s="575"/>
      <c r="Z240" s="575"/>
    </row>
    <row r="241">
      <c r="A241" s="582"/>
      <c r="B241" s="583"/>
      <c r="C241" s="584"/>
      <c r="D241" s="585"/>
      <c r="E241" s="575"/>
      <c r="F241" s="575"/>
      <c r="G241" s="575"/>
      <c r="H241" s="575"/>
      <c r="I241" s="575"/>
      <c r="J241" s="575"/>
      <c r="K241" s="575"/>
      <c r="L241" s="575"/>
      <c r="M241" s="575"/>
      <c r="N241" s="575"/>
      <c r="O241" s="575"/>
      <c r="P241" s="575"/>
      <c r="Q241" s="575"/>
      <c r="R241" s="575"/>
      <c r="S241" s="575"/>
      <c r="T241" s="575"/>
      <c r="U241" s="575"/>
      <c r="V241" s="575"/>
      <c r="W241" s="575"/>
      <c r="X241" s="575"/>
      <c r="Y241" s="575"/>
      <c r="Z241" s="575"/>
    </row>
    <row r="242">
      <c r="A242" s="582"/>
      <c r="B242" s="583"/>
      <c r="C242" s="584"/>
      <c r="D242" s="585"/>
      <c r="E242" s="575"/>
      <c r="F242" s="575"/>
      <c r="G242" s="575"/>
      <c r="H242" s="575"/>
      <c r="I242" s="575"/>
      <c r="J242" s="575"/>
      <c r="K242" s="575"/>
      <c r="L242" s="575"/>
      <c r="M242" s="575"/>
      <c r="N242" s="575"/>
      <c r="O242" s="575"/>
      <c r="P242" s="575"/>
      <c r="Q242" s="575"/>
      <c r="R242" s="575"/>
      <c r="S242" s="575"/>
      <c r="T242" s="575"/>
      <c r="U242" s="575"/>
      <c r="V242" s="575"/>
      <c r="W242" s="575"/>
      <c r="X242" s="575"/>
      <c r="Y242" s="575"/>
      <c r="Z242" s="575"/>
    </row>
    <row r="243">
      <c r="A243" s="582"/>
      <c r="B243" s="583"/>
      <c r="C243" s="584"/>
      <c r="D243" s="585"/>
      <c r="E243" s="575"/>
      <c r="F243" s="575"/>
      <c r="G243" s="575"/>
      <c r="H243" s="575"/>
      <c r="I243" s="575"/>
      <c r="J243" s="575"/>
      <c r="K243" s="575"/>
      <c r="L243" s="575"/>
      <c r="M243" s="575"/>
      <c r="N243" s="575"/>
      <c r="O243" s="575"/>
      <c r="P243" s="575"/>
      <c r="Q243" s="575"/>
      <c r="R243" s="575"/>
      <c r="S243" s="575"/>
      <c r="T243" s="575"/>
      <c r="U243" s="575"/>
      <c r="V243" s="575"/>
      <c r="W243" s="575"/>
      <c r="X243" s="575"/>
      <c r="Y243" s="575"/>
      <c r="Z243" s="575"/>
    </row>
    <row r="244">
      <c r="A244" s="582"/>
      <c r="B244" s="583"/>
      <c r="C244" s="584"/>
      <c r="D244" s="585"/>
      <c r="E244" s="575"/>
      <c r="F244" s="575"/>
      <c r="G244" s="575"/>
      <c r="H244" s="575"/>
      <c r="I244" s="575"/>
      <c r="J244" s="575"/>
      <c r="K244" s="575"/>
      <c r="L244" s="575"/>
      <c r="M244" s="575"/>
      <c r="N244" s="575"/>
      <c r="O244" s="575"/>
      <c r="P244" s="575"/>
      <c r="Q244" s="575"/>
      <c r="R244" s="575"/>
      <c r="S244" s="575"/>
      <c r="T244" s="575"/>
      <c r="U244" s="575"/>
      <c r="V244" s="575"/>
      <c r="W244" s="575"/>
      <c r="X244" s="575"/>
      <c r="Y244" s="575"/>
      <c r="Z244" s="575"/>
    </row>
    <row r="245">
      <c r="A245" s="582"/>
      <c r="B245" s="583"/>
      <c r="C245" s="584"/>
      <c r="D245" s="585"/>
      <c r="E245" s="575"/>
      <c r="F245" s="575"/>
      <c r="G245" s="575"/>
      <c r="H245" s="575"/>
      <c r="I245" s="575"/>
      <c r="J245" s="575"/>
      <c r="K245" s="575"/>
      <c r="L245" s="575"/>
      <c r="M245" s="575"/>
      <c r="N245" s="575"/>
      <c r="O245" s="575"/>
      <c r="P245" s="575"/>
      <c r="Q245" s="575"/>
      <c r="R245" s="575"/>
      <c r="S245" s="575"/>
      <c r="T245" s="575"/>
      <c r="U245" s="575"/>
      <c r="V245" s="575"/>
      <c r="W245" s="575"/>
      <c r="X245" s="575"/>
      <c r="Y245" s="575"/>
      <c r="Z245" s="575"/>
    </row>
    <row r="246">
      <c r="A246" s="582"/>
      <c r="B246" s="583"/>
      <c r="C246" s="584"/>
      <c r="D246" s="585"/>
      <c r="E246" s="575"/>
      <c r="F246" s="575"/>
      <c r="G246" s="575"/>
      <c r="H246" s="575"/>
      <c r="I246" s="575"/>
      <c r="J246" s="575"/>
      <c r="K246" s="575"/>
      <c r="L246" s="575"/>
      <c r="M246" s="575"/>
      <c r="N246" s="575"/>
      <c r="O246" s="575"/>
      <c r="P246" s="575"/>
      <c r="Q246" s="575"/>
      <c r="R246" s="575"/>
      <c r="S246" s="575"/>
      <c r="T246" s="575"/>
      <c r="U246" s="575"/>
      <c r="V246" s="575"/>
      <c r="W246" s="575"/>
      <c r="X246" s="575"/>
      <c r="Y246" s="575"/>
      <c r="Z246" s="575"/>
    </row>
    <row r="247">
      <c r="A247" s="582"/>
      <c r="B247" s="583"/>
      <c r="C247" s="584"/>
      <c r="D247" s="585"/>
      <c r="E247" s="575"/>
      <c r="F247" s="575"/>
      <c r="G247" s="575"/>
      <c r="H247" s="575"/>
      <c r="I247" s="575"/>
      <c r="J247" s="575"/>
      <c r="K247" s="575"/>
      <c r="L247" s="575"/>
      <c r="M247" s="575"/>
      <c r="N247" s="575"/>
      <c r="O247" s="575"/>
      <c r="P247" s="575"/>
      <c r="Q247" s="575"/>
      <c r="R247" s="575"/>
      <c r="S247" s="575"/>
      <c r="T247" s="575"/>
      <c r="U247" s="575"/>
      <c r="V247" s="575"/>
      <c r="W247" s="575"/>
      <c r="X247" s="575"/>
      <c r="Y247" s="575"/>
      <c r="Z247" s="575"/>
    </row>
    <row r="248">
      <c r="A248" s="582"/>
      <c r="B248" s="583"/>
      <c r="C248" s="584"/>
      <c r="D248" s="585"/>
      <c r="E248" s="575"/>
      <c r="F248" s="575"/>
      <c r="G248" s="575"/>
      <c r="H248" s="575"/>
      <c r="I248" s="575"/>
      <c r="J248" s="575"/>
      <c r="K248" s="575"/>
      <c r="L248" s="575"/>
      <c r="M248" s="575"/>
      <c r="N248" s="575"/>
      <c r="O248" s="575"/>
      <c r="P248" s="575"/>
      <c r="Q248" s="575"/>
      <c r="R248" s="575"/>
      <c r="S248" s="575"/>
      <c r="T248" s="575"/>
      <c r="U248" s="575"/>
      <c r="V248" s="575"/>
      <c r="W248" s="575"/>
      <c r="X248" s="575"/>
      <c r="Y248" s="575"/>
      <c r="Z248" s="575"/>
    </row>
    <row r="249">
      <c r="A249" s="582"/>
      <c r="B249" s="583"/>
      <c r="C249" s="584"/>
      <c r="D249" s="585"/>
      <c r="E249" s="575"/>
      <c r="F249" s="575"/>
      <c r="G249" s="575"/>
      <c r="H249" s="575"/>
      <c r="I249" s="575"/>
      <c r="J249" s="575"/>
      <c r="K249" s="575"/>
      <c r="L249" s="575"/>
      <c r="M249" s="575"/>
      <c r="N249" s="575"/>
      <c r="O249" s="575"/>
      <c r="P249" s="575"/>
      <c r="Q249" s="575"/>
      <c r="R249" s="575"/>
      <c r="S249" s="575"/>
      <c r="T249" s="575"/>
      <c r="U249" s="575"/>
      <c r="V249" s="575"/>
      <c r="W249" s="575"/>
      <c r="X249" s="575"/>
      <c r="Y249" s="575"/>
      <c r="Z249" s="575"/>
    </row>
    <row r="250">
      <c r="A250" s="582"/>
      <c r="B250" s="583"/>
      <c r="C250" s="584"/>
      <c r="D250" s="585"/>
      <c r="E250" s="575"/>
      <c r="F250" s="575"/>
      <c r="G250" s="575"/>
      <c r="H250" s="575"/>
      <c r="I250" s="575"/>
      <c r="J250" s="575"/>
      <c r="K250" s="575"/>
      <c r="L250" s="575"/>
      <c r="M250" s="575"/>
      <c r="N250" s="575"/>
      <c r="O250" s="575"/>
      <c r="P250" s="575"/>
      <c r="Q250" s="575"/>
      <c r="R250" s="575"/>
      <c r="S250" s="575"/>
      <c r="T250" s="575"/>
      <c r="U250" s="575"/>
      <c r="V250" s="575"/>
      <c r="W250" s="575"/>
      <c r="X250" s="575"/>
      <c r="Y250" s="575"/>
      <c r="Z250" s="575"/>
    </row>
    <row r="251">
      <c r="A251" s="582"/>
      <c r="B251" s="583"/>
      <c r="C251" s="584"/>
      <c r="D251" s="585"/>
      <c r="E251" s="575"/>
      <c r="F251" s="575"/>
      <c r="G251" s="575"/>
      <c r="H251" s="575"/>
      <c r="I251" s="575"/>
      <c r="J251" s="575"/>
      <c r="K251" s="575"/>
      <c r="L251" s="575"/>
      <c r="M251" s="575"/>
      <c r="N251" s="575"/>
      <c r="O251" s="575"/>
      <c r="P251" s="575"/>
      <c r="Q251" s="575"/>
      <c r="R251" s="575"/>
      <c r="S251" s="575"/>
      <c r="T251" s="575"/>
      <c r="U251" s="575"/>
      <c r="V251" s="575"/>
      <c r="W251" s="575"/>
      <c r="X251" s="575"/>
      <c r="Y251" s="575"/>
      <c r="Z251" s="575"/>
    </row>
    <row r="252">
      <c r="A252" s="582"/>
      <c r="B252" s="583"/>
      <c r="C252" s="584"/>
      <c r="D252" s="585"/>
      <c r="E252" s="575"/>
      <c r="F252" s="575"/>
      <c r="G252" s="575"/>
      <c r="H252" s="575"/>
      <c r="I252" s="575"/>
      <c r="J252" s="575"/>
      <c r="K252" s="575"/>
      <c r="L252" s="575"/>
      <c r="M252" s="575"/>
      <c r="N252" s="575"/>
      <c r="O252" s="575"/>
      <c r="P252" s="575"/>
      <c r="Q252" s="575"/>
      <c r="R252" s="575"/>
      <c r="S252" s="575"/>
      <c r="T252" s="575"/>
      <c r="U252" s="575"/>
      <c r="V252" s="575"/>
      <c r="W252" s="575"/>
      <c r="X252" s="575"/>
      <c r="Y252" s="575"/>
      <c r="Z252" s="575"/>
    </row>
    <row r="253">
      <c r="A253" s="582"/>
      <c r="B253" s="583"/>
      <c r="C253" s="584"/>
      <c r="D253" s="585"/>
      <c r="E253" s="575"/>
      <c r="F253" s="575"/>
      <c r="G253" s="575"/>
      <c r="H253" s="575"/>
      <c r="I253" s="575"/>
      <c r="J253" s="575"/>
      <c r="K253" s="575"/>
      <c r="L253" s="575"/>
      <c r="M253" s="575"/>
      <c r="N253" s="575"/>
      <c r="O253" s="575"/>
      <c r="P253" s="575"/>
      <c r="Q253" s="575"/>
      <c r="R253" s="575"/>
      <c r="S253" s="575"/>
      <c r="T253" s="575"/>
      <c r="U253" s="575"/>
      <c r="V253" s="575"/>
      <c r="W253" s="575"/>
      <c r="X253" s="575"/>
      <c r="Y253" s="575"/>
      <c r="Z253" s="575"/>
    </row>
    <row r="254">
      <c r="A254" s="582"/>
      <c r="B254" s="583"/>
      <c r="C254" s="584"/>
      <c r="D254" s="585"/>
      <c r="E254" s="575"/>
      <c r="F254" s="575"/>
      <c r="G254" s="575"/>
      <c r="H254" s="575"/>
      <c r="I254" s="575"/>
      <c r="J254" s="575"/>
      <c r="K254" s="575"/>
      <c r="L254" s="575"/>
      <c r="M254" s="575"/>
      <c r="N254" s="575"/>
      <c r="O254" s="575"/>
      <c r="P254" s="575"/>
      <c r="Q254" s="575"/>
      <c r="R254" s="575"/>
      <c r="S254" s="575"/>
      <c r="T254" s="575"/>
      <c r="U254" s="575"/>
      <c r="V254" s="575"/>
      <c r="W254" s="575"/>
      <c r="X254" s="575"/>
      <c r="Y254" s="575"/>
      <c r="Z254" s="575"/>
    </row>
    <row r="255">
      <c r="A255" s="582"/>
      <c r="B255" s="583"/>
      <c r="C255" s="584"/>
      <c r="D255" s="585"/>
      <c r="E255" s="575"/>
      <c r="F255" s="575"/>
      <c r="G255" s="575"/>
      <c r="H255" s="575"/>
      <c r="I255" s="575"/>
      <c r="J255" s="575"/>
      <c r="K255" s="575"/>
      <c r="L255" s="575"/>
      <c r="M255" s="575"/>
      <c r="N255" s="575"/>
      <c r="O255" s="575"/>
      <c r="P255" s="575"/>
      <c r="Q255" s="575"/>
      <c r="R255" s="575"/>
      <c r="S255" s="575"/>
      <c r="T255" s="575"/>
      <c r="U255" s="575"/>
      <c r="V255" s="575"/>
      <c r="W255" s="575"/>
      <c r="X255" s="575"/>
      <c r="Y255" s="575"/>
      <c r="Z255" s="575"/>
    </row>
    <row r="256">
      <c r="A256" s="582"/>
      <c r="B256" s="583"/>
      <c r="C256" s="584"/>
      <c r="D256" s="585"/>
      <c r="E256" s="575"/>
      <c r="F256" s="575"/>
      <c r="G256" s="575"/>
      <c r="H256" s="575"/>
      <c r="I256" s="575"/>
      <c r="J256" s="575"/>
      <c r="K256" s="575"/>
      <c r="L256" s="575"/>
      <c r="M256" s="575"/>
      <c r="N256" s="575"/>
      <c r="O256" s="575"/>
      <c r="P256" s="575"/>
      <c r="Q256" s="575"/>
      <c r="R256" s="575"/>
      <c r="S256" s="575"/>
      <c r="T256" s="575"/>
      <c r="U256" s="575"/>
      <c r="V256" s="575"/>
      <c r="W256" s="575"/>
      <c r="X256" s="575"/>
      <c r="Y256" s="575"/>
      <c r="Z256" s="575"/>
    </row>
    <row r="257">
      <c r="A257" s="582"/>
      <c r="B257" s="583"/>
      <c r="C257" s="584"/>
      <c r="D257" s="585"/>
      <c r="E257" s="575"/>
      <c r="F257" s="575"/>
      <c r="G257" s="575"/>
      <c r="H257" s="575"/>
      <c r="I257" s="575"/>
      <c r="J257" s="575"/>
      <c r="K257" s="575"/>
      <c r="L257" s="575"/>
      <c r="M257" s="575"/>
      <c r="N257" s="575"/>
      <c r="O257" s="575"/>
      <c r="P257" s="575"/>
      <c r="Q257" s="575"/>
      <c r="R257" s="575"/>
      <c r="S257" s="575"/>
      <c r="T257" s="575"/>
      <c r="U257" s="575"/>
      <c r="V257" s="575"/>
      <c r="W257" s="575"/>
      <c r="X257" s="575"/>
      <c r="Y257" s="575"/>
      <c r="Z257" s="575"/>
    </row>
    <row r="258">
      <c r="A258" s="582"/>
      <c r="B258" s="583"/>
      <c r="C258" s="584"/>
      <c r="D258" s="585"/>
      <c r="E258" s="575"/>
      <c r="F258" s="575"/>
      <c r="G258" s="575"/>
      <c r="H258" s="575"/>
      <c r="I258" s="575"/>
      <c r="J258" s="575"/>
      <c r="K258" s="575"/>
      <c r="L258" s="575"/>
      <c r="M258" s="575"/>
      <c r="N258" s="575"/>
      <c r="O258" s="575"/>
      <c r="P258" s="575"/>
      <c r="Q258" s="575"/>
      <c r="R258" s="575"/>
      <c r="S258" s="575"/>
      <c r="T258" s="575"/>
      <c r="U258" s="575"/>
      <c r="V258" s="575"/>
      <c r="W258" s="575"/>
      <c r="X258" s="575"/>
      <c r="Y258" s="575"/>
      <c r="Z258" s="575"/>
    </row>
    <row r="259">
      <c r="A259" s="582"/>
      <c r="B259" s="583"/>
      <c r="C259" s="584"/>
      <c r="D259" s="585"/>
      <c r="E259" s="575"/>
      <c r="F259" s="575"/>
      <c r="G259" s="575"/>
      <c r="H259" s="575"/>
      <c r="I259" s="575"/>
      <c r="J259" s="575"/>
      <c r="K259" s="575"/>
      <c r="L259" s="575"/>
      <c r="M259" s="575"/>
      <c r="N259" s="575"/>
      <c r="O259" s="575"/>
      <c r="P259" s="575"/>
      <c r="Q259" s="575"/>
      <c r="R259" s="575"/>
      <c r="S259" s="575"/>
      <c r="T259" s="575"/>
      <c r="U259" s="575"/>
      <c r="V259" s="575"/>
      <c r="W259" s="575"/>
      <c r="X259" s="575"/>
      <c r="Y259" s="575"/>
      <c r="Z259" s="575"/>
    </row>
    <row r="260">
      <c r="A260" s="582"/>
      <c r="B260" s="583"/>
      <c r="C260" s="584"/>
      <c r="D260" s="585"/>
      <c r="E260" s="575"/>
      <c r="F260" s="575"/>
      <c r="G260" s="575"/>
      <c r="H260" s="575"/>
      <c r="I260" s="575"/>
      <c r="J260" s="575"/>
      <c r="K260" s="575"/>
      <c r="L260" s="575"/>
      <c r="M260" s="575"/>
      <c r="N260" s="575"/>
      <c r="O260" s="575"/>
      <c r="P260" s="575"/>
      <c r="Q260" s="575"/>
      <c r="R260" s="575"/>
      <c r="S260" s="575"/>
      <c r="T260" s="575"/>
      <c r="U260" s="575"/>
      <c r="V260" s="575"/>
      <c r="W260" s="575"/>
      <c r="X260" s="575"/>
      <c r="Y260" s="575"/>
      <c r="Z260" s="575"/>
    </row>
    <row r="261">
      <c r="A261" s="582"/>
      <c r="B261" s="583"/>
      <c r="C261" s="584"/>
      <c r="D261" s="585"/>
      <c r="E261" s="575"/>
      <c r="F261" s="575"/>
      <c r="G261" s="575"/>
      <c r="H261" s="575"/>
      <c r="I261" s="575"/>
      <c r="J261" s="575"/>
      <c r="K261" s="575"/>
      <c r="L261" s="575"/>
      <c r="M261" s="575"/>
      <c r="N261" s="575"/>
      <c r="O261" s="575"/>
      <c r="P261" s="575"/>
      <c r="Q261" s="575"/>
      <c r="R261" s="575"/>
      <c r="S261" s="575"/>
      <c r="T261" s="575"/>
      <c r="U261" s="575"/>
      <c r="V261" s="575"/>
      <c r="W261" s="575"/>
      <c r="X261" s="575"/>
      <c r="Y261" s="575"/>
      <c r="Z261" s="575"/>
    </row>
    <row r="262">
      <c r="A262" s="582"/>
      <c r="B262" s="583"/>
      <c r="C262" s="584"/>
      <c r="D262" s="585"/>
      <c r="E262" s="575"/>
      <c r="F262" s="575"/>
      <c r="G262" s="575"/>
      <c r="H262" s="575"/>
      <c r="I262" s="575"/>
      <c r="J262" s="575"/>
      <c r="K262" s="575"/>
      <c r="L262" s="575"/>
      <c r="M262" s="575"/>
      <c r="N262" s="575"/>
      <c r="O262" s="575"/>
      <c r="P262" s="575"/>
      <c r="Q262" s="575"/>
      <c r="R262" s="575"/>
      <c r="S262" s="575"/>
      <c r="T262" s="575"/>
      <c r="U262" s="575"/>
      <c r="V262" s="575"/>
      <c r="W262" s="575"/>
      <c r="X262" s="575"/>
      <c r="Y262" s="575"/>
      <c r="Z262" s="575"/>
    </row>
    <row r="263">
      <c r="A263" s="582"/>
      <c r="B263" s="583"/>
      <c r="C263" s="584"/>
      <c r="D263" s="585"/>
      <c r="E263" s="575"/>
      <c r="F263" s="575"/>
      <c r="G263" s="575"/>
      <c r="H263" s="575"/>
      <c r="I263" s="575"/>
      <c r="J263" s="575"/>
      <c r="K263" s="575"/>
      <c r="L263" s="575"/>
      <c r="M263" s="575"/>
      <c r="N263" s="575"/>
      <c r="O263" s="575"/>
      <c r="P263" s="575"/>
      <c r="Q263" s="575"/>
      <c r="R263" s="575"/>
      <c r="S263" s="575"/>
      <c r="T263" s="575"/>
      <c r="U263" s="575"/>
      <c r="V263" s="575"/>
      <c r="W263" s="575"/>
      <c r="X263" s="575"/>
      <c r="Y263" s="575"/>
      <c r="Z263" s="575"/>
    </row>
    <row r="264">
      <c r="A264" s="582"/>
      <c r="B264" s="583"/>
      <c r="C264" s="584"/>
      <c r="D264" s="585"/>
      <c r="E264" s="575"/>
      <c r="F264" s="575"/>
      <c r="G264" s="575"/>
      <c r="H264" s="575"/>
      <c r="I264" s="575"/>
      <c r="J264" s="575"/>
      <c r="K264" s="575"/>
      <c r="L264" s="575"/>
      <c r="M264" s="575"/>
      <c r="N264" s="575"/>
      <c r="O264" s="575"/>
      <c r="P264" s="575"/>
      <c r="Q264" s="575"/>
      <c r="R264" s="575"/>
      <c r="S264" s="575"/>
      <c r="T264" s="575"/>
      <c r="U264" s="575"/>
      <c r="V264" s="575"/>
      <c r="W264" s="575"/>
      <c r="X264" s="575"/>
      <c r="Y264" s="575"/>
      <c r="Z264" s="575"/>
    </row>
    <row r="265">
      <c r="A265" s="582"/>
      <c r="B265" s="583"/>
      <c r="C265" s="584"/>
      <c r="D265" s="585"/>
      <c r="E265" s="575"/>
      <c r="F265" s="575"/>
      <c r="G265" s="575"/>
      <c r="H265" s="575"/>
      <c r="I265" s="575"/>
      <c r="J265" s="575"/>
      <c r="K265" s="575"/>
      <c r="L265" s="575"/>
      <c r="M265" s="575"/>
      <c r="N265" s="575"/>
      <c r="O265" s="575"/>
      <c r="P265" s="575"/>
      <c r="Q265" s="575"/>
      <c r="R265" s="575"/>
      <c r="S265" s="575"/>
      <c r="T265" s="575"/>
      <c r="U265" s="575"/>
      <c r="V265" s="575"/>
      <c r="W265" s="575"/>
      <c r="X265" s="575"/>
      <c r="Y265" s="575"/>
      <c r="Z265" s="575"/>
    </row>
    <row r="266">
      <c r="A266" s="582"/>
      <c r="B266" s="583"/>
      <c r="C266" s="584"/>
      <c r="D266" s="585"/>
      <c r="E266" s="575"/>
      <c r="F266" s="575"/>
      <c r="G266" s="575"/>
      <c r="H266" s="575"/>
      <c r="I266" s="575"/>
      <c r="J266" s="575"/>
      <c r="K266" s="575"/>
      <c r="L266" s="575"/>
      <c r="M266" s="575"/>
      <c r="N266" s="575"/>
      <c r="O266" s="575"/>
      <c r="P266" s="575"/>
      <c r="Q266" s="575"/>
      <c r="R266" s="575"/>
      <c r="S266" s="575"/>
      <c r="T266" s="575"/>
      <c r="U266" s="575"/>
      <c r="V266" s="575"/>
      <c r="W266" s="575"/>
      <c r="X266" s="575"/>
      <c r="Y266" s="575"/>
      <c r="Z266" s="575"/>
    </row>
    <row r="267">
      <c r="A267" s="582"/>
      <c r="B267" s="583"/>
      <c r="C267" s="584"/>
      <c r="D267" s="585"/>
      <c r="E267" s="575"/>
      <c r="F267" s="575"/>
      <c r="G267" s="575"/>
      <c r="H267" s="575"/>
      <c r="I267" s="575"/>
      <c r="J267" s="575"/>
      <c r="K267" s="575"/>
      <c r="L267" s="575"/>
      <c r="M267" s="575"/>
      <c r="N267" s="575"/>
      <c r="O267" s="575"/>
      <c r="P267" s="575"/>
      <c r="Q267" s="575"/>
      <c r="R267" s="575"/>
      <c r="S267" s="575"/>
      <c r="T267" s="575"/>
      <c r="U267" s="575"/>
      <c r="V267" s="575"/>
      <c r="W267" s="575"/>
      <c r="X267" s="575"/>
      <c r="Y267" s="575"/>
      <c r="Z267" s="575"/>
    </row>
    <row r="268">
      <c r="A268" s="582"/>
      <c r="B268" s="583"/>
      <c r="C268" s="584"/>
      <c r="D268" s="585"/>
      <c r="E268" s="575"/>
      <c r="F268" s="575"/>
      <c r="G268" s="575"/>
      <c r="H268" s="575"/>
      <c r="I268" s="575"/>
      <c r="J268" s="575"/>
      <c r="K268" s="575"/>
      <c r="L268" s="575"/>
      <c r="M268" s="575"/>
      <c r="N268" s="575"/>
      <c r="O268" s="575"/>
      <c r="P268" s="575"/>
      <c r="Q268" s="575"/>
      <c r="R268" s="575"/>
      <c r="S268" s="575"/>
      <c r="T268" s="575"/>
      <c r="U268" s="575"/>
      <c r="V268" s="575"/>
      <c r="W268" s="575"/>
      <c r="X268" s="575"/>
      <c r="Y268" s="575"/>
      <c r="Z268" s="575"/>
    </row>
    <row r="269">
      <c r="A269" s="582"/>
      <c r="B269" s="583"/>
      <c r="C269" s="584"/>
      <c r="D269" s="585"/>
      <c r="E269" s="575"/>
      <c r="F269" s="575"/>
      <c r="G269" s="575"/>
      <c r="H269" s="575"/>
      <c r="I269" s="575"/>
      <c r="J269" s="575"/>
      <c r="K269" s="575"/>
      <c r="L269" s="575"/>
      <c r="M269" s="575"/>
      <c r="N269" s="575"/>
      <c r="O269" s="575"/>
      <c r="P269" s="575"/>
      <c r="Q269" s="575"/>
      <c r="R269" s="575"/>
      <c r="S269" s="575"/>
      <c r="T269" s="575"/>
      <c r="U269" s="575"/>
      <c r="V269" s="575"/>
      <c r="W269" s="575"/>
      <c r="X269" s="575"/>
      <c r="Y269" s="575"/>
      <c r="Z269" s="575"/>
    </row>
    <row r="270">
      <c r="A270" s="582"/>
      <c r="B270" s="583"/>
      <c r="C270" s="584"/>
      <c r="D270" s="585"/>
      <c r="E270" s="575"/>
      <c r="F270" s="575"/>
      <c r="G270" s="575"/>
      <c r="H270" s="575"/>
      <c r="I270" s="575"/>
      <c r="J270" s="575"/>
      <c r="K270" s="575"/>
      <c r="L270" s="575"/>
      <c r="M270" s="575"/>
      <c r="N270" s="575"/>
      <c r="O270" s="575"/>
      <c r="P270" s="575"/>
      <c r="Q270" s="575"/>
      <c r="R270" s="575"/>
      <c r="S270" s="575"/>
      <c r="T270" s="575"/>
      <c r="U270" s="575"/>
      <c r="V270" s="575"/>
      <c r="W270" s="575"/>
      <c r="X270" s="575"/>
      <c r="Y270" s="575"/>
      <c r="Z270" s="575"/>
    </row>
    <row r="271">
      <c r="A271" s="582"/>
      <c r="B271" s="583"/>
      <c r="C271" s="584"/>
      <c r="D271" s="585"/>
      <c r="E271" s="575"/>
      <c r="F271" s="575"/>
      <c r="G271" s="575"/>
      <c r="H271" s="575"/>
      <c r="I271" s="575"/>
      <c r="J271" s="575"/>
      <c r="K271" s="575"/>
      <c r="L271" s="575"/>
      <c r="M271" s="575"/>
      <c r="N271" s="575"/>
      <c r="O271" s="575"/>
      <c r="P271" s="575"/>
      <c r="Q271" s="575"/>
      <c r="R271" s="575"/>
      <c r="S271" s="575"/>
      <c r="T271" s="575"/>
      <c r="U271" s="575"/>
      <c r="V271" s="575"/>
      <c r="W271" s="575"/>
      <c r="X271" s="575"/>
      <c r="Y271" s="575"/>
      <c r="Z271" s="575"/>
    </row>
    <row r="272">
      <c r="A272" s="582"/>
      <c r="B272" s="583"/>
      <c r="C272" s="584"/>
      <c r="D272" s="585"/>
      <c r="E272" s="575"/>
      <c r="F272" s="575"/>
      <c r="G272" s="575"/>
      <c r="H272" s="575"/>
      <c r="I272" s="575"/>
      <c r="J272" s="575"/>
      <c r="K272" s="575"/>
      <c r="L272" s="575"/>
      <c r="M272" s="575"/>
      <c r="N272" s="575"/>
      <c r="O272" s="575"/>
      <c r="P272" s="575"/>
      <c r="Q272" s="575"/>
      <c r="R272" s="575"/>
      <c r="S272" s="575"/>
      <c r="T272" s="575"/>
      <c r="U272" s="575"/>
      <c r="V272" s="575"/>
      <c r="W272" s="575"/>
      <c r="X272" s="575"/>
      <c r="Y272" s="575"/>
      <c r="Z272" s="575"/>
    </row>
    <row r="273">
      <c r="A273" s="582"/>
      <c r="B273" s="583"/>
      <c r="C273" s="584"/>
      <c r="D273" s="585"/>
      <c r="E273" s="575"/>
      <c r="F273" s="575"/>
      <c r="G273" s="575"/>
      <c r="H273" s="575"/>
      <c r="I273" s="575"/>
      <c r="J273" s="575"/>
      <c r="K273" s="575"/>
      <c r="L273" s="575"/>
      <c r="M273" s="575"/>
      <c r="N273" s="575"/>
      <c r="O273" s="575"/>
      <c r="P273" s="575"/>
      <c r="Q273" s="575"/>
      <c r="R273" s="575"/>
      <c r="S273" s="575"/>
      <c r="T273" s="575"/>
      <c r="U273" s="575"/>
      <c r="V273" s="575"/>
      <c r="W273" s="575"/>
      <c r="X273" s="575"/>
      <c r="Y273" s="575"/>
      <c r="Z273" s="575"/>
    </row>
    <row r="274">
      <c r="A274" s="582"/>
      <c r="B274" s="583"/>
      <c r="C274" s="584"/>
      <c r="D274" s="585"/>
      <c r="E274" s="575"/>
      <c r="F274" s="575"/>
      <c r="G274" s="575"/>
      <c r="H274" s="575"/>
      <c r="I274" s="575"/>
      <c r="J274" s="575"/>
      <c r="K274" s="575"/>
      <c r="L274" s="575"/>
      <c r="M274" s="575"/>
      <c r="N274" s="575"/>
      <c r="O274" s="575"/>
      <c r="P274" s="575"/>
      <c r="Q274" s="575"/>
      <c r="R274" s="575"/>
      <c r="S274" s="575"/>
      <c r="T274" s="575"/>
      <c r="U274" s="575"/>
      <c r="V274" s="575"/>
      <c r="W274" s="575"/>
      <c r="X274" s="575"/>
      <c r="Y274" s="575"/>
      <c r="Z274" s="575"/>
    </row>
    <row r="275">
      <c r="A275" s="582"/>
      <c r="B275" s="583"/>
      <c r="C275" s="584"/>
      <c r="D275" s="585"/>
      <c r="E275" s="575"/>
      <c r="F275" s="575"/>
      <c r="G275" s="575"/>
      <c r="H275" s="575"/>
      <c r="I275" s="575"/>
      <c r="J275" s="575"/>
      <c r="K275" s="575"/>
      <c r="L275" s="575"/>
      <c r="M275" s="575"/>
      <c r="N275" s="575"/>
      <c r="O275" s="575"/>
      <c r="P275" s="575"/>
      <c r="Q275" s="575"/>
      <c r="R275" s="575"/>
      <c r="S275" s="575"/>
      <c r="T275" s="575"/>
      <c r="U275" s="575"/>
      <c r="V275" s="575"/>
      <c r="W275" s="575"/>
      <c r="X275" s="575"/>
      <c r="Y275" s="575"/>
      <c r="Z275" s="575"/>
    </row>
    <row r="276">
      <c r="A276" s="582"/>
      <c r="B276" s="583"/>
      <c r="C276" s="584"/>
      <c r="D276" s="585"/>
      <c r="E276" s="575"/>
      <c r="F276" s="575"/>
      <c r="G276" s="575"/>
      <c r="H276" s="575"/>
      <c r="I276" s="575"/>
      <c r="J276" s="575"/>
      <c r="K276" s="575"/>
      <c r="L276" s="575"/>
      <c r="M276" s="575"/>
      <c r="N276" s="575"/>
      <c r="O276" s="575"/>
      <c r="P276" s="575"/>
      <c r="Q276" s="575"/>
      <c r="R276" s="575"/>
      <c r="S276" s="575"/>
      <c r="T276" s="575"/>
      <c r="U276" s="575"/>
      <c r="V276" s="575"/>
      <c r="W276" s="575"/>
      <c r="X276" s="575"/>
      <c r="Y276" s="575"/>
      <c r="Z276" s="575"/>
    </row>
    <row r="277">
      <c r="A277" s="582"/>
      <c r="B277" s="583"/>
      <c r="C277" s="584"/>
      <c r="D277" s="585"/>
      <c r="E277" s="575"/>
      <c r="F277" s="575"/>
      <c r="G277" s="575"/>
      <c r="H277" s="575"/>
      <c r="I277" s="575"/>
      <c r="J277" s="575"/>
      <c r="K277" s="575"/>
      <c r="L277" s="575"/>
      <c r="M277" s="575"/>
      <c r="N277" s="575"/>
      <c r="O277" s="575"/>
      <c r="P277" s="575"/>
      <c r="Q277" s="575"/>
      <c r="R277" s="575"/>
      <c r="S277" s="575"/>
      <c r="T277" s="575"/>
      <c r="U277" s="575"/>
      <c r="V277" s="575"/>
      <c r="W277" s="575"/>
      <c r="X277" s="575"/>
      <c r="Y277" s="575"/>
      <c r="Z277" s="575"/>
    </row>
    <row r="278">
      <c r="A278" s="582"/>
      <c r="B278" s="583"/>
      <c r="C278" s="584"/>
      <c r="D278" s="585"/>
      <c r="E278" s="575"/>
      <c r="F278" s="575"/>
      <c r="G278" s="575"/>
      <c r="H278" s="575"/>
      <c r="I278" s="575"/>
      <c r="J278" s="575"/>
      <c r="K278" s="575"/>
      <c r="L278" s="575"/>
      <c r="M278" s="575"/>
      <c r="N278" s="575"/>
      <c r="O278" s="575"/>
      <c r="P278" s="575"/>
      <c r="Q278" s="575"/>
      <c r="R278" s="575"/>
      <c r="S278" s="575"/>
      <c r="T278" s="575"/>
      <c r="U278" s="575"/>
      <c r="V278" s="575"/>
      <c r="W278" s="575"/>
      <c r="X278" s="575"/>
      <c r="Y278" s="575"/>
      <c r="Z278" s="575"/>
    </row>
    <row r="279">
      <c r="A279" s="582"/>
      <c r="B279" s="583"/>
      <c r="C279" s="584"/>
      <c r="D279" s="585"/>
      <c r="E279" s="575"/>
      <c r="F279" s="575"/>
      <c r="G279" s="575"/>
      <c r="H279" s="575"/>
      <c r="I279" s="575"/>
      <c r="J279" s="575"/>
      <c r="K279" s="575"/>
      <c r="L279" s="575"/>
      <c r="M279" s="575"/>
      <c r="N279" s="575"/>
      <c r="O279" s="575"/>
      <c r="P279" s="575"/>
      <c r="Q279" s="575"/>
      <c r="R279" s="575"/>
      <c r="S279" s="575"/>
      <c r="T279" s="575"/>
      <c r="U279" s="575"/>
      <c r="V279" s="575"/>
      <c r="W279" s="575"/>
      <c r="X279" s="575"/>
      <c r="Y279" s="575"/>
      <c r="Z279" s="575"/>
    </row>
    <row r="280">
      <c r="A280" s="582"/>
      <c r="B280" s="583"/>
      <c r="C280" s="584"/>
      <c r="D280" s="585"/>
      <c r="E280" s="575"/>
      <c r="F280" s="575"/>
      <c r="G280" s="575"/>
      <c r="H280" s="575"/>
      <c r="I280" s="575"/>
      <c r="J280" s="575"/>
      <c r="K280" s="575"/>
      <c r="L280" s="575"/>
      <c r="M280" s="575"/>
      <c r="N280" s="575"/>
      <c r="O280" s="575"/>
      <c r="P280" s="575"/>
      <c r="Q280" s="575"/>
      <c r="R280" s="575"/>
      <c r="S280" s="575"/>
      <c r="T280" s="575"/>
      <c r="U280" s="575"/>
      <c r="V280" s="575"/>
      <c r="W280" s="575"/>
      <c r="X280" s="575"/>
      <c r="Y280" s="575"/>
      <c r="Z280" s="575"/>
    </row>
    <row r="281">
      <c r="A281" s="582"/>
      <c r="B281" s="583"/>
      <c r="C281" s="584"/>
      <c r="D281" s="585"/>
      <c r="E281" s="575"/>
      <c r="F281" s="575"/>
      <c r="G281" s="575"/>
      <c r="H281" s="575"/>
      <c r="I281" s="575"/>
      <c r="J281" s="575"/>
      <c r="K281" s="575"/>
      <c r="L281" s="575"/>
      <c r="M281" s="575"/>
      <c r="N281" s="575"/>
      <c r="O281" s="575"/>
      <c r="P281" s="575"/>
      <c r="Q281" s="575"/>
      <c r="R281" s="575"/>
      <c r="S281" s="575"/>
      <c r="T281" s="575"/>
      <c r="U281" s="575"/>
      <c r="V281" s="575"/>
      <c r="W281" s="575"/>
      <c r="X281" s="575"/>
      <c r="Y281" s="575"/>
      <c r="Z281" s="575"/>
    </row>
    <row r="282">
      <c r="A282" s="582"/>
      <c r="B282" s="583"/>
      <c r="C282" s="584"/>
      <c r="D282" s="585"/>
      <c r="E282" s="575"/>
      <c r="F282" s="575"/>
      <c r="G282" s="575"/>
      <c r="H282" s="575"/>
      <c r="I282" s="575"/>
      <c r="J282" s="575"/>
      <c r="K282" s="575"/>
      <c r="L282" s="575"/>
      <c r="M282" s="575"/>
      <c r="N282" s="575"/>
      <c r="O282" s="575"/>
      <c r="P282" s="575"/>
      <c r="Q282" s="575"/>
      <c r="R282" s="575"/>
      <c r="S282" s="575"/>
      <c r="T282" s="575"/>
      <c r="U282" s="575"/>
      <c r="V282" s="575"/>
      <c r="W282" s="575"/>
      <c r="X282" s="575"/>
      <c r="Y282" s="575"/>
      <c r="Z282" s="575"/>
    </row>
    <row r="283">
      <c r="A283" s="582"/>
      <c r="B283" s="583"/>
      <c r="C283" s="584"/>
      <c r="D283" s="585"/>
      <c r="E283" s="575"/>
      <c r="F283" s="575"/>
      <c r="G283" s="575"/>
      <c r="H283" s="575"/>
      <c r="I283" s="575"/>
      <c r="J283" s="575"/>
      <c r="K283" s="575"/>
      <c r="L283" s="575"/>
      <c r="M283" s="575"/>
      <c r="N283" s="575"/>
      <c r="O283" s="575"/>
      <c r="P283" s="575"/>
      <c r="Q283" s="575"/>
      <c r="R283" s="575"/>
      <c r="S283" s="575"/>
      <c r="T283" s="575"/>
      <c r="U283" s="575"/>
      <c r="V283" s="575"/>
      <c r="W283" s="575"/>
      <c r="X283" s="575"/>
      <c r="Y283" s="575"/>
      <c r="Z283" s="575"/>
    </row>
    <row r="284">
      <c r="A284" s="582"/>
      <c r="B284" s="583"/>
      <c r="C284" s="584"/>
      <c r="D284" s="585"/>
      <c r="E284" s="575"/>
      <c r="F284" s="575"/>
      <c r="G284" s="575"/>
      <c r="H284" s="575"/>
      <c r="I284" s="575"/>
      <c r="J284" s="575"/>
      <c r="K284" s="575"/>
      <c r="L284" s="575"/>
      <c r="M284" s="575"/>
      <c r="N284" s="575"/>
      <c r="O284" s="575"/>
      <c r="P284" s="575"/>
      <c r="Q284" s="575"/>
      <c r="R284" s="575"/>
      <c r="S284" s="575"/>
      <c r="T284" s="575"/>
      <c r="U284" s="575"/>
      <c r="V284" s="575"/>
      <c r="W284" s="575"/>
      <c r="X284" s="575"/>
      <c r="Y284" s="575"/>
      <c r="Z284" s="575"/>
    </row>
    <row r="285">
      <c r="A285" s="582"/>
      <c r="B285" s="583"/>
      <c r="C285" s="584"/>
      <c r="D285" s="585"/>
      <c r="E285" s="575"/>
      <c r="F285" s="575"/>
      <c r="G285" s="575"/>
      <c r="H285" s="575"/>
      <c r="I285" s="575"/>
      <c r="J285" s="575"/>
      <c r="K285" s="575"/>
      <c r="L285" s="575"/>
      <c r="M285" s="575"/>
      <c r="N285" s="575"/>
      <c r="O285" s="575"/>
      <c r="P285" s="575"/>
      <c r="Q285" s="575"/>
      <c r="R285" s="575"/>
      <c r="S285" s="575"/>
      <c r="T285" s="575"/>
      <c r="U285" s="575"/>
      <c r="V285" s="575"/>
      <c r="W285" s="575"/>
      <c r="X285" s="575"/>
      <c r="Y285" s="575"/>
      <c r="Z285" s="575"/>
    </row>
    <row r="286">
      <c r="A286" s="582"/>
      <c r="B286" s="583"/>
      <c r="C286" s="584"/>
      <c r="D286" s="585"/>
      <c r="E286" s="575"/>
      <c r="F286" s="575"/>
      <c r="G286" s="575"/>
      <c r="H286" s="575"/>
      <c r="I286" s="575"/>
      <c r="J286" s="575"/>
      <c r="K286" s="575"/>
      <c r="L286" s="575"/>
      <c r="M286" s="575"/>
      <c r="N286" s="575"/>
      <c r="O286" s="575"/>
      <c r="P286" s="575"/>
      <c r="Q286" s="575"/>
      <c r="R286" s="575"/>
      <c r="S286" s="575"/>
      <c r="T286" s="575"/>
      <c r="U286" s="575"/>
      <c r="V286" s="575"/>
      <c r="W286" s="575"/>
      <c r="X286" s="575"/>
      <c r="Y286" s="575"/>
      <c r="Z286" s="575"/>
    </row>
    <row r="287">
      <c r="A287" s="582"/>
      <c r="B287" s="583"/>
      <c r="C287" s="584"/>
      <c r="D287" s="585"/>
      <c r="E287" s="575"/>
      <c r="F287" s="575"/>
      <c r="G287" s="575"/>
      <c r="H287" s="575"/>
      <c r="I287" s="575"/>
      <c r="J287" s="575"/>
      <c r="K287" s="575"/>
      <c r="L287" s="575"/>
      <c r="M287" s="575"/>
      <c r="N287" s="575"/>
      <c r="O287" s="575"/>
      <c r="P287" s="575"/>
      <c r="Q287" s="575"/>
      <c r="R287" s="575"/>
      <c r="S287" s="575"/>
      <c r="T287" s="575"/>
      <c r="U287" s="575"/>
      <c r="V287" s="575"/>
      <c r="W287" s="575"/>
      <c r="X287" s="575"/>
      <c r="Y287" s="575"/>
      <c r="Z287" s="575"/>
    </row>
    <row r="288">
      <c r="A288" s="582"/>
      <c r="B288" s="583"/>
      <c r="C288" s="584"/>
      <c r="D288" s="585"/>
      <c r="E288" s="575"/>
      <c r="F288" s="575"/>
      <c r="G288" s="575"/>
      <c r="H288" s="575"/>
      <c r="I288" s="575"/>
      <c r="J288" s="575"/>
      <c r="K288" s="575"/>
      <c r="L288" s="575"/>
      <c r="M288" s="575"/>
      <c r="N288" s="575"/>
      <c r="O288" s="575"/>
      <c r="P288" s="575"/>
      <c r="Q288" s="575"/>
      <c r="R288" s="575"/>
      <c r="S288" s="575"/>
      <c r="T288" s="575"/>
      <c r="U288" s="575"/>
      <c r="V288" s="575"/>
      <c r="W288" s="575"/>
      <c r="X288" s="575"/>
      <c r="Y288" s="575"/>
      <c r="Z288" s="575"/>
    </row>
    <row r="289">
      <c r="A289" s="582"/>
      <c r="B289" s="583"/>
      <c r="C289" s="584"/>
      <c r="D289" s="585"/>
      <c r="E289" s="575"/>
      <c r="F289" s="575"/>
      <c r="G289" s="575"/>
      <c r="H289" s="575"/>
      <c r="I289" s="575"/>
      <c r="J289" s="575"/>
      <c r="K289" s="575"/>
      <c r="L289" s="575"/>
      <c r="M289" s="575"/>
      <c r="N289" s="575"/>
      <c r="O289" s="575"/>
      <c r="P289" s="575"/>
      <c r="Q289" s="575"/>
      <c r="R289" s="575"/>
      <c r="S289" s="575"/>
      <c r="T289" s="575"/>
      <c r="U289" s="575"/>
      <c r="V289" s="575"/>
      <c r="W289" s="575"/>
      <c r="X289" s="575"/>
      <c r="Y289" s="575"/>
      <c r="Z289" s="575"/>
    </row>
    <row r="290">
      <c r="A290" s="582"/>
      <c r="B290" s="583"/>
      <c r="C290" s="584"/>
      <c r="D290" s="585"/>
      <c r="E290" s="575"/>
      <c r="F290" s="575"/>
      <c r="G290" s="575"/>
      <c r="H290" s="575"/>
      <c r="I290" s="575"/>
      <c r="J290" s="575"/>
      <c r="K290" s="575"/>
      <c r="L290" s="575"/>
      <c r="M290" s="575"/>
      <c r="N290" s="575"/>
      <c r="O290" s="575"/>
      <c r="P290" s="575"/>
      <c r="Q290" s="575"/>
      <c r="R290" s="575"/>
      <c r="S290" s="575"/>
      <c r="T290" s="575"/>
      <c r="U290" s="575"/>
      <c r="V290" s="575"/>
      <c r="W290" s="575"/>
      <c r="X290" s="575"/>
      <c r="Y290" s="575"/>
      <c r="Z290" s="575"/>
    </row>
    <row r="291">
      <c r="A291" s="582"/>
      <c r="B291" s="583"/>
      <c r="C291" s="584"/>
      <c r="D291" s="585"/>
      <c r="E291" s="575"/>
      <c r="F291" s="575"/>
      <c r="G291" s="575"/>
      <c r="H291" s="575"/>
      <c r="I291" s="575"/>
      <c r="J291" s="575"/>
      <c r="K291" s="575"/>
      <c r="L291" s="575"/>
      <c r="M291" s="575"/>
      <c r="N291" s="575"/>
      <c r="O291" s="575"/>
      <c r="P291" s="575"/>
      <c r="Q291" s="575"/>
      <c r="R291" s="575"/>
      <c r="S291" s="575"/>
      <c r="T291" s="575"/>
      <c r="U291" s="575"/>
      <c r="V291" s="575"/>
      <c r="W291" s="575"/>
      <c r="X291" s="575"/>
      <c r="Y291" s="575"/>
      <c r="Z291" s="575"/>
    </row>
    <row r="292">
      <c r="A292" s="582"/>
      <c r="B292" s="583"/>
      <c r="C292" s="584"/>
      <c r="D292" s="585"/>
      <c r="E292" s="575"/>
      <c r="F292" s="575"/>
      <c r="G292" s="575"/>
      <c r="H292" s="575"/>
      <c r="I292" s="575"/>
      <c r="J292" s="575"/>
      <c r="K292" s="575"/>
      <c r="L292" s="575"/>
      <c r="M292" s="575"/>
      <c r="N292" s="575"/>
      <c r="O292" s="575"/>
      <c r="P292" s="575"/>
      <c r="Q292" s="575"/>
      <c r="R292" s="575"/>
      <c r="S292" s="575"/>
      <c r="T292" s="575"/>
      <c r="U292" s="575"/>
      <c r="V292" s="575"/>
      <c r="W292" s="575"/>
      <c r="X292" s="575"/>
      <c r="Y292" s="575"/>
      <c r="Z292" s="575"/>
    </row>
    <row r="293">
      <c r="A293" s="582"/>
      <c r="B293" s="583"/>
      <c r="C293" s="584"/>
      <c r="D293" s="585"/>
      <c r="E293" s="575"/>
      <c r="F293" s="575"/>
      <c r="G293" s="575"/>
      <c r="H293" s="575"/>
      <c r="I293" s="575"/>
      <c r="J293" s="575"/>
      <c r="K293" s="575"/>
      <c r="L293" s="575"/>
      <c r="M293" s="575"/>
      <c r="N293" s="575"/>
      <c r="O293" s="575"/>
      <c r="P293" s="575"/>
      <c r="Q293" s="575"/>
      <c r="R293" s="575"/>
      <c r="S293" s="575"/>
      <c r="T293" s="575"/>
      <c r="U293" s="575"/>
      <c r="V293" s="575"/>
      <c r="W293" s="575"/>
      <c r="X293" s="575"/>
      <c r="Y293" s="575"/>
      <c r="Z293" s="575"/>
    </row>
    <row r="294">
      <c r="A294" s="582"/>
      <c r="B294" s="583"/>
      <c r="C294" s="584"/>
      <c r="D294" s="585"/>
      <c r="E294" s="575"/>
      <c r="F294" s="575"/>
      <c r="G294" s="575"/>
      <c r="H294" s="575"/>
      <c r="I294" s="575"/>
      <c r="J294" s="575"/>
      <c r="K294" s="575"/>
      <c r="L294" s="575"/>
      <c r="M294" s="575"/>
      <c r="N294" s="575"/>
      <c r="O294" s="575"/>
      <c r="P294" s="575"/>
      <c r="Q294" s="575"/>
      <c r="R294" s="575"/>
      <c r="S294" s="575"/>
      <c r="T294" s="575"/>
      <c r="U294" s="575"/>
      <c r="V294" s="575"/>
      <c r="W294" s="575"/>
      <c r="X294" s="575"/>
      <c r="Y294" s="575"/>
      <c r="Z294" s="575"/>
    </row>
    <row r="295">
      <c r="A295" s="582"/>
      <c r="B295" s="583"/>
      <c r="C295" s="584"/>
      <c r="D295" s="585"/>
      <c r="E295" s="575"/>
      <c r="F295" s="575"/>
      <c r="G295" s="575"/>
      <c r="H295" s="575"/>
      <c r="I295" s="575"/>
      <c r="J295" s="575"/>
      <c r="K295" s="575"/>
      <c r="L295" s="575"/>
      <c r="M295" s="575"/>
      <c r="N295" s="575"/>
      <c r="O295" s="575"/>
      <c r="P295" s="575"/>
      <c r="Q295" s="575"/>
      <c r="R295" s="575"/>
      <c r="S295" s="575"/>
      <c r="T295" s="575"/>
      <c r="U295" s="575"/>
      <c r="V295" s="575"/>
      <c r="W295" s="575"/>
      <c r="X295" s="575"/>
      <c r="Y295" s="575"/>
      <c r="Z295" s="575"/>
    </row>
    <row r="296">
      <c r="A296" s="582"/>
      <c r="B296" s="583"/>
      <c r="C296" s="584"/>
      <c r="D296" s="585"/>
      <c r="E296" s="575"/>
      <c r="F296" s="575"/>
      <c r="G296" s="575"/>
      <c r="H296" s="575"/>
      <c r="I296" s="575"/>
      <c r="J296" s="575"/>
      <c r="K296" s="575"/>
      <c r="L296" s="575"/>
      <c r="M296" s="575"/>
      <c r="N296" s="575"/>
      <c r="O296" s="575"/>
      <c r="P296" s="575"/>
      <c r="Q296" s="575"/>
      <c r="R296" s="575"/>
      <c r="S296" s="575"/>
      <c r="T296" s="575"/>
      <c r="U296" s="575"/>
      <c r="V296" s="575"/>
      <c r="W296" s="575"/>
      <c r="X296" s="575"/>
      <c r="Y296" s="575"/>
      <c r="Z296" s="575"/>
    </row>
    <row r="297">
      <c r="A297" s="582"/>
      <c r="B297" s="583"/>
      <c r="C297" s="584"/>
      <c r="D297" s="585"/>
      <c r="E297" s="575"/>
      <c r="F297" s="575"/>
      <c r="G297" s="575"/>
      <c r="H297" s="575"/>
      <c r="I297" s="575"/>
      <c r="J297" s="575"/>
      <c r="K297" s="575"/>
      <c r="L297" s="575"/>
      <c r="M297" s="575"/>
      <c r="N297" s="575"/>
      <c r="O297" s="575"/>
      <c r="P297" s="575"/>
      <c r="Q297" s="575"/>
      <c r="R297" s="575"/>
      <c r="S297" s="575"/>
      <c r="T297" s="575"/>
      <c r="U297" s="575"/>
      <c r="V297" s="575"/>
      <c r="W297" s="575"/>
      <c r="X297" s="575"/>
      <c r="Y297" s="575"/>
      <c r="Z297" s="575"/>
    </row>
    <row r="298">
      <c r="A298" s="582"/>
      <c r="B298" s="583"/>
      <c r="C298" s="584"/>
      <c r="D298" s="585"/>
      <c r="E298" s="575"/>
      <c r="F298" s="575"/>
      <c r="G298" s="575"/>
      <c r="H298" s="575"/>
      <c r="I298" s="575"/>
      <c r="J298" s="575"/>
      <c r="K298" s="575"/>
      <c r="L298" s="575"/>
      <c r="M298" s="575"/>
      <c r="N298" s="575"/>
      <c r="O298" s="575"/>
      <c r="P298" s="575"/>
      <c r="Q298" s="575"/>
      <c r="R298" s="575"/>
      <c r="S298" s="575"/>
      <c r="T298" s="575"/>
      <c r="U298" s="575"/>
      <c r="V298" s="575"/>
      <c r="W298" s="575"/>
      <c r="X298" s="575"/>
      <c r="Y298" s="575"/>
      <c r="Z298" s="575"/>
    </row>
    <row r="299">
      <c r="A299" s="582"/>
      <c r="B299" s="583"/>
      <c r="C299" s="584"/>
      <c r="D299" s="585"/>
      <c r="E299" s="575"/>
      <c r="F299" s="575"/>
      <c r="G299" s="575"/>
      <c r="H299" s="575"/>
      <c r="I299" s="575"/>
      <c r="J299" s="575"/>
      <c r="K299" s="575"/>
      <c r="L299" s="575"/>
      <c r="M299" s="575"/>
      <c r="N299" s="575"/>
      <c r="O299" s="575"/>
      <c r="P299" s="575"/>
      <c r="Q299" s="575"/>
      <c r="R299" s="575"/>
      <c r="S299" s="575"/>
      <c r="T299" s="575"/>
      <c r="U299" s="575"/>
      <c r="V299" s="575"/>
      <c r="W299" s="575"/>
      <c r="X299" s="575"/>
      <c r="Y299" s="575"/>
      <c r="Z299" s="575"/>
    </row>
    <row r="300">
      <c r="A300" s="582"/>
      <c r="B300" s="583"/>
      <c r="C300" s="584"/>
      <c r="D300" s="585"/>
      <c r="E300" s="575"/>
      <c r="F300" s="575"/>
      <c r="G300" s="575"/>
      <c r="H300" s="575"/>
      <c r="I300" s="575"/>
      <c r="J300" s="575"/>
      <c r="K300" s="575"/>
      <c r="L300" s="575"/>
      <c r="M300" s="575"/>
      <c r="N300" s="575"/>
      <c r="O300" s="575"/>
      <c r="P300" s="575"/>
      <c r="Q300" s="575"/>
      <c r="R300" s="575"/>
      <c r="S300" s="575"/>
      <c r="T300" s="575"/>
      <c r="U300" s="575"/>
      <c r="V300" s="575"/>
      <c r="W300" s="575"/>
      <c r="X300" s="575"/>
      <c r="Y300" s="575"/>
      <c r="Z300" s="575"/>
    </row>
    <row r="301">
      <c r="A301" s="582"/>
      <c r="B301" s="583"/>
      <c r="C301" s="584"/>
      <c r="D301" s="585"/>
      <c r="E301" s="575"/>
      <c r="F301" s="575"/>
      <c r="G301" s="575"/>
      <c r="H301" s="575"/>
      <c r="I301" s="575"/>
      <c r="J301" s="575"/>
      <c r="K301" s="575"/>
      <c r="L301" s="575"/>
      <c r="M301" s="575"/>
      <c r="N301" s="575"/>
      <c r="O301" s="575"/>
      <c r="P301" s="575"/>
      <c r="Q301" s="575"/>
      <c r="R301" s="575"/>
      <c r="S301" s="575"/>
      <c r="T301" s="575"/>
      <c r="U301" s="575"/>
      <c r="V301" s="575"/>
      <c r="W301" s="575"/>
      <c r="X301" s="575"/>
      <c r="Y301" s="575"/>
      <c r="Z301" s="575"/>
    </row>
    <row r="302">
      <c r="A302" s="582"/>
      <c r="B302" s="583"/>
      <c r="C302" s="584"/>
      <c r="D302" s="585"/>
      <c r="E302" s="575"/>
      <c r="F302" s="575"/>
      <c r="G302" s="575"/>
      <c r="H302" s="575"/>
      <c r="I302" s="575"/>
      <c r="J302" s="575"/>
      <c r="K302" s="575"/>
      <c r="L302" s="575"/>
      <c r="M302" s="575"/>
      <c r="N302" s="575"/>
      <c r="O302" s="575"/>
      <c r="P302" s="575"/>
      <c r="Q302" s="575"/>
      <c r="R302" s="575"/>
      <c r="S302" s="575"/>
      <c r="T302" s="575"/>
      <c r="U302" s="575"/>
      <c r="V302" s="575"/>
      <c r="W302" s="575"/>
      <c r="X302" s="575"/>
      <c r="Y302" s="575"/>
      <c r="Z302" s="575"/>
    </row>
    <row r="303">
      <c r="A303" s="582"/>
      <c r="B303" s="583"/>
      <c r="C303" s="584"/>
      <c r="D303" s="585"/>
      <c r="E303" s="575"/>
      <c r="F303" s="575"/>
      <c r="G303" s="575"/>
      <c r="H303" s="575"/>
      <c r="I303" s="575"/>
      <c r="J303" s="575"/>
      <c r="K303" s="575"/>
      <c r="L303" s="575"/>
      <c r="M303" s="575"/>
      <c r="N303" s="575"/>
      <c r="O303" s="575"/>
      <c r="P303" s="575"/>
      <c r="Q303" s="575"/>
      <c r="R303" s="575"/>
      <c r="S303" s="575"/>
      <c r="T303" s="575"/>
      <c r="U303" s="575"/>
      <c r="V303" s="575"/>
      <c r="W303" s="575"/>
      <c r="X303" s="575"/>
      <c r="Y303" s="575"/>
      <c r="Z303" s="575"/>
    </row>
    <row r="304">
      <c r="A304" s="582"/>
      <c r="B304" s="583"/>
      <c r="C304" s="584"/>
      <c r="D304" s="585"/>
      <c r="E304" s="575"/>
      <c r="F304" s="575"/>
      <c r="G304" s="575"/>
      <c r="H304" s="575"/>
      <c r="I304" s="575"/>
      <c r="J304" s="575"/>
      <c r="K304" s="575"/>
      <c r="L304" s="575"/>
      <c r="M304" s="575"/>
      <c r="N304" s="575"/>
      <c r="O304" s="575"/>
      <c r="P304" s="575"/>
      <c r="Q304" s="575"/>
      <c r="R304" s="575"/>
      <c r="S304" s="575"/>
      <c r="T304" s="575"/>
      <c r="U304" s="575"/>
      <c r="V304" s="575"/>
      <c r="W304" s="575"/>
      <c r="X304" s="575"/>
      <c r="Y304" s="575"/>
      <c r="Z304" s="575"/>
    </row>
    <row r="305">
      <c r="A305" s="582"/>
      <c r="B305" s="583"/>
      <c r="C305" s="584"/>
      <c r="D305" s="585"/>
      <c r="E305" s="575"/>
      <c r="F305" s="575"/>
      <c r="G305" s="575"/>
      <c r="H305" s="575"/>
      <c r="I305" s="575"/>
      <c r="J305" s="575"/>
      <c r="K305" s="575"/>
      <c r="L305" s="575"/>
      <c r="M305" s="575"/>
      <c r="N305" s="575"/>
      <c r="O305" s="575"/>
      <c r="P305" s="575"/>
      <c r="Q305" s="575"/>
      <c r="R305" s="575"/>
      <c r="S305" s="575"/>
      <c r="T305" s="575"/>
      <c r="U305" s="575"/>
      <c r="V305" s="575"/>
      <c r="W305" s="575"/>
      <c r="X305" s="575"/>
      <c r="Y305" s="575"/>
      <c r="Z305" s="575"/>
    </row>
    <row r="306">
      <c r="A306" s="582"/>
      <c r="B306" s="583"/>
      <c r="C306" s="584"/>
      <c r="D306" s="585"/>
      <c r="E306" s="575"/>
      <c r="F306" s="575"/>
      <c r="G306" s="575"/>
      <c r="H306" s="575"/>
      <c r="I306" s="575"/>
      <c r="J306" s="575"/>
      <c r="K306" s="575"/>
      <c r="L306" s="575"/>
      <c r="M306" s="575"/>
      <c r="N306" s="575"/>
      <c r="O306" s="575"/>
      <c r="P306" s="575"/>
      <c r="Q306" s="575"/>
      <c r="R306" s="575"/>
      <c r="S306" s="575"/>
      <c r="T306" s="575"/>
      <c r="U306" s="575"/>
      <c r="V306" s="575"/>
      <c r="W306" s="575"/>
      <c r="X306" s="575"/>
      <c r="Y306" s="575"/>
      <c r="Z306" s="575"/>
    </row>
    <row r="307">
      <c r="A307" s="582"/>
      <c r="B307" s="583"/>
      <c r="C307" s="584"/>
      <c r="D307" s="585"/>
      <c r="E307" s="575"/>
      <c r="F307" s="575"/>
      <c r="G307" s="575"/>
      <c r="H307" s="575"/>
      <c r="I307" s="575"/>
      <c r="J307" s="575"/>
      <c r="K307" s="575"/>
      <c r="L307" s="575"/>
      <c r="M307" s="575"/>
      <c r="N307" s="575"/>
      <c r="O307" s="575"/>
      <c r="P307" s="575"/>
      <c r="Q307" s="575"/>
      <c r="R307" s="575"/>
      <c r="S307" s="575"/>
      <c r="T307" s="575"/>
      <c r="U307" s="575"/>
      <c r="V307" s="575"/>
      <c r="W307" s="575"/>
      <c r="X307" s="575"/>
      <c r="Y307" s="575"/>
      <c r="Z307" s="575"/>
    </row>
    <row r="308">
      <c r="A308" s="582"/>
      <c r="B308" s="583"/>
      <c r="C308" s="584"/>
      <c r="D308" s="585"/>
      <c r="E308" s="575"/>
      <c r="F308" s="575"/>
      <c r="G308" s="575"/>
      <c r="H308" s="575"/>
      <c r="I308" s="575"/>
      <c r="J308" s="575"/>
      <c r="K308" s="575"/>
      <c r="L308" s="575"/>
      <c r="M308" s="575"/>
      <c r="N308" s="575"/>
      <c r="O308" s="575"/>
      <c r="P308" s="575"/>
      <c r="Q308" s="575"/>
      <c r="R308" s="575"/>
      <c r="S308" s="575"/>
      <c r="T308" s="575"/>
      <c r="U308" s="575"/>
      <c r="V308" s="575"/>
      <c r="W308" s="575"/>
      <c r="X308" s="575"/>
      <c r="Y308" s="575"/>
      <c r="Z308" s="575"/>
    </row>
    <row r="309">
      <c r="A309" s="582"/>
      <c r="B309" s="583"/>
      <c r="C309" s="584"/>
      <c r="D309" s="585"/>
      <c r="E309" s="575"/>
      <c r="F309" s="575"/>
      <c r="G309" s="575"/>
      <c r="H309" s="575"/>
      <c r="I309" s="575"/>
      <c r="J309" s="575"/>
      <c r="K309" s="575"/>
      <c r="L309" s="575"/>
      <c r="M309" s="575"/>
      <c r="N309" s="575"/>
      <c r="O309" s="575"/>
      <c r="P309" s="575"/>
      <c r="Q309" s="575"/>
      <c r="R309" s="575"/>
      <c r="S309" s="575"/>
      <c r="T309" s="575"/>
      <c r="U309" s="575"/>
      <c r="V309" s="575"/>
      <c r="W309" s="575"/>
      <c r="X309" s="575"/>
      <c r="Y309" s="575"/>
      <c r="Z309" s="575"/>
    </row>
    <row r="310">
      <c r="A310" s="582"/>
      <c r="B310" s="583"/>
      <c r="C310" s="584"/>
      <c r="D310" s="585"/>
      <c r="E310" s="575"/>
      <c r="F310" s="575"/>
      <c r="G310" s="575"/>
      <c r="H310" s="575"/>
      <c r="I310" s="575"/>
      <c r="J310" s="575"/>
      <c r="K310" s="575"/>
      <c r="L310" s="575"/>
      <c r="M310" s="575"/>
      <c r="N310" s="575"/>
      <c r="O310" s="575"/>
      <c r="P310" s="575"/>
      <c r="Q310" s="575"/>
      <c r="R310" s="575"/>
      <c r="S310" s="575"/>
      <c r="T310" s="575"/>
      <c r="U310" s="575"/>
      <c r="V310" s="575"/>
      <c r="W310" s="575"/>
      <c r="X310" s="575"/>
      <c r="Y310" s="575"/>
      <c r="Z310" s="575"/>
    </row>
    <row r="311">
      <c r="A311" s="582"/>
      <c r="B311" s="583"/>
      <c r="C311" s="584"/>
      <c r="D311" s="585"/>
      <c r="E311" s="575"/>
      <c r="F311" s="575"/>
      <c r="G311" s="575"/>
      <c r="H311" s="575"/>
      <c r="I311" s="575"/>
      <c r="J311" s="575"/>
      <c r="K311" s="575"/>
      <c r="L311" s="575"/>
      <c r="M311" s="575"/>
      <c r="N311" s="575"/>
      <c r="O311" s="575"/>
      <c r="P311" s="575"/>
      <c r="Q311" s="575"/>
      <c r="R311" s="575"/>
      <c r="S311" s="575"/>
      <c r="T311" s="575"/>
      <c r="U311" s="575"/>
      <c r="V311" s="575"/>
      <c r="W311" s="575"/>
      <c r="X311" s="575"/>
      <c r="Y311" s="575"/>
      <c r="Z311" s="575"/>
    </row>
    <row r="312">
      <c r="A312" s="582"/>
      <c r="B312" s="583"/>
      <c r="C312" s="584"/>
      <c r="D312" s="585"/>
      <c r="E312" s="575"/>
      <c r="F312" s="575"/>
      <c r="G312" s="575"/>
      <c r="H312" s="575"/>
      <c r="I312" s="575"/>
      <c r="J312" s="575"/>
      <c r="K312" s="575"/>
      <c r="L312" s="575"/>
      <c r="M312" s="575"/>
      <c r="N312" s="575"/>
      <c r="O312" s="575"/>
      <c r="P312" s="575"/>
      <c r="Q312" s="575"/>
      <c r="R312" s="575"/>
      <c r="S312" s="575"/>
      <c r="T312" s="575"/>
      <c r="U312" s="575"/>
      <c r="V312" s="575"/>
      <c r="W312" s="575"/>
      <c r="X312" s="575"/>
      <c r="Y312" s="575"/>
      <c r="Z312" s="575"/>
    </row>
    <row r="313">
      <c r="A313" s="582"/>
      <c r="B313" s="583"/>
      <c r="C313" s="584"/>
      <c r="D313" s="585"/>
      <c r="E313" s="575"/>
      <c r="F313" s="575"/>
      <c r="G313" s="575"/>
      <c r="H313" s="575"/>
      <c r="I313" s="575"/>
      <c r="J313" s="575"/>
      <c r="K313" s="575"/>
      <c r="L313" s="575"/>
      <c r="M313" s="575"/>
      <c r="N313" s="575"/>
      <c r="O313" s="575"/>
      <c r="P313" s="575"/>
      <c r="Q313" s="575"/>
      <c r="R313" s="575"/>
      <c r="S313" s="575"/>
      <c r="T313" s="575"/>
      <c r="U313" s="575"/>
      <c r="V313" s="575"/>
      <c r="W313" s="575"/>
      <c r="X313" s="575"/>
      <c r="Y313" s="575"/>
      <c r="Z313" s="575"/>
    </row>
    <row r="314">
      <c r="A314" s="582"/>
      <c r="B314" s="583"/>
      <c r="C314" s="584"/>
      <c r="D314" s="585"/>
      <c r="E314" s="575"/>
      <c r="F314" s="575"/>
      <c r="G314" s="575"/>
      <c r="H314" s="575"/>
      <c r="I314" s="575"/>
      <c r="J314" s="575"/>
      <c r="K314" s="575"/>
      <c r="L314" s="575"/>
      <c r="M314" s="575"/>
      <c r="N314" s="575"/>
      <c r="O314" s="575"/>
      <c r="P314" s="575"/>
      <c r="Q314" s="575"/>
      <c r="R314" s="575"/>
      <c r="S314" s="575"/>
      <c r="T314" s="575"/>
      <c r="U314" s="575"/>
      <c r="V314" s="575"/>
      <c r="W314" s="575"/>
      <c r="X314" s="575"/>
      <c r="Y314" s="575"/>
      <c r="Z314" s="575"/>
    </row>
    <row r="315">
      <c r="A315" s="582"/>
      <c r="B315" s="583"/>
      <c r="C315" s="584"/>
      <c r="D315" s="585"/>
      <c r="E315" s="575"/>
      <c r="F315" s="575"/>
      <c r="G315" s="575"/>
      <c r="H315" s="575"/>
      <c r="I315" s="575"/>
      <c r="J315" s="575"/>
      <c r="K315" s="575"/>
      <c r="L315" s="575"/>
      <c r="M315" s="575"/>
      <c r="N315" s="575"/>
      <c r="O315" s="575"/>
      <c r="P315" s="575"/>
      <c r="Q315" s="575"/>
      <c r="R315" s="575"/>
      <c r="S315" s="575"/>
      <c r="T315" s="575"/>
      <c r="U315" s="575"/>
      <c r="V315" s="575"/>
      <c r="W315" s="575"/>
      <c r="X315" s="575"/>
      <c r="Y315" s="575"/>
      <c r="Z315" s="575"/>
    </row>
    <row r="316">
      <c r="A316" s="582"/>
      <c r="B316" s="583"/>
      <c r="C316" s="584"/>
      <c r="D316" s="585"/>
      <c r="E316" s="575"/>
      <c r="F316" s="575"/>
      <c r="G316" s="575"/>
      <c r="H316" s="575"/>
      <c r="I316" s="575"/>
      <c r="J316" s="575"/>
      <c r="K316" s="575"/>
      <c r="L316" s="575"/>
      <c r="M316" s="575"/>
      <c r="N316" s="575"/>
      <c r="O316" s="575"/>
      <c r="P316" s="575"/>
      <c r="Q316" s="575"/>
      <c r="R316" s="575"/>
      <c r="S316" s="575"/>
      <c r="T316" s="575"/>
      <c r="U316" s="575"/>
      <c r="V316" s="575"/>
      <c r="W316" s="575"/>
      <c r="X316" s="575"/>
      <c r="Y316" s="575"/>
      <c r="Z316" s="575"/>
    </row>
    <row r="317">
      <c r="A317" s="582"/>
      <c r="B317" s="583"/>
      <c r="C317" s="584"/>
      <c r="D317" s="585"/>
      <c r="E317" s="575"/>
      <c r="F317" s="575"/>
      <c r="G317" s="575"/>
      <c r="H317" s="575"/>
      <c r="I317" s="575"/>
      <c r="J317" s="575"/>
      <c r="K317" s="575"/>
      <c r="L317" s="575"/>
      <c r="M317" s="575"/>
      <c r="N317" s="575"/>
      <c r="O317" s="575"/>
      <c r="P317" s="575"/>
      <c r="Q317" s="575"/>
      <c r="R317" s="575"/>
      <c r="S317" s="575"/>
      <c r="T317" s="575"/>
      <c r="U317" s="575"/>
      <c r="V317" s="575"/>
      <c r="W317" s="575"/>
      <c r="X317" s="575"/>
      <c r="Y317" s="575"/>
      <c r="Z317" s="575"/>
    </row>
    <row r="318">
      <c r="A318" s="582"/>
      <c r="B318" s="583"/>
      <c r="C318" s="584"/>
      <c r="D318" s="585"/>
      <c r="E318" s="575"/>
      <c r="F318" s="575"/>
      <c r="G318" s="575"/>
      <c r="H318" s="575"/>
      <c r="I318" s="575"/>
      <c r="J318" s="575"/>
      <c r="K318" s="575"/>
      <c r="L318" s="575"/>
      <c r="M318" s="575"/>
      <c r="N318" s="575"/>
      <c r="O318" s="575"/>
      <c r="P318" s="575"/>
      <c r="Q318" s="575"/>
      <c r="R318" s="575"/>
      <c r="S318" s="575"/>
      <c r="T318" s="575"/>
      <c r="U318" s="575"/>
      <c r="V318" s="575"/>
      <c r="W318" s="575"/>
      <c r="X318" s="575"/>
      <c r="Y318" s="575"/>
      <c r="Z318" s="575"/>
    </row>
    <row r="319">
      <c r="A319" s="582"/>
      <c r="B319" s="583"/>
      <c r="C319" s="584"/>
      <c r="D319" s="585"/>
      <c r="E319" s="575"/>
      <c r="F319" s="575"/>
      <c r="G319" s="575"/>
      <c r="H319" s="575"/>
      <c r="I319" s="575"/>
      <c r="J319" s="575"/>
      <c r="K319" s="575"/>
      <c r="L319" s="575"/>
      <c r="M319" s="575"/>
      <c r="N319" s="575"/>
      <c r="O319" s="575"/>
      <c r="P319" s="575"/>
      <c r="Q319" s="575"/>
      <c r="R319" s="575"/>
      <c r="S319" s="575"/>
      <c r="T319" s="575"/>
      <c r="U319" s="575"/>
      <c r="V319" s="575"/>
      <c r="W319" s="575"/>
      <c r="X319" s="575"/>
      <c r="Y319" s="575"/>
      <c r="Z319" s="575"/>
    </row>
    <row r="320">
      <c r="A320" s="582"/>
      <c r="B320" s="583"/>
      <c r="C320" s="584"/>
      <c r="D320" s="585"/>
      <c r="E320" s="575"/>
      <c r="F320" s="575"/>
      <c r="G320" s="575"/>
      <c r="H320" s="575"/>
      <c r="I320" s="575"/>
      <c r="J320" s="575"/>
      <c r="K320" s="575"/>
      <c r="L320" s="575"/>
      <c r="M320" s="575"/>
      <c r="N320" s="575"/>
      <c r="O320" s="575"/>
      <c r="P320" s="575"/>
      <c r="Q320" s="575"/>
      <c r="R320" s="575"/>
      <c r="S320" s="575"/>
      <c r="T320" s="575"/>
      <c r="U320" s="575"/>
      <c r="V320" s="575"/>
      <c r="W320" s="575"/>
      <c r="X320" s="575"/>
      <c r="Y320" s="575"/>
      <c r="Z320" s="575"/>
    </row>
    <row r="321">
      <c r="A321" s="582"/>
      <c r="B321" s="583"/>
      <c r="C321" s="584"/>
      <c r="D321" s="585"/>
      <c r="E321" s="575"/>
      <c r="F321" s="575"/>
      <c r="G321" s="575"/>
      <c r="H321" s="575"/>
      <c r="I321" s="575"/>
      <c r="J321" s="575"/>
      <c r="K321" s="575"/>
      <c r="L321" s="575"/>
      <c r="M321" s="575"/>
      <c r="N321" s="575"/>
      <c r="O321" s="575"/>
      <c r="P321" s="575"/>
      <c r="Q321" s="575"/>
      <c r="R321" s="575"/>
      <c r="S321" s="575"/>
      <c r="T321" s="575"/>
      <c r="U321" s="575"/>
      <c r="V321" s="575"/>
      <c r="W321" s="575"/>
      <c r="X321" s="575"/>
      <c r="Y321" s="575"/>
      <c r="Z321" s="575"/>
    </row>
    <row r="322">
      <c r="A322" s="582"/>
      <c r="B322" s="583"/>
      <c r="C322" s="584"/>
      <c r="D322" s="585"/>
      <c r="E322" s="575"/>
      <c r="F322" s="575"/>
      <c r="G322" s="575"/>
      <c r="H322" s="575"/>
      <c r="I322" s="575"/>
      <c r="J322" s="575"/>
      <c r="K322" s="575"/>
      <c r="L322" s="575"/>
      <c r="M322" s="575"/>
      <c r="N322" s="575"/>
      <c r="O322" s="575"/>
      <c r="P322" s="575"/>
      <c r="Q322" s="575"/>
      <c r="R322" s="575"/>
      <c r="S322" s="575"/>
      <c r="T322" s="575"/>
      <c r="U322" s="575"/>
      <c r="V322" s="575"/>
      <c r="W322" s="575"/>
      <c r="X322" s="575"/>
      <c r="Y322" s="575"/>
      <c r="Z322" s="575"/>
    </row>
    <row r="323">
      <c r="A323" s="582"/>
      <c r="B323" s="583"/>
      <c r="C323" s="584"/>
      <c r="D323" s="585"/>
      <c r="E323" s="575"/>
      <c r="F323" s="575"/>
      <c r="G323" s="575"/>
      <c r="H323" s="575"/>
      <c r="I323" s="575"/>
      <c r="J323" s="575"/>
      <c r="K323" s="575"/>
      <c r="L323" s="575"/>
      <c r="M323" s="575"/>
      <c r="N323" s="575"/>
      <c r="O323" s="575"/>
      <c r="P323" s="575"/>
      <c r="Q323" s="575"/>
      <c r="R323" s="575"/>
      <c r="S323" s="575"/>
      <c r="T323" s="575"/>
      <c r="U323" s="575"/>
      <c r="V323" s="575"/>
      <c r="W323" s="575"/>
      <c r="X323" s="575"/>
      <c r="Y323" s="575"/>
      <c r="Z323" s="575"/>
    </row>
    <row r="324">
      <c r="A324" s="582"/>
      <c r="B324" s="583"/>
      <c r="C324" s="584"/>
      <c r="D324" s="585"/>
      <c r="E324" s="575"/>
      <c r="F324" s="575"/>
      <c r="G324" s="575"/>
      <c r="H324" s="575"/>
      <c r="I324" s="575"/>
      <c r="J324" s="575"/>
      <c r="K324" s="575"/>
      <c r="L324" s="575"/>
      <c r="M324" s="575"/>
      <c r="N324" s="575"/>
      <c r="O324" s="575"/>
      <c r="P324" s="575"/>
      <c r="Q324" s="575"/>
      <c r="R324" s="575"/>
      <c r="S324" s="575"/>
      <c r="T324" s="575"/>
      <c r="U324" s="575"/>
      <c r="V324" s="575"/>
      <c r="W324" s="575"/>
      <c r="X324" s="575"/>
      <c r="Y324" s="575"/>
      <c r="Z324" s="575"/>
    </row>
    <row r="325">
      <c r="A325" s="582"/>
      <c r="B325" s="583"/>
      <c r="C325" s="584"/>
      <c r="D325" s="585"/>
      <c r="E325" s="575"/>
      <c r="F325" s="575"/>
      <c r="G325" s="575"/>
      <c r="H325" s="575"/>
      <c r="I325" s="575"/>
      <c r="J325" s="575"/>
      <c r="K325" s="575"/>
      <c r="L325" s="575"/>
      <c r="M325" s="575"/>
      <c r="N325" s="575"/>
      <c r="O325" s="575"/>
      <c r="P325" s="575"/>
      <c r="Q325" s="575"/>
      <c r="R325" s="575"/>
      <c r="S325" s="575"/>
      <c r="T325" s="575"/>
      <c r="U325" s="575"/>
      <c r="V325" s="575"/>
      <c r="W325" s="575"/>
      <c r="X325" s="575"/>
      <c r="Y325" s="575"/>
      <c r="Z325" s="575"/>
    </row>
    <row r="326">
      <c r="A326" s="582"/>
      <c r="B326" s="583"/>
      <c r="C326" s="584"/>
      <c r="D326" s="585"/>
      <c r="E326" s="575"/>
      <c r="F326" s="575"/>
      <c r="G326" s="575"/>
      <c r="H326" s="575"/>
      <c r="I326" s="575"/>
      <c r="J326" s="575"/>
      <c r="K326" s="575"/>
      <c r="L326" s="575"/>
      <c r="M326" s="575"/>
      <c r="N326" s="575"/>
      <c r="O326" s="575"/>
      <c r="P326" s="575"/>
      <c r="Q326" s="575"/>
      <c r="R326" s="575"/>
      <c r="S326" s="575"/>
      <c r="T326" s="575"/>
      <c r="U326" s="575"/>
      <c r="V326" s="575"/>
      <c r="W326" s="575"/>
      <c r="X326" s="575"/>
      <c r="Y326" s="575"/>
      <c r="Z326" s="575"/>
    </row>
    <row r="327">
      <c r="A327" s="582"/>
      <c r="B327" s="583"/>
      <c r="C327" s="584"/>
      <c r="D327" s="585"/>
      <c r="E327" s="575"/>
      <c r="F327" s="575"/>
      <c r="G327" s="575"/>
      <c r="H327" s="575"/>
      <c r="I327" s="575"/>
      <c r="J327" s="575"/>
      <c r="K327" s="575"/>
      <c r="L327" s="575"/>
      <c r="M327" s="575"/>
      <c r="N327" s="575"/>
      <c r="O327" s="575"/>
      <c r="P327" s="575"/>
      <c r="Q327" s="575"/>
      <c r="R327" s="575"/>
      <c r="S327" s="575"/>
      <c r="T327" s="575"/>
      <c r="U327" s="575"/>
      <c r="V327" s="575"/>
      <c r="W327" s="575"/>
      <c r="X327" s="575"/>
      <c r="Y327" s="575"/>
      <c r="Z327" s="575"/>
    </row>
    <row r="328">
      <c r="A328" s="582"/>
      <c r="B328" s="583"/>
      <c r="C328" s="584"/>
      <c r="D328" s="585"/>
      <c r="E328" s="575"/>
      <c r="F328" s="575"/>
      <c r="G328" s="575"/>
      <c r="H328" s="575"/>
      <c r="I328" s="575"/>
      <c r="J328" s="575"/>
      <c r="K328" s="575"/>
      <c r="L328" s="575"/>
      <c r="M328" s="575"/>
      <c r="N328" s="575"/>
      <c r="O328" s="575"/>
      <c r="P328" s="575"/>
      <c r="Q328" s="575"/>
      <c r="R328" s="575"/>
      <c r="S328" s="575"/>
      <c r="T328" s="575"/>
      <c r="U328" s="575"/>
      <c r="V328" s="575"/>
      <c r="W328" s="575"/>
      <c r="X328" s="575"/>
      <c r="Y328" s="575"/>
      <c r="Z328" s="575"/>
    </row>
    <row r="329">
      <c r="A329" s="582"/>
      <c r="B329" s="583"/>
      <c r="C329" s="584"/>
      <c r="D329" s="585"/>
      <c r="E329" s="575"/>
      <c r="F329" s="575"/>
      <c r="G329" s="575"/>
      <c r="H329" s="575"/>
      <c r="I329" s="575"/>
      <c r="J329" s="575"/>
      <c r="K329" s="575"/>
      <c r="L329" s="575"/>
      <c r="M329" s="575"/>
      <c r="N329" s="575"/>
      <c r="O329" s="575"/>
      <c r="P329" s="575"/>
      <c r="Q329" s="575"/>
      <c r="R329" s="575"/>
      <c r="S329" s="575"/>
      <c r="T329" s="575"/>
      <c r="U329" s="575"/>
      <c r="V329" s="575"/>
      <c r="W329" s="575"/>
      <c r="X329" s="575"/>
      <c r="Y329" s="575"/>
      <c r="Z329" s="575"/>
    </row>
    <row r="330">
      <c r="A330" s="582"/>
      <c r="B330" s="583"/>
      <c r="C330" s="584"/>
      <c r="D330" s="585"/>
      <c r="E330" s="575"/>
      <c r="F330" s="575"/>
      <c r="G330" s="575"/>
      <c r="H330" s="575"/>
      <c r="I330" s="575"/>
      <c r="J330" s="575"/>
      <c r="K330" s="575"/>
      <c r="L330" s="575"/>
      <c r="M330" s="575"/>
      <c r="N330" s="575"/>
      <c r="O330" s="575"/>
      <c r="P330" s="575"/>
      <c r="Q330" s="575"/>
      <c r="R330" s="575"/>
      <c r="S330" s="575"/>
      <c r="T330" s="575"/>
      <c r="U330" s="575"/>
      <c r="V330" s="575"/>
      <c r="W330" s="575"/>
      <c r="X330" s="575"/>
      <c r="Y330" s="575"/>
      <c r="Z330" s="575"/>
    </row>
    <row r="331">
      <c r="A331" s="582"/>
      <c r="B331" s="583"/>
      <c r="C331" s="584"/>
      <c r="D331" s="585"/>
      <c r="E331" s="575"/>
      <c r="F331" s="575"/>
      <c r="G331" s="575"/>
      <c r="H331" s="575"/>
      <c r="I331" s="575"/>
      <c r="J331" s="575"/>
      <c r="K331" s="575"/>
      <c r="L331" s="575"/>
      <c r="M331" s="575"/>
      <c r="N331" s="575"/>
      <c r="O331" s="575"/>
      <c r="P331" s="575"/>
      <c r="Q331" s="575"/>
      <c r="R331" s="575"/>
      <c r="S331" s="575"/>
      <c r="T331" s="575"/>
      <c r="U331" s="575"/>
      <c r="V331" s="575"/>
      <c r="W331" s="575"/>
      <c r="X331" s="575"/>
      <c r="Y331" s="575"/>
      <c r="Z331" s="575"/>
    </row>
    <row r="332">
      <c r="A332" s="582"/>
      <c r="B332" s="583"/>
      <c r="C332" s="584"/>
      <c r="D332" s="585"/>
      <c r="E332" s="575"/>
      <c r="F332" s="575"/>
      <c r="G332" s="575"/>
      <c r="H332" s="575"/>
      <c r="I332" s="575"/>
      <c r="J332" s="575"/>
      <c r="K332" s="575"/>
      <c r="L332" s="575"/>
      <c r="M332" s="575"/>
      <c r="N332" s="575"/>
      <c r="O332" s="575"/>
      <c r="P332" s="575"/>
      <c r="Q332" s="575"/>
      <c r="R332" s="575"/>
      <c r="S332" s="575"/>
      <c r="T332" s="575"/>
      <c r="U332" s="575"/>
      <c r="V332" s="575"/>
      <c r="W332" s="575"/>
      <c r="X332" s="575"/>
      <c r="Y332" s="575"/>
      <c r="Z332" s="575"/>
    </row>
    <row r="333">
      <c r="A333" s="582"/>
      <c r="B333" s="583"/>
      <c r="C333" s="584"/>
      <c r="D333" s="585"/>
      <c r="E333" s="575"/>
      <c r="F333" s="575"/>
      <c r="G333" s="575"/>
      <c r="H333" s="575"/>
      <c r="I333" s="575"/>
      <c r="J333" s="575"/>
      <c r="K333" s="575"/>
      <c r="L333" s="575"/>
      <c r="M333" s="575"/>
      <c r="N333" s="575"/>
      <c r="O333" s="575"/>
      <c r="P333" s="575"/>
      <c r="Q333" s="575"/>
      <c r="R333" s="575"/>
      <c r="S333" s="575"/>
      <c r="T333" s="575"/>
      <c r="U333" s="575"/>
      <c r="V333" s="575"/>
      <c r="W333" s="575"/>
      <c r="X333" s="575"/>
      <c r="Y333" s="575"/>
      <c r="Z333" s="575"/>
    </row>
    <row r="334">
      <c r="A334" s="582"/>
      <c r="B334" s="583"/>
      <c r="C334" s="584"/>
      <c r="D334" s="585"/>
      <c r="E334" s="575"/>
      <c r="F334" s="575"/>
      <c r="G334" s="575"/>
      <c r="H334" s="575"/>
      <c r="I334" s="575"/>
      <c r="J334" s="575"/>
      <c r="K334" s="575"/>
      <c r="L334" s="575"/>
      <c r="M334" s="575"/>
      <c r="N334" s="575"/>
      <c r="O334" s="575"/>
      <c r="P334" s="575"/>
      <c r="Q334" s="575"/>
      <c r="R334" s="575"/>
      <c r="S334" s="575"/>
      <c r="T334" s="575"/>
      <c r="U334" s="575"/>
      <c r="V334" s="575"/>
      <c r="W334" s="575"/>
      <c r="X334" s="575"/>
      <c r="Y334" s="575"/>
      <c r="Z334" s="575"/>
    </row>
    <row r="335">
      <c r="A335" s="582"/>
      <c r="B335" s="583"/>
      <c r="C335" s="584"/>
      <c r="D335" s="585"/>
      <c r="E335" s="575"/>
      <c r="F335" s="575"/>
      <c r="G335" s="575"/>
      <c r="H335" s="575"/>
      <c r="I335" s="575"/>
      <c r="J335" s="575"/>
      <c r="K335" s="575"/>
      <c r="L335" s="575"/>
      <c r="M335" s="575"/>
      <c r="N335" s="575"/>
      <c r="O335" s="575"/>
      <c r="P335" s="575"/>
      <c r="Q335" s="575"/>
      <c r="R335" s="575"/>
      <c r="S335" s="575"/>
      <c r="T335" s="575"/>
      <c r="U335" s="575"/>
      <c r="V335" s="575"/>
      <c r="W335" s="575"/>
      <c r="X335" s="575"/>
      <c r="Y335" s="575"/>
      <c r="Z335" s="575"/>
    </row>
    <row r="336">
      <c r="A336" s="582"/>
      <c r="B336" s="583"/>
      <c r="C336" s="584"/>
      <c r="D336" s="585"/>
      <c r="E336" s="575"/>
      <c r="F336" s="575"/>
      <c r="G336" s="575"/>
      <c r="H336" s="575"/>
      <c r="I336" s="575"/>
      <c r="J336" s="575"/>
      <c r="K336" s="575"/>
      <c r="L336" s="575"/>
      <c r="M336" s="575"/>
      <c r="N336" s="575"/>
      <c r="O336" s="575"/>
      <c r="P336" s="575"/>
      <c r="Q336" s="575"/>
      <c r="R336" s="575"/>
      <c r="S336" s="575"/>
      <c r="T336" s="575"/>
      <c r="U336" s="575"/>
      <c r="V336" s="575"/>
      <c r="W336" s="575"/>
      <c r="X336" s="575"/>
      <c r="Y336" s="575"/>
      <c r="Z336" s="575"/>
    </row>
    <row r="337">
      <c r="A337" s="582"/>
      <c r="B337" s="583"/>
      <c r="C337" s="584"/>
      <c r="D337" s="585"/>
      <c r="E337" s="575"/>
      <c r="F337" s="575"/>
      <c r="G337" s="575"/>
      <c r="H337" s="575"/>
      <c r="I337" s="575"/>
      <c r="J337" s="575"/>
      <c r="K337" s="575"/>
      <c r="L337" s="575"/>
      <c r="M337" s="575"/>
      <c r="N337" s="575"/>
      <c r="O337" s="575"/>
      <c r="P337" s="575"/>
      <c r="Q337" s="575"/>
      <c r="R337" s="575"/>
      <c r="S337" s="575"/>
      <c r="T337" s="575"/>
      <c r="U337" s="575"/>
      <c r="V337" s="575"/>
      <c r="W337" s="575"/>
      <c r="X337" s="575"/>
      <c r="Y337" s="575"/>
      <c r="Z337" s="575"/>
    </row>
    <row r="338">
      <c r="A338" s="582"/>
      <c r="B338" s="583"/>
      <c r="C338" s="584"/>
      <c r="D338" s="585"/>
      <c r="E338" s="575"/>
      <c r="F338" s="575"/>
      <c r="G338" s="575"/>
      <c r="H338" s="575"/>
      <c r="I338" s="575"/>
      <c r="J338" s="575"/>
      <c r="K338" s="575"/>
      <c r="L338" s="575"/>
      <c r="M338" s="575"/>
      <c r="N338" s="575"/>
      <c r="O338" s="575"/>
      <c r="P338" s="575"/>
      <c r="Q338" s="575"/>
      <c r="R338" s="575"/>
      <c r="S338" s="575"/>
      <c r="T338" s="575"/>
      <c r="U338" s="575"/>
      <c r="V338" s="575"/>
      <c r="W338" s="575"/>
      <c r="X338" s="575"/>
      <c r="Y338" s="575"/>
      <c r="Z338" s="575"/>
    </row>
    <row r="339">
      <c r="A339" s="582"/>
      <c r="B339" s="583"/>
      <c r="C339" s="584"/>
      <c r="D339" s="585"/>
      <c r="E339" s="575"/>
      <c r="F339" s="575"/>
      <c r="G339" s="575"/>
      <c r="H339" s="575"/>
      <c r="I339" s="575"/>
      <c r="J339" s="575"/>
      <c r="K339" s="575"/>
      <c r="L339" s="575"/>
      <c r="M339" s="575"/>
      <c r="N339" s="575"/>
      <c r="O339" s="575"/>
      <c r="P339" s="575"/>
      <c r="Q339" s="575"/>
      <c r="R339" s="575"/>
      <c r="S339" s="575"/>
      <c r="T339" s="575"/>
      <c r="U339" s="575"/>
      <c r="V339" s="575"/>
      <c r="W339" s="575"/>
      <c r="X339" s="575"/>
      <c r="Y339" s="575"/>
      <c r="Z339" s="575"/>
    </row>
    <row r="340">
      <c r="A340" s="582"/>
      <c r="B340" s="583"/>
      <c r="C340" s="584"/>
      <c r="D340" s="585"/>
      <c r="E340" s="575"/>
      <c r="F340" s="575"/>
      <c r="G340" s="575"/>
      <c r="H340" s="575"/>
      <c r="I340" s="575"/>
      <c r="J340" s="575"/>
      <c r="K340" s="575"/>
      <c r="L340" s="575"/>
      <c r="M340" s="575"/>
      <c r="N340" s="575"/>
      <c r="O340" s="575"/>
      <c r="P340" s="575"/>
      <c r="Q340" s="575"/>
      <c r="R340" s="575"/>
      <c r="S340" s="575"/>
      <c r="T340" s="575"/>
      <c r="U340" s="575"/>
      <c r="V340" s="575"/>
      <c r="W340" s="575"/>
      <c r="X340" s="575"/>
      <c r="Y340" s="575"/>
      <c r="Z340" s="575"/>
    </row>
    <row r="341">
      <c r="A341" s="582"/>
      <c r="B341" s="583"/>
      <c r="C341" s="584"/>
      <c r="D341" s="585"/>
      <c r="E341" s="575"/>
      <c r="F341" s="575"/>
      <c r="G341" s="575"/>
      <c r="H341" s="575"/>
      <c r="I341" s="575"/>
      <c r="J341" s="575"/>
      <c r="K341" s="575"/>
      <c r="L341" s="575"/>
      <c r="M341" s="575"/>
      <c r="N341" s="575"/>
      <c r="O341" s="575"/>
      <c r="P341" s="575"/>
      <c r="Q341" s="575"/>
      <c r="R341" s="575"/>
      <c r="S341" s="575"/>
      <c r="T341" s="575"/>
      <c r="U341" s="575"/>
      <c r="V341" s="575"/>
      <c r="W341" s="575"/>
      <c r="X341" s="575"/>
      <c r="Y341" s="575"/>
      <c r="Z341" s="575"/>
    </row>
    <row r="342">
      <c r="A342" s="582"/>
      <c r="B342" s="583"/>
      <c r="C342" s="584"/>
      <c r="D342" s="585"/>
      <c r="E342" s="575"/>
      <c r="F342" s="575"/>
      <c r="G342" s="575"/>
      <c r="H342" s="575"/>
      <c r="I342" s="575"/>
      <c r="J342" s="575"/>
      <c r="K342" s="575"/>
      <c r="L342" s="575"/>
      <c r="M342" s="575"/>
      <c r="N342" s="575"/>
      <c r="O342" s="575"/>
      <c r="P342" s="575"/>
      <c r="Q342" s="575"/>
      <c r="R342" s="575"/>
      <c r="S342" s="575"/>
      <c r="T342" s="575"/>
      <c r="U342" s="575"/>
      <c r="V342" s="575"/>
      <c r="W342" s="575"/>
      <c r="X342" s="575"/>
      <c r="Y342" s="575"/>
      <c r="Z342" s="575"/>
    </row>
    <row r="343">
      <c r="A343" s="582"/>
      <c r="B343" s="583"/>
      <c r="C343" s="584"/>
      <c r="D343" s="585"/>
      <c r="E343" s="575"/>
      <c r="F343" s="575"/>
      <c r="G343" s="575"/>
      <c r="H343" s="575"/>
      <c r="I343" s="575"/>
      <c r="J343" s="575"/>
      <c r="K343" s="575"/>
      <c r="L343" s="575"/>
      <c r="M343" s="575"/>
      <c r="N343" s="575"/>
      <c r="O343" s="575"/>
      <c r="P343" s="575"/>
      <c r="Q343" s="575"/>
      <c r="R343" s="575"/>
      <c r="S343" s="575"/>
      <c r="T343" s="575"/>
      <c r="U343" s="575"/>
      <c r="V343" s="575"/>
      <c r="W343" s="575"/>
      <c r="X343" s="575"/>
      <c r="Y343" s="575"/>
      <c r="Z343" s="575"/>
    </row>
    <row r="344">
      <c r="A344" s="582"/>
      <c r="B344" s="583"/>
      <c r="C344" s="584"/>
      <c r="D344" s="585"/>
      <c r="E344" s="575"/>
      <c r="F344" s="575"/>
      <c r="G344" s="575"/>
      <c r="H344" s="575"/>
      <c r="I344" s="575"/>
      <c r="J344" s="575"/>
      <c r="K344" s="575"/>
      <c r="L344" s="575"/>
      <c r="M344" s="575"/>
      <c r="N344" s="575"/>
      <c r="O344" s="575"/>
      <c r="P344" s="575"/>
      <c r="Q344" s="575"/>
      <c r="R344" s="575"/>
      <c r="S344" s="575"/>
      <c r="T344" s="575"/>
      <c r="U344" s="575"/>
      <c r="V344" s="575"/>
      <c r="W344" s="575"/>
      <c r="X344" s="575"/>
      <c r="Y344" s="575"/>
      <c r="Z344" s="575"/>
    </row>
    <row r="345">
      <c r="A345" s="582"/>
      <c r="B345" s="583"/>
      <c r="C345" s="584"/>
      <c r="D345" s="585"/>
      <c r="E345" s="575"/>
      <c r="F345" s="575"/>
      <c r="G345" s="575"/>
      <c r="H345" s="575"/>
      <c r="I345" s="575"/>
      <c r="J345" s="575"/>
      <c r="K345" s="575"/>
      <c r="L345" s="575"/>
      <c r="M345" s="575"/>
      <c r="N345" s="575"/>
      <c r="O345" s="575"/>
      <c r="P345" s="575"/>
      <c r="Q345" s="575"/>
      <c r="R345" s="575"/>
      <c r="S345" s="575"/>
      <c r="T345" s="575"/>
      <c r="U345" s="575"/>
      <c r="V345" s="575"/>
      <c r="W345" s="575"/>
      <c r="X345" s="575"/>
      <c r="Y345" s="575"/>
      <c r="Z345" s="575"/>
    </row>
    <row r="346">
      <c r="A346" s="582"/>
      <c r="B346" s="583"/>
      <c r="C346" s="584"/>
      <c r="D346" s="585"/>
      <c r="E346" s="575"/>
      <c r="F346" s="575"/>
      <c r="G346" s="575"/>
      <c r="H346" s="575"/>
      <c r="I346" s="575"/>
      <c r="J346" s="575"/>
      <c r="K346" s="575"/>
      <c r="L346" s="575"/>
      <c r="M346" s="575"/>
      <c r="N346" s="575"/>
      <c r="O346" s="575"/>
      <c r="P346" s="575"/>
      <c r="Q346" s="575"/>
      <c r="R346" s="575"/>
      <c r="S346" s="575"/>
      <c r="T346" s="575"/>
      <c r="U346" s="575"/>
      <c r="V346" s="575"/>
      <c r="W346" s="575"/>
      <c r="X346" s="575"/>
      <c r="Y346" s="575"/>
      <c r="Z346" s="575"/>
    </row>
    <row r="347">
      <c r="A347" s="582"/>
      <c r="B347" s="583"/>
      <c r="C347" s="584"/>
      <c r="D347" s="585"/>
      <c r="E347" s="575"/>
      <c r="F347" s="575"/>
      <c r="G347" s="575"/>
      <c r="H347" s="575"/>
      <c r="I347" s="575"/>
      <c r="J347" s="575"/>
      <c r="K347" s="575"/>
      <c r="L347" s="575"/>
      <c r="M347" s="575"/>
      <c r="N347" s="575"/>
      <c r="O347" s="575"/>
      <c r="P347" s="575"/>
      <c r="Q347" s="575"/>
      <c r="R347" s="575"/>
      <c r="S347" s="575"/>
      <c r="T347" s="575"/>
      <c r="U347" s="575"/>
      <c r="V347" s="575"/>
      <c r="W347" s="575"/>
      <c r="X347" s="575"/>
      <c r="Y347" s="575"/>
      <c r="Z347" s="575"/>
    </row>
    <row r="348">
      <c r="A348" s="582"/>
      <c r="B348" s="583"/>
      <c r="C348" s="584"/>
      <c r="D348" s="585"/>
      <c r="E348" s="575"/>
      <c r="F348" s="575"/>
      <c r="G348" s="575"/>
      <c r="H348" s="575"/>
      <c r="I348" s="575"/>
      <c r="J348" s="575"/>
      <c r="K348" s="575"/>
      <c r="L348" s="575"/>
      <c r="M348" s="575"/>
      <c r="N348" s="575"/>
      <c r="O348" s="575"/>
      <c r="P348" s="575"/>
      <c r="Q348" s="575"/>
      <c r="R348" s="575"/>
      <c r="S348" s="575"/>
      <c r="T348" s="575"/>
      <c r="U348" s="575"/>
      <c r="V348" s="575"/>
      <c r="W348" s="575"/>
      <c r="X348" s="575"/>
      <c r="Y348" s="575"/>
      <c r="Z348" s="575"/>
    </row>
    <row r="349">
      <c r="A349" s="582"/>
      <c r="B349" s="583"/>
      <c r="C349" s="584"/>
      <c r="D349" s="585"/>
      <c r="E349" s="575"/>
      <c r="F349" s="575"/>
      <c r="G349" s="575"/>
      <c r="H349" s="575"/>
      <c r="I349" s="575"/>
      <c r="J349" s="575"/>
      <c r="K349" s="575"/>
      <c r="L349" s="575"/>
      <c r="M349" s="575"/>
      <c r="N349" s="575"/>
      <c r="O349" s="575"/>
      <c r="P349" s="575"/>
      <c r="Q349" s="575"/>
      <c r="R349" s="575"/>
      <c r="S349" s="575"/>
      <c r="T349" s="575"/>
      <c r="U349" s="575"/>
      <c r="V349" s="575"/>
      <c r="W349" s="575"/>
      <c r="X349" s="575"/>
      <c r="Y349" s="575"/>
      <c r="Z349" s="575"/>
    </row>
    <row r="350">
      <c r="A350" s="582"/>
      <c r="B350" s="583"/>
      <c r="C350" s="584"/>
      <c r="D350" s="585"/>
      <c r="E350" s="575"/>
      <c r="F350" s="575"/>
      <c r="G350" s="575"/>
      <c r="H350" s="575"/>
      <c r="I350" s="575"/>
      <c r="J350" s="575"/>
      <c r="K350" s="575"/>
      <c r="L350" s="575"/>
      <c r="M350" s="575"/>
      <c r="N350" s="575"/>
      <c r="O350" s="575"/>
      <c r="P350" s="575"/>
      <c r="Q350" s="575"/>
      <c r="R350" s="575"/>
      <c r="S350" s="575"/>
      <c r="T350" s="575"/>
      <c r="U350" s="575"/>
      <c r="V350" s="575"/>
      <c r="W350" s="575"/>
      <c r="X350" s="575"/>
      <c r="Y350" s="575"/>
      <c r="Z350" s="575"/>
    </row>
    <row r="351">
      <c r="A351" s="582"/>
      <c r="B351" s="583"/>
      <c r="C351" s="584"/>
      <c r="D351" s="585"/>
      <c r="E351" s="575"/>
      <c r="F351" s="575"/>
      <c r="G351" s="575"/>
      <c r="H351" s="575"/>
      <c r="I351" s="575"/>
      <c r="J351" s="575"/>
      <c r="K351" s="575"/>
      <c r="L351" s="575"/>
      <c r="M351" s="575"/>
      <c r="N351" s="575"/>
      <c r="O351" s="575"/>
      <c r="P351" s="575"/>
      <c r="Q351" s="575"/>
      <c r="R351" s="575"/>
      <c r="S351" s="575"/>
      <c r="T351" s="575"/>
      <c r="U351" s="575"/>
      <c r="V351" s="575"/>
      <c r="W351" s="575"/>
      <c r="X351" s="575"/>
      <c r="Y351" s="575"/>
      <c r="Z351" s="575"/>
    </row>
    <row r="352">
      <c r="A352" s="582"/>
      <c r="B352" s="583"/>
      <c r="C352" s="584"/>
      <c r="D352" s="585"/>
      <c r="E352" s="575"/>
      <c r="F352" s="575"/>
      <c r="G352" s="575"/>
      <c r="H352" s="575"/>
      <c r="I352" s="575"/>
      <c r="J352" s="575"/>
      <c r="K352" s="575"/>
      <c r="L352" s="575"/>
      <c r="M352" s="575"/>
      <c r="N352" s="575"/>
      <c r="O352" s="575"/>
      <c r="P352" s="575"/>
      <c r="Q352" s="575"/>
      <c r="R352" s="575"/>
      <c r="S352" s="575"/>
      <c r="T352" s="575"/>
      <c r="U352" s="575"/>
      <c r="V352" s="575"/>
      <c r="W352" s="575"/>
      <c r="X352" s="575"/>
      <c r="Y352" s="575"/>
      <c r="Z352" s="575"/>
    </row>
    <row r="353">
      <c r="A353" s="582"/>
      <c r="B353" s="583"/>
      <c r="C353" s="584"/>
      <c r="D353" s="585"/>
      <c r="E353" s="575"/>
      <c r="F353" s="575"/>
      <c r="G353" s="575"/>
      <c r="H353" s="575"/>
      <c r="I353" s="575"/>
      <c r="J353" s="575"/>
      <c r="K353" s="575"/>
      <c r="L353" s="575"/>
      <c r="M353" s="575"/>
      <c r="N353" s="575"/>
      <c r="O353" s="575"/>
      <c r="P353" s="575"/>
      <c r="Q353" s="575"/>
      <c r="R353" s="575"/>
      <c r="S353" s="575"/>
      <c r="T353" s="575"/>
      <c r="U353" s="575"/>
      <c r="V353" s="575"/>
      <c r="W353" s="575"/>
      <c r="X353" s="575"/>
      <c r="Y353" s="575"/>
      <c r="Z353" s="575"/>
    </row>
    <row r="354">
      <c r="A354" s="582"/>
      <c r="B354" s="583"/>
      <c r="C354" s="584"/>
      <c r="D354" s="585"/>
      <c r="E354" s="575"/>
      <c r="F354" s="575"/>
      <c r="G354" s="575"/>
      <c r="H354" s="575"/>
      <c r="I354" s="575"/>
      <c r="J354" s="575"/>
      <c r="K354" s="575"/>
      <c r="L354" s="575"/>
      <c r="M354" s="575"/>
      <c r="N354" s="575"/>
      <c r="O354" s="575"/>
      <c r="P354" s="575"/>
      <c r="Q354" s="575"/>
      <c r="R354" s="575"/>
      <c r="S354" s="575"/>
      <c r="T354" s="575"/>
      <c r="U354" s="575"/>
      <c r="V354" s="575"/>
      <c r="W354" s="575"/>
      <c r="X354" s="575"/>
      <c r="Y354" s="575"/>
      <c r="Z354" s="575"/>
    </row>
    <row r="355">
      <c r="A355" s="582"/>
      <c r="B355" s="583"/>
      <c r="C355" s="584"/>
      <c r="D355" s="585"/>
      <c r="E355" s="575"/>
      <c r="F355" s="575"/>
      <c r="G355" s="575"/>
      <c r="H355" s="575"/>
      <c r="I355" s="575"/>
      <c r="J355" s="575"/>
      <c r="K355" s="575"/>
      <c r="L355" s="575"/>
      <c r="M355" s="575"/>
      <c r="N355" s="575"/>
      <c r="O355" s="575"/>
      <c r="P355" s="575"/>
      <c r="Q355" s="575"/>
      <c r="R355" s="575"/>
      <c r="S355" s="575"/>
      <c r="T355" s="575"/>
      <c r="U355" s="575"/>
      <c r="V355" s="575"/>
      <c r="W355" s="575"/>
      <c r="X355" s="575"/>
      <c r="Y355" s="575"/>
      <c r="Z355" s="575"/>
    </row>
    <row r="356">
      <c r="A356" s="582"/>
      <c r="B356" s="583"/>
      <c r="C356" s="584"/>
      <c r="D356" s="585"/>
      <c r="E356" s="575"/>
      <c r="F356" s="575"/>
      <c r="G356" s="575"/>
      <c r="H356" s="575"/>
      <c r="I356" s="575"/>
      <c r="J356" s="575"/>
      <c r="K356" s="575"/>
      <c r="L356" s="575"/>
      <c r="M356" s="575"/>
      <c r="N356" s="575"/>
      <c r="O356" s="575"/>
      <c r="P356" s="575"/>
      <c r="Q356" s="575"/>
      <c r="R356" s="575"/>
      <c r="S356" s="575"/>
      <c r="T356" s="575"/>
      <c r="U356" s="575"/>
      <c r="V356" s="575"/>
      <c r="W356" s="575"/>
      <c r="X356" s="575"/>
      <c r="Y356" s="575"/>
      <c r="Z356" s="575"/>
    </row>
    <row r="357">
      <c r="A357" s="582"/>
      <c r="B357" s="583"/>
      <c r="C357" s="584"/>
      <c r="D357" s="585"/>
      <c r="E357" s="575"/>
      <c r="F357" s="575"/>
      <c r="G357" s="575"/>
      <c r="H357" s="575"/>
      <c r="I357" s="575"/>
      <c r="J357" s="575"/>
      <c r="K357" s="575"/>
      <c r="L357" s="575"/>
      <c r="M357" s="575"/>
      <c r="N357" s="575"/>
      <c r="O357" s="575"/>
      <c r="P357" s="575"/>
      <c r="Q357" s="575"/>
      <c r="R357" s="575"/>
      <c r="S357" s="575"/>
      <c r="T357" s="575"/>
      <c r="U357" s="575"/>
      <c r="V357" s="575"/>
      <c r="W357" s="575"/>
      <c r="X357" s="575"/>
      <c r="Y357" s="575"/>
      <c r="Z357" s="575"/>
    </row>
    <row r="358">
      <c r="A358" s="582"/>
      <c r="B358" s="583"/>
      <c r="C358" s="584"/>
      <c r="D358" s="585"/>
      <c r="E358" s="575"/>
      <c r="F358" s="575"/>
      <c r="G358" s="575"/>
      <c r="H358" s="575"/>
      <c r="I358" s="575"/>
      <c r="J358" s="575"/>
      <c r="K358" s="575"/>
      <c r="L358" s="575"/>
      <c r="M358" s="575"/>
      <c r="N358" s="575"/>
      <c r="O358" s="575"/>
      <c r="P358" s="575"/>
      <c r="Q358" s="575"/>
      <c r="R358" s="575"/>
      <c r="S358" s="575"/>
      <c r="T358" s="575"/>
      <c r="U358" s="575"/>
      <c r="V358" s="575"/>
      <c r="W358" s="575"/>
      <c r="X358" s="575"/>
      <c r="Y358" s="575"/>
      <c r="Z358" s="575"/>
    </row>
    <row r="359">
      <c r="A359" s="582"/>
      <c r="B359" s="583"/>
      <c r="C359" s="584"/>
      <c r="D359" s="585"/>
      <c r="E359" s="575"/>
      <c r="F359" s="575"/>
      <c r="G359" s="575"/>
      <c r="H359" s="575"/>
      <c r="I359" s="575"/>
      <c r="J359" s="575"/>
      <c r="K359" s="575"/>
      <c r="L359" s="575"/>
      <c r="M359" s="575"/>
      <c r="N359" s="575"/>
      <c r="O359" s="575"/>
      <c r="P359" s="575"/>
      <c r="Q359" s="575"/>
      <c r="R359" s="575"/>
      <c r="S359" s="575"/>
      <c r="T359" s="575"/>
      <c r="U359" s="575"/>
      <c r="V359" s="575"/>
      <c r="W359" s="575"/>
      <c r="X359" s="575"/>
      <c r="Y359" s="575"/>
      <c r="Z359" s="575"/>
    </row>
    <row r="360">
      <c r="A360" s="582"/>
      <c r="B360" s="583"/>
      <c r="C360" s="584"/>
      <c r="D360" s="585"/>
      <c r="E360" s="575"/>
      <c r="F360" s="575"/>
      <c r="G360" s="575"/>
      <c r="H360" s="575"/>
      <c r="I360" s="575"/>
      <c r="J360" s="575"/>
      <c r="K360" s="575"/>
      <c r="L360" s="575"/>
      <c r="M360" s="575"/>
      <c r="N360" s="575"/>
      <c r="O360" s="575"/>
      <c r="P360" s="575"/>
      <c r="Q360" s="575"/>
      <c r="R360" s="575"/>
      <c r="S360" s="575"/>
      <c r="T360" s="575"/>
      <c r="U360" s="575"/>
      <c r="V360" s="575"/>
      <c r="W360" s="575"/>
      <c r="X360" s="575"/>
      <c r="Y360" s="575"/>
      <c r="Z360" s="575"/>
    </row>
    <row r="361">
      <c r="A361" s="582"/>
      <c r="B361" s="583"/>
      <c r="C361" s="584"/>
      <c r="D361" s="585"/>
      <c r="E361" s="575"/>
      <c r="F361" s="575"/>
      <c r="G361" s="575"/>
      <c r="H361" s="575"/>
      <c r="I361" s="575"/>
      <c r="J361" s="575"/>
      <c r="K361" s="575"/>
      <c r="L361" s="575"/>
      <c r="M361" s="575"/>
      <c r="N361" s="575"/>
      <c r="O361" s="575"/>
      <c r="P361" s="575"/>
      <c r="Q361" s="575"/>
      <c r="R361" s="575"/>
      <c r="S361" s="575"/>
      <c r="T361" s="575"/>
      <c r="U361" s="575"/>
      <c r="V361" s="575"/>
      <c r="W361" s="575"/>
      <c r="X361" s="575"/>
      <c r="Y361" s="575"/>
      <c r="Z361" s="575"/>
    </row>
    <row r="362">
      <c r="A362" s="582"/>
      <c r="B362" s="583"/>
      <c r="C362" s="584"/>
      <c r="D362" s="585"/>
      <c r="E362" s="575"/>
      <c r="F362" s="575"/>
      <c r="G362" s="575"/>
      <c r="H362" s="575"/>
      <c r="I362" s="575"/>
      <c r="J362" s="575"/>
      <c r="K362" s="575"/>
      <c r="L362" s="575"/>
      <c r="M362" s="575"/>
      <c r="N362" s="575"/>
      <c r="O362" s="575"/>
      <c r="P362" s="575"/>
      <c r="Q362" s="575"/>
      <c r="R362" s="575"/>
      <c r="S362" s="575"/>
      <c r="T362" s="575"/>
      <c r="U362" s="575"/>
      <c r="V362" s="575"/>
      <c r="W362" s="575"/>
      <c r="X362" s="575"/>
      <c r="Y362" s="575"/>
      <c r="Z362" s="575"/>
    </row>
    <row r="363">
      <c r="A363" s="582"/>
      <c r="B363" s="583"/>
      <c r="C363" s="584"/>
      <c r="D363" s="585"/>
      <c r="E363" s="575"/>
      <c r="F363" s="575"/>
      <c r="G363" s="575"/>
      <c r="H363" s="575"/>
      <c r="I363" s="575"/>
      <c r="J363" s="575"/>
      <c r="K363" s="575"/>
      <c r="L363" s="575"/>
      <c r="M363" s="575"/>
      <c r="N363" s="575"/>
      <c r="O363" s="575"/>
      <c r="P363" s="575"/>
      <c r="Q363" s="575"/>
      <c r="R363" s="575"/>
      <c r="S363" s="575"/>
      <c r="T363" s="575"/>
      <c r="U363" s="575"/>
      <c r="V363" s="575"/>
      <c r="W363" s="575"/>
      <c r="X363" s="575"/>
      <c r="Y363" s="575"/>
      <c r="Z363" s="575"/>
    </row>
    <row r="364">
      <c r="A364" s="582"/>
      <c r="B364" s="583"/>
      <c r="C364" s="584"/>
      <c r="D364" s="585"/>
      <c r="E364" s="575"/>
      <c r="F364" s="575"/>
      <c r="G364" s="575"/>
      <c r="H364" s="575"/>
      <c r="I364" s="575"/>
      <c r="J364" s="575"/>
      <c r="K364" s="575"/>
      <c r="L364" s="575"/>
      <c r="M364" s="575"/>
      <c r="N364" s="575"/>
      <c r="O364" s="575"/>
      <c r="P364" s="575"/>
      <c r="Q364" s="575"/>
      <c r="R364" s="575"/>
      <c r="S364" s="575"/>
      <c r="T364" s="575"/>
      <c r="U364" s="575"/>
      <c r="V364" s="575"/>
      <c r="W364" s="575"/>
      <c r="X364" s="575"/>
      <c r="Y364" s="575"/>
      <c r="Z364" s="575"/>
    </row>
    <row r="365">
      <c r="A365" s="582"/>
      <c r="B365" s="583"/>
      <c r="C365" s="584"/>
      <c r="D365" s="585"/>
      <c r="E365" s="575"/>
      <c r="F365" s="575"/>
      <c r="G365" s="575"/>
      <c r="H365" s="575"/>
      <c r="I365" s="575"/>
      <c r="J365" s="575"/>
      <c r="K365" s="575"/>
      <c r="L365" s="575"/>
      <c r="M365" s="575"/>
      <c r="N365" s="575"/>
      <c r="O365" s="575"/>
      <c r="P365" s="575"/>
      <c r="Q365" s="575"/>
      <c r="R365" s="575"/>
      <c r="S365" s="575"/>
      <c r="T365" s="575"/>
      <c r="U365" s="575"/>
      <c r="V365" s="575"/>
      <c r="W365" s="575"/>
      <c r="X365" s="575"/>
      <c r="Y365" s="575"/>
      <c r="Z365" s="575"/>
    </row>
    <row r="366">
      <c r="A366" s="582"/>
      <c r="B366" s="583"/>
      <c r="C366" s="584"/>
      <c r="D366" s="585"/>
      <c r="E366" s="575"/>
      <c r="F366" s="575"/>
      <c r="G366" s="575"/>
      <c r="H366" s="575"/>
      <c r="I366" s="575"/>
      <c r="J366" s="575"/>
      <c r="K366" s="575"/>
      <c r="L366" s="575"/>
      <c r="M366" s="575"/>
      <c r="N366" s="575"/>
      <c r="O366" s="575"/>
      <c r="P366" s="575"/>
      <c r="Q366" s="575"/>
      <c r="R366" s="575"/>
      <c r="S366" s="575"/>
      <c r="T366" s="575"/>
      <c r="U366" s="575"/>
      <c r="V366" s="575"/>
      <c r="W366" s="575"/>
      <c r="X366" s="575"/>
      <c r="Y366" s="575"/>
      <c r="Z366" s="575"/>
    </row>
    <row r="367">
      <c r="A367" s="582"/>
      <c r="B367" s="583"/>
      <c r="C367" s="584"/>
      <c r="D367" s="585"/>
      <c r="E367" s="575"/>
      <c r="F367" s="575"/>
      <c r="G367" s="575"/>
      <c r="H367" s="575"/>
      <c r="I367" s="575"/>
      <c r="J367" s="575"/>
      <c r="K367" s="575"/>
      <c r="L367" s="575"/>
      <c r="M367" s="575"/>
      <c r="N367" s="575"/>
      <c r="O367" s="575"/>
      <c r="P367" s="575"/>
      <c r="Q367" s="575"/>
      <c r="R367" s="575"/>
      <c r="S367" s="575"/>
      <c r="T367" s="575"/>
      <c r="U367" s="575"/>
      <c r="V367" s="575"/>
      <c r="W367" s="575"/>
      <c r="X367" s="575"/>
      <c r="Y367" s="575"/>
      <c r="Z367" s="575"/>
    </row>
    <row r="368">
      <c r="A368" s="582"/>
      <c r="B368" s="583"/>
      <c r="C368" s="584"/>
      <c r="D368" s="585"/>
      <c r="E368" s="575"/>
      <c r="F368" s="575"/>
      <c r="G368" s="575"/>
      <c r="H368" s="575"/>
      <c r="I368" s="575"/>
      <c r="J368" s="575"/>
      <c r="K368" s="575"/>
      <c r="L368" s="575"/>
      <c r="M368" s="575"/>
      <c r="N368" s="575"/>
      <c r="O368" s="575"/>
      <c r="P368" s="575"/>
      <c r="Q368" s="575"/>
      <c r="R368" s="575"/>
      <c r="S368" s="575"/>
      <c r="T368" s="575"/>
      <c r="U368" s="575"/>
      <c r="V368" s="575"/>
      <c r="W368" s="575"/>
      <c r="X368" s="575"/>
      <c r="Y368" s="575"/>
      <c r="Z368" s="575"/>
    </row>
    <row r="369">
      <c r="A369" s="582"/>
      <c r="B369" s="583"/>
      <c r="C369" s="584"/>
      <c r="D369" s="585"/>
      <c r="E369" s="575"/>
      <c r="F369" s="575"/>
      <c r="G369" s="575"/>
      <c r="H369" s="575"/>
      <c r="I369" s="575"/>
      <c r="J369" s="575"/>
      <c r="K369" s="575"/>
      <c r="L369" s="575"/>
      <c r="M369" s="575"/>
      <c r="N369" s="575"/>
      <c r="O369" s="575"/>
      <c r="P369" s="575"/>
      <c r="Q369" s="575"/>
      <c r="R369" s="575"/>
      <c r="S369" s="575"/>
      <c r="T369" s="575"/>
      <c r="U369" s="575"/>
      <c r="V369" s="575"/>
      <c r="W369" s="575"/>
      <c r="X369" s="575"/>
      <c r="Y369" s="575"/>
      <c r="Z369" s="575"/>
    </row>
    <row r="370">
      <c r="A370" s="582"/>
      <c r="B370" s="583"/>
      <c r="C370" s="584"/>
      <c r="D370" s="585"/>
      <c r="E370" s="575"/>
      <c r="F370" s="575"/>
      <c r="G370" s="575"/>
      <c r="H370" s="575"/>
      <c r="I370" s="575"/>
      <c r="J370" s="575"/>
      <c r="K370" s="575"/>
      <c r="L370" s="575"/>
      <c r="M370" s="575"/>
      <c r="N370" s="575"/>
      <c r="O370" s="575"/>
      <c r="P370" s="575"/>
      <c r="Q370" s="575"/>
      <c r="R370" s="575"/>
      <c r="S370" s="575"/>
      <c r="T370" s="575"/>
      <c r="U370" s="575"/>
      <c r="V370" s="575"/>
      <c r="W370" s="575"/>
      <c r="X370" s="575"/>
      <c r="Y370" s="575"/>
      <c r="Z370" s="575"/>
    </row>
    <row r="371">
      <c r="A371" s="582"/>
      <c r="B371" s="583"/>
      <c r="C371" s="584"/>
      <c r="D371" s="585"/>
      <c r="E371" s="575"/>
      <c r="F371" s="575"/>
      <c r="G371" s="575"/>
      <c r="H371" s="575"/>
      <c r="I371" s="575"/>
      <c r="J371" s="575"/>
      <c r="K371" s="575"/>
      <c r="L371" s="575"/>
      <c r="M371" s="575"/>
      <c r="N371" s="575"/>
      <c r="O371" s="575"/>
      <c r="P371" s="575"/>
      <c r="Q371" s="575"/>
      <c r="R371" s="575"/>
      <c r="S371" s="575"/>
      <c r="T371" s="575"/>
      <c r="U371" s="575"/>
      <c r="V371" s="575"/>
      <c r="W371" s="575"/>
      <c r="X371" s="575"/>
      <c r="Y371" s="575"/>
      <c r="Z371" s="575"/>
    </row>
    <row r="372">
      <c r="A372" s="582"/>
      <c r="B372" s="583"/>
      <c r="C372" s="584"/>
      <c r="D372" s="585"/>
      <c r="E372" s="575"/>
      <c r="F372" s="575"/>
      <c r="G372" s="575"/>
      <c r="H372" s="575"/>
      <c r="I372" s="575"/>
      <c r="J372" s="575"/>
      <c r="K372" s="575"/>
      <c r="L372" s="575"/>
      <c r="M372" s="575"/>
      <c r="N372" s="575"/>
      <c r="O372" s="575"/>
      <c r="P372" s="575"/>
      <c r="Q372" s="575"/>
      <c r="R372" s="575"/>
      <c r="S372" s="575"/>
      <c r="T372" s="575"/>
      <c r="U372" s="575"/>
      <c r="V372" s="575"/>
      <c r="W372" s="575"/>
      <c r="X372" s="575"/>
      <c r="Y372" s="575"/>
      <c r="Z372" s="575"/>
    </row>
    <row r="373">
      <c r="A373" s="582"/>
      <c r="B373" s="583"/>
      <c r="C373" s="584"/>
      <c r="D373" s="585"/>
      <c r="E373" s="575"/>
      <c r="F373" s="575"/>
      <c r="G373" s="575"/>
      <c r="H373" s="575"/>
      <c r="I373" s="575"/>
      <c r="J373" s="575"/>
      <c r="K373" s="575"/>
      <c r="L373" s="575"/>
      <c r="M373" s="575"/>
      <c r="N373" s="575"/>
      <c r="O373" s="575"/>
      <c r="P373" s="575"/>
      <c r="Q373" s="575"/>
      <c r="R373" s="575"/>
      <c r="S373" s="575"/>
      <c r="T373" s="575"/>
      <c r="U373" s="575"/>
      <c r="V373" s="575"/>
      <c r="W373" s="575"/>
      <c r="X373" s="575"/>
      <c r="Y373" s="575"/>
      <c r="Z373" s="575"/>
    </row>
    <row r="374">
      <c r="A374" s="582"/>
      <c r="B374" s="583"/>
      <c r="C374" s="584"/>
      <c r="D374" s="585"/>
      <c r="E374" s="575"/>
      <c r="F374" s="575"/>
      <c r="G374" s="575"/>
      <c r="H374" s="575"/>
      <c r="I374" s="575"/>
      <c r="J374" s="575"/>
      <c r="K374" s="575"/>
      <c r="L374" s="575"/>
      <c r="M374" s="575"/>
      <c r="N374" s="575"/>
      <c r="O374" s="575"/>
      <c r="P374" s="575"/>
      <c r="Q374" s="575"/>
      <c r="R374" s="575"/>
      <c r="S374" s="575"/>
      <c r="T374" s="575"/>
      <c r="U374" s="575"/>
      <c r="V374" s="575"/>
      <c r="W374" s="575"/>
      <c r="X374" s="575"/>
      <c r="Y374" s="575"/>
      <c r="Z374" s="575"/>
    </row>
    <row r="375">
      <c r="A375" s="582"/>
      <c r="B375" s="583"/>
      <c r="C375" s="584"/>
      <c r="D375" s="585"/>
      <c r="E375" s="575"/>
      <c r="F375" s="575"/>
      <c r="G375" s="575"/>
      <c r="H375" s="575"/>
      <c r="I375" s="575"/>
      <c r="J375" s="575"/>
      <c r="K375" s="575"/>
      <c r="L375" s="575"/>
      <c r="M375" s="575"/>
      <c r="N375" s="575"/>
      <c r="O375" s="575"/>
      <c r="P375" s="575"/>
      <c r="Q375" s="575"/>
      <c r="R375" s="575"/>
      <c r="S375" s="575"/>
      <c r="T375" s="575"/>
      <c r="U375" s="575"/>
      <c r="V375" s="575"/>
      <c r="W375" s="575"/>
      <c r="X375" s="575"/>
      <c r="Y375" s="575"/>
      <c r="Z375" s="575"/>
    </row>
    <row r="376">
      <c r="A376" s="582"/>
      <c r="B376" s="583"/>
      <c r="C376" s="584"/>
      <c r="D376" s="585"/>
      <c r="E376" s="575"/>
      <c r="F376" s="575"/>
      <c r="G376" s="575"/>
      <c r="H376" s="575"/>
      <c r="I376" s="575"/>
      <c r="J376" s="575"/>
      <c r="K376" s="575"/>
      <c r="L376" s="575"/>
      <c r="M376" s="575"/>
      <c r="N376" s="575"/>
      <c r="O376" s="575"/>
      <c r="P376" s="575"/>
      <c r="Q376" s="575"/>
      <c r="R376" s="575"/>
      <c r="S376" s="575"/>
      <c r="T376" s="575"/>
      <c r="U376" s="575"/>
      <c r="V376" s="575"/>
      <c r="W376" s="575"/>
      <c r="X376" s="575"/>
      <c r="Y376" s="575"/>
      <c r="Z376" s="575"/>
    </row>
    <row r="377">
      <c r="A377" s="582"/>
      <c r="B377" s="583"/>
      <c r="C377" s="584"/>
      <c r="D377" s="585"/>
      <c r="E377" s="575"/>
      <c r="F377" s="575"/>
      <c r="G377" s="575"/>
      <c r="H377" s="575"/>
      <c r="I377" s="575"/>
      <c r="J377" s="575"/>
      <c r="K377" s="575"/>
      <c r="L377" s="575"/>
      <c r="M377" s="575"/>
      <c r="N377" s="575"/>
      <c r="O377" s="575"/>
      <c r="P377" s="575"/>
      <c r="Q377" s="575"/>
      <c r="R377" s="575"/>
      <c r="S377" s="575"/>
      <c r="T377" s="575"/>
      <c r="U377" s="575"/>
      <c r="V377" s="575"/>
      <c r="W377" s="575"/>
      <c r="X377" s="575"/>
      <c r="Y377" s="575"/>
      <c r="Z377" s="575"/>
    </row>
    <row r="378">
      <c r="A378" s="582"/>
      <c r="B378" s="583"/>
      <c r="C378" s="584"/>
      <c r="D378" s="585"/>
      <c r="E378" s="575"/>
      <c r="F378" s="575"/>
      <c r="G378" s="575"/>
      <c r="H378" s="575"/>
      <c r="I378" s="575"/>
      <c r="J378" s="575"/>
      <c r="K378" s="575"/>
      <c r="L378" s="575"/>
      <c r="M378" s="575"/>
      <c r="N378" s="575"/>
      <c r="O378" s="575"/>
      <c r="P378" s="575"/>
      <c r="Q378" s="575"/>
      <c r="R378" s="575"/>
      <c r="S378" s="575"/>
      <c r="T378" s="575"/>
      <c r="U378" s="575"/>
      <c r="V378" s="575"/>
      <c r="W378" s="575"/>
      <c r="X378" s="575"/>
      <c r="Y378" s="575"/>
      <c r="Z378" s="575"/>
    </row>
    <row r="379">
      <c r="A379" s="582"/>
      <c r="B379" s="583"/>
      <c r="C379" s="584"/>
      <c r="D379" s="585"/>
      <c r="E379" s="575"/>
      <c r="F379" s="575"/>
      <c r="G379" s="575"/>
      <c r="H379" s="575"/>
      <c r="I379" s="575"/>
      <c r="J379" s="575"/>
      <c r="K379" s="575"/>
      <c r="L379" s="575"/>
      <c r="M379" s="575"/>
      <c r="N379" s="575"/>
      <c r="O379" s="575"/>
      <c r="P379" s="575"/>
      <c r="Q379" s="575"/>
      <c r="R379" s="575"/>
      <c r="S379" s="575"/>
      <c r="T379" s="575"/>
      <c r="U379" s="575"/>
      <c r="V379" s="575"/>
      <c r="W379" s="575"/>
      <c r="X379" s="575"/>
      <c r="Y379" s="575"/>
      <c r="Z379" s="575"/>
    </row>
    <row r="380">
      <c r="A380" s="582"/>
      <c r="B380" s="583"/>
      <c r="C380" s="584"/>
      <c r="D380" s="585"/>
      <c r="E380" s="575"/>
      <c r="F380" s="575"/>
      <c r="G380" s="575"/>
      <c r="H380" s="575"/>
      <c r="I380" s="575"/>
      <c r="J380" s="575"/>
      <c r="K380" s="575"/>
      <c r="L380" s="575"/>
      <c r="M380" s="575"/>
      <c r="N380" s="575"/>
      <c r="O380" s="575"/>
      <c r="P380" s="575"/>
      <c r="Q380" s="575"/>
      <c r="R380" s="575"/>
      <c r="S380" s="575"/>
      <c r="T380" s="575"/>
      <c r="U380" s="575"/>
      <c r="V380" s="575"/>
      <c r="W380" s="575"/>
      <c r="X380" s="575"/>
      <c r="Y380" s="575"/>
      <c r="Z380" s="575"/>
    </row>
    <row r="381">
      <c r="A381" s="582"/>
      <c r="B381" s="583"/>
      <c r="C381" s="584"/>
      <c r="D381" s="585"/>
      <c r="E381" s="575"/>
      <c r="F381" s="575"/>
      <c r="G381" s="575"/>
      <c r="H381" s="575"/>
      <c r="I381" s="575"/>
      <c r="J381" s="575"/>
      <c r="K381" s="575"/>
      <c r="L381" s="575"/>
      <c r="M381" s="575"/>
      <c r="N381" s="575"/>
      <c r="O381" s="575"/>
      <c r="P381" s="575"/>
      <c r="Q381" s="575"/>
      <c r="R381" s="575"/>
      <c r="S381" s="575"/>
      <c r="T381" s="575"/>
      <c r="U381" s="575"/>
      <c r="V381" s="575"/>
      <c r="W381" s="575"/>
      <c r="X381" s="575"/>
      <c r="Y381" s="575"/>
      <c r="Z381" s="575"/>
    </row>
    <row r="382">
      <c r="A382" s="582"/>
      <c r="B382" s="583"/>
      <c r="C382" s="584"/>
      <c r="D382" s="585"/>
      <c r="E382" s="575"/>
      <c r="F382" s="575"/>
      <c r="G382" s="575"/>
      <c r="H382" s="575"/>
      <c r="I382" s="575"/>
      <c r="J382" s="575"/>
      <c r="K382" s="575"/>
      <c r="L382" s="575"/>
      <c r="M382" s="575"/>
      <c r="N382" s="575"/>
      <c r="O382" s="575"/>
      <c r="P382" s="575"/>
      <c r="Q382" s="575"/>
      <c r="R382" s="575"/>
      <c r="S382" s="575"/>
      <c r="T382" s="575"/>
      <c r="U382" s="575"/>
      <c r="V382" s="575"/>
      <c r="W382" s="575"/>
      <c r="X382" s="575"/>
      <c r="Y382" s="575"/>
      <c r="Z382" s="575"/>
    </row>
    <row r="383">
      <c r="A383" s="582"/>
      <c r="B383" s="583"/>
      <c r="C383" s="584"/>
      <c r="D383" s="585"/>
      <c r="E383" s="575"/>
      <c r="F383" s="575"/>
      <c r="G383" s="575"/>
      <c r="H383" s="575"/>
      <c r="I383" s="575"/>
      <c r="J383" s="575"/>
      <c r="K383" s="575"/>
      <c r="L383" s="575"/>
      <c r="M383" s="575"/>
      <c r="N383" s="575"/>
      <c r="O383" s="575"/>
      <c r="P383" s="575"/>
      <c r="Q383" s="575"/>
      <c r="R383" s="575"/>
      <c r="S383" s="575"/>
      <c r="T383" s="575"/>
      <c r="U383" s="575"/>
      <c r="V383" s="575"/>
      <c r="W383" s="575"/>
      <c r="X383" s="575"/>
      <c r="Y383" s="575"/>
      <c r="Z383" s="575"/>
    </row>
    <row r="384">
      <c r="A384" s="582"/>
      <c r="B384" s="583"/>
      <c r="C384" s="584"/>
      <c r="D384" s="585"/>
      <c r="E384" s="575"/>
      <c r="F384" s="575"/>
      <c r="G384" s="575"/>
      <c r="H384" s="575"/>
      <c r="I384" s="575"/>
      <c r="J384" s="575"/>
      <c r="K384" s="575"/>
      <c r="L384" s="575"/>
      <c r="M384" s="575"/>
      <c r="N384" s="575"/>
      <c r="O384" s="575"/>
      <c r="P384" s="575"/>
      <c r="Q384" s="575"/>
      <c r="R384" s="575"/>
      <c r="S384" s="575"/>
      <c r="T384" s="575"/>
      <c r="U384" s="575"/>
      <c r="V384" s="575"/>
      <c r="W384" s="575"/>
      <c r="X384" s="575"/>
      <c r="Y384" s="575"/>
      <c r="Z384" s="575"/>
    </row>
    <row r="385">
      <c r="A385" s="582"/>
      <c r="B385" s="583"/>
      <c r="C385" s="584"/>
      <c r="D385" s="585"/>
      <c r="E385" s="575"/>
      <c r="F385" s="575"/>
      <c r="G385" s="575"/>
      <c r="H385" s="575"/>
      <c r="I385" s="575"/>
      <c r="J385" s="575"/>
      <c r="K385" s="575"/>
      <c r="L385" s="575"/>
      <c r="M385" s="575"/>
      <c r="N385" s="575"/>
      <c r="O385" s="575"/>
      <c r="P385" s="575"/>
      <c r="Q385" s="575"/>
      <c r="R385" s="575"/>
      <c r="S385" s="575"/>
      <c r="T385" s="575"/>
      <c r="U385" s="575"/>
      <c r="V385" s="575"/>
      <c r="W385" s="575"/>
      <c r="X385" s="575"/>
      <c r="Y385" s="575"/>
      <c r="Z385" s="575"/>
    </row>
    <row r="386">
      <c r="A386" s="582"/>
      <c r="B386" s="583"/>
      <c r="C386" s="584"/>
      <c r="D386" s="585"/>
      <c r="E386" s="575"/>
      <c r="F386" s="575"/>
      <c r="G386" s="575"/>
      <c r="H386" s="575"/>
      <c r="I386" s="575"/>
      <c r="J386" s="575"/>
      <c r="K386" s="575"/>
      <c r="L386" s="575"/>
      <c r="M386" s="575"/>
      <c r="N386" s="575"/>
      <c r="O386" s="575"/>
      <c r="P386" s="575"/>
      <c r="Q386" s="575"/>
      <c r="R386" s="575"/>
      <c r="S386" s="575"/>
      <c r="T386" s="575"/>
      <c r="U386" s="575"/>
      <c r="V386" s="575"/>
      <c r="W386" s="575"/>
      <c r="X386" s="575"/>
      <c r="Y386" s="575"/>
      <c r="Z386" s="575"/>
    </row>
    <row r="387">
      <c r="A387" s="582"/>
      <c r="B387" s="583"/>
      <c r="C387" s="584"/>
      <c r="D387" s="585"/>
      <c r="E387" s="575"/>
      <c r="F387" s="575"/>
      <c r="G387" s="575"/>
      <c r="H387" s="575"/>
      <c r="I387" s="575"/>
      <c r="J387" s="575"/>
      <c r="K387" s="575"/>
      <c r="L387" s="575"/>
      <c r="M387" s="575"/>
      <c r="N387" s="575"/>
      <c r="O387" s="575"/>
      <c r="P387" s="575"/>
      <c r="Q387" s="575"/>
      <c r="R387" s="575"/>
      <c r="S387" s="575"/>
      <c r="T387" s="575"/>
      <c r="U387" s="575"/>
      <c r="V387" s="575"/>
      <c r="W387" s="575"/>
      <c r="X387" s="575"/>
      <c r="Y387" s="575"/>
      <c r="Z387" s="575"/>
    </row>
    <row r="388">
      <c r="A388" s="582"/>
      <c r="B388" s="583"/>
      <c r="C388" s="584"/>
      <c r="D388" s="585"/>
      <c r="E388" s="575"/>
      <c r="F388" s="575"/>
      <c r="G388" s="575"/>
      <c r="H388" s="575"/>
      <c r="I388" s="575"/>
      <c r="J388" s="575"/>
      <c r="K388" s="575"/>
      <c r="L388" s="575"/>
      <c r="M388" s="575"/>
      <c r="N388" s="575"/>
      <c r="O388" s="575"/>
      <c r="P388" s="575"/>
      <c r="Q388" s="575"/>
      <c r="R388" s="575"/>
      <c r="S388" s="575"/>
      <c r="T388" s="575"/>
      <c r="U388" s="575"/>
      <c r="V388" s="575"/>
      <c r="W388" s="575"/>
      <c r="X388" s="575"/>
      <c r="Y388" s="575"/>
      <c r="Z388" s="575"/>
    </row>
    <row r="389">
      <c r="A389" s="582"/>
      <c r="B389" s="583"/>
      <c r="C389" s="584"/>
      <c r="D389" s="585"/>
      <c r="E389" s="575"/>
      <c r="F389" s="575"/>
      <c r="G389" s="575"/>
      <c r="H389" s="575"/>
      <c r="I389" s="575"/>
      <c r="J389" s="575"/>
      <c r="K389" s="575"/>
      <c r="L389" s="575"/>
      <c r="M389" s="575"/>
      <c r="N389" s="575"/>
      <c r="O389" s="575"/>
      <c r="P389" s="575"/>
      <c r="Q389" s="575"/>
      <c r="R389" s="575"/>
      <c r="S389" s="575"/>
      <c r="T389" s="575"/>
      <c r="U389" s="575"/>
      <c r="V389" s="575"/>
      <c r="W389" s="575"/>
      <c r="X389" s="575"/>
      <c r="Y389" s="575"/>
      <c r="Z389" s="575"/>
    </row>
    <row r="390">
      <c r="A390" s="582"/>
      <c r="B390" s="583"/>
      <c r="C390" s="584"/>
      <c r="D390" s="585"/>
      <c r="E390" s="575"/>
      <c r="F390" s="575"/>
      <c r="G390" s="575"/>
      <c r="H390" s="575"/>
      <c r="I390" s="575"/>
      <c r="J390" s="575"/>
      <c r="K390" s="575"/>
      <c r="L390" s="575"/>
      <c r="M390" s="575"/>
      <c r="N390" s="575"/>
      <c r="O390" s="575"/>
      <c r="P390" s="575"/>
      <c r="Q390" s="575"/>
      <c r="R390" s="575"/>
      <c r="S390" s="575"/>
      <c r="T390" s="575"/>
      <c r="U390" s="575"/>
      <c r="V390" s="575"/>
      <c r="W390" s="575"/>
      <c r="X390" s="575"/>
      <c r="Y390" s="575"/>
      <c r="Z390" s="575"/>
    </row>
    <row r="391">
      <c r="A391" s="582"/>
      <c r="B391" s="583"/>
      <c r="C391" s="584"/>
      <c r="D391" s="585"/>
      <c r="E391" s="575"/>
      <c r="F391" s="575"/>
      <c r="G391" s="575"/>
      <c r="H391" s="575"/>
      <c r="I391" s="575"/>
      <c r="J391" s="575"/>
      <c r="K391" s="575"/>
      <c r="L391" s="575"/>
      <c r="M391" s="575"/>
      <c r="N391" s="575"/>
      <c r="O391" s="575"/>
      <c r="P391" s="575"/>
      <c r="Q391" s="575"/>
      <c r="R391" s="575"/>
      <c r="S391" s="575"/>
      <c r="T391" s="575"/>
      <c r="U391" s="575"/>
      <c r="V391" s="575"/>
      <c r="W391" s="575"/>
      <c r="X391" s="575"/>
      <c r="Y391" s="575"/>
      <c r="Z391" s="575"/>
    </row>
    <row r="392">
      <c r="A392" s="582"/>
      <c r="B392" s="583"/>
      <c r="C392" s="584"/>
      <c r="D392" s="585"/>
      <c r="E392" s="575"/>
      <c r="F392" s="575"/>
      <c r="G392" s="575"/>
      <c r="H392" s="575"/>
      <c r="I392" s="575"/>
      <c r="J392" s="575"/>
      <c r="K392" s="575"/>
      <c r="L392" s="575"/>
      <c r="M392" s="575"/>
      <c r="N392" s="575"/>
      <c r="O392" s="575"/>
      <c r="P392" s="575"/>
      <c r="Q392" s="575"/>
      <c r="R392" s="575"/>
      <c r="S392" s="575"/>
      <c r="T392" s="575"/>
      <c r="U392" s="575"/>
      <c r="V392" s="575"/>
      <c r="W392" s="575"/>
      <c r="X392" s="575"/>
      <c r="Y392" s="575"/>
      <c r="Z392" s="575"/>
    </row>
    <row r="393">
      <c r="A393" s="582"/>
      <c r="B393" s="583"/>
      <c r="C393" s="584"/>
      <c r="D393" s="585"/>
      <c r="E393" s="575"/>
      <c r="F393" s="575"/>
      <c r="G393" s="575"/>
      <c r="H393" s="575"/>
      <c r="I393" s="575"/>
      <c r="J393" s="575"/>
      <c r="K393" s="575"/>
      <c r="L393" s="575"/>
      <c r="M393" s="575"/>
      <c r="N393" s="575"/>
      <c r="O393" s="575"/>
      <c r="P393" s="575"/>
      <c r="Q393" s="575"/>
      <c r="R393" s="575"/>
      <c r="S393" s="575"/>
      <c r="T393" s="575"/>
      <c r="U393" s="575"/>
      <c r="V393" s="575"/>
      <c r="W393" s="575"/>
      <c r="X393" s="575"/>
      <c r="Y393" s="575"/>
      <c r="Z393" s="575"/>
    </row>
    <row r="394">
      <c r="A394" s="582"/>
      <c r="B394" s="583"/>
      <c r="C394" s="584"/>
      <c r="D394" s="585"/>
      <c r="E394" s="575"/>
      <c r="F394" s="575"/>
      <c r="G394" s="575"/>
      <c r="H394" s="575"/>
      <c r="I394" s="575"/>
      <c r="J394" s="575"/>
      <c r="K394" s="575"/>
      <c r="L394" s="575"/>
      <c r="M394" s="575"/>
      <c r="N394" s="575"/>
      <c r="O394" s="575"/>
      <c r="P394" s="575"/>
      <c r="Q394" s="575"/>
      <c r="R394" s="575"/>
      <c r="S394" s="575"/>
      <c r="T394" s="575"/>
      <c r="U394" s="575"/>
      <c r="V394" s="575"/>
      <c r="W394" s="575"/>
      <c r="X394" s="575"/>
      <c r="Y394" s="575"/>
      <c r="Z394" s="575"/>
    </row>
    <row r="395">
      <c r="A395" s="582"/>
      <c r="B395" s="583"/>
      <c r="C395" s="584"/>
      <c r="D395" s="585"/>
      <c r="E395" s="575"/>
      <c r="F395" s="575"/>
      <c r="G395" s="575"/>
      <c r="H395" s="575"/>
      <c r="I395" s="575"/>
      <c r="J395" s="575"/>
      <c r="K395" s="575"/>
      <c r="L395" s="575"/>
      <c r="M395" s="575"/>
      <c r="N395" s="575"/>
      <c r="O395" s="575"/>
      <c r="P395" s="575"/>
      <c r="Q395" s="575"/>
      <c r="R395" s="575"/>
      <c r="S395" s="575"/>
      <c r="T395" s="575"/>
      <c r="U395" s="575"/>
      <c r="V395" s="575"/>
      <c r="W395" s="575"/>
      <c r="X395" s="575"/>
      <c r="Y395" s="575"/>
      <c r="Z395" s="575"/>
    </row>
    <row r="396">
      <c r="A396" s="582"/>
      <c r="B396" s="583"/>
      <c r="C396" s="584"/>
      <c r="D396" s="585"/>
      <c r="E396" s="575"/>
      <c r="F396" s="575"/>
      <c r="G396" s="575"/>
      <c r="H396" s="575"/>
      <c r="I396" s="575"/>
      <c r="J396" s="575"/>
      <c r="K396" s="575"/>
      <c r="L396" s="575"/>
      <c r="M396" s="575"/>
      <c r="N396" s="575"/>
      <c r="O396" s="575"/>
      <c r="P396" s="575"/>
      <c r="Q396" s="575"/>
      <c r="R396" s="575"/>
      <c r="S396" s="575"/>
      <c r="T396" s="575"/>
      <c r="U396" s="575"/>
      <c r="V396" s="575"/>
      <c r="W396" s="575"/>
      <c r="X396" s="575"/>
      <c r="Y396" s="575"/>
      <c r="Z396" s="575"/>
    </row>
    <row r="397">
      <c r="A397" s="582"/>
      <c r="B397" s="583"/>
      <c r="C397" s="584"/>
      <c r="D397" s="585"/>
      <c r="E397" s="575"/>
      <c r="F397" s="575"/>
      <c r="G397" s="575"/>
      <c r="H397" s="575"/>
      <c r="I397" s="575"/>
      <c r="J397" s="575"/>
      <c r="K397" s="575"/>
      <c r="L397" s="575"/>
      <c r="M397" s="575"/>
      <c r="N397" s="575"/>
      <c r="O397" s="575"/>
      <c r="P397" s="575"/>
      <c r="Q397" s="575"/>
      <c r="R397" s="575"/>
      <c r="S397" s="575"/>
      <c r="T397" s="575"/>
      <c r="U397" s="575"/>
      <c r="V397" s="575"/>
      <c r="W397" s="575"/>
      <c r="X397" s="575"/>
      <c r="Y397" s="575"/>
      <c r="Z397" s="575"/>
    </row>
    <row r="398">
      <c r="A398" s="582"/>
      <c r="B398" s="583"/>
      <c r="C398" s="584"/>
      <c r="D398" s="585"/>
      <c r="E398" s="575"/>
      <c r="F398" s="575"/>
      <c r="G398" s="575"/>
      <c r="H398" s="575"/>
      <c r="I398" s="575"/>
      <c r="J398" s="575"/>
      <c r="K398" s="575"/>
      <c r="L398" s="575"/>
      <c r="M398" s="575"/>
      <c r="N398" s="575"/>
      <c r="O398" s="575"/>
      <c r="P398" s="575"/>
      <c r="Q398" s="575"/>
      <c r="R398" s="575"/>
      <c r="S398" s="575"/>
      <c r="T398" s="575"/>
      <c r="U398" s="575"/>
      <c r="V398" s="575"/>
      <c r="W398" s="575"/>
      <c r="X398" s="575"/>
      <c r="Y398" s="575"/>
      <c r="Z398" s="575"/>
    </row>
    <row r="399">
      <c r="A399" s="582"/>
      <c r="B399" s="583"/>
      <c r="C399" s="584"/>
      <c r="D399" s="585"/>
      <c r="E399" s="575"/>
      <c r="F399" s="575"/>
      <c r="G399" s="575"/>
      <c r="H399" s="575"/>
      <c r="I399" s="575"/>
      <c r="J399" s="575"/>
      <c r="K399" s="575"/>
      <c r="L399" s="575"/>
      <c r="M399" s="575"/>
      <c r="N399" s="575"/>
      <c r="O399" s="575"/>
      <c r="P399" s="575"/>
      <c r="Q399" s="575"/>
      <c r="R399" s="575"/>
      <c r="S399" s="575"/>
      <c r="T399" s="575"/>
      <c r="U399" s="575"/>
      <c r="V399" s="575"/>
      <c r="W399" s="575"/>
      <c r="X399" s="575"/>
      <c r="Y399" s="575"/>
      <c r="Z399" s="575"/>
    </row>
    <row r="400">
      <c r="A400" s="582"/>
      <c r="B400" s="583"/>
      <c r="C400" s="584"/>
      <c r="D400" s="585"/>
      <c r="E400" s="575"/>
      <c r="F400" s="575"/>
      <c r="G400" s="575"/>
      <c r="H400" s="575"/>
      <c r="I400" s="575"/>
      <c r="J400" s="575"/>
      <c r="K400" s="575"/>
      <c r="L400" s="575"/>
      <c r="M400" s="575"/>
      <c r="N400" s="575"/>
      <c r="O400" s="575"/>
      <c r="P400" s="575"/>
      <c r="Q400" s="575"/>
      <c r="R400" s="575"/>
      <c r="S400" s="575"/>
      <c r="T400" s="575"/>
      <c r="U400" s="575"/>
      <c r="V400" s="575"/>
      <c r="W400" s="575"/>
      <c r="X400" s="575"/>
      <c r="Y400" s="575"/>
      <c r="Z400" s="575"/>
    </row>
    <row r="401">
      <c r="A401" s="582"/>
      <c r="B401" s="583"/>
      <c r="C401" s="584"/>
      <c r="D401" s="585"/>
      <c r="E401" s="575"/>
      <c r="F401" s="575"/>
      <c r="G401" s="575"/>
      <c r="H401" s="575"/>
      <c r="I401" s="575"/>
      <c r="J401" s="575"/>
      <c r="K401" s="575"/>
      <c r="L401" s="575"/>
      <c r="M401" s="575"/>
      <c r="N401" s="575"/>
      <c r="O401" s="575"/>
      <c r="P401" s="575"/>
      <c r="Q401" s="575"/>
      <c r="R401" s="575"/>
      <c r="S401" s="575"/>
      <c r="T401" s="575"/>
      <c r="U401" s="575"/>
      <c r="V401" s="575"/>
      <c r="W401" s="575"/>
      <c r="X401" s="575"/>
      <c r="Y401" s="575"/>
      <c r="Z401" s="575"/>
    </row>
    <row r="402">
      <c r="A402" s="582"/>
      <c r="B402" s="583"/>
      <c r="C402" s="584"/>
      <c r="D402" s="585"/>
      <c r="E402" s="575"/>
      <c r="F402" s="575"/>
      <c r="G402" s="575"/>
      <c r="H402" s="575"/>
      <c r="I402" s="575"/>
      <c r="J402" s="575"/>
      <c r="K402" s="575"/>
      <c r="L402" s="575"/>
      <c r="M402" s="575"/>
      <c r="N402" s="575"/>
      <c r="O402" s="575"/>
      <c r="P402" s="575"/>
      <c r="Q402" s="575"/>
      <c r="R402" s="575"/>
      <c r="S402" s="575"/>
      <c r="T402" s="575"/>
      <c r="U402" s="575"/>
      <c r="V402" s="575"/>
      <c r="W402" s="575"/>
      <c r="X402" s="575"/>
      <c r="Y402" s="575"/>
      <c r="Z402" s="575"/>
    </row>
    <row r="403">
      <c r="A403" s="582"/>
      <c r="B403" s="583"/>
      <c r="C403" s="584"/>
      <c r="D403" s="585"/>
      <c r="E403" s="575"/>
      <c r="F403" s="575"/>
      <c r="G403" s="575"/>
      <c r="H403" s="575"/>
      <c r="I403" s="575"/>
      <c r="J403" s="575"/>
      <c r="K403" s="575"/>
      <c r="L403" s="575"/>
      <c r="M403" s="575"/>
      <c r="N403" s="575"/>
      <c r="O403" s="575"/>
      <c r="P403" s="575"/>
      <c r="Q403" s="575"/>
      <c r="R403" s="575"/>
      <c r="S403" s="575"/>
      <c r="T403" s="575"/>
      <c r="U403" s="575"/>
      <c r="V403" s="575"/>
      <c r="W403" s="575"/>
      <c r="X403" s="575"/>
      <c r="Y403" s="575"/>
      <c r="Z403" s="575"/>
    </row>
    <row r="404">
      <c r="A404" s="582"/>
      <c r="B404" s="583"/>
      <c r="C404" s="584"/>
      <c r="D404" s="585"/>
      <c r="E404" s="575"/>
      <c r="F404" s="575"/>
      <c r="G404" s="575"/>
      <c r="H404" s="575"/>
      <c r="I404" s="575"/>
      <c r="J404" s="575"/>
      <c r="K404" s="575"/>
      <c r="L404" s="575"/>
      <c r="M404" s="575"/>
      <c r="N404" s="575"/>
      <c r="O404" s="575"/>
      <c r="P404" s="575"/>
      <c r="Q404" s="575"/>
      <c r="R404" s="575"/>
      <c r="S404" s="575"/>
      <c r="T404" s="575"/>
      <c r="U404" s="575"/>
      <c r="V404" s="575"/>
      <c r="W404" s="575"/>
      <c r="X404" s="575"/>
      <c r="Y404" s="575"/>
      <c r="Z404" s="575"/>
    </row>
    <row r="405">
      <c r="A405" s="582"/>
      <c r="B405" s="583"/>
      <c r="C405" s="584"/>
      <c r="D405" s="585"/>
      <c r="E405" s="575"/>
      <c r="F405" s="575"/>
      <c r="G405" s="575"/>
      <c r="H405" s="575"/>
      <c r="I405" s="575"/>
      <c r="J405" s="575"/>
      <c r="K405" s="575"/>
      <c r="L405" s="575"/>
      <c r="M405" s="575"/>
      <c r="N405" s="575"/>
      <c r="O405" s="575"/>
      <c r="P405" s="575"/>
      <c r="Q405" s="575"/>
      <c r="R405" s="575"/>
      <c r="S405" s="575"/>
      <c r="T405" s="575"/>
      <c r="U405" s="575"/>
      <c r="V405" s="575"/>
      <c r="W405" s="575"/>
      <c r="X405" s="575"/>
      <c r="Y405" s="575"/>
      <c r="Z405" s="575"/>
    </row>
    <row r="406">
      <c r="A406" s="582"/>
      <c r="B406" s="583"/>
      <c r="C406" s="584"/>
      <c r="D406" s="585"/>
      <c r="E406" s="575"/>
      <c r="F406" s="575"/>
      <c r="G406" s="575"/>
      <c r="H406" s="575"/>
      <c r="I406" s="575"/>
      <c r="J406" s="575"/>
      <c r="K406" s="575"/>
      <c r="L406" s="575"/>
      <c r="M406" s="575"/>
      <c r="N406" s="575"/>
      <c r="O406" s="575"/>
      <c r="P406" s="575"/>
      <c r="Q406" s="575"/>
      <c r="R406" s="575"/>
      <c r="S406" s="575"/>
      <c r="T406" s="575"/>
      <c r="U406" s="575"/>
      <c r="V406" s="575"/>
      <c r="W406" s="575"/>
      <c r="X406" s="575"/>
      <c r="Y406" s="575"/>
      <c r="Z406" s="575"/>
    </row>
    <row r="407">
      <c r="A407" s="582"/>
      <c r="B407" s="583"/>
      <c r="C407" s="584"/>
      <c r="D407" s="585"/>
      <c r="E407" s="575"/>
      <c r="F407" s="575"/>
      <c r="G407" s="575"/>
      <c r="H407" s="575"/>
      <c r="I407" s="575"/>
      <c r="J407" s="575"/>
      <c r="K407" s="575"/>
      <c r="L407" s="575"/>
      <c r="M407" s="575"/>
      <c r="N407" s="575"/>
      <c r="O407" s="575"/>
      <c r="P407" s="575"/>
      <c r="Q407" s="575"/>
      <c r="R407" s="575"/>
      <c r="S407" s="575"/>
      <c r="T407" s="575"/>
      <c r="U407" s="575"/>
      <c r="V407" s="575"/>
      <c r="W407" s="575"/>
      <c r="X407" s="575"/>
      <c r="Y407" s="575"/>
      <c r="Z407" s="575"/>
    </row>
    <row r="408">
      <c r="A408" s="582"/>
      <c r="B408" s="583"/>
      <c r="C408" s="584"/>
      <c r="D408" s="585"/>
      <c r="E408" s="575"/>
      <c r="F408" s="575"/>
      <c r="G408" s="575"/>
      <c r="H408" s="575"/>
      <c r="I408" s="575"/>
      <c r="J408" s="575"/>
      <c r="K408" s="575"/>
      <c r="L408" s="575"/>
      <c r="M408" s="575"/>
      <c r="N408" s="575"/>
      <c r="O408" s="575"/>
      <c r="P408" s="575"/>
      <c r="Q408" s="575"/>
      <c r="R408" s="575"/>
      <c r="S408" s="575"/>
      <c r="T408" s="575"/>
      <c r="U408" s="575"/>
      <c r="V408" s="575"/>
      <c r="W408" s="575"/>
      <c r="X408" s="575"/>
      <c r="Y408" s="575"/>
      <c r="Z408" s="575"/>
    </row>
    <row r="409">
      <c r="A409" s="582"/>
      <c r="B409" s="583"/>
      <c r="C409" s="584"/>
      <c r="D409" s="585"/>
      <c r="E409" s="575"/>
      <c r="F409" s="575"/>
      <c r="G409" s="575"/>
      <c r="H409" s="575"/>
      <c r="I409" s="575"/>
      <c r="J409" s="575"/>
      <c r="K409" s="575"/>
      <c r="L409" s="575"/>
      <c r="M409" s="575"/>
      <c r="N409" s="575"/>
      <c r="O409" s="575"/>
      <c r="P409" s="575"/>
      <c r="Q409" s="575"/>
      <c r="R409" s="575"/>
      <c r="S409" s="575"/>
      <c r="T409" s="575"/>
      <c r="U409" s="575"/>
      <c r="V409" s="575"/>
      <c r="W409" s="575"/>
      <c r="X409" s="575"/>
      <c r="Y409" s="575"/>
      <c r="Z409" s="575"/>
    </row>
    <row r="410">
      <c r="A410" s="582"/>
      <c r="B410" s="583"/>
      <c r="C410" s="584"/>
      <c r="D410" s="585"/>
      <c r="E410" s="575"/>
      <c r="F410" s="575"/>
      <c r="G410" s="575"/>
      <c r="H410" s="575"/>
      <c r="I410" s="575"/>
      <c r="J410" s="575"/>
      <c r="K410" s="575"/>
      <c r="L410" s="575"/>
      <c r="M410" s="575"/>
      <c r="N410" s="575"/>
      <c r="O410" s="575"/>
      <c r="P410" s="575"/>
      <c r="Q410" s="575"/>
      <c r="R410" s="575"/>
      <c r="S410" s="575"/>
      <c r="T410" s="575"/>
      <c r="U410" s="575"/>
      <c r="V410" s="575"/>
      <c r="W410" s="575"/>
      <c r="X410" s="575"/>
      <c r="Y410" s="575"/>
      <c r="Z410" s="575"/>
    </row>
    <row r="411">
      <c r="A411" s="582"/>
      <c r="B411" s="583"/>
      <c r="C411" s="584"/>
      <c r="D411" s="585"/>
      <c r="E411" s="575"/>
      <c r="F411" s="575"/>
      <c r="G411" s="575"/>
      <c r="H411" s="575"/>
      <c r="I411" s="575"/>
      <c r="J411" s="575"/>
      <c r="K411" s="575"/>
      <c r="L411" s="575"/>
      <c r="M411" s="575"/>
      <c r="N411" s="575"/>
      <c r="O411" s="575"/>
      <c r="P411" s="575"/>
      <c r="Q411" s="575"/>
      <c r="R411" s="575"/>
      <c r="S411" s="575"/>
      <c r="T411" s="575"/>
      <c r="U411" s="575"/>
      <c r="V411" s="575"/>
      <c r="W411" s="575"/>
      <c r="X411" s="575"/>
      <c r="Y411" s="575"/>
      <c r="Z411" s="575"/>
    </row>
    <row r="412">
      <c r="A412" s="582"/>
      <c r="B412" s="583"/>
      <c r="C412" s="584"/>
      <c r="D412" s="585"/>
      <c r="E412" s="575"/>
      <c r="F412" s="575"/>
      <c r="G412" s="575"/>
      <c r="H412" s="575"/>
      <c r="I412" s="575"/>
      <c r="J412" s="575"/>
      <c r="K412" s="575"/>
      <c r="L412" s="575"/>
      <c r="M412" s="575"/>
      <c r="N412" s="575"/>
      <c r="O412" s="575"/>
      <c r="P412" s="575"/>
      <c r="Q412" s="575"/>
      <c r="R412" s="575"/>
      <c r="S412" s="575"/>
      <c r="T412" s="575"/>
      <c r="U412" s="575"/>
      <c r="V412" s="575"/>
      <c r="W412" s="575"/>
      <c r="X412" s="575"/>
      <c r="Y412" s="575"/>
      <c r="Z412" s="575"/>
    </row>
    <row r="413">
      <c r="A413" s="582"/>
      <c r="B413" s="583"/>
      <c r="C413" s="584"/>
      <c r="D413" s="585"/>
      <c r="E413" s="575"/>
      <c r="F413" s="575"/>
      <c r="G413" s="575"/>
      <c r="H413" s="575"/>
      <c r="I413" s="575"/>
      <c r="J413" s="575"/>
      <c r="K413" s="575"/>
      <c r="L413" s="575"/>
      <c r="M413" s="575"/>
      <c r="N413" s="575"/>
      <c r="O413" s="575"/>
      <c r="P413" s="575"/>
      <c r="Q413" s="575"/>
      <c r="R413" s="575"/>
      <c r="S413" s="575"/>
      <c r="T413" s="575"/>
      <c r="U413" s="575"/>
      <c r="V413" s="575"/>
      <c r="W413" s="575"/>
      <c r="X413" s="575"/>
      <c r="Y413" s="575"/>
      <c r="Z413" s="575"/>
    </row>
    <row r="414">
      <c r="A414" s="582"/>
      <c r="B414" s="583"/>
      <c r="C414" s="584"/>
      <c r="D414" s="585"/>
      <c r="E414" s="575"/>
      <c r="F414" s="575"/>
      <c r="G414" s="575"/>
      <c r="H414" s="575"/>
      <c r="I414" s="575"/>
      <c r="J414" s="575"/>
      <c r="K414" s="575"/>
      <c r="L414" s="575"/>
      <c r="M414" s="575"/>
      <c r="N414" s="575"/>
      <c r="O414" s="575"/>
      <c r="P414" s="575"/>
      <c r="Q414" s="575"/>
      <c r="R414" s="575"/>
      <c r="S414" s="575"/>
      <c r="T414" s="575"/>
      <c r="U414" s="575"/>
      <c r="V414" s="575"/>
      <c r="W414" s="575"/>
      <c r="X414" s="575"/>
      <c r="Y414" s="575"/>
      <c r="Z414" s="575"/>
    </row>
    <row r="415">
      <c r="A415" s="582"/>
      <c r="B415" s="583"/>
      <c r="C415" s="584"/>
      <c r="D415" s="585"/>
      <c r="E415" s="575"/>
      <c r="F415" s="575"/>
      <c r="G415" s="575"/>
      <c r="H415" s="575"/>
      <c r="I415" s="575"/>
      <c r="J415" s="575"/>
      <c r="K415" s="575"/>
      <c r="L415" s="575"/>
      <c r="M415" s="575"/>
      <c r="N415" s="575"/>
      <c r="O415" s="575"/>
      <c r="P415" s="575"/>
      <c r="Q415" s="575"/>
      <c r="R415" s="575"/>
      <c r="S415" s="575"/>
      <c r="T415" s="575"/>
      <c r="U415" s="575"/>
      <c r="V415" s="575"/>
      <c r="W415" s="575"/>
      <c r="X415" s="575"/>
      <c r="Y415" s="575"/>
      <c r="Z415" s="575"/>
    </row>
    <row r="416">
      <c r="A416" s="582"/>
      <c r="B416" s="583"/>
      <c r="C416" s="584"/>
      <c r="D416" s="585"/>
      <c r="E416" s="575"/>
      <c r="F416" s="575"/>
      <c r="G416" s="575"/>
      <c r="H416" s="575"/>
      <c r="I416" s="575"/>
      <c r="J416" s="575"/>
      <c r="K416" s="575"/>
      <c r="L416" s="575"/>
      <c r="M416" s="575"/>
      <c r="N416" s="575"/>
      <c r="O416" s="575"/>
      <c r="P416" s="575"/>
      <c r="Q416" s="575"/>
      <c r="R416" s="575"/>
      <c r="S416" s="575"/>
      <c r="T416" s="575"/>
      <c r="U416" s="575"/>
      <c r="V416" s="575"/>
      <c r="W416" s="575"/>
      <c r="X416" s="575"/>
      <c r="Y416" s="575"/>
      <c r="Z416" s="575"/>
    </row>
    <row r="417">
      <c r="A417" s="582"/>
      <c r="B417" s="583"/>
      <c r="C417" s="584"/>
      <c r="D417" s="585"/>
      <c r="E417" s="575"/>
      <c r="F417" s="575"/>
      <c r="G417" s="575"/>
      <c r="H417" s="575"/>
      <c r="I417" s="575"/>
      <c r="J417" s="575"/>
      <c r="K417" s="575"/>
      <c r="L417" s="575"/>
      <c r="M417" s="575"/>
      <c r="N417" s="575"/>
      <c r="O417" s="575"/>
      <c r="P417" s="575"/>
      <c r="Q417" s="575"/>
      <c r="R417" s="575"/>
      <c r="S417" s="575"/>
      <c r="T417" s="575"/>
      <c r="U417" s="575"/>
      <c r="V417" s="575"/>
      <c r="W417" s="575"/>
      <c r="X417" s="575"/>
      <c r="Y417" s="575"/>
      <c r="Z417" s="575"/>
    </row>
    <row r="418">
      <c r="A418" s="582"/>
      <c r="B418" s="583"/>
      <c r="C418" s="584"/>
      <c r="D418" s="585"/>
      <c r="E418" s="575"/>
      <c r="F418" s="575"/>
      <c r="G418" s="575"/>
      <c r="H418" s="575"/>
      <c r="I418" s="575"/>
      <c r="J418" s="575"/>
      <c r="K418" s="575"/>
      <c r="L418" s="575"/>
      <c r="M418" s="575"/>
      <c r="N418" s="575"/>
      <c r="O418" s="575"/>
      <c r="P418" s="575"/>
      <c r="Q418" s="575"/>
      <c r="R418" s="575"/>
      <c r="S418" s="575"/>
      <c r="T418" s="575"/>
      <c r="U418" s="575"/>
      <c r="V418" s="575"/>
      <c r="W418" s="575"/>
      <c r="X418" s="575"/>
      <c r="Y418" s="575"/>
      <c r="Z418" s="575"/>
    </row>
    <row r="419">
      <c r="A419" s="582"/>
      <c r="B419" s="583"/>
      <c r="C419" s="584"/>
      <c r="D419" s="585"/>
      <c r="E419" s="575"/>
      <c r="F419" s="575"/>
      <c r="G419" s="575"/>
      <c r="H419" s="575"/>
      <c r="I419" s="575"/>
      <c r="J419" s="575"/>
      <c r="K419" s="575"/>
      <c r="L419" s="575"/>
      <c r="M419" s="575"/>
      <c r="N419" s="575"/>
      <c r="O419" s="575"/>
      <c r="P419" s="575"/>
      <c r="Q419" s="575"/>
      <c r="R419" s="575"/>
      <c r="S419" s="575"/>
      <c r="T419" s="575"/>
      <c r="U419" s="575"/>
      <c r="V419" s="575"/>
      <c r="W419" s="575"/>
      <c r="X419" s="575"/>
      <c r="Y419" s="575"/>
      <c r="Z419" s="575"/>
    </row>
    <row r="420">
      <c r="A420" s="582"/>
      <c r="B420" s="583"/>
      <c r="C420" s="584"/>
      <c r="D420" s="585"/>
      <c r="E420" s="575"/>
      <c r="F420" s="575"/>
      <c r="G420" s="575"/>
      <c r="H420" s="575"/>
      <c r="I420" s="575"/>
      <c r="J420" s="575"/>
      <c r="K420" s="575"/>
      <c r="L420" s="575"/>
      <c r="M420" s="575"/>
      <c r="N420" s="575"/>
      <c r="O420" s="575"/>
      <c r="P420" s="575"/>
      <c r="Q420" s="575"/>
      <c r="R420" s="575"/>
      <c r="S420" s="575"/>
      <c r="T420" s="575"/>
      <c r="U420" s="575"/>
      <c r="V420" s="575"/>
      <c r="W420" s="575"/>
      <c r="X420" s="575"/>
      <c r="Y420" s="575"/>
      <c r="Z420" s="575"/>
    </row>
    <row r="421">
      <c r="A421" s="582"/>
      <c r="B421" s="583"/>
      <c r="C421" s="584"/>
      <c r="D421" s="585"/>
      <c r="E421" s="575"/>
      <c r="F421" s="575"/>
      <c r="G421" s="575"/>
      <c r="H421" s="575"/>
      <c r="I421" s="575"/>
      <c r="J421" s="575"/>
      <c r="K421" s="575"/>
      <c r="L421" s="575"/>
      <c r="M421" s="575"/>
      <c r="N421" s="575"/>
      <c r="O421" s="575"/>
      <c r="P421" s="575"/>
      <c r="Q421" s="575"/>
      <c r="R421" s="575"/>
      <c r="S421" s="575"/>
      <c r="T421" s="575"/>
      <c r="U421" s="575"/>
      <c r="V421" s="575"/>
      <c r="W421" s="575"/>
      <c r="X421" s="575"/>
      <c r="Y421" s="575"/>
      <c r="Z421" s="575"/>
    </row>
    <row r="422">
      <c r="A422" s="582"/>
      <c r="B422" s="583"/>
      <c r="C422" s="584"/>
      <c r="D422" s="585"/>
      <c r="E422" s="575"/>
      <c r="F422" s="575"/>
      <c r="G422" s="575"/>
      <c r="H422" s="575"/>
      <c r="I422" s="575"/>
      <c r="J422" s="575"/>
      <c r="K422" s="575"/>
      <c r="L422" s="575"/>
      <c r="M422" s="575"/>
      <c r="N422" s="575"/>
      <c r="O422" s="575"/>
      <c r="P422" s="575"/>
      <c r="Q422" s="575"/>
      <c r="R422" s="575"/>
      <c r="S422" s="575"/>
      <c r="T422" s="575"/>
      <c r="U422" s="575"/>
      <c r="V422" s="575"/>
      <c r="W422" s="575"/>
      <c r="X422" s="575"/>
      <c r="Y422" s="575"/>
      <c r="Z422" s="575"/>
    </row>
    <row r="423">
      <c r="A423" s="582"/>
      <c r="B423" s="583"/>
      <c r="C423" s="584"/>
      <c r="D423" s="585"/>
      <c r="E423" s="575"/>
      <c r="F423" s="575"/>
      <c r="G423" s="575"/>
      <c r="H423" s="575"/>
      <c r="I423" s="575"/>
      <c r="J423" s="575"/>
      <c r="K423" s="575"/>
      <c r="L423" s="575"/>
      <c r="M423" s="575"/>
      <c r="N423" s="575"/>
      <c r="O423" s="575"/>
      <c r="P423" s="575"/>
      <c r="Q423" s="575"/>
      <c r="R423" s="575"/>
      <c r="S423" s="575"/>
      <c r="T423" s="575"/>
      <c r="U423" s="575"/>
      <c r="V423" s="575"/>
      <c r="W423" s="575"/>
      <c r="X423" s="575"/>
      <c r="Y423" s="575"/>
      <c r="Z423" s="575"/>
    </row>
    <row r="424">
      <c r="A424" s="582"/>
      <c r="B424" s="583"/>
      <c r="C424" s="584"/>
      <c r="D424" s="585"/>
      <c r="E424" s="575"/>
      <c r="F424" s="575"/>
      <c r="G424" s="575"/>
      <c r="H424" s="575"/>
      <c r="I424" s="575"/>
      <c r="J424" s="575"/>
      <c r="K424" s="575"/>
      <c r="L424" s="575"/>
      <c r="M424" s="575"/>
      <c r="N424" s="575"/>
      <c r="O424" s="575"/>
      <c r="P424" s="575"/>
      <c r="Q424" s="575"/>
      <c r="R424" s="575"/>
      <c r="S424" s="575"/>
      <c r="T424" s="575"/>
      <c r="U424" s="575"/>
      <c r="V424" s="575"/>
      <c r="W424" s="575"/>
      <c r="X424" s="575"/>
      <c r="Y424" s="575"/>
      <c r="Z424" s="575"/>
    </row>
    <row r="425">
      <c r="A425" s="582"/>
      <c r="B425" s="583"/>
      <c r="C425" s="584"/>
      <c r="D425" s="585"/>
      <c r="E425" s="575"/>
      <c r="F425" s="575"/>
      <c r="G425" s="575"/>
      <c r="H425" s="575"/>
      <c r="I425" s="575"/>
      <c r="J425" s="575"/>
      <c r="K425" s="575"/>
      <c r="L425" s="575"/>
      <c r="M425" s="575"/>
      <c r="N425" s="575"/>
      <c r="O425" s="575"/>
      <c r="P425" s="575"/>
      <c r="Q425" s="575"/>
      <c r="R425" s="575"/>
      <c r="S425" s="575"/>
      <c r="T425" s="575"/>
      <c r="U425" s="575"/>
      <c r="V425" s="575"/>
      <c r="W425" s="575"/>
      <c r="X425" s="575"/>
      <c r="Y425" s="575"/>
      <c r="Z425" s="575"/>
    </row>
    <row r="426">
      <c r="A426" s="582"/>
      <c r="B426" s="583"/>
      <c r="C426" s="584"/>
      <c r="D426" s="585"/>
      <c r="E426" s="575"/>
      <c r="F426" s="575"/>
      <c r="G426" s="575"/>
      <c r="H426" s="575"/>
      <c r="I426" s="575"/>
      <c r="J426" s="575"/>
      <c r="K426" s="575"/>
      <c r="L426" s="575"/>
      <c r="M426" s="575"/>
      <c r="N426" s="575"/>
      <c r="O426" s="575"/>
      <c r="P426" s="575"/>
      <c r="Q426" s="575"/>
      <c r="R426" s="575"/>
      <c r="S426" s="575"/>
      <c r="T426" s="575"/>
      <c r="U426" s="575"/>
      <c r="V426" s="575"/>
      <c r="W426" s="575"/>
      <c r="X426" s="575"/>
      <c r="Y426" s="575"/>
      <c r="Z426" s="575"/>
    </row>
    <row r="427">
      <c r="A427" s="582"/>
      <c r="B427" s="583"/>
      <c r="C427" s="584"/>
      <c r="D427" s="585"/>
      <c r="E427" s="575"/>
      <c r="F427" s="575"/>
      <c r="G427" s="575"/>
      <c r="H427" s="575"/>
      <c r="I427" s="575"/>
      <c r="J427" s="575"/>
      <c r="K427" s="575"/>
      <c r="L427" s="575"/>
      <c r="M427" s="575"/>
      <c r="N427" s="575"/>
      <c r="O427" s="575"/>
      <c r="P427" s="575"/>
      <c r="Q427" s="575"/>
      <c r="R427" s="575"/>
      <c r="S427" s="575"/>
      <c r="T427" s="575"/>
      <c r="U427" s="575"/>
      <c r="V427" s="575"/>
      <c r="W427" s="575"/>
      <c r="X427" s="575"/>
      <c r="Y427" s="575"/>
      <c r="Z427" s="575"/>
    </row>
    <row r="428">
      <c r="A428" s="582"/>
      <c r="B428" s="583"/>
      <c r="C428" s="584"/>
      <c r="D428" s="585"/>
      <c r="E428" s="575"/>
      <c r="F428" s="575"/>
      <c r="G428" s="575"/>
      <c r="H428" s="575"/>
      <c r="I428" s="575"/>
      <c r="J428" s="575"/>
      <c r="K428" s="575"/>
      <c r="L428" s="575"/>
      <c r="M428" s="575"/>
      <c r="N428" s="575"/>
      <c r="O428" s="575"/>
      <c r="P428" s="575"/>
      <c r="Q428" s="575"/>
      <c r="R428" s="575"/>
      <c r="S428" s="575"/>
      <c r="T428" s="575"/>
      <c r="U428" s="575"/>
      <c r="V428" s="575"/>
      <c r="W428" s="575"/>
      <c r="X428" s="575"/>
      <c r="Y428" s="575"/>
      <c r="Z428" s="575"/>
    </row>
    <row r="429">
      <c r="A429" s="582"/>
      <c r="B429" s="583"/>
      <c r="C429" s="584"/>
      <c r="D429" s="585"/>
      <c r="E429" s="575"/>
      <c r="F429" s="575"/>
      <c r="G429" s="575"/>
      <c r="H429" s="575"/>
      <c r="I429" s="575"/>
      <c r="J429" s="575"/>
      <c r="K429" s="575"/>
      <c r="L429" s="575"/>
      <c r="M429" s="575"/>
      <c r="N429" s="575"/>
      <c r="O429" s="575"/>
      <c r="P429" s="575"/>
      <c r="Q429" s="575"/>
      <c r="R429" s="575"/>
      <c r="S429" s="575"/>
      <c r="T429" s="575"/>
      <c r="U429" s="575"/>
      <c r="V429" s="575"/>
      <c r="W429" s="575"/>
      <c r="X429" s="575"/>
      <c r="Y429" s="575"/>
      <c r="Z429" s="575"/>
    </row>
    <row r="430">
      <c r="A430" s="582"/>
      <c r="B430" s="583"/>
      <c r="C430" s="584"/>
      <c r="D430" s="585"/>
      <c r="E430" s="575"/>
      <c r="F430" s="575"/>
      <c r="G430" s="575"/>
      <c r="H430" s="575"/>
      <c r="I430" s="575"/>
      <c r="J430" s="575"/>
      <c r="K430" s="575"/>
      <c r="L430" s="575"/>
      <c r="M430" s="575"/>
      <c r="N430" s="575"/>
      <c r="O430" s="575"/>
      <c r="P430" s="575"/>
      <c r="Q430" s="575"/>
      <c r="R430" s="575"/>
      <c r="S430" s="575"/>
      <c r="T430" s="575"/>
      <c r="U430" s="575"/>
      <c r="V430" s="575"/>
      <c r="W430" s="575"/>
      <c r="X430" s="575"/>
      <c r="Y430" s="575"/>
      <c r="Z430" s="575"/>
    </row>
    <row r="431">
      <c r="A431" s="582"/>
      <c r="B431" s="583"/>
      <c r="C431" s="584"/>
      <c r="D431" s="585"/>
      <c r="E431" s="575"/>
      <c r="F431" s="575"/>
      <c r="G431" s="575"/>
      <c r="H431" s="575"/>
      <c r="I431" s="575"/>
      <c r="J431" s="575"/>
      <c r="K431" s="575"/>
      <c r="L431" s="575"/>
      <c r="M431" s="575"/>
      <c r="N431" s="575"/>
      <c r="O431" s="575"/>
      <c r="P431" s="575"/>
      <c r="Q431" s="575"/>
      <c r="R431" s="575"/>
      <c r="S431" s="575"/>
      <c r="T431" s="575"/>
      <c r="U431" s="575"/>
      <c r="V431" s="575"/>
      <c r="W431" s="575"/>
      <c r="X431" s="575"/>
      <c r="Y431" s="575"/>
      <c r="Z431" s="575"/>
    </row>
    <row r="432">
      <c r="A432" s="582"/>
      <c r="B432" s="583"/>
      <c r="C432" s="584"/>
      <c r="D432" s="585"/>
      <c r="E432" s="575"/>
      <c r="F432" s="575"/>
      <c r="G432" s="575"/>
      <c r="H432" s="575"/>
      <c r="I432" s="575"/>
      <c r="J432" s="575"/>
      <c r="K432" s="575"/>
      <c r="L432" s="575"/>
      <c r="M432" s="575"/>
      <c r="N432" s="575"/>
      <c r="O432" s="575"/>
      <c r="P432" s="575"/>
      <c r="Q432" s="575"/>
      <c r="R432" s="575"/>
      <c r="S432" s="575"/>
      <c r="T432" s="575"/>
      <c r="U432" s="575"/>
      <c r="V432" s="575"/>
      <c r="W432" s="575"/>
      <c r="X432" s="575"/>
      <c r="Y432" s="575"/>
      <c r="Z432" s="575"/>
    </row>
    <row r="433">
      <c r="A433" s="582"/>
      <c r="B433" s="583"/>
      <c r="C433" s="584"/>
      <c r="D433" s="585"/>
      <c r="E433" s="575"/>
      <c r="F433" s="575"/>
      <c r="G433" s="575"/>
      <c r="H433" s="575"/>
      <c r="I433" s="575"/>
      <c r="J433" s="575"/>
      <c r="K433" s="575"/>
      <c r="L433" s="575"/>
      <c r="M433" s="575"/>
      <c r="N433" s="575"/>
      <c r="O433" s="575"/>
      <c r="P433" s="575"/>
      <c r="Q433" s="575"/>
      <c r="R433" s="575"/>
      <c r="S433" s="575"/>
      <c r="T433" s="575"/>
      <c r="U433" s="575"/>
      <c r="V433" s="575"/>
      <c r="W433" s="575"/>
      <c r="X433" s="575"/>
      <c r="Y433" s="575"/>
      <c r="Z433" s="575"/>
    </row>
    <row r="434">
      <c r="A434" s="582"/>
      <c r="B434" s="583"/>
      <c r="C434" s="584"/>
      <c r="D434" s="585"/>
      <c r="E434" s="575"/>
      <c r="F434" s="575"/>
      <c r="G434" s="575"/>
      <c r="H434" s="575"/>
      <c r="I434" s="575"/>
      <c r="J434" s="575"/>
      <c r="K434" s="575"/>
      <c r="L434" s="575"/>
      <c r="M434" s="575"/>
      <c r="N434" s="575"/>
      <c r="O434" s="575"/>
      <c r="P434" s="575"/>
      <c r="Q434" s="575"/>
      <c r="R434" s="575"/>
      <c r="S434" s="575"/>
      <c r="T434" s="575"/>
      <c r="U434" s="575"/>
      <c r="V434" s="575"/>
      <c r="W434" s="575"/>
      <c r="X434" s="575"/>
      <c r="Y434" s="575"/>
      <c r="Z434" s="575"/>
    </row>
    <row r="435">
      <c r="A435" s="582"/>
      <c r="B435" s="583"/>
      <c r="C435" s="584"/>
      <c r="D435" s="585"/>
      <c r="E435" s="575"/>
      <c r="F435" s="575"/>
      <c r="G435" s="575"/>
      <c r="H435" s="575"/>
      <c r="I435" s="575"/>
      <c r="J435" s="575"/>
      <c r="K435" s="575"/>
      <c r="L435" s="575"/>
      <c r="M435" s="575"/>
      <c r="N435" s="575"/>
      <c r="O435" s="575"/>
      <c r="P435" s="575"/>
      <c r="Q435" s="575"/>
      <c r="R435" s="575"/>
      <c r="S435" s="575"/>
      <c r="T435" s="575"/>
      <c r="U435" s="575"/>
      <c r="V435" s="575"/>
      <c r="W435" s="575"/>
      <c r="X435" s="575"/>
      <c r="Y435" s="575"/>
      <c r="Z435" s="575"/>
    </row>
    <row r="436">
      <c r="A436" s="582"/>
      <c r="B436" s="583"/>
      <c r="C436" s="584"/>
      <c r="D436" s="585"/>
      <c r="E436" s="575"/>
      <c r="F436" s="575"/>
      <c r="G436" s="575"/>
      <c r="H436" s="575"/>
      <c r="I436" s="575"/>
      <c r="J436" s="575"/>
      <c r="K436" s="575"/>
      <c r="L436" s="575"/>
      <c r="M436" s="575"/>
      <c r="N436" s="575"/>
      <c r="O436" s="575"/>
      <c r="P436" s="575"/>
      <c r="Q436" s="575"/>
      <c r="R436" s="575"/>
      <c r="S436" s="575"/>
      <c r="T436" s="575"/>
      <c r="U436" s="575"/>
      <c r="V436" s="575"/>
      <c r="W436" s="575"/>
      <c r="X436" s="575"/>
      <c r="Y436" s="575"/>
      <c r="Z436" s="575"/>
    </row>
    <row r="437">
      <c r="A437" s="582"/>
      <c r="B437" s="583"/>
      <c r="C437" s="584"/>
      <c r="D437" s="585"/>
      <c r="E437" s="575"/>
      <c r="F437" s="575"/>
      <c r="G437" s="575"/>
      <c r="H437" s="575"/>
      <c r="I437" s="575"/>
      <c r="J437" s="575"/>
      <c r="K437" s="575"/>
      <c r="L437" s="575"/>
      <c r="M437" s="575"/>
      <c r="N437" s="575"/>
      <c r="O437" s="575"/>
      <c r="P437" s="575"/>
      <c r="Q437" s="575"/>
      <c r="R437" s="575"/>
      <c r="S437" s="575"/>
      <c r="T437" s="575"/>
      <c r="U437" s="575"/>
      <c r="V437" s="575"/>
      <c r="W437" s="575"/>
      <c r="X437" s="575"/>
      <c r="Y437" s="575"/>
      <c r="Z437" s="575"/>
    </row>
    <row r="438">
      <c r="A438" s="582"/>
      <c r="B438" s="583"/>
      <c r="C438" s="584"/>
      <c r="D438" s="585"/>
      <c r="E438" s="575"/>
      <c r="F438" s="575"/>
      <c r="G438" s="575"/>
      <c r="H438" s="575"/>
      <c r="I438" s="575"/>
      <c r="J438" s="575"/>
      <c r="K438" s="575"/>
      <c r="L438" s="575"/>
      <c r="M438" s="575"/>
      <c r="N438" s="575"/>
      <c r="O438" s="575"/>
      <c r="P438" s="575"/>
      <c r="Q438" s="575"/>
      <c r="R438" s="575"/>
      <c r="S438" s="575"/>
      <c r="T438" s="575"/>
      <c r="U438" s="575"/>
      <c r="V438" s="575"/>
      <c r="W438" s="575"/>
      <c r="X438" s="575"/>
      <c r="Y438" s="575"/>
      <c r="Z438" s="575"/>
    </row>
    <row r="439">
      <c r="A439" s="582"/>
      <c r="B439" s="583"/>
      <c r="C439" s="584"/>
      <c r="D439" s="585"/>
      <c r="E439" s="575"/>
      <c r="F439" s="575"/>
      <c r="G439" s="575"/>
      <c r="H439" s="575"/>
      <c r="I439" s="575"/>
      <c r="J439" s="575"/>
      <c r="K439" s="575"/>
      <c r="L439" s="575"/>
      <c r="M439" s="575"/>
      <c r="N439" s="575"/>
      <c r="O439" s="575"/>
      <c r="P439" s="575"/>
      <c r="Q439" s="575"/>
      <c r="R439" s="575"/>
      <c r="S439" s="575"/>
      <c r="T439" s="575"/>
      <c r="U439" s="575"/>
      <c r="V439" s="575"/>
      <c r="W439" s="575"/>
      <c r="X439" s="575"/>
      <c r="Y439" s="575"/>
      <c r="Z439" s="575"/>
    </row>
    <row r="440">
      <c r="A440" s="582"/>
      <c r="B440" s="583"/>
      <c r="C440" s="584"/>
      <c r="D440" s="585"/>
      <c r="E440" s="575"/>
      <c r="F440" s="575"/>
      <c r="G440" s="575"/>
      <c r="H440" s="575"/>
      <c r="I440" s="575"/>
      <c r="J440" s="575"/>
      <c r="K440" s="575"/>
      <c r="L440" s="575"/>
      <c r="M440" s="575"/>
      <c r="N440" s="575"/>
      <c r="O440" s="575"/>
      <c r="P440" s="575"/>
      <c r="Q440" s="575"/>
      <c r="R440" s="575"/>
      <c r="S440" s="575"/>
      <c r="T440" s="575"/>
      <c r="U440" s="575"/>
      <c r="V440" s="575"/>
      <c r="W440" s="575"/>
      <c r="X440" s="575"/>
      <c r="Y440" s="575"/>
      <c r="Z440" s="575"/>
    </row>
    <row r="441">
      <c r="A441" s="582"/>
      <c r="B441" s="583"/>
      <c r="C441" s="584"/>
      <c r="D441" s="585"/>
      <c r="E441" s="575"/>
      <c r="F441" s="575"/>
      <c r="G441" s="575"/>
      <c r="H441" s="575"/>
      <c r="I441" s="575"/>
      <c r="J441" s="575"/>
      <c r="K441" s="575"/>
      <c r="L441" s="575"/>
      <c r="M441" s="575"/>
      <c r="N441" s="575"/>
      <c r="O441" s="575"/>
      <c r="P441" s="575"/>
      <c r="Q441" s="575"/>
      <c r="R441" s="575"/>
      <c r="S441" s="575"/>
      <c r="T441" s="575"/>
      <c r="U441" s="575"/>
      <c r="V441" s="575"/>
      <c r="W441" s="575"/>
      <c r="X441" s="575"/>
      <c r="Y441" s="575"/>
      <c r="Z441" s="575"/>
    </row>
    <row r="442">
      <c r="A442" s="582"/>
      <c r="B442" s="583"/>
      <c r="C442" s="584"/>
      <c r="D442" s="585"/>
      <c r="E442" s="575"/>
      <c r="F442" s="575"/>
      <c r="G442" s="575"/>
      <c r="H442" s="575"/>
      <c r="I442" s="575"/>
      <c r="J442" s="575"/>
      <c r="K442" s="575"/>
      <c r="L442" s="575"/>
      <c r="M442" s="575"/>
      <c r="N442" s="575"/>
      <c r="O442" s="575"/>
      <c r="P442" s="575"/>
      <c r="Q442" s="575"/>
      <c r="R442" s="575"/>
      <c r="S442" s="575"/>
      <c r="T442" s="575"/>
      <c r="U442" s="575"/>
      <c r="V442" s="575"/>
      <c r="W442" s="575"/>
      <c r="X442" s="575"/>
      <c r="Y442" s="575"/>
      <c r="Z442" s="575"/>
    </row>
    <row r="443">
      <c r="A443" s="582"/>
      <c r="B443" s="583"/>
      <c r="C443" s="584"/>
      <c r="D443" s="585"/>
      <c r="E443" s="575"/>
      <c r="F443" s="575"/>
      <c r="G443" s="575"/>
      <c r="H443" s="575"/>
      <c r="I443" s="575"/>
      <c r="J443" s="575"/>
      <c r="K443" s="575"/>
      <c r="L443" s="575"/>
      <c r="M443" s="575"/>
      <c r="N443" s="575"/>
      <c r="O443" s="575"/>
      <c r="P443" s="575"/>
      <c r="Q443" s="575"/>
      <c r="R443" s="575"/>
      <c r="S443" s="575"/>
      <c r="T443" s="575"/>
      <c r="U443" s="575"/>
      <c r="V443" s="575"/>
      <c r="W443" s="575"/>
      <c r="X443" s="575"/>
      <c r="Y443" s="575"/>
      <c r="Z443" s="575"/>
    </row>
    <row r="444">
      <c r="A444" s="582"/>
      <c r="B444" s="583"/>
      <c r="C444" s="584"/>
      <c r="D444" s="585"/>
      <c r="E444" s="575"/>
      <c r="F444" s="575"/>
      <c r="G444" s="575"/>
      <c r="H444" s="575"/>
      <c r="I444" s="575"/>
      <c r="J444" s="575"/>
      <c r="K444" s="575"/>
      <c r="L444" s="575"/>
      <c r="M444" s="575"/>
      <c r="N444" s="575"/>
      <c r="O444" s="575"/>
      <c r="P444" s="575"/>
      <c r="Q444" s="575"/>
      <c r="R444" s="575"/>
      <c r="S444" s="575"/>
      <c r="T444" s="575"/>
      <c r="U444" s="575"/>
      <c r="V444" s="575"/>
      <c r="W444" s="575"/>
      <c r="X444" s="575"/>
      <c r="Y444" s="575"/>
      <c r="Z444" s="575"/>
    </row>
    <row r="445">
      <c r="A445" s="582"/>
      <c r="B445" s="583"/>
      <c r="C445" s="584"/>
      <c r="D445" s="585"/>
      <c r="E445" s="575"/>
      <c r="F445" s="575"/>
      <c r="G445" s="575"/>
      <c r="H445" s="575"/>
      <c r="I445" s="575"/>
      <c r="J445" s="575"/>
      <c r="K445" s="575"/>
      <c r="L445" s="575"/>
      <c r="M445" s="575"/>
      <c r="N445" s="575"/>
      <c r="O445" s="575"/>
      <c r="P445" s="575"/>
      <c r="Q445" s="575"/>
      <c r="R445" s="575"/>
      <c r="S445" s="575"/>
      <c r="T445" s="575"/>
      <c r="U445" s="575"/>
      <c r="V445" s="575"/>
      <c r="W445" s="575"/>
      <c r="X445" s="575"/>
      <c r="Y445" s="575"/>
      <c r="Z445" s="575"/>
    </row>
    <row r="446">
      <c r="A446" s="582"/>
      <c r="B446" s="583"/>
      <c r="C446" s="584"/>
      <c r="D446" s="585"/>
      <c r="E446" s="575"/>
      <c r="F446" s="575"/>
      <c r="G446" s="575"/>
      <c r="H446" s="575"/>
      <c r="I446" s="575"/>
      <c r="J446" s="575"/>
      <c r="K446" s="575"/>
      <c r="L446" s="575"/>
      <c r="M446" s="575"/>
      <c r="N446" s="575"/>
      <c r="O446" s="575"/>
      <c r="P446" s="575"/>
      <c r="Q446" s="575"/>
      <c r="R446" s="575"/>
      <c r="S446" s="575"/>
      <c r="T446" s="575"/>
      <c r="U446" s="575"/>
      <c r="V446" s="575"/>
      <c r="W446" s="575"/>
      <c r="X446" s="575"/>
      <c r="Y446" s="575"/>
      <c r="Z446" s="575"/>
    </row>
    <row r="447">
      <c r="A447" s="582"/>
      <c r="B447" s="583"/>
      <c r="C447" s="584"/>
      <c r="D447" s="585"/>
      <c r="E447" s="575"/>
      <c r="F447" s="575"/>
      <c r="G447" s="575"/>
      <c r="H447" s="575"/>
      <c r="I447" s="575"/>
      <c r="J447" s="575"/>
      <c r="K447" s="575"/>
      <c r="L447" s="575"/>
      <c r="M447" s="575"/>
      <c r="N447" s="575"/>
      <c r="O447" s="575"/>
      <c r="P447" s="575"/>
      <c r="Q447" s="575"/>
      <c r="R447" s="575"/>
      <c r="S447" s="575"/>
      <c r="T447" s="575"/>
      <c r="U447" s="575"/>
      <c r="V447" s="575"/>
      <c r="W447" s="575"/>
      <c r="X447" s="575"/>
      <c r="Y447" s="575"/>
      <c r="Z447" s="575"/>
    </row>
    <row r="448">
      <c r="A448" s="582"/>
      <c r="B448" s="583"/>
      <c r="C448" s="584"/>
      <c r="D448" s="585"/>
      <c r="E448" s="575"/>
      <c r="F448" s="575"/>
      <c r="G448" s="575"/>
      <c r="H448" s="575"/>
      <c r="I448" s="575"/>
      <c r="J448" s="575"/>
      <c r="K448" s="575"/>
      <c r="L448" s="575"/>
      <c r="M448" s="575"/>
      <c r="N448" s="575"/>
      <c r="O448" s="575"/>
      <c r="P448" s="575"/>
      <c r="Q448" s="575"/>
      <c r="R448" s="575"/>
      <c r="S448" s="575"/>
      <c r="T448" s="575"/>
      <c r="U448" s="575"/>
      <c r="V448" s="575"/>
      <c r="W448" s="575"/>
      <c r="X448" s="575"/>
      <c r="Y448" s="575"/>
      <c r="Z448" s="575"/>
    </row>
    <row r="449">
      <c r="A449" s="582"/>
      <c r="B449" s="583"/>
      <c r="C449" s="584"/>
      <c r="D449" s="585"/>
      <c r="E449" s="575"/>
      <c r="F449" s="575"/>
      <c r="G449" s="575"/>
      <c r="H449" s="575"/>
      <c r="I449" s="575"/>
      <c r="J449" s="575"/>
      <c r="K449" s="575"/>
      <c r="L449" s="575"/>
      <c r="M449" s="575"/>
      <c r="N449" s="575"/>
      <c r="O449" s="575"/>
      <c r="P449" s="575"/>
      <c r="Q449" s="575"/>
      <c r="R449" s="575"/>
      <c r="S449" s="575"/>
      <c r="T449" s="575"/>
      <c r="U449" s="575"/>
      <c r="V449" s="575"/>
      <c r="W449" s="575"/>
      <c r="X449" s="575"/>
      <c r="Y449" s="575"/>
      <c r="Z449" s="575"/>
    </row>
    <row r="450">
      <c r="A450" s="582"/>
      <c r="B450" s="583"/>
      <c r="C450" s="584"/>
      <c r="D450" s="585"/>
      <c r="E450" s="575"/>
      <c r="F450" s="575"/>
      <c r="G450" s="575"/>
      <c r="H450" s="575"/>
      <c r="I450" s="575"/>
      <c r="J450" s="575"/>
      <c r="K450" s="575"/>
      <c r="L450" s="575"/>
      <c r="M450" s="575"/>
      <c r="N450" s="575"/>
      <c r="O450" s="575"/>
      <c r="P450" s="575"/>
      <c r="Q450" s="575"/>
      <c r="R450" s="575"/>
      <c r="S450" s="575"/>
      <c r="T450" s="575"/>
      <c r="U450" s="575"/>
      <c r="V450" s="575"/>
      <c r="W450" s="575"/>
      <c r="X450" s="575"/>
      <c r="Y450" s="575"/>
      <c r="Z450" s="575"/>
    </row>
    <row r="451">
      <c r="A451" s="582"/>
      <c r="B451" s="583"/>
      <c r="C451" s="584"/>
      <c r="D451" s="585"/>
      <c r="E451" s="575"/>
      <c r="F451" s="575"/>
      <c r="G451" s="575"/>
      <c r="H451" s="575"/>
      <c r="I451" s="575"/>
      <c r="J451" s="575"/>
      <c r="K451" s="575"/>
      <c r="L451" s="575"/>
      <c r="M451" s="575"/>
      <c r="N451" s="575"/>
      <c r="O451" s="575"/>
      <c r="P451" s="575"/>
      <c r="Q451" s="575"/>
      <c r="R451" s="575"/>
      <c r="S451" s="575"/>
      <c r="T451" s="575"/>
      <c r="U451" s="575"/>
      <c r="V451" s="575"/>
      <c r="W451" s="575"/>
      <c r="X451" s="575"/>
      <c r="Y451" s="575"/>
      <c r="Z451" s="575"/>
    </row>
    <row r="452">
      <c r="A452" s="582"/>
      <c r="B452" s="583"/>
      <c r="C452" s="584"/>
      <c r="D452" s="585"/>
      <c r="E452" s="575"/>
      <c r="F452" s="575"/>
      <c r="G452" s="575"/>
      <c r="H452" s="575"/>
      <c r="I452" s="575"/>
      <c r="J452" s="575"/>
      <c r="K452" s="575"/>
      <c r="L452" s="575"/>
      <c r="M452" s="575"/>
      <c r="N452" s="575"/>
      <c r="O452" s="575"/>
      <c r="P452" s="575"/>
      <c r="Q452" s="575"/>
      <c r="R452" s="575"/>
      <c r="S452" s="575"/>
      <c r="T452" s="575"/>
      <c r="U452" s="575"/>
      <c r="V452" s="575"/>
      <c r="W452" s="575"/>
      <c r="X452" s="575"/>
      <c r="Y452" s="575"/>
      <c r="Z452" s="575"/>
    </row>
    <row r="453">
      <c r="A453" s="582"/>
      <c r="B453" s="583"/>
      <c r="C453" s="584"/>
      <c r="D453" s="585"/>
      <c r="E453" s="575"/>
      <c r="F453" s="575"/>
      <c r="G453" s="575"/>
      <c r="H453" s="575"/>
      <c r="I453" s="575"/>
      <c r="J453" s="575"/>
      <c r="K453" s="575"/>
      <c r="L453" s="575"/>
      <c r="M453" s="575"/>
      <c r="N453" s="575"/>
      <c r="O453" s="575"/>
      <c r="P453" s="575"/>
      <c r="Q453" s="575"/>
      <c r="R453" s="575"/>
      <c r="S453" s="575"/>
      <c r="T453" s="575"/>
      <c r="U453" s="575"/>
      <c r="V453" s="575"/>
      <c r="W453" s="575"/>
      <c r="X453" s="575"/>
      <c r="Y453" s="575"/>
      <c r="Z453" s="575"/>
    </row>
    <row r="454">
      <c r="A454" s="582"/>
      <c r="B454" s="583"/>
      <c r="C454" s="584"/>
      <c r="D454" s="585"/>
      <c r="E454" s="575"/>
      <c r="F454" s="575"/>
      <c r="G454" s="575"/>
      <c r="H454" s="575"/>
      <c r="I454" s="575"/>
      <c r="J454" s="575"/>
      <c r="K454" s="575"/>
      <c r="L454" s="575"/>
      <c r="M454" s="575"/>
      <c r="N454" s="575"/>
      <c r="O454" s="575"/>
      <c r="P454" s="575"/>
      <c r="Q454" s="575"/>
      <c r="R454" s="575"/>
      <c r="S454" s="575"/>
      <c r="T454" s="575"/>
      <c r="U454" s="575"/>
      <c r="V454" s="575"/>
      <c r="W454" s="575"/>
      <c r="X454" s="575"/>
      <c r="Y454" s="575"/>
      <c r="Z454" s="575"/>
    </row>
    <row r="455">
      <c r="A455" s="582"/>
      <c r="B455" s="583"/>
      <c r="C455" s="584"/>
      <c r="D455" s="585"/>
      <c r="E455" s="575"/>
      <c r="F455" s="575"/>
      <c r="G455" s="575"/>
      <c r="H455" s="575"/>
      <c r="I455" s="575"/>
      <c r="J455" s="575"/>
      <c r="K455" s="575"/>
      <c r="L455" s="575"/>
      <c r="M455" s="575"/>
      <c r="N455" s="575"/>
      <c r="O455" s="575"/>
      <c r="P455" s="575"/>
      <c r="Q455" s="575"/>
      <c r="R455" s="575"/>
      <c r="S455" s="575"/>
      <c r="T455" s="575"/>
      <c r="U455" s="575"/>
      <c r="V455" s="575"/>
      <c r="W455" s="575"/>
      <c r="X455" s="575"/>
      <c r="Y455" s="575"/>
      <c r="Z455" s="575"/>
    </row>
    <row r="456">
      <c r="A456" s="582"/>
      <c r="B456" s="583"/>
      <c r="C456" s="584"/>
      <c r="D456" s="585"/>
      <c r="E456" s="575"/>
      <c r="F456" s="575"/>
      <c r="G456" s="575"/>
      <c r="H456" s="575"/>
      <c r="I456" s="575"/>
      <c r="J456" s="575"/>
      <c r="K456" s="575"/>
      <c r="L456" s="575"/>
      <c r="M456" s="575"/>
      <c r="N456" s="575"/>
      <c r="O456" s="575"/>
      <c r="P456" s="575"/>
      <c r="Q456" s="575"/>
      <c r="R456" s="575"/>
      <c r="S456" s="575"/>
      <c r="T456" s="575"/>
      <c r="U456" s="575"/>
      <c r="V456" s="575"/>
      <c r="W456" s="575"/>
      <c r="X456" s="575"/>
      <c r="Y456" s="575"/>
      <c r="Z456" s="575"/>
    </row>
    <row r="457">
      <c r="A457" s="582"/>
      <c r="B457" s="583"/>
      <c r="C457" s="584"/>
      <c r="D457" s="585"/>
      <c r="E457" s="575"/>
      <c r="F457" s="575"/>
      <c r="G457" s="575"/>
      <c r="H457" s="575"/>
      <c r="I457" s="575"/>
      <c r="J457" s="575"/>
      <c r="K457" s="575"/>
      <c r="L457" s="575"/>
      <c r="M457" s="575"/>
      <c r="N457" s="575"/>
      <c r="O457" s="575"/>
      <c r="P457" s="575"/>
      <c r="Q457" s="575"/>
      <c r="R457" s="575"/>
      <c r="S457" s="575"/>
      <c r="T457" s="575"/>
      <c r="U457" s="575"/>
      <c r="V457" s="575"/>
      <c r="W457" s="575"/>
      <c r="X457" s="575"/>
      <c r="Y457" s="575"/>
      <c r="Z457" s="575"/>
    </row>
    <row r="458">
      <c r="A458" s="582"/>
      <c r="B458" s="583"/>
      <c r="C458" s="584"/>
      <c r="D458" s="585"/>
      <c r="E458" s="575"/>
      <c r="F458" s="575"/>
      <c r="G458" s="575"/>
      <c r="H458" s="575"/>
      <c r="I458" s="575"/>
      <c r="J458" s="575"/>
      <c r="K458" s="575"/>
      <c r="L458" s="575"/>
      <c r="M458" s="575"/>
      <c r="N458" s="575"/>
      <c r="O458" s="575"/>
      <c r="P458" s="575"/>
      <c r="Q458" s="575"/>
      <c r="R458" s="575"/>
      <c r="S458" s="575"/>
      <c r="T458" s="575"/>
      <c r="U458" s="575"/>
      <c r="V458" s="575"/>
      <c r="W458" s="575"/>
      <c r="X458" s="575"/>
      <c r="Y458" s="575"/>
      <c r="Z458" s="575"/>
    </row>
    <row r="459">
      <c r="A459" s="582"/>
      <c r="B459" s="583"/>
      <c r="C459" s="584"/>
      <c r="D459" s="585"/>
      <c r="E459" s="575"/>
      <c r="F459" s="575"/>
      <c r="G459" s="575"/>
      <c r="H459" s="575"/>
      <c r="I459" s="575"/>
      <c r="J459" s="575"/>
      <c r="K459" s="575"/>
      <c r="L459" s="575"/>
      <c r="M459" s="575"/>
      <c r="N459" s="575"/>
      <c r="O459" s="575"/>
      <c r="P459" s="575"/>
      <c r="Q459" s="575"/>
      <c r="R459" s="575"/>
      <c r="S459" s="575"/>
      <c r="T459" s="575"/>
      <c r="U459" s="575"/>
      <c r="V459" s="575"/>
      <c r="W459" s="575"/>
      <c r="X459" s="575"/>
      <c r="Y459" s="575"/>
      <c r="Z459" s="575"/>
    </row>
    <row r="460">
      <c r="A460" s="582"/>
      <c r="B460" s="583"/>
      <c r="C460" s="584"/>
      <c r="D460" s="585"/>
      <c r="E460" s="575"/>
      <c r="F460" s="575"/>
      <c r="G460" s="575"/>
      <c r="H460" s="575"/>
      <c r="I460" s="575"/>
      <c r="J460" s="575"/>
      <c r="K460" s="575"/>
      <c r="L460" s="575"/>
      <c r="M460" s="575"/>
      <c r="N460" s="575"/>
      <c r="O460" s="575"/>
      <c r="P460" s="575"/>
      <c r="Q460" s="575"/>
      <c r="R460" s="575"/>
      <c r="S460" s="575"/>
      <c r="T460" s="575"/>
      <c r="U460" s="575"/>
      <c r="V460" s="575"/>
      <c r="W460" s="575"/>
      <c r="X460" s="575"/>
      <c r="Y460" s="575"/>
      <c r="Z460" s="575"/>
    </row>
    <row r="461">
      <c r="A461" s="582"/>
      <c r="B461" s="583"/>
      <c r="C461" s="584"/>
      <c r="D461" s="585"/>
      <c r="E461" s="575"/>
      <c r="F461" s="575"/>
      <c r="G461" s="575"/>
      <c r="H461" s="575"/>
      <c r="I461" s="575"/>
      <c r="J461" s="575"/>
      <c r="K461" s="575"/>
      <c r="L461" s="575"/>
      <c r="M461" s="575"/>
      <c r="N461" s="575"/>
      <c r="O461" s="575"/>
      <c r="P461" s="575"/>
      <c r="Q461" s="575"/>
      <c r="R461" s="575"/>
      <c r="S461" s="575"/>
      <c r="T461" s="575"/>
      <c r="U461" s="575"/>
      <c r="V461" s="575"/>
      <c r="W461" s="575"/>
      <c r="X461" s="575"/>
      <c r="Y461" s="575"/>
      <c r="Z461" s="575"/>
    </row>
    <row r="462">
      <c r="A462" s="582"/>
      <c r="B462" s="583"/>
      <c r="C462" s="584"/>
      <c r="D462" s="585"/>
      <c r="E462" s="575"/>
      <c r="F462" s="575"/>
      <c r="G462" s="575"/>
      <c r="H462" s="575"/>
      <c r="I462" s="575"/>
      <c r="J462" s="575"/>
      <c r="K462" s="575"/>
      <c r="L462" s="575"/>
      <c r="M462" s="575"/>
      <c r="N462" s="575"/>
      <c r="O462" s="575"/>
      <c r="P462" s="575"/>
      <c r="Q462" s="575"/>
      <c r="R462" s="575"/>
      <c r="S462" s="575"/>
      <c r="T462" s="575"/>
      <c r="U462" s="575"/>
      <c r="V462" s="575"/>
      <c r="W462" s="575"/>
      <c r="X462" s="575"/>
      <c r="Y462" s="575"/>
      <c r="Z462" s="575"/>
    </row>
    <row r="463">
      <c r="A463" s="582"/>
      <c r="B463" s="583"/>
      <c r="C463" s="584"/>
      <c r="D463" s="585"/>
      <c r="E463" s="575"/>
      <c r="F463" s="575"/>
      <c r="G463" s="575"/>
      <c r="H463" s="575"/>
      <c r="I463" s="575"/>
      <c r="J463" s="575"/>
      <c r="K463" s="575"/>
      <c r="L463" s="575"/>
      <c r="M463" s="575"/>
      <c r="N463" s="575"/>
      <c r="O463" s="575"/>
      <c r="P463" s="575"/>
      <c r="Q463" s="575"/>
      <c r="R463" s="575"/>
      <c r="S463" s="575"/>
      <c r="T463" s="575"/>
      <c r="U463" s="575"/>
      <c r="V463" s="575"/>
      <c r="W463" s="575"/>
      <c r="X463" s="575"/>
      <c r="Y463" s="575"/>
      <c r="Z463" s="575"/>
    </row>
    <row r="464">
      <c r="A464" s="582"/>
      <c r="B464" s="583"/>
      <c r="C464" s="584"/>
      <c r="D464" s="585"/>
      <c r="E464" s="575"/>
      <c r="F464" s="575"/>
      <c r="G464" s="575"/>
      <c r="H464" s="575"/>
      <c r="I464" s="575"/>
      <c r="J464" s="575"/>
      <c r="K464" s="575"/>
      <c r="L464" s="575"/>
      <c r="M464" s="575"/>
      <c r="N464" s="575"/>
      <c r="O464" s="575"/>
      <c r="P464" s="575"/>
      <c r="Q464" s="575"/>
      <c r="R464" s="575"/>
      <c r="S464" s="575"/>
      <c r="T464" s="575"/>
      <c r="U464" s="575"/>
      <c r="V464" s="575"/>
      <c r="W464" s="575"/>
      <c r="X464" s="575"/>
      <c r="Y464" s="575"/>
      <c r="Z464" s="575"/>
    </row>
    <row r="465">
      <c r="A465" s="582"/>
      <c r="B465" s="583"/>
      <c r="C465" s="584"/>
      <c r="D465" s="585"/>
      <c r="E465" s="575"/>
      <c r="F465" s="575"/>
      <c r="G465" s="575"/>
      <c r="H465" s="575"/>
      <c r="I465" s="575"/>
      <c r="J465" s="575"/>
      <c r="K465" s="575"/>
      <c r="L465" s="575"/>
      <c r="M465" s="575"/>
      <c r="N465" s="575"/>
      <c r="O465" s="575"/>
      <c r="P465" s="575"/>
      <c r="Q465" s="575"/>
      <c r="R465" s="575"/>
      <c r="S465" s="575"/>
      <c r="T465" s="575"/>
      <c r="U465" s="575"/>
      <c r="V465" s="575"/>
      <c r="W465" s="575"/>
      <c r="X465" s="575"/>
      <c r="Y465" s="575"/>
      <c r="Z465" s="575"/>
    </row>
    <row r="466">
      <c r="A466" s="582"/>
      <c r="B466" s="583"/>
      <c r="C466" s="584"/>
      <c r="D466" s="585"/>
      <c r="E466" s="575"/>
      <c r="F466" s="575"/>
      <c r="G466" s="575"/>
      <c r="H466" s="575"/>
      <c r="I466" s="575"/>
      <c r="J466" s="575"/>
      <c r="K466" s="575"/>
      <c r="L466" s="575"/>
      <c r="M466" s="575"/>
      <c r="N466" s="575"/>
      <c r="O466" s="575"/>
      <c r="P466" s="575"/>
      <c r="Q466" s="575"/>
      <c r="R466" s="575"/>
      <c r="S466" s="575"/>
      <c r="T466" s="575"/>
      <c r="U466" s="575"/>
      <c r="V466" s="575"/>
      <c r="W466" s="575"/>
      <c r="X466" s="575"/>
      <c r="Y466" s="575"/>
      <c r="Z466" s="575"/>
    </row>
    <row r="467">
      <c r="A467" s="582"/>
      <c r="B467" s="583"/>
      <c r="C467" s="584"/>
      <c r="D467" s="585"/>
      <c r="E467" s="575"/>
      <c r="F467" s="575"/>
      <c r="G467" s="575"/>
      <c r="H467" s="575"/>
      <c r="I467" s="575"/>
      <c r="J467" s="575"/>
      <c r="K467" s="575"/>
      <c r="L467" s="575"/>
      <c r="M467" s="575"/>
      <c r="N467" s="575"/>
      <c r="O467" s="575"/>
      <c r="P467" s="575"/>
      <c r="Q467" s="575"/>
      <c r="R467" s="575"/>
      <c r="S467" s="575"/>
      <c r="T467" s="575"/>
      <c r="U467" s="575"/>
      <c r="V467" s="575"/>
      <c r="W467" s="575"/>
      <c r="X467" s="575"/>
      <c r="Y467" s="575"/>
      <c r="Z467" s="575"/>
    </row>
    <row r="468">
      <c r="A468" s="582"/>
      <c r="B468" s="583"/>
      <c r="C468" s="584"/>
      <c r="D468" s="585"/>
      <c r="E468" s="575"/>
      <c r="F468" s="575"/>
      <c r="G468" s="575"/>
      <c r="H468" s="575"/>
      <c r="I468" s="575"/>
      <c r="J468" s="575"/>
      <c r="K468" s="575"/>
      <c r="L468" s="575"/>
      <c r="M468" s="575"/>
      <c r="N468" s="575"/>
      <c r="O468" s="575"/>
      <c r="P468" s="575"/>
      <c r="Q468" s="575"/>
      <c r="R468" s="575"/>
      <c r="S468" s="575"/>
      <c r="T468" s="575"/>
      <c r="U468" s="575"/>
      <c r="V468" s="575"/>
      <c r="W468" s="575"/>
      <c r="X468" s="575"/>
      <c r="Y468" s="575"/>
      <c r="Z468" s="575"/>
    </row>
    <row r="469">
      <c r="A469" s="582"/>
      <c r="B469" s="583"/>
      <c r="C469" s="584"/>
      <c r="D469" s="585"/>
      <c r="E469" s="575"/>
      <c r="F469" s="575"/>
      <c r="G469" s="575"/>
      <c r="H469" s="575"/>
      <c r="I469" s="575"/>
      <c r="J469" s="575"/>
      <c r="K469" s="575"/>
      <c r="L469" s="575"/>
      <c r="M469" s="575"/>
      <c r="N469" s="575"/>
      <c r="O469" s="575"/>
      <c r="P469" s="575"/>
      <c r="Q469" s="575"/>
      <c r="R469" s="575"/>
      <c r="S469" s="575"/>
      <c r="T469" s="575"/>
      <c r="U469" s="575"/>
      <c r="V469" s="575"/>
      <c r="W469" s="575"/>
      <c r="X469" s="575"/>
      <c r="Y469" s="575"/>
      <c r="Z469" s="575"/>
    </row>
    <row r="470">
      <c r="A470" s="582"/>
      <c r="B470" s="583"/>
      <c r="C470" s="584"/>
      <c r="D470" s="585"/>
      <c r="E470" s="575"/>
      <c r="F470" s="575"/>
      <c r="G470" s="575"/>
      <c r="H470" s="575"/>
      <c r="I470" s="575"/>
      <c r="J470" s="575"/>
      <c r="K470" s="575"/>
      <c r="L470" s="575"/>
      <c r="M470" s="575"/>
      <c r="N470" s="575"/>
      <c r="O470" s="575"/>
      <c r="P470" s="575"/>
      <c r="Q470" s="575"/>
      <c r="R470" s="575"/>
      <c r="S470" s="575"/>
      <c r="T470" s="575"/>
      <c r="U470" s="575"/>
      <c r="V470" s="575"/>
      <c r="W470" s="575"/>
      <c r="X470" s="575"/>
      <c r="Y470" s="575"/>
      <c r="Z470" s="575"/>
    </row>
    <row r="471">
      <c r="A471" s="582"/>
      <c r="B471" s="583"/>
      <c r="C471" s="584"/>
      <c r="D471" s="585"/>
      <c r="E471" s="575"/>
      <c r="F471" s="575"/>
      <c r="G471" s="575"/>
      <c r="H471" s="575"/>
      <c r="I471" s="575"/>
      <c r="J471" s="575"/>
      <c r="K471" s="575"/>
      <c r="L471" s="575"/>
      <c r="M471" s="575"/>
      <c r="N471" s="575"/>
      <c r="O471" s="575"/>
      <c r="P471" s="575"/>
      <c r="Q471" s="575"/>
      <c r="R471" s="575"/>
      <c r="S471" s="575"/>
      <c r="T471" s="575"/>
      <c r="U471" s="575"/>
      <c r="V471" s="575"/>
      <c r="W471" s="575"/>
      <c r="X471" s="575"/>
      <c r="Y471" s="575"/>
      <c r="Z471" s="575"/>
    </row>
    <row r="472">
      <c r="A472" s="582"/>
      <c r="B472" s="583"/>
      <c r="C472" s="584"/>
      <c r="D472" s="585"/>
      <c r="E472" s="575"/>
      <c r="F472" s="575"/>
      <c r="G472" s="575"/>
      <c r="H472" s="575"/>
      <c r="I472" s="575"/>
      <c r="J472" s="575"/>
      <c r="K472" s="575"/>
      <c r="L472" s="575"/>
      <c r="M472" s="575"/>
      <c r="N472" s="575"/>
      <c r="O472" s="575"/>
      <c r="P472" s="575"/>
      <c r="Q472" s="575"/>
      <c r="R472" s="575"/>
      <c r="S472" s="575"/>
      <c r="T472" s="575"/>
      <c r="U472" s="575"/>
      <c r="V472" s="575"/>
      <c r="W472" s="575"/>
      <c r="X472" s="575"/>
      <c r="Y472" s="575"/>
      <c r="Z472" s="575"/>
    </row>
    <row r="473">
      <c r="A473" s="582"/>
      <c r="B473" s="583"/>
      <c r="C473" s="584"/>
      <c r="D473" s="585"/>
      <c r="E473" s="575"/>
      <c r="F473" s="575"/>
      <c r="G473" s="575"/>
      <c r="H473" s="575"/>
      <c r="I473" s="575"/>
      <c r="J473" s="575"/>
      <c r="K473" s="575"/>
      <c r="L473" s="575"/>
      <c r="M473" s="575"/>
      <c r="N473" s="575"/>
      <c r="O473" s="575"/>
      <c r="P473" s="575"/>
      <c r="Q473" s="575"/>
      <c r="R473" s="575"/>
      <c r="S473" s="575"/>
      <c r="T473" s="575"/>
      <c r="U473" s="575"/>
      <c r="V473" s="575"/>
      <c r="W473" s="575"/>
      <c r="X473" s="575"/>
      <c r="Y473" s="575"/>
      <c r="Z473" s="575"/>
    </row>
    <row r="474">
      <c r="A474" s="582"/>
      <c r="B474" s="583"/>
      <c r="C474" s="584"/>
      <c r="D474" s="585"/>
      <c r="E474" s="575"/>
      <c r="F474" s="575"/>
      <c r="G474" s="575"/>
      <c r="H474" s="575"/>
      <c r="I474" s="575"/>
      <c r="J474" s="575"/>
      <c r="K474" s="575"/>
      <c r="L474" s="575"/>
      <c r="M474" s="575"/>
      <c r="N474" s="575"/>
      <c r="O474" s="575"/>
      <c r="P474" s="575"/>
      <c r="Q474" s="575"/>
      <c r="R474" s="575"/>
      <c r="S474" s="575"/>
      <c r="T474" s="575"/>
      <c r="U474" s="575"/>
      <c r="V474" s="575"/>
      <c r="W474" s="575"/>
      <c r="X474" s="575"/>
      <c r="Y474" s="575"/>
      <c r="Z474" s="575"/>
    </row>
    <row r="475">
      <c r="A475" s="582"/>
      <c r="B475" s="583"/>
      <c r="C475" s="584"/>
      <c r="D475" s="585"/>
      <c r="E475" s="575"/>
      <c r="F475" s="575"/>
      <c r="G475" s="575"/>
      <c r="H475" s="575"/>
      <c r="I475" s="575"/>
      <c r="J475" s="575"/>
      <c r="K475" s="575"/>
      <c r="L475" s="575"/>
      <c r="M475" s="575"/>
      <c r="N475" s="575"/>
      <c r="O475" s="575"/>
      <c r="P475" s="575"/>
      <c r="Q475" s="575"/>
      <c r="R475" s="575"/>
      <c r="S475" s="575"/>
      <c r="T475" s="575"/>
      <c r="U475" s="575"/>
      <c r="V475" s="575"/>
      <c r="W475" s="575"/>
      <c r="X475" s="575"/>
      <c r="Y475" s="575"/>
      <c r="Z475" s="575"/>
    </row>
    <row r="476">
      <c r="A476" s="582"/>
      <c r="B476" s="583"/>
      <c r="C476" s="584"/>
      <c r="D476" s="585"/>
      <c r="E476" s="575"/>
      <c r="F476" s="575"/>
      <c r="G476" s="575"/>
      <c r="H476" s="575"/>
      <c r="I476" s="575"/>
      <c r="J476" s="575"/>
      <c r="K476" s="575"/>
      <c r="L476" s="575"/>
      <c r="M476" s="575"/>
      <c r="N476" s="575"/>
      <c r="O476" s="575"/>
      <c r="P476" s="575"/>
      <c r="Q476" s="575"/>
      <c r="R476" s="575"/>
      <c r="S476" s="575"/>
      <c r="T476" s="575"/>
      <c r="U476" s="575"/>
      <c r="V476" s="575"/>
      <c r="W476" s="575"/>
      <c r="X476" s="575"/>
      <c r="Y476" s="575"/>
      <c r="Z476" s="575"/>
    </row>
    <row r="477">
      <c r="A477" s="582"/>
      <c r="B477" s="583"/>
      <c r="C477" s="584"/>
      <c r="D477" s="585"/>
      <c r="E477" s="575"/>
      <c r="F477" s="575"/>
      <c r="G477" s="575"/>
      <c r="H477" s="575"/>
      <c r="I477" s="575"/>
      <c r="J477" s="575"/>
      <c r="K477" s="575"/>
      <c r="L477" s="575"/>
      <c r="M477" s="575"/>
      <c r="N477" s="575"/>
      <c r="O477" s="575"/>
      <c r="P477" s="575"/>
      <c r="Q477" s="575"/>
      <c r="R477" s="575"/>
      <c r="S477" s="575"/>
      <c r="T477" s="575"/>
      <c r="U477" s="575"/>
      <c r="V477" s="575"/>
      <c r="W477" s="575"/>
      <c r="X477" s="575"/>
      <c r="Y477" s="575"/>
      <c r="Z477" s="575"/>
    </row>
    <row r="478">
      <c r="A478" s="582"/>
      <c r="B478" s="583"/>
      <c r="C478" s="584"/>
      <c r="D478" s="585"/>
      <c r="E478" s="575"/>
      <c r="F478" s="575"/>
      <c r="G478" s="575"/>
      <c r="H478" s="575"/>
      <c r="I478" s="575"/>
      <c r="J478" s="575"/>
      <c r="K478" s="575"/>
      <c r="L478" s="575"/>
      <c r="M478" s="575"/>
      <c r="N478" s="575"/>
      <c r="O478" s="575"/>
      <c r="P478" s="575"/>
      <c r="Q478" s="575"/>
      <c r="R478" s="575"/>
      <c r="S478" s="575"/>
      <c r="T478" s="575"/>
      <c r="U478" s="575"/>
      <c r="V478" s="575"/>
      <c r="W478" s="575"/>
      <c r="X478" s="575"/>
      <c r="Y478" s="575"/>
      <c r="Z478" s="575"/>
    </row>
    <row r="479">
      <c r="A479" s="582"/>
      <c r="B479" s="583"/>
      <c r="C479" s="584"/>
      <c r="D479" s="585"/>
      <c r="E479" s="575"/>
      <c r="F479" s="575"/>
      <c r="G479" s="575"/>
      <c r="H479" s="575"/>
      <c r="I479" s="575"/>
      <c r="J479" s="575"/>
      <c r="K479" s="575"/>
      <c r="L479" s="575"/>
      <c r="M479" s="575"/>
      <c r="N479" s="575"/>
      <c r="O479" s="575"/>
      <c r="P479" s="575"/>
      <c r="Q479" s="575"/>
      <c r="R479" s="575"/>
      <c r="S479" s="575"/>
      <c r="T479" s="575"/>
      <c r="U479" s="575"/>
      <c r="V479" s="575"/>
      <c r="W479" s="575"/>
      <c r="X479" s="575"/>
      <c r="Y479" s="575"/>
      <c r="Z479" s="575"/>
    </row>
    <row r="480">
      <c r="A480" s="582"/>
      <c r="B480" s="583"/>
      <c r="C480" s="584"/>
      <c r="D480" s="585"/>
      <c r="E480" s="575"/>
      <c r="F480" s="575"/>
      <c r="G480" s="575"/>
      <c r="H480" s="575"/>
      <c r="I480" s="575"/>
      <c r="J480" s="575"/>
      <c r="K480" s="575"/>
      <c r="L480" s="575"/>
      <c r="M480" s="575"/>
      <c r="N480" s="575"/>
      <c r="O480" s="575"/>
      <c r="P480" s="575"/>
      <c r="Q480" s="575"/>
      <c r="R480" s="575"/>
      <c r="S480" s="575"/>
      <c r="T480" s="575"/>
      <c r="U480" s="575"/>
      <c r="V480" s="575"/>
      <c r="W480" s="575"/>
      <c r="X480" s="575"/>
      <c r="Y480" s="575"/>
      <c r="Z480" s="575"/>
    </row>
    <row r="481">
      <c r="A481" s="582"/>
      <c r="B481" s="583"/>
      <c r="C481" s="584"/>
      <c r="D481" s="585"/>
      <c r="E481" s="575"/>
      <c r="F481" s="575"/>
      <c r="G481" s="575"/>
      <c r="H481" s="575"/>
      <c r="I481" s="575"/>
      <c r="J481" s="575"/>
      <c r="K481" s="575"/>
      <c r="L481" s="575"/>
      <c r="M481" s="575"/>
      <c r="N481" s="575"/>
      <c r="O481" s="575"/>
      <c r="P481" s="575"/>
      <c r="Q481" s="575"/>
      <c r="R481" s="575"/>
      <c r="S481" s="575"/>
      <c r="T481" s="575"/>
      <c r="U481" s="575"/>
      <c r="V481" s="575"/>
      <c r="W481" s="575"/>
      <c r="X481" s="575"/>
      <c r="Y481" s="575"/>
      <c r="Z481" s="575"/>
    </row>
    <row r="482">
      <c r="A482" s="582"/>
      <c r="B482" s="583"/>
      <c r="C482" s="584"/>
      <c r="D482" s="585"/>
      <c r="E482" s="575"/>
      <c r="F482" s="575"/>
      <c r="G482" s="575"/>
      <c r="H482" s="575"/>
      <c r="I482" s="575"/>
      <c r="J482" s="575"/>
      <c r="K482" s="575"/>
      <c r="L482" s="575"/>
      <c r="M482" s="575"/>
      <c r="N482" s="575"/>
      <c r="O482" s="575"/>
      <c r="P482" s="575"/>
      <c r="Q482" s="575"/>
      <c r="R482" s="575"/>
      <c r="S482" s="575"/>
      <c r="T482" s="575"/>
      <c r="U482" s="575"/>
      <c r="V482" s="575"/>
      <c r="W482" s="575"/>
      <c r="X482" s="575"/>
      <c r="Y482" s="575"/>
      <c r="Z482" s="575"/>
    </row>
    <row r="483">
      <c r="A483" s="582"/>
      <c r="B483" s="583"/>
      <c r="C483" s="584"/>
      <c r="D483" s="585"/>
      <c r="E483" s="575"/>
      <c r="F483" s="575"/>
      <c r="G483" s="575"/>
      <c r="H483" s="575"/>
      <c r="I483" s="575"/>
      <c r="J483" s="575"/>
      <c r="K483" s="575"/>
      <c r="L483" s="575"/>
      <c r="M483" s="575"/>
      <c r="N483" s="575"/>
      <c r="O483" s="575"/>
      <c r="P483" s="575"/>
      <c r="Q483" s="575"/>
      <c r="R483" s="575"/>
      <c r="S483" s="575"/>
      <c r="T483" s="575"/>
      <c r="U483" s="575"/>
      <c r="V483" s="575"/>
      <c r="W483" s="575"/>
      <c r="X483" s="575"/>
      <c r="Y483" s="575"/>
      <c r="Z483" s="575"/>
    </row>
    <row r="484">
      <c r="A484" s="582"/>
      <c r="B484" s="583"/>
      <c r="C484" s="584"/>
      <c r="D484" s="585"/>
      <c r="E484" s="575"/>
      <c r="F484" s="575"/>
      <c r="G484" s="575"/>
      <c r="H484" s="575"/>
      <c r="I484" s="575"/>
      <c r="J484" s="575"/>
      <c r="K484" s="575"/>
      <c r="L484" s="575"/>
      <c r="M484" s="575"/>
      <c r="N484" s="575"/>
      <c r="O484" s="575"/>
      <c r="P484" s="575"/>
      <c r="Q484" s="575"/>
      <c r="R484" s="575"/>
      <c r="S484" s="575"/>
      <c r="T484" s="575"/>
      <c r="U484" s="575"/>
      <c r="V484" s="575"/>
      <c r="W484" s="575"/>
      <c r="X484" s="575"/>
      <c r="Y484" s="575"/>
      <c r="Z484" s="575"/>
    </row>
    <row r="485">
      <c r="A485" s="582"/>
      <c r="B485" s="583"/>
      <c r="C485" s="584"/>
      <c r="D485" s="585"/>
      <c r="E485" s="575"/>
      <c r="F485" s="575"/>
      <c r="G485" s="575"/>
      <c r="H485" s="575"/>
      <c r="I485" s="575"/>
      <c r="J485" s="575"/>
      <c r="K485" s="575"/>
      <c r="L485" s="575"/>
      <c r="M485" s="575"/>
      <c r="N485" s="575"/>
      <c r="O485" s="575"/>
      <c r="P485" s="575"/>
      <c r="Q485" s="575"/>
      <c r="R485" s="575"/>
      <c r="S485" s="575"/>
      <c r="T485" s="575"/>
      <c r="U485" s="575"/>
      <c r="V485" s="575"/>
      <c r="W485" s="575"/>
      <c r="X485" s="575"/>
      <c r="Y485" s="575"/>
      <c r="Z485" s="575"/>
    </row>
    <row r="486">
      <c r="A486" s="582"/>
      <c r="B486" s="583"/>
      <c r="C486" s="584"/>
      <c r="D486" s="585"/>
      <c r="E486" s="575"/>
      <c r="F486" s="575"/>
      <c r="G486" s="575"/>
      <c r="H486" s="575"/>
      <c r="I486" s="575"/>
      <c r="J486" s="575"/>
      <c r="K486" s="575"/>
      <c r="L486" s="575"/>
      <c r="M486" s="575"/>
      <c r="N486" s="575"/>
      <c r="O486" s="575"/>
      <c r="P486" s="575"/>
      <c r="Q486" s="575"/>
      <c r="R486" s="575"/>
      <c r="S486" s="575"/>
      <c r="T486" s="575"/>
      <c r="U486" s="575"/>
      <c r="V486" s="575"/>
      <c r="W486" s="575"/>
      <c r="X486" s="575"/>
      <c r="Y486" s="575"/>
      <c r="Z486" s="575"/>
    </row>
    <row r="487">
      <c r="A487" s="582"/>
      <c r="B487" s="583"/>
      <c r="C487" s="584"/>
      <c r="D487" s="585"/>
      <c r="E487" s="575"/>
      <c r="F487" s="575"/>
      <c r="G487" s="575"/>
      <c r="H487" s="575"/>
      <c r="I487" s="575"/>
      <c r="J487" s="575"/>
      <c r="K487" s="575"/>
      <c r="L487" s="575"/>
      <c r="M487" s="575"/>
      <c r="N487" s="575"/>
      <c r="O487" s="575"/>
      <c r="P487" s="575"/>
      <c r="Q487" s="575"/>
      <c r="R487" s="575"/>
      <c r="S487" s="575"/>
      <c r="T487" s="575"/>
      <c r="U487" s="575"/>
      <c r="V487" s="575"/>
      <c r="W487" s="575"/>
      <c r="X487" s="575"/>
      <c r="Y487" s="575"/>
      <c r="Z487" s="575"/>
    </row>
    <row r="488">
      <c r="A488" s="582"/>
      <c r="B488" s="583"/>
      <c r="C488" s="584"/>
      <c r="D488" s="585"/>
      <c r="E488" s="575"/>
      <c r="F488" s="575"/>
      <c r="G488" s="575"/>
      <c r="H488" s="575"/>
      <c r="I488" s="575"/>
      <c r="J488" s="575"/>
      <c r="K488" s="575"/>
      <c r="L488" s="575"/>
      <c r="M488" s="575"/>
      <c r="N488" s="575"/>
      <c r="O488" s="575"/>
      <c r="P488" s="575"/>
      <c r="Q488" s="575"/>
      <c r="R488" s="575"/>
      <c r="S488" s="575"/>
      <c r="T488" s="575"/>
      <c r="U488" s="575"/>
      <c r="V488" s="575"/>
      <c r="W488" s="575"/>
      <c r="X488" s="575"/>
      <c r="Y488" s="575"/>
      <c r="Z488" s="575"/>
    </row>
    <row r="489">
      <c r="A489" s="582"/>
      <c r="B489" s="583"/>
      <c r="C489" s="584"/>
      <c r="D489" s="585"/>
      <c r="E489" s="575"/>
      <c r="F489" s="575"/>
      <c r="G489" s="575"/>
      <c r="H489" s="575"/>
      <c r="I489" s="575"/>
      <c r="J489" s="575"/>
      <c r="K489" s="575"/>
      <c r="L489" s="575"/>
      <c r="M489" s="575"/>
      <c r="N489" s="575"/>
      <c r="O489" s="575"/>
      <c r="P489" s="575"/>
      <c r="Q489" s="575"/>
      <c r="R489" s="575"/>
      <c r="S489" s="575"/>
      <c r="T489" s="575"/>
      <c r="U489" s="575"/>
      <c r="V489" s="575"/>
      <c r="W489" s="575"/>
      <c r="X489" s="575"/>
      <c r="Y489" s="575"/>
      <c r="Z489" s="575"/>
    </row>
    <row r="490">
      <c r="A490" s="582"/>
      <c r="B490" s="583"/>
      <c r="C490" s="584"/>
      <c r="D490" s="585"/>
      <c r="E490" s="575"/>
      <c r="F490" s="575"/>
      <c r="G490" s="575"/>
      <c r="H490" s="575"/>
      <c r="I490" s="575"/>
      <c r="J490" s="575"/>
      <c r="K490" s="575"/>
      <c r="L490" s="575"/>
      <c r="M490" s="575"/>
      <c r="N490" s="575"/>
      <c r="O490" s="575"/>
      <c r="P490" s="575"/>
      <c r="Q490" s="575"/>
      <c r="R490" s="575"/>
      <c r="S490" s="575"/>
      <c r="T490" s="575"/>
      <c r="U490" s="575"/>
      <c r="V490" s="575"/>
      <c r="W490" s="575"/>
      <c r="X490" s="575"/>
      <c r="Y490" s="575"/>
      <c r="Z490" s="575"/>
    </row>
    <row r="491">
      <c r="A491" s="582"/>
      <c r="B491" s="583"/>
      <c r="C491" s="584"/>
      <c r="D491" s="585"/>
      <c r="E491" s="575"/>
      <c r="F491" s="575"/>
      <c r="G491" s="575"/>
      <c r="H491" s="575"/>
      <c r="I491" s="575"/>
      <c r="J491" s="575"/>
      <c r="K491" s="575"/>
      <c r="L491" s="575"/>
      <c r="M491" s="575"/>
      <c r="N491" s="575"/>
      <c r="O491" s="575"/>
      <c r="P491" s="575"/>
      <c r="Q491" s="575"/>
      <c r="R491" s="575"/>
      <c r="S491" s="575"/>
      <c r="T491" s="575"/>
      <c r="U491" s="575"/>
      <c r="V491" s="575"/>
      <c r="W491" s="575"/>
      <c r="X491" s="575"/>
      <c r="Y491" s="575"/>
      <c r="Z491" s="575"/>
    </row>
    <row r="492">
      <c r="A492" s="582"/>
      <c r="B492" s="583"/>
      <c r="C492" s="584"/>
      <c r="D492" s="585"/>
      <c r="E492" s="575"/>
      <c r="F492" s="575"/>
      <c r="G492" s="575"/>
      <c r="H492" s="575"/>
      <c r="I492" s="575"/>
      <c r="J492" s="575"/>
      <c r="K492" s="575"/>
      <c r="L492" s="575"/>
      <c r="M492" s="575"/>
      <c r="N492" s="575"/>
      <c r="O492" s="575"/>
      <c r="P492" s="575"/>
      <c r="Q492" s="575"/>
      <c r="R492" s="575"/>
      <c r="S492" s="575"/>
      <c r="T492" s="575"/>
      <c r="U492" s="575"/>
      <c r="V492" s="575"/>
      <c r="W492" s="575"/>
      <c r="X492" s="575"/>
      <c r="Y492" s="575"/>
      <c r="Z492" s="575"/>
    </row>
    <row r="493">
      <c r="A493" s="582"/>
      <c r="B493" s="583"/>
      <c r="C493" s="584"/>
      <c r="D493" s="585"/>
      <c r="E493" s="575"/>
      <c r="F493" s="575"/>
      <c r="G493" s="575"/>
      <c r="H493" s="575"/>
      <c r="I493" s="575"/>
      <c r="J493" s="575"/>
      <c r="K493" s="575"/>
      <c r="L493" s="575"/>
      <c r="M493" s="575"/>
      <c r="N493" s="575"/>
      <c r="O493" s="575"/>
      <c r="P493" s="575"/>
      <c r="Q493" s="575"/>
      <c r="R493" s="575"/>
      <c r="S493" s="575"/>
      <c r="T493" s="575"/>
      <c r="U493" s="575"/>
      <c r="V493" s="575"/>
      <c r="W493" s="575"/>
      <c r="X493" s="575"/>
      <c r="Y493" s="575"/>
      <c r="Z493" s="575"/>
    </row>
    <row r="494">
      <c r="A494" s="582"/>
      <c r="B494" s="583"/>
      <c r="C494" s="584"/>
      <c r="D494" s="585"/>
      <c r="E494" s="575"/>
      <c r="F494" s="575"/>
      <c r="G494" s="575"/>
      <c r="H494" s="575"/>
      <c r="I494" s="575"/>
      <c r="J494" s="575"/>
      <c r="K494" s="575"/>
      <c r="L494" s="575"/>
      <c r="M494" s="575"/>
      <c r="N494" s="575"/>
      <c r="O494" s="575"/>
      <c r="P494" s="575"/>
      <c r="Q494" s="575"/>
      <c r="R494" s="575"/>
      <c r="S494" s="575"/>
      <c r="T494" s="575"/>
      <c r="U494" s="575"/>
      <c r="V494" s="575"/>
      <c r="W494" s="575"/>
      <c r="X494" s="575"/>
      <c r="Y494" s="575"/>
      <c r="Z494" s="575"/>
    </row>
    <row r="495">
      <c r="A495" s="582"/>
      <c r="B495" s="583"/>
      <c r="C495" s="584"/>
      <c r="D495" s="585"/>
      <c r="E495" s="575"/>
      <c r="F495" s="575"/>
      <c r="G495" s="575"/>
      <c r="H495" s="575"/>
      <c r="I495" s="575"/>
      <c r="J495" s="575"/>
      <c r="K495" s="575"/>
      <c r="L495" s="575"/>
      <c r="M495" s="575"/>
      <c r="N495" s="575"/>
      <c r="O495" s="575"/>
      <c r="P495" s="575"/>
      <c r="Q495" s="575"/>
      <c r="R495" s="575"/>
      <c r="S495" s="575"/>
      <c r="T495" s="575"/>
      <c r="U495" s="575"/>
      <c r="V495" s="575"/>
      <c r="W495" s="575"/>
      <c r="X495" s="575"/>
      <c r="Y495" s="575"/>
      <c r="Z495" s="575"/>
    </row>
    <row r="496">
      <c r="A496" s="582"/>
      <c r="B496" s="583"/>
      <c r="C496" s="584"/>
      <c r="D496" s="585"/>
      <c r="E496" s="575"/>
      <c r="F496" s="575"/>
      <c r="G496" s="575"/>
      <c r="H496" s="575"/>
      <c r="I496" s="575"/>
      <c r="J496" s="575"/>
      <c r="K496" s="575"/>
      <c r="L496" s="575"/>
      <c r="M496" s="575"/>
      <c r="N496" s="575"/>
      <c r="O496" s="575"/>
      <c r="P496" s="575"/>
      <c r="Q496" s="575"/>
      <c r="R496" s="575"/>
      <c r="S496" s="575"/>
      <c r="T496" s="575"/>
      <c r="U496" s="575"/>
      <c r="V496" s="575"/>
      <c r="W496" s="575"/>
      <c r="X496" s="575"/>
      <c r="Y496" s="575"/>
      <c r="Z496" s="575"/>
    </row>
    <row r="497">
      <c r="A497" s="582"/>
      <c r="B497" s="583"/>
      <c r="C497" s="584"/>
      <c r="D497" s="585"/>
      <c r="E497" s="575"/>
      <c r="F497" s="575"/>
      <c r="G497" s="575"/>
      <c r="H497" s="575"/>
      <c r="I497" s="575"/>
      <c r="J497" s="575"/>
      <c r="K497" s="575"/>
      <c r="L497" s="575"/>
      <c r="M497" s="575"/>
      <c r="N497" s="575"/>
      <c r="O497" s="575"/>
      <c r="P497" s="575"/>
      <c r="Q497" s="575"/>
      <c r="R497" s="575"/>
      <c r="S497" s="575"/>
      <c r="T497" s="575"/>
      <c r="U497" s="575"/>
      <c r="V497" s="575"/>
      <c r="W497" s="575"/>
      <c r="X497" s="575"/>
      <c r="Y497" s="575"/>
      <c r="Z497" s="575"/>
    </row>
    <row r="498">
      <c r="A498" s="582"/>
      <c r="B498" s="583"/>
      <c r="C498" s="584"/>
      <c r="D498" s="585"/>
      <c r="E498" s="575"/>
      <c r="F498" s="575"/>
      <c r="G498" s="575"/>
      <c r="H498" s="575"/>
      <c r="I498" s="575"/>
      <c r="J498" s="575"/>
      <c r="K498" s="575"/>
      <c r="L498" s="575"/>
      <c r="M498" s="575"/>
      <c r="N498" s="575"/>
      <c r="O498" s="575"/>
      <c r="P498" s="575"/>
      <c r="Q498" s="575"/>
      <c r="R498" s="575"/>
      <c r="S498" s="575"/>
      <c r="T498" s="575"/>
      <c r="U498" s="575"/>
      <c r="V498" s="575"/>
      <c r="W498" s="575"/>
      <c r="X498" s="575"/>
      <c r="Y498" s="575"/>
      <c r="Z498" s="575"/>
    </row>
    <row r="499">
      <c r="A499" s="582"/>
      <c r="B499" s="583"/>
      <c r="C499" s="584"/>
      <c r="D499" s="585"/>
      <c r="E499" s="575"/>
      <c r="F499" s="575"/>
      <c r="G499" s="575"/>
      <c r="H499" s="575"/>
      <c r="I499" s="575"/>
      <c r="J499" s="575"/>
      <c r="K499" s="575"/>
      <c r="L499" s="575"/>
      <c r="M499" s="575"/>
      <c r="N499" s="575"/>
      <c r="O499" s="575"/>
      <c r="P499" s="575"/>
      <c r="Q499" s="575"/>
      <c r="R499" s="575"/>
      <c r="S499" s="575"/>
      <c r="T499" s="575"/>
      <c r="U499" s="575"/>
      <c r="V499" s="575"/>
      <c r="W499" s="575"/>
      <c r="X499" s="575"/>
      <c r="Y499" s="575"/>
      <c r="Z499" s="575"/>
    </row>
    <row r="500">
      <c r="A500" s="582"/>
      <c r="B500" s="583"/>
      <c r="C500" s="584"/>
      <c r="D500" s="585"/>
      <c r="E500" s="575"/>
      <c r="F500" s="575"/>
      <c r="G500" s="575"/>
      <c r="H500" s="575"/>
      <c r="I500" s="575"/>
      <c r="J500" s="575"/>
      <c r="K500" s="575"/>
      <c r="L500" s="575"/>
      <c r="M500" s="575"/>
      <c r="N500" s="575"/>
      <c r="O500" s="575"/>
      <c r="P500" s="575"/>
      <c r="Q500" s="575"/>
      <c r="R500" s="575"/>
      <c r="S500" s="575"/>
      <c r="T500" s="575"/>
      <c r="U500" s="575"/>
      <c r="V500" s="575"/>
      <c r="W500" s="575"/>
      <c r="X500" s="575"/>
      <c r="Y500" s="575"/>
      <c r="Z500" s="575"/>
    </row>
    <row r="501">
      <c r="A501" s="582"/>
      <c r="B501" s="583"/>
      <c r="C501" s="584"/>
      <c r="D501" s="585"/>
      <c r="E501" s="575"/>
      <c r="F501" s="575"/>
      <c r="G501" s="575"/>
      <c r="H501" s="575"/>
      <c r="I501" s="575"/>
      <c r="J501" s="575"/>
      <c r="K501" s="575"/>
      <c r="L501" s="575"/>
      <c r="M501" s="575"/>
      <c r="N501" s="575"/>
      <c r="O501" s="575"/>
      <c r="P501" s="575"/>
      <c r="Q501" s="575"/>
      <c r="R501" s="575"/>
      <c r="S501" s="575"/>
      <c r="T501" s="575"/>
      <c r="U501" s="575"/>
      <c r="V501" s="575"/>
      <c r="W501" s="575"/>
      <c r="X501" s="575"/>
      <c r="Y501" s="575"/>
      <c r="Z501" s="575"/>
    </row>
    <row r="502">
      <c r="A502" s="582"/>
      <c r="B502" s="583"/>
      <c r="C502" s="584"/>
      <c r="D502" s="585"/>
      <c r="E502" s="575"/>
      <c r="F502" s="575"/>
      <c r="G502" s="575"/>
      <c r="H502" s="575"/>
      <c r="I502" s="575"/>
      <c r="J502" s="575"/>
      <c r="K502" s="575"/>
      <c r="L502" s="575"/>
      <c r="M502" s="575"/>
      <c r="N502" s="575"/>
      <c r="O502" s="575"/>
      <c r="P502" s="575"/>
      <c r="Q502" s="575"/>
      <c r="R502" s="575"/>
      <c r="S502" s="575"/>
      <c r="T502" s="575"/>
      <c r="U502" s="575"/>
      <c r="V502" s="575"/>
      <c r="W502" s="575"/>
      <c r="X502" s="575"/>
      <c r="Y502" s="575"/>
      <c r="Z502" s="575"/>
    </row>
    <row r="503">
      <c r="A503" s="582"/>
      <c r="B503" s="583"/>
      <c r="C503" s="584"/>
      <c r="D503" s="585"/>
      <c r="E503" s="575"/>
      <c r="F503" s="575"/>
      <c r="G503" s="575"/>
      <c r="H503" s="575"/>
      <c r="I503" s="575"/>
      <c r="J503" s="575"/>
      <c r="K503" s="575"/>
      <c r="L503" s="575"/>
      <c r="M503" s="575"/>
      <c r="N503" s="575"/>
      <c r="O503" s="575"/>
      <c r="P503" s="575"/>
      <c r="Q503" s="575"/>
      <c r="R503" s="575"/>
      <c r="S503" s="575"/>
      <c r="T503" s="575"/>
      <c r="U503" s="575"/>
      <c r="V503" s="575"/>
      <c r="W503" s="575"/>
      <c r="X503" s="575"/>
      <c r="Y503" s="575"/>
      <c r="Z503" s="575"/>
    </row>
    <row r="504">
      <c r="A504" s="582"/>
      <c r="B504" s="583"/>
      <c r="C504" s="584"/>
      <c r="D504" s="585"/>
      <c r="E504" s="575"/>
      <c r="F504" s="575"/>
      <c r="G504" s="575"/>
      <c r="H504" s="575"/>
      <c r="I504" s="575"/>
      <c r="J504" s="575"/>
      <c r="K504" s="575"/>
      <c r="L504" s="575"/>
      <c r="M504" s="575"/>
      <c r="N504" s="575"/>
      <c r="O504" s="575"/>
      <c r="P504" s="575"/>
      <c r="Q504" s="575"/>
      <c r="R504" s="575"/>
      <c r="S504" s="575"/>
      <c r="T504" s="575"/>
      <c r="U504" s="575"/>
      <c r="V504" s="575"/>
      <c r="W504" s="575"/>
      <c r="X504" s="575"/>
      <c r="Y504" s="575"/>
      <c r="Z504" s="575"/>
    </row>
    <row r="505">
      <c r="A505" s="582"/>
      <c r="B505" s="583"/>
      <c r="C505" s="584"/>
      <c r="D505" s="585"/>
      <c r="E505" s="575"/>
      <c r="F505" s="575"/>
      <c r="G505" s="575"/>
      <c r="H505" s="575"/>
      <c r="I505" s="575"/>
      <c r="J505" s="575"/>
      <c r="K505" s="575"/>
      <c r="L505" s="575"/>
      <c r="M505" s="575"/>
      <c r="N505" s="575"/>
      <c r="O505" s="575"/>
      <c r="P505" s="575"/>
      <c r="Q505" s="575"/>
      <c r="R505" s="575"/>
      <c r="S505" s="575"/>
      <c r="T505" s="575"/>
      <c r="U505" s="575"/>
      <c r="V505" s="575"/>
      <c r="W505" s="575"/>
      <c r="X505" s="575"/>
      <c r="Y505" s="575"/>
      <c r="Z505" s="575"/>
    </row>
    <row r="506">
      <c r="A506" s="582"/>
      <c r="B506" s="583"/>
      <c r="C506" s="584"/>
      <c r="D506" s="585"/>
      <c r="E506" s="575"/>
      <c r="F506" s="575"/>
      <c r="G506" s="575"/>
      <c r="H506" s="575"/>
      <c r="I506" s="575"/>
      <c r="J506" s="575"/>
      <c r="K506" s="575"/>
      <c r="L506" s="575"/>
      <c r="M506" s="575"/>
      <c r="N506" s="575"/>
      <c r="O506" s="575"/>
      <c r="P506" s="575"/>
      <c r="Q506" s="575"/>
      <c r="R506" s="575"/>
      <c r="S506" s="575"/>
      <c r="T506" s="575"/>
      <c r="U506" s="575"/>
      <c r="V506" s="575"/>
      <c r="W506" s="575"/>
      <c r="X506" s="575"/>
      <c r="Y506" s="575"/>
      <c r="Z506" s="575"/>
    </row>
    <row r="507">
      <c r="A507" s="582"/>
      <c r="B507" s="583"/>
      <c r="C507" s="584"/>
      <c r="D507" s="585"/>
      <c r="E507" s="575"/>
      <c r="F507" s="575"/>
      <c r="G507" s="575"/>
      <c r="H507" s="575"/>
      <c r="I507" s="575"/>
      <c r="J507" s="575"/>
      <c r="K507" s="575"/>
      <c r="L507" s="575"/>
      <c r="M507" s="575"/>
      <c r="N507" s="575"/>
      <c r="O507" s="575"/>
      <c r="P507" s="575"/>
      <c r="Q507" s="575"/>
      <c r="R507" s="575"/>
      <c r="S507" s="575"/>
      <c r="T507" s="575"/>
      <c r="U507" s="575"/>
      <c r="V507" s="575"/>
      <c r="W507" s="575"/>
      <c r="X507" s="575"/>
      <c r="Y507" s="575"/>
      <c r="Z507" s="575"/>
    </row>
    <row r="508">
      <c r="A508" s="582"/>
      <c r="B508" s="583"/>
      <c r="C508" s="584"/>
      <c r="D508" s="585"/>
      <c r="E508" s="575"/>
      <c r="F508" s="575"/>
      <c r="G508" s="575"/>
      <c r="H508" s="575"/>
      <c r="I508" s="575"/>
      <c r="J508" s="575"/>
      <c r="K508" s="575"/>
      <c r="L508" s="575"/>
      <c r="M508" s="575"/>
      <c r="N508" s="575"/>
      <c r="O508" s="575"/>
      <c r="P508" s="575"/>
      <c r="Q508" s="575"/>
      <c r="R508" s="575"/>
      <c r="S508" s="575"/>
      <c r="T508" s="575"/>
      <c r="U508" s="575"/>
      <c r="V508" s="575"/>
      <c r="W508" s="575"/>
      <c r="X508" s="575"/>
      <c r="Y508" s="575"/>
      <c r="Z508" s="575"/>
    </row>
    <row r="509">
      <c r="A509" s="582"/>
      <c r="B509" s="583"/>
      <c r="C509" s="584"/>
      <c r="D509" s="585"/>
      <c r="E509" s="575"/>
      <c r="F509" s="575"/>
      <c r="G509" s="575"/>
      <c r="H509" s="575"/>
      <c r="I509" s="575"/>
      <c r="J509" s="575"/>
      <c r="K509" s="575"/>
      <c r="L509" s="575"/>
      <c r="M509" s="575"/>
      <c r="N509" s="575"/>
      <c r="O509" s="575"/>
      <c r="P509" s="575"/>
      <c r="Q509" s="575"/>
      <c r="R509" s="575"/>
      <c r="S509" s="575"/>
      <c r="T509" s="575"/>
      <c r="U509" s="575"/>
      <c r="V509" s="575"/>
      <c r="W509" s="575"/>
      <c r="X509" s="575"/>
      <c r="Y509" s="575"/>
      <c r="Z509" s="575"/>
    </row>
    <row r="510">
      <c r="A510" s="582"/>
      <c r="B510" s="583"/>
      <c r="C510" s="584"/>
      <c r="D510" s="585"/>
      <c r="E510" s="575"/>
      <c r="F510" s="575"/>
      <c r="G510" s="575"/>
      <c r="H510" s="575"/>
      <c r="I510" s="575"/>
      <c r="J510" s="575"/>
      <c r="K510" s="575"/>
      <c r="L510" s="575"/>
      <c r="M510" s="575"/>
      <c r="N510" s="575"/>
      <c r="O510" s="575"/>
      <c r="P510" s="575"/>
      <c r="Q510" s="575"/>
      <c r="R510" s="575"/>
      <c r="S510" s="575"/>
      <c r="T510" s="575"/>
      <c r="U510" s="575"/>
      <c r="V510" s="575"/>
      <c r="W510" s="575"/>
      <c r="X510" s="575"/>
      <c r="Y510" s="575"/>
      <c r="Z510" s="575"/>
    </row>
    <row r="511">
      <c r="A511" s="582"/>
      <c r="B511" s="583"/>
      <c r="C511" s="584"/>
      <c r="D511" s="585"/>
      <c r="E511" s="575"/>
      <c r="F511" s="575"/>
      <c r="G511" s="575"/>
      <c r="H511" s="575"/>
      <c r="I511" s="575"/>
      <c r="J511" s="575"/>
      <c r="K511" s="575"/>
      <c r="L511" s="575"/>
      <c r="M511" s="575"/>
      <c r="N511" s="575"/>
      <c r="O511" s="575"/>
      <c r="P511" s="575"/>
      <c r="Q511" s="575"/>
      <c r="R511" s="575"/>
      <c r="S511" s="575"/>
      <c r="T511" s="575"/>
      <c r="U511" s="575"/>
      <c r="V511" s="575"/>
      <c r="W511" s="575"/>
      <c r="X511" s="575"/>
      <c r="Y511" s="575"/>
      <c r="Z511" s="575"/>
    </row>
    <row r="512">
      <c r="A512" s="582"/>
      <c r="B512" s="583"/>
      <c r="C512" s="584"/>
      <c r="D512" s="585"/>
      <c r="E512" s="575"/>
      <c r="F512" s="575"/>
      <c r="G512" s="575"/>
      <c r="H512" s="575"/>
      <c r="I512" s="575"/>
      <c r="J512" s="575"/>
      <c r="K512" s="575"/>
      <c r="L512" s="575"/>
      <c r="M512" s="575"/>
      <c r="N512" s="575"/>
      <c r="O512" s="575"/>
      <c r="P512" s="575"/>
      <c r="Q512" s="575"/>
      <c r="R512" s="575"/>
      <c r="S512" s="575"/>
      <c r="T512" s="575"/>
      <c r="U512" s="575"/>
      <c r="V512" s="575"/>
      <c r="W512" s="575"/>
      <c r="X512" s="575"/>
      <c r="Y512" s="575"/>
      <c r="Z512" s="575"/>
    </row>
    <row r="513">
      <c r="A513" s="582"/>
      <c r="B513" s="583"/>
      <c r="C513" s="584"/>
      <c r="D513" s="585"/>
      <c r="E513" s="575"/>
      <c r="F513" s="575"/>
      <c r="G513" s="575"/>
      <c r="H513" s="575"/>
      <c r="I513" s="575"/>
      <c r="J513" s="575"/>
      <c r="K513" s="575"/>
      <c r="L513" s="575"/>
      <c r="M513" s="575"/>
      <c r="N513" s="575"/>
      <c r="O513" s="575"/>
      <c r="P513" s="575"/>
      <c r="Q513" s="575"/>
      <c r="R513" s="575"/>
      <c r="S513" s="575"/>
      <c r="T513" s="575"/>
      <c r="U513" s="575"/>
      <c r="V513" s="575"/>
      <c r="W513" s="575"/>
      <c r="X513" s="575"/>
      <c r="Y513" s="575"/>
      <c r="Z513" s="575"/>
    </row>
    <row r="514">
      <c r="A514" s="582"/>
      <c r="B514" s="583"/>
      <c r="C514" s="584"/>
      <c r="D514" s="585"/>
      <c r="E514" s="575"/>
      <c r="F514" s="575"/>
      <c r="G514" s="575"/>
      <c r="H514" s="575"/>
      <c r="I514" s="575"/>
      <c r="J514" s="575"/>
      <c r="K514" s="575"/>
      <c r="L514" s="575"/>
      <c r="M514" s="575"/>
      <c r="N514" s="575"/>
      <c r="O514" s="575"/>
      <c r="P514" s="575"/>
      <c r="Q514" s="575"/>
      <c r="R514" s="575"/>
      <c r="S514" s="575"/>
      <c r="T514" s="575"/>
      <c r="U514" s="575"/>
      <c r="V514" s="575"/>
      <c r="W514" s="575"/>
      <c r="X514" s="575"/>
      <c r="Y514" s="575"/>
      <c r="Z514" s="575"/>
    </row>
    <row r="515">
      <c r="A515" s="582"/>
      <c r="B515" s="583"/>
      <c r="C515" s="584"/>
      <c r="D515" s="585"/>
      <c r="E515" s="575"/>
      <c r="F515" s="575"/>
      <c r="G515" s="575"/>
      <c r="H515" s="575"/>
      <c r="I515" s="575"/>
      <c r="J515" s="575"/>
      <c r="K515" s="575"/>
      <c r="L515" s="575"/>
      <c r="M515" s="575"/>
      <c r="N515" s="575"/>
      <c r="O515" s="575"/>
      <c r="P515" s="575"/>
      <c r="Q515" s="575"/>
      <c r="R515" s="575"/>
      <c r="S515" s="575"/>
      <c r="T515" s="575"/>
      <c r="U515" s="575"/>
      <c r="V515" s="575"/>
      <c r="W515" s="575"/>
      <c r="X515" s="575"/>
      <c r="Y515" s="575"/>
      <c r="Z515" s="575"/>
    </row>
    <row r="516">
      <c r="A516" s="582"/>
      <c r="B516" s="583"/>
      <c r="C516" s="584"/>
      <c r="D516" s="585"/>
      <c r="E516" s="575"/>
      <c r="F516" s="575"/>
      <c r="G516" s="575"/>
      <c r="H516" s="575"/>
      <c r="I516" s="575"/>
      <c r="J516" s="575"/>
      <c r="K516" s="575"/>
      <c r="L516" s="575"/>
      <c r="M516" s="575"/>
      <c r="N516" s="575"/>
      <c r="O516" s="575"/>
      <c r="P516" s="575"/>
      <c r="Q516" s="575"/>
      <c r="R516" s="575"/>
      <c r="S516" s="575"/>
      <c r="T516" s="575"/>
      <c r="U516" s="575"/>
      <c r="V516" s="575"/>
      <c r="W516" s="575"/>
      <c r="X516" s="575"/>
      <c r="Y516" s="575"/>
      <c r="Z516" s="575"/>
    </row>
    <row r="517">
      <c r="A517" s="582"/>
      <c r="B517" s="583"/>
      <c r="C517" s="584"/>
      <c r="D517" s="585"/>
      <c r="E517" s="575"/>
      <c r="F517" s="575"/>
      <c r="G517" s="575"/>
      <c r="H517" s="575"/>
      <c r="I517" s="575"/>
      <c r="J517" s="575"/>
      <c r="K517" s="575"/>
      <c r="L517" s="575"/>
      <c r="M517" s="575"/>
      <c r="N517" s="575"/>
      <c r="O517" s="575"/>
      <c r="P517" s="575"/>
      <c r="Q517" s="575"/>
      <c r="R517" s="575"/>
      <c r="S517" s="575"/>
      <c r="T517" s="575"/>
      <c r="U517" s="575"/>
      <c r="V517" s="575"/>
      <c r="W517" s="575"/>
      <c r="X517" s="575"/>
      <c r="Y517" s="575"/>
      <c r="Z517" s="575"/>
    </row>
    <row r="518">
      <c r="A518" s="582"/>
      <c r="B518" s="583"/>
      <c r="C518" s="584"/>
      <c r="D518" s="585"/>
      <c r="E518" s="575"/>
      <c r="F518" s="575"/>
      <c r="G518" s="575"/>
      <c r="H518" s="575"/>
      <c r="I518" s="575"/>
      <c r="J518" s="575"/>
      <c r="K518" s="575"/>
      <c r="L518" s="575"/>
      <c r="M518" s="575"/>
      <c r="N518" s="575"/>
      <c r="O518" s="575"/>
      <c r="P518" s="575"/>
      <c r="Q518" s="575"/>
      <c r="R518" s="575"/>
      <c r="S518" s="575"/>
      <c r="T518" s="575"/>
      <c r="U518" s="575"/>
      <c r="V518" s="575"/>
      <c r="W518" s="575"/>
      <c r="X518" s="575"/>
      <c r="Y518" s="575"/>
      <c r="Z518" s="575"/>
    </row>
    <row r="519">
      <c r="A519" s="582"/>
      <c r="B519" s="583"/>
      <c r="C519" s="584"/>
      <c r="D519" s="585"/>
      <c r="E519" s="575"/>
      <c r="F519" s="575"/>
      <c r="G519" s="575"/>
      <c r="H519" s="575"/>
      <c r="I519" s="575"/>
      <c r="J519" s="575"/>
      <c r="K519" s="575"/>
      <c r="L519" s="575"/>
      <c r="M519" s="575"/>
      <c r="N519" s="575"/>
      <c r="O519" s="575"/>
      <c r="P519" s="575"/>
      <c r="Q519" s="575"/>
      <c r="R519" s="575"/>
      <c r="S519" s="575"/>
      <c r="T519" s="575"/>
      <c r="U519" s="575"/>
      <c r="V519" s="575"/>
      <c r="W519" s="575"/>
      <c r="X519" s="575"/>
      <c r="Y519" s="575"/>
      <c r="Z519" s="575"/>
    </row>
    <row r="520">
      <c r="A520" s="582"/>
      <c r="B520" s="583"/>
      <c r="C520" s="584"/>
      <c r="D520" s="585"/>
      <c r="E520" s="575"/>
      <c r="F520" s="575"/>
      <c r="G520" s="575"/>
      <c r="H520" s="575"/>
      <c r="I520" s="575"/>
      <c r="J520" s="575"/>
      <c r="K520" s="575"/>
      <c r="L520" s="575"/>
      <c r="M520" s="575"/>
      <c r="N520" s="575"/>
      <c r="O520" s="575"/>
      <c r="P520" s="575"/>
      <c r="Q520" s="575"/>
      <c r="R520" s="575"/>
      <c r="S520" s="575"/>
      <c r="T520" s="575"/>
      <c r="U520" s="575"/>
      <c r="V520" s="575"/>
      <c r="W520" s="575"/>
      <c r="X520" s="575"/>
      <c r="Y520" s="575"/>
      <c r="Z520" s="575"/>
    </row>
    <row r="521">
      <c r="A521" s="582"/>
      <c r="B521" s="583"/>
      <c r="C521" s="584"/>
      <c r="D521" s="585"/>
      <c r="E521" s="575"/>
      <c r="F521" s="575"/>
      <c r="G521" s="575"/>
      <c r="H521" s="575"/>
      <c r="I521" s="575"/>
      <c r="J521" s="575"/>
      <c r="K521" s="575"/>
      <c r="L521" s="575"/>
      <c r="M521" s="575"/>
      <c r="N521" s="575"/>
      <c r="O521" s="575"/>
      <c r="P521" s="575"/>
      <c r="Q521" s="575"/>
      <c r="R521" s="575"/>
      <c r="S521" s="575"/>
      <c r="T521" s="575"/>
      <c r="U521" s="575"/>
      <c r="V521" s="575"/>
      <c r="W521" s="575"/>
      <c r="X521" s="575"/>
      <c r="Y521" s="575"/>
      <c r="Z521" s="575"/>
    </row>
    <row r="522">
      <c r="A522" s="582"/>
      <c r="B522" s="583"/>
      <c r="C522" s="584"/>
      <c r="D522" s="585"/>
      <c r="E522" s="575"/>
      <c r="F522" s="575"/>
      <c r="G522" s="575"/>
      <c r="H522" s="575"/>
      <c r="I522" s="575"/>
      <c r="J522" s="575"/>
      <c r="K522" s="575"/>
      <c r="L522" s="575"/>
      <c r="M522" s="575"/>
      <c r="N522" s="575"/>
      <c r="O522" s="575"/>
      <c r="P522" s="575"/>
      <c r="Q522" s="575"/>
      <c r="R522" s="575"/>
      <c r="S522" s="575"/>
      <c r="T522" s="575"/>
      <c r="U522" s="575"/>
      <c r="V522" s="575"/>
      <c r="W522" s="575"/>
      <c r="X522" s="575"/>
      <c r="Y522" s="575"/>
      <c r="Z522" s="575"/>
    </row>
    <row r="523">
      <c r="A523" s="582"/>
      <c r="B523" s="583"/>
      <c r="C523" s="584"/>
      <c r="D523" s="585"/>
      <c r="E523" s="575"/>
      <c r="F523" s="575"/>
      <c r="G523" s="575"/>
      <c r="H523" s="575"/>
      <c r="I523" s="575"/>
      <c r="J523" s="575"/>
      <c r="K523" s="575"/>
      <c r="L523" s="575"/>
      <c r="M523" s="575"/>
      <c r="N523" s="575"/>
      <c r="O523" s="575"/>
      <c r="P523" s="575"/>
      <c r="Q523" s="575"/>
      <c r="R523" s="575"/>
      <c r="S523" s="575"/>
      <c r="T523" s="575"/>
      <c r="U523" s="575"/>
      <c r="V523" s="575"/>
      <c r="W523" s="575"/>
      <c r="X523" s="575"/>
      <c r="Y523" s="575"/>
      <c r="Z523" s="575"/>
    </row>
    <row r="524">
      <c r="A524" s="582"/>
      <c r="B524" s="583"/>
      <c r="C524" s="584"/>
      <c r="D524" s="585"/>
      <c r="E524" s="575"/>
      <c r="F524" s="575"/>
      <c r="G524" s="575"/>
      <c r="H524" s="575"/>
      <c r="I524" s="575"/>
      <c r="J524" s="575"/>
      <c r="K524" s="575"/>
      <c r="L524" s="575"/>
      <c r="M524" s="575"/>
      <c r="N524" s="575"/>
      <c r="O524" s="575"/>
      <c r="P524" s="575"/>
      <c r="Q524" s="575"/>
      <c r="R524" s="575"/>
      <c r="S524" s="575"/>
      <c r="T524" s="575"/>
      <c r="U524" s="575"/>
      <c r="V524" s="575"/>
      <c r="W524" s="575"/>
      <c r="X524" s="575"/>
      <c r="Y524" s="575"/>
      <c r="Z524" s="575"/>
    </row>
    <row r="525">
      <c r="A525" s="582"/>
      <c r="B525" s="583"/>
      <c r="C525" s="584"/>
      <c r="D525" s="585"/>
      <c r="E525" s="575"/>
      <c r="F525" s="575"/>
      <c r="G525" s="575"/>
      <c r="H525" s="575"/>
      <c r="I525" s="575"/>
      <c r="J525" s="575"/>
      <c r="K525" s="575"/>
      <c r="L525" s="575"/>
      <c r="M525" s="575"/>
      <c r="N525" s="575"/>
      <c r="O525" s="575"/>
      <c r="P525" s="575"/>
      <c r="Q525" s="575"/>
      <c r="R525" s="575"/>
      <c r="S525" s="575"/>
      <c r="T525" s="575"/>
      <c r="U525" s="575"/>
      <c r="V525" s="575"/>
      <c r="W525" s="575"/>
      <c r="X525" s="575"/>
      <c r="Y525" s="575"/>
      <c r="Z525" s="575"/>
    </row>
    <row r="526">
      <c r="A526" s="582"/>
      <c r="B526" s="583"/>
      <c r="C526" s="584"/>
      <c r="D526" s="585"/>
      <c r="E526" s="575"/>
      <c r="F526" s="575"/>
      <c r="G526" s="575"/>
      <c r="H526" s="575"/>
      <c r="I526" s="575"/>
      <c r="J526" s="575"/>
      <c r="K526" s="575"/>
      <c r="L526" s="575"/>
      <c r="M526" s="575"/>
      <c r="N526" s="575"/>
      <c r="O526" s="575"/>
      <c r="P526" s="575"/>
      <c r="Q526" s="575"/>
      <c r="R526" s="575"/>
      <c r="S526" s="575"/>
      <c r="T526" s="575"/>
      <c r="U526" s="575"/>
      <c r="V526" s="575"/>
      <c r="W526" s="575"/>
      <c r="X526" s="575"/>
      <c r="Y526" s="575"/>
      <c r="Z526" s="575"/>
    </row>
    <row r="527">
      <c r="A527" s="582"/>
      <c r="B527" s="583"/>
      <c r="C527" s="584"/>
      <c r="D527" s="585"/>
      <c r="E527" s="575"/>
      <c r="F527" s="575"/>
      <c r="G527" s="575"/>
      <c r="H527" s="575"/>
      <c r="I527" s="575"/>
      <c r="J527" s="575"/>
      <c r="K527" s="575"/>
      <c r="L527" s="575"/>
      <c r="M527" s="575"/>
      <c r="N527" s="575"/>
      <c r="O527" s="575"/>
      <c r="P527" s="575"/>
      <c r="Q527" s="575"/>
      <c r="R527" s="575"/>
      <c r="S527" s="575"/>
      <c r="T527" s="575"/>
      <c r="U527" s="575"/>
      <c r="V527" s="575"/>
      <c r="W527" s="575"/>
      <c r="X527" s="575"/>
      <c r="Y527" s="575"/>
      <c r="Z527" s="575"/>
    </row>
    <row r="528">
      <c r="A528" s="582"/>
      <c r="B528" s="583"/>
      <c r="C528" s="584"/>
      <c r="D528" s="585"/>
      <c r="E528" s="575"/>
      <c r="F528" s="575"/>
      <c r="G528" s="575"/>
      <c r="H528" s="575"/>
      <c r="I528" s="575"/>
      <c r="J528" s="575"/>
      <c r="K528" s="575"/>
      <c r="L528" s="575"/>
      <c r="M528" s="575"/>
      <c r="N528" s="575"/>
      <c r="O528" s="575"/>
      <c r="P528" s="575"/>
      <c r="Q528" s="575"/>
      <c r="R528" s="575"/>
      <c r="S528" s="575"/>
      <c r="T528" s="575"/>
      <c r="U528" s="575"/>
      <c r="V528" s="575"/>
      <c r="W528" s="575"/>
      <c r="X528" s="575"/>
      <c r="Y528" s="575"/>
      <c r="Z528" s="575"/>
    </row>
    <row r="529">
      <c r="A529" s="582"/>
      <c r="B529" s="583"/>
      <c r="C529" s="584"/>
      <c r="D529" s="585"/>
      <c r="E529" s="575"/>
      <c r="F529" s="575"/>
      <c r="G529" s="575"/>
      <c r="H529" s="575"/>
      <c r="I529" s="575"/>
      <c r="J529" s="575"/>
      <c r="K529" s="575"/>
      <c r="L529" s="575"/>
      <c r="M529" s="575"/>
      <c r="N529" s="575"/>
      <c r="O529" s="575"/>
      <c r="P529" s="575"/>
      <c r="Q529" s="575"/>
      <c r="R529" s="575"/>
      <c r="S529" s="575"/>
      <c r="T529" s="575"/>
      <c r="U529" s="575"/>
      <c r="V529" s="575"/>
      <c r="W529" s="575"/>
      <c r="X529" s="575"/>
      <c r="Y529" s="575"/>
      <c r="Z529" s="575"/>
    </row>
    <row r="530">
      <c r="A530" s="582"/>
      <c r="B530" s="583"/>
      <c r="C530" s="584"/>
      <c r="D530" s="585"/>
      <c r="E530" s="575"/>
      <c r="F530" s="575"/>
      <c r="G530" s="575"/>
      <c r="H530" s="575"/>
      <c r="I530" s="575"/>
      <c r="J530" s="575"/>
      <c r="K530" s="575"/>
      <c r="L530" s="575"/>
      <c r="M530" s="575"/>
      <c r="N530" s="575"/>
      <c r="O530" s="575"/>
      <c r="P530" s="575"/>
      <c r="Q530" s="575"/>
      <c r="R530" s="575"/>
      <c r="S530" s="575"/>
      <c r="T530" s="575"/>
      <c r="U530" s="575"/>
      <c r="V530" s="575"/>
      <c r="W530" s="575"/>
      <c r="X530" s="575"/>
      <c r="Y530" s="575"/>
      <c r="Z530" s="575"/>
    </row>
    <row r="531">
      <c r="A531" s="582"/>
      <c r="B531" s="583"/>
      <c r="C531" s="584"/>
      <c r="D531" s="585"/>
      <c r="E531" s="575"/>
      <c r="F531" s="575"/>
      <c r="G531" s="575"/>
      <c r="H531" s="575"/>
      <c r="I531" s="575"/>
      <c r="J531" s="575"/>
      <c r="K531" s="575"/>
      <c r="L531" s="575"/>
      <c r="M531" s="575"/>
      <c r="N531" s="575"/>
      <c r="O531" s="575"/>
      <c r="P531" s="575"/>
      <c r="Q531" s="575"/>
      <c r="R531" s="575"/>
      <c r="S531" s="575"/>
      <c r="T531" s="575"/>
      <c r="U531" s="575"/>
      <c r="V531" s="575"/>
      <c r="W531" s="575"/>
      <c r="X531" s="575"/>
      <c r="Y531" s="575"/>
      <c r="Z531" s="575"/>
    </row>
    <row r="532">
      <c r="A532" s="582"/>
      <c r="B532" s="583"/>
      <c r="C532" s="584"/>
      <c r="D532" s="585"/>
      <c r="E532" s="575"/>
      <c r="F532" s="575"/>
      <c r="G532" s="575"/>
      <c r="H532" s="575"/>
      <c r="I532" s="575"/>
      <c r="J532" s="575"/>
      <c r="K532" s="575"/>
      <c r="L532" s="575"/>
      <c r="M532" s="575"/>
      <c r="N532" s="575"/>
      <c r="O532" s="575"/>
      <c r="P532" s="575"/>
      <c r="Q532" s="575"/>
      <c r="R532" s="575"/>
      <c r="S532" s="575"/>
      <c r="T532" s="575"/>
      <c r="U532" s="575"/>
      <c r="V532" s="575"/>
      <c r="W532" s="575"/>
      <c r="X532" s="575"/>
      <c r="Y532" s="575"/>
      <c r="Z532" s="575"/>
    </row>
    <row r="533">
      <c r="A533" s="582"/>
      <c r="B533" s="583"/>
      <c r="C533" s="584"/>
      <c r="D533" s="585"/>
      <c r="E533" s="575"/>
      <c r="F533" s="575"/>
      <c r="G533" s="575"/>
      <c r="H533" s="575"/>
      <c r="I533" s="575"/>
      <c r="J533" s="575"/>
      <c r="K533" s="575"/>
      <c r="L533" s="575"/>
      <c r="M533" s="575"/>
      <c r="N533" s="575"/>
      <c r="O533" s="575"/>
      <c r="P533" s="575"/>
      <c r="Q533" s="575"/>
      <c r="R533" s="575"/>
      <c r="S533" s="575"/>
      <c r="T533" s="575"/>
      <c r="U533" s="575"/>
      <c r="V533" s="575"/>
      <c r="W533" s="575"/>
      <c r="X533" s="575"/>
      <c r="Y533" s="575"/>
      <c r="Z533" s="575"/>
    </row>
    <row r="534">
      <c r="A534" s="582"/>
      <c r="B534" s="583"/>
      <c r="C534" s="584"/>
      <c r="D534" s="585"/>
      <c r="E534" s="575"/>
      <c r="F534" s="575"/>
      <c r="G534" s="575"/>
      <c r="H534" s="575"/>
      <c r="I534" s="575"/>
      <c r="J534" s="575"/>
      <c r="K534" s="575"/>
      <c r="L534" s="575"/>
      <c r="M534" s="575"/>
      <c r="N534" s="575"/>
      <c r="O534" s="575"/>
      <c r="P534" s="575"/>
      <c r="Q534" s="575"/>
      <c r="R534" s="575"/>
      <c r="S534" s="575"/>
      <c r="T534" s="575"/>
      <c r="U534" s="575"/>
      <c r="V534" s="575"/>
      <c r="W534" s="575"/>
      <c r="X534" s="575"/>
      <c r="Y534" s="575"/>
      <c r="Z534" s="575"/>
    </row>
    <row r="535">
      <c r="A535" s="582"/>
      <c r="B535" s="583"/>
      <c r="C535" s="584"/>
      <c r="D535" s="585"/>
      <c r="E535" s="575"/>
      <c r="F535" s="575"/>
      <c r="G535" s="575"/>
      <c r="H535" s="575"/>
      <c r="I535" s="575"/>
      <c r="J535" s="575"/>
      <c r="K535" s="575"/>
      <c r="L535" s="575"/>
      <c r="M535" s="575"/>
      <c r="N535" s="575"/>
      <c r="O535" s="575"/>
      <c r="P535" s="575"/>
      <c r="Q535" s="575"/>
      <c r="R535" s="575"/>
      <c r="S535" s="575"/>
      <c r="T535" s="575"/>
      <c r="U535" s="575"/>
      <c r="V535" s="575"/>
      <c r="W535" s="575"/>
      <c r="X535" s="575"/>
      <c r="Y535" s="575"/>
      <c r="Z535" s="575"/>
    </row>
    <row r="536">
      <c r="A536" s="582"/>
      <c r="B536" s="583"/>
      <c r="C536" s="584"/>
      <c r="D536" s="585"/>
      <c r="E536" s="575"/>
      <c r="F536" s="575"/>
      <c r="G536" s="575"/>
      <c r="H536" s="575"/>
      <c r="I536" s="575"/>
      <c r="J536" s="575"/>
      <c r="K536" s="575"/>
      <c r="L536" s="575"/>
      <c r="M536" s="575"/>
      <c r="N536" s="575"/>
      <c r="O536" s="575"/>
      <c r="P536" s="575"/>
      <c r="Q536" s="575"/>
      <c r="R536" s="575"/>
      <c r="S536" s="575"/>
      <c r="T536" s="575"/>
      <c r="U536" s="575"/>
      <c r="V536" s="575"/>
      <c r="W536" s="575"/>
      <c r="X536" s="575"/>
      <c r="Y536" s="575"/>
      <c r="Z536" s="575"/>
    </row>
    <row r="537">
      <c r="A537" s="582"/>
      <c r="B537" s="583"/>
      <c r="C537" s="584"/>
      <c r="D537" s="585"/>
      <c r="E537" s="575"/>
      <c r="F537" s="575"/>
      <c r="G537" s="575"/>
      <c r="H537" s="575"/>
      <c r="I537" s="575"/>
      <c r="J537" s="575"/>
      <c r="K537" s="575"/>
      <c r="L537" s="575"/>
      <c r="M537" s="575"/>
      <c r="N537" s="575"/>
      <c r="O537" s="575"/>
      <c r="P537" s="575"/>
      <c r="Q537" s="575"/>
      <c r="R537" s="575"/>
      <c r="S537" s="575"/>
      <c r="T537" s="575"/>
      <c r="U537" s="575"/>
      <c r="V537" s="575"/>
      <c r="W537" s="575"/>
      <c r="X537" s="575"/>
      <c r="Y537" s="575"/>
      <c r="Z537" s="575"/>
    </row>
    <row r="538">
      <c r="A538" s="582"/>
      <c r="B538" s="583"/>
      <c r="C538" s="584"/>
      <c r="D538" s="585"/>
      <c r="E538" s="575"/>
      <c r="F538" s="575"/>
      <c r="G538" s="575"/>
      <c r="H538" s="575"/>
      <c r="I538" s="575"/>
      <c r="J538" s="575"/>
      <c r="K538" s="575"/>
      <c r="L538" s="575"/>
      <c r="M538" s="575"/>
      <c r="N538" s="575"/>
      <c r="O538" s="575"/>
      <c r="P538" s="575"/>
      <c r="Q538" s="575"/>
      <c r="R538" s="575"/>
      <c r="S538" s="575"/>
      <c r="T538" s="575"/>
      <c r="U538" s="575"/>
      <c r="V538" s="575"/>
      <c r="W538" s="575"/>
      <c r="X538" s="575"/>
      <c r="Y538" s="575"/>
      <c r="Z538" s="575"/>
    </row>
    <row r="539">
      <c r="A539" s="582"/>
      <c r="B539" s="583"/>
      <c r="C539" s="584"/>
      <c r="D539" s="585"/>
      <c r="E539" s="575"/>
      <c r="F539" s="575"/>
      <c r="G539" s="575"/>
      <c r="H539" s="575"/>
      <c r="I539" s="575"/>
      <c r="J539" s="575"/>
      <c r="K539" s="575"/>
      <c r="L539" s="575"/>
      <c r="M539" s="575"/>
      <c r="N539" s="575"/>
      <c r="O539" s="575"/>
      <c r="P539" s="575"/>
      <c r="Q539" s="575"/>
      <c r="R539" s="575"/>
      <c r="S539" s="575"/>
      <c r="T539" s="575"/>
      <c r="U539" s="575"/>
      <c r="V539" s="575"/>
      <c r="W539" s="575"/>
      <c r="X539" s="575"/>
      <c r="Y539" s="575"/>
      <c r="Z539" s="575"/>
    </row>
    <row r="540">
      <c r="A540" s="582"/>
      <c r="B540" s="583"/>
      <c r="C540" s="584"/>
      <c r="D540" s="585"/>
      <c r="E540" s="575"/>
      <c r="F540" s="575"/>
      <c r="G540" s="575"/>
      <c r="H540" s="575"/>
      <c r="I540" s="575"/>
      <c r="J540" s="575"/>
      <c r="K540" s="575"/>
      <c r="L540" s="575"/>
      <c r="M540" s="575"/>
      <c r="N540" s="575"/>
      <c r="O540" s="575"/>
      <c r="P540" s="575"/>
      <c r="Q540" s="575"/>
      <c r="R540" s="575"/>
      <c r="S540" s="575"/>
      <c r="T540" s="575"/>
      <c r="U540" s="575"/>
      <c r="V540" s="575"/>
      <c r="W540" s="575"/>
      <c r="X540" s="575"/>
      <c r="Y540" s="575"/>
      <c r="Z540" s="575"/>
    </row>
    <row r="541">
      <c r="A541" s="582"/>
      <c r="B541" s="583"/>
      <c r="C541" s="584"/>
      <c r="D541" s="585"/>
      <c r="E541" s="575"/>
      <c r="F541" s="575"/>
      <c r="G541" s="575"/>
      <c r="H541" s="575"/>
      <c r="I541" s="575"/>
      <c r="J541" s="575"/>
      <c r="K541" s="575"/>
      <c r="L541" s="575"/>
      <c r="M541" s="575"/>
      <c r="N541" s="575"/>
      <c r="O541" s="575"/>
      <c r="P541" s="575"/>
      <c r="Q541" s="575"/>
      <c r="R541" s="575"/>
      <c r="S541" s="575"/>
      <c r="T541" s="575"/>
      <c r="U541" s="575"/>
      <c r="V541" s="575"/>
      <c r="W541" s="575"/>
      <c r="X541" s="575"/>
      <c r="Y541" s="575"/>
      <c r="Z541" s="575"/>
    </row>
    <row r="542">
      <c r="A542" s="582"/>
      <c r="B542" s="583"/>
      <c r="C542" s="584"/>
      <c r="D542" s="585"/>
      <c r="E542" s="575"/>
      <c r="F542" s="575"/>
      <c r="G542" s="575"/>
      <c r="H542" s="575"/>
      <c r="I542" s="575"/>
      <c r="J542" s="575"/>
      <c r="K542" s="575"/>
      <c r="L542" s="575"/>
      <c r="M542" s="575"/>
      <c r="N542" s="575"/>
      <c r="O542" s="575"/>
      <c r="P542" s="575"/>
      <c r="Q542" s="575"/>
      <c r="R542" s="575"/>
      <c r="S542" s="575"/>
      <c r="T542" s="575"/>
      <c r="U542" s="575"/>
      <c r="V542" s="575"/>
      <c r="W542" s="575"/>
      <c r="X542" s="575"/>
      <c r="Y542" s="575"/>
      <c r="Z542" s="575"/>
    </row>
    <row r="543">
      <c r="A543" s="582"/>
      <c r="B543" s="583"/>
      <c r="C543" s="584"/>
      <c r="D543" s="585"/>
      <c r="E543" s="575"/>
      <c r="F543" s="575"/>
      <c r="G543" s="575"/>
      <c r="H543" s="575"/>
      <c r="I543" s="575"/>
      <c r="J543" s="575"/>
      <c r="K543" s="575"/>
      <c r="L543" s="575"/>
      <c r="M543" s="575"/>
      <c r="N543" s="575"/>
      <c r="O543" s="575"/>
      <c r="P543" s="575"/>
      <c r="Q543" s="575"/>
      <c r="R543" s="575"/>
      <c r="S543" s="575"/>
      <c r="T543" s="575"/>
      <c r="U543" s="575"/>
      <c r="V543" s="575"/>
      <c r="W543" s="575"/>
      <c r="X543" s="575"/>
      <c r="Y543" s="575"/>
      <c r="Z543" s="575"/>
    </row>
    <row r="544">
      <c r="A544" s="582"/>
      <c r="B544" s="583"/>
      <c r="C544" s="584"/>
      <c r="D544" s="585"/>
      <c r="E544" s="575"/>
      <c r="F544" s="575"/>
      <c r="G544" s="575"/>
      <c r="H544" s="575"/>
      <c r="I544" s="575"/>
      <c r="J544" s="575"/>
      <c r="K544" s="575"/>
      <c r="L544" s="575"/>
      <c r="M544" s="575"/>
      <c r="N544" s="575"/>
      <c r="O544" s="575"/>
      <c r="P544" s="575"/>
      <c r="Q544" s="575"/>
      <c r="R544" s="575"/>
      <c r="S544" s="575"/>
      <c r="T544" s="575"/>
      <c r="U544" s="575"/>
      <c r="V544" s="575"/>
      <c r="W544" s="575"/>
      <c r="X544" s="575"/>
      <c r="Y544" s="575"/>
      <c r="Z544" s="575"/>
    </row>
    <row r="545">
      <c r="A545" s="582"/>
      <c r="B545" s="583"/>
      <c r="C545" s="584"/>
      <c r="D545" s="585"/>
      <c r="E545" s="575"/>
      <c r="F545" s="575"/>
      <c r="G545" s="575"/>
      <c r="H545" s="575"/>
      <c r="I545" s="575"/>
      <c r="J545" s="575"/>
      <c r="K545" s="575"/>
      <c r="L545" s="575"/>
      <c r="M545" s="575"/>
      <c r="N545" s="575"/>
      <c r="O545" s="575"/>
      <c r="P545" s="575"/>
      <c r="Q545" s="575"/>
      <c r="R545" s="575"/>
      <c r="S545" s="575"/>
      <c r="T545" s="575"/>
      <c r="U545" s="575"/>
      <c r="V545" s="575"/>
      <c r="W545" s="575"/>
      <c r="X545" s="575"/>
      <c r="Y545" s="575"/>
      <c r="Z545" s="575"/>
    </row>
    <row r="546">
      <c r="A546" s="582"/>
      <c r="B546" s="583"/>
      <c r="C546" s="584"/>
      <c r="D546" s="585"/>
      <c r="E546" s="575"/>
      <c r="F546" s="575"/>
      <c r="G546" s="575"/>
      <c r="H546" s="575"/>
      <c r="I546" s="575"/>
      <c r="J546" s="575"/>
      <c r="K546" s="575"/>
      <c r="L546" s="575"/>
      <c r="M546" s="575"/>
      <c r="N546" s="575"/>
      <c r="O546" s="575"/>
      <c r="P546" s="575"/>
      <c r="Q546" s="575"/>
      <c r="R546" s="575"/>
      <c r="S546" s="575"/>
      <c r="T546" s="575"/>
      <c r="U546" s="575"/>
      <c r="V546" s="575"/>
      <c r="W546" s="575"/>
      <c r="X546" s="575"/>
      <c r="Y546" s="575"/>
      <c r="Z546" s="575"/>
    </row>
    <row r="547">
      <c r="A547" s="582"/>
      <c r="B547" s="583"/>
      <c r="C547" s="584"/>
      <c r="D547" s="585"/>
      <c r="E547" s="575"/>
      <c r="F547" s="575"/>
      <c r="G547" s="575"/>
      <c r="H547" s="575"/>
      <c r="I547" s="575"/>
      <c r="J547" s="575"/>
      <c r="K547" s="575"/>
      <c r="L547" s="575"/>
      <c r="M547" s="575"/>
      <c r="N547" s="575"/>
      <c r="O547" s="575"/>
      <c r="P547" s="575"/>
      <c r="Q547" s="575"/>
      <c r="R547" s="575"/>
      <c r="S547" s="575"/>
      <c r="T547" s="575"/>
      <c r="U547" s="575"/>
      <c r="V547" s="575"/>
      <c r="W547" s="575"/>
      <c r="X547" s="575"/>
      <c r="Y547" s="575"/>
      <c r="Z547" s="575"/>
    </row>
    <row r="548">
      <c r="A548" s="582"/>
      <c r="B548" s="583"/>
      <c r="C548" s="584"/>
      <c r="D548" s="585"/>
      <c r="E548" s="575"/>
      <c r="F548" s="575"/>
      <c r="G548" s="575"/>
      <c r="H548" s="575"/>
      <c r="I548" s="575"/>
      <c r="J548" s="575"/>
      <c r="K548" s="575"/>
      <c r="L548" s="575"/>
      <c r="M548" s="575"/>
      <c r="N548" s="575"/>
      <c r="O548" s="575"/>
      <c r="P548" s="575"/>
      <c r="Q548" s="575"/>
      <c r="R548" s="575"/>
      <c r="S548" s="575"/>
      <c r="T548" s="575"/>
      <c r="U548" s="575"/>
      <c r="V548" s="575"/>
      <c r="W548" s="575"/>
      <c r="X548" s="575"/>
      <c r="Y548" s="575"/>
      <c r="Z548" s="575"/>
    </row>
    <row r="549">
      <c r="A549" s="582"/>
      <c r="B549" s="583"/>
      <c r="C549" s="584"/>
      <c r="D549" s="585"/>
      <c r="E549" s="575"/>
      <c r="F549" s="575"/>
      <c r="G549" s="575"/>
      <c r="H549" s="575"/>
      <c r="I549" s="575"/>
      <c r="J549" s="575"/>
      <c r="K549" s="575"/>
      <c r="L549" s="575"/>
      <c r="M549" s="575"/>
      <c r="N549" s="575"/>
      <c r="O549" s="575"/>
      <c r="P549" s="575"/>
      <c r="Q549" s="575"/>
      <c r="R549" s="575"/>
      <c r="S549" s="575"/>
      <c r="T549" s="575"/>
      <c r="U549" s="575"/>
      <c r="V549" s="575"/>
      <c r="W549" s="575"/>
      <c r="X549" s="575"/>
      <c r="Y549" s="575"/>
      <c r="Z549" s="575"/>
    </row>
    <row r="550">
      <c r="A550" s="582"/>
      <c r="B550" s="583"/>
      <c r="C550" s="584"/>
      <c r="D550" s="585"/>
      <c r="E550" s="575"/>
      <c r="F550" s="575"/>
      <c r="G550" s="575"/>
      <c r="H550" s="575"/>
      <c r="I550" s="575"/>
      <c r="J550" s="575"/>
      <c r="K550" s="575"/>
      <c r="L550" s="575"/>
      <c r="M550" s="575"/>
      <c r="N550" s="575"/>
      <c r="O550" s="575"/>
      <c r="P550" s="575"/>
      <c r="Q550" s="575"/>
      <c r="R550" s="575"/>
      <c r="S550" s="575"/>
      <c r="T550" s="575"/>
      <c r="U550" s="575"/>
      <c r="V550" s="575"/>
      <c r="W550" s="575"/>
      <c r="X550" s="575"/>
      <c r="Y550" s="575"/>
      <c r="Z550" s="575"/>
    </row>
    <row r="551">
      <c r="A551" s="582"/>
      <c r="B551" s="583"/>
      <c r="C551" s="584"/>
      <c r="D551" s="585"/>
      <c r="E551" s="575"/>
      <c r="F551" s="575"/>
      <c r="G551" s="575"/>
      <c r="H551" s="575"/>
      <c r="I551" s="575"/>
      <c r="J551" s="575"/>
      <c r="K551" s="575"/>
      <c r="L551" s="575"/>
      <c r="M551" s="575"/>
      <c r="N551" s="575"/>
      <c r="O551" s="575"/>
      <c r="P551" s="575"/>
      <c r="Q551" s="575"/>
      <c r="R551" s="575"/>
      <c r="S551" s="575"/>
      <c r="T551" s="575"/>
      <c r="U551" s="575"/>
      <c r="V551" s="575"/>
      <c r="W551" s="575"/>
      <c r="X551" s="575"/>
      <c r="Y551" s="575"/>
      <c r="Z551" s="575"/>
    </row>
    <row r="552">
      <c r="A552" s="582"/>
      <c r="B552" s="583"/>
      <c r="C552" s="584"/>
      <c r="D552" s="585"/>
      <c r="E552" s="575"/>
      <c r="F552" s="575"/>
      <c r="G552" s="575"/>
      <c r="H552" s="575"/>
      <c r="I552" s="575"/>
      <c r="J552" s="575"/>
      <c r="K552" s="575"/>
      <c r="L552" s="575"/>
      <c r="M552" s="575"/>
      <c r="N552" s="575"/>
      <c r="O552" s="575"/>
      <c r="P552" s="575"/>
      <c r="Q552" s="575"/>
      <c r="R552" s="575"/>
      <c r="S552" s="575"/>
      <c r="T552" s="575"/>
      <c r="U552" s="575"/>
      <c r="V552" s="575"/>
      <c r="W552" s="575"/>
      <c r="X552" s="575"/>
      <c r="Y552" s="575"/>
      <c r="Z552" s="575"/>
    </row>
    <row r="553">
      <c r="A553" s="582"/>
      <c r="B553" s="583"/>
      <c r="C553" s="584"/>
      <c r="D553" s="585"/>
      <c r="E553" s="575"/>
      <c r="F553" s="575"/>
      <c r="G553" s="575"/>
      <c r="H553" s="575"/>
      <c r="I553" s="575"/>
      <c r="J553" s="575"/>
      <c r="K553" s="575"/>
      <c r="L553" s="575"/>
      <c r="M553" s="575"/>
      <c r="N553" s="575"/>
      <c r="O553" s="575"/>
      <c r="P553" s="575"/>
      <c r="Q553" s="575"/>
      <c r="R553" s="575"/>
      <c r="S553" s="575"/>
      <c r="T553" s="575"/>
      <c r="U553" s="575"/>
      <c r="V553" s="575"/>
      <c r="W553" s="575"/>
      <c r="X553" s="575"/>
      <c r="Y553" s="575"/>
      <c r="Z553" s="575"/>
    </row>
    <row r="554">
      <c r="A554" s="582"/>
      <c r="B554" s="583"/>
      <c r="C554" s="584"/>
      <c r="D554" s="585"/>
      <c r="E554" s="575"/>
      <c r="F554" s="575"/>
      <c r="G554" s="575"/>
      <c r="H554" s="575"/>
      <c r="I554" s="575"/>
      <c r="J554" s="575"/>
      <c r="K554" s="575"/>
      <c r="L554" s="575"/>
      <c r="M554" s="575"/>
      <c r="N554" s="575"/>
      <c r="O554" s="575"/>
      <c r="P554" s="575"/>
      <c r="Q554" s="575"/>
      <c r="R554" s="575"/>
      <c r="S554" s="575"/>
      <c r="T554" s="575"/>
      <c r="U554" s="575"/>
      <c r="V554" s="575"/>
      <c r="W554" s="575"/>
      <c r="X554" s="575"/>
      <c r="Y554" s="575"/>
      <c r="Z554" s="575"/>
    </row>
    <row r="555">
      <c r="A555" s="582"/>
      <c r="B555" s="583"/>
      <c r="C555" s="584"/>
      <c r="D555" s="585"/>
      <c r="E555" s="575"/>
      <c r="F555" s="575"/>
      <c r="G555" s="575"/>
      <c r="H555" s="575"/>
      <c r="I555" s="575"/>
      <c r="J555" s="575"/>
      <c r="K555" s="575"/>
      <c r="L555" s="575"/>
      <c r="M555" s="575"/>
      <c r="N555" s="575"/>
      <c r="O555" s="575"/>
      <c r="P555" s="575"/>
      <c r="Q555" s="575"/>
      <c r="R555" s="575"/>
      <c r="S555" s="575"/>
      <c r="T555" s="575"/>
      <c r="U555" s="575"/>
      <c r="V555" s="575"/>
      <c r="W555" s="575"/>
      <c r="X555" s="575"/>
      <c r="Y555" s="575"/>
      <c r="Z555" s="575"/>
    </row>
    <row r="556">
      <c r="A556" s="582"/>
      <c r="B556" s="583"/>
      <c r="C556" s="584"/>
      <c r="D556" s="585"/>
      <c r="E556" s="575"/>
      <c r="F556" s="575"/>
      <c r="G556" s="575"/>
      <c r="H556" s="575"/>
      <c r="I556" s="575"/>
      <c r="J556" s="575"/>
      <c r="K556" s="575"/>
      <c r="L556" s="575"/>
      <c r="M556" s="575"/>
      <c r="N556" s="575"/>
      <c r="O556" s="575"/>
      <c r="P556" s="575"/>
      <c r="Q556" s="575"/>
      <c r="R556" s="575"/>
      <c r="S556" s="575"/>
      <c r="T556" s="575"/>
      <c r="U556" s="575"/>
      <c r="V556" s="575"/>
      <c r="W556" s="575"/>
      <c r="X556" s="575"/>
      <c r="Y556" s="575"/>
      <c r="Z556" s="575"/>
    </row>
    <row r="557">
      <c r="A557" s="582"/>
      <c r="B557" s="583"/>
      <c r="C557" s="584"/>
      <c r="D557" s="585"/>
      <c r="E557" s="575"/>
      <c r="F557" s="575"/>
      <c r="G557" s="575"/>
      <c r="H557" s="575"/>
      <c r="I557" s="575"/>
      <c r="J557" s="575"/>
      <c r="K557" s="575"/>
      <c r="L557" s="575"/>
      <c r="M557" s="575"/>
      <c r="N557" s="575"/>
      <c r="O557" s="575"/>
      <c r="P557" s="575"/>
      <c r="Q557" s="575"/>
      <c r="R557" s="575"/>
      <c r="S557" s="575"/>
      <c r="T557" s="575"/>
      <c r="U557" s="575"/>
      <c r="V557" s="575"/>
      <c r="W557" s="575"/>
      <c r="X557" s="575"/>
      <c r="Y557" s="575"/>
      <c r="Z557" s="575"/>
    </row>
    <row r="558">
      <c r="A558" s="582"/>
      <c r="B558" s="583"/>
      <c r="C558" s="584"/>
      <c r="D558" s="585"/>
      <c r="E558" s="575"/>
      <c r="F558" s="575"/>
      <c r="G558" s="575"/>
      <c r="H558" s="575"/>
      <c r="I558" s="575"/>
      <c r="J558" s="575"/>
      <c r="K558" s="575"/>
      <c r="L558" s="575"/>
      <c r="M558" s="575"/>
      <c r="N558" s="575"/>
      <c r="O558" s="575"/>
      <c r="P558" s="575"/>
      <c r="Q558" s="575"/>
      <c r="R558" s="575"/>
      <c r="S558" s="575"/>
      <c r="T558" s="575"/>
      <c r="U558" s="575"/>
      <c r="V558" s="575"/>
      <c r="W558" s="575"/>
      <c r="X558" s="575"/>
      <c r="Y558" s="575"/>
      <c r="Z558" s="575"/>
    </row>
    <row r="559">
      <c r="A559" s="582"/>
      <c r="B559" s="583"/>
      <c r="C559" s="584"/>
      <c r="D559" s="585"/>
      <c r="E559" s="575"/>
      <c r="F559" s="575"/>
      <c r="G559" s="575"/>
      <c r="H559" s="575"/>
      <c r="I559" s="575"/>
      <c r="J559" s="575"/>
      <c r="K559" s="575"/>
      <c r="L559" s="575"/>
      <c r="M559" s="575"/>
      <c r="N559" s="575"/>
      <c r="O559" s="575"/>
      <c r="P559" s="575"/>
      <c r="Q559" s="575"/>
      <c r="R559" s="575"/>
      <c r="S559" s="575"/>
      <c r="T559" s="575"/>
      <c r="U559" s="575"/>
      <c r="V559" s="575"/>
      <c r="W559" s="575"/>
      <c r="X559" s="575"/>
      <c r="Y559" s="575"/>
      <c r="Z559" s="575"/>
    </row>
    <row r="560">
      <c r="A560" s="582"/>
      <c r="B560" s="583"/>
      <c r="C560" s="584"/>
      <c r="D560" s="585"/>
      <c r="E560" s="575"/>
      <c r="F560" s="575"/>
      <c r="G560" s="575"/>
      <c r="H560" s="575"/>
      <c r="I560" s="575"/>
      <c r="J560" s="575"/>
      <c r="K560" s="575"/>
      <c r="L560" s="575"/>
      <c r="M560" s="575"/>
      <c r="N560" s="575"/>
      <c r="O560" s="575"/>
      <c r="P560" s="575"/>
      <c r="Q560" s="575"/>
      <c r="R560" s="575"/>
      <c r="S560" s="575"/>
      <c r="T560" s="575"/>
      <c r="U560" s="575"/>
      <c r="V560" s="575"/>
      <c r="W560" s="575"/>
      <c r="X560" s="575"/>
      <c r="Y560" s="575"/>
      <c r="Z560" s="575"/>
    </row>
    <row r="561">
      <c r="A561" s="582"/>
      <c r="B561" s="583"/>
      <c r="C561" s="584"/>
      <c r="D561" s="585"/>
      <c r="E561" s="575"/>
      <c r="F561" s="575"/>
      <c r="G561" s="575"/>
      <c r="H561" s="575"/>
      <c r="I561" s="575"/>
      <c r="J561" s="575"/>
      <c r="K561" s="575"/>
      <c r="L561" s="575"/>
      <c r="M561" s="575"/>
      <c r="N561" s="575"/>
      <c r="O561" s="575"/>
      <c r="P561" s="575"/>
      <c r="Q561" s="575"/>
      <c r="R561" s="575"/>
      <c r="S561" s="575"/>
      <c r="T561" s="575"/>
      <c r="U561" s="575"/>
      <c r="V561" s="575"/>
      <c r="W561" s="575"/>
      <c r="X561" s="575"/>
      <c r="Y561" s="575"/>
      <c r="Z561" s="575"/>
    </row>
    <row r="562">
      <c r="A562" s="582"/>
      <c r="B562" s="583"/>
      <c r="C562" s="584"/>
      <c r="D562" s="585"/>
      <c r="E562" s="575"/>
      <c r="F562" s="575"/>
      <c r="G562" s="575"/>
      <c r="H562" s="575"/>
      <c r="I562" s="575"/>
      <c r="J562" s="575"/>
      <c r="K562" s="575"/>
      <c r="L562" s="575"/>
      <c r="M562" s="575"/>
      <c r="N562" s="575"/>
      <c r="O562" s="575"/>
      <c r="P562" s="575"/>
      <c r="Q562" s="575"/>
      <c r="R562" s="575"/>
      <c r="S562" s="575"/>
      <c r="T562" s="575"/>
      <c r="U562" s="575"/>
      <c r="V562" s="575"/>
      <c r="W562" s="575"/>
      <c r="X562" s="575"/>
      <c r="Y562" s="575"/>
      <c r="Z562" s="575"/>
    </row>
    <row r="563">
      <c r="A563" s="582"/>
      <c r="B563" s="583"/>
      <c r="C563" s="584"/>
      <c r="D563" s="585"/>
      <c r="E563" s="575"/>
      <c r="F563" s="575"/>
      <c r="G563" s="575"/>
      <c r="H563" s="575"/>
      <c r="I563" s="575"/>
      <c r="J563" s="575"/>
      <c r="K563" s="575"/>
      <c r="L563" s="575"/>
      <c r="M563" s="575"/>
      <c r="N563" s="575"/>
      <c r="O563" s="575"/>
      <c r="P563" s="575"/>
      <c r="Q563" s="575"/>
      <c r="R563" s="575"/>
      <c r="S563" s="575"/>
      <c r="T563" s="575"/>
      <c r="U563" s="575"/>
      <c r="V563" s="575"/>
      <c r="W563" s="575"/>
      <c r="X563" s="575"/>
      <c r="Y563" s="575"/>
      <c r="Z563" s="575"/>
    </row>
    <row r="564">
      <c r="A564" s="582"/>
      <c r="B564" s="583"/>
      <c r="C564" s="584"/>
      <c r="D564" s="585"/>
      <c r="E564" s="575"/>
      <c r="F564" s="575"/>
      <c r="G564" s="575"/>
      <c r="H564" s="575"/>
      <c r="I564" s="575"/>
      <c r="J564" s="575"/>
      <c r="K564" s="575"/>
      <c r="L564" s="575"/>
      <c r="M564" s="575"/>
      <c r="N564" s="575"/>
      <c r="O564" s="575"/>
      <c r="P564" s="575"/>
      <c r="Q564" s="575"/>
      <c r="R564" s="575"/>
      <c r="S564" s="575"/>
      <c r="T564" s="575"/>
      <c r="U564" s="575"/>
      <c r="V564" s="575"/>
      <c r="W564" s="575"/>
      <c r="X564" s="575"/>
      <c r="Y564" s="575"/>
      <c r="Z564" s="575"/>
    </row>
    <row r="565">
      <c r="A565" s="582"/>
      <c r="B565" s="583"/>
      <c r="C565" s="584"/>
      <c r="D565" s="585"/>
      <c r="E565" s="575"/>
      <c r="F565" s="575"/>
      <c r="G565" s="575"/>
      <c r="H565" s="575"/>
      <c r="I565" s="575"/>
      <c r="J565" s="575"/>
      <c r="K565" s="575"/>
      <c r="L565" s="575"/>
      <c r="M565" s="575"/>
      <c r="N565" s="575"/>
      <c r="O565" s="575"/>
      <c r="P565" s="575"/>
      <c r="Q565" s="575"/>
      <c r="R565" s="575"/>
      <c r="S565" s="575"/>
      <c r="T565" s="575"/>
      <c r="U565" s="575"/>
      <c r="V565" s="575"/>
      <c r="W565" s="575"/>
      <c r="X565" s="575"/>
      <c r="Y565" s="575"/>
      <c r="Z565" s="575"/>
    </row>
    <row r="566">
      <c r="A566" s="582"/>
      <c r="B566" s="583"/>
      <c r="C566" s="584"/>
      <c r="D566" s="585"/>
      <c r="E566" s="575"/>
      <c r="F566" s="575"/>
      <c r="G566" s="575"/>
      <c r="H566" s="575"/>
      <c r="I566" s="575"/>
      <c r="J566" s="575"/>
      <c r="K566" s="575"/>
      <c r="L566" s="575"/>
      <c r="M566" s="575"/>
      <c r="N566" s="575"/>
      <c r="O566" s="575"/>
      <c r="P566" s="575"/>
      <c r="Q566" s="575"/>
      <c r="R566" s="575"/>
      <c r="S566" s="575"/>
      <c r="T566" s="575"/>
      <c r="U566" s="575"/>
      <c r="V566" s="575"/>
      <c r="W566" s="575"/>
      <c r="X566" s="575"/>
      <c r="Y566" s="575"/>
      <c r="Z566" s="575"/>
    </row>
    <row r="567">
      <c r="A567" s="582"/>
      <c r="B567" s="583"/>
      <c r="C567" s="584"/>
      <c r="D567" s="585"/>
      <c r="E567" s="575"/>
      <c r="F567" s="575"/>
      <c r="G567" s="575"/>
      <c r="H567" s="575"/>
      <c r="I567" s="575"/>
      <c r="J567" s="575"/>
      <c r="K567" s="575"/>
      <c r="L567" s="575"/>
      <c r="M567" s="575"/>
      <c r="N567" s="575"/>
      <c r="O567" s="575"/>
      <c r="P567" s="575"/>
      <c r="Q567" s="575"/>
      <c r="R567" s="575"/>
      <c r="S567" s="575"/>
      <c r="T567" s="575"/>
      <c r="U567" s="575"/>
      <c r="V567" s="575"/>
      <c r="W567" s="575"/>
      <c r="X567" s="575"/>
      <c r="Y567" s="575"/>
      <c r="Z567" s="575"/>
    </row>
    <row r="568">
      <c r="A568" s="582"/>
      <c r="B568" s="583"/>
      <c r="C568" s="584"/>
      <c r="D568" s="585"/>
      <c r="E568" s="575"/>
      <c r="F568" s="575"/>
      <c r="G568" s="575"/>
      <c r="H568" s="575"/>
      <c r="I568" s="575"/>
      <c r="J568" s="575"/>
      <c r="K568" s="575"/>
      <c r="L568" s="575"/>
      <c r="M568" s="575"/>
      <c r="N568" s="575"/>
      <c r="O568" s="575"/>
      <c r="P568" s="575"/>
      <c r="Q568" s="575"/>
      <c r="R568" s="575"/>
      <c r="S568" s="575"/>
      <c r="T568" s="575"/>
      <c r="U568" s="575"/>
      <c r="V568" s="575"/>
      <c r="W568" s="575"/>
      <c r="X568" s="575"/>
      <c r="Y568" s="575"/>
      <c r="Z568" s="575"/>
    </row>
    <row r="569">
      <c r="A569" s="582"/>
      <c r="B569" s="583"/>
      <c r="C569" s="584"/>
      <c r="D569" s="585"/>
      <c r="E569" s="575"/>
      <c r="F569" s="575"/>
      <c r="G569" s="575"/>
      <c r="H569" s="575"/>
      <c r="I569" s="575"/>
      <c r="J569" s="575"/>
      <c r="K569" s="575"/>
      <c r="L569" s="575"/>
      <c r="M569" s="575"/>
      <c r="N569" s="575"/>
      <c r="O569" s="575"/>
      <c r="P569" s="575"/>
      <c r="Q569" s="575"/>
      <c r="R569" s="575"/>
      <c r="S569" s="575"/>
      <c r="T569" s="575"/>
      <c r="U569" s="575"/>
      <c r="V569" s="575"/>
      <c r="W569" s="575"/>
      <c r="X569" s="575"/>
      <c r="Y569" s="575"/>
      <c r="Z569" s="575"/>
    </row>
    <row r="570">
      <c r="A570" s="582"/>
      <c r="B570" s="583"/>
      <c r="C570" s="584"/>
      <c r="D570" s="585"/>
      <c r="E570" s="575"/>
      <c r="F570" s="575"/>
      <c r="G570" s="575"/>
      <c r="H570" s="575"/>
      <c r="I570" s="575"/>
      <c r="J570" s="575"/>
      <c r="K570" s="575"/>
      <c r="L570" s="575"/>
      <c r="M570" s="575"/>
      <c r="N570" s="575"/>
      <c r="O570" s="575"/>
      <c r="P570" s="575"/>
      <c r="Q570" s="575"/>
      <c r="R570" s="575"/>
      <c r="S570" s="575"/>
      <c r="T570" s="575"/>
      <c r="U570" s="575"/>
      <c r="V570" s="575"/>
      <c r="W570" s="575"/>
      <c r="X570" s="575"/>
      <c r="Y570" s="575"/>
      <c r="Z570" s="575"/>
    </row>
    <row r="571">
      <c r="A571" s="582"/>
      <c r="B571" s="583"/>
      <c r="C571" s="584"/>
      <c r="D571" s="585"/>
      <c r="E571" s="575"/>
      <c r="F571" s="575"/>
      <c r="G571" s="575"/>
      <c r="H571" s="575"/>
      <c r="I571" s="575"/>
      <c r="J571" s="575"/>
      <c r="K571" s="575"/>
      <c r="L571" s="575"/>
      <c r="M571" s="575"/>
      <c r="N571" s="575"/>
      <c r="O571" s="575"/>
      <c r="P571" s="575"/>
      <c r="Q571" s="575"/>
      <c r="R571" s="575"/>
      <c r="S571" s="575"/>
      <c r="T571" s="575"/>
      <c r="U571" s="575"/>
      <c r="V571" s="575"/>
      <c r="W571" s="575"/>
      <c r="X571" s="575"/>
      <c r="Y571" s="575"/>
      <c r="Z571" s="575"/>
    </row>
    <row r="572">
      <c r="A572" s="582"/>
      <c r="B572" s="583"/>
      <c r="C572" s="584"/>
      <c r="D572" s="585"/>
      <c r="E572" s="575"/>
      <c r="F572" s="575"/>
      <c r="G572" s="575"/>
      <c r="H572" s="575"/>
      <c r="I572" s="575"/>
      <c r="J572" s="575"/>
      <c r="K572" s="575"/>
      <c r="L572" s="575"/>
      <c r="M572" s="575"/>
      <c r="N572" s="575"/>
      <c r="O572" s="575"/>
      <c r="P572" s="575"/>
      <c r="Q572" s="575"/>
      <c r="R572" s="575"/>
      <c r="S572" s="575"/>
      <c r="T572" s="575"/>
      <c r="U572" s="575"/>
      <c r="V572" s="575"/>
      <c r="W572" s="575"/>
      <c r="X572" s="575"/>
      <c r="Y572" s="575"/>
      <c r="Z572" s="575"/>
    </row>
    <row r="573">
      <c r="A573" s="582"/>
      <c r="B573" s="583"/>
      <c r="C573" s="584"/>
      <c r="D573" s="585"/>
      <c r="E573" s="575"/>
      <c r="F573" s="575"/>
      <c r="G573" s="575"/>
      <c r="H573" s="575"/>
      <c r="I573" s="575"/>
      <c r="J573" s="575"/>
      <c r="K573" s="575"/>
      <c r="L573" s="575"/>
      <c r="M573" s="575"/>
      <c r="N573" s="575"/>
      <c r="O573" s="575"/>
      <c r="P573" s="575"/>
      <c r="Q573" s="575"/>
      <c r="R573" s="575"/>
      <c r="S573" s="575"/>
      <c r="T573" s="575"/>
      <c r="U573" s="575"/>
      <c r="V573" s="575"/>
      <c r="W573" s="575"/>
      <c r="X573" s="575"/>
      <c r="Y573" s="575"/>
      <c r="Z573" s="575"/>
    </row>
    <row r="574">
      <c r="A574" s="582"/>
      <c r="B574" s="583"/>
      <c r="C574" s="584"/>
      <c r="D574" s="585"/>
      <c r="E574" s="575"/>
      <c r="F574" s="575"/>
      <c r="G574" s="575"/>
      <c r="H574" s="575"/>
      <c r="I574" s="575"/>
      <c r="J574" s="575"/>
      <c r="K574" s="575"/>
      <c r="L574" s="575"/>
      <c r="M574" s="575"/>
      <c r="N574" s="575"/>
      <c r="O574" s="575"/>
      <c r="P574" s="575"/>
      <c r="Q574" s="575"/>
      <c r="R574" s="575"/>
      <c r="S574" s="575"/>
      <c r="T574" s="575"/>
      <c r="U574" s="575"/>
      <c r="V574" s="575"/>
      <c r="W574" s="575"/>
      <c r="X574" s="575"/>
      <c r="Y574" s="575"/>
      <c r="Z574" s="575"/>
    </row>
    <row r="575">
      <c r="A575" s="582"/>
      <c r="B575" s="583"/>
      <c r="C575" s="584"/>
      <c r="D575" s="585"/>
      <c r="E575" s="575"/>
      <c r="F575" s="575"/>
      <c r="G575" s="575"/>
      <c r="H575" s="575"/>
      <c r="I575" s="575"/>
      <c r="J575" s="575"/>
      <c r="K575" s="575"/>
      <c r="L575" s="575"/>
      <c r="M575" s="575"/>
      <c r="N575" s="575"/>
      <c r="O575" s="575"/>
      <c r="P575" s="575"/>
      <c r="Q575" s="575"/>
      <c r="R575" s="575"/>
      <c r="S575" s="575"/>
      <c r="T575" s="575"/>
      <c r="U575" s="575"/>
      <c r="V575" s="575"/>
      <c r="W575" s="575"/>
      <c r="X575" s="575"/>
      <c r="Y575" s="575"/>
      <c r="Z575" s="575"/>
    </row>
    <row r="576">
      <c r="A576" s="582"/>
      <c r="B576" s="583"/>
      <c r="C576" s="584"/>
      <c r="D576" s="585"/>
      <c r="E576" s="575"/>
      <c r="F576" s="575"/>
      <c r="G576" s="575"/>
      <c r="H576" s="575"/>
      <c r="I576" s="575"/>
      <c r="J576" s="575"/>
      <c r="K576" s="575"/>
      <c r="L576" s="575"/>
      <c r="M576" s="575"/>
      <c r="N576" s="575"/>
      <c r="O576" s="575"/>
      <c r="P576" s="575"/>
      <c r="Q576" s="575"/>
      <c r="R576" s="575"/>
      <c r="S576" s="575"/>
      <c r="T576" s="575"/>
      <c r="U576" s="575"/>
      <c r="V576" s="575"/>
      <c r="W576" s="575"/>
      <c r="X576" s="575"/>
      <c r="Y576" s="575"/>
      <c r="Z576" s="575"/>
    </row>
    <row r="577">
      <c r="A577" s="582"/>
      <c r="B577" s="583"/>
      <c r="C577" s="584"/>
      <c r="D577" s="585"/>
      <c r="E577" s="575"/>
      <c r="F577" s="575"/>
      <c r="G577" s="575"/>
      <c r="H577" s="575"/>
      <c r="I577" s="575"/>
      <c r="J577" s="575"/>
      <c r="K577" s="575"/>
      <c r="L577" s="575"/>
      <c r="M577" s="575"/>
      <c r="N577" s="575"/>
      <c r="O577" s="575"/>
      <c r="P577" s="575"/>
      <c r="Q577" s="575"/>
      <c r="R577" s="575"/>
      <c r="S577" s="575"/>
      <c r="T577" s="575"/>
      <c r="U577" s="575"/>
      <c r="V577" s="575"/>
      <c r="W577" s="575"/>
      <c r="X577" s="575"/>
      <c r="Y577" s="575"/>
      <c r="Z577" s="575"/>
    </row>
    <row r="578">
      <c r="A578" s="582"/>
      <c r="B578" s="583"/>
      <c r="C578" s="584"/>
      <c r="D578" s="585"/>
      <c r="E578" s="575"/>
      <c r="F578" s="575"/>
      <c r="G578" s="575"/>
      <c r="H578" s="575"/>
      <c r="I578" s="575"/>
      <c r="J578" s="575"/>
      <c r="K578" s="575"/>
      <c r="L578" s="575"/>
      <c r="M578" s="575"/>
      <c r="N578" s="575"/>
      <c r="O578" s="575"/>
      <c r="P578" s="575"/>
      <c r="Q578" s="575"/>
      <c r="R578" s="575"/>
      <c r="S578" s="575"/>
      <c r="T578" s="575"/>
      <c r="U578" s="575"/>
      <c r="V578" s="575"/>
      <c r="W578" s="575"/>
      <c r="X578" s="575"/>
      <c r="Y578" s="575"/>
      <c r="Z578" s="575"/>
    </row>
    <row r="579">
      <c r="A579" s="582"/>
      <c r="B579" s="583"/>
      <c r="C579" s="584"/>
      <c r="D579" s="585"/>
      <c r="E579" s="575"/>
      <c r="F579" s="575"/>
      <c r="G579" s="575"/>
      <c r="H579" s="575"/>
      <c r="I579" s="575"/>
      <c r="J579" s="575"/>
      <c r="K579" s="575"/>
      <c r="L579" s="575"/>
      <c r="M579" s="575"/>
      <c r="N579" s="575"/>
      <c r="O579" s="575"/>
      <c r="P579" s="575"/>
      <c r="Q579" s="575"/>
      <c r="R579" s="575"/>
      <c r="S579" s="575"/>
      <c r="T579" s="575"/>
      <c r="U579" s="575"/>
      <c r="V579" s="575"/>
      <c r="W579" s="575"/>
      <c r="X579" s="575"/>
      <c r="Y579" s="575"/>
      <c r="Z579" s="575"/>
    </row>
    <row r="580">
      <c r="A580" s="582"/>
      <c r="B580" s="583"/>
      <c r="C580" s="584"/>
      <c r="D580" s="585"/>
      <c r="E580" s="575"/>
      <c r="F580" s="575"/>
      <c r="G580" s="575"/>
      <c r="H580" s="575"/>
      <c r="I580" s="575"/>
      <c r="J580" s="575"/>
      <c r="K580" s="575"/>
      <c r="L580" s="575"/>
      <c r="M580" s="575"/>
      <c r="N580" s="575"/>
      <c r="O580" s="575"/>
      <c r="P580" s="575"/>
      <c r="Q580" s="575"/>
      <c r="R580" s="575"/>
      <c r="S580" s="575"/>
      <c r="T580" s="575"/>
      <c r="U580" s="575"/>
      <c r="V580" s="575"/>
      <c r="W580" s="575"/>
      <c r="X580" s="575"/>
      <c r="Y580" s="575"/>
      <c r="Z580" s="575"/>
    </row>
    <row r="581">
      <c r="A581" s="582"/>
      <c r="B581" s="583"/>
      <c r="C581" s="584"/>
      <c r="D581" s="585"/>
      <c r="E581" s="575"/>
      <c r="F581" s="575"/>
      <c r="G581" s="575"/>
      <c r="H581" s="575"/>
      <c r="I581" s="575"/>
      <c r="J581" s="575"/>
      <c r="K581" s="575"/>
      <c r="L581" s="575"/>
      <c r="M581" s="575"/>
      <c r="N581" s="575"/>
      <c r="O581" s="575"/>
      <c r="P581" s="575"/>
      <c r="Q581" s="575"/>
      <c r="R581" s="575"/>
      <c r="S581" s="575"/>
      <c r="T581" s="575"/>
      <c r="U581" s="575"/>
      <c r="V581" s="575"/>
      <c r="W581" s="575"/>
      <c r="X581" s="575"/>
      <c r="Y581" s="575"/>
      <c r="Z581" s="575"/>
    </row>
    <row r="582">
      <c r="A582" s="582"/>
      <c r="B582" s="583"/>
      <c r="C582" s="584"/>
      <c r="D582" s="585"/>
      <c r="E582" s="575"/>
      <c r="F582" s="575"/>
      <c r="G582" s="575"/>
      <c r="H582" s="575"/>
      <c r="I582" s="575"/>
      <c r="J582" s="575"/>
      <c r="K582" s="575"/>
      <c r="L582" s="575"/>
      <c r="M582" s="575"/>
      <c r="N582" s="575"/>
      <c r="O582" s="575"/>
      <c r="P582" s="575"/>
      <c r="Q582" s="575"/>
      <c r="R582" s="575"/>
      <c r="S582" s="575"/>
      <c r="T582" s="575"/>
      <c r="U582" s="575"/>
      <c r="V582" s="575"/>
      <c r="W582" s="575"/>
      <c r="X582" s="575"/>
      <c r="Y582" s="575"/>
      <c r="Z582" s="575"/>
    </row>
    <row r="583">
      <c r="A583" s="582"/>
      <c r="B583" s="583"/>
      <c r="C583" s="584"/>
      <c r="D583" s="585"/>
      <c r="E583" s="575"/>
      <c r="F583" s="575"/>
      <c r="G583" s="575"/>
      <c r="H583" s="575"/>
      <c r="I583" s="575"/>
      <c r="J583" s="575"/>
      <c r="K583" s="575"/>
      <c r="L583" s="575"/>
      <c r="M583" s="575"/>
      <c r="N583" s="575"/>
      <c r="O583" s="575"/>
      <c r="P583" s="575"/>
      <c r="Q583" s="575"/>
      <c r="R583" s="575"/>
      <c r="S583" s="575"/>
      <c r="T583" s="575"/>
      <c r="U583" s="575"/>
      <c r="V583" s="575"/>
      <c r="W583" s="575"/>
      <c r="X583" s="575"/>
      <c r="Y583" s="575"/>
      <c r="Z583" s="575"/>
    </row>
    <row r="584">
      <c r="A584" s="582"/>
      <c r="B584" s="583"/>
      <c r="C584" s="584"/>
      <c r="D584" s="585"/>
      <c r="E584" s="575"/>
      <c r="F584" s="575"/>
      <c r="G584" s="575"/>
      <c r="H584" s="575"/>
      <c r="I584" s="575"/>
      <c r="J584" s="575"/>
      <c r="K584" s="575"/>
      <c r="L584" s="575"/>
      <c r="M584" s="575"/>
      <c r="N584" s="575"/>
      <c r="O584" s="575"/>
      <c r="P584" s="575"/>
      <c r="Q584" s="575"/>
      <c r="R584" s="575"/>
      <c r="S584" s="575"/>
      <c r="T584" s="575"/>
      <c r="U584" s="575"/>
      <c r="V584" s="575"/>
      <c r="W584" s="575"/>
      <c r="X584" s="575"/>
      <c r="Y584" s="575"/>
      <c r="Z584" s="575"/>
    </row>
    <row r="585">
      <c r="A585" s="582"/>
      <c r="B585" s="583"/>
      <c r="C585" s="584"/>
      <c r="D585" s="585"/>
      <c r="E585" s="575"/>
      <c r="F585" s="575"/>
      <c r="G585" s="575"/>
      <c r="H585" s="575"/>
      <c r="I585" s="575"/>
      <c r="J585" s="575"/>
      <c r="K585" s="575"/>
      <c r="L585" s="575"/>
      <c r="M585" s="575"/>
      <c r="N585" s="575"/>
      <c r="O585" s="575"/>
      <c r="P585" s="575"/>
      <c r="Q585" s="575"/>
      <c r="R585" s="575"/>
      <c r="S585" s="575"/>
      <c r="T585" s="575"/>
      <c r="U585" s="575"/>
      <c r="V585" s="575"/>
      <c r="W585" s="575"/>
      <c r="X585" s="575"/>
      <c r="Y585" s="575"/>
      <c r="Z585" s="575"/>
    </row>
    <row r="586">
      <c r="A586" s="582"/>
      <c r="B586" s="583"/>
      <c r="C586" s="584"/>
      <c r="D586" s="585"/>
      <c r="E586" s="575"/>
      <c r="F586" s="575"/>
      <c r="G586" s="575"/>
      <c r="H586" s="575"/>
      <c r="I586" s="575"/>
      <c r="J586" s="575"/>
      <c r="K586" s="575"/>
      <c r="L586" s="575"/>
      <c r="M586" s="575"/>
      <c r="N586" s="575"/>
      <c r="O586" s="575"/>
      <c r="P586" s="575"/>
      <c r="Q586" s="575"/>
      <c r="R586" s="575"/>
      <c r="S586" s="575"/>
      <c r="T586" s="575"/>
      <c r="U586" s="575"/>
      <c r="V586" s="575"/>
      <c r="W586" s="575"/>
      <c r="X586" s="575"/>
      <c r="Y586" s="575"/>
      <c r="Z586" s="575"/>
    </row>
    <row r="587">
      <c r="A587" s="582"/>
      <c r="B587" s="583"/>
      <c r="C587" s="584"/>
      <c r="D587" s="585"/>
      <c r="E587" s="575"/>
      <c r="F587" s="575"/>
      <c r="G587" s="575"/>
      <c r="H587" s="575"/>
      <c r="I587" s="575"/>
      <c r="J587" s="575"/>
      <c r="K587" s="575"/>
      <c r="L587" s="575"/>
      <c r="M587" s="575"/>
      <c r="N587" s="575"/>
      <c r="O587" s="575"/>
      <c r="P587" s="575"/>
      <c r="Q587" s="575"/>
      <c r="R587" s="575"/>
      <c r="S587" s="575"/>
      <c r="T587" s="575"/>
      <c r="U587" s="575"/>
      <c r="V587" s="575"/>
      <c r="W587" s="575"/>
      <c r="X587" s="575"/>
      <c r="Y587" s="575"/>
      <c r="Z587" s="575"/>
    </row>
    <row r="588">
      <c r="A588" s="582"/>
      <c r="B588" s="583"/>
      <c r="C588" s="584"/>
      <c r="D588" s="585"/>
      <c r="E588" s="575"/>
      <c r="F588" s="575"/>
      <c r="G588" s="575"/>
      <c r="H588" s="575"/>
      <c r="I588" s="575"/>
      <c r="J588" s="575"/>
      <c r="K588" s="575"/>
      <c r="L588" s="575"/>
      <c r="M588" s="575"/>
      <c r="N588" s="575"/>
      <c r="O588" s="575"/>
      <c r="P588" s="575"/>
      <c r="Q588" s="575"/>
      <c r="R588" s="575"/>
      <c r="S588" s="575"/>
      <c r="T588" s="575"/>
      <c r="U588" s="575"/>
      <c r="V588" s="575"/>
      <c r="W588" s="575"/>
      <c r="X588" s="575"/>
      <c r="Y588" s="575"/>
      <c r="Z588" s="575"/>
    </row>
    <row r="589">
      <c r="A589" s="582"/>
      <c r="B589" s="583"/>
      <c r="C589" s="584"/>
      <c r="D589" s="585"/>
      <c r="E589" s="575"/>
      <c r="F589" s="575"/>
      <c r="G589" s="575"/>
      <c r="H589" s="575"/>
      <c r="I589" s="575"/>
      <c r="J589" s="575"/>
      <c r="K589" s="575"/>
      <c r="L589" s="575"/>
      <c r="M589" s="575"/>
      <c r="N589" s="575"/>
      <c r="O589" s="575"/>
      <c r="P589" s="575"/>
      <c r="Q589" s="575"/>
      <c r="R589" s="575"/>
      <c r="S589" s="575"/>
      <c r="T589" s="575"/>
      <c r="U589" s="575"/>
      <c r="V589" s="575"/>
      <c r="W589" s="575"/>
      <c r="X589" s="575"/>
      <c r="Y589" s="575"/>
      <c r="Z589" s="575"/>
    </row>
    <row r="590">
      <c r="A590" s="582"/>
      <c r="B590" s="583"/>
      <c r="C590" s="584"/>
      <c r="D590" s="585"/>
      <c r="E590" s="575"/>
      <c r="F590" s="575"/>
      <c r="G590" s="575"/>
      <c r="H590" s="575"/>
      <c r="I590" s="575"/>
      <c r="J590" s="575"/>
      <c r="K590" s="575"/>
      <c r="L590" s="575"/>
      <c r="M590" s="575"/>
      <c r="N590" s="575"/>
      <c r="O590" s="575"/>
      <c r="P590" s="575"/>
      <c r="Q590" s="575"/>
      <c r="R590" s="575"/>
      <c r="S590" s="575"/>
      <c r="T590" s="575"/>
      <c r="U590" s="575"/>
      <c r="V590" s="575"/>
      <c r="W590" s="575"/>
      <c r="X590" s="575"/>
      <c r="Y590" s="575"/>
      <c r="Z590" s="575"/>
    </row>
    <row r="591">
      <c r="A591" s="582"/>
      <c r="B591" s="583"/>
      <c r="C591" s="584"/>
      <c r="D591" s="585"/>
      <c r="E591" s="575"/>
      <c r="F591" s="575"/>
      <c r="G591" s="575"/>
      <c r="H591" s="575"/>
      <c r="I591" s="575"/>
      <c r="J591" s="575"/>
      <c r="K591" s="575"/>
      <c r="L591" s="575"/>
      <c r="M591" s="575"/>
      <c r="N591" s="575"/>
      <c r="O591" s="575"/>
      <c r="P591" s="575"/>
      <c r="Q591" s="575"/>
      <c r="R591" s="575"/>
      <c r="S591" s="575"/>
      <c r="T591" s="575"/>
      <c r="U591" s="575"/>
      <c r="V591" s="575"/>
      <c r="W591" s="575"/>
      <c r="X591" s="575"/>
      <c r="Y591" s="575"/>
      <c r="Z591" s="575"/>
    </row>
    <row r="592">
      <c r="A592" s="582"/>
      <c r="B592" s="583"/>
      <c r="C592" s="584"/>
      <c r="D592" s="585"/>
      <c r="E592" s="575"/>
      <c r="F592" s="575"/>
      <c r="G592" s="575"/>
      <c r="H592" s="575"/>
      <c r="I592" s="575"/>
      <c r="J592" s="575"/>
      <c r="K592" s="575"/>
      <c r="L592" s="575"/>
      <c r="M592" s="575"/>
      <c r="N592" s="575"/>
      <c r="O592" s="575"/>
      <c r="P592" s="575"/>
      <c r="Q592" s="575"/>
      <c r="R592" s="575"/>
      <c r="S592" s="575"/>
      <c r="T592" s="575"/>
      <c r="U592" s="575"/>
      <c r="V592" s="575"/>
      <c r="W592" s="575"/>
      <c r="X592" s="575"/>
      <c r="Y592" s="575"/>
      <c r="Z592" s="575"/>
    </row>
    <row r="593">
      <c r="A593" s="582"/>
      <c r="B593" s="583"/>
      <c r="C593" s="584"/>
      <c r="D593" s="585"/>
      <c r="E593" s="575"/>
      <c r="F593" s="575"/>
      <c r="G593" s="575"/>
      <c r="H593" s="575"/>
      <c r="I593" s="575"/>
      <c r="J593" s="575"/>
      <c r="K593" s="575"/>
      <c r="L593" s="575"/>
      <c r="M593" s="575"/>
      <c r="N593" s="575"/>
      <c r="O593" s="575"/>
      <c r="P593" s="575"/>
      <c r="Q593" s="575"/>
      <c r="R593" s="575"/>
      <c r="S593" s="575"/>
      <c r="T593" s="575"/>
      <c r="U593" s="575"/>
      <c r="V593" s="575"/>
      <c r="W593" s="575"/>
      <c r="X593" s="575"/>
      <c r="Y593" s="575"/>
      <c r="Z593" s="575"/>
    </row>
    <row r="594">
      <c r="A594" s="582"/>
      <c r="B594" s="583"/>
      <c r="C594" s="584"/>
      <c r="D594" s="585"/>
      <c r="E594" s="575"/>
      <c r="F594" s="575"/>
      <c r="G594" s="575"/>
      <c r="H594" s="575"/>
      <c r="I594" s="575"/>
      <c r="J594" s="575"/>
      <c r="K594" s="575"/>
      <c r="L594" s="575"/>
      <c r="M594" s="575"/>
      <c r="N594" s="575"/>
      <c r="O594" s="575"/>
      <c r="P594" s="575"/>
      <c r="Q594" s="575"/>
      <c r="R594" s="575"/>
      <c r="S594" s="575"/>
      <c r="T594" s="575"/>
      <c r="U594" s="575"/>
      <c r="V594" s="575"/>
      <c r="W594" s="575"/>
      <c r="X594" s="575"/>
      <c r="Y594" s="575"/>
      <c r="Z594" s="575"/>
    </row>
    <row r="595">
      <c r="A595" s="582"/>
      <c r="B595" s="583"/>
      <c r="C595" s="584"/>
      <c r="D595" s="585"/>
      <c r="E595" s="575"/>
      <c r="F595" s="575"/>
      <c r="G595" s="575"/>
      <c r="H595" s="575"/>
      <c r="I595" s="575"/>
      <c r="J595" s="575"/>
      <c r="K595" s="575"/>
      <c r="L595" s="575"/>
      <c r="M595" s="575"/>
      <c r="N595" s="575"/>
      <c r="O595" s="575"/>
      <c r="P595" s="575"/>
      <c r="Q595" s="575"/>
      <c r="R595" s="575"/>
      <c r="S595" s="575"/>
      <c r="T595" s="575"/>
      <c r="U595" s="575"/>
      <c r="V595" s="575"/>
      <c r="W595" s="575"/>
      <c r="X595" s="575"/>
      <c r="Y595" s="575"/>
      <c r="Z595" s="575"/>
    </row>
    <row r="596">
      <c r="A596" s="582"/>
      <c r="B596" s="583"/>
      <c r="C596" s="584"/>
      <c r="D596" s="585"/>
      <c r="E596" s="575"/>
      <c r="F596" s="575"/>
      <c r="G596" s="575"/>
      <c r="H596" s="575"/>
      <c r="I596" s="575"/>
      <c r="J596" s="575"/>
      <c r="K596" s="575"/>
      <c r="L596" s="575"/>
      <c r="M596" s="575"/>
      <c r="N596" s="575"/>
      <c r="O596" s="575"/>
      <c r="P596" s="575"/>
      <c r="Q596" s="575"/>
      <c r="R596" s="575"/>
      <c r="S596" s="575"/>
      <c r="T596" s="575"/>
      <c r="U596" s="575"/>
      <c r="V596" s="575"/>
      <c r="W596" s="575"/>
      <c r="X596" s="575"/>
      <c r="Y596" s="575"/>
      <c r="Z596" s="575"/>
    </row>
    <row r="597">
      <c r="A597" s="582"/>
      <c r="B597" s="583"/>
      <c r="C597" s="584"/>
      <c r="D597" s="585"/>
      <c r="E597" s="575"/>
      <c r="F597" s="575"/>
      <c r="G597" s="575"/>
      <c r="H597" s="575"/>
      <c r="I597" s="575"/>
      <c r="J597" s="575"/>
      <c r="K597" s="575"/>
      <c r="L597" s="575"/>
      <c r="M597" s="575"/>
      <c r="N597" s="575"/>
      <c r="O597" s="575"/>
      <c r="P597" s="575"/>
      <c r="Q597" s="575"/>
      <c r="R597" s="575"/>
      <c r="S597" s="575"/>
      <c r="T597" s="575"/>
      <c r="U597" s="575"/>
      <c r="V597" s="575"/>
      <c r="W597" s="575"/>
      <c r="X597" s="575"/>
      <c r="Y597" s="575"/>
      <c r="Z597" s="575"/>
    </row>
    <row r="598">
      <c r="A598" s="582"/>
      <c r="B598" s="583"/>
      <c r="C598" s="584"/>
      <c r="D598" s="585"/>
      <c r="E598" s="575"/>
      <c r="F598" s="575"/>
      <c r="G598" s="575"/>
      <c r="H598" s="575"/>
      <c r="I598" s="575"/>
      <c r="J598" s="575"/>
      <c r="K598" s="575"/>
      <c r="L598" s="575"/>
      <c r="M598" s="575"/>
      <c r="N598" s="575"/>
      <c r="O598" s="575"/>
      <c r="P598" s="575"/>
      <c r="Q598" s="575"/>
      <c r="R598" s="575"/>
      <c r="S598" s="575"/>
      <c r="T598" s="575"/>
      <c r="U598" s="575"/>
      <c r="V598" s="575"/>
      <c r="W598" s="575"/>
      <c r="X598" s="575"/>
      <c r="Y598" s="575"/>
      <c r="Z598" s="575"/>
    </row>
    <row r="599">
      <c r="A599" s="582"/>
      <c r="B599" s="583"/>
      <c r="C599" s="584"/>
      <c r="D599" s="585"/>
      <c r="E599" s="575"/>
      <c r="F599" s="575"/>
      <c r="G599" s="575"/>
      <c r="H599" s="575"/>
      <c r="I599" s="575"/>
      <c r="J599" s="575"/>
      <c r="K599" s="575"/>
      <c r="L599" s="575"/>
      <c r="M599" s="575"/>
      <c r="N599" s="575"/>
      <c r="O599" s="575"/>
      <c r="P599" s="575"/>
      <c r="Q599" s="575"/>
      <c r="R599" s="575"/>
      <c r="S599" s="575"/>
      <c r="T599" s="575"/>
      <c r="U599" s="575"/>
      <c r="V599" s="575"/>
      <c r="W599" s="575"/>
      <c r="X599" s="575"/>
      <c r="Y599" s="575"/>
      <c r="Z599" s="575"/>
    </row>
    <row r="600">
      <c r="A600" s="582"/>
      <c r="B600" s="583"/>
      <c r="C600" s="584"/>
      <c r="D600" s="585"/>
      <c r="E600" s="575"/>
      <c r="F600" s="575"/>
      <c r="G600" s="575"/>
      <c r="H600" s="575"/>
      <c r="I600" s="575"/>
      <c r="J600" s="575"/>
      <c r="K600" s="575"/>
      <c r="L600" s="575"/>
      <c r="M600" s="575"/>
      <c r="N600" s="575"/>
      <c r="O600" s="575"/>
      <c r="P600" s="575"/>
      <c r="Q600" s="575"/>
      <c r="R600" s="575"/>
      <c r="S600" s="575"/>
      <c r="T600" s="575"/>
      <c r="U600" s="575"/>
      <c r="V600" s="575"/>
      <c r="W600" s="575"/>
      <c r="X600" s="575"/>
      <c r="Y600" s="575"/>
      <c r="Z600" s="575"/>
    </row>
    <row r="601">
      <c r="A601" s="582"/>
      <c r="B601" s="583"/>
      <c r="C601" s="584"/>
      <c r="D601" s="585"/>
      <c r="E601" s="575"/>
      <c r="F601" s="575"/>
      <c r="G601" s="575"/>
      <c r="H601" s="575"/>
      <c r="I601" s="575"/>
      <c r="J601" s="575"/>
      <c r="K601" s="575"/>
      <c r="L601" s="575"/>
      <c r="M601" s="575"/>
      <c r="N601" s="575"/>
      <c r="O601" s="575"/>
      <c r="P601" s="575"/>
      <c r="Q601" s="575"/>
      <c r="R601" s="575"/>
      <c r="S601" s="575"/>
      <c r="T601" s="575"/>
      <c r="U601" s="575"/>
      <c r="V601" s="575"/>
      <c r="W601" s="575"/>
      <c r="X601" s="575"/>
      <c r="Y601" s="575"/>
      <c r="Z601" s="575"/>
    </row>
    <row r="602">
      <c r="A602" s="582"/>
      <c r="B602" s="583"/>
      <c r="C602" s="584"/>
      <c r="D602" s="585"/>
      <c r="E602" s="575"/>
      <c r="F602" s="575"/>
      <c r="G602" s="575"/>
      <c r="H602" s="575"/>
      <c r="I602" s="575"/>
      <c r="J602" s="575"/>
      <c r="K602" s="575"/>
      <c r="L602" s="575"/>
      <c r="M602" s="575"/>
      <c r="N602" s="575"/>
      <c r="O602" s="575"/>
      <c r="P602" s="575"/>
      <c r="Q602" s="575"/>
      <c r="R602" s="575"/>
      <c r="S602" s="575"/>
      <c r="T602" s="575"/>
      <c r="U602" s="575"/>
      <c r="V602" s="575"/>
      <c r="W602" s="575"/>
      <c r="X602" s="575"/>
      <c r="Y602" s="575"/>
      <c r="Z602" s="575"/>
    </row>
    <row r="603">
      <c r="A603" s="582"/>
      <c r="B603" s="583"/>
      <c r="C603" s="584"/>
      <c r="D603" s="585"/>
      <c r="E603" s="575"/>
      <c r="F603" s="575"/>
      <c r="G603" s="575"/>
      <c r="H603" s="575"/>
      <c r="I603" s="575"/>
      <c r="J603" s="575"/>
      <c r="K603" s="575"/>
      <c r="L603" s="575"/>
      <c r="M603" s="575"/>
      <c r="N603" s="575"/>
      <c r="O603" s="575"/>
      <c r="P603" s="575"/>
      <c r="Q603" s="575"/>
      <c r="R603" s="575"/>
      <c r="S603" s="575"/>
      <c r="T603" s="575"/>
      <c r="U603" s="575"/>
      <c r="V603" s="575"/>
      <c r="W603" s="575"/>
      <c r="X603" s="575"/>
      <c r="Y603" s="575"/>
      <c r="Z603" s="575"/>
    </row>
    <row r="604">
      <c r="A604" s="582"/>
      <c r="B604" s="583"/>
      <c r="C604" s="584"/>
      <c r="D604" s="585"/>
      <c r="E604" s="575"/>
      <c r="F604" s="575"/>
      <c r="G604" s="575"/>
      <c r="H604" s="575"/>
      <c r="I604" s="575"/>
      <c r="J604" s="575"/>
      <c r="K604" s="575"/>
      <c r="L604" s="575"/>
      <c r="M604" s="575"/>
      <c r="N604" s="575"/>
      <c r="O604" s="575"/>
      <c r="P604" s="575"/>
      <c r="Q604" s="575"/>
      <c r="R604" s="575"/>
      <c r="S604" s="575"/>
      <c r="T604" s="575"/>
      <c r="U604" s="575"/>
      <c r="V604" s="575"/>
      <c r="W604" s="575"/>
      <c r="X604" s="575"/>
      <c r="Y604" s="575"/>
      <c r="Z604" s="575"/>
    </row>
    <row r="605">
      <c r="A605" s="582"/>
      <c r="B605" s="583"/>
      <c r="C605" s="584"/>
      <c r="D605" s="585"/>
      <c r="E605" s="575"/>
      <c r="F605" s="575"/>
      <c r="G605" s="575"/>
      <c r="H605" s="575"/>
      <c r="I605" s="575"/>
      <c r="J605" s="575"/>
      <c r="K605" s="575"/>
      <c r="L605" s="575"/>
      <c r="M605" s="575"/>
      <c r="N605" s="575"/>
      <c r="O605" s="575"/>
      <c r="P605" s="575"/>
      <c r="Q605" s="575"/>
      <c r="R605" s="575"/>
      <c r="S605" s="575"/>
      <c r="T605" s="575"/>
      <c r="U605" s="575"/>
      <c r="V605" s="575"/>
      <c r="W605" s="575"/>
      <c r="X605" s="575"/>
      <c r="Y605" s="575"/>
      <c r="Z605" s="575"/>
    </row>
    <row r="606">
      <c r="A606" s="582"/>
      <c r="B606" s="583"/>
      <c r="C606" s="584"/>
      <c r="D606" s="585"/>
      <c r="E606" s="575"/>
      <c r="F606" s="575"/>
      <c r="G606" s="575"/>
      <c r="H606" s="575"/>
      <c r="I606" s="575"/>
      <c r="J606" s="575"/>
      <c r="K606" s="575"/>
      <c r="L606" s="575"/>
      <c r="M606" s="575"/>
      <c r="N606" s="575"/>
      <c r="O606" s="575"/>
      <c r="P606" s="575"/>
      <c r="Q606" s="575"/>
      <c r="R606" s="575"/>
      <c r="S606" s="575"/>
      <c r="T606" s="575"/>
      <c r="U606" s="575"/>
      <c r="V606" s="575"/>
      <c r="W606" s="575"/>
      <c r="X606" s="575"/>
      <c r="Y606" s="575"/>
      <c r="Z606" s="575"/>
    </row>
    <row r="607">
      <c r="A607" s="582"/>
      <c r="B607" s="583"/>
      <c r="C607" s="584"/>
      <c r="D607" s="585"/>
      <c r="E607" s="575"/>
      <c r="F607" s="575"/>
      <c r="G607" s="575"/>
      <c r="H607" s="575"/>
      <c r="I607" s="575"/>
      <c r="J607" s="575"/>
      <c r="K607" s="575"/>
      <c r="L607" s="575"/>
      <c r="M607" s="575"/>
      <c r="N607" s="575"/>
      <c r="O607" s="575"/>
      <c r="P607" s="575"/>
      <c r="Q607" s="575"/>
      <c r="R607" s="575"/>
      <c r="S607" s="575"/>
      <c r="T607" s="575"/>
      <c r="U607" s="575"/>
      <c r="V607" s="575"/>
      <c r="W607" s="575"/>
      <c r="X607" s="575"/>
      <c r="Y607" s="575"/>
      <c r="Z607" s="575"/>
    </row>
    <row r="608">
      <c r="A608" s="582"/>
      <c r="B608" s="583"/>
      <c r="C608" s="584"/>
      <c r="D608" s="585"/>
      <c r="E608" s="575"/>
      <c r="F608" s="575"/>
      <c r="G608" s="575"/>
      <c r="H608" s="575"/>
      <c r="I608" s="575"/>
      <c r="J608" s="575"/>
      <c r="K608" s="575"/>
      <c r="L608" s="575"/>
      <c r="M608" s="575"/>
      <c r="N608" s="575"/>
      <c r="O608" s="575"/>
      <c r="P608" s="575"/>
      <c r="Q608" s="575"/>
      <c r="R608" s="575"/>
      <c r="S608" s="575"/>
      <c r="T608" s="575"/>
      <c r="U608" s="575"/>
      <c r="V608" s="575"/>
      <c r="W608" s="575"/>
      <c r="X608" s="575"/>
      <c r="Y608" s="575"/>
      <c r="Z608" s="575"/>
    </row>
    <row r="609">
      <c r="A609" s="582"/>
      <c r="B609" s="583"/>
      <c r="C609" s="584"/>
      <c r="D609" s="585"/>
      <c r="E609" s="575"/>
      <c r="F609" s="575"/>
      <c r="G609" s="575"/>
      <c r="H609" s="575"/>
      <c r="I609" s="575"/>
      <c r="J609" s="575"/>
      <c r="K609" s="575"/>
      <c r="L609" s="575"/>
      <c r="M609" s="575"/>
      <c r="N609" s="575"/>
      <c r="O609" s="575"/>
      <c r="P609" s="575"/>
      <c r="Q609" s="575"/>
      <c r="R609" s="575"/>
      <c r="S609" s="575"/>
      <c r="T609" s="575"/>
      <c r="U609" s="575"/>
      <c r="V609" s="575"/>
      <c r="W609" s="575"/>
      <c r="X609" s="575"/>
      <c r="Y609" s="575"/>
      <c r="Z609" s="575"/>
    </row>
    <row r="610">
      <c r="A610" s="582"/>
      <c r="B610" s="583"/>
      <c r="C610" s="584"/>
      <c r="D610" s="585"/>
      <c r="E610" s="575"/>
      <c r="F610" s="575"/>
      <c r="G610" s="575"/>
      <c r="H610" s="575"/>
      <c r="I610" s="575"/>
      <c r="J610" s="575"/>
      <c r="K610" s="575"/>
      <c r="L610" s="575"/>
      <c r="M610" s="575"/>
      <c r="N610" s="575"/>
      <c r="O610" s="575"/>
      <c r="P610" s="575"/>
      <c r="Q610" s="575"/>
      <c r="R610" s="575"/>
      <c r="S610" s="575"/>
      <c r="T610" s="575"/>
      <c r="U610" s="575"/>
      <c r="V610" s="575"/>
      <c r="W610" s="575"/>
      <c r="X610" s="575"/>
      <c r="Y610" s="575"/>
      <c r="Z610" s="575"/>
    </row>
    <row r="611">
      <c r="A611" s="582"/>
      <c r="B611" s="583"/>
      <c r="C611" s="584"/>
      <c r="D611" s="585"/>
      <c r="E611" s="575"/>
      <c r="F611" s="575"/>
      <c r="G611" s="575"/>
      <c r="H611" s="575"/>
      <c r="I611" s="575"/>
      <c r="J611" s="575"/>
      <c r="K611" s="575"/>
      <c r="L611" s="575"/>
      <c r="M611" s="575"/>
      <c r="N611" s="575"/>
      <c r="O611" s="575"/>
      <c r="P611" s="575"/>
      <c r="Q611" s="575"/>
      <c r="R611" s="575"/>
      <c r="S611" s="575"/>
      <c r="T611" s="575"/>
      <c r="U611" s="575"/>
      <c r="V611" s="575"/>
      <c r="W611" s="575"/>
      <c r="X611" s="575"/>
      <c r="Y611" s="575"/>
      <c r="Z611" s="575"/>
    </row>
    <row r="612">
      <c r="A612" s="582"/>
      <c r="B612" s="583"/>
      <c r="C612" s="584"/>
      <c r="D612" s="585"/>
      <c r="E612" s="575"/>
      <c r="F612" s="575"/>
      <c r="G612" s="575"/>
      <c r="H612" s="575"/>
      <c r="I612" s="575"/>
      <c r="J612" s="575"/>
      <c r="K612" s="575"/>
      <c r="L612" s="575"/>
      <c r="M612" s="575"/>
      <c r="N612" s="575"/>
      <c r="O612" s="575"/>
      <c r="P612" s="575"/>
      <c r="Q612" s="575"/>
      <c r="R612" s="575"/>
      <c r="S612" s="575"/>
      <c r="T612" s="575"/>
      <c r="U612" s="575"/>
      <c r="V612" s="575"/>
      <c r="W612" s="575"/>
      <c r="X612" s="575"/>
      <c r="Y612" s="575"/>
      <c r="Z612" s="575"/>
    </row>
    <row r="613">
      <c r="A613" s="582"/>
      <c r="B613" s="583"/>
      <c r="C613" s="584"/>
      <c r="D613" s="585"/>
      <c r="E613" s="575"/>
      <c r="F613" s="575"/>
      <c r="G613" s="575"/>
      <c r="H613" s="575"/>
      <c r="I613" s="575"/>
      <c r="J613" s="575"/>
      <c r="K613" s="575"/>
      <c r="L613" s="575"/>
      <c r="M613" s="575"/>
      <c r="N613" s="575"/>
      <c r="O613" s="575"/>
      <c r="P613" s="575"/>
      <c r="Q613" s="575"/>
      <c r="R613" s="575"/>
      <c r="S613" s="575"/>
      <c r="T613" s="575"/>
      <c r="U613" s="575"/>
      <c r="V613" s="575"/>
      <c r="W613" s="575"/>
      <c r="X613" s="575"/>
      <c r="Y613" s="575"/>
      <c r="Z613" s="575"/>
    </row>
    <row r="614">
      <c r="A614" s="582"/>
      <c r="B614" s="583"/>
      <c r="C614" s="584"/>
      <c r="D614" s="585"/>
      <c r="E614" s="575"/>
      <c r="F614" s="575"/>
      <c r="G614" s="575"/>
      <c r="H614" s="575"/>
      <c r="I614" s="575"/>
      <c r="J614" s="575"/>
      <c r="K614" s="575"/>
      <c r="L614" s="575"/>
      <c r="M614" s="575"/>
      <c r="N614" s="575"/>
      <c r="O614" s="575"/>
      <c r="P614" s="575"/>
      <c r="Q614" s="575"/>
      <c r="R614" s="575"/>
      <c r="S614" s="575"/>
      <c r="T614" s="575"/>
      <c r="U614" s="575"/>
      <c r="V614" s="575"/>
      <c r="W614" s="575"/>
      <c r="X614" s="575"/>
      <c r="Y614" s="575"/>
      <c r="Z614" s="575"/>
    </row>
    <row r="615">
      <c r="A615" s="582"/>
      <c r="B615" s="583"/>
      <c r="C615" s="584"/>
      <c r="D615" s="585"/>
      <c r="E615" s="575"/>
      <c r="F615" s="575"/>
      <c r="G615" s="575"/>
      <c r="H615" s="575"/>
      <c r="I615" s="575"/>
      <c r="J615" s="575"/>
      <c r="K615" s="575"/>
      <c r="L615" s="575"/>
      <c r="M615" s="575"/>
      <c r="N615" s="575"/>
      <c r="O615" s="575"/>
      <c r="P615" s="575"/>
      <c r="Q615" s="575"/>
      <c r="R615" s="575"/>
      <c r="S615" s="575"/>
      <c r="T615" s="575"/>
      <c r="U615" s="575"/>
      <c r="V615" s="575"/>
      <c r="W615" s="575"/>
      <c r="X615" s="575"/>
      <c r="Y615" s="575"/>
      <c r="Z615" s="575"/>
    </row>
    <row r="616">
      <c r="A616" s="582"/>
      <c r="B616" s="583"/>
      <c r="C616" s="584"/>
      <c r="D616" s="585"/>
      <c r="E616" s="575"/>
      <c r="F616" s="575"/>
      <c r="G616" s="575"/>
      <c r="H616" s="575"/>
      <c r="I616" s="575"/>
      <c r="J616" s="575"/>
      <c r="K616" s="575"/>
      <c r="L616" s="575"/>
      <c r="M616" s="575"/>
      <c r="N616" s="575"/>
      <c r="O616" s="575"/>
      <c r="P616" s="575"/>
      <c r="Q616" s="575"/>
      <c r="R616" s="575"/>
      <c r="S616" s="575"/>
      <c r="T616" s="575"/>
      <c r="U616" s="575"/>
      <c r="V616" s="575"/>
      <c r="W616" s="575"/>
      <c r="X616" s="575"/>
      <c r="Y616" s="575"/>
      <c r="Z616" s="575"/>
    </row>
    <row r="617">
      <c r="A617" s="582"/>
      <c r="B617" s="583"/>
      <c r="C617" s="584"/>
      <c r="D617" s="585"/>
      <c r="E617" s="575"/>
      <c r="F617" s="575"/>
      <c r="G617" s="575"/>
      <c r="H617" s="575"/>
      <c r="I617" s="575"/>
      <c r="J617" s="575"/>
      <c r="K617" s="575"/>
      <c r="L617" s="575"/>
      <c r="M617" s="575"/>
      <c r="N617" s="575"/>
      <c r="O617" s="575"/>
      <c r="P617" s="575"/>
      <c r="Q617" s="575"/>
      <c r="R617" s="575"/>
      <c r="S617" s="575"/>
      <c r="T617" s="575"/>
      <c r="U617" s="575"/>
      <c r="V617" s="575"/>
      <c r="W617" s="575"/>
      <c r="X617" s="575"/>
      <c r="Y617" s="575"/>
      <c r="Z617" s="575"/>
    </row>
    <row r="618">
      <c r="A618" s="582"/>
      <c r="B618" s="583"/>
      <c r="C618" s="584"/>
      <c r="D618" s="585"/>
      <c r="E618" s="575"/>
      <c r="F618" s="575"/>
      <c r="G618" s="575"/>
      <c r="H618" s="575"/>
      <c r="I618" s="575"/>
      <c r="J618" s="575"/>
      <c r="K618" s="575"/>
      <c r="L618" s="575"/>
      <c r="M618" s="575"/>
      <c r="N618" s="575"/>
      <c r="O618" s="575"/>
      <c r="P618" s="575"/>
      <c r="Q618" s="575"/>
      <c r="R618" s="575"/>
      <c r="S618" s="575"/>
      <c r="T618" s="575"/>
      <c r="U618" s="575"/>
      <c r="V618" s="575"/>
      <c r="W618" s="575"/>
      <c r="X618" s="575"/>
      <c r="Y618" s="575"/>
      <c r="Z618" s="575"/>
    </row>
    <row r="619">
      <c r="A619" s="582"/>
      <c r="B619" s="583"/>
      <c r="C619" s="584"/>
      <c r="D619" s="585"/>
      <c r="E619" s="575"/>
      <c r="F619" s="575"/>
      <c r="G619" s="575"/>
      <c r="H619" s="575"/>
      <c r="I619" s="575"/>
      <c r="J619" s="575"/>
      <c r="K619" s="575"/>
      <c r="L619" s="575"/>
      <c r="M619" s="575"/>
      <c r="N619" s="575"/>
      <c r="O619" s="575"/>
      <c r="P619" s="575"/>
      <c r="Q619" s="575"/>
      <c r="R619" s="575"/>
      <c r="S619" s="575"/>
      <c r="T619" s="575"/>
      <c r="U619" s="575"/>
      <c r="V619" s="575"/>
      <c r="W619" s="575"/>
      <c r="X619" s="575"/>
      <c r="Y619" s="575"/>
      <c r="Z619" s="575"/>
    </row>
    <row r="620">
      <c r="A620" s="582"/>
      <c r="B620" s="583"/>
      <c r="C620" s="584"/>
      <c r="D620" s="585"/>
      <c r="E620" s="575"/>
      <c r="F620" s="575"/>
      <c r="G620" s="575"/>
      <c r="H620" s="575"/>
      <c r="I620" s="575"/>
      <c r="J620" s="575"/>
      <c r="K620" s="575"/>
      <c r="L620" s="575"/>
      <c r="M620" s="575"/>
      <c r="N620" s="575"/>
      <c r="O620" s="575"/>
      <c r="P620" s="575"/>
      <c r="Q620" s="575"/>
      <c r="R620" s="575"/>
      <c r="S620" s="575"/>
      <c r="T620" s="575"/>
      <c r="U620" s="575"/>
      <c r="V620" s="575"/>
      <c r="W620" s="575"/>
      <c r="X620" s="575"/>
      <c r="Y620" s="575"/>
      <c r="Z620" s="575"/>
    </row>
    <row r="621">
      <c r="A621" s="582"/>
      <c r="B621" s="583"/>
      <c r="C621" s="584"/>
      <c r="D621" s="585"/>
      <c r="E621" s="575"/>
      <c r="F621" s="575"/>
      <c r="G621" s="575"/>
      <c r="H621" s="575"/>
      <c r="I621" s="575"/>
      <c r="J621" s="575"/>
      <c r="K621" s="575"/>
      <c r="L621" s="575"/>
      <c r="M621" s="575"/>
      <c r="N621" s="575"/>
      <c r="O621" s="575"/>
      <c r="P621" s="575"/>
      <c r="Q621" s="575"/>
      <c r="R621" s="575"/>
      <c r="S621" s="575"/>
      <c r="T621" s="575"/>
      <c r="U621" s="575"/>
      <c r="V621" s="575"/>
      <c r="W621" s="575"/>
      <c r="X621" s="575"/>
      <c r="Y621" s="575"/>
      <c r="Z621" s="575"/>
    </row>
    <row r="622">
      <c r="A622" s="582"/>
      <c r="B622" s="583"/>
      <c r="C622" s="584"/>
      <c r="D622" s="585"/>
      <c r="E622" s="575"/>
      <c r="F622" s="575"/>
      <c r="G622" s="575"/>
      <c r="H622" s="575"/>
      <c r="I622" s="575"/>
      <c r="J622" s="575"/>
      <c r="K622" s="575"/>
      <c r="L622" s="575"/>
      <c r="M622" s="575"/>
      <c r="N622" s="575"/>
      <c r="O622" s="575"/>
      <c r="P622" s="575"/>
      <c r="Q622" s="575"/>
      <c r="R622" s="575"/>
      <c r="S622" s="575"/>
      <c r="T622" s="575"/>
      <c r="U622" s="575"/>
      <c r="V622" s="575"/>
      <c r="W622" s="575"/>
      <c r="X622" s="575"/>
      <c r="Y622" s="575"/>
      <c r="Z622" s="575"/>
    </row>
    <row r="623">
      <c r="A623" s="582"/>
      <c r="B623" s="583"/>
      <c r="C623" s="584"/>
      <c r="D623" s="585"/>
      <c r="E623" s="575"/>
      <c r="F623" s="575"/>
      <c r="G623" s="575"/>
      <c r="H623" s="575"/>
      <c r="I623" s="575"/>
      <c r="J623" s="575"/>
      <c r="K623" s="575"/>
      <c r="L623" s="575"/>
      <c r="M623" s="575"/>
      <c r="N623" s="575"/>
      <c r="O623" s="575"/>
      <c r="P623" s="575"/>
      <c r="Q623" s="575"/>
      <c r="R623" s="575"/>
      <c r="S623" s="575"/>
      <c r="T623" s="575"/>
      <c r="U623" s="575"/>
      <c r="V623" s="575"/>
      <c r="W623" s="575"/>
      <c r="X623" s="575"/>
      <c r="Y623" s="575"/>
      <c r="Z623" s="575"/>
    </row>
    <row r="624">
      <c r="A624" s="582"/>
      <c r="B624" s="583"/>
      <c r="C624" s="584"/>
      <c r="D624" s="585"/>
      <c r="E624" s="575"/>
      <c r="F624" s="575"/>
      <c r="G624" s="575"/>
      <c r="H624" s="575"/>
      <c r="I624" s="575"/>
      <c r="J624" s="575"/>
      <c r="K624" s="575"/>
      <c r="L624" s="575"/>
      <c r="M624" s="575"/>
      <c r="N624" s="575"/>
      <c r="O624" s="575"/>
      <c r="P624" s="575"/>
      <c r="Q624" s="575"/>
      <c r="R624" s="575"/>
      <c r="S624" s="575"/>
      <c r="T624" s="575"/>
      <c r="U624" s="575"/>
      <c r="V624" s="575"/>
      <c r="W624" s="575"/>
      <c r="X624" s="575"/>
      <c r="Y624" s="575"/>
      <c r="Z624" s="575"/>
    </row>
    <row r="625">
      <c r="A625" s="582"/>
      <c r="B625" s="583"/>
      <c r="C625" s="584"/>
      <c r="D625" s="585"/>
      <c r="E625" s="575"/>
      <c r="F625" s="575"/>
      <c r="G625" s="575"/>
      <c r="H625" s="575"/>
      <c r="I625" s="575"/>
      <c r="J625" s="575"/>
      <c r="K625" s="575"/>
      <c r="L625" s="575"/>
      <c r="M625" s="575"/>
      <c r="N625" s="575"/>
      <c r="O625" s="575"/>
      <c r="P625" s="575"/>
      <c r="Q625" s="575"/>
      <c r="R625" s="575"/>
      <c r="S625" s="575"/>
      <c r="T625" s="575"/>
      <c r="U625" s="575"/>
      <c r="V625" s="575"/>
      <c r="W625" s="575"/>
      <c r="X625" s="575"/>
      <c r="Y625" s="575"/>
      <c r="Z625" s="575"/>
    </row>
    <row r="626">
      <c r="A626" s="582"/>
      <c r="B626" s="583"/>
      <c r="C626" s="584"/>
      <c r="D626" s="585"/>
      <c r="E626" s="575"/>
      <c r="F626" s="575"/>
      <c r="G626" s="575"/>
      <c r="H626" s="575"/>
      <c r="I626" s="575"/>
      <c r="J626" s="575"/>
      <c r="K626" s="575"/>
      <c r="L626" s="575"/>
      <c r="M626" s="575"/>
      <c r="N626" s="575"/>
      <c r="O626" s="575"/>
      <c r="P626" s="575"/>
      <c r="Q626" s="575"/>
      <c r="R626" s="575"/>
      <c r="S626" s="575"/>
      <c r="T626" s="575"/>
      <c r="U626" s="575"/>
      <c r="V626" s="575"/>
      <c r="W626" s="575"/>
      <c r="X626" s="575"/>
      <c r="Y626" s="575"/>
      <c r="Z626" s="575"/>
    </row>
    <row r="627">
      <c r="A627" s="582"/>
      <c r="B627" s="583"/>
      <c r="C627" s="584"/>
      <c r="D627" s="585"/>
      <c r="E627" s="575"/>
      <c r="F627" s="575"/>
      <c r="G627" s="575"/>
      <c r="H627" s="575"/>
      <c r="I627" s="575"/>
      <c r="J627" s="575"/>
      <c r="K627" s="575"/>
      <c r="L627" s="575"/>
      <c r="M627" s="575"/>
      <c r="N627" s="575"/>
      <c r="O627" s="575"/>
      <c r="P627" s="575"/>
      <c r="Q627" s="575"/>
      <c r="R627" s="575"/>
      <c r="S627" s="575"/>
      <c r="T627" s="575"/>
      <c r="U627" s="575"/>
      <c r="V627" s="575"/>
      <c r="W627" s="575"/>
      <c r="X627" s="575"/>
      <c r="Y627" s="575"/>
      <c r="Z627" s="575"/>
    </row>
    <row r="628">
      <c r="A628" s="582"/>
      <c r="B628" s="583"/>
      <c r="C628" s="584"/>
      <c r="D628" s="585"/>
      <c r="E628" s="575"/>
      <c r="F628" s="575"/>
      <c r="G628" s="575"/>
      <c r="H628" s="575"/>
      <c r="I628" s="575"/>
      <c r="J628" s="575"/>
      <c r="K628" s="575"/>
      <c r="L628" s="575"/>
      <c r="M628" s="575"/>
      <c r="N628" s="575"/>
      <c r="O628" s="575"/>
      <c r="P628" s="575"/>
      <c r="Q628" s="575"/>
      <c r="R628" s="575"/>
      <c r="S628" s="575"/>
      <c r="T628" s="575"/>
      <c r="U628" s="575"/>
      <c r="V628" s="575"/>
      <c r="W628" s="575"/>
      <c r="X628" s="575"/>
      <c r="Y628" s="575"/>
      <c r="Z628" s="575"/>
    </row>
    <row r="629">
      <c r="A629" s="582"/>
      <c r="B629" s="583"/>
      <c r="C629" s="584"/>
      <c r="D629" s="585"/>
      <c r="E629" s="575"/>
      <c r="F629" s="575"/>
      <c r="G629" s="575"/>
      <c r="H629" s="575"/>
      <c r="I629" s="575"/>
      <c r="J629" s="575"/>
      <c r="K629" s="575"/>
      <c r="L629" s="575"/>
      <c r="M629" s="575"/>
      <c r="N629" s="575"/>
      <c r="O629" s="575"/>
      <c r="P629" s="575"/>
      <c r="Q629" s="575"/>
      <c r="R629" s="575"/>
      <c r="S629" s="575"/>
      <c r="T629" s="575"/>
      <c r="U629" s="575"/>
      <c r="V629" s="575"/>
      <c r="W629" s="575"/>
      <c r="X629" s="575"/>
      <c r="Y629" s="575"/>
      <c r="Z629" s="575"/>
    </row>
    <row r="630">
      <c r="A630" s="582"/>
      <c r="B630" s="583"/>
      <c r="C630" s="584"/>
      <c r="D630" s="585"/>
      <c r="E630" s="575"/>
      <c r="F630" s="575"/>
      <c r="G630" s="575"/>
      <c r="H630" s="575"/>
      <c r="I630" s="575"/>
      <c r="J630" s="575"/>
      <c r="K630" s="575"/>
      <c r="L630" s="575"/>
      <c r="M630" s="575"/>
      <c r="N630" s="575"/>
      <c r="O630" s="575"/>
      <c r="P630" s="575"/>
      <c r="Q630" s="575"/>
      <c r="R630" s="575"/>
      <c r="S630" s="575"/>
      <c r="T630" s="575"/>
      <c r="U630" s="575"/>
      <c r="V630" s="575"/>
      <c r="W630" s="575"/>
      <c r="X630" s="575"/>
      <c r="Y630" s="575"/>
      <c r="Z630" s="575"/>
    </row>
    <row r="631">
      <c r="A631" s="582"/>
      <c r="B631" s="583"/>
      <c r="C631" s="584"/>
      <c r="D631" s="585"/>
      <c r="E631" s="575"/>
      <c r="F631" s="575"/>
      <c r="G631" s="575"/>
      <c r="H631" s="575"/>
      <c r="I631" s="575"/>
      <c r="J631" s="575"/>
      <c r="K631" s="575"/>
      <c r="L631" s="575"/>
      <c r="M631" s="575"/>
      <c r="N631" s="575"/>
      <c r="O631" s="575"/>
      <c r="P631" s="575"/>
      <c r="Q631" s="575"/>
      <c r="R631" s="575"/>
      <c r="S631" s="575"/>
      <c r="T631" s="575"/>
      <c r="U631" s="575"/>
      <c r="V631" s="575"/>
      <c r="W631" s="575"/>
      <c r="X631" s="575"/>
      <c r="Y631" s="575"/>
      <c r="Z631" s="575"/>
    </row>
    <row r="632">
      <c r="A632" s="582"/>
      <c r="B632" s="583"/>
      <c r="C632" s="584"/>
      <c r="D632" s="585"/>
      <c r="E632" s="575"/>
      <c r="F632" s="575"/>
      <c r="G632" s="575"/>
      <c r="H632" s="575"/>
      <c r="I632" s="575"/>
      <c r="J632" s="575"/>
      <c r="K632" s="575"/>
      <c r="L632" s="575"/>
      <c r="M632" s="575"/>
      <c r="N632" s="575"/>
      <c r="O632" s="575"/>
      <c r="P632" s="575"/>
      <c r="Q632" s="575"/>
      <c r="R632" s="575"/>
      <c r="S632" s="575"/>
      <c r="T632" s="575"/>
      <c r="U632" s="575"/>
      <c r="V632" s="575"/>
      <c r="W632" s="575"/>
      <c r="X632" s="575"/>
      <c r="Y632" s="575"/>
      <c r="Z632" s="575"/>
    </row>
    <row r="633">
      <c r="A633" s="582"/>
      <c r="B633" s="583"/>
      <c r="C633" s="584"/>
      <c r="D633" s="585"/>
      <c r="E633" s="575"/>
      <c r="F633" s="575"/>
      <c r="G633" s="575"/>
      <c r="H633" s="575"/>
      <c r="I633" s="575"/>
      <c r="J633" s="575"/>
      <c r="K633" s="575"/>
      <c r="L633" s="575"/>
      <c r="M633" s="575"/>
      <c r="N633" s="575"/>
      <c r="O633" s="575"/>
      <c r="P633" s="575"/>
      <c r="Q633" s="575"/>
      <c r="R633" s="575"/>
      <c r="S633" s="575"/>
      <c r="T633" s="575"/>
      <c r="U633" s="575"/>
      <c r="V633" s="575"/>
      <c r="W633" s="575"/>
      <c r="X633" s="575"/>
      <c r="Y633" s="575"/>
      <c r="Z633" s="575"/>
    </row>
    <row r="634">
      <c r="A634" s="582"/>
      <c r="B634" s="583"/>
      <c r="C634" s="584"/>
      <c r="D634" s="585"/>
      <c r="E634" s="575"/>
      <c r="F634" s="575"/>
      <c r="G634" s="575"/>
      <c r="H634" s="575"/>
      <c r="I634" s="575"/>
      <c r="J634" s="575"/>
      <c r="K634" s="575"/>
      <c r="L634" s="575"/>
      <c r="M634" s="575"/>
      <c r="N634" s="575"/>
      <c r="O634" s="575"/>
      <c r="P634" s="575"/>
      <c r="Q634" s="575"/>
      <c r="R634" s="575"/>
      <c r="S634" s="575"/>
      <c r="T634" s="575"/>
      <c r="U634" s="575"/>
      <c r="V634" s="575"/>
      <c r="W634" s="575"/>
      <c r="X634" s="575"/>
      <c r="Y634" s="575"/>
      <c r="Z634" s="575"/>
    </row>
    <row r="635">
      <c r="A635" s="582"/>
      <c r="B635" s="583"/>
      <c r="C635" s="584"/>
      <c r="D635" s="585"/>
      <c r="E635" s="575"/>
      <c r="F635" s="575"/>
      <c r="G635" s="575"/>
      <c r="H635" s="575"/>
      <c r="I635" s="575"/>
      <c r="J635" s="575"/>
      <c r="K635" s="575"/>
      <c r="L635" s="575"/>
      <c r="M635" s="575"/>
      <c r="N635" s="575"/>
      <c r="O635" s="575"/>
      <c r="P635" s="575"/>
      <c r="Q635" s="575"/>
      <c r="R635" s="575"/>
      <c r="S635" s="575"/>
      <c r="T635" s="575"/>
      <c r="U635" s="575"/>
      <c r="V635" s="575"/>
      <c r="W635" s="575"/>
      <c r="X635" s="575"/>
      <c r="Y635" s="575"/>
      <c r="Z635" s="575"/>
    </row>
    <row r="636">
      <c r="A636" s="582"/>
      <c r="B636" s="583"/>
      <c r="C636" s="584"/>
      <c r="D636" s="585"/>
      <c r="E636" s="575"/>
      <c r="F636" s="575"/>
      <c r="G636" s="575"/>
      <c r="H636" s="575"/>
      <c r="I636" s="575"/>
      <c r="J636" s="575"/>
      <c r="K636" s="575"/>
      <c r="L636" s="575"/>
      <c r="M636" s="575"/>
      <c r="N636" s="575"/>
      <c r="O636" s="575"/>
      <c r="P636" s="575"/>
      <c r="Q636" s="575"/>
      <c r="R636" s="575"/>
      <c r="S636" s="575"/>
      <c r="T636" s="575"/>
      <c r="U636" s="575"/>
      <c r="V636" s="575"/>
      <c r="W636" s="575"/>
      <c r="X636" s="575"/>
      <c r="Y636" s="575"/>
      <c r="Z636" s="575"/>
    </row>
    <row r="637">
      <c r="A637" s="582"/>
      <c r="B637" s="583"/>
      <c r="C637" s="584"/>
      <c r="D637" s="585"/>
      <c r="E637" s="575"/>
      <c r="F637" s="575"/>
      <c r="G637" s="575"/>
      <c r="H637" s="575"/>
      <c r="I637" s="575"/>
      <c r="J637" s="575"/>
      <c r="K637" s="575"/>
      <c r="L637" s="575"/>
      <c r="M637" s="575"/>
      <c r="N637" s="575"/>
      <c r="O637" s="575"/>
      <c r="P637" s="575"/>
      <c r="Q637" s="575"/>
      <c r="R637" s="575"/>
      <c r="S637" s="575"/>
      <c r="T637" s="575"/>
      <c r="U637" s="575"/>
      <c r="V637" s="575"/>
      <c r="W637" s="575"/>
      <c r="X637" s="575"/>
      <c r="Y637" s="575"/>
      <c r="Z637" s="575"/>
    </row>
    <row r="638">
      <c r="A638" s="582"/>
      <c r="B638" s="583"/>
      <c r="C638" s="584"/>
      <c r="D638" s="585"/>
      <c r="E638" s="575"/>
      <c r="F638" s="575"/>
      <c r="G638" s="575"/>
      <c r="H638" s="575"/>
      <c r="I638" s="575"/>
      <c r="J638" s="575"/>
      <c r="K638" s="575"/>
      <c r="L638" s="575"/>
      <c r="M638" s="575"/>
      <c r="N638" s="575"/>
      <c r="O638" s="575"/>
      <c r="P638" s="575"/>
      <c r="Q638" s="575"/>
      <c r="R638" s="575"/>
      <c r="S638" s="575"/>
      <c r="T638" s="575"/>
      <c r="U638" s="575"/>
      <c r="V638" s="575"/>
      <c r="W638" s="575"/>
      <c r="X638" s="575"/>
      <c r="Y638" s="575"/>
      <c r="Z638" s="575"/>
    </row>
    <row r="639">
      <c r="A639" s="582"/>
      <c r="B639" s="583"/>
      <c r="C639" s="584"/>
      <c r="D639" s="585"/>
      <c r="E639" s="575"/>
      <c r="F639" s="575"/>
      <c r="G639" s="575"/>
      <c r="H639" s="575"/>
      <c r="I639" s="575"/>
      <c r="J639" s="575"/>
      <c r="K639" s="575"/>
      <c r="L639" s="575"/>
      <c r="M639" s="575"/>
      <c r="N639" s="575"/>
      <c r="O639" s="575"/>
      <c r="P639" s="575"/>
      <c r="Q639" s="575"/>
      <c r="R639" s="575"/>
      <c r="S639" s="575"/>
      <c r="T639" s="575"/>
      <c r="U639" s="575"/>
      <c r="V639" s="575"/>
      <c r="W639" s="575"/>
      <c r="X639" s="575"/>
      <c r="Y639" s="575"/>
      <c r="Z639" s="575"/>
    </row>
    <row r="640">
      <c r="A640" s="582"/>
      <c r="B640" s="583"/>
      <c r="C640" s="584"/>
      <c r="D640" s="585"/>
      <c r="E640" s="575"/>
      <c r="F640" s="575"/>
      <c r="G640" s="575"/>
      <c r="H640" s="575"/>
      <c r="I640" s="575"/>
      <c r="J640" s="575"/>
      <c r="K640" s="575"/>
      <c r="L640" s="575"/>
      <c r="M640" s="575"/>
      <c r="N640" s="575"/>
      <c r="O640" s="575"/>
      <c r="P640" s="575"/>
      <c r="Q640" s="575"/>
      <c r="R640" s="575"/>
      <c r="S640" s="575"/>
      <c r="T640" s="575"/>
      <c r="U640" s="575"/>
      <c r="V640" s="575"/>
      <c r="W640" s="575"/>
      <c r="X640" s="575"/>
      <c r="Y640" s="575"/>
      <c r="Z640" s="575"/>
    </row>
    <row r="641">
      <c r="A641" s="582"/>
      <c r="B641" s="583"/>
      <c r="C641" s="584"/>
      <c r="D641" s="585"/>
      <c r="E641" s="575"/>
      <c r="F641" s="575"/>
      <c r="G641" s="575"/>
      <c r="H641" s="575"/>
      <c r="I641" s="575"/>
      <c r="J641" s="575"/>
      <c r="K641" s="575"/>
      <c r="L641" s="575"/>
      <c r="M641" s="575"/>
      <c r="N641" s="575"/>
      <c r="O641" s="575"/>
      <c r="P641" s="575"/>
      <c r="Q641" s="575"/>
      <c r="R641" s="575"/>
      <c r="S641" s="575"/>
      <c r="T641" s="575"/>
      <c r="U641" s="575"/>
      <c r="V641" s="575"/>
      <c r="W641" s="575"/>
      <c r="X641" s="575"/>
      <c r="Y641" s="575"/>
      <c r="Z641" s="575"/>
    </row>
    <row r="642">
      <c r="A642" s="582"/>
      <c r="B642" s="583"/>
      <c r="C642" s="584"/>
      <c r="D642" s="585"/>
      <c r="E642" s="575"/>
      <c r="F642" s="575"/>
      <c r="G642" s="575"/>
      <c r="H642" s="575"/>
      <c r="I642" s="575"/>
      <c r="J642" s="575"/>
      <c r="K642" s="575"/>
      <c r="L642" s="575"/>
      <c r="M642" s="575"/>
      <c r="N642" s="575"/>
      <c r="O642" s="575"/>
      <c r="P642" s="575"/>
      <c r="Q642" s="575"/>
      <c r="R642" s="575"/>
      <c r="S642" s="575"/>
      <c r="T642" s="575"/>
      <c r="U642" s="575"/>
      <c r="V642" s="575"/>
      <c r="W642" s="575"/>
      <c r="X642" s="575"/>
      <c r="Y642" s="575"/>
      <c r="Z642" s="575"/>
    </row>
    <row r="643">
      <c r="A643" s="582"/>
      <c r="B643" s="583"/>
      <c r="C643" s="584"/>
      <c r="D643" s="585"/>
      <c r="E643" s="575"/>
      <c r="F643" s="575"/>
      <c r="G643" s="575"/>
      <c r="H643" s="575"/>
      <c r="I643" s="575"/>
      <c r="J643" s="575"/>
      <c r="K643" s="575"/>
      <c r="L643" s="575"/>
      <c r="M643" s="575"/>
      <c r="N643" s="575"/>
      <c r="O643" s="575"/>
      <c r="P643" s="575"/>
      <c r="Q643" s="575"/>
      <c r="R643" s="575"/>
      <c r="S643" s="575"/>
      <c r="T643" s="575"/>
      <c r="U643" s="575"/>
      <c r="V643" s="575"/>
      <c r="W643" s="575"/>
      <c r="X643" s="575"/>
      <c r="Y643" s="575"/>
      <c r="Z643" s="575"/>
    </row>
    <row r="644">
      <c r="A644" s="582"/>
      <c r="B644" s="583"/>
      <c r="C644" s="584"/>
      <c r="D644" s="585"/>
      <c r="E644" s="575"/>
      <c r="F644" s="575"/>
      <c r="G644" s="575"/>
      <c r="H644" s="575"/>
      <c r="I644" s="575"/>
      <c r="J644" s="575"/>
      <c r="K644" s="575"/>
      <c r="L644" s="575"/>
      <c r="M644" s="575"/>
      <c r="N644" s="575"/>
      <c r="O644" s="575"/>
      <c r="P644" s="575"/>
      <c r="Q644" s="575"/>
      <c r="R644" s="575"/>
      <c r="S644" s="575"/>
      <c r="T644" s="575"/>
      <c r="U644" s="575"/>
      <c r="V644" s="575"/>
      <c r="W644" s="575"/>
      <c r="X644" s="575"/>
      <c r="Y644" s="575"/>
      <c r="Z644" s="575"/>
    </row>
    <row r="645">
      <c r="A645" s="582"/>
      <c r="B645" s="583"/>
      <c r="C645" s="584"/>
      <c r="D645" s="585"/>
      <c r="E645" s="575"/>
      <c r="F645" s="575"/>
      <c r="G645" s="575"/>
      <c r="H645" s="575"/>
      <c r="I645" s="575"/>
      <c r="J645" s="575"/>
      <c r="K645" s="575"/>
      <c r="L645" s="575"/>
      <c r="M645" s="575"/>
      <c r="N645" s="575"/>
      <c r="O645" s="575"/>
      <c r="P645" s="575"/>
      <c r="Q645" s="575"/>
      <c r="R645" s="575"/>
      <c r="S645" s="575"/>
      <c r="T645" s="575"/>
      <c r="U645" s="575"/>
      <c r="V645" s="575"/>
      <c r="W645" s="575"/>
      <c r="X645" s="575"/>
      <c r="Y645" s="575"/>
      <c r="Z645" s="575"/>
    </row>
    <row r="646">
      <c r="A646" s="582"/>
      <c r="B646" s="583"/>
      <c r="C646" s="584"/>
      <c r="D646" s="585"/>
      <c r="E646" s="575"/>
      <c r="F646" s="575"/>
      <c r="G646" s="575"/>
      <c r="H646" s="575"/>
      <c r="I646" s="575"/>
      <c r="J646" s="575"/>
      <c r="K646" s="575"/>
      <c r="L646" s="575"/>
      <c r="M646" s="575"/>
      <c r="N646" s="575"/>
      <c r="O646" s="575"/>
      <c r="P646" s="575"/>
      <c r="Q646" s="575"/>
      <c r="R646" s="575"/>
      <c r="S646" s="575"/>
      <c r="T646" s="575"/>
      <c r="U646" s="575"/>
      <c r="V646" s="575"/>
      <c r="W646" s="575"/>
      <c r="X646" s="575"/>
      <c r="Y646" s="575"/>
      <c r="Z646" s="575"/>
    </row>
    <row r="647">
      <c r="A647" s="582"/>
      <c r="B647" s="583"/>
      <c r="C647" s="584"/>
      <c r="D647" s="585"/>
      <c r="E647" s="575"/>
      <c r="F647" s="575"/>
      <c r="G647" s="575"/>
      <c r="H647" s="575"/>
      <c r="I647" s="575"/>
      <c r="J647" s="575"/>
      <c r="K647" s="575"/>
      <c r="L647" s="575"/>
      <c r="M647" s="575"/>
      <c r="N647" s="575"/>
      <c r="O647" s="575"/>
      <c r="P647" s="575"/>
      <c r="Q647" s="575"/>
      <c r="R647" s="575"/>
      <c r="S647" s="575"/>
      <c r="T647" s="575"/>
      <c r="U647" s="575"/>
      <c r="V647" s="575"/>
      <c r="W647" s="575"/>
      <c r="X647" s="575"/>
      <c r="Y647" s="575"/>
      <c r="Z647" s="575"/>
    </row>
    <row r="648">
      <c r="A648" s="582"/>
      <c r="B648" s="583"/>
      <c r="C648" s="584"/>
      <c r="D648" s="585"/>
      <c r="E648" s="575"/>
      <c r="F648" s="575"/>
      <c r="G648" s="575"/>
      <c r="H648" s="575"/>
      <c r="I648" s="575"/>
      <c r="J648" s="575"/>
      <c r="K648" s="575"/>
      <c r="L648" s="575"/>
      <c r="M648" s="575"/>
      <c r="N648" s="575"/>
      <c r="O648" s="575"/>
      <c r="P648" s="575"/>
      <c r="Q648" s="575"/>
      <c r="R648" s="575"/>
      <c r="S648" s="575"/>
      <c r="T648" s="575"/>
      <c r="U648" s="575"/>
      <c r="V648" s="575"/>
      <c r="W648" s="575"/>
      <c r="X648" s="575"/>
      <c r="Y648" s="575"/>
      <c r="Z648" s="575"/>
    </row>
    <row r="649">
      <c r="A649" s="582"/>
      <c r="B649" s="583"/>
      <c r="C649" s="584"/>
      <c r="D649" s="585"/>
      <c r="E649" s="575"/>
      <c r="F649" s="575"/>
      <c r="G649" s="575"/>
      <c r="H649" s="575"/>
      <c r="I649" s="575"/>
      <c r="J649" s="575"/>
      <c r="K649" s="575"/>
      <c r="L649" s="575"/>
      <c r="M649" s="575"/>
      <c r="N649" s="575"/>
      <c r="O649" s="575"/>
      <c r="P649" s="575"/>
      <c r="Q649" s="575"/>
      <c r="R649" s="575"/>
      <c r="S649" s="575"/>
      <c r="T649" s="575"/>
      <c r="U649" s="575"/>
      <c r="V649" s="575"/>
      <c r="W649" s="575"/>
      <c r="X649" s="575"/>
      <c r="Y649" s="575"/>
      <c r="Z649" s="575"/>
    </row>
    <row r="650">
      <c r="A650" s="582"/>
      <c r="B650" s="583"/>
      <c r="C650" s="584"/>
      <c r="D650" s="585"/>
      <c r="E650" s="575"/>
      <c r="F650" s="575"/>
      <c r="G650" s="575"/>
      <c r="H650" s="575"/>
      <c r="I650" s="575"/>
      <c r="J650" s="575"/>
      <c r="K650" s="575"/>
      <c r="L650" s="575"/>
      <c r="M650" s="575"/>
      <c r="N650" s="575"/>
      <c r="O650" s="575"/>
      <c r="P650" s="575"/>
      <c r="Q650" s="575"/>
      <c r="R650" s="575"/>
      <c r="S650" s="575"/>
      <c r="T650" s="575"/>
      <c r="U650" s="575"/>
      <c r="V650" s="575"/>
      <c r="W650" s="575"/>
      <c r="X650" s="575"/>
      <c r="Y650" s="575"/>
      <c r="Z650" s="575"/>
    </row>
    <row r="651">
      <c r="A651" s="582"/>
      <c r="B651" s="583"/>
      <c r="C651" s="584"/>
      <c r="D651" s="585"/>
      <c r="E651" s="575"/>
      <c r="F651" s="575"/>
      <c r="G651" s="575"/>
      <c r="H651" s="575"/>
      <c r="I651" s="575"/>
      <c r="J651" s="575"/>
      <c r="K651" s="575"/>
      <c r="L651" s="575"/>
      <c r="M651" s="575"/>
      <c r="N651" s="575"/>
      <c r="O651" s="575"/>
      <c r="P651" s="575"/>
      <c r="Q651" s="575"/>
      <c r="R651" s="575"/>
      <c r="S651" s="575"/>
      <c r="T651" s="575"/>
      <c r="U651" s="575"/>
      <c r="V651" s="575"/>
      <c r="W651" s="575"/>
      <c r="X651" s="575"/>
      <c r="Y651" s="575"/>
      <c r="Z651" s="575"/>
    </row>
    <row r="652">
      <c r="A652" s="582"/>
      <c r="B652" s="583"/>
      <c r="C652" s="584"/>
      <c r="D652" s="585"/>
      <c r="E652" s="575"/>
      <c r="F652" s="575"/>
      <c r="G652" s="575"/>
      <c r="H652" s="575"/>
      <c r="I652" s="575"/>
      <c r="J652" s="575"/>
      <c r="K652" s="575"/>
      <c r="L652" s="575"/>
      <c r="M652" s="575"/>
      <c r="N652" s="575"/>
      <c r="O652" s="575"/>
      <c r="P652" s="575"/>
      <c r="Q652" s="575"/>
      <c r="R652" s="575"/>
      <c r="S652" s="575"/>
      <c r="T652" s="575"/>
      <c r="U652" s="575"/>
      <c r="V652" s="575"/>
      <c r="W652" s="575"/>
      <c r="X652" s="575"/>
      <c r="Y652" s="575"/>
      <c r="Z652" s="575"/>
    </row>
    <row r="653">
      <c r="A653" s="582"/>
      <c r="B653" s="583"/>
      <c r="C653" s="584"/>
      <c r="D653" s="585"/>
      <c r="E653" s="575"/>
      <c r="F653" s="575"/>
      <c r="G653" s="575"/>
      <c r="H653" s="575"/>
      <c r="I653" s="575"/>
      <c r="J653" s="575"/>
      <c r="K653" s="575"/>
      <c r="L653" s="575"/>
      <c r="M653" s="575"/>
      <c r="N653" s="575"/>
      <c r="O653" s="575"/>
      <c r="P653" s="575"/>
      <c r="Q653" s="575"/>
      <c r="R653" s="575"/>
      <c r="S653" s="575"/>
      <c r="T653" s="575"/>
      <c r="U653" s="575"/>
      <c r="V653" s="575"/>
      <c r="W653" s="575"/>
      <c r="X653" s="575"/>
      <c r="Y653" s="575"/>
      <c r="Z653" s="575"/>
    </row>
    <row r="654">
      <c r="A654" s="582"/>
      <c r="B654" s="583"/>
      <c r="C654" s="584"/>
      <c r="D654" s="585"/>
      <c r="E654" s="575"/>
      <c r="F654" s="575"/>
      <c r="G654" s="575"/>
      <c r="H654" s="575"/>
      <c r="I654" s="575"/>
      <c r="J654" s="575"/>
      <c r="K654" s="575"/>
      <c r="L654" s="575"/>
      <c r="M654" s="575"/>
      <c r="N654" s="575"/>
      <c r="O654" s="575"/>
      <c r="P654" s="575"/>
      <c r="Q654" s="575"/>
      <c r="R654" s="575"/>
      <c r="S654" s="575"/>
      <c r="T654" s="575"/>
      <c r="U654" s="575"/>
      <c r="V654" s="575"/>
      <c r="W654" s="575"/>
      <c r="X654" s="575"/>
      <c r="Y654" s="575"/>
      <c r="Z654" s="575"/>
    </row>
    <row r="655">
      <c r="A655" s="582"/>
      <c r="B655" s="583"/>
      <c r="C655" s="584"/>
      <c r="D655" s="585"/>
      <c r="E655" s="575"/>
      <c r="F655" s="575"/>
      <c r="G655" s="575"/>
      <c r="H655" s="575"/>
      <c r="I655" s="575"/>
      <c r="J655" s="575"/>
      <c r="K655" s="575"/>
      <c r="L655" s="575"/>
      <c r="M655" s="575"/>
      <c r="N655" s="575"/>
      <c r="O655" s="575"/>
      <c r="P655" s="575"/>
      <c r="Q655" s="575"/>
      <c r="R655" s="575"/>
      <c r="S655" s="575"/>
      <c r="T655" s="575"/>
      <c r="U655" s="575"/>
      <c r="V655" s="575"/>
      <c r="W655" s="575"/>
      <c r="X655" s="575"/>
      <c r="Y655" s="575"/>
      <c r="Z655" s="575"/>
    </row>
    <row r="656">
      <c r="A656" s="582"/>
      <c r="B656" s="583"/>
      <c r="C656" s="584"/>
      <c r="D656" s="585"/>
      <c r="E656" s="575"/>
      <c r="F656" s="575"/>
      <c r="G656" s="575"/>
      <c r="H656" s="575"/>
      <c r="I656" s="575"/>
      <c r="J656" s="575"/>
      <c r="K656" s="575"/>
      <c r="L656" s="575"/>
      <c r="M656" s="575"/>
      <c r="N656" s="575"/>
      <c r="O656" s="575"/>
      <c r="P656" s="575"/>
      <c r="Q656" s="575"/>
      <c r="R656" s="575"/>
      <c r="S656" s="575"/>
      <c r="T656" s="575"/>
      <c r="U656" s="575"/>
      <c r="V656" s="575"/>
      <c r="W656" s="575"/>
      <c r="X656" s="575"/>
      <c r="Y656" s="575"/>
      <c r="Z656" s="575"/>
    </row>
    <row r="657">
      <c r="A657" s="582"/>
      <c r="B657" s="583"/>
      <c r="C657" s="584"/>
      <c r="D657" s="585"/>
      <c r="E657" s="575"/>
      <c r="F657" s="575"/>
      <c r="G657" s="575"/>
      <c r="H657" s="575"/>
      <c r="I657" s="575"/>
      <c r="J657" s="575"/>
      <c r="K657" s="575"/>
      <c r="L657" s="575"/>
      <c r="M657" s="575"/>
      <c r="N657" s="575"/>
      <c r="O657" s="575"/>
      <c r="P657" s="575"/>
      <c r="Q657" s="575"/>
      <c r="R657" s="575"/>
      <c r="S657" s="575"/>
      <c r="T657" s="575"/>
      <c r="U657" s="575"/>
      <c r="V657" s="575"/>
      <c r="W657" s="575"/>
      <c r="X657" s="575"/>
      <c r="Y657" s="575"/>
      <c r="Z657" s="575"/>
    </row>
    <row r="658">
      <c r="A658" s="582"/>
      <c r="B658" s="583"/>
      <c r="C658" s="584"/>
      <c r="D658" s="585"/>
      <c r="E658" s="575"/>
      <c r="F658" s="575"/>
      <c r="G658" s="575"/>
      <c r="H658" s="575"/>
      <c r="I658" s="575"/>
      <c r="J658" s="575"/>
      <c r="K658" s="575"/>
      <c r="L658" s="575"/>
      <c r="M658" s="575"/>
      <c r="N658" s="575"/>
      <c r="O658" s="575"/>
      <c r="P658" s="575"/>
      <c r="Q658" s="575"/>
      <c r="R658" s="575"/>
      <c r="S658" s="575"/>
      <c r="T658" s="575"/>
      <c r="U658" s="575"/>
      <c r="V658" s="575"/>
      <c r="W658" s="575"/>
      <c r="X658" s="575"/>
      <c r="Y658" s="575"/>
      <c r="Z658" s="575"/>
    </row>
    <row r="659">
      <c r="A659" s="582"/>
      <c r="B659" s="583"/>
      <c r="C659" s="584"/>
      <c r="D659" s="585"/>
      <c r="E659" s="575"/>
      <c r="F659" s="575"/>
      <c r="G659" s="575"/>
      <c r="H659" s="575"/>
      <c r="I659" s="575"/>
      <c r="J659" s="575"/>
      <c r="K659" s="575"/>
      <c r="L659" s="575"/>
      <c r="M659" s="575"/>
      <c r="N659" s="575"/>
      <c r="O659" s="575"/>
      <c r="P659" s="575"/>
      <c r="Q659" s="575"/>
      <c r="R659" s="575"/>
      <c r="S659" s="575"/>
      <c r="T659" s="575"/>
      <c r="U659" s="575"/>
      <c r="V659" s="575"/>
      <c r="W659" s="575"/>
      <c r="X659" s="575"/>
      <c r="Y659" s="575"/>
      <c r="Z659" s="575"/>
    </row>
    <row r="660">
      <c r="A660" s="582"/>
      <c r="B660" s="583"/>
      <c r="C660" s="584"/>
      <c r="D660" s="585"/>
      <c r="E660" s="575"/>
      <c r="F660" s="575"/>
      <c r="G660" s="575"/>
      <c r="H660" s="575"/>
      <c r="I660" s="575"/>
      <c r="J660" s="575"/>
      <c r="K660" s="575"/>
      <c r="L660" s="575"/>
      <c r="M660" s="575"/>
      <c r="N660" s="575"/>
      <c r="O660" s="575"/>
      <c r="P660" s="575"/>
      <c r="Q660" s="575"/>
      <c r="R660" s="575"/>
      <c r="S660" s="575"/>
      <c r="T660" s="575"/>
      <c r="U660" s="575"/>
      <c r="V660" s="575"/>
      <c r="W660" s="575"/>
      <c r="X660" s="575"/>
      <c r="Y660" s="575"/>
      <c r="Z660" s="575"/>
    </row>
    <row r="661">
      <c r="A661" s="582"/>
      <c r="B661" s="583"/>
      <c r="C661" s="584"/>
      <c r="D661" s="585"/>
      <c r="E661" s="575"/>
      <c r="F661" s="575"/>
      <c r="G661" s="575"/>
      <c r="H661" s="575"/>
      <c r="I661" s="575"/>
      <c r="J661" s="575"/>
      <c r="K661" s="575"/>
      <c r="L661" s="575"/>
      <c r="M661" s="575"/>
      <c r="N661" s="575"/>
      <c r="O661" s="575"/>
      <c r="P661" s="575"/>
      <c r="Q661" s="575"/>
      <c r="R661" s="575"/>
      <c r="S661" s="575"/>
      <c r="T661" s="575"/>
      <c r="U661" s="575"/>
      <c r="V661" s="575"/>
      <c r="W661" s="575"/>
      <c r="X661" s="575"/>
      <c r="Y661" s="575"/>
      <c r="Z661" s="575"/>
    </row>
    <row r="662">
      <c r="A662" s="582"/>
      <c r="B662" s="583"/>
      <c r="C662" s="584"/>
      <c r="D662" s="585"/>
      <c r="E662" s="575"/>
      <c r="F662" s="575"/>
      <c r="G662" s="575"/>
      <c r="H662" s="575"/>
      <c r="I662" s="575"/>
      <c r="J662" s="575"/>
      <c r="K662" s="575"/>
      <c r="L662" s="575"/>
      <c r="M662" s="575"/>
      <c r="N662" s="575"/>
      <c r="O662" s="575"/>
      <c r="P662" s="575"/>
      <c r="Q662" s="575"/>
      <c r="R662" s="575"/>
      <c r="S662" s="575"/>
      <c r="T662" s="575"/>
      <c r="U662" s="575"/>
      <c r="V662" s="575"/>
      <c r="W662" s="575"/>
      <c r="X662" s="575"/>
      <c r="Y662" s="575"/>
      <c r="Z662" s="575"/>
    </row>
    <row r="663">
      <c r="A663" s="582"/>
      <c r="B663" s="583"/>
      <c r="C663" s="584"/>
      <c r="D663" s="585"/>
      <c r="E663" s="575"/>
      <c r="F663" s="575"/>
      <c r="G663" s="575"/>
      <c r="H663" s="575"/>
      <c r="I663" s="575"/>
      <c r="J663" s="575"/>
      <c r="K663" s="575"/>
      <c r="L663" s="575"/>
      <c r="M663" s="575"/>
      <c r="N663" s="575"/>
      <c r="O663" s="575"/>
      <c r="P663" s="575"/>
      <c r="Q663" s="575"/>
      <c r="R663" s="575"/>
      <c r="S663" s="575"/>
      <c r="T663" s="575"/>
      <c r="U663" s="575"/>
      <c r="V663" s="575"/>
      <c r="W663" s="575"/>
      <c r="X663" s="575"/>
      <c r="Y663" s="575"/>
      <c r="Z663" s="575"/>
    </row>
    <row r="664">
      <c r="A664" s="582"/>
      <c r="B664" s="583"/>
      <c r="C664" s="584"/>
      <c r="D664" s="585"/>
      <c r="E664" s="575"/>
      <c r="F664" s="575"/>
      <c r="G664" s="575"/>
      <c r="H664" s="575"/>
      <c r="I664" s="575"/>
      <c r="J664" s="575"/>
      <c r="K664" s="575"/>
      <c r="L664" s="575"/>
      <c r="M664" s="575"/>
      <c r="N664" s="575"/>
      <c r="O664" s="575"/>
      <c r="P664" s="575"/>
      <c r="Q664" s="575"/>
      <c r="R664" s="575"/>
      <c r="S664" s="575"/>
      <c r="T664" s="575"/>
      <c r="U664" s="575"/>
      <c r="V664" s="575"/>
      <c r="W664" s="575"/>
      <c r="X664" s="575"/>
      <c r="Y664" s="575"/>
      <c r="Z664" s="575"/>
    </row>
    <row r="665">
      <c r="A665" s="582"/>
      <c r="B665" s="583"/>
      <c r="C665" s="584"/>
      <c r="D665" s="585"/>
      <c r="E665" s="575"/>
      <c r="F665" s="575"/>
      <c r="G665" s="575"/>
      <c r="H665" s="575"/>
      <c r="I665" s="575"/>
      <c r="J665" s="575"/>
      <c r="K665" s="575"/>
      <c r="L665" s="575"/>
      <c r="M665" s="575"/>
      <c r="N665" s="575"/>
      <c r="O665" s="575"/>
      <c r="P665" s="575"/>
      <c r="Q665" s="575"/>
      <c r="R665" s="575"/>
      <c r="S665" s="575"/>
      <c r="T665" s="575"/>
      <c r="U665" s="575"/>
      <c r="V665" s="575"/>
      <c r="W665" s="575"/>
      <c r="X665" s="575"/>
      <c r="Y665" s="575"/>
      <c r="Z665" s="575"/>
    </row>
    <row r="666">
      <c r="A666" s="582"/>
      <c r="B666" s="583"/>
      <c r="C666" s="584"/>
      <c r="D666" s="585"/>
      <c r="E666" s="575"/>
      <c r="F666" s="575"/>
      <c r="G666" s="575"/>
      <c r="H666" s="575"/>
      <c r="I666" s="575"/>
      <c r="J666" s="575"/>
      <c r="K666" s="575"/>
      <c r="L666" s="575"/>
      <c r="M666" s="575"/>
      <c r="N666" s="575"/>
      <c r="O666" s="575"/>
      <c r="P666" s="575"/>
      <c r="Q666" s="575"/>
      <c r="R666" s="575"/>
      <c r="S666" s="575"/>
      <c r="T666" s="575"/>
      <c r="U666" s="575"/>
      <c r="V666" s="575"/>
      <c r="W666" s="575"/>
      <c r="X666" s="575"/>
      <c r="Y666" s="575"/>
      <c r="Z666" s="575"/>
    </row>
    <row r="667">
      <c r="A667" s="582"/>
      <c r="B667" s="583"/>
      <c r="C667" s="584"/>
      <c r="D667" s="585"/>
      <c r="E667" s="575"/>
      <c r="F667" s="575"/>
      <c r="G667" s="575"/>
      <c r="H667" s="575"/>
      <c r="I667" s="575"/>
      <c r="J667" s="575"/>
      <c r="K667" s="575"/>
      <c r="L667" s="575"/>
      <c r="M667" s="575"/>
      <c r="N667" s="575"/>
      <c r="O667" s="575"/>
      <c r="P667" s="575"/>
      <c r="Q667" s="575"/>
      <c r="R667" s="575"/>
      <c r="S667" s="575"/>
      <c r="T667" s="575"/>
      <c r="U667" s="575"/>
      <c r="V667" s="575"/>
      <c r="W667" s="575"/>
      <c r="X667" s="575"/>
      <c r="Y667" s="575"/>
      <c r="Z667" s="575"/>
    </row>
    <row r="668">
      <c r="A668" s="582"/>
      <c r="B668" s="583"/>
      <c r="C668" s="584"/>
      <c r="D668" s="585"/>
      <c r="E668" s="575"/>
      <c r="F668" s="575"/>
      <c r="G668" s="575"/>
      <c r="H668" s="575"/>
      <c r="I668" s="575"/>
      <c r="J668" s="575"/>
      <c r="K668" s="575"/>
      <c r="L668" s="575"/>
      <c r="M668" s="575"/>
      <c r="N668" s="575"/>
      <c r="O668" s="575"/>
      <c r="P668" s="575"/>
      <c r="Q668" s="575"/>
      <c r="R668" s="575"/>
      <c r="S668" s="575"/>
      <c r="T668" s="575"/>
      <c r="U668" s="575"/>
      <c r="V668" s="575"/>
      <c r="W668" s="575"/>
      <c r="X668" s="575"/>
      <c r="Y668" s="575"/>
      <c r="Z668" s="575"/>
    </row>
    <row r="669">
      <c r="A669" s="582"/>
      <c r="B669" s="583"/>
      <c r="C669" s="584"/>
      <c r="D669" s="585"/>
      <c r="E669" s="575"/>
      <c r="F669" s="575"/>
      <c r="G669" s="575"/>
      <c r="H669" s="575"/>
      <c r="I669" s="575"/>
      <c r="J669" s="575"/>
      <c r="K669" s="575"/>
      <c r="L669" s="575"/>
      <c r="M669" s="575"/>
      <c r="N669" s="575"/>
      <c r="O669" s="575"/>
      <c r="P669" s="575"/>
      <c r="Q669" s="575"/>
      <c r="R669" s="575"/>
      <c r="S669" s="575"/>
      <c r="T669" s="575"/>
      <c r="U669" s="575"/>
      <c r="V669" s="575"/>
      <c r="W669" s="575"/>
      <c r="X669" s="575"/>
      <c r="Y669" s="575"/>
      <c r="Z669" s="575"/>
    </row>
    <row r="670">
      <c r="A670" s="582"/>
      <c r="B670" s="583"/>
      <c r="C670" s="584"/>
      <c r="D670" s="585"/>
      <c r="E670" s="575"/>
      <c r="F670" s="575"/>
      <c r="G670" s="575"/>
      <c r="H670" s="575"/>
      <c r="I670" s="575"/>
      <c r="J670" s="575"/>
      <c r="K670" s="575"/>
      <c r="L670" s="575"/>
      <c r="M670" s="575"/>
      <c r="N670" s="575"/>
      <c r="O670" s="575"/>
      <c r="P670" s="575"/>
      <c r="Q670" s="575"/>
      <c r="R670" s="575"/>
      <c r="S670" s="575"/>
      <c r="T670" s="575"/>
      <c r="U670" s="575"/>
      <c r="V670" s="575"/>
      <c r="W670" s="575"/>
      <c r="X670" s="575"/>
      <c r="Y670" s="575"/>
      <c r="Z670" s="575"/>
    </row>
    <row r="671">
      <c r="A671" s="582"/>
      <c r="B671" s="583"/>
      <c r="C671" s="584"/>
      <c r="D671" s="585"/>
      <c r="E671" s="575"/>
      <c r="F671" s="575"/>
      <c r="G671" s="575"/>
      <c r="H671" s="575"/>
      <c r="I671" s="575"/>
      <c r="J671" s="575"/>
      <c r="K671" s="575"/>
      <c r="L671" s="575"/>
      <c r="M671" s="575"/>
      <c r="N671" s="575"/>
      <c r="O671" s="575"/>
      <c r="P671" s="575"/>
      <c r="Q671" s="575"/>
      <c r="R671" s="575"/>
      <c r="S671" s="575"/>
      <c r="T671" s="575"/>
      <c r="U671" s="575"/>
      <c r="V671" s="575"/>
      <c r="W671" s="575"/>
      <c r="X671" s="575"/>
      <c r="Y671" s="575"/>
      <c r="Z671" s="575"/>
    </row>
    <row r="672">
      <c r="A672" s="582"/>
      <c r="B672" s="583"/>
      <c r="C672" s="584"/>
      <c r="D672" s="585"/>
      <c r="E672" s="575"/>
      <c r="F672" s="575"/>
      <c r="G672" s="575"/>
      <c r="H672" s="575"/>
      <c r="I672" s="575"/>
      <c r="J672" s="575"/>
      <c r="K672" s="575"/>
      <c r="L672" s="575"/>
      <c r="M672" s="575"/>
      <c r="N672" s="575"/>
      <c r="O672" s="575"/>
      <c r="P672" s="575"/>
      <c r="Q672" s="575"/>
      <c r="R672" s="575"/>
      <c r="S672" s="575"/>
      <c r="T672" s="575"/>
      <c r="U672" s="575"/>
      <c r="V672" s="575"/>
      <c r="W672" s="575"/>
      <c r="X672" s="575"/>
      <c r="Y672" s="575"/>
      <c r="Z672" s="575"/>
    </row>
    <row r="673">
      <c r="A673" s="582"/>
      <c r="B673" s="583"/>
      <c r="C673" s="584"/>
      <c r="D673" s="585"/>
      <c r="E673" s="575"/>
      <c r="F673" s="575"/>
      <c r="G673" s="575"/>
      <c r="H673" s="575"/>
      <c r="I673" s="575"/>
      <c r="J673" s="575"/>
      <c r="K673" s="575"/>
      <c r="L673" s="575"/>
      <c r="M673" s="575"/>
      <c r="N673" s="575"/>
      <c r="O673" s="575"/>
      <c r="P673" s="575"/>
      <c r="Q673" s="575"/>
      <c r="R673" s="575"/>
      <c r="S673" s="575"/>
      <c r="T673" s="575"/>
      <c r="U673" s="575"/>
      <c r="V673" s="575"/>
      <c r="W673" s="575"/>
      <c r="X673" s="575"/>
      <c r="Y673" s="575"/>
      <c r="Z673" s="575"/>
    </row>
    <row r="674">
      <c r="A674" s="582"/>
      <c r="B674" s="583"/>
      <c r="C674" s="584"/>
      <c r="D674" s="585"/>
      <c r="E674" s="575"/>
      <c r="F674" s="575"/>
      <c r="G674" s="575"/>
      <c r="H674" s="575"/>
      <c r="I674" s="575"/>
      <c r="J674" s="575"/>
      <c r="K674" s="575"/>
      <c r="L674" s="575"/>
      <c r="M674" s="575"/>
      <c r="N674" s="575"/>
      <c r="O674" s="575"/>
      <c r="P674" s="575"/>
      <c r="Q674" s="575"/>
      <c r="R674" s="575"/>
      <c r="S674" s="575"/>
      <c r="T674" s="575"/>
      <c r="U674" s="575"/>
      <c r="V674" s="575"/>
      <c r="W674" s="575"/>
      <c r="X674" s="575"/>
      <c r="Y674" s="575"/>
      <c r="Z674" s="575"/>
    </row>
    <row r="675">
      <c r="A675" s="582"/>
      <c r="B675" s="583"/>
      <c r="C675" s="584"/>
      <c r="D675" s="585"/>
      <c r="E675" s="575"/>
      <c r="F675" s="575"/>
      <c r="G675" s="575"/>
      <c r="H675" s="575"/>
      <c r="I675" s="575"/>
      <c r="J675" s="575"/>
      <c r="K675" s="575"/>
      <c r="L675" s="575"/>
      <c r="M675" s="575"/>
      <c r="N675" s="575"/>
      <c r="O675" s="575"/>
      <c r="P675" s="575"/>
      <c r="Q675" s="575"/>
      <c r="R675" s="575"/>
      <c r="S675" s="575"/>
      <c r="T675" s="575"/>
      <c r="U675" s="575"/>
      <c r="V675" s="575"/>
      <c r="W675" s="575"/>
      <c r="X675" s="575"/>
      <c r="Y675" s="575"/>
      <c r="Z675" s="575"/>
    </row>
    <row r="676">
      <c r="A676" s="582"/>
      <c r="B676" s="583"/>
      <c r="C676" s="584"/>
      <c r="D676" s="585"/>
      <c r="E676" s="575"/>
      <c r="F676" s="575"/>
      <c r="G676" s="575"/>
      <c r="H676" s="575"/>
      <c r="I676" s="575"/>
      <c r="J676" s="575"/>
      <c r="K676" s="575"/>
      <c r="L676" s="575"/>
      <c r="M676" s="575"/>
      <c r="N676" s="575"/>
      <c r="O676" s="575"/>
      <c r="P676" s="575"/>
      <c r="Q676" s="575"/>
      <c r="R676" s="575"/>
      <c r="S676" s="575"/>
      <c r="T676" s="575"/>
      <c r="U676" s="575"/>
      <c r="V676" s="575"/>
      <c r="W676" s="575"/>
      <c r="X676" s="575"/>
      <c r="Y676" s="575"/>
      <c r="Z676" s="575"/>
    </row>
    <row r="677">
      <c r="A677" s="582"/>
      <c r="B677" s="583"/>
      <c r="C677" s="584"/>
      <c r="D677" s="585"/>
      <c r="E677" s="575"/>
      <c r="F677" s="575"/>
      <c r="G677" s="575"/>
      <c r="H677" s="575"/>
      <c r="I677" s="575"/>
      <c r="J677" s="575"/>
      <c r="K677" s="575"/>
      <c r="L677" s="575"/>
      <c r="M677" s="575"/>
      <c r="N677" s="575"/>
      <c r="O677" s="575"/>
      <c r="P677" s="575"/>
      <c r="Q677" s="575"/>
      <c r="R677" s="575"/>
      <c r="S677" s="575"/>
      <c r="T677" s="575"/>
      <c r="U677" s="575"/>
      <c r="V677" s="575"/>
      <c r="W677" s="575"/>
      <c r="X677" s="575"/>
      <c r="Y677" s="575"/>
      <c r="Z677" s="575"/>
    </row>
    <row r="678">
      <c r="A678" s="582"/>
      <c r="B678" s="583"/>
      <c r="C678" s="584"/>
      <c r="D678" s="585"/>
      <c r="E678" s="575"/>
      <c r="F678" s="575"/>
      <c r="G678" s="575"/>
      <c r="H678" s="575"/>
      <c r="I678" s="575"/>
      <c r="J678" s="575"/>
      <c r="K678" s="575"/>
      <c r="L678" s="575"/>
      <c r="M678" s="575"/>
      <c r="N678" s="575"/>
      <c r="O678" s="575"/>
      <c r="P678" s="575"/>
      <c r="Q678" s="575"/>
      <c r="R678" s="575"/>
      <c r="S678" s="575"/>
      <c r="T678" s="575"/>
      <c r="U678" s="575"/>
      <c r="V678" s="575"/>
      <c r="W678" s="575"/>
      <c r="X678" s="575"/>
      <c r="Y678" s="575"/>
      <c r="Z678" s="575"/>
    </row>
    <row r="679">
      <c r="A679" s="582"/>
      <c r="B679" s="583"/>
      <c r="C679" s="584"/>
      <c r="D679" s="585"/>
      <c r="E679" s="575"/>
      <c r="F679" s="575"/>
      <c r="G679" s="575"/>
      <c r="H679" s="575"/>
      <c r="I679" s="575"/>
      <c r="J679" s="575"/>
      <c r="K679" s="575"/>
      <c r="L679" s="575"/>
      <c r="M679" s="575"/>
      <c r="N679" s="575"/>
      <c r="O679" s="575"/>
      <c r="P679" s="575"/>
      <c r="Q679" s="575"/>
      <c r="R679" s="575"/>
      <c r="S679" s="575"/>
      <c r="T679" s="575"/>
      <c r="U679" s="575"/>
      <c r="V679" s="575"/>
      <c r="W679" s="575"/>
      <c r="X679" s="575"/>
      <c r="Y679" s="575"/>
      <c r="Z679" s="575"/>
    </row>
    <row r="680">
      <c r="A680" s="582"/>
      <c r="B680" s="583"/>
      <c r="C680" s="584"/>
      <c r="D680" s="585"/>
      <c r="E680" s="575"/>
      <c r="F680" s="575"/>
      <c r="G680" s="575"/>
      <c r="H680" s="575"/>
      <c r="I680" s="575"/>
      <c r="J680" s="575"/>
      <c r="K680" s="575"/>
      <c r="L680" s="575"/>
      <c r="M680" s="575"/>
      <c r="N680" s="575"/>
      <c r="O680" s="575"/>
      <c r="P680" s="575"/>
      <c r="Q680" s="575"/>
      <c r="R680" s="575"/>
      <c r="S680" s="575"/>
      <c r="T680" s="575"/>
      <c r="U680" s="575"/>
      <c r="V680" s="575"/>
      <c r="W680" s="575"/>
      <c r="X680" s="575"/>
      <c r="Y680" s="575"/>
      <c r="Z680" s="575"/>
    </row>
    <row r="681">
      <c r="A681" s="582"/>
      <c r="B681" s="583"/>
      <c r="C681" s="584"/>
      <c r="D681" s="585"/>
      <c r="E681" s="575"/>
      <c r="F681" s="575"/>
      <c r="G681" s="575"/>
      <c r="H681" s="575"/>
      <c r="I681" s="575"/>
      <c r="J681" s="575"/>
      <c r="K681" s="575"/>
      <c r="L681" s="575"/>
      <c r="M681" s="575"/>
      <c r="N681" s="575"/>
      <c r="O681" s="575"/>
      <c r="P681" s="575"/>
      <c r="Q681" s="575"/>
      <c r="R681" s="575"/>
      <c r="S681" s="575"/>
      <c r="T681" s="575"/>
      <c r="U681" s="575"/>
      <c r="V681" s="575"/>
      <c r="W681" s="575"/>
      <c r="X681" s="575"/>
      <c r="Y681" s="575"/>
      <c r="Z681" s="575"/>
    </row>
    <row r="682">
      <c r="A682" s="582"/>
      <c r="B682" s="583"/>
      <c r="C682" s="584"/>
      <c r="D682" s="585"/>
      <c r="E682" s="575"/>
      <c r="F682" s="575"/>
      <c r="G682" s="575"/>
      <c r="H682" s="575"/>
      <c r="I682" s="575"/>
      <c r="J682" s="575"/>
      <c r="K682" s="575"/>
      <c r="L682" s="575"/>
      <c r="M682" s="575"/>
      <c r="N682" s="575"/>
      <c r="O682" s="575"/>
      <c r="P682" s="575"/>
      <c r="Q682" s="575"/>
      <c r="R682" s="575"/>
      <c r="S682" s="575"/>
      <c r="T682" s="575"/>
      <c r="U682" s="575"/>
      <c r="V682" s="575"/>
      <c r="W682" s="575"/>
      <c r="X682" s="575"/>
      <c r="Y682" s="575"/>
      <c r="Z682" s="575"/>
    </row>
    <row r="683">
      <c r="A683" s="582"/>
      <c r="B683" s="583"/>
      <c r="C683" s="584"/>
      <c r="D683" s="585"/>
      <c r="E683" s="575"/>
      <c r="F683" s="575"/>
      <c r="G683" s="575"/>
      <c r="H683" s="575"/>
      <c r="I683" s="575"/>
      <c r="J683" s="575"/>
      <c r="K683" s="575"/>
      <c r="L683" s="575"/>
      <c r="M683" s="575"/>
      <c r="N683" s="575"/>
      <c r="O683" s="575"/>
      <c r="P683" s="575"/>
      <c r="Q683" s="575"/>
      <c r="R683" s="575"/>
      <c r="S683" s="575"/>
      <c r="T683" s="575"/>
      <c r="U683" s="575"/>
      <c r="V683" s="575"/>
      <c r="W683" s="575"/>
      <c r="X683" s="575"/>
      <c r="Y683" s="575"/>
      <c r="Z683" s="575"/>
    </row>
    <row r="684">
      <c r="A684" s="582"/>
      <c r="B684" s="583"/>
      <c r="C684" s="584"/>
      <c r="D684" s="585"/>
      <c r="E684" s="575"/>
      <c r="F684" s="575"/>
      <c r="G684" s="575"/>
      <c r="H684" s="575"/>
      <c r="I684" s="575"/>
      <c r="J684" s="575"/>
      <c r="K684" s="575"/>
      <c r="L684" s="575"/>
      <c r="M684" s="575"/>
      <c r="N684" s="575"/>
      <c r="O684" s="575"/>
      <c r="P684" s="575"/>
      <c r="Q684" s="575"/>
      <c r="R684" s="575"/>
      <c r="S684" s="575"/>
      <c r="T684" s="575"/>
      <c r="U684" s="575"/>
      <c r="V684" s="575"/>
      <c r="W684" s="575"/>
      <c r="X684" s="575"/>
      <c r="Y684" s="575"/>
      <c r="Z684" s="575"/>
    </row>
    <row r="685">
      <c r="A685" s="582"/>
      <c r="B685" s="583"/>
      <c r="C685" s="584"/>
      <c r="D685" s="585"/>
      <c r="E685" s="575"/>
      <c r="F685" s="575"/>
      <c r="G685" s="575"/>
      <c r="H685" s="575"/>
      <c r="I685" s="575"/>
      <c r="J685" s="575"/>
      <c r="K685" s="575"/>
      <c r="L685" s="575"/>
      <c r="M685" s="575"/>
      <c r="N685" s="575"/>
      <c r="O685" s="575"/>
      <c r="P685" s="575"/>
      <c r="Q685" s="575"/>
      <c r="R685" s="575"/>
      <c r="S685" s="575"/>
      <c r="T685" s="575"/>
      <c r="U685" s="575"/>
      <c r="V685" s="575"/>
      <c r="W685" s="575"/>
      <c r="X685" s="575"/>
      <c r="Y685" s="575"/>
      <c r="Z685" s="575"/>
    </row>
    <row r="686">
      <c r="A686" s="582"/>
      <c r="B686" s="583"/>
      <c r="C686" s="584"/>
      <c r="D686" s="585"/>
      <c r="E686" s="575"/>
      <c r="F686" s="575"/>
      <c r="G686" s="575"/>
      <c r="H686" s="575"/>
      <c r="I686" s="575"/>
      <c r="J686" s="575"/>
      <c r="K686" s="575"/>
      <c r="L686" s="575"/>
      <c r="M686" s="575"/>
      <c r="N686" s="575"/>
      <c r="O686" s="575"/>
      <c r="P686" s="575"/>
      <c r="Q686" s="575"/>
      <c r="R686" s="575"/>
      <c r="S686" s="575"/>
      <c r="T686" s="575"/>
      <c r="U686" s="575"/>
      <c r="V686" s="575"/>
      <c r="W686" s="575"/>
      <c r="X686" s="575"/>
      <c r="Y686" s="575"/>
      <c r="Z686" s="575"/>
    </row>
    <row r="687">
      <c r="A687" s="582"/>
      <c r="B687" s="583"/>
      <c r="C687" s="584"/>
      <c r="D687" s="585"/>
      <c r="E687" s="575"/>
      <c r="F687" s="575"/>
      <c r="G687" s="575"/>
      <c r="H687" s="575"/>
      <c r="I687" s="575"/>
      <c r="J687" s="575"/>
      <c r="K687" s="575"/>
      <c r="L687" s="575"/>
      <c r="M687" s="575"/>
      <c r="N687" s="575"/>
      <c r="O687" s="575"/>
      <c r="P687" s="575"/>
      <c r="Q687" s="575"/>
      <c r="R687" s="575"/>
      <c r="S687" s="575"/>
      <c r="T687" s="575"/>
      <c r="U687" s="575"/>
      <c r="V687" s="575"/>
      <c r="W687" s="575"/>
      <c r="X687" s="575"/>
      <c r="Y687" s="575"/>
      <c r="Z687" s="575"/>
    </row>
    <row r="688">
      <c r="A688" s="582"/>
      <c r="B688" s="583"/>
      <c r="C688" s="584"/>
      <c r="D688" s="585"/>
      <c r="E688" s="575"/>
      <c r="F688" s="575"/>
      <c r="G688" s="575"/>
      <c r="H688" s="575"/>
      <c r="I688" s="575"/>
      <c r="J688" s="575"/>
      <c r="K688" s="575"/>
      <c r="L688" s="575"/>
      <c r="M688" s="575"/>
      <c r="N688" s="575"/>
      <c r="O688" s="575"/>
      <c r="P688" s="575"/>
      <c r="Q688" s="575"/>
      <c r="R688" s="575"/>
      <c r="S688" s="575"/>
      <c r="T688" s="575"/>
      <c r="U688" s="575"/>
      <c r="V688" s="575"/>
      <c r="W688" s="575"/>
      <c r="X688" s="575"/>
      <c r="Y688" s="575"/>
      <c r="Z688" s="575"/>
    </row>
    <row r="689">
      <c r="A689" s="582"/>
      <c r="B689" s="583"/>
      <c r="C689" s="584"/>
      <c r="D689" s="585"/>
      <c r="E689" s="575"/>
      <c r="F689" s="575"/>
      <c r="G689" s="575"/>
      <c r="H689" s="575"/>
      <c r="I689" s="575"/>
      <c r="J689" s="575"/>
      <c r="K689" s="575"/>
      <c r="L689" s="575"/>
      <c r="M689" s="575"/>
      <c r="N689" s="575"/>
      <c r="O689" s="575"/>
      <c r="P689" s="575"/>
      <c r="Q689" s="575"/>
      <c r="R689" s="575"/>
      <c r="S689" s="575"/>
      <c r="T689" s="575"/>
      <c r="U689" s="575"/>
      <c r="V689" s="575"/>
      <c r="W689" s="575"/>
      <c r="X689" s="575"/>
      <c r="Y689" s="575"/>
      <c r="Z689" s="575"/>
    </row>
    <row r="690">
      <c r="A690" s="582"/>
      <c r="B690" s="583"/>
      <c r="C690" s="584"/>
      <c r="D690" s="585"/>
      <c r="E690" s="575"/>
      <c r="F690" s="575"/>
      <c r="G690" s="575"/>
      <c r="H690" s="575"/>
      <c r="I690" s="575"/>
      <c r="J690" s="575"/>
      <c r="K690" s="575"/>
      <c r="L690" s="575"/>
      <c r="M690" s="575"/>
      <c r="N690" s="575"/>
      <c r="O690" s="575"/>
      <c r="P690" s="575"/>
      <c r="Q690" s="575"/>
      <c r="R690" s="575"/>
      <c r="S690" s="575"/>
      <c r="T690" s="575"/>
      <c r="U690" s="575"/>
      <c r="V690" s="575"/>
      <c r="W690" s="575"/>
      <c r="X690" s="575"/>
      <c r="Y690" s="575"/>
      <c r="Z690" s="575"/>
    </row>
    <row r="691">
      <c r="A691" s="582"/>
      <c r="B691" s="583"/>
      <c r="C691" s="584"/>
      <c r="D691" s="585"/>
      <c r="E691" s="575"/>
      <c r="F691" s="575"/>
      <c r="G691" s="575"/>
      <c r="H691" s="575"/>
      <c r="I691" s="575"/>
      <c r="J691" s="575"/>
      <c r="K691" s="575"/>
      <c r="L691" s="575"/>
      <c r="M691" s="575"/>
      <c r="N691" s="575"/>
      <c r="O691" s="575"/>
      <c r="P691" s="575"/>
      <c r="Q691" s="575"/>
      <c r="R691" s="575"/>
      <c r="S691" s="575"/>
      <c r="T691" s="575"/>
      <c r="U691" s="575"/>
      <c r="V691" s="575"/>
      <c r="W691" s="575"/>
      <c r="X691" s="575"/>
      <c r="Y691" s="575"/>
      <c r="Z691" s="575"/>
    </row>
    <row r="692">
      <c r="A692" s="582"/>
      <c r="B692" s="583"/>
      <c r="C692" s="584"/>
      <c r="D692" s="585"/>
      <c r="E692" s="575"/>
      <c r="F692" s="575"/>
      <c r="G692" s="575"/>
      <c r="H692" s="575"/>
      <c r="I692" s="575"/>
      <c r="J692" s="575"/>
      <c r="K692" s="575"/>
      <c r="L692" s="575"/>
      <c r="M692" s="575"/>
      <c r="N692" s="575"/>
      <c r="O692" s="575"/>
      <c r="P692" s="575"/>
      <c r="Q692" s="575"/>
      <c r="R692" s="575"/>
      <c r="S692" s="575"/>
      <c r="T692" s="575"/>
      <c r="U692" s="575"/>
      <c r="V692" s="575"/>
      <c r="W692" s="575"/>
      <c r="X692" s="575"/>
      <c r="Y692" s="575"/>
      <c r="Z692" s="575"/>
    </row>
    <row r="693">
      <c r="A693" s="582"/>
      <c r="B693" s="583"/>
      <c r="C693" s="584"/>
      <c r="D693" s="585"/>
      <c r="E693" s="575"/>
      <c r="F693" s="575"/>
      <c r="G693" s="575"/>
      <c r="H693" s="575"/>
      <c r="I693" s="575"/>
      <c r="J693" s="575"/>
      <c r="K693" s="575"/>
      <c r="L693" s="575"/>
      <c r="M693" s="575"/>
      <c r="N693" s="575"/>
      <c r="O693" s="575"/>
      <c r="P693" s="575"/>
      <c r="Q693" s="575"/>
      <c r="R693" s="575"/>
      <c r="S693" s="575"/>
      <c r="T693" s="575"/>
      <c r="U693" s="575"/>
      <c r="V693" s="575"/>
      <c r="W693" s="575"/>
      <c r="X693" s="575"/>
      <c r="Y693" s="575"/>
      <c r="Z693" s="575"/>
    </row>
    <row r="694">
      <c r="A694" s="582"/>
      <c r="B694" s="583"/>
      <c r="C694" s="584"/>
      <c r="D694" s="585"/>
      <c r="E694" s="575"/>
      <c r="F694" s="575"/>
      <c r="G694" s="575"/>
      <c r="H694" s="575"/>
      <c r="I694" s="575"/>
      <c r="J694" s="575"/>
      <c r="K694" s="575"/>
      <c r="L694" s="575"/>
      <c r="M694" s="575"/>
      <c r="N694" s="575"/>
      <c r="O694" s="575"/>
      <c r="P694" s="575"/>
      <c r="Q694" s="575"/>
      <c r="R694" s="575"/>
      <c r="S694" s="575"/>
      <c r="T694" s="575"/>
      <c r="U694" s="575"/>
      <c r="V694" s="575"/>
      <c r="W694" s="575"/>
      <c r="X694" s="575"/>
      <c r="Y694" s="575"/>
      <c r="Z694" s="575"/>
    </row>
    <row r="695">
      <c r="A695" s="582"/>
      <c r="B695" s="583"/>
      <c r="C695" s="584"/>
      <c r="D695" s="585"/>
      <c r="E695" s="575"/>
      <c r="F695" s="575"/>
      <c r="G695" s="575"/>
      <c r="H695" s="575"/>
      <c r="I695" s="575"/>
      <c r="J695" s="575"/>
      <c r="K695" s="575"/>
      <c r="L695" s="575"/>
      <c r="M695" s="575"/>
      <c r="N695" s="575"/>
      <c r="O695" s="575"/>
      <c r="P695" s="575"/>
      <c r="Q695" s="575"/>
      <c r="R695" s="575"/>
      <c r="S695" s="575"/>
      <c r="T695" s="575"/>
      <c r="U695" s="575"/>
      <c r="V695" s="575"/>
      <c r="W695" s="575"/>
      <c r="X695" s="575"/>
      <c r="Y695" s="575"/>
      <c r="Z695" s="575"/>
    </row>
    <row r="696">
      <c r="A696" s="582"/>
      <c r="B696" s="583"/>
      <c r="C696" s="584"/>
      <c r="D696" s="585"/>
      <c r="E696" s="575"/>
      <c r="F696" s="575"/>
      <c r="G696" s="575"/>
      <c r="H696" s="575"/>
      <c r="I696" s="575"/>
      <c r="J696" s="575"/>
      <c r="K696" s="575"/>
      <c r="L696" s="575"/>
      <c r="M696" s="575"/>
      <c r="N696" s="575"/>
      <c r="O696" s="575"/>
      <c r="P696" s="575"/>
      <c r="Q696" s="575"/>
      <c r="R696" s="575"/>
      <c r="S696" s="575"/>
      <c r="T696" s="575"/>
      <c r="U696" s="575"/>
      <c r="V696" s="575"/>
      <c r="W696" s="575"/>
      <c r="X696" s="575"/>
      <c r="Y696" s="575"/>
      <c r="Z696" s="575"/>
    </row>
    <row r="697">
      <c r="A697" s="582"/>
      <c r="B697" s="583"/>
      <c r="C697" s="584"/>
      <c r="D697" s="585"/>
      <c r="E697" s="575"/>
      <c r="F697" s="575"/>
      <c r="G697" s="575"/>
      <c r="H697" s="575"/>
      <c r="I697" s="575"/>
      <c r="J697" s="575"/>
      <c r="K697" s="575"/>
      <c r="L697" s="575"/>
      <c r="M697" s="575"/>
      <c r="N697" s="575"/>
      <c r="O697" s="575"/>
      <c r="P697" s="575"/>
      <c r="Q697" s="575"/>
      <c r="R697" s="575"/>
      <c r="S697" s="575"/>
      <c r="T697" s="575"/>
      <c r="U697" s="575"/>
      <c r="V697" s="575"/>
      <c r="W697" s="575"/>
      <c r="X697" s="575"/>
      <c r="Y697" s="575"/>
      <c r="Z697" s="575"/>
    </row>
    <row r="698">
      <c r="A698" s="582"/>
      <c r="B698" s="583"/>
      <c r="C698" s="584"/>
      <c r="D698" s="585"/>
      <c r="E698" s="575"/>
      <c r="F698" s="575"/>
      <c r="G698" s="575"/>
      <c r="H698" s="575"/>
      <c r="I698" s="575"/>
      <c r="J698" s="575"/>
      <c r="K698" s="575"/>
      <c r="L698" s="575"/>
      <c r="M698" s="575"/>
      <c r="N698" s="575"/>
      <c r="O698" s="575"/>
      <c r="P698" s="575"/>
      <c r="Q698" s="575"/>
      <c r="R698" s="575"/>
      <c r="S698" s="575"/>
      <c r="T698" s="575"/>
      <c r="U698" s="575"/>
      <c r="V698" s="575"/>
      <c r="W698" s="575"/>
      <c r="X698" s="575"/>
      <c r="Y698" s="575"/>
      <c r="Z698" s="575"/>
    </row>
    <row r="699">
      <c r="A699" s="582"/>
      <c r="B699" s="583"/>
      <c r="C699" s="584"/>
      <c r="D699" s="585"/>
      <c r="E699" s="575"/>
      <c r="F699" s="575"/>
      <c r="G699" s="575"/>
      <c r="H699" s="575"/>
      <c r="I699" s="575"/>
      <c r="J699" s="575"/>
      <c r="K699" s="575"/>
      <c r="L699" s="575"/>
      <c r="M699" s="575"/>
      <c r="N699" s="575"/>
      <c r="O699" s="575"/>
      <c r="P699" s="575"/>
      <c r="Q699" s="575"/>
      <c r="R699" s="575"/>
      <c r="S699" s="575"/>
      <c r="T699" s="575"/>
      <c r="U699" s="575"/>
      <c r="V699" s="575"/>
      <c r="W699" s="575"/>
      <c r="X699" s="575"/>
      <c r="Y699" s="575"/>
      <c r="Z699" s="575"/>
    </row>
    <row r="700">
      <c r="A700" s="582"/>
      <c r="B700" s="583"/>
      <c r="C700" s="584"/>
      <c r="D700" s="585"/>
      <c r="E700" s="575"/>
      <c r="F700" s="575"/>
      <c r="G700" s="575"/>
      <c r="H700" s="575"/>
      <c r="I700" s="575"/>
      <c r="J700" s="575"/>
      <c r="K700" s="575"/>
      <c r="L700" s="575"/>
      <c r="M700" s="575"/>
      <c r="N700" s="575"/>
      <c r="O700" s="575"/>
      <c r="P700" s="575"/>
      <c r="Q700" s="575"/>
      <c r="R700" s="575"/>
      <c r="S700" s="575"/>
      <c r="T700" s="575"/>
      <c r="U700" s="575"/>
      <c r="V700" s="575"/>
      <c r="W700" s="575"/>
      <c r="X700" s="575"/>
      <c r="Y700" s="575"/>
      <c r="Z700" s="575"/>
    </row>
    <row r="701">
      <c r="A701" s="582"/>
      <c r="B701" s="583"/>
      <c r="C701" s="584"/>
      <c r="D701" s="585"/>
      <c r="E701" s="575"/>
      <c r="F701" s="575"/>
      <c r="G701" s="575"/>
      <c r="H701" s="575"/>
      <c r="I701" s="575"/>
      <c r="J701" s="575"/>
      <c r="K701" s="575"/>
      <c r="L701" s="575"/>
      <c r="M701" s="575"/>
      <c r="N701" s="575"/>
      <c r="O701" s="575"/>
      <c r="P701" s="575"/>
      <c r="Q701" s="575"/>
      <c r="R701" s="575"/>
      <c r="S701" s="575"/>
      <c r="T701" s="575"/>
      <c r="U701" s="575"/>
      <c r="V701" s="575"/>
      <c r="W701" s="575"/>
      <c r="X701" s="575"/>
      <c r="Y701" s="575"/>
      <c r="Z701" s="575"/>
    </row>
    <row r="702">
      <c r="A702" s="582"/>
      <c r="B702" s="583"/>
      <c r="C702" s="584"/>
      <c r="D702" s="585"/>
      <c r="E702" s="575"/>
      <c r="F702" s="575"/>
      <c r="G702" s="575"/>
      <c r="H702" s="575"/>
      <c r="I702" s="575"/>
      <c r="J702" s="575"/>
      <c r="K702" s="575"/>
      <c r="L702" s="575"/>
      <c r="M702" s="575"/>
      <c r="N702" s="575"/>
      <c r="O702" s="575"/>
      <c r="P702" s="575"/>
      <c r="Q702" s="575"/>
      <c r="R702" s="575"/>
      <c r="S702" s="575"/>
      <c r="T702" s="575"/>
      <c r="U702" s="575"/>
      <c r="V702" s="575"/>
      <c r="W702" s="575"/>
      <c r="X702" s="575"/>
      <c r="Y702" s="575"/>
      <c r="Z702" s="575"/>
    </row>
    <row r="703">
      <c r="A703" s="582"/>
      <c r="B703" s="583"/>
      <c r="C703" s="584"/>
      <c r="D703" s="585"/>
      <c r="E703" s="575"/>
      <c r="F703" s="575"/>
      <c r="G703" s="575"/>
      <c r="H703" s="575"/>
      <c r="I703" s="575"/>
      <c r="J703" s="575"/>
      <c r="K703" s="575"/>
      <c r="L703" s="575"/>
      <c r="M703" s="575"/>
      <c r="N703" s="575"/>
      <c r="O703" s="575"/>
      <c r="P703" s="575"/>
      <c r="Q703" s="575"/>
      <c r="R703" s="575"/>
      <c r="S703" s="575"/>
      <c r="T703" s="575"/>
      <c r="U703" s="575"/>
      <c r="V703" s="575"/>
      <c r="W703" s="575"/>
      <c r="X703" s="575"/>
      <c r="Y703" s="575"/>
      <c r="Z703" s="575"/>
    </row>
    <row r="704">
      <c r="A704" s="582"/>
      <c r="B704" s="583"/>
      <c r="C704" s="584"/>
      <c r="D704" s="585"/>
      <c r="E704" s="575"/>
      <c r="F704" s="575"/>
      <c r="G704" s="575"/>
      <c r="H704" s="575"/>
      <c r="I704" s="575"/>
      <c r="J704" s="575"/>
      <c r="K704" s="575"/>
      <c r="L704" s="575"/>
      <c r="M704" s="575"/>
      <c r="N704" s="575"/>
      <c r="O704" s="575"/>
      <c r="P704" s="575"/>
      <c r="Q704" s="575"/>
      <c r="R704" s="575"/>
      <c r="S704" s="575"/>
      <c r="T704" s="575"/>
      <c r="U704" s="575"/>
      <c r="V704" s="575"/>
      <c r="W704" s="575"/>
      <c r="X704" s="575"/>
      <c r="Y704" s="575"/>
      <c r="Z704" s="575"/>
    </row>
    <row r="705">
      <c r="A705" s="582"/>
      <c r="B705" s="583"/>
      <c r="C705" s="584"/>
      <c r="D705" s="585"/>
      <c r="E705" s="575"/>
      <c r="F705" s="575"/>
      <c r="G705" s="575"/>
      <c r="H705" s="575"/>
      <c r="I705" s="575"/>
      <c r="J705" s="575"/>
      <c r="K705" s="575"/>
      <c r="L705" s="575"/>
      <c r="M705" s="575"/>
      <c r="N705" s="575"/>
      <c r="O705" s="575"/>
      <c r="P705" s="575"/>
      <c r="Q705" s="575"/>
      <c r="R705" s="575"/>
      <c r="S705" s="575"/>
      <c r="T705" s="575"/>
      <c r="U705" s="575"/>
      <c r="V705" s="575"/>
      <c r="W705" s="575"/>
      <c r="X705" s="575"/>
      <c r="Y705" s="575"/>
      <c r="Z705" s="575"/>
    </row>
    <row r="706">
      <c r="A706" s="582"/>
      <c r="B706" s="583"/>
      <c r="C706" s="584"/>
      <c r="D706" s="585"/>
      <c r="E706" s="575"/>
      <c r="F706" s="575"/>
      <c r="G706" s="575"/>
      <c r="H706" s="575"/>
      <c r="I706" s="575"/>
      <c r="J706" s="575"/>
      <c r="K706" s="575"/>
      <c r="L706" s="575"/>
      <c r="M706" s="575"/>
      <c r="N706" s="575"/>
      <c r="O706" s="575"/>
      <c r="P706" s="575"/>
      <c r="Q706" s="575"/>
      <c r="R706" s="575"/>
      <c r="S706" s="575"/>
      <c r="T706" s="575"/>
      <c r="U706" s="575"/>
      <c r="V706" s="575"/>
      <c r="W706" s="575"/>
      <c r="X706" s="575"/>
      <c r="Y706" s="575"/>
      <c r="Z706" s="575"/>
    </row>
    <row r="707">
      <c r="A707" s="582"/>
      <c r="B707" s="583"/>
      <c r="C707" s="584"/>
      <c r="D707" s="585"/>
      <c r="E707" s="575"/>
      <c r="F707" s="575"/>
      <c r="G707" s="575"/>
      <c r="H707" s="575"/>
      <c r="I707" s="575"/>
      <c r="J707" s="575"/>
      <c r="K707" s="575"/>
      <c r="L707" s="575"/>
      <c r="M707" s="575"/>
      <c r="N707" s="575"/>
      <c r="O707" s="575"/>
      <c r="P707" s="575"/>
      <c r="Q707" s="575"/>
      <c r="R707" s="575"/>
      <c r="S707" s="575"/>
      <c r="T707" s="575"/>
      <c r="U707" s="575"/>
      <c r="V707" s="575"/>
      <c r="W707" s="575"/>
      <c r="X707" s="575"/>
      <c r="Y707" s="575"/>
      <c r="Z707" s="575"/>
    </row>
    <row r="708">
      <c r="A708" s="582"/>
      <c r="B708" s="583"/>
      <c r="C708" s="584"/>
      <c r="D708" s="585"/>
      <c r="E708" s="575"/>
      <c r="F708" s="575"/>
      <c r="G708" s="575"/>
      <c r="H708" s="575"/>
      <c r="I708" s="575"/>
      <c r="J708" s="575"/>
      <c r="K708" s="575"/>
      <c r="L708" s="575"/>
      <c r="M708" s="575"/>
      <c r="N708" s="575"/>
      <c r="O708" s="575"/>
      <c r="P708" s="575"/>
      <c r="Q708" s="575"/>
      <c r="R708" s="575"/>
      <c r="S708" s="575"/>
      <c r="T708" s="575"/>
      <c r="U708" s="575"/>
      <c r="V708" s="575"/>
      <c r="W708" s="575"/>
      <c r="X708" s="575"/>
      <c r="Y708" s="575"/>
      <c r="Z708" s="575"/>
    </row>
    <row r="709">
      <c r="A709" s="582"/>
      <c r="B709" s="583"/>
      <c r="C709" s="584"/>
      <c r="D709" s="585"/>
      <c r="E709" s="575"/>
      <c r="F709" s="575"/>
      <c r="G709" s="575"/>
      <c r="H709" s="575"/>
      <c r="I709" s="575"/>
      <c r="J709" s="575"/>
      <c r="K709" s="575"/>
      <c r="L709" s="575"/>
      <c r="M709" s="575"/>
      <c r="N709" s="575"/>
      <c r="O709" s="575"/>
      <c r="P709" s="575"/>
      <c r="Q709" s="575"/>
      <c r="R709" s="575"/>
      <c r="S709" s="575"/>
      <c r="T709" s="575"/>
      <c r="U709" s="575"/>
      <c r="V709" s="575"/>
      <c r="W709" s="575"/>
      <c r="X709" s="575"/>
      <c r="Y709" s="575"/>
      <c r="Z709" s="575"/>
    </row>
    <row r="710">
      <c r="A710" s="582"/>
      <c r="B710" s="583"/>
      <c r="C710" s="584"/>
      <c r="D710" s="585"/>
      <c r="E710" s="575"/>
      <c r="F710" s="575"/>
      <c r="G710" s="575"/>
      <c r="H710" s="575"/>
      <c r="I710" s="575"/>
      <c r="J710" s="575"/>
      <c r="K710" s="575"/>
      <c r="L710" s="575"/>
      <c r="M710" s="575"/>
      <c r="N710" s="575"/>
      <c r="O710" s="575"/>
      <c r="P710" s="575"/>
      <c r="Q710" s="575"/>
      <c r="R710" s="575"/>
      <c r="S710" s="575"/>
      <c r="T710" s="575"/>
      <c r="U710" s="575"/>
      <c r="V710" s="575"/>
      <c r="W710" s="575"/>
      <c r="X710" s="575"/>
      <c r="Y710" s="575"/>
      <c r="Z710" s="575"/>
    </row>
    <row r="711">
      <c r="A711" s="582"/>
      <c r="B711" s="583"/>
      <c r="C711" s="584"/>
      <c r="D711" s="585"/>
      <c r="E711" s="575"/>
      <c r="F711" s="575"/>
      <c r="G711" s="575"/>
      <c r="H711" s="575"/>
      <c r="I711" s="575"/>
      <c r="J711" s="575"/>
      <c r="K711" s="575"/>
      <c r="L711" s="575"/>
      <c r="M711" s="575"/>
      <c r="N711" s="575"/>
      <c r="O711" s="575"/>
      <c r="P711" s="575"/>
      <c r="Q711" s="575"/>
      <c r="R711" s="575"/>
      <c r="S711" s="575"/>
      <c r="T711" s="575"/>
      <c r="U711" s="575"/>
      <c r="V711" s="575"/>
      <c r="W711" s="575"/>
      <c r="X711" s="575"/>
      <c r="Y711" s="575"/>
      <c r="Z711" s="575"/>
    </row>
    <row r="712">
      <c r="A712" s="582"/>
      <c r="B712" s="583"/>
      <c r="C712" s="584"/>
      <c r="D712" s="585"/>
      <c r="E712" s="575"/>
      <c r="F712" s="575"/>
      <c r="G712" s="575"/>
      <c r="H712" s="575"/>
      <c r="I712" s="575"/>
      <c r="J712" s="575"/>
      <c r="K712" s="575"/>
      <c r="L712" s="575"/>
      <c r="M712" s="575"/>
      <c r="N712" s="575"/>
      <c r="O712" s="575"/>
      <c r="P712" s="575"/>
      <c r="Q712" s="575"/>
      <c r="R712" s="575"/>
      <c r="S712" s="575"/>
      <c r="T712" s="575"/>
      <c r="U712" s="575"/>
      <c r="V712" s="575"/>
      <c r="W712" s="575"/>
      <c r="X712" s="575"/>
      <c r="Y712" s="575"/>
      <c r="Z712" s="575"/>
    </row>
    <row r="713">
      <c r="A713" s="582"/>
      <c r="B713" s="583"/>
      <c r="C713" s="584"/>
      <c r="D713" s="585"/>
      <c r="E713" s="575"/>
      <c r="F713" s="575"/>
      <c r="G713" s="575"/>
      <c r="H713" s="575"/>
      <c r="I713" s="575"/>
      <c r="J713" s="575"/>
      <c r="K713" s="575"/>
      <c r="L713" s="575"/>
      <c r="M713" s="575"/>
      <c r="N713" s="575"/>
      <c r="O713" s="575"/>
      <c r="P713" s="575"/>
      <c r="Q713" s="575"/>
      <c r="R713" s="575"/>
      <c r="S713" s="575"/>
      <c r="T713" s="575"/>
      <c r="U713" s="575"/>
      <c r="V713" s="575"/>
      <c r="W713" s="575"/>
      <c r="X713" s="575"/>
      <c r="Y713" s="575"/>
      <c r="Z713" s="575"/>
    </row>
    <row r="714">
      <c r="A714" s="582"/>
      <c r="B714" s="583"/>
      <c r="C714" s="584"/>
      <c r="D714" s="585"/>
      <c r="E714" s="575"/>
      <c r="F714" s="575"/>
      <c r="G714" s="575"/>
      <c r="H714" s="575"/>
      <c r="I714" s="575"/>
      <c r="J714" s="575"/>
      <c r="K714" s="575"/>
      <c r="L714" s="575"/>
      <c r="M714" s="575"/>
      <c r="N714" s="575"/>
      <c r="O714" s="575"/>
      <c r="P714" s="575"/>
      <c r="Q714" s="575"/>
      <c r="R714" s="575"/>
      <c r="S714" s="575"/>
      <c r="T714" s="575"/>
      <c r="U714" s="575"/>
      <c r="V714" s="575"/>
      <c r="W714" s="575"/>
      <c r="X714" s="575"/>
      <c r="Y714" s="575"/>
      <c r="Z714" s="575"/>
    </row>
    <row r="715">
      <c r="A715" s="582"/>
      <c r="B715" s="583"/>
      <c r="C715" s="584"/>
      <c r="D715" s="585"/>
      <c r="E715" s="575"/>
      <c r="F715" s="575"/>
      <c r="G715" s="575"/>
      <c r="H715" s="575"/>
      <c r="I715" s="575"/>
      <c r="J715" s="575"/>
      <c r="K715" s="575"/>
      <c r="L715" s="575"/>
      <c r="M715" s="575"/>
      <c r="N715" s="575"/>
      <c r="O715" s="575"/>
      <c r="P715" s="575"/>
      <c r="Q715" s="575"/>
      <c r="R715" s="575"/>
      <c r="S715" s="575"/>
      <c r="T715" s="575"/>
      <c r="U715" s="575"/>
      <c r="V715" s="575"/>
      <c r="W715" s="575"/>
      <c r="X715" s="575"/>
      <c r="Y715" s="575"/>
      <c r="Z715" s="575"/>
    </row>
    <row r="716">
      <c r="A716" s="582"/>
      <c r="B716" s="583"/>
      <c r="C716" s="584"/>
      <c r="D716" s="585"/>
      <c r="E716" s="575"/>
      <c r="F716" s="575"/>
      <c r="G716" s="575"/>
      <c r="H716" s="575"/>
      <c r="I716" s="575"/>
      <c r="J716" s="575"/>
      <c r="K716" s="575"/>
      <c r="L716" s="575"/>
      <c r="M716" s="575"/>
      <c r="N716" s="575"/>
      <c r="O716" s="575"/>
      <c r="P716" s="575"/>
      <c r="Q716" s="575"/>
      <c r="R716" s="575"/>
      <c r="S716" s="575"/>
      <c r="T716" s="575"/>
      <c r="U716" s="575"/>
      <c r="V716" s="575"/>
      <c r="W716" s="575"/>
      <c r="X716" s="575"/>
      <c r="Y716" s="575"/>
      <c r="Z716" s="575"/>
    </row>
    <row r="717">
      <c r="A717" s="582"/>
      <c r="B717" s="583"/>
      <c r="C717" s="584"/>
      <c r="D717" s="585"/>
      <c r="E717" s="575"/>
      <c r="F717" s="575"/>
      <c r="G717" s="575"/>
      <c r="H717" s="575"/>
      <c r="I717" s="575"/>
      <c r="J717" s="575"/>
      <c r="K717" s="575"/>
      <c r="L717" s="575"/>
      <c r="M717" s="575"/>
      <c r="N717" s="575"/>
      <c r="O717" s="575"/>
      <c r="P717" s="575"/>
      <c r="Q717" s="575"/>
      <c r="R717" s="575"/>
      <c r="S717" s="575"/>
      <c r="T717" s="575"/>
      <c r="U717" s="575"/>
      <c r="V717" s="575"/>
      <c r="W717" s="575"/>
      <c r="X717" s="575"/>
      <c r="Y717" s="575"/>
      <c r="Z717" s="575"/>
    </row>
    <row r="718">
      <c r="A718" s="582"/>
      <c r="B718" s="583"/>
      <c r="C718" s="584"/>
      <c r="D718" s="585"/>
      <c r="E718" s="575"/>
      <c r="F718" s="575"/>
      <c r="G718" s="575"/>
      <c r="H718" s="575"/>
      <c r="I718" s="575"/>
      <c r="J718" s="575"/>
      <c r="K718" s="575"/>
      <c r="L718" s="575"/>
      <c r="M718" s="575"/>
      <c r="N718" s="575"/>
      <c r="O718" s="575"/>
      <c r="P718" s="575"/>
      <c r="Q718" s="575"/>
      <c r="R718" s="575"/>
      <c r="S718" s="575"/>
      <c r="T718" s="575"/>
      <c r="U718" s="575"/>
      <c r="V718" s="575"/>
      <c r="W718" s="575"/>
      <c r="X718" s="575"/>
      <c r="Y718" s="575"/>
      <c r="Z718" s="575"/>
    </row>
    <row r="719">
      <c r="A719" s="582"/>
      <c r="B719" s="583"/>
      <c r="C719" s="584"/>
      <c r="D719" s="585"/>
      <c r="E719" s="575"/>
      <c r="F719" s="575"/>
      <c r="G719" s="575"/>
      <c r="H719" s="575"/>
      <c r="I719" s="575"/>
      <c r="J719" s="575"/>
      <c r="K719" s="575"/>
      <c r="L719" s="575"/>
      <c r="M719" s="575"/>
      <c r="N719" s="575"/>
      <c r="O719" s="575"/>
      <c r="P719" s="575"/>
      <c r="Q719" s="575"/>
      <c r="R719" s="575"/>
      <c r="S719" s="575"/>
      <c r="T719" s="575"/>
      <c r="U719" s="575"/>
      <c r="V719" s="575"/>
      <c r="W719" s="575"/>
      <c r="X719" s="575"/>
      <c r="Y719" s="575"/>
      <c r="Z719" s="575"/>
    </row>
    <row r="720">
      <c r="A720" s="582"/>
      <c r="B720" s="583"/>
      <c r="C720" s="584"/>
      <c r="D720" s="585"/>
      <c r="E720" s="575"/>
      <c r="F720" s="575"/>
      <c r="G720" s="575"/>
      <c r="H720" s="575"/>
      <c r="I720" s="575"/>
      <c r="J720" s="575"/>
      <c r="K720" s="575"/>
      <c r="L720" s="575"/>
      <c r="M720" s="575"/>
      <c r="N720" s="575"/>
      <c r="O720" s="575"/>
      <c r="P720" s="575"/>
      <c r="Q720" s="575"/>
      <c r="R720" s="575"/>
      <c r="S720" s="575"/>
      <c r="T720" s="575"/>
      <c r="U720" s="575"/>
      <c r="V720" s="575"/>
      <c r="W720" s="575"/>
      <c r="X720" s="575"/>
      <c r="Y720" s="575"/>
      <c r="Z720" s="575"/>
    </row>
    <row r="721">
      <c r="A721" s="582"/>
      <c r="B721" s="583"/>
      <c r="C721" s="584"/>
      <c r="D721" s="585"/>
      <c r="E721" s="575"/>
      <c r="F721" s="575"/>
      <c r="G721" s="575"/>
      <c r="H721" s="575"/>
      <c r="I721" s="575"/>
      <c r="J721" s="575"/>
      <c r="K721" s="575"/>
      <c r="L721" s="575"/>
      <c r="M721" s="575"/>
      <c r="N721" s="575"/>
      <c r="O721" s="575"/>
      <c r="P721" s="575"/>
      <c r="Q721" s="575"/>
      <c r="R721" s="575"/>
      <c r="S721" s="575"/>
      <c r="T721" s="575"/>
      <c r="U721" s="575"/>
      <c r="V721" s="575"/>
      <c r="W721" s="575"/>
      <c r="X721" s="575"/>
      <c r="Y721" s="575"/>
      <c r="Z721" s="575"/>
    </row>
    <row r="722">
      <c r="A722" s="582"/>
      <c r="B722" s="583"/>
      <c r="C722" s="584"/>
      <c r="D722" s="585"/>
      <c r="E722" s="575"/>
      <c r="F722" s="575"/>
      <c r="G722" s="575"/>
      <c r="H722" s="575"/>
      <c r="I722" s="575"/>
      <c r="J722" s="575"/>
      <c r="K722" s="575"/>
      <c r="L722" s="575"/>
      <c r="M722" s="575"/>
      <c r="N722" s="575"/>
      <c r="O722" s="575"/>
      <c r="P722" s="575"/>
      <c r="Q722" s="575"/>
      <c r="R722" s="575"/>
      <c r="S722" s="575"/>
      <c r="T722" s="575"/>
      <c r="U722" s="575"/>
      <c r="V722" s="575"/>
      <c r="W722" s="575"/>
      <c r="X722" s="575"/>
      <c r="Y722" s="575"/>
      <c r="Z722" s="575"/>
    </row>
    <row r="723">
      <c r="A723" s="582"/>
      <c r="B723" s="583"/>
      <c r="C723" s="584"/>
      <c r="D723" s="585"/>
      <c r="E723" s="575"/>
      <c r="F723" s="575"/>
      <c r="G723" s="575"/>
      <c r="H723" s="575"/>
      <c r="I723" s="575"/>
      <c r="J723" s="575"/>
      <c r="K723" s="575"/>
      <c r="L723" s="575"/>
      <c r="M723" s="575"/>
      <c r="N723" s="575"/>
      <c r="O723" s="575"/>
      <c r="P723" s="575"/>
      <c r="Q723" s="575"/>
      <c r="R723" s="575"/>
      <c r="S723" s="575"/>
      <c r="T723" s="575"/>
      <c r="U723" s="575"/>
      <c r="V723" s="575"/>
      <c r="W723" s="575"/>
      <c r="X723" s="575"/>
      <c r="Y723" s="575"/>
      <c r="Z723" s="575"/>
    </row>
    <row r="724">
      <c r="A724" s="582"/>
      <c r="B724" s="583"/>
      <c r="C724" s="584"/>
      <c r="D724" s="585"/>
      <c r="E724" s="575"/>
      <c r="F724" s="575"/>
      <c r="G724" s="575"/>
      <c r="H724" s="575"/>
      <c r="I724" s="575"/>
      <c r="J724" s="575"/>
      <c r="K724" s="575"/>
      <c r="L724" s="575"/>
      <c r="M724" s="575"/>
      <c r="N724" s="575"/>
      <c r="O724" s="575"/>
      <c r="P724" s="575"/>
      <c r="Q724" s="575"/>
      <c r="R724" s="575"/>
      <c r="S724" s="575"/>
      <c r="T724" s="575"/>
      <c r="U724" s="575"/>
      <c r="V724" s="575"/>
      <c r="W724" s="575"/>
      <c r="X724" s="575"/>
      <c r="Y724" s="575"/>
      <c r="Z724" s="575"/>
    </row>
    <row r="725">
      <c r="A725" s="582"/>
      <c r="B725" s="583"/>
      <c r="C725" s="584"/>
      <c r="D725" s="585"/>
      <c r="E725" s="575"/>
      <c r="F725" s="575"/>
      <c r="G725" s="575"/>
      <c r="H725" s="575"/>
      <c r="I725" s="575"/>
      <c r="J725" s="575"/>
      <c r="K725" s="575"/>
      <c r="L725" s="575"/>
      <c r="M725" s="575"/>
      <c r="N725" s="575"/>
      <c r="O725" s="575"/>
      <c r="P725" s="575"/>
      <c r="Q725" s="575"/>
      <c r="R725" s="575"/>
      <c r="S725" s="575"/>
      <c r="T725" s="575"/>
      <c r="U725" s="575"/>
      <c r="V725" s="575"/>
      <c r="W725" s="575"/>
      <c r="X725" s="575"/>
      <c r="Y725" s="575"/>
      <c r="Z725" s="575"/>
    </row>
    <row r="726">
      <c r="A726" s="582"/>
      <c r="B726" s="583"/>
      <c r="C726" s="584"/>
      <c r="D726" s="585"/>
      <c r="E726" s="575"/>
      <c r="F726" s="575"/>
      <c r="G726" s="575"/>
      <c r="H726" s="575"/>
      <c r="I726" s="575"/>
      <c r="J726" s="575"/>
      <c r="K726" s="575"/>
      <c r="L726" s="575"/>
      <c r="M726" s="575"/>
      <c r="N726" s="575"/>
      <c r="O726" s="575"/>
      <c r="P726" s="575"/>
      <c r="Q726" s="575"/>
      <c r="R726" s="575"/>
      <c r="S726" s="575"/>
      <c r="T726" s="575"/>
      <c r="U726" s="575"/>
      <c r="V726" s="575"/>
      <c r="W726" s="575"/>
      <c r="X726" s="575"/>
      <c r="Y726" s="575"/>
      <c r="Z726" s="575"/>
    </row>
    <row r="727">
      <c r="A727" s="582"/>
      <c r="B727" s="583"/>
      <c r="C727" s="584"/>
      <c r="D727" s="585"/>
      <c r="E727" s="575"/>
      <c r="F727" s="575"/>
      <c r="G727" s="575"/>
      <c r="H727" s="575"/>
      <c r="I727" s="575"/>
      <c r="J727" s="575"/>
      <c r="K727" s="575"/>
      <c r="L727" s="575"/>
      <c r="M727" s="575"/>
      <c r="N727" s="575"/>
      <c r="O727" s="575"/>
      <c r="P727" s="575"/>
      <c r="Q727" s="575"/>
      <c r="R727" s="575"/>
      <c r="S727" s="575"/>
      <c r="T727" s="575"/>
      <c r="U727" s="575"/>
      <c r="V727" s="575"/>
      <c r="W727" s="575"/>
      <c r="X727" s="575"/>
      <c r="Y727" s="575"/>
      <c r="Z727" s="575"/>
    </row>
    <row r="728">
      <c r="A728" s="582"/>
      <c r="B728" s="583"/>
      <c r="C728" s="584"/>
      <c r="D728" s="585"/>
      <c r="E728" s="575"/>
      <c r="F728" s="575"/>
      <c r="G728" s="575"/>
      <c r="H728" s="575"/>
      <c r="I728" s="575"/>
      <c r="J728" s="575"/>
      <c r="K728" s="575"/>
      <c r="L728" s="575"/>
      <c r="M728" s="575"/>
      <c r="N728" s="575"/>
      <c r="O728" s="575"/>
      <c r="P728" s="575"/>
      <c r="Q728" s="575"/>
      <c r="R728" s="575"/>
      <c r="S728" s="575"/>
      <c r="T728" s="575"/>
      <c r="U728" s="575"/>
      <c r="V728" s="575"/>
      <c r="W728" s="575"/>
      <c r="X728" s="575"/>
      <c r="Y728" s="575"/>
      <c r="Z728" s="575"/>
    </row>
    <row r="729">
      <c r="A729" s="582"/>
      <c r="B729" s="583"/>
      <c r="C729" s="584"/>
      <c r="D729" s="585"/>
      <c r="E729" s="575"/>
      <c r="F729" s="575"/>
      <c r="G729" s="575"/>
      <c r="H729" s="575"/>
      <c r="I729" s="575"/>
      <c r="J729" s="575"/>
      <c r="K729" s="575"/>
      <c r="L729" s="575"/>
      <c r="M729" s="575"/>
      <c r="N729" s="575"/>
      <c r="O729" s="575"/>
      <c r="P729" s="575"/>
      <c r="Q729" s="575"/>
      <c r="R729" s="575"/>
      <c r="S729" s="575"/>
      <c r="T729" s="575"/>
      <c r="U729" s="575"/>
      <c r="V729" s="575"/>
      <c r="W729" s="575"/>
      <c r="X729" s="575"/>
      <c r="Y729" s="575"/>
      <c r="Z729" s="575"/>
    </row>
    <row r="730">
      <c r="A730" s="582"/>
      <c r="B730" s="583"/>
      <c r="C730" s="584"/>
      <c r="D730" s="585"/>
      <c r="E730" s="575"/>
      <c r="F730" s="575"/>
      <c r="G730" s="575"/>
      <c r="H730" s="575"/>
      <c r="I730" s="575"/>
      <c r="J730" s="575"/>
      <c r="K730" s="575"/>
      <c r="L730" s="575"/>
      <c r="M730" s="575"/>
      <c r="N730" s="575"/>
      <c r="O730" s="575"/>
      <c r="P730" s="575"/>
      <c r="Q730" s="575"/>
      <c r="R730" s="575"/>
      <c r="S730" s="575"/>
      <c r="T730" s="575"/>
      <c r="U730" s="575"/>
      <c r="V730" s="575"/>
      <c r="W730" s="575"/>
      <c r="X730" s="575"/>
      <c r="Y730" s="575"/>
      <c r="Z730" s="575"/>
    </row>
    <row r="731">
      <c r="A731" s="582"/>
      <c r="B731" s="583"/>
      <c r="C731" s="584"/>
      <c r="D731" s="585"/>
      <c r="E731" s="575"/>
      <c r="F731" s="575"/>
      <c r="G731" s="575"/>
      <c r="H731" s="575"/>
      <c r="I731" s="575"/>
      <c r="J731" s="575"/>
      <c r="K731" s="575"/>
      <c r="L731" s="575"/>
      <c r="M731" s="575"/>
      <c r="N731" s="575"/>
      <c r="O731" s="575"/>
      <c r="P731" s="575"/>
      <c r="Q731" s="575"/>
      <c r="R731" s="575"/>
      <c r="S731" s="575"/>
      <c r="T731" s="575"/>
      <c r="U731" s="575"/>
      <c r="V731" s="575"/>
      <c r="W731" s="575"/>
      <c r="X731" s="575"/>
      <c r="Y731" s="575"/>
      <c r="Z731" s="575"/>
    </row>
    <row r="732">
      <c r="A732" s="582"/>
      <c r="B732" s="583"/>
      <c r="C732" s="584"/>
      <c r="D732" s="585"/>
      <c r="E732" s="575"/>
      <c r="F732" s="575"/>
      <c r="G732" s="575"/>
      <c r="H732" s="575"/>
      <c r="I732" s="575"/>
      <c r="J732" s="575"/>
      <c r="K732" s="575"/>
      <c r="L732" s="575"/>
      <c r="M732" s="575"/>
      <c r="N732" s="575"/>
      <c r="O732" s="575"/>
      <c r="P732" s="575"/>
      <c r="Q732" s="575"/>
      <c r="R732" s="575"/>
      <c r="S732" s="575"/>
      <c r="T732" s="575"/>
      <c r="U732" s="575"/>
      <c r="V732" s="575"/>
      <c r="W732" s="575"/>
      <c r="X732" s="575"/>
      <c r="Y732" s="575"/>
      <c r="Z732" s="575"/>
    </row>
    <row r="733">
      <c r="A733" s="582"/>
      <c r="B733" s="583"/>
      <c r="C733" s="584"/>
      <c r="D733" s="585"/>
      <c r="E733" s="575"/>
      <c r="F733" s="575"/>
      <c r="G733" s="575"/>
      <c r="H733" s="575"/>
      <c r="I733" s="575"/>
      <c r="J733" s="575"/>
      <c r="K733" s="575"/>
      <c r="L733" s="575"/>
      <c r="M733" s="575"/>
      <c r="N733" s="575"/>
      <c r="O733" s="575"/>
      <c r="P733" s="575"/>
      <c r="Q733" s="575"/>
      <c r="R733" s="575"/>
      <c r="S733" s="575"/>
      <c r="T733" s="575"/>
      <c r="U733" s="575"/>
      <c r="V733" s="575"/>
      <c r="W733" s="575"/>
      <c r="X733" s="575"/>
      <c r="Y733" s="575"/>
      <c r="Z733" s="575"/>
    </row>
    <row r="734">
      <c r="A734" s="582"/>
      <c r="B734" s="583"/>
      <c r="C734" s="584"/>
      <c r="D734" s="585"/>
      <c r="E734" s="575"/>
      <c r="F734" s="575"/>
      <c r="G734" s="575"/>
      <c r="H734" s="575"/>
      <c r="I734" s="575"/>
      <c r="J734" s="575"/>
      <c r="K734" s="575"/>
      <c r="L734" s="575"/>
      <c r="M734" s="575"/>
      <c r="N734" s="575"/>
      <c r="O734" s="575"/>
      <c r="P734" s="575"/>
      <c r="Q734" s="575"/>
      <c r="R734" s="575"/>
      <c r="S734" s="575"/>
      <c r="T734" s="575"/>
      <c r="U734" s="575"/>
      <c r="V734" s="575"/>
      <c r="W734" s="575"/>
      <c r="X734" s="575"/>
      <c r="Y734" s="575"/>
      <c r="Z734" s="575"/>
    </row>
    <row r="735">
      <c r="A735" s="582"/>
      <c r="B735" s="583"/>
      <c r="C735" s="584"/>
      <c r="D735" s="585"/>
      <c r="E735" s="575"/>
      <c r="F735" s="575"/>
      <c r="G735" s="575"/>
      <c r="H735" s="575"/>
      <c r="I735" s="575"/>
      <c r="J735" s="575"/>
      <c r="K735" s="575"/>
      <c r="L735" s="575"/>
      <c r="M735" s="575"/>
      <c r="N735" s="575"/>
      <c r="O735" s="575"/>
      <c r="P735" s="575"/>
      <c r="Q735" s="575"/>
      <c r="R735" s="575"/>
      <c r="S735" s="575"/>
      <c r="T735" s="575"/>
      <c r="U735" s="575"/>
      <c r="V735" s="575"/>
      <c r="W735" s="575"/>
      <c r="X735" s="575"/>
      <c r="Y735" s="575"/>
      <c r="Z735" s="575"/>
    </row>
    <row r="736">
      <c r="A736" s="582"/>
      <c r="B736" s="583"/>
      <c r="C736" s="584"/>
      <c r="D736" s="585"/>
      <c r="E736" s="575"/>
      <c r="F736" s="575"/>
      <c r="G736" s="575"/>
      <c r="H736" s="575"/>
      <c r="I736" s="575"/>
      <c r="J736" s="575"/>
      <c r="K736" s="575"/>
      <c r="L736" s="575"/>
      <c r="M736" s="575"/>
      <c r="N736" s="575"/>
      <c r="O736" s="575"/>
      <c r="P736" s="575"/>
      <c r="Q736" s="575"/>
      <c r="R736" s="575"/>
      <c r="S736" s="575"/>
      <c r="T736" s="575"/>
      <c r="U736" s="575"/>
      <c r="V736" s="575"/>
      <c r="W736" s="575"/>
      <c r="X736" s="575"/>
      <c r="Y736" s="575"/>
      <c r="Z736" s="575"/>
    </row>
    <row r="737">
      <c r="A737" s="582"/>
      <c r="B737" s="583"/>
      <c r="C737" s="584"/>
      <c r="D737" s="585"/>
      <c r="E737" s="575"/>
      <c r="F737" s="575"/>
      <c r="G737" s="575"/>
      <c r="H737" s="575"/>
      <c r="I737" s="575"/>
      <c r="J737" s="575"/>
      <c r="K737" s="575"/>
      <c r="L737" s="575"/>
      <c r="M737" s="575"/>
      <c r="N737" s="575"/>
      <c r="O737" s="575"/>
      <c r="P737" s="575"/>
      <c r="Q737" s="575"/>
      <c r="R737" s="575"/>
      <c r="S737" s="575"/>
      <c r="T737" s="575"/>
      <c r="U737" s="575"/>
      <c r="V737" s="575"/>
      <c r="W737" s="575"/>
      <c r="X737" s="575"/>
      <c r="Y737" s="575"/>
      <c r="Z737" s="575"/>
    </row>
    <row r="738">
      <c r="A738" s="582"/>
      <c r="B738" s="583"/>
      <c r="C738" s="584"/>
      <c r="D738" s="585"/>
      <c r="E738" s="575"/>
      <c r="F738" s="575"/>
      <c r="G738" s="575"/>
      <c r="H738" s="575"/>
      <c r="I738" s="575"/>
      <c r="J738" s="575"/>
      <c r="K738" s="575"/>
      <c r="L738" s="575"/>
      <c r="M738" s="575"/>
      <c r="N738" s="575"/>
      <c r="O738" s="575"/>
      <c r="P738" s="575"/>
      <c r="Q738" s="575"/>
      <c r="R738" s="575"/>
      <c r="S738" s="575"/>
      <c r="T738" s="575"/>
      <c r="U738" s="575"/>
      <c r="V738" s="575"/>
      <c r="W738" s="575"/>
      <c r="X738" s="575"/>
      <c r="Y738" s="575"/>
      <c r="Z738" s="575"/>
    </row>
    <row r="739">
      <c r="A739" s="582"/>
      <c r="B739" s="583"/>
      <c r="C739" s="584"/>
      <c r="D739" s="585"/>
      <c r="E739" s="575"/>
      <c r="F739" s="575"/>
      <c r="G739" s="575"/>
      <c r="H739" s="575"/>
      <c r="I739" s="575"/>
      <c r="J739" s="575"/>
      <c r="K739" s="575"/>
      <c r="L739" s="575"/>
      <c r="M739" s="575"/>
      <c r="N739" s="575"/>
      <c r="O739" s="575"/>
      <c r="P739" s="575"/>
      <c r="Q739" s="575"/>
      <c r="R739" s="575"/>
      <c r="S739" s="575"/>
      <c r="T739" s="575"/>
      <c r="U739" s="575"/>
      <c r="V739" s="575"/>
      <c r="W739" s="575"/>
      <c r="X739" s="575"/>
      <c r="Y739" s="575"/>
      <c r="Z739" s="575"/>
    </row>
    <row r="740">
      <c r="A740" s="582"/>
      <c r="B740" s="583"/>
      <c r="C740" s="584"/>
      <c r="D740" s="585"/>
      <c r="E740" s="575"/>
      <c r="F740" s="575"/>
      <c r="G740" s="575"/>
      <c r="H740" s="575"/>
      <c r="I740" s="575"/>
      <c r="J740" s="575"/>
      <c r="K740" s="575"/>
      <c r="L740" s="575"/>
      <c r="M740" s="575"/>
      <c r="N740" s="575"/>
      <c r="O740" s="575"/>
      <c r="P740" s="575"/>
      <c r="Q740" s="575"/>
      <c r="R740" s="575"/>
      <c r="S740" s="575"/>
      <c r="T740" s="575"/>
      <c r="U740" s="575"/>
      <c r="V740" s="575"/>
      <c r="W740" s="575"/>
      <c r="X740" s="575"/>
      <c r="Y740" s="575"/>
      <c r="Z740" s="575"/>
    </row>
    <row r="741">
      <c r="A741" s="582"/>
      <c r="B741" s="583"/>
      <c r="C741" s="584"/>
      <c r="D741" s="585"/>
      <c r="E741" s="575"/>
      <c r="F741" s="575"/>
      <c r="G741" s="575"/>
      <c r="H741" s="575"/>
      <c r="I741" s="575"/>
      <c r="J741" s="575"/>
      <c r="K741" s="575"/>
      <c r="L741" s="575"/>
      <c r="M741" s="575"/>
      <c r="N741" s="575"/>
      <c r="O741" s="575"/>
      <c r="P741" s="575"/>
      <c r="Q741" s="575"/>
      <c r="R741" s="575"/>
      <c r="S741" s="575"/>
      <c r="T741" s="575"/>
      <c r="U741" s="575"/>
      <c r="V741" s="575"/>
      <c r="W741" s="575"/>
      <c r="X741" s="575"/>
      <c r="Y741" s="575"/>
      <c r="Z741" s="575"/>
    </row>
    <row r="742">
      <c r="A742" s="582"/>
      <c r="B742" s="583"/>
      <c r="C742" s="584"/>
      <c r="D742" s="585"/>
      <c r="E742" s="575"/>
      <c r="F742" s="575"/>
      <c r="G742" s="575"/>
      <c r="H742" s="575"/>
      <c r="I742" s="575"/>
      <c r="J742" s="575"/>
      <c r="K742" s="575"/>
      <c r="L742" s="575"/>
      <c r="M742" s="575"/>
      <c r="N742" s="575"/>
      <c r="O742" s="575"/>
      <c r="P742" s="575"/>
      <c r="Q742" s="575"/>
      <c r="R742" s="575"/>
      <c r="S742" s="575"/>
      <c r="T742" s="575"/>
      <c r="U742" s="575"/>
      <c r="V742" s="575"/>
      <c r="W742" s="575"/>
      <c r="X742" s="575"/>
      <c r="Y742" s="575"/>
      <c r="Z742" s="575"/>
    </row>
    <row r="743">
      <c r="A743" s="582"/>
      <c r="B743" s="583"/>
      <c r="C743" s="584"/>
      <c r="D743" s="585"/>
      <c r="E743" s="575"/>
      <c r="F743" s="575"/>
      <c r="G743" s="575"/>
      <c r="H743" s="575"/>
      <c r="I743" s="575"/>
      <c r="J743" s="575"/>
      <c r="K743" s="575"/>
      <c r="L743" s="575"/>
      <c r="M743" s="575"/>
      <c r="N743" s="575"/>
      <c r="O743" s="575"/>
      <c r="P743" s="575"/>
      <c r="Q743" s="575"/>
      <c r="R743" s="575"/>
      <c r="S743" s="575"/>
      <c r="T743" s="575"/>
      <c r="U743" s="575"/>
      <c r="V743" s="575"/>
      <c r="W743" s="575"/>
      <c r="X743" s="575"/>
      <c r="Y743" s="575"/>
      <c r="Z743" s="575"/>
    </row>
    <row r="744">
      <c r="A744" s="582"/>
      <c r="B744" s="583"/>
      <c r="C744" s="584"/>
      <c r="D744" s="585"/>
      <c r="E744" s="575"/>
      <c r="F744" s="575"/>
      <c r="G744" s="575"/>
      <c r="H744" s="575"/>
      <c r="I744" s="575"/>
      <c r="J744" s="575"/>
      <c r="K744" s="575"/>
      <c r="L744" s="575"/>
      <c r="M744" s="575"/>
      <c r="N744" s="575"/>
      <c r="O744" s="575"/>
      <c r="P744" s="575"/>
      <c r="Q744" s="575"/>
      <c r="R744" s="575"/>
      <c r="S744" s="575"/>
      <c r="T744" s="575"/>
      <c r="U744" s="575"/>
      <c r="V744" s="575"/>
      <c r="W744" s="575"/>
      <c r="X744" s="575"/>
      <c r="Y744" s="575"/>
      <c r="Z744" s="575"/>
    </row>
    <row r="745">
      <c r="A745" s="582"/>
      <c r="B745" s="583"/>
      <c r="C745" s="584"/>
      <c r="D745" s="585"/>
      <c r="E745" s="575"/>
      <c r="F745" s="575"/>
      <c r="G745" s="575"/>
      <c r="H745" s="575"/>
      <c r="I745" s="575"/>
      <c r="J745" s="575"/>
      <c r="K745" s="575"/>
      <c r="L745" s="575"/>
      <c r="M745" s="575"/>
      <c r="N745" s="575"/>
      <c r="O745" s="575"/>
      <c r="P745" s="575"/>
      <c r="Q745" s="575"/>
      <c r="R745" s="575"/>
      <c r="S745" s="575"/>
      <c r="T745" s="575"/>
      <c r="U745" s="575"/>
      <c r="V745" s="575"/>
      <c r="W745" s="575"/>
      <c r="X745" s="575"/>
      <c r="Y745" s="575"/>
      <c r="Z745" s="575"/>
    </row>
    <row r="746">
      <c r="A746" s="582"/>
      <c r="B746" s="583"/>
      <c r="C746" s="584"/>
      <c r="D746" s="585"/>
      <c r="E746" s="575"/>
      <c r="F746" s="575"/>
      <c r="G746" s="575"/>
      <c r="H746" s="575"/>
      <c r="I746" s="575"/>
      <c r="J746" s="575"/>
      <c r="K746" s="575"/>
      <c r="L746" s="575"/>
      <c r="M746" s="575"/>
      <c r="N746" s="575"/>
      <c r="O746" s="575"/>
      <c r="P746" s="575"/>
      <c r="Q746" s="575"/>
      <c r="R746" s="575"/>
      <c r="S746" s="575"/>
      <c r="T746" s="575"/>
      <c r="U746" s="575"/>
      <c r="V746" s="575"/>
      <c r="W746" s="575"/>
      <c r="X746" s="575"/>
      <c r="Y746" s="575"/>
      <c r="Z746" s="575"/>
    </row>
    <row r="747">
      <c r="A747" s="582"/>
      <c r="B747" s="583"/>
      <c r="C747" s="584"/>
      <c r="D747" s="585"/>
      <c r="E747" s="575"/>
      <c r="F747" s="575"/>
      <c r="G747" s="575"/>
      <c r="H747" s="575"/>
      <c r="I747" s="575"/>
      <c r="J747" s="575"/>
      <c r="K747" s="575"/>
      <c r="L747" s="575"/>
      <c r="M747" s="575"/>
      <c r="N747" s="575"/>
      <c r="O747" s="575"/>
      <c r="P747" s="575"/>
      <c r="Q747" s="575"/>
      <c r="R747" s="575"/>
      <c r="S747" s="575"/>
      <c r="T747" s="575"/>
      <c r="U747" s="575"/>
      <c r="V747" s="575"/>
      <c r="W747" s="575"/>
      <c r="X747" s="575"/>
      <c r="Y747" s="575"/>
      <c r="Z747" s="575"/>
    </row>
    <row r="748">
      <c r="A748" s="582"/>
      <c r="B748" s="583"/>
      <c r="C748" s="584"/>
      <c r="D748" s="585"/>
      <c r="E748" s="575"/>
      <c r="F748" s="575"/>
      <c r="G748" s="575"/>
      <c r="H748" s="575"/>
      <c r="I748" s="575"/>
      <c r="J748" s="575"/>
      <c r="K748" s="575"/>
      <c r="L748" s="575"/>
      <c r="M748" s="575"/>
      <c r="N748" s="575"/>
      <c r="O748" s="575"/>
      <c r="P748" s="575"/>
      <c r="Q748" s="575"/>
      <c r="R748" s="575"/>
      <c r="S748" s="575"/>
      <c r="T748" s="575"/>
      <c r="U748" s="575"/>
      <c r="V748" s="575"/>
      <c r="W748" s="575"/>
      <c r="X748" s="575"/>
      <c r="Y748" s="575"/>
      <c r="Z748" s="575"/>
    </row>
    <row r="749">
      <c r="A749" s="582"/>
      <c r="B749" s="583"/>
      <c r="C749" s="584"/>
      <c r="D749" s="585"/>
      <c r="E749" s="575"/>
      <c r="F749" s="575"/>
      <c r="G749" s="575"/>
      <c r="H749" s="575"/>
      <c r="I749" s="575"/>
      <c r="J749" s="575"/>
      <c r="K749" s="575"/>
      <c r="L749" s="575"/>
      <c r="M749" s="575"/>
      <c r="N749" s="575"/>
      <c r="O749" s="575"/>
      <c r="P749" s="575"/>
      <c r="Q749" s="575"/>
      <c r="R749" s="575"/>
      <c r="S749" s="575"/>
      <c r="T749" s="575"/>
      <c r="U749" s="575"/>
      <c r="V749" s="575"/>
      <c r="W749" s="575"/>
      <c r="X749" s="575"/>
      <c r="Y749" s="575"/>
      <c r="Z749" s="575"/>
    </row>
    <row r="750">
      <c r="A750" s="582"/>
      <c r="B750" s="583"/>
      <c r="C750" s="584"/>
      <c r="D750" s="585"/>
      <c r="E750" s="575"/>
      <c r="F750" s="575"/>
      <c r="G750" s="575"/>
      <c r="H750" s="575"/>
      <c r="I750" s="575"/>
      <c r="J750" s="575"/>
      <c r="K750" s="575"/>
      <c r="L750" s="575"/>
      <c r="M750" s="575"/>
      <c r="N750" s="575"/>
      <c r="O750" s="575"/>
      <c r="P750" s="575"/>
      <c r="Q750" s="575"/>
      <c r="R750" s="575"/>
      <c r="S750" s="575"/>
      <c r="T750" s="575"/>
      <c r="U750" s="575"/>
      <c r="V750" s="575"/>
      <c r="W750" s="575"/>
      <c r="X750" s="575"/>
      <c r="Y750" s="575"/>
      <c r="Z750" s="575"/>
    </row>
    <row r="751">
      <c r="A751" s="582"/>
      <c r="B751" s="583"/>
      <c r="C751" s="584"/>
      <c r="D751" s="585"/>
      <c r="E751" s="575"/>
      <c r="F751" s="575"/>
      <c r="G751" s="575"/>
      <c r="H751" s="575"/>
      <c r="I751" s="575"/>
      <c r="J751" s="575"/>
      <c r="K751" s="575"/>
      <c r="L751" s="575"/>
      <c r="M751" s="575"/>
      <c r="N751" s="575"/>
      <c r="O751" s="575"/>
      <c r="P751" s="575"/>
      <c r="Q751" s="575"/>
      <c r="R751" s="575"/>
      <c r="S751" s="575"/>
      <c r="T751" s="575"/>
      <c r="U751" s="575"/>
      <c r="V751" s="575"/>
      <c r="W751" s="575"/>
      <c r="X751" s="575"/>
      <c r="Y751" s="575"/>
      <c r="Z751" s="575"/>
    </row>
    <row r="752">
      <c r="A752" s="582"/>
      <c r="B752" s="583"/>
      <c r="C752" s="584"/>
      <c r="D752" s="585"/>
      <c r="E752" s="575"/>
      <c r="F752" s="575"/>
      <c r="G752" s="575"/>
      <c r="H752" s="575"/>
      <c r="I752" s="575"/>
      <c r="J752" s="575"/>
      <c r="K752" s="575"/>
      <c r="L752" s="575"/>
      <c r="M752" s="575"/>
      <c r="N752" s="575"/>
      <c r="O752" s="575"/>
      <c r="P752" s="575"/>
      <c r="Q752" s="575"/>
      <c r="R752" s="575"/>
      <c r="S752" s="575"/>
      <c r="T752" s="575"/>
      <c r="U752" s="575"/>
      <c r="V752" s="575"/>
      <c r="W752" s="575"/>
      <c r="X752" s="575"/>
      <c r="Y752" s="575"/>
      <c r="Z752" s="575"/>
    </row>
    <row r="753">
      <c r="A753" s="582"/>
      <c r="B753" s="583"/>
      <c r="C753" s="584"/>
      <c r="D753" s="585"/>
      <c r="E753" s="575"/>
      <c r="F753" s="575"/>
      <c r="G753" s="575"/>
      <c r="H753" s="575"/>
      <c r="I753" s="575"/>
      <c r="J753" s="575"/>
      <c r="K753" s="575"/>
      <c r="L753" s="575"/>
      <c r="M753" s="575"/>
      <c r="N753" s="575"/>
      <c r="O753" s="575"/>
      <c r="P753" s="575"/>
      <c r="Q753" s="575"/>
      <c r="R753" s="575"/>
      <c r="S753" s="575"/>
      <c r="T753" s="575"/>
      <c r="U753" s="575"/>
      <c r="V753" s="575"/>
      <c r="W753" s="575"/>
      <c r="X753" s="575"/>
      <c r="Y753" s="575"/>
      <c r="Z753" s="575"/>
    </row>
    <row r="754">
      <c r="A754" s="582"/>
      <c r="B754" s="583"/>
      <c r="C754" s="584"/>
      <c r="D754" s="585"/>
      <c r="E754" s="575"/>
      <c r="F754" s="575"/>
      <c r="G754" s="575"/>
      <c r="H754" s="575"/>
      <c r="I754" s="575"/>
      <c r="J754" s="575"/>
      <c r="K754" s="575"/>
      <c r="L754" s="575"/>
      <c r="M754" s="575"/>
      <c r="N754" s="575"/>
      <c r="O754" s="575"/>
      <c r="P754" s="575"/>
      <c r="Q754" s="575"/>
      <c r="R754" s="575"/>
      <c r="S754" s="575"/>
      <c r="T754" s="575"/>
      <c r="U754" s="575"/>
      <c r="V754" s="575"/>
      <c r="W754" s="575"/>
      <c r="X754" s="575"/>
      <c r="Y754" s="575"/>
      <c r="Z754" s="575"/>
    </row>
    <row r="755">
      <c r="A755" s="582"/>
      <c r="B755" s="583"/>
      <c r="C755" s="584"/>
      <c r="D755" s="585"/>
      <c r="E755" s="575"/>
      <c r="F755" s="575"/>
      <c r="G755" s="575"/>
      <c r="H755" s="575"/>
      <c r="I755" s="575"/>
      <c r="J755" s="575"/>
      <c r="K755" s="575"/>
      <c r="L755" s="575"/>
      <c r="M755" s="575"/>
      <c r="N755" s="575"/>
      <c r="O755" s="575"/>
      <c r="P755" s="575"/>
      <c r="Q755" s="575"/>
      <c r="R755" s="575"/>
      <c r="S755" s="575"/>
      <c r="T755" s="575"/>
      <c r="U755" s="575"/>
      <c r="V755" s="575"/>
      <c r="W755" s="575"/>
      <c r="X755" s="575"/>
      <c r="Y755" s="575"/>
      <c r="Z755" s="575"/>
    </row>
    <row r="756">
      <c r="A756" s="582"/>
      <c r="B756" s="583"/>
      <c r="C756" s="584"/>
      <c r="D756" s="585"/>
      <c r="E756" s="575"/>
      <c r="F756" s="575"/>
      <c r="G756" s="575"/>
      <c r="H756" s="575"/>
      <c r="I756" s="575"/>
      <c r="J756" s="575"/>
      <c r="K756" s="575"/>
      <c r="L756" s="575"/>
      <c r="M756" s="575"/>
      <c r="N756" s="575"/>
      <c r="O756" s="575"/>
      <c r="P756" s="575"/>
      <c r="Q756" s="575"/>
      <c r="R756" s="575"/>
      <c r="S756" s="575"/>
      <c r="T756" s="575"/>
      <c r="U756" s="575"/>
      <c r="V756" s="575"/>
      <c r="W756" s="575"/>
      <c r="X756" s="575"/>
      <c r="Y756" s="575"/>
      <c r="Z756" s="575"/>
    </row>
    <row r="757">
      <c r="A757" s="582"/>
      <c r="B757" s="583"/>
      <c r="C757" s="584"/>
      <c r="D757" s="585"/>
      <c r="E757" s="575"/>
      <c r="F757" s="575"/>
      <c r="G757" s="575"/>
      <c r="H757" s="575"/>
      <c r="I757" s="575"/>
      <c r="J757" s="575"/>
      <c r="K757" s="575"/>
      <c r="L757" s="575"/>
      <c r="M757" s="575"/>
      <c r="N757" s="575"/>
      <c r="O757" s="575"/>
      <c r="P757" s="575"/>
      <c r="Q757" s="575"/>
      <c r="R757" s="575"/>
      <c r="S757" s="575"/>
      <c r="T757" s="575"/>
      <c r="U757" s="575"/>
      <c r="V757" s="575"/>
      <c r="W757" s="575"/>
      <c r="X757" s="575"/>
      <c r="Y757" s="575"/>
      <c r="Z757" s="575"/>
    </row>
    <row r="758">
      <c r="A758" s="582"/>
      <c r="B758" s="583"/>
      <c r="C758" s="584"/>
      <c r="D758" s="585"/>
      <c r="E758" s="575"/>
      <c r="F758" s="575"/>
      <c r="G758" s="575"/>
      <c r="H758" s="575"/>
      <c r="I758" s="575"/>
      <c r="J758" s="575"/>
      <c r="K758" s="575"/>
      <c r="L758" s="575"/>
      <c r="M758" s="575"/>
      <c r="N758" s="575"/>
      <c r="O758" s="575"/>
      <c r="P758" s="575"/>
      <c r="Q758" s="575"/>
      <c r="R758" s="575"/>
      <c r="S758" s="575"/>
      <c r="T758" s="575"/>
      <c r="U758" s="575"/>
      <c r="V758" s="575"/>
      <c r="W758" s="575"/>
      <c r="X758" s="575"/>
      <c r="Y758" s="575"/>
      <c r="Z758" s="575"/>
    </row>
    <row r="759">
      <c r="A759" s="582"/>
      <c r="B759" s="583"/>
      <c r="C759" s="584"/>
      <c r="D759" s="585"/>
      <c r="E759" s="575"/>
      <c r="F759" s="575"/>
      <c r="G759" s="575"/>
      <c r="H759" s="575"/>
      <c r="I759" s="575"/>
      <c r="J759" s="575"/>
      <c r="K759" s="575"/>
      <c r="L759" s="575"/>
      <c r="M759" s="575"/>
      <c r="N759" s="575"/>
      <c r="O759" s="575"/>
      <c r="P759" s="575"/>
      <c r="Q759" s="575"/>
      <c r="R759" s="575"/>
      <c r="S759" s="575"/>
      <c r="T759" s="575"/>
      <c r="U759" s="575"/>
      <c r="V759" s="575"/>
      <c r="W759" s="575"/>
      <c r="X759" s="575"/>
      <c r="Y759" s="575"/>
      <c r="Z759" s="575"/>
    </row>
    <row r="760">
      <c r="A760" s="582"/>
      <c r="B760" s="583"/>
      <c r="C760" s="584"/>
      <c r="D760" s="585"/>
      <c r="E760" s="575"/>
      <c r="F760" s="575"/>
      <c r="G760" s="575"/>
      <c r="H760" s="575"/>
      <c r="I760" s="575"/>
      <c r="J760" s="575"/>
      <c r="K760" s="575"/>
      <c r="L760" s="575"/>
      <c r="M760" s="575"/>
      <c r="N760" s="575"/>
      <c r="O760" s="575"/>
      <c r="P760" s="575"/>
      <c r="Q760" s="575"/>
      <c r="R760" s="575"/>
      <c r="S760" s="575"/>
      <c r="T760" s="575"/>
      <c r="U760" s="575"/>
      <c r="V760" s="575"/>
      <c r="W760" s="575"/>
      <c r="X760" s="575"/>
      <c r="Y760" s="575"/>
      <c r="Z760" s="575"/>
    </row>
    <row r="761">
      <c r="A761" s="582"/>
      <c r="B761" s="583"/>
      <c r="C761" s="584"/>
      <c r="D761" s="585"/>
      <c r="E761" s="575"/>
      <c r="F761" s="575"/>
      <c r="G761" s="575"/>
      <c r="H761" s="575"/>
      <c r="I761" s="575"/>
      <c r="J761" s="575"/>
      <c r="K761" s="575"/>
      <c r="L761" s="575"/>
      <c r="M761" s="575"/>
      <c r="N761" s="575"/>
      <c r="O761" s="575"/>
      <c r="P761" s="575"/>
      <c r="Q761" s="575"/>
      <c r="R761" s="575"/>
      <c r="S761" s="575"/>
      <c r="T761" s="575"/>
      <c r="U761" s="575"/>
      <c r="V761" s="575"/>
      <c r="W761" s="575"/>
      <c r="X761" s="575"/>
      <c r="Y761" s="575"/>
      <c r="Z761" s="575"/>
    </row>
    <row r="762">
      <c r="A762" s="582"/>
      <c r="B762" s="583"/>
      <c r="C762" s="584"/>
      <c r="D762" s="585"/>
      <c r="E762" s="575"/>
      <c r="F762" s="575"/>
      <c r="G762" s="575"/>
      <c r="H762" s="575"/>
      <c r="I762" s="575"/>
      <c r="J762" s="575"/>
      <c r="K762" s="575"/>
      <c r="L762" s="575"/>
      <c r="M762" s="575"/>
      <c r="N762" s="575"/>
      <c r="O762" s="575"/>
      <c r="P762" s="575"/>
      <c r="Q762" s="575"/>
      <c r="R762" s="575"/>
      <c r="S762" s="575"/>
      <c r="T762" s="575"/>
      <c r="U762" s="575"/>
      <c r="V762" s="575"/>
      <c r="W762" s="575"/>
      <c r="X762" s="575"/>
      <c r="Y762" s="575"/>
      <c r="Z762" s="575"/>
    </row>
    <row r="763">
      <c r="A763" s="582"/>
      <c r="B763" s="583"/>
      <c r="C763" s="584"/>
      <c r="D763" s="585"/>
      <c r="E763" s="575"/>
      <c r="F763" s="575"/>
      <c r="G763" s="575"/>
      <c r="H763" s="575"/>
      <c r="I763" s="575"/>
      <c r="J763" s="575"/>
      <c r="K763" s="575"/>
      <c r="L763" s="575"/>
      <c r="M763" s="575"/>
      <c r="N763" s="575"/>
      <c r="O763" s="575"/>
      <c r="P763" s="575"/>
      <c r="Q763" s="575"/>
      <c r="R763" s="575"/>
      <c r="S763" s="575"/>
      <c r="T763" s="575"/>
      <c r="U763" s="575"/>
      <c r="V763" s="575"/>
      <c r="W763" s="575"/>
      <c r="X763" s="575"/>
      <c r="Y763" s="575"/>
      <c r="Z763" s="575"/>
    </row>
    <row r="764">
      <c r="A764" s="582"/>
      <c r="B764" s="583"/>
      <c r="C764" s="584"/>
      <c r="D764" s="585"/>
      <c r="E764" s="575"/>
      <c r="F764" s="575"/>
      <c r="G764" s="575"/>
      <c r="H764" s="575"/>
      <c r="I764" s="575"/>
      <c r="J764" s="575"/>
      <c r="K764" s="575"/>
      <c r="L764" s="575"/>
      <c r="M764" s="575"/>
      <c r="N764" s="575"/>
      <c r="O764" s="575"/>
      <c r="P764" s="575"/>
      <c r="Q764" s="575"/>
      <c r="R764" s="575"/>
      <c r="S764" s="575"/>
      <c r="T764" s="575"/>
      <c r="U764" s="575"/>
      <c r="V764" s="575"/>
      <c r="W764" s="575"/>
      <c r="X764" s="575"/>
      <c r="Y764" s="575"/>
      <c r="Z764" s="575"/>
    </row>
    <row r="765">
      <c r="A765" s="582"/>
      <c r="B765" s="583"/>
      <c r="C765" s="584"/>
      <c r="D765" s="585"/>
      <c r="E765" s="575"/>
      <c r="F765" s="575"/>
      <c r="G765" s="575"/>
      <c r="H765" s="575"/>
      <c r="I765" s="575"/>
      <c r="J765" s="575"/>
      <c r="K765" s="575"/>
      <c r="L765" s="575"/>
      <c r="M765" s="575"/>
      <c r="N765" s="575"/>
      <c r="O765" s="575"/>
      <c r="P765" s="575"/>
      <c r="Q765" s="575"/>
      <c r="R765" s="575"/>
      <c r="S765" s="575"/>
      <c r="T765" s="575"/>
      <c r="U765" s="575"/>
      <c r="V765" s="575"/>
      <c r="W765" s="575"/>
      <c r="X765" s="575"/>
      <c r="Y765" s="575"/>
      <c r="Z765" s="575"/>
    </row>
    <row r="766">
      <c r="A766" s="582"/>
      <c r="B766" s="583"/>
      <c r="C766" s="584"/>
      <c r="D766" s="585"/>
      <c r="E766" s="575"/>
      <c r="F766" s="575"/>
      <c r="G766" s="575"/>
      <c r="H766" s="575"/>
      <c r="I766" s="575"/>
      <c r="J766" s="575"/>
      <c r="K766" s="575"/>
      <c r="L766" s="575"/>
      <c r="M766" s="575"/>
      <c r="N766" s="575"/>
      <c r="O766" s="575"/>
      <c r="P766" s="575"/>
      <c r="Q766" s="575"/>
      <c r="R766" s="575"/>
      <c r="S766" s="575"/>
      <c r="T766" s="575"/>
      <c r="U766" s="575"/>
      <c r="V766" s="575"/>
      <c r="W766" s="575"/>
      <c r="X766" s="575"/>
      <c r="Y766" s="575"/>
      <c r="Z766" s="575"/>
    </row>
    <row r="767">
      <c r="A767" s="582"/>
      <c r="B767" s="583"/>
      <c r="C767" s="584"/>
      <c r="D767" s="585"/>
      <c r="E767" s="575"/>
      <c r="F767" s="575"/>
      <c r="G767" s="575"/>
      <c r="H767" s="575"/>
      <c r="I767" s="575"/>
      <c r="J767" s="575"/>
      <c r="K767" s="575"/>
      <c r="L767" s="575"/>
      <c r="M767" s="575"/>
      <c r="N767" s="575"/>
      <c r="O767" s="575"/>
      <c r="P767" s="575"/>
      <c r="Q767" s="575"/>
      <c r="R767" s="575"/>
      <c r="S767" s="575"/>
      <c r="T767" s="575"/>
      <c r="U767" s="575"/>
      <c r="V767" s="575"/>
      <c r="W767" s="575"/>
      <c r="X767" s="575"/>
      <c r="Y767" s="575"/>
      <c r="Z767" s="575"/>
    </row>
    <row r="768">
      <c r="A768" s="582"/>
      <c r="B768" s="583"/>
      <c r="C768" s="584"/>
      <c r="D768" s="585"/>
      <c r="E768" s="575"/>
      <c r="F768" s="575"/>
      <c r="G768" s="575"/>
      <c r="H768" s="575"/>
      <c r="I768" s="575"/>
      <c r="J768" s="575"/>
      <c r="K768" s="575"/>
      <c r="L768" s="575"/>
      <c r="M768" s="575"/>
      <c r="N768" s="575"/>
      <c r="O768" s="575"/>
      <c r="P768" s="575"/>
      <c r="Q768" s="575"/>
      <c r="R768" s="575"/>
      <c r="S768" s="575"/>
      <c r="T768" s="575"/>
      <c r="U768" s="575"/>
      <c r="V768" s="575"/>
      <c r="W768" s="575"/>
      <c r="X768" s="575"/>
      <c r="Y768" s="575"/>
      <c r="Z768" s="575"/>
    </row>
    <row r="769">
      <c r="A769" s="582"/>
      <c r="B769" s="583"/>
      <c r="C769" s="584"/>
      <c r="D769" s="585"/>
      <c r="E769" s="575"/>
      <c r="F769" s="575"/>
      <c r="G769" s="575"/>
      <c r="H769" s="575"/>
      <c r="I769" s="575"/>
      <c r="J769" s="575"/>
      <c r="K769" s="575"/>
      <c r="L769" s="575"/>
      <c r="M769" s="575"/>
      <c r="N769" s="575"/>
      <c r="O769" s="575"/>
      <c r="P769" s="575"/>
      <c r="Q769" s="575"/>
      <c r="R769" s="575"/>
      <c r="S769" s="575"/>
      <c r="T769" s="575"/>
      <c r="U769" s="575"/>
      <c r="V769" s="575"/>
      <c r="W769" s="575"/>
      <c r="X769" s="575"/>
      <c r="Y769" s="575"/>
      <c r="Z769" s="575"/>
    </row>
    <row r="770">
      <c r="A770" s="582"/>
      <c r="B770" s="583"/>
      <c r="C770" s="584"/>
      <c r="D770" s="585"/>
      <c r="E770" s="575"/>
      <c r="F770" s="575"/>
      <c r="G770" s="575"/>
      <c r="H770" s="575"/>
      <c r="I770" s="575"/>
      <c r="J770" s="575"/>
      <c r="K770" s="575"/>
      <c r="L770" s="575"/>
      <c r="M770" s="575"/>
      <c r="N770" s="575"/>
      <c r="O770" s="575"/>
      <c r="P770" s="575"/>
      <c r="Q770" s="575"/>
      <c r="R770" s="575"/>
      <c r="S770" s="575"/>
      <c r="T770" s="575"/>
      <c r="U770" s="575"/>
      <c r="V770" s="575"/>
      <c r="W770" s="575"/>
      <c r="X770" s="575"/>
      <c r="Y770" s="575"/>
      <c r="Z770" s="575"/>
    </row>
    <row r="771">
      <c r="A771" s="582"/>
      <c r="B771" s="583"/>
      <c r="C771" s="584"/>
      <c r="D771" s="585"/>
      <c r="E771" s="575"/>
      <c r="F771" s="575"/>
      <c r="G771" s="575"/>
      <c r="H771" s="575"/>
      <c r="I771" s="575"/>
      <c r="J771" s="575"/>
      <c r="K771" s="575"/>
      <c r="L771" s="575"/>
      <c r="M771" s="575"/>
      <c r="N771" s="575"/>
      <c r="O771" s="575"/>
      <c r="P771" s="575"/>
      <c r="Q771" s="575"/>
      <c r="R771" s="575"/>
      <c r="S771" s="575"/>
      <c r="T771" s="575"/>
      <c r="U771" s="575"/>
      <c r="V771" s="575"/>
      <c r="W771" s="575"/>
      <c r="X771" s="575"/>
      <c r="Y771" s="575"/>
      <c r="Z771" s="575"/>
    </row>
    <row r="772">
      <c r="A772" s="582"/>
      <c r="B772" s="583"/>
      <c r="C772" s="584"/>
      <c r="D772" s="585"/>
      <c r="E772" s="575"/>
      <c r="F772" s="575"/>
      <c r="G772" s="575"/>
      <c r="H772" s="575"/>
      <c r="I772" s="575"/>
      <c r="J772" s="575"/>
      <c r="K772" s="575"/>
      <c r="L772" s="575"/>
      <c r="M772" s="575"/>
      <c r="N772" s="575"/>
      <c r="O772" s="575"/>
      <c r="P772" s="575"/>
      <c r="Q772" s="575"/>
      <c r="R772" s="575"/>
      <c r="S772" s="575"/>
      <c r="T772" s="575"/>
      <c r="U772" s="575"/>
      <c r="V772" s="575"/>
      <c r="W772" s="575"/>
      <c r="X772" s="575"/>
      <c r="Y772" s="575"/>
      <c r="Z772" s="575"/>
    </row>
    <row r="773">
      <c r="A773" s="582"/>
      <c r="B773" s="583"/>
      <c r="C773" s="584"/>
      <c r="D773" s="585"/>
      <c r="E773" s="575"/>
      <c r="F773" s="575"/>
      <c r="G773" s="575"/>
      <c r="H773" s="575"/>
      <c r="I773" s="575"/>
      <c r="J773" s="575"/>
      <c r="K773" s="575"/>
      <c r="L773" s="575"/>
      <c r="M773" s="575"/>
      <c r="N773" s="575"/>
      <c r="O773" s="575"/>
      <c r="P773" s="575"/>
      <c r="Q773" s="575"/>
      <c r="R773" s="575"/>
      <c r="S773" s="575"/>
      <c r="T773" s="575"/>
      <c r="U773" s="575"/>
      <c r="V773" s="575"/>
      <c r="W773" s="575"/>
      <c r="X773" s="575"/>
      <c r="Y773" s="575"/>
      <c r="Z773" s="575"/>
    </row>
    <row r="774">
      <c r="A774" s="582"/>
      <c r="B774" s="583"/>
      <c r="C774" s="584"/>
      <c r="D774" s="585"/>
      <c r="E774" s="575"/>
      <c r="F774" s="575"/>
      <c r="G774" s="575"/>
      <c r="H774" s="575"/>
      <c r="I774" s="575"/>
      <c r="J774" s="575"/>
      <c r="K774" s="575"/>
      <c r="L774" s="575"/>
      <c r="M774" s="575"/>
      <c r="N774" s="575"/>
      <c r="O774" s="575"/>
      <c r="P774" s="575"/>
      <c r="Q774" s="575"/>
      <c r="R774" s="575"/>
      <c r="S774" s="575"/>
      <c r="T774" s="575"/>
      <c r="U774" s="575"/>
      <c r="V774" s="575"/>
      <c r="W774" s="575"/>
      <c r="X774" s="575"/>
      <c r="Y774" s="575"/>
      <c r="Z774" s="575"/>
    </row>
    <row r="775">
      <c r="A775" s="582"/>
      <c r="B775" s="583"/>
      <c r="C775" s="584"/>
      <c r="D775" s="585"/>
      <c r="E775" s="575"/>
      <c r="F775" s="575"/>
      <c r="G775" s="575"/>
      <c r="H775" s="575"/>
      <c r="I775" s="575"/>
      <c r="J775" s="575"/>
      <c r="K775" s="575"/>
      <c r="L775" s="575"/>
      <c r="M775" s="575"/>
      <c r="N775" s="575"/>
      <c r="O775" s="575"/>
      <c r="P775" s="575"/>
      <c r="Q775" s="575"/>
      <c r="R775" s="575"/>
      <c r="S775" s="575"/>
      <c r="T775" s="575"/>
      <c r="U775" s="575"/>
      <c r="V775" s="575"/>
      <c r="W775" s="575"/>
      <c r="X775" s="575"/>
      <c r="Y775" s="575"/>
      <c r="Z775" s="575"/>
    </row>
    <row r="776">
      <c r="A776" s="582"/>
      <c r="B776" s="583"/>
      <c r="C776" s="584"/>
      <c r="D776" s="585"/>
      <c r="E776" s="575"/>
      <c r="F776" s="575"/>
      <c r="G776" s="575"/>
      <c r="H776" s="575"/>
      <c r="I776" s="575"/>
      <c r="J776" s="575"/>
      <c r="K776" s="575"/>
      <c r="L776" s="575"/>
      <c r="M776" s="575"/>
      <c r="N776" s="575"/>
      <c r="O776" s="575"/>
      <c r="P776" s="575"/>
      <c r="Q776" s="575"/>
      <c r="R776" s="575"/>
      <c r="S776" s="575"/>
      <c r="T776" s="575"/>
      <c r="U776" s="575"/>
      <c r="V776" s="575"/>
      <c r="W776" s="575"/>
      <c r="X776" s="575"/>
      <c r="Y776" s="575"/>
      <c r="Z776" s="575"/>
    </row>
    <row r="777">
      <c r="A777" s="582"/>
      <c r="B777" s="583"/>
      <c r="C777" s="584"/>
      <c r="D777" s="585"/>
      <c r="E777" s="575"/>
      <c r="F777" s="575"/>
      <c r="G777" s="575"/>
      <c r="H777" s="575"/>
      <c r="I777" s="575"/>
      <c r="J777" s="575"/>
      <c r="K777" s="575"/>
      <c r="L777" s="575"/>
      <c r="M777" s="575"/>
      <c r="N777" s="575"/>
      <c r="O777" s="575"/>
      <c r="P777" s="575"/>
      <c r="Q777" s="575"/>
      <c r="R777" s="575"/>
      <c r="S777" s="575"/>
      <c r="T777" s="575"/>
      <c r="U777" s="575"/>
      <c r="V777" s="575"/>
      <c r="W777" s="575"/>
      <c r="X777" s="575"/>
      <c r="Y777" s="575"/>
      <c r="Z777" s="575"/>
    </row>
    <row r="778">
      <c r="A778" s="582"/>
      <c r="B778" s="583"/>
      <c r="C778" s="584"/>
      <c r="D778" s="585"/>
      <c r="E778" s="575"/>
      <c r="F778" s="575"/>
      <c r="G778" s="575"/>
      <c r="H778" s="575"/>
      <c r="I778" s="575"/>
      <c r="J778" s="575"/>
      <c r="K778" s="575"/>
      <c r="L778" s="575"/>
      <c r="M778" s="575"/>
      <c r="N778" s="575"/>
      <c r="O778" s="575"/>
      <c r="P778" s="575"/>
      <c r="Q778" s="575"/>
      <c r="R778" s="575"/>
      <c r="S778" s="575"/>
      <c r="T778" s="575"/>
      <c r="U778" s="575"/>
      <c r="V778" s="575"/>
      <c r="W778" s="575"/>
      <c r="X778" s="575"/>
      <c r="Y778" s="575"/>
      <c r="Z778" s="575"/>
    </row>
    <row r="779">
      <c r="A779" s="582"/>
      <c r="B779" s="583"/>
      <c r="C779" s="584"/>
      <c r="D779" s="585"/>
      <c r="E779" s="575"/>
      <c r="F779" s="575"/>
      <c r="G779" s="575"/>
      <c r="H779" s="575"/>
      <c r="I779" s="575"/>
      <c r="J779" s="575"/>
      <c r="K779" s="575"/>
      <c r="L779" s="575"/>
      <c r="M779" s="575"/>
      <c r="N779" s="575"/>
      <c r="O779" s="575"/>
      <c r="P779" s="575"/>
      <c r="Q779" s="575"/>
      <c r="R779" s="575"/>
      <c r="S779" s="575"/>
      <c r="T779" s="575"/>
      <c r="U779" s="575"/>
      <c r="V779" s="575"/>
      <c r="W779" s="575"/>
      <c r="X779" s="575"/>
      <c r="Y779" s="575"/>
      <c r="Z779" s="575"/>
    </row>
    <row r="780">
      <c r="A780" s="582"/>
      <c r="B780" s="583"/>
      <c r="C780" s="584"/>
      <c r="D780" s="585"/>
      <c r="E780" s="575"/>
      <c r="F780" s="575"/>
      <c r="G780" s="575"/>
      <c r="H780" s="575"/>
      <c r="I780" s="575"/>
      <c r="J780" s="575"/>
      <c r="K780" s="575"/>
      <c r="L780" s="575"/>
      <c r="M780" s="575"/>
      <c r="N780" s="575"/>
      <c r="O780" s="575"/>
      <c r="P780" s="575"/>
      <c r="Q780" s="575"/>
      <c r="R780" s="575"/>
      <c r="S780" s="575"/>
      <c r="T780" s="575"/>
      <c r="U780" s="575"/>
      <c r="V780" s="575"/>
      <c r="W780" s="575"/>
      <c r="X780" s="575"/>
      <c r="Y780" s="575"/>
      <c r="Z780" s="575"/>
    </row>
    <row r="781">
      <c r="A781" s="582"/>
      <c r="B781" s="583"/>
      <c r="C781" s="584"/>
      <c r="D781" s="585"/>
      <c r="E781" s="575"/>
      <c r="F781" s="575"/>
      <c r="G781" s="575"/>
      <c r="H781" s="575"/>
      <c r="I781" s="575"/>
      <c r="J781" s="575"/>
      <c r="K781" s="575"/>
      <c r="L781" s="575"/>
      <c r="M781" s="575"/>
      <c r="N781" s="575"/>
      <c r="O781" s="575"/>
      <c r="P781" s="575"/>
      <c r="Q781" s="575"/>
      <c r="R781" s="575"/>
      <c r="S781" s="575"/>
      <c r="T781" s="575"/>
      <c r="U781" s="575"/>
      <c r="V781" s="575"/>
      <c r="W781" s="575"/>
      <c r="X781" s="575"/>
      <c r="Y781" s="575"/>
      <c r="Z781" s="575"/>
    </row>
    <row r="782">
      <c r="A782" s="582"/>
      <c r="B782" s="583"/>
      <c r="C782" s="584"/>
      <c r="D782" s="585"/>
      <c r="E782" s="575"/>
      <c r="F782" s="575"/>
      <c r="G782" s="575"/>
      <c r="H782" s="575"/>
      <c r="I782" s="575"/>
      <c r="J782" s="575"/>
      <c r="K782" s="575"/>
      <c r="L782" s="575"/>
      <c r="M782" s="575"/>
      <c r="N782" s="575"/>
      <c r="O782" s="575"/>
      <c r="P782" s="575"/>
      <c r="Q782" s="575"/>
      <c r="R782" s="575"/>
      <c r="S782" s="575"/>
      <c r="T782" s="575"/>
      <c r="U782" s="575"/>
      <c r="V782" s="575"/>
      <c r="W782" s="575"/>
      <c r="X782" s="575"/>
      <c r="Y782" s="575"/>
      <c r="Z782" s="575"/>
    </row>
    <row r="783">
      <c r="A783" s="582"/>
      <c r="B783" s="583"/>
      <c r="C783" s="584"/>
      <c r="D783" s="585"/>
      <c r="E783" s="575"/>
      <c r="F783" s="575"/>
      <c r="G783" s="575"/>
      <c r="H783" s="575"/>
      <c r="I783" s="575"/>
      <c r="J783" s="575"/>
      <c r="K783" s="575"/>
      <c r="L783" s="575"/>
      <c r="M783" s="575"/>
      <c r="N783" s="575"/>
      <c r="O783" s="575"/>
      <c r="P783" s="575"/>
      <c r="Q783" s="575"/>
      <c r="R783" s="575"/>
      <c r="S783" s="575"/>
      <c r="T783" s="575"/>
      <c r="U783" s="575"/>
      <c r="V783" s="575"/>
      <c r="W783" s="575"/>
      <c r="X783" s="575"/>
      <c r="Y783" s="575"/>
      <c r="Z783" s="575"/>
    </row>
    <row r="784">
      <c r="A784" s="582"/>
      <c r="B784" s="583"/>
      <c r="C784" s="584"/>
      <c r="D784" s="585"/>
      <c r="E784" s="575"/>
      <c r="F784" s="575"/>
      <c r="G784" s="575"/>
      <c r="H784" s="575"/>
      <c r="I784" s="575"/>
      <c r="J784" s="575"/>
      <c r="K784" s="575"/>
      <c r="L784" s="575"/>
      <c r="M784" s="575"/>
      <c r="N784" s="575"/>
      <c r="O784" s="575"/>
      <c r="P784" s="575"/>
      <c r="Q784" s="575"/>
      <c r="R784" s="575"/>
      <c r="S784" s="575"/>
      <c r="T784" s="575"/>
      <c r="U784" s="575"/>
      <c r="V784" s="575"/>
      <c r="W784" s="575"/>
      <c r="X784" s="575"/>
      <c r="Y784" s="575"/>
      <c r="Z784" s="575"/>
    </row>
    <row r="785">
      <c r="A785" s="582"/>
      <c r="B785" s="583"/>
      <c r="C785" s="584"/>
      <c r="D785" s="585"/>
      <c r="E785" s="575"/>
      <c r="F785" s="575"/>
      <c r="G785" s="575"/>
      <c r="H785" s="575"/>
      <c r="I785" s="575"/>
      <c r="J785" s="575"/>
      <c r="K785" s="575"/>
      <c r="L785" s="575"/>
      <c r="M785" s="575"/>
      <c r="N785" s="575"/>
      <c r="O785" s="575"/>
      <c r="P785" s="575"/>
      <c r="Q785" s="575"/>
      <c r="R785" s="575"/>
      <c r="S785" s="575"/>
      <c r="T785" s="575"/>
      <c r="U785" s="575"/>
      <c r="V785" s="575"/>
      <c r="W785" s="575"/>
      <c r="X785" s="575"/>
      <c r="Y785" s="575"/>
      <c r="Z785" s="575"/>
    </row>
    <row r="786">
      <c r="A786" s="582"/>
      <c r="B786" s="583"/>
      <c r="C786" s="584"/>
      <c r="D786" s="585"/>
      <c r="E786" s="575"/>
      <c r="F786" s="575"/>
      <c r="G786" s="575"/>
      <c r="H786" s="575"/>
      <c r="I786" s="575"/>
      <c r="J786" s="575"/>
      <c r="K786" s="575"/>
      <c r="L786" s="575"/>
      <c r="M786" s="575"/>
      <c r="N786" s="575"/>
      <c r="O786" s="575"/>
      <c r="P786" s="575"/>
      <c r="Q786" s="575"/>
      <c r="R786" s="575"/>
      <c r="S786" s="575"/>
      <c r="T786" s="575"/>
      <c r="U786" s="575"/>
      <c r="V786" s="575"/>
      <c r="W786" s="575"/>
      <c r="X786" s="575"/>
      <c r="Y786" s="575"/>
      <c r="Z786" s="575"/>
    </row>
    <row r="787">
      <c r="A787" s="582"/>
      <c r="B787" s="583"/>
      <c r="C787" s="584"/>
      <c r="D787" s="585"/>
      <c r="E787" s="575"/>
      <c r="F787" s="575"/>
      <c r="G787" s="575"/>
      <c r="H787" s="575"/>
      <c r="I787" s="575"/>
      <c r="J787" s="575"/>
      <c r="K787" s="575"/>
      <c r="L787" s="575"/>
      <c r="M787" s="575"/>
      <c r="N787" s="575"/>
      <c r="O787" s="575"/>
      <c r="P787" s="575"/>
      <c r="Q787" s="575"/>
      <c r="R787" s="575"/>
      <c r="S787" s="575"/>
      <c r="T787" s="575"/>
      <c r="U787" s="575"/>
      <c r="V787" s="575"/>
      <c r="W787" s="575"/>
      <c r="X787" s="575"/>
      <c r="Y787" s="575"/>
      <c r="Z787" s="575"/>
    </row>
    <row r="788">
      <c r="A788" s="582"/>
      <c r="B788" s="583"/>
      <c r="C788" s="584"/>
      <c r="D788" s="585"/>
      <c r="E788" s="575"/>
      <c r="F788" s="575"/>
      <c r="G788" s="575"/>
      <c r="H788" s="575"/>
      <c r="I788" s="575"/>
      <c r="J788" s="575"/>
      <c r="K788" s="575"/>
      <c r="L788" s="575"/>
      <c r="M788" s="575"/>
      <c r="N788" s="575"/>
      <c r="O788" s="575"/>
      <c r="P788" s="575"/>
      <c r="Q788" s="575"/>
      <c r="R788" s="575"/>
      <c r="S788" s="575"/>
      <c r="T788" s="575"/>
      <c r="U788" s="575"/>
      <c r="V788" s="575"/>
      <c r="W788" s="575"/>
      <c r="X788" s="575"/>
      <c r="Y788" s="575"/>
      <c r="Z788" s="575"/>
    </row>
    <row r="789">
      <c r="A789" s="582"/>
      <c r="B789" s="583"/>
      <c r="C789" s="584"/>
      <c r="D789" s="585"/>
      <c r="E789" s="575"/>
      <c r="F789" s="575"/>
      <c r="G789" s="575"/>
      <c r="H789" s="575"/>
      <c r="I789" s="575"/>
      <c r="J789" s="575"/>
      <c r="K789" s="575"/>
      <c r="L789" s="575"/>
      <c r="M789" s="575"/>
      <c r="N789" s="575"/>
      <c r="O789" s="575"/>
      <c r="P789" s="575"/>
      <c r="Q789" s="575"/>
      <c r="R789" s="575"/>
      <c r="S789" s="575"/>
      <c r="T789" s="575"/>
      <c r="U789" s="575"/>
      <c r="V789" s="575"/>
      <c r="W789" s="575"/>
      <c r="X789" s="575"/>
      <c r="Y789" s="575"/>
      <c r="Z789" s="575"/>
    </row>
    <row r="790">
      <c r="A790" s="582"/>
      <c r="B790" s="583"/>
      <c r="C790" s="584"/>
      <c r="D790" s="585"/>
      <c r="E790" s="575"/>
      <c r="F790" s="575"/>
      <c r="G790" s="575"/>
      <c r="H790" s="575"/>
      <c r="I790" s="575"/>
      <c r="J790" s="575"/>
      <c r="K790" s="575"/>
      <c r="L790" s="575"/>
      <c r="M790" s="575"/>
      <c r="N790" s="575"/>
      <c r="O790" s="575"/>
      <c r="P790" s="575"/>
      <c r="Q790" s="575"/>
      <c r="R790" s="575"/>
      <c r="S790" s="575"/>
      <c r="T790" s="575"/>
      <c r="U790" s="575"/>
      <c r="V790" s="575"/>
      <c r="W790" s="575"/>
      <c r="X790" s="575"/>
      <c r="Y790" s="575"/>
      <c r="Z790" s="575"/>
    </row>
    <row r="791">
      <c r="A791" s="582"/>
      <c r="B791" s="583"/>
      <c r="C791" s="584"/>
      <c r="D791" s="585"/>
      <c r="E791" s="575"/>
      <c r="F791" s="575"/>
      <c r="G791" s="575"/>
      <c r="H791" s="575"/>
      <c r="I791" s="575"/>
      <c r="J791" s="575"/>
      <c r="K791" s="575"/>
      <c r="L791" s="575"/>
      <c r="M791" s="575"/>
      <c r="N791" s="575"/>
      <c r="O791" s="575"/>
      <c r="P791" s="575"/>
      <c r="Q791" s="575"/>
      <c r="R791" s="575"/>
      <c r="S791" s="575"/>
      <c r="T791" s="575"/>
      <c r="U791" s="575"/>
      <c r="V791" s="575"/>
      <c r="W791" s="575"/>
      <c r="X791" s="575"/>
      <c r="Y791" s="575"/>
      <c r="Z791" s="575"/>
    </row>
    <row r="792">
      <c r="A792" s="582"/>
      <c r="B792" s="583"/>
      <c r="C792" s="584"/>
      <c r="D792" s="585"/>
      <c r="E792" s="575"/>
      <c r="F792" s="575"/>
      <c r="G792" s="575"/>
      <c r="H792" s="575"/>
      <c r="I792" s="575"/>
      <c r="J792" s="575"/>
      <c r="K792" s="575"/>
      <c r="L792" s="575"/>
      <c r="M792" s="575"/>
      <c r="N792" s="575"/>
      <c r="O792" s="575"/>
      <c r="P792" s="575"/>
      <c r="Q792" s="575"/>
      <c r="R792" s="575"/>
      <c r="S792" s="575"/>
      <c r="T792" s="575"/>
      <c r="U792" s="575"/>
      <c r="V792" s="575"/>
      <c r="W792" s="575"/>
      <c r="X792" s="575"/>
      <c r="Y792" s="575"/>
      <c r="Z792" s="575"/>
    </row>
    <row r="793">
      <c r="A793" s="582"/>
      <c r="B793" s="583"/>
      <c r="C793" s="584"/>
      <c r="D793" s="585"/>
      <c r="E793" s="575"/>
      <c r="F793" s="575"/>
      <c r="G793" s="575"/>
      <c r="H793" s="575"/>
      <c r="I793" s="575"/>
      <c r="J793" s="575"/>
      <c r="K793" s="575"/>
      <c r="L793" s="575"/>
      <c r="M793" s="575"/>
      <c r="N793" s="575"/>
      <c r="O793" s="575"/>
      <c r="P793" s="575"/>
      <c r="Q793" s="575"/>
      <c r="R793" s="575"/>
      <c r="S793" s="575"/>
      <c r="T793" s="575"/>
      <c r="U793" s="575"/>
      <c r="V793" s="575"/>
      <c r="W793" s="575"/>
      <c r="X793" s="575"/>
      <c r="Y793" s="575"/>
      <c r="Z793" s="575"/>
    </row>
    <row r="794">
      <c r="A794" s="582"/>
      <c r="B794" s="583"/>
      <c r="C794" s="584"/>
      <c r="D794" s="585"/>
      <c r="E794" s="575"/>
      <c r="F794" s="575"/>
      <c r="G794" s="575"/>
      <c r="H794" s="575"/>
      <c r="I794" s="575"/>
      <c r="J794" s="575"/>
      <c r="K794" s="575"/>
      <c r="L794" s="575"/>
      <c r="M794" s="575"/>
      <c r="N794" s="575"/>
      <c r="O794" s="575"/>
      <c r="P794" s="575"/>
      <c r="Q794" s="575"/>
      <c r="R794" s="575"/>
      <c r="S794" s="575"/>
      <c r="T794" s="575"/>
      <c r="U794" s="575"/>
      <c r="V794" s="575"/>
      <c r="W794" s="575"/>
      <c r="X794" s="575"/>
      <c r="Y794" s="575"/>
      <c r="Z794" s="575"/>
    </row>
    <row r="795">
      <c r="A795" s="582"/>
      <c r="B795" s="583"/>
      <c r="C795" s="584"/>
      <c r="D795" s="585"/>
      <c r="E795" s="575"/>
      <c r="F795" s="575"/>
      <c r="G795" s="575"/>
      <c r="H795" s="575"/>
      <c r="I795" s="575"/>
      <c r="J795" s="575"/>
      <c r="K795" s="575"/>
      <c r="L795" s="575"/>
      <c r="M795" s="575"/>
      <c r="N795" s="575"/>
      <c r="O795" s="575"/>
      <c r="P795" s="575"/>
      <c r="Q795" s="575"/>
      <c r="R795" s="575"/>
      <c r="S795" s="575"/>
      <c r="T795" s="575"/>
      <c r="U795" s="575"/>
      <c r="V795" s="575"/>
      <c r="W795" s="575"/>
      <c r="X795" s="575"/>
      <c r="Y795" s="575"/>
      <c r="Z795" s="575"/>
    </row>
    <row r="796">
      <c r="A796" s="582"/>
      <c r="B796" s="583"/>
      <c r="C796" s="584"/>
      <c r="D796" s="585"/>
      <c r="E796" s="575"/>
      <c r="F796" s="575"/>
      <c r="G796" s="575"/>
      <c r="H796" s="575"/>
      <c r="I796" s="575"/>
      <c r="J796" s="575"/>
      <c r="K796" s="575"/>
      <c r="L796" s="575"/>
      <c r="M796" s="575"/>
      <c r="N796" s="575"/>
      <c r="O796" s="575"/>
      <c r="P796" s="575"/>
      <c r="Q796" s="575"/>
      <c r="R796" s="575"/>
      <c r="S796" s="575"/>
      <c r="T796" s="575"/>
      <c r="U796" s="575"/>
      <c r="V796" s="575"/>
      <c r="W796" s="575"/>
      <c r="X796" s="575"/>
      <c r="Y796" s="575"/>
      <c r="Z796" s="575"/>
    </row>
    <row r="797">
      <c r="A797" s="582"/>
      <c r="B797" s="583"/>
      <c r="C797" s="584"/>
      <c r="D797" s="585"/>
      <c r="E797" s="575"/>
      <c r="F797" s="575"/>
      <c r="G797" s="575"/>
      <c r="H797" s="575"/>
      <c r="I797" s="575"/>
      <c r="J797" s="575"/>
      <c r="K797" s="575"/>
      <c r="L797" s="575"/>
      <c r="M797" s="575"/>
      <c r="N797" s="575"/>
      <c r="O797" s="575"/>
      <c r="P797" s="575"/>
      <c r="Q797" s="575"/>
      <c r="R797" s="575"/>
      <c r="S797" s="575"/>
      <c r="T797" s="575"/>
      <c r="U797" s="575"/>
      <c r="V797" s="575"/>
      <c r="W797" s="575"/>
      <c r="X797" s="575"/>
      <c r="Y797" s="575"/>
      <c r="Z797" s="575"/>
    </row>
    <row r="798">
      <c r="A798" s="582"/>
      <c r="B798" s="583"/>
      <c r="C798" s="584"/>
      <c r="D798" s="585"/>
      <c r="E798" s="575"/>
      <c r="F798" s="575"/>
      <c r="G798" s="575"/>
      <c r="H798" s="575"/>
      <c r="I798" s="575"/>
      <c r="J798" s="575"/>
      <c r="K798" s="575"/>
      <c r="L798" s="575"/>
      <c r="M798" s="575"/>
      <c r="N798" s="575"/>
      <c r="O798" s="575"/>
      <c r="P798" s="575"/>
      <c r="Q798" s="575"/>
      <c r="R798" s="575"/>
      <c r="S798" s="575"/>
      <c r="T798" s="575"/>
      <c r="U798" s="575"/>
      <c r="V798" s="575"/>
      <c r="W798" s="575"/>
      <c r="X798" s="575"/>
      <c r="Y798" s="575"/>
      <c r="Z798" s="575"/>
    </row>
    <row r="799">
      <c r="A799" s="582"/>
      <c r="B799" s="583"/>
      <c r="C799" s="584"/>
      <c r="D799" s="585"/>
      <c r="E799" s="575"/>
      <c r="F799" s="575"/>
      <c r="G799" s="575"/>
      <c r="H799" s="575"/>
      <c r="I799" s="575"/>
      <c r="J799" s="575"/>
      <c r="K799" s="575"/>
      <c r="L799" s="575"/>
      <c r="M799" s="575"/>
      <c r="N799" s="575"/>
      <c r="O799" s="575"/>
      <c r="P799" s="575"/>
      <c r="Q799" s="575"/>
      <c r="R799" s="575"/>
      <c r="S799" s="575"/>
      <c r="T799" s="575"/>
      <c r="U799" s="575"/>
      <c r="V799" s="575"/>
      <c r="W799" s="575"/>
      <c r="X799" s="575"/>
      <c r="Y799" s="575"/>
      <c r="Z799" s="575"/>
    </row>
    <row r="800">
      <c r="A800" s="582"/>
      <c r="B800" s="583"/>
      <c r="C800" s="584"/>
      <c r="D800" s="585"/>
      <c r="E800" s="575"/>
      <c r="F800" s="575"/>
      <c r="G800" s="575"/>
      <c r="H800" s="575"/>
      <c r="I800" s="575"/>
      <c r="J800" s="575"/>
      <c r="K800" s="575"/>
      <c r="L800" s="575"/>
      <c r="M800" s="575"/>
      <c r="N800" s="575"/>
      <c r="O800" s="575"/>
      <c r="P800" s="575"/>
      <c r="Q800" s="575"/>
      <c r="R800" s="575"/>
      <c r="S800" s="575"/>
      <c r="T800" s="575"/>
      <c r="U800" s="575"/>
      <c r="V800" s="575"/>
      <c r="W800" s="575"/>
      <c r="X800" s="575"/>
      <c r="Y800" s="575"/>
      <c r="Z800" s="575"/>
    </row>
    <row r="801">
      <c r="A801" s="582"/>
      <c r="B801" s="583"/>
      <c r="C801" s="584"/>
      <c r="D801" s="585"/>
      <c r="E801" s="575"/>
      <c r="F801" s="575"/>
      <c r="G801" s="575"/>
      <c r="H801" s="575"/>
      <c r="I801" s="575"/>
      <c r="J801" s="575"/>
      <c r="K801" s="575"/>
      <c r="L801" s="575"/>
      <c r="M801" s="575"/>
      <c r="N801" s="575"/>
      <c r="O801" s="575"/>
      <c r="P801" s="575"/>
      <c r="Q801" s="575"/>
      <c r="R801" s="575"/>
      <c r="S801" s="575"/>
      <c r="T801" s="575"/>
      <c r="U801" s="575"/>
      <c r="V801" s="575"/>
      <c r="W801" s="575"/>
      <c r="X801" s="575"/>
      <c r="Y801" s="575"/>
      <c r="Z801" s="575"/>
    </row>
    <row r="802">
      <c r="A802" s="582"/>
      <c r="B802" s="583"/>
      <c r="C802" s="584"/>
      <c r="D802" s="585"/>
      <c r="E802" s="575"/>
      <c r="F802" s="575"/>
      <c r="G802" s="575"/>
      <c r="H802" s="575"/>
      <c r="I802" s="575"/>
      <c r="J802" s="575"/>
      <c r="K802" s="575"/>
      <c r="L802" s="575"/>
      <c r="M802" s="575"/>
      <c r="N802" s="575"/>
      <c r="O802" s="575"/>
      <c r="P802" s="575"/>
      <c r="Q802" s="575"/>
      <c r="R802" s="575"/>
      <c r="S802" s="575"/>
      <c r="T802" s="575"/>
      <c r="U802" s="575"/>
      <c r="V802" s="575"/>
      <c r="W802" s="575"/>
      <c r="X802" s="575"/>
      <c r="Y802" s="575"/>
      <c r="Z802" s="575"/>
    </row>
    <row r="803">
      <c r="A803" s="582"/>
      <c r="B803" s="583"/>
      <c r="C803" s="584"/>
      <c r="D803" s="585"/>
      <c r="E803" s="575"/>
      <c r="F803" s="575"/>
      <c r="G803" s="575"/>
      <c r="H803" s="575"/>
      <c r="I803" s="575"/>
      <c r="J803" s="575"/>
      <c r="K803" s="575"/>
      <c r="L803" s="575"/>
      <c r="M803" s="575"/>
      <c r="N803" s="575"/>
      <c r="O803" s="575"/>
      <c r="P803" s="575"/>
      <c r="Q803" s="575"/>
      <c r="R803" s="575"/>
      <c r="S803" s="575"/>
      <c r="T803" s="575"/>
      <c r="U803" s="575"/>
      <c r="V803" s="575"/>
      <c r="W803" s="575"/>
      <c r="X803" s="575"/>
      <c r="Y803" s="575"/>
      <c r="Z803" s="575"/>
    </row>
    <row r="804">
      <c r="A804" s="582"/>
      <c r="B804" s="583"/>
      <c r="C804" s="584"/>
      <c r="D804" s="585"/>
      <c r="E804" s="575"/>
      <c r="F804" s="575"/>
      <c r="G804" s="575"/>
      <c r="H804" s="575"/>
      <c r="I804" s="575"/>
      <c r="J804" s="575"/>
      <c r="K804" s="575"/>
      <c r="L804" s="575"/>
      <c r="M804" s="575"/>
      <c r="N804" s="575"/>
      <c r="O804" s="575"/>
      <c r="P804" s="575"/>
      <c r="Q804" s="575"/>
      <c r="R804" s="575"/>
      <c r="S804" s="575"/>
      <c r="T804" s="575"/>
      <c r="U804" s="575"/>
      <c r="V804" s="575"/>
      <c r="W804" s="575"/>
      <c r="X804" s="575"/>
      <c r="Y804" s="575"/>
      <c r="Z804" s="575"/>
    </row>
    <row r="805">
      <c r="A805" s="582"/>
      <c r="B805" s="583"/>
      <c r="C805" s="584"/>
      <c r="D805" s="585"/>
      <c r="E805" s="575"/>
      <c r="F805" s="575"/>
      <c r="G805" s="575"/>
      <c r="H805" s="575"/>
      <c r="I805" s="575"/>
      <c r="J805" s="575"/>
      <c r="K805" s="575"/>
      <c r="L805" s="575"/>
      <c r="M805" s="575"/>
      <c r="N805" s="575"/>
      <c r="O805" s="575"/>
      <c r="P805" s="575"/>
      <c r="Q805" s="575"/>
      <c r="R805" s="575"/>
      <c r="S805" s="575"/>
      <c r="T805" s="575"/>
      <c r="U805" s="575"/>
      <c r="V805" s="575"/>
      <c r="W805" s="575"/>
      <c r="X805" s="575"/>
      <c r="Y805" s="575"/>
      <c r="Z805" s="575"/>
    </row>
    <row r="806">
      <c r="A806" s="582"/>
      <c r="B806" s="583"/>
      <c r="C806" s="584"/>
      <c r="D806" s="585"/>
      <c r="E806" s="575"/>
      <c r="F806" s="575"/>
      <c r="G806" s="575"/>
      <c r="H806" s="575"/>
      <c r="I806" s="575"/>
      <c r="J806" s="575"/>
      <c r="K806" s="575"/>
      <c r="L806" s="575"/>
      <c r="M806" s="575"/>
      <c r="N806" s="575"/>
      <c r="O806" s="575"/>
      <c r="P806" s="575"/>
      <c r="Q806" s="575"/>
      <c r="R806" s="575"/>
      <c r="S806" s="575"/>
      <c r="T806" s="575"/>
      <c r="U806" s="575"/>
      <c r="V806" s="575"/>
      <c r="W806" s="575"/>
      <c r="X806" s="575"/>
      <c r="Y806" s="575"/>
      <c r="Z806" s="575"/>
    </row>
    <row r="807">
      <c r="A807" s="582"/>
      <c r="B807" s="583"/>
      <c r="C807" s="584"/>
      <c r="D807" s="585"/>
      <c r="E807" s="575"/>
      <c r="F807" s="575"/>
      <c r="G807" s="575"/>
      <c r="H807" s="575"/>
      <c r="I807" s="575"/>
      <c r="J807" s="575"/>
      <c r="K807" s="575"/>
      <c r="L807" s="575"/>
      <c r="M807" s="575"/>
      <c r="N807" s="575"/>
      <c r="O807" s="575"/>
      <c r="P807" s="575"/>
      <c r="Q807" s="575"/>
      <c r="R807" s="575"/>
      <c r="S807" s="575"/>
      <c r="T807" s="575"/>
      <c r="U807" s="575"/>
      <c r="V807" s="575"/>
      <c r="W807" s="575"/>
      <c r="X807" s="575"/>
      <c r="Y807" s="575"/>
      <c r="Z807" s="575"/>
    </row>
    <row r="808">
      <c r="A808" s="582"/>
      <c r="B808" s="583"/>
      <c r="C808" s="584"/>
      <c r="D808" s="585"/>
      <c r="E808" s="575"/>
      <c r="F808" s="575"/>
      <c r="G808" s="575"/>
      <c r="H808" s="575"/>
      <c r="I808" s="575"/>
      <c r="J808" s="575"/>
      <c r="K808" s="575"/>
      <c r="L808" s="575"/>
      <c r="M808" s="575"/>
      <c r="N808" s="575"/>
      <c r="O808" s="575"/>
      <c r="P808" s="575"/>
      <c r="Q808" s="575"/>
      <c r="R808" s="575"/>
      <c r="S808" s="575"/>
      <c r="T808" s="575"/>
      <c r="U808" s="575"/>
      <c r="V808" s="575"/>
      <c r="W808" s="575"/>
      <c r="X808" s="575"/>
      <c r="Y808" s="575"/>
      <c r="Z808" s="575"/>
    </row>
    <row r="809">
      <c r="A809" s="582"/>
      <c r="B809" s="583"/>
      <c r="C809" s="584"/>
      <c r="D809" s="585"/>
      <c r="E809" s="575"/>
      <c r="F809" s="575"/>
      <c r="G809" s="575"/>
      <c r="H809" s="575"/>
      <c r="I809" s="575"/>
      <c r="J809" s="575"/>
      <c r="K809" s="575"/>
      <c r="L809" s="575"/>
      <c r="M809" s="575"/>
      <c r="N809" s="575"/>
      <c r="O809" s="575"/>
      <c r="P809" s="575"/>
      <c r="Q809" s="575"/>
      <c r="R809" s="575"/>
      <c r="S809" s="575"/>
      <c r="T809" s="575"/>
      <c r="U809" s="575"/>
      <c r="V809" s="575"/>
      <c r="W809" s="575"/>
      <c r="X809" s="575"/>
      <c r="Y809" s="575"/>
      <c r="Z809" s="575"/>
    </row>
    <row r="810">
      <c r="A810" s="582"/>
      <c r="B810" s="583"/>
      <c r="C810" s="584"/>
      <c r="D810" s="585"/>
      <c r="E810" s="575"/>
      <c r="F810" s="575"/>
      <c r="G810" s="575"/>
      <c r="H810" s="575"/>
      <c r="I810" s="575"/>
      <c r="J810" s="575"/>
      <c r="K810" s="575"/>
      <c r="L810" s="575"/>
      <c r="M810" s="575"/>
      <c r="N810" s="575"/>
      <c r="O810" s="575"/>
      <c r="P810" s="575"/>
      <c r="Q810" s="575"/>
      <c r="R810" s="575"/>
      <c r="S810" s="575"/>
      <c r="T810" s="575"/>
      <c r="U810" s="575"/>
      <c r="V810" s="575"/>
      <c r="W810" s="575"/>
      <c r="X810" s="575"/>
      <c r="Y810" s="575"/>
      <c r="Z810" s="575"/>
    </row>
    <row r="811">
      <c r="A811" s="582"/>
      <c r="B811" s="583"/>
      <c r="C811" s="584"/>
      <c r="D811" s="585"/>
      <c r="E811" s="575"/>
      <c r="F811" s="575"/>
      <c r="G811" s="575"/>
      <c r="H811" s="575"/>
      <c r="I811" s="575"/>
      <c r="J811" s="575"/>
      <c r="K811" s="575"/>
      <c r="L811" s="575"/>
      <c r="M811" s="575"/>
      <c r="N811" s="575"/>
      <c r="O811" s="575"/>
      <c r="P811" s="575"/>
      <c r="Q811" s="575"/>
      <c r="R811" s="575"/>
      <c r="S811" s="575"/>
      <c r="T811" s="575"/>
      <c r="U811" s="575"/>
      <c r="V811" s="575"/>
      <c r="W811" s="575"/>
      <c r="X811" s="575"/>
      <c r="Y811" s="575"/>
      <c r="Z811" s="575"/>
    </row>
    <row r="812">
      <c r="A812" s="582"/>
      <c r="B812" s="583"/>
      <c r="C812" s="584"/>
      <c r="D812" s="585"/>
      <c r="E812" s="575"/>
      <c r="F812" s="575"/>
      <c r="G812" s="575"/>
      <c r="H812" s="575"/>
      <c r="I812" s="575"/>
      <c r="J812" s="575"/>
      <c r="K812" s="575"/>
      <c r="L812" s="575"/>
      <c r="M812" s="575"/>
      <c r="N812" s="575"/>
      <c r="O812" s="575"/>
      <c r="P812" s="575"/>
      <c r="Q812" s="575"/>
      <c r="R812" s="575"/>
      <c r="S812" s="575"/>
      <c r="T812" s="575"/>
      <c r="U812" s="575"/>
      <c r="V812" s="575"/>
      <c r="W812" s="575"/>
      <c r="X812" s="575"/>
      <c r="Y812" s="575"/>
      <c r="Z812" s="575"/>
    </row>
    <row r="813">
      <c r="A813" s="582"/>
      <c r="B813" s="583"/>
      <c r="C813" s="584"/>
      <c r="D813" s="585"/>
      <c r="E813" s="575"/>
      <c r="F813" s="575"/>
      <c r="G813" s="575"/>
      <c r="H813" s="575"/>
      <c r="I813" s="575"/>
      <c r="J813" s="575"/>
      <c r="K813" s="575"/>
      <c r="L813" s="575"/>
      <c r="M813" s="575"/>
      <c r="N813" s="575"/>
      <c r="O813" s="575"/>
      <c r="P813" s="575"/>
      <c r="Q813" s="575"/>
      <c r="R813" s="575"/>
      <c r="S813" s="575"/>
      <c r="T813" s="575"/>
      <c r="U813" s="575"/>
      <c r="V813" s="575"/>
      <c r="W813" s="575"/>
      <c r="X813" s="575"/>
      <c r="Y813" s="575"/>
      <c r="Z813" s="575"/>
    </row>
    <row r="814">
      <c r="A814" s="582"/>
      <c r="B814" s="583"/>
      <c r="C814" s="584"/>
      <c r="D814" s="585"/>
      <c r="E814" s="575"/>
      <c r="F814" s="575"/>
      <c r="G814" s="575"/>
      <c r="H814" s="575"/>
      <c r="I814" s="575"/>
      <c r="J814" s="575"/>
      <c r="K814" s="575"/>
      <c r="L814" s="575"/>
      <c r="M814" s="575"/>
      <c r="N814" s="575"/>
      <c r="O814" s="575"/>
      <c r="P814" s="575"/>
      <c r="Q814" s="575"/>
      <c r="R814" s="575"/>
      <c r="S814" s="575"/>
      <c r="T814" s="575"/>
      <c r="U814" s="575"/>
      <c r="V814" s="575"/>
      <c r="W814" s="575"/>
      <c r="X814" s="575"/>
      <c r="Y814" s="575"/>
      <c r="Z814" s="575"/>
    </row>
    <row r="815">
      <c r="A815" s="582"/>
      <c r="B815" s="583"/>
      <c r="C815" s="584"/>
      <c r="D815" s="585"/>
      <c r="E815" s="575"/>
      <c r="F815" s="575"/>
      <c r="G815" s="575"/>
      <c r="H815" s="575"/>
      <c r="I815" s="575"/>
      <c r="J815" s="575"/>
      <c r="K815" s="575"/>
      <c r="L815" s="575"/>
      <c r="M815" s="575"/>
      <c r="N815" s="575"/>
      <c r="O815" s="575"/>
      <c r="P815" s="575"/>
      <c r="Q815" s="575"/>
      <c r="R815" s="575"/>
      <c r="S815" s="575"/>
      <c r="T815" s="575"/>
      <c r="U815" s="575"/>
      <c r="V815" s="575"/>
      <c r="W815" s="575"/>
      <c r="X815" s="575"/>
      <c r="Y815" s="575"/>
      <c r="Z815" s="575"/>
    </row>
    <row r="816">
      <c r="A816" s="582"/>
      <c r="B816" s="583"/>
      <c r="C816" s="584"/>
      <c r="D816" s="585"/>
      <c r="E816" s="575"/>
      <c r="F816" s="575"/>
      <c r="G816" s="575"/>
      <c r="H816" s="575"/>
      <c r="I816" s="575"/>
      <c r="J816" s="575"/>
      <c r="K816" s="575"/>
      <c r="L816" s="575"/>
      <c r="M816" s="575"/>
      <c r="N816" s="575"/>
      <c r="O816" s="575"/>
      <c r="P816" s="575"/>
      <c r="Q816" s="575"/>
      <c r="R816" s="575"/>
      <c r="S816" s="575"/>
      <c r="T816" s="575"/>
      <c r="U816" s="575"/>
      <c r="V816" s="575"/>
      <c r="W816" s="575"/>
      <c r="X816" s="575"/>
      <c r="Y816" s="575"/>
      <c r="Z816" s="575"/>
    </row>
    <row r="817">
      <c r="A817" s="582"/>
      <c r="B817" s="583"/>
      <c r="C817" s="584"/>
      <c r="D817" s="585"/>
      <c r="E817" s="575"/>
      <c r="F817" s="575"/>
      <c r="G817" s="575"/>
      <c r="H817" s="575"/>
      <c r="I817" s="575"/>
      <c r="J817" s="575"/>
      <c r="K817" s="575"/>
      <c r="L817" s="575"/>
      <c r="M817" s="575"/>
      <c r="N817" s="575"/>
      <c r="O817" s="575"/>
      <c r="P817" s="575"/>
      <c r="Q817" s="575"/>
      <c r="R817" s="575"/>
      <c r="S817" s="575"/>
      <c r="T817" s="575"/>
      <c r="U817" s="575"/>
      <c r="V817" s="575"/>
      <c r="W817" s="575"/>
      <c r="X817" s="575"/>
      <c r="Y817" s="575"/>
      <c r="Z817" s="575"/>
    </row>
    <row r="818">
      <c r="A818" s="582"/>
      <c r="B818" s="583"/>
      <c r="C818" s="584"/>
      <c r="D818" s="585"/>
      <c r="E818" s="575"/>
      <c r="F818" s="575"/>
      <c r="G818" s="575"/>
      <c r="H818" s="575"/>
      <c r="I818" s="575"/>
      <c r="J818" s="575"/>
      <c r="K818" s="575"/>
      <c r="L818" s="575"/>
      <c r="M818" s="575"/>
      <c r="N818" s="575"/>
      <c r="O818" s="575"/>
      <c r="P818" s="575"/>
      <c r="Q818" s="575"/>
      <c r="R818" s="575"/>
      <c r="S818" s="575"/>
      <c r="T818" s="575"/>
      <c r="U818" s="575"/>
      <c r="V818" s="575"/>
      <c r="W818" s="575"/>
      <c r="X818" s="575"/>
      <c r="Y818" s="575"/>
      <c r="Z818" s="575"/>
    </row>
    <row r="819">
      <c r="A819" s="582"/>
      <c r="B819" s="583"/>
      <c r="C819" s="584"/>
      <c r="D819" s="585"/>
      <c r="E819" s="575"/>
      <c r="F819" s="575"/>
      <c r="G819" s="575"/>
      <c r="H819" s="575"/>
      <c r="I819" s="575"/>
      <c r="J819" s="575"/>
      <c r="K819" s="575"/>
      <c r="L819" s="575"/>
      <c r="M819" s="575"/>
      <c r="N819" s="575"/>
      <c r="O819" s="575"/>
      <c r="P819" s="575"/>
      <c r="Q819" s="575"/>
      <c r="R819" s="575"/>
      <c r="S819" s="575"/>
      <c r="T819" s="575"/>
      <c r="U819" s="575"/>
      <c r="V819" s="575"/>
      <c r="W819" s="575"/>
      <c r="X819" s="575"/>
      <c r="Y819" s="575"/>
      <c r="Z819" s="575"/>
    </row>
    <row r="820">
      <c r="A820" s="582"/>
      <c r="B820" s="583"/>
      <c r="C820" s="584"/>
      <c r="D820" s="585"/>
      <c r="E820" s="575"/>
      <c r="F820" s="575"/>
      <c r="G820" s="575"/>
      <c r="H820" s="575"/>
      <c r="I820" s="575"/>
      <c r="J820" s="575"/>
      <c r="K820" s="575"/>
      <c r="L820" s="575"/>
      <c r="M820" s="575"/>
      <c r="N820" s="575"/>
      <c r="O820" s="575"/>
      <c r="P820" s="575"/>
      <c r="Q820" s="575"/>
      <c r="R820" s="575"/>
      <c r="S820" s="575"/>
      <c r="T820" s="575"/>
      <c r="U820" s="575"/>
      <c r="V820" s="575"/>
      <c r="W820" s="575"/>
      <c r="X820" s="575"/>
      <c r="Y820" s="575"/>
      <c r="Z820" s="575"/>
    </row>
    <row r="821">
      <c r="A821" s="582"/>
      <c r="B821" s="583"/>
      <c r="C821" s="584"/>
      <c r="D821" s="585"/>
      <c r="E821" s="575"/>
      <c r="F821" s="575"/>
      <c r="G821" s="575"/>
      <c r="H821" s="575"/>
      <c r="I821" s="575"/>
      <c r="J821" s="575"/>
      <c r="K821" s="575"/>
      <c r="L821" s="575"/>
      <c r="M821" s="575"/>
      <c r="N821" s="575"/>
      <c r="O821" s="575"/>
      <c r="P821" s="575"/>
      <c r="Q821" s="575"/>
      <c r="R821" s="575"/>
      <c r="S821" s="575"/>
      <c r="T821" s="575"/>
      <c r="U821" s="575"/>
      <c r="V821" s="575"/>
      <c r="W821" s="575"/>
      <c r="X821" s="575"/>
      <c r="Y821" s="575"/>
      <c r="Z821" s="575"/>
    </row>
    <row r="822">
      <c r="A822" s="582"/>
      <c r="B822" s="583"/>
      <c r="C822" s="584"/>
      <c r="D822" s="585"/>
      <c r="E822" s="575"/>
      <c r="F822" s="575"/>
      <c r="G822" s="575"/>
      <c r="H822" s="575"/>
      <c r="I822" s="575"/>
      <c r="J822" s="575"/>
      <c r="K822" s="575"/>
      <c r="L822" s="575"/>
      <c r="M822" s="575"/>
      <c r="N822" s="575"/>
      <c r="O822" s="575"/>
      <c r="P822" s="575"/>
      <c r="Q822" s="575"/>
      <c r="R822" s="575"/>
      <c r="S822" s="575"/>
      <c r="T822" s="575"/>
      <c r="U822" s="575"/>
      <c r="V822" s="575"/>
      <c r="W822" s="575"/>
      <c r="X822" s="575"/>
      <c r="Y822" s="575"/>
      <c r="Z822" s="575"/>
    </row>
    <row r="823">
      <c r="A823" s="582"/>
      <c r="B823" s="583"/>
      <c r="C823" s="584"/>
      <c r="D823" s="585"/>
      <c r="E823" s="575"/>
      <c r="F823" s="575"/>
      <c r="G823" s="575"/>
      <c r="H823" s="575"/>
      <c r="I823" s="575"/>
      <c r="J823" s="575"/>
      <c r="K823" s="575"/>
      <c r="L823" s="575"/>
      <c r="M823" s="575"/>
      <c r="N823" s="575"/>
      <c r="O823" s="575"/>
      <c r="P823" s="575"/>
      <c r="Q823" s="575"/>
      <c r="R823" s="575"/>
      <c r="S823" s="575"/>
      <c r="T823" s="575"/>
      <c r="U823" s="575"/>
      <c r="V823" s="575"/>
      <c r="W823" s="575"/>
      <c r="X823" s="575"/>
      <c r="Y823" s="575"/>
      <c r="Z823" s="575"/>
    </row>
    <row r="824">
      <c r="A824" s="582"/>
      <c r="B824" s="583"/>
      <c r="C824" s="584"/>
      <c r="D824" s="585"/>
      <c r="E824" s="575"/>
      <c r="F824" s="575"/>
      <c r="G824" s="575"/>
      <c r="H824" s="575"/>
      <c r="I824" s="575"/>
      <c r="J824" s="575"/>
      <c r="K824" s="575"/>
      <c r="L824" s="575"/>
      <c r="M824" s="575"/>
      <c r="N824" s="575"/>
      <c r="O824" s="575"/>
      <c r="P824" s="575"/>
      <c r="Q824" s="575"/>
      <c r="R824" s="575"/>
      <c r="S824" s="575"/>
      <c r="T824" s="575"/>
      <c r="U824" s="575"/>
      <c r="V824" s="575"/>
      <c r="W824" s="575"/>
      <c r="X824" s="575"/>
      <c r="Y824" s="575"/>
      <c r="Z824" s="575"/>
    </row>
    <row r="825">
      <c r="A825" s="582"/>
      <c r="B825" s="583"/>
      <c r="C825" s="584"/>
      <c r="D825" s="585"/>
      <c r="E825" s="575"/>
      <c r="F825" s="575"/>
      <c r="G825" s="575"/>
      <c r="H825" s="575"/>
      <c r="I825" s="575"/>
      <c r="J825" s="575"/>
      <c r="K825" s="575"/>
      <c r="L825" s="575"/>
      <c r="M825" s="575"/>
      <c r="N825" s="575"/>
      <c r="O825" s="575"/>
      <c r="P825" s="575"/>
      <c r="Q825" s="575"/>
      <c r="R825" s="575"/>
      <c r="S825" s="575"/>
      <c r="T825" s="575"/>
      <c r="U825" s="575"/>
      <c r="V825" s="575"/>
      <c r="W825" s="575"/>
      <c r="X825" s="575"/>
      <c r="Y825" s="575"/>
      <c r="Z825" s="575"/>
    </row>
    <row r="826">
      <c r="A826" s="582"/>
      <c r="B826" s="583"/>
      <c r="C826" s="584"/>
      <c r="D826" s="585"/>
      <c r="E826" s="575"/>
      <c r="F826" s="575"/>
      <c r="G826" s="575"/>
      <c r="H826" s="575"/>
      <c r="I826" s="575"/>
      <c r="J826" s="575"/>
      <c r="K826" s="575"/>
      <c r="L826" s="575"/>
      <c r="M826" s="575"/>
      <c r="N826" s="575"/>
      <c r="O826" s="575"/>
      <c r="P826" s="575"/>
      <c r="Q826" s="575"/>
      <c r="R826" s="575"/>
      <c r="S826" s="575"/>
      <c r="T826" s="575"/>
      <c r="U826" s="575"/>
      <c r="V826" s="575"/>
      <c r="W826" s="575"/>
      <c r="X826" s="575"/>
      <c r="Y826" s="575"/>
      <c r="Z826" s="575"/>
    </row>
    <row r="827">
      <c r="A827" s="582"/>
      <c r="B827" s="583"/>
      <c r="C827" s="584"/>
      <c r="D827" s="585"/>
      <c r="E827" s="575"/>
      <c r="F827" s="575"/>
      <c r="G827" s="575"/>
      <c r="H827" s="575"/>
      <c r="I827" s="575"/>
      <c r="J827" s="575"/>
      <c r="K827" s="575"/>
      <c r="L827" s="575"/>
      <c r="M827" s="575"/>
      <c r="N827" s="575"/>
      <c r="O827" s="575"/>
      <c r="P827" s="575"/>
      <c r="Q827" s="575"/>
      <c r="R827" s="575"/>
      <c r="S827" s="575"/>
      <c r="T827" s="575"/>
      <c r="U827" s="575"/>
      <c r="V827" s="575"/>
      <c r="W827" s="575"/>
      <c r="X827" s="575"/>
      <c r="Y827" s="575"/>
      <c r="Z827" s="575"/>
    </row>
    <row r="828">
      <c r="A828" s="582"/>
      <c r="B828" s="583"/>
      <c r="C828" s="584"/>
      <c r="D828" s="585"/>
      <c r="E828" s="575"/>
      <c r="F828" s="575"/>
      <c r="G828" s="575"/>
      <c r="H828" s="575"/>
      <c r="I828" s="575"/>
      <c r="J828" s="575"/>
      <c r="K828" s="575"/>
      <c r="L828" s="575"/>
      <c r="M828" s="575"/>
      <c r="N828" s="575"/>
      <c r="O828" s="575"/>
      <c r="P828" s="575"/>
      <c r="Q828" s="575"/>
      <c r="R828" s="575"/>
      <c r="S828" s="575"/>
      <c r="T828" s="575"/>
      <c r="U828" s="575"/>
      <c r="V828" s="575"/>
      <c r="W828" s="575"/>
      <c r="X828" s="575"/>
      <c r="Y828" s="575"/>
      <c r="Z828" s="575"/>
    </row>
    <row r="829">
      <c r="A829" s="582"/>
      <c r="B829" s="583"/>
      <c r="C829" s="584"/>
      <c r="D829" s="585"/>
      <c r="E829" s="575"/>
      <c r="F829" s="575"/>
      <c r="G829" s="575"/>
      <c r="H829" s="575"/>
      <c r="I829" s="575"/>
      <c r="J829" s="575"/>
      <c r="K829" s="575"/>
      <c r="L829" s="575"/>
      <c r="M829" s="575"/>
      <c r="N829" s="575"/>
      <c r="O829" s="575"/>
      <c r="P829" s="575"/>
      <c r="Q829" s="575"/>
      <c r="R829" s="575"/>
      <c r="S829" s="575"/>
      <c r="T829" s="575"/>
      <c r="U829" s="575"/>
      <c r="V829" s="575"/>
      <c r="W829" s="575"/>
      <c r="X829" s="575"/>
      <c r="Y829" s="575"/>
      <c r="Z829" s="575"/>
    </row>
    <row r="830">
      <c r="A830" s="582"/>
      <c r="B830" s="583"/>
      <c r="C830" s="584"/>
      <c r="D830" s="585"/>
      <c r="E830" s="575"/>
      <c r="F830" s="575"/>
      <c r="G830" s="575"/>
      <c r="H830" s="575"/>
      <c r="I830" s="575"/>
      <c r="J830" s="575"/>
      <c r="K830" s="575"/>
      <c r="L830" s="575"/>
      <c r="M830" s="575"/>
      <c r="N830" s="575"/>
      <c r="O830" s="575"/>
      <c r="P830" s="575"/>
      <c r="Q830" s="575"/>
      <c r="R830" s="575"/>
      <c r="S830" s="575"/>
      <c r="T830" s="575"/>
      <c r="U830" s="575"/>
      <c r="V830" s="575"/>
      <c r="W830" s="575"/>
      <c r="X830" s="575"/>
      <c r="Y830" s="575"/>
      <c r="Z830" s="575"/>
    </row>
    <row r="831">
      <c r="A831" s="582"/>
      <c r="B831" s="583"/>
      <c r="C831" s="584"/>
      <c r="D831" s="585"/>
      <c r="E831" s="575"/>
      <c r="F831" s="575"/>
      <c r="G831" s="575"/>
      <c r="H831" s="575"/>
      <c r="I831" s="575"/>
      <c r="J831" s="575"/>
      <c r="K831" s="575"/>
      <c r="L831" s="575"/>
      <c r="M831" s="575"/>
      <c r="N831" s="575"/>
      <c r="O831" s="575"/>
      <c r="P831" s="575"/>
      <c r="Q831" s="575"/>
      <c r="R831" s="575"/>
      <c r="S831" s="575"/>
      <c r="T831" s="575"/>
      <c r="U831" s="575"/>
      <c r="V831" s="575"/>
      <c r="W831" s="575"/>
      <c r="X831" s="575"/>
      <c r="Y831" s="575"/>
      <c r="Z831" s="575"/>
    </row>
    <row r="832">
      <c r="A832" s="582"/>
      <c r="B832" s="583"/>
      <c r="C832" s="584"/>
      <c r="D832" s="585"/>
      <c r="E832" s="575"/>
      <c r="F832" s="575"/>
      <c r="G832" s="575"/>
      <c r="H832" s="575"/>
      <c r="I832" s="575"/>
      <c r="J832" s="575"/>
      <c r="K832" s="575"/>
      <c r="L832" s="575"/>
      <c r="M832" s="575"/>
      <c r="N832" s="575"/>
      <c r="O832" s="575"/>
      <c r="P832" s="575"/>
      <c r="Q832" s="575"/>
      <c r="R832" s="575"/>
      <c r="S832" s="575"/>
      <c r="T832" s="575"/>
      <c r="U832" s="575"/>
      <c r="V832" s="575"/>
      <c r="W832" s="575"/>
      <c r="X832" s="575"/>
      <c r="Y832" s="575"/>
      <c r="Z832" s="575"/>
    </row>
    <row r="833">
      <c r="A833" s="582"/>
      <c r="B833" s="583"/>
      <c r="C833" s="584"/>
      <c r="D833" s="585"/>
      <c r="E833" s="575"/>
      <c r="F833" s="575"/>
      <c r="G833" s="575"/>
      <c r="H833" s="575"/>
      <c r="I833" s="575"/>
      <c r="J833" s="575"/>
      <c r="K833" s="575"/>
      <c r="L833" s="575"/>
      <c r="M833" s="575"/>
      <c r="N833" s="575"/>
      <c r="O833" s="575"/>
      <c r="P833" s="575"/>
      <c r="Q833" s="575"/>
      <c r="R833" s="575"/>
      <c r="S833" s="575"/>
      <c r="T833" s="575"/>
      <c r="U833" s="575"/>
      <c r="V833" s="575"/>
      <c r="W833" s="575"/>
      <c r="X833" s="575"/>
      <c r="Y833" s="575"/>
      <c r="Z833" s="575"/>
    </row>
    <row r="834">
      <c r="A834" s="582"/>
      <c r="B834" s="583"/>
      <c r="C834" s="584"/>
      <c r="D834" s="585"/>
      <c r="E834" s="575"/>
      <c r="F834" s="575"/>
      <c r="G834" s="575"/>
      <c r="H834" s="575"/>
      <c r="I834" s="575"/>
      <c r="J834" s="575"/>
      <c r="K834" s="575"/>
      <c r="L834" s="575"/>
      <c r="M834" s="575"/>
      <c r="N834" s="575"/>
      <c r="O834" s="575"/>
      <c r="P834" s="575"/>
      <c r="Q834" s="575"/>
      <c r="R834" s="575"/>
      <c r="S834" s="575"/>
      <c r="T834" s="575"/>
      <c r="U834" s="575"/>
      <c r="V834" s="575"/>
      <c r="W834" s="575"/>
      <c r="X834" s="575"/>
      <c r="Y834" s="575"/>
      <c r="Z834" s="575"/>
    </row>
    <row r="835">
      <c r="A835" s="582"/>
      <c r="B835" s="583"/>
      <c r="C835" s="584"/>
      <c r="D835" s="585"/>
      <c r="E835" s="575"/>
      <c r="F835" s="575"/>
      <c r="G835" s="575"/>
      <c r="H835" s="575"/>
      <c r="I835" s="575"/>
      <c r="J835" s="575"/>
      <c r="K835" s="575"/>
      <c r="L835" s="575"/>
      <c r="M835" s="575"/>
      <c r="N835" s="575"/>
      <c r="O835" s="575"/>
      <c r="P835" s="575"/>
      <c r="Q835" s="575"/>
      <c r="R835" s="575"/>
      <c r="S835" s="575"/>
      <c r="T835" s="575"/>
      <c r="U835" s="575"/>
      <c r="V835" s="575"/>
      <c r="W835" s="575"/>
      <c r="X835" s="575"/>
      <c r="Y835" s="575"/>
      <c r="Z835" s="575"/>
    </row>
    <row r="836">
      <c r="A836" s="582"/>
      <c r="B836" s="583"/>
      <c r="C836" s="584"/>
      <c r="D836" s="585"/>
      <c r="E836" s="575"/>
      <c r="F836" s="575"/>
      <c r="G836" s="575"/>
      <c r="H836" s="575"/>
      <c r="I836" s="575"/>
      <c r="J836" s="575"/>
      <c r="K836" s="575"/>
      <c r="L836" s="575"/>
      <c r="M836" s="575"/>
      <c r="N836" s="575"/>
      <c r="O836" s="575"/>
      <c r="P836" s="575"/>
      <c r="Q836" s="575"/>
      <c r="R836" s="575"/>
      <c r="S836" s="575"/>
      <c r="T836" s="575"/>
      <c r="U836" s="575"/>
      <c r="V836" s="575"/>
      <c r="W836" s="575"/>
      <c r="X836" s="575"/>
      <c r="Y836" s="575"/>
      <c r="Z836" s="575"/>
    </row>
    <row r="837">
      <c r="A837" s="582"/>
      <c r="B837" s="583"/>
      <c r="C837" s="584"/>
      <c r="D837" s="585"/>
      <c r="E837" s="575"/>
      <c r="F837" s="575"/>
      <c r="G837" s="575"/>
      <c r="H837" s="575"/>
      <c r="I837" s="575"/>
      <c r="J837" s="575"/>
      <c r="K837" s="575"/>
      <c r="L837" s="575"/>
      <c r="M837" s="575"/>
      <c r="N837" s="575"/>
      <c r="O837" s="575"/>
      <c r="P837" s="575"/>
      <c r="Q837" s="575"/>
      <c r="R837" s="575"/>
      <c r="S837" s="575"/>
      <c r="T837" s="575"/>
      <c r="U837" s="575"/>
      <c r="V837" s="575"/>
      <c r="W837" s="575"/>
      <c r="X837" s="575"/>
      <c r="Y837" s="575"/>
      <c r="Z837" s="575"/>
    </row>
    <row r="838">
      <c r="A838" s="582"/>
      <c r="B838" s="583"/>
      <c r="C838" s="584"/>
      <c r="D838" s="585"/>
      <c r="E838" s="575"/>
      <c r="F838" s="575"/>
      <c r="G838" s="575"/>
      <c r="H838" s="575"/>
      <c r="I838" s="575"/>
      <c r="J838" s="575"/>
      <c r="K838" s="575"/>
      <c r="L838" s="575"/>
      <c r="M838" s="575"/>
      <c r="N838" s="575"/>
      <c r="O838" s="575"/>
      <c r="P838" s="575"/>
      <c r="Q838" s="575"/>
      <c r="R838" s="575"/>
      <c r="S838" s="575"/>
      <c r="T838" s="575"/>
      <c r="U838" s="575"/>
      <c r="V838" s="575"/>
      <c r="W838" s="575"/>
      <c r="X838" s="575"/>
      <c r="Y838" s="575"/>
      <c r="Z838" s="575"/>
    </row>
    <row r="839">
      <c r="A839" s="582"/>
      <c r="B839" s="583"/>
      <c r="C839" s="584"/>
      <c r="D839" s="585"/>
      <c r="E839" s="575"/>
      <c r="F839" s="575"/>
      <c r="G839" s="575"/>
      <c r="H839" s="575"/>
      <c r="I839" s="575"/>
      <c r="J839" s="575"/>
      <c r="K839" s="575"/>
      <c r="L839" s="575"/>
      <c r="M839" s="575"/>
      <c r="N839" s="575"/>
      <c r="O839" s="575"/>
      <c r="P839" s="575"/>
      <c r="Q839" s="575"/>
      <c r="R839" s="575"/>
      <c r="S839" s="575"/>
      <c r="T839" s="575"/>
      <c r="U839" s="575"/>
      <c r="V839" s="575"/>
      <c r="W839" s="575"/>
      <c r="X839" s="575"/>
      <c r="Y839" s="575"/>
      <c r="Z839" s="575"/>
    </row>
    <row r="840">
      <c r="A840" s="582"/>
      <c r="B840" s="583"/>
      <c r="C840" s="584"/>
      <c r="D840" s="585"/>
      <c r="E840" s="575"/>
      <c r="F840" s="575"/>
      <c r="G840" s="575"/>
      <c r="H840" s="575"/>
      <c r="I840" s="575"/>
      <c r="J840" s="575"/>
      <c r="K840" s="575"/>
      <c r="L840" s="575"/>
      <c r="M840" s="575"/>
      <c r="N840" s="575"/>
      <c r="O840" s="575"/>
      <c r="P840" s="575"/>
      <c r="Q840" s="575"/>
      <c r="R840" s="575"/>
      <c r="S840" s="575"/>
      <c r="T840" s="575"/>
      <c r="U840" s="575"/>
      <c r="V840" s="575"/>
      <c r="W840" s="575"/>
      <c r="X840" s="575"/>
      <c r="Y840" s="575"/>
      <c r="Z840" s="575"/>
    </row>
    <row r="841">
      <c r="A841" s="582"/>
      <c r="B841" s="583"/>
      <c r="C841" s="584"/>
      <c r="D841" s="585"/>
      <c r="E841" s="575"/>
      <c r="F841" s="575"/>
      <c r="G841" s="575"/>
      <c r="H841" s="575"/>
      <c r="I841" s="575"/>
      <c r="J841" s="575"/>
      <c r="K841" s="575"/>
      <c r="L841" s="575"/>
      <c r="M841" s="575"/>
      <c r="N841" s="575"/>
      <c r="O841" s="575"/>
      <c r="P841" s="575"/>
      <c r="Q841" s="575"/>
      <c r="R841" s="575"/>
      <c r="S841" s="575"/>
      <c r="T841" s="575"/>
      <c r="U841" s="575"/>
      <c r="V841" s="575"/>
      <c r="W841" s="575"/>
      <c r="X841" s="575"/>
      <c r="Y841" s="575"/>
      <c r="Z841" s="575"/>
    </row>
    <row r="842">
      <c r="A842" s="582"/>
      <c r="B842" s="583"/>
      <c r="C842" s="584"/>
      <c r="D842" s="585"/>
      <c r="E842" s="575"/>
      <c r="F842" s="575"/>
      <c r="G842" s="575"/>
      <c r="H842" s="575"/>
      <c r="I842" s="575"/>
      <c r="J842" s="575"/>
      <c r="K842" s="575"/>
      <c r="L842" s="575"/>
      <c r="M842" s="575"/>
      <c r="N842" s="575"/>
      <c r="O842" s="575"/>
      <c r="P842" s="575"/>
      <c r="Q842" s="575"/>
      <c r="R842" s="575"/>
      <c r="S842" s="575"/>
      <c r="T842" s="575"/>
      <c r="U842" s="575"/>
      <c r="V842" s="575"/>
      <c r="W842" s="575"/>
      <c r="X842" s="575"/>
      <c r="Y842" s="575"/>
      <c r="Z842" s="575"/>
    </row>
    <row r="843">
      <c r="A843" s="582"/>
      <c r="B843" s="583"/>
      <c r="C843" s="584"/>
      <c r="D843" s="585"/>
      <c r="E843" s="575"/>
      <c r="F843" s="575"/>
      <c r="G843" s="575"/>
      <c r="H843" s="575"/>
      <c r="I843" s="575"/>
      <c r="J843" s="575"/>
      <c r="K843" s="575"/>
      <c r="L843" s="575"/>
      <c r="M843" s="575"/>
      <c r="N843" s="575"/>
      <c r="O843" s="575"/>
      <c r="P843" s="575"/>
      <c r="Q843" s="575"/>
      <c r="R843" s="575"/>
      <c r="S843" s="575"/>
      <c r="T843" s="575"/>
      <c r="U843" s="575"/>
      <c r="V843" s="575"/>
      <c r="W843" s="575"/>
      <c r="X843" s="575"/>
      <c r="Y843" s="575"/>
      <c r="Z843" s="575"/>
    </row>
    <row r="844">
      <c r="A844" s="582"/>
      <c r="B844" s="583"/>
      <c r="C844" s="584"/>
      <c r="D844" s="585"/>
      <c r="E844" s="575"/>
      <c r="F844" s="575"/>
      <c r="G844" s="575"/>
      <c r="H844" s="575"/>
      <c r="I844" s="575"/>
      <c r="J844" s="575"/>
      <c r="K844" s="575"/>
      <c r="L844" s="575"/>
      <c r="M844" s="575"/>
      <c r="N844" s="575"/>
      <c r="O844" s="575"/>
      <c r="P844" s="575"/>
      <c r="Q844" s="575"/>
      <c r="R844" s="575"/>
      <c r="S844" s="575"/>
      <c r="T844" s="575"/>
      <c r="U844" s="575"/>
      <c r="V844" s="575"/>
      <c r="W844" s="575"/>
      <c r="X844" s="575"/>
      <c r="Y844" s="575"/>
      <c r="Z844" s="575"/>
    </row>
    <row r="845">
      <c r="A845" s="582"/>
      <c r="B845" s="583"/>
      <c r="C845" s="584"/>
      <c r="D845" s="585"/>
      <c r="E845" s="575"/>
      <c r="F845" s="575"/>
      <c r="G845" s="575"/>
      <c r="H845" s="575"/>
      <c r="I845" s="575"/>
      <c r="J845" s="575"/>
      <c r="K845" s="575"/>
      <c r="L845" s="575"/>
      <c r="M845" s="575"/>
      <c r="N845" s="575"/>
      <c r="O845" s="575"/>
      <c r="P845" s="575"/>
      <c r="Q845" s="575"/>
      <c r="R845" s="575"/>
      <c r="S845" s="575"/>
      <c r="T845" s="575"/>
      <c r="U845" s="575"/>
      <c r="V845" s="575"/>
      <c r="W845" s="575"/>
      <c r="X845" s="575"/>
      <c r="Y845" s="575"/>
      <c r="Z845" s="575"/>
    </row>
    <row r="846">
      <c r="A846" s="582"/>
      <c r="B846" s="583"/>
      <c r="C846" s="584"/>
      <c r="D846" s="585"/>
      <c r="E846" s="575"/>
      <c r="F846" s="575"/>
      <c r="G846" s="575"/>
      <c r="H846" s="575"/>
      <c r="I846" s="575"/>
      <c r="J846" s="575"/>
      <c r="K846" s="575"/>
      <c r="L846" s="575"/>
      <c r="M846" s="575"/>
      <c r="N846" s="575"/>
      <c r="O846" s="575"/>
      <c r="P846" s="575"/>
      <c r="Q846" s="575"/>
      <c r="R846" s="575"/>
      <c r="S846" s="575"/>
      <c r="T846" s="575"/>
      <c r="U846" s="575"/>
      <c r="V846" s="575"/>
      <c r="W846" s="575"/>
      <c r="X846" s="575"/>
      <c r="Y846" s="575"/>
      <c r="Z846" s="575"/>
    </row>
    <row r="847">
      <c r="A847" s="582"/>
      <c r="B847" s="583"/>
      <c r="C847" s="584"/>
      <c r="D847" s="585"/>
      <c r="E847" s="575"/>
      <c r="F847" s="575"/>
      <c r="G847" s="575"/>
      <c r="H847" s="575"/>
      <c r="I847" s="575"/>
      <c r="J847" s="575"/>
      <c r="K847" s="575"/>
      <c r="L847" s="575"/>
      <c r="M847" s="575"/>
      <c r="N847" s="575"/>
      <c r="O847" s="575"/>
      <c r="P847" s="575"/>
      <c r="Q847" s="575"/>
      <c r="R847" s="575"/>
      <c r="S847" s="575"/>
      <c r="T847" s="575"/>
      <c r="U847" s="575"/>
      <c r="V847" s="575"/>
      <c r="W847" s="575"/>
      <c r="X847" s="575"/>
      <c r="Y847" s="575"/>
      <c r="Z847" s="575"/>
    </row>
    <row r="848">
      <c r="A848" s="582"/>
      <c r="B848" s="583"/>
      <c r="C848" s="584"/>
      <c r="D848" s="585"/>
      <c r="E848" s="575"/>
      <c r="F848" s="575"/>
      <c r="G848" s="575"/>
      <c r="H848" s="575"/>
      <c r="I848" s="575"/>
      <c r="J848" s="575"/>
      <c r="K848" s="575"/>
      <c r="L848" s="575"/>
      <c r="M848" s="575"/>
      <c r="N848" s="575"/>
      <c r="O848" s="575"/>
      <c r="P848" s="575"/>
      <c r="Q848" s="575"/>
      <c r="R848" s="575"/>
      <c r="S848" s="575"/>
      <c r="T848" s="575"/>
      <c r="U848" s="575"/>
      <c r="V848" s="575"/>
      <c r="W848" s="575"/>
      <c r="X848" s="575"/>
      <c r="Y848" s="575"/>
      <c r="Z848" s="575"/>
    </row>
    <row r="849">
      <c r="A849" s="582"/>
      <c r="B849" s="583"/>
      <c r="C849" s="584"/>
      <c r="D849" s="585"/>
      <c r="E849" s="575"/>
      <c r="F849" s="575"/>
      <c r="G849" s="575"/>
      <c r="H849" s="575"/>
      <c r="I849" s="575"/>
      <c r="J849" s="575"/>
      <c r="K849" s="575"/>
      <c r="L849" s="575"/>
      <c r="M849" s="575"/>
      <c r="N849" s="575"/>
      <c r="O849" s="575"/>
      <c r="P849" s="575"/>
      <c r="Q849" s="575"/>
      <c r="R849" s="575"/>
      <c r="S849" s="575"/>
      <c r="T849" s="575"/>
      <c r="U849" s="575"/>
      <c r="V849" s="575"/>
      <c r="W849" s="575"/>
      <c r="X849" s="575"/>
      <c r="Y849" s="575"/>
      <c r="Z849" s="575"/>
    </row>
    <row r="850">
      <c r="A850" s="582"/>
      <c r="B850" s="583"/>
      <c r="C850" s="584"/>
      <c r="D850" s="585"/>
      <c r="E850" s="575"/>
      <c r="F850" s="575"/>
      <c r="G850" s="575"/>
      <c r="H850" s="575"/>
      <c r="I850" s="575"/>
      <c r="J850" s="575"/>
      <c r="K850" s="575"/>
      <c r="L850" s="575"/>
      <c r="M850" s="575"/>
      <c r="N850" s="575"/>
      <c r="O850" s="575"/>
      <c r="P850" s="575"/>
      <c r="Q850" s="575"/>
      <c r="R850" s="575"/>
      <c r="S850" s="575"/>
      <c r="T850" s="575"/>
      <c r="U850" s="575"/>
      <c r="V850" s="575"/>
      <c r="W850" s="575"/>
      <c r="X850" s="575"/>
      <c r="Y850" s="575"/>
      <c r="Z850" s="575"/>
    </row>
    <row r="851">
      <c r="A851" s="582"/>
      <c r="B851" s="583"/>
      <c r="C851" s="584"/>
      <c r="D851" s="585"/>
      <c r="E851" s="575"/>
      <c r="F851" s="575"/>
      <c r="G851" s="575"/>
      <c r="H851" s="575"/>
      <c r="I851" s="575"/>
      <c r="J851" s="575"/>
      <c r="K851" s="575"/>
      <c r="L851" s="575"/>
      <c r="M851" s="575"/>
      <c r="N851" s="575"/>
      <c r="O851" s="575"/>
      <c r="P851" s="575"/>
      <c r="Q851" s="575"/>
      <c r="R851" s="575"/>
      <c r="S851" s="575"/>
      <c r="T851" s="575"/>
      <c r="U851" s="575"/>
      <c r="V851" s="575"/>
      <c r="W851" s="575"/>
      <c r="X851" s="575"/>
      <c r="Y851" s="575"/>
      <c r="Z851" s="575"/>
    </row>
    <row r="852">
      <c r="A852" s="582"/>
      <c r="B852" s="583"/>
      <c r="C852" s="584"/>
      <c r="D852" s="585"/>
      <c r="E852" s="575"/>
      <c r="F852" s="575"/>
      <c r="G852" s="575"/>
      <c r="H852" s="575"/>
      <c r="I852" s="575"/>
      <c r="J852" s="575"/>
      <c r="K852" s="575"/>
      <c r="L852" s="575"/>
      <c r="M852" s="575"/>
      <c r="N852" s="575"/>
      <c r="O852" s="575"/>
      <c r="P852" s="575"/>
      <c r="Q852" s="575"/>
      <c r="R852" s="575"/>
      <c r="S852" s="575"/>
      <c r="T852" s="575"/>
      <c r="U852" s="575"/>
      <c r="V852" s="575"/>
      <c r="W852" s="575"/>
      <c r="X852" s="575"/>
      <c r="Y852" s="575"/>
      <c r="Z852" s="575"/>
    </row>
    <row r="853">
      <c r="A853" s="582"/>
      <c r="B853" s="583"/>
      <c r="C853" s="584"/>
      <c r="D853" s="585"/>
      <c r="E853" s="575"/>
      <c r="F853" s="575"/>
      <c r="G853" s="575"/>
      <c r="H853" s="575"/>
      <c r="I853" s="575"/>
      <c r="J853" s="575"/>
      <c r="K853" s="575"/>
      <c r="L853" s="575"/>
      <c r="M853" s="575"/>
      <c r="N853" s="575"/>
      <c r="O853" s="575"/>
      <c r="P853" s="575"/>
      <c r="Q853" s="575"/>
      <c r="R853" s="575"/>
      <c r="S853" s="575"/>
      <c r="T853" s="575"/>
      <c r="U853" s="575"/>
      <c r="V853" s="575"/>
      <c r="W853" s="575"/>
      <c r="X853" s="575"/>
      <c r="Y853" s="575"/>
      <c r="Z853" s="575"/>
    </row>
    <row r="854">
      <c r="A854" s="582"/>
      <c r="B854" s="583"/>
      <c r="C854" s="584"/>
      <c r="D854" s="585"/>
      <c r="E854" s="575"/>
      <c r="F854" s="575"/>
      <c r="G854" s="575"/>
      <c r="H854" s="575"/>
      <c r="I854" s="575"/>
      <c r="J854" s="575"/>
      <c r="K854" s="575"/>
      <c r="L854" s="575"/>
      <c r="M854" s="575"/>
      <c r="N854" s="575"/>
      <c r="O854" s="575"/>
      <c r="P854" s="575"/>
      <c r="Q854" s="575"/>
      <c r="R854" s="575"/>
      <c r="S854" s="575"/>
      <c r="T854" s="575"/>
      <c r="U854" s="575"/>
      <c r="V854" s="575"/>
      <c r="W854" s="575"/>
      <c r="X854" s="575"/>
      <c r="Y854" s="575"/>
      <c r="Z854" s="575"/>
    </row>
    <row r="855">
      <c r="A855" s="582"/>
      <c r="B855" s="583"/>
      <c r="C855" s="584"/>
      <c r="D855" s="585"/>
      <c r="E855" s="575"/>
      <c r="F855" s="575"/>
      <c r="G855" s="575"/>
      <c r="H855" s="575"/>
      <c r="I855" s="575"/>
      <c r="J855" s="575"/>
      <c r="K855" s="575"/>
      <c r="L855" s="575"/>
      <c r="M855" s="575"/>
      <c r="N855" s="575"/>
      <c r="O855" s="575"/>
      <c r="P855" s="575"/>
      <c r="Q855" s="575"/>
      <c r="R855" s="575"/>
      <c r="S855" s="575"/>
      <c r="T855" s="575"/>
      <c r="U855" s="575"/>
      <c r="V855" s="575"/>
      <c r="W855" s="575"/>
      <c r="X855" s="575"/>
      <c r="Y855" s="575"/>
      <c r="Z855" s="575"/>
    </row>
    <row r="856">
      <c r="A856" s="582"/>
      <c r="B856" s="583"/>
      <c r="C856" s="584"/>
      <c r="D856" s="585"/>
      <c r="E856" s="575"/>
      <c r="F856" s="575"/>
      <c r="G856" s="575"/>
      <c r="H856" s="575"/>
      <c r="I856" s="575"/>
      <c r="J856" s="575"/>
      <c r="K856" s="575"/>
      <c r="L856" s="575"/>
      <c r="M856" s="575"/>
      <c r="N856" s="575"/>
      <c r="O856" s="575"/>
      <c r="P856" s="575"/>
      <c r="Q856" s="575"/>
      <c r="R856" s="575"/>
      <c r="S856" s="575"/>
      <c r="T856" s="575"/>
      <c r="U856" s="575"/>
      <c r="V856" s="575"/>
      <c r="W856" s="575"/>
      <c r="X856" s="575"/>
      <c r="Y856" s="575"/>
      <c r="Z856" s="575"/>
    </row>
    <row r="857">
      <c r="A857" s="582"/>
      <c r="B857" s="583"/>
      <c r="C857" s="584"/>
      <c r="D857" s="585"/>
      <c r="E857" s="575"/>
      <c r="F857" s="575"/>
      <c r="G857" s="575"/>
      <c r="H857" s="575"/>
      <c r="I857" s="575"/>
      <c r="J857" s="575"/>
      <c r="K857" s="575"/>
      <c r="L857" s="575"/>
      <c r="M857" s="575"/>
      <c r="N857" s="575"/>
      <c r="O857" s="575"/>
      <c r="P857" s="575"/>
      <c r="Q857" s="575"/>
      <c r="R857" s="575"/>
      <c r="S857" s="575"/>
      <c r="T857" s="575"/>
      <c r="U857" s="575"/>
      <c r="V857" s="575"/>
      <c r="W857" s="575"/>
      <c r="X857" s="575"/>
      <c r="Y857" s="575"/>
      <c r="Z857" s="575"/>
    </row>
    <row r="858">
      <c r="A858" s="582"/>
      <c r="B858" s="583"/>
      <c r="C858" s="584"/>
      <c r="D858" s="585"/>
      <c r="E858" s="575"/>
      <c r="F858" s="575"/>
      <c r="G858" s="575"/>
      <c r="H858" s="575"/>
      <c r="I858" s="575"/>
      <c r="J858" s="575"/>
      <c r="K858" s="575"/>
      <c r="L858" s="575"/>
      <c r="M858" s="575"/>
      <c r="N858" s="575"/>
      <c r="O858" s="575"/>
      <c r="P858" s="575"/>
      <c r="Q858" s="575"/>
      <c r="R858" s="575"/>
      <c r="S858" s="575"/>
      <c r="T858" s="575"/>
      <c r="U858" s="575"/>
      <c r="V858" s="575"/>
      <c r="W858" s="575"/>
      <c r="X858" s="575"/>
      <c r="Y858" s="575"/>
      <c r="Z858" s="575"/>
    </row>
    <row r="859">
      <c r="A859" s="582"/>
      <c r="B859" s="583"/>
      <c r="C859" s="584"/>
      <c r="D859" s="585"/>
      <c r="E859" s="575"/>
      <c r="F859" s="575"/>
      <c r="G859" s="575"/>
      <c r="H859" s="575"/>
      <c r="I859" s="575"/>
      <c r="J859" s="575"/>
      <c r="K859" s="575"/>
      <c r="L859" s="575"/>
      <c r="M859" s="575"/>
      <c r="N859" s="575"/>
      <c r="O859" s="575"/>
      <c r="P859" s="575"/>
      <c r="Q859" s="575"/>
      <c r="R859" s="575"/>
      <c r="S859" s="575"/>
      <c r="T859" s="575"/>
      <c r="U859" s="575"/>
      <c r="V859" s="575"/>
      <c r="W859" s="575"/>
      <c r="X859" s="575"/>
      <c r="Y859" s="575"/>
      <c r="Z859" s="575"/>
    </row>
    <row r="860">
      <c r="A860" s="582"/>
      <c r="B860" s="583"/>
      <c r="C860" s="584"/>
      <c r="D860" s="585"/>
      <c r="E860" s="575"/>
      <c r="F860" s="575"/>
      <c r="G860" s="575"/>
      <c r="H860" s="575"/>
      <c r="I860" s="575"/>
      <c r="J860" s="575"/>
      <c r="K860" s="575"/>
      <c r="L860" s="575"/>
      <c r="M860" s="575"/>
      <c r="N860" s="575"/>
      <c r="O860" s="575"/>
      <c r="P860" s="575"/>
      <c r="Q860" s="575"/>
      <c r="R860" s="575"/>
      <c r="S860" s="575"/>
      <c r="T860" s="575"/>
      <c r="U860" s="575"/>
      <c r="V860" s="575"/>
      <c r="W860" s="575"/>
      <c r="X860" s="575"/>
      <c r="Y860" s="575"/>
      <c r="Z860" s="575"/>
    </row>
    <row r="861">
      <c r="A861" s="582"/>
      <c r="B861" s="583"/>
      <c r="C861" s="584"/>
      <c r="D861" s="585"/>
      <c r="E861" s="575"/>
      <c r="F861" s="575"/>
      <c r="G861" s="575"/>
      <c r="H861" s="575"/>
      <c r="I861" s="575"/>
      <c r="J861" s="575"/>
      <c r="K861" s="575"/>
      <c r="L861" s="575"/>
      <c r="M861" s="575"/>
      <c r="N861" s="575"/>
      <c r="O861" s="575"/>
      <c r="P861" s="575"/>
      <c r="Q861" s="575"/>
      <c r="R861" s="575"/>
      <c r="S861" s="575"/>
      <c r="T861" s="575"/>
      <c r="U861" s="575"/>
      <c r="V861" s="575"/>
      <c r="W861" s="575"/>
      <c r="X861" s="575"/>
      <c r="Y861" s="575"/>
      <c r="Z861" s="575"/>
    </row>
    <row r="862">
      <c r="A862" s="582"/>
      <c r="B862" s="583"/>
      <c r="C862" s="584"/>
      <c r="D862" s="585"/>
      <c r="E862" s="575"/>
      <c r="F862" s="575"/>
      <c r="G862" s="575"/>
      <c r="H862" s="575"/>
      <c r="I862" s="575"/>
      <c r="J862" s="575"/>
      <c r="K862" s="575"/>
      <c r="L862" s="575"/>
      <c r="M862" s="575"/>
      <c r="N862" s="575"/>
      <c r="O862" s="575"/>
      <c r="P862" s="575"/>
      <c r="Q862" s="575"/>
      <c r="R862" s="575"/>
      <c r="S862" s="575"/>
      <c r="T862" s="575"/>
      <c r="U862" s="575"/>
      <c r="V862" s="575"/>
      <c r="W862" s="575"/>
      <c r="X862" s="575"/>
      <c r="Y862" s="575"/>
      <c r="Z862" s="575"/>
    </row>
    <row r="863">
      <c r="A863" s="582"/>
      <c r="B863" s="583"/>
      <c r="C863" s="584"/>
      <c r="D863" s="585"/>
      <c r="E863" s="575"/>
      <c r="F863" s="575"/>
      <c r="G863" s="575"/>
      <c r="H863" s="575"/>
      <c r="I863" s="575"/>
      <c r="J863" s="575"/>
      <c r="K863" s="575"/>
      <c r="L863" s="575"/>
      <c r="M863" s="575"/>
      <c r="N863" s="575"/>
      <c r="O863" s="575"/>
      <c r="P863" s="575"/>
      <c r="Q863" s="575"/>
      <c r="R863" s="575"/>
      <c r="S863" s="575"/>
      <c r="T863" s="575"/>
      <c r="U863" s="575"/>
      <c r="V863" s="575"/>
      <c r="W863" s="575"/>
      <c r="X863" s="575"/>
      <c r="Y863" s="575"/>
      <c r="Z863" s="575"/>
    </row>
    <row r="864">
      <c r="A864" s="582"/>
      <c r="B864" s="583"/>
      <c r="C864" s="584"/>
      <c r="D864" s="585"/>
      <c r="E864" s="575"/>
      <c r="F864" s="575"/>
      <c r="G864" s="575"/>
      <c r="H864" s="575"/>
      <c r="I864" s="575"/>
      <c r="J864" s="575"/>
      <c r="K864" s="575"/>
      <c r="L864" s="575"/>
      <c r="M864" s="575"/>
      <c r="N864" s="575"/>
      <c r="O864" s="575"/>
      <c r="P864" s="575"/>
      <c r="Q864" s="575"/>
      <c r="R864" s="575"/>
      <c r="S864" s="575"/>
      <c r="T864" s="575"/>
      <c r="U864" s="575"/>
      <c r="V864" s="575"/>
      <c r="W864" s="575"/>
      <c r="X864" s="575"/>
      <c r="Y864" s="575"/>
      <c r="Z864" s="575"/>
    </row>
    <row r="865">
      <c r="A865" s="582"/>
      <c r="B865" s="583"/>
      <c r="C865" s="584"/>
      <c r="D865" s="585"/>
      <c r="E865" s="575"/>
      <c r="F865" s="575"/>
      <c r="G865" s="575"/>
      <c r="H865" s="575"/>
      <c r="I865" s="575"/>
      <c r="J865" s="575"/>
      <c r="K865" s="575"/>
      <c r="L865" s="575"/>
      <c r="M865" s="575"/>
      <c r="N865" s="575"/>
      <c r="O865" s="575"/>
      <c r="P865" s="575"/>
      <c r="Q865" s="575"/>
      <c r="R865" s="575"/>
      <c r="S865" s="575"/>
      <c r="T865" s="575"/>
      <c r="U865" s="575"/>
      <c r="V865" s="575"/>
      <c r="W865" s="575"/>
      <c r="X865" s="575"/>
      <c r="Y865" s="575"/>
      <c r="Z865" s="575"/>
    </row>
    <row r="866">
      <c r="A866" s="582"/>
      <c r="B866" s="583"/>
      <c r="C866" s="584"/>
      <c r="D866" s="585"/>
      <c r="E866" s="575"/>
      <c r="F866" s="575"/>
      <c r="G866" s="575"/>
      <c r="H866" s="575"/>
      <c r="I866" s="575"/>
      <c r="J866" s="575"/>
      <c r="K866" s="575"/>
      <c r="L866" s="575"/>
      <c r="M866" s="575"/>
      <c r="N866" s="575"/>
      <c r="O866" s="575"/>
      <c r="P866" s="575"/>
      <c r="Q866" s="575"/>
      <c r="R866" s="575"/>
      <c r="S866" s="575"/>
      <c r="T866" s="575"/>
      <c r="U866" s="575"/>
      <c r="V866" s="575"/>
      <c r="W866" s="575"/>
      <c r="X866" s="575"/>
      <c r="Y866" s="575"/>
      <c r="Z866" s="575"/>
    </row>
    <row r="867">
      <c r="A867" s="582"/>
      <c r="B867" s="583"/>
      <c r="C867" s="584"/>
      <c r="D867" s="585"/>
      <c r="E867" s="575"/>
      <c r="F867" s="575"/>
      <c r="G867" s="575"/>
      <c r="H867" s="575"/>
      <c r="I867" s="575"/>
      <c r="J867" s="575"/>
      <c r="K867" s="575"/>
      <c r="L867" s="575"/>
      <c r="M867" s="575"/>
      <c r="N867" s="575"/>
      <c r="O867" s="575"/>
      <c r="P867" s="575"/>
      <c r="Q867" s="575"/>
      <c r="R867" s="575"/>
      <c r="S867" s="575"/>
      <c r="T867" s="575"/>
      <c r="U867" s="575"/>
      <c r="V867" s="575"/>
      <c r="W867" s="575"/>
      <c r="X867" s="575"/>
      <c r="Y867" s="575"/>
      <c r="Z867" s="575"/>
    </row>
    <row r="868">
      <c r="A868" s="582"/>
      <c r="B868" s="583"/>
      <c r="C868" s="584"/>
      <c r="D868" s="585"/>
      <c r="E868" s="575"/>
      <c r="F868" s="575"/>
      <c r="G868" s="575"/>
      <c r="H868" s="575"/>
      <c r="I868" s="575"/>
      <c r="J868" s="575"/>
      <c r="K868" s="575"/>
      <c r="L868" s="575"/>
      <c r="M868" s="575"/>
      <c r="N868" s="575"/>
      <c r="O868" s="575"/>
      <c r="P868" s="575"/>
      <c r="Q868" s="575"/>
      <c r="R868" s="575"/>
      <c r="S868" s="575"/>
      <c r="T868" s="575"/>
      <c r="U868" s="575"/>
      <c r="V868" s="575"/>
      <c r="W868" s="575"/>
      <c r="X868" s="575"/>
      <c r="Y868" s="575"/>
      <c r="Z868" s="575"/>
    </row>
    <row r="869">
      <c r="A869" s="582"/>
      <c r="B869" s="583"/>
      <c r="C869" s="584"/>
      <c r="D869" s="585"/>
      <c r="E869" s="575"/>
      <c r="F869" s="575"/>
      <c r="G869" s="575"/>
      <c r="H869" s="575"/>
      <c r="I869" s="575"/>
      <c r="J869" s="575"/>
      <c r="K869" s="575"/>
      <c r="L869" s="575"/>
      <c r="M869" s="575"/>
      <c r="N869" s="575"/>
      <c r="O869" s="575"/>
      <c r="P869" s="575"/>
      <c r="Q869" s="575"/>
      <c r="R869" s="575"/>
      <c r="S869" s="575"/>
      <c r="T869" s="575"/>
      <c r="U869" s="575"/>
      <c r="V869" s="575"/>
      <c r="W869" s="575"/>
      <c r="X869" s="575"/>
      <c r="Y869" s="575"/>
      <c r="Z869" s="575"/>
    </row>
    <row r="870">
      <c r="A870" s="582"/>
      <c r="B870" s="583"/>
      <c r="C870" s="584"/>
      <c r="D870" s="585"/>
      <c r="E870" s="575"/>
      <c r="F870" s="575"/>
      <c r="G870" s="575"/>
      <c r="H870" s="575"/>
      <c r="I870" s="575"/>
      <c r="J870" s="575"/>
      <c r="K870" s="575"/>
      <c r="L870" s="575"/>
      <c r="M870" s="575"/>
      <c r="N870" s="575"/>
      <c r="O870" s="575"/>
      <c r="P870" s="575"/>
      <c r="Q870" s="575"/>
      <c r="R870" s="575"/>
      <c r="S870" s="575"/>
      <c r="T870" s="575"/>
      <c r="U870" s="575"/>
      <c r="V870" s="575"/>
      <c r="W870" s="575"/>
      <c r="X870" s="575"/>
      <c r="Y870" s="575"/>
      <c r="Z870" s="575"/>
    </row>
    <row r="871">
      <c r="A871" s="582"/>
      <c r="B871" s="583"/>
      <c r="C871" s="584"/>
      <c r="D871" s="585"/>
      <c r="E871" s="575"/>
      <c r="F871" s="575"/>
      <c r="G871" s="575"/>
      <c r="H871" s="575"/>
      <c r="I871" s="575"/>
      <c r="J871" s="575"/>
      <c r="K871" s="575"/>
      <c r="L871" s="575"/>
      <c r="M871" s="575"/>
      <c r="N871" s="575"/>
      <c r="O871" s="575"/>
      <c r="P871" s="575"/>
      <c r="Q871" s="575"/>
      <c r="R871" s="575"/>
      <c r="S871" s="575"/>
      <c r="T871" s="575"/>
      <c r="U871" s="575"/>
      <c r="V871" s="575"/>
      <c r="W871" s="575"/>
      <c r="X871" s="575"/>
      <c r="Y871" s="575"/>
      <c r="Z871" s="575"/>
    </row>
    <row r="872">
      <c r="A872" s="582"/>
      <c r="B872" s="583"/>
      <c r="C872" s="584"/>
      <c r="D872" s="585"/>
      <c r="E872" s="575"/>
      <c r="F872" s="575"/>
      <c r="G872" s="575"/>
      <c r="H872" s="575"/>
      <c r="I872" s="575"/>
      <c r="J872" s="575"/>
      <c r="K872" s="575"/>
      <c r="L872" s="575"/>
      <c r="M872" s="575"/>
      <c r="N872" s="575"/>
      <c r="O872" s="575"/>
      <c r="P872" s="575"/>
      <c r="Q872" s="575"/>
      <c r="R872" s="575"/>
      <c r="S872" s="575"/>
      <c r="T872" s="575"/>
      <c r="U872" s="575"/>
      <c r="V872" s="575"/>
      <c r="W872" s="575"/>
      <c r="X872" s="575"/>
      <c r="Y872" s="575"/>
      <c r="Z872" s="575"/>
    </row>
    <row r="873">
      <c r="A873" s="582"/>
      <c r="B873" s="583"/>
      <c r="C873" s="584"/>
      <c r="D873" s="585"/>
      <c r="E873" s="575"/>
      <c r="F873" s="575"/>
      <c r="G873" s="575"/>
      <c r="H873" s="575"/>
      <c r="I873" s="575"/>
      <c r="J873" s="575"/>
      <c r="K873" s="575"/>
      <c r="L873" s="575"/>
      <c r="M873" s="575"/>
      <c r="N873" s="575"/>
      <c r="O873" s="575"/>
      <c r="P873" s="575"/>
      <c r="Q873" s="575"/>
      <c r="R873" s="575"/>
      <c r="S873" s="575"/>
      <c r="T873" s="575"/>
      <c r="U873" s="575"/>
      <c r="V873" s="575"/>
      <c r="W873" s="575"/>
      <c r="X873" s="575"/>
      <c r="Y873" s="575"/>
      <c r="Z873" s="575"/>
    </row>
    <row r="874">
      <c r="A874" s="582"/>
      <c r="B874" s="583"/>
      <c r="C874" s="584"/>
      <c r="D874" s="585"/>
      <c r="E874" s="575"/>
      <c r="F874" s="575"/>
      <c r="G874" s="575"/>
      <c r="H874" s="575"/>
      <c r="I874" s="575"/>
      <c r="J874" s="575"/>
      <c r="K874" s="575"/>
      <c r="L874" s="575"/>
      <c r="M874" s="575"/>
      <c r="N874" s="575"/>
      <c r="O874" s="575"/>
      <c r="P874" s="575"/>
      <c r="Q874" s="575"/>
      <c r="R874" s="575"/>
      <c r="S874" s="575"/>
      <c r="T874" s="575"/>
      <c r="U874" s="575"/>
      <c r="V874" s="575"/>
      <c r="W874" s="575"/>
      <c r="X874" s="575"/>
      <c r="Y874" s="575"/>
      <c r="Z874" s="575"/>
    </row>
    <row r="875">
      <c r="A875" s="582"/>
      <c r="B875" s="583"/>
      <c r="C875" s="584"/>
      <c r="D875" s="585"/>
      <c r="E875" s="575"/>
      <c r="F875" s="575"/>
      <c r="G875" s="575"/>
      <c r="H875" s="575"/>
      <c r="I875" s="575"/>
      <c r="J875" s="575"/>
      <c r="K875" s="575"/>
      <c r="L875" s="575"/>
      <c r="M875" s="575"/>
      <c r="N875" s="575"/>
      <c r="O875" s="575"/>
      <c r="P875" s="575"/>
      <c r="Q875" s="575"/>
      <c r="R875" s="575"/>
      <c r="S875" s="575"/>
      <c r="T875" s="575"/>
      <c r="U875" s="575"/>
      <c r="V875" s="575"/>
      <c r="W875" s="575"/>
      <c r="X875" s="575"/>
      <c r="Y875" s="575"/>
      <c r="Z875" s="575"/>
    </row>
    <row r="876">
      <c r="A876" s="582"/>
      <c r="B876" s="583"/>
      <c r="C876" s="584"/>
      <c r="D876" s="585"/>
      <c r="E876" s="575"/>
      <c r="F876" s="575"/>
      <c r="G876" s="575"/>
      <c r="H876" s="575"/>
      <c r="I876" s="575"/>
      <c r="J876" s="575"/>
      <c r="K876" s="575"/>
      <c r="L876" s="575"/>
      <c r="M876" s="575"/>
      <c r="N876" s="575"/>
      <c r="O876" s="575"/>
      <c r="P876" s="575"/>
      <c r="Q876" s="575"/>
      <c r="R876" s="575"/>
      <c r="S876" s="575"/>
      <c r="T876" s="575"/>
      <c r="U876" s="575"/>
      <c r="V876" s="575"/>
      <c r="W876" s="575"/>
      <c r="X876" s="575"/>
      <c r="Y876" s="575"/>
      <c r="Z876" s="575"/>
    </row>
    <row r="877">
      <c r="A877" s="582"/>
      <c r="B877" s="583"/>
      <c r="C877" s="584"/>
      <c r="D877" s="585"/>
      <c r="E877" s="575"/>
      <c r="F877" s="575"/>
      <c r="G877" s="575"/>
      <c r="H877" s="575"/>
      <c r="I877" s="575"/>
      <c r="J877" s="575"/>
      <c r="K877" s="575"/>
      <c r="L877" s="575"/>
      <c r="M877" s="575"/>
      <c r="N877" s="575"/>
      <c r="O877" s="575"/>
      <c r="P877" s="575"/>
      <c r="Q877" s="575"/>
      <c r="R877" s="575"/>
      <c r="S877" s="575"/>
      <c r="T877" s="575"/>
      <c r="U877" s="575"/>
      <c r="V877" s="575"/>
      <c r="W877" s="575"/>
      <c r="X877" s="575"/>
      <c r="Y877" s="575"/>
      <c r="Z877" s="575"/>
    </row>
    <row r="878">
      <c r="A878" s="582"/>
      <c r="B878" s="583"/>
      <c r="C878" s="584"/>
      <c r="D878" s="585"/>
      <c r="E878" s="575"/>
      <c r="F878" s="575"/>
      <c r="G878" s="575"/>
      <c r="H878" s="575"/>
      <c r="I878" s="575"/>
      <c r="J878" s="575"/>
      <c r="K878" s="575"/>
      <c r="L878" s="575"/>
      <c r="M878" s="575"/>
      <c r="N878" s="575"/>
      <c r="O878" s="575"/>
      <c r="P878" s="575"/>
      <c r="Q878" s="575"/>
      <c r="R878" s="575"/>
      <c r="S878" s="575"/>
      <c r="T878" s="575"/>
      <c r="U878" s="575"/>
      <c r="V878" s="575"/>
      <c r="W878" s="575"/>
      <c r="X878" s="575"/>
      <c r="Y878" s="575"/>
      <c r="Z878" s="575"/>
    </row>
    <row r="879">
      <c r="A879" s="582"/>
      <c r="B879" s="583"/>
      <c r="C879" s="584"/>
      <c r="D879" s="585"/>
      <c r="E879" s="575"/>
      <c r="F879" s="575"/>
      <c r="G879" s="575"/>
      <c r="H879" s="575"/>
      <c r="I879" s="575"/>
      <c r="J879" s="575"/>
      <c r="K879" s="575"/>
      <c r="L879" s="575"/>
      <c r="M879" s="575"/>
      <c r="N879" s="575"/>
      <c r="O879" s="575"/>
      <c r="P879" s="575"/>
      <c r="Q879" s="575"/>
      <c r="R879" s="575"/>
      <c r="S879" s="575"/>
      <c r="T879" s="575"/>
      <c r="U879" s="575"/>
      <c r="V879" s="575"/>
      <c r="W879" s="575"/>
      <c r="X879" s="575"/>
      <c r="Y879" s="575"/>
      <c r="Z879" s="575"/>
    </row>
    <row r="880">
      <c r="A880" s="582"/>
      <c r="B880" s="583"/>
      <c r="C880" s="584"/>
      <c r="D880" s="585"/>
      <c r="E880" s="575"/>
      <c r="F880" s="575"/>
      <c r="G880" s="575"/>
      <c r="H880" s="575"/>
      <c r="I880" s="575"/>
      <c r="J880" s="575"/>
      <c r="K880" s="575"/>
      <c r="L880" s="575"/>
      <c r="M880" s="575"/>
      <c r="N880" s="575"/>
      <c r="O880" s="575"/>
      <c r="P880" s="575"/>
      <c r="Q880" s="575"/>
      <c r="R880" s="575"/>
      <c r="S880" s="575"/>
      <c r="T880" s="575"/>
      <c r="U880" s="575"/>
      <c r="V880" s="575"/>
      <c r="W880" s="575"/>
      <c r="X880" s="575"/>
      <c r="Y880" s="575"/>
      <c r="Z880" s="575"/>
    </row>
    <row r="881">
      <c r="A881" s="582"/>
      <c r="B881" s="583"/>
      <c r="C881" s="584"/>
      <c r="D881" s="585"/>
      <c r="E881" s="575"/>
      <c r="F881" s="575"/>
      <c r="G881" s="575"/>
      <c r="H881" s="575"/>
      <c r="I881" s="575"/>
      <c r="J881" s="575"/>
      <c r="K881" s="575"/>
      <c r="L881" s="575"/>
      <c r="M881" s="575"/>
      <c r="N881" s="575"/>
      <c r="O881" s="575"/>
      <c r="P881" s="575"/>
      <c r="Q881" s="575"/>
      <c r="R881" s="575"/>
      <c r="S881" s="575"/>
      <c r="T881" s="575"/>
      <c r="U881" s="575"/>
      <c r="V881" s="575"/>
      <c r="W881" s="575"/>
      <c r="X881" s="575"/>
      <c r="Y881" s="575"/>
      <c r="Z881" s="575"/>
    </row>
    <row r="882">
      <c r="A882" s="582"/>
      <c r="B882" s="583"/>
      <c r="C882" s="584"/>
      <c r="D882" s="585"/>
      <c r="E882" s="575"/>
      <c r="F882" s="575"/>
      <c r="G882" s="575"/>
      <c r="H882" s="575"/>
      <c r="I882" s="575"/>
      <c r="J882" s="575"/>
      <c r="K882" s="575"/>
      <c r="L882" s="575"/>
      <c r="M882" s="575"/>
      <c r="N882" s="575"/>
      <c r="O882" s="575"/>
      <c r="P882" s="575"/>
      <c r="Q882" s="575"/>
      <c r="R882" s="575"/>
      <c r="S882" s="575"/>
      <c r="T882" s="575"/>
      <c r="U882" s="575"/>
      <c r="V882" s="575"/>
      <c r="W882" s="575"/>
      <c r="X882" s="575"/>
      <c r="Y882" s="575"/>
      <c r="Z882" s="575"/>
    </row>
    <row r="883">
      <c r="A883" s="582"/>
      <c r="B883" s="583"/>
      <c r="C883" s="584"/>
      <c r="D883" s="585"/>
      <c r="E883" s="575"/>
      <c r="F883" s="575"/>
      <c r="G883" s="575"/>
      <c r="H883" s="575"/>
      <c r="I883" s="575"/>
      <c r="J883" s="575"/>
      <c r="K883" s="575"/>
      <c r="L883" s="575"/>
      <c r="M883" s="575"/>
      <c r="N883" s="575"/>
      <c r="O883" s="575"/>
      <c r="P883" s="575"/>
      <c r="Q883" s="575"/>
      <c r="R883" s="575"/>
      <c r="S883" s="575"/>
      <c r="T883" s="575"/>
      <c r="U883" s="575"/>
      <c r="V883" s="575"/>
      <c r="W883" s="575"/>
      <c r="X883" s="575"/>
      <c r="Y883" s="575"/>
      <c r="Z883" s="575"/>
    </row>
    <row r="884">
      <c r="A884" s="582"/>
      <c r="B884" s="583"/>
      <c r="C884" s="584"/>
      <c r="D884" s="585"/>
      <c r="E884" s="575"/>
      <c r="F884" s="575"/>
      <c r="G884" s="575"/>
      <c r="H884" s="575"/>
      <c r="I884" s="575"/>
      <c r="J884" s="575"/>
      <c r="K884" s="575"/>
      <c r="L884" s="575"/>
      <c r="M884" s="575"/>
      <c r="N884" s="575"/>
      <c r="O884" s="575"/>
      <c r="P884" s="575"/>
      <c r="Q884" s="575"/>
      <c r="R884" s="575"/>
      <c r="S884" s="575"/>
      <c r="T884" s="575"/>
      <c r="U884" s="575"/>
      <c r="V884" s="575"/>
      <c r="W884" s="575"/>
      <c r="X884" s="575"/>
      <c r="Y884" s="575"/>
      <c r="Z884" s="575"/>
    </row>
    <row r="885">
      <c r="A885" s="582"/>
      <c r="B885" s="583"/>
      <c r="C885" s="584"/>
      <c r="D885" s="585"/>
      <c r="E885" s="575"/>
      <c r="F885" s="575"/>
      <c r="G885" s="575"/>
      <c r="H885" s="575"/>
      <c r="I885" s="575"/>
      <c r="J885" s="575"/>
      <c r="K885" s="575"/>
      <c r="L885" s="575"/>
      <c r="M885" s="575"/>
      <c r="N885" s="575"/>
      <c r="O885" s="575"/>
      <c r="P885" s="575"/>
      <c r="Q885" s="575"/>
      <c r="R885" s="575"/>
      <c r="S885" s="575"/>
      <c r="T885" s="575"/>
      <c r="U885" s="575"/>
      <c r="V885" s="575"/>
      <c r="W885" s="575"/>
      <c r="X885" s="575"/>
      <c r="Y885" s="575"/>
      <c r="Z885" s="575"/>
    </row>
    <row r="886">
      <c r="A886" s="582"/>
      <c r="B886" s="583"/>
      <c r="C886" s="584"/>
      <c r="D886" s="585"/>
      <c r="E886" s="575"/>
      <c r="F886" s="575"/>
      <c r="G886" s="575"/>
      <c r="H886" s="575"/>
      <c r="I886" s="575"/>
      <c r="J886" s="575"/>
      <c r="K886" s="575"/>
      <c r="L886" s="575"/>
      <c r="M886" s="575"/>
      <c r="N886" s="575"/>
      <c r="O886" s="575"/>
      <c r="P886" s="575"/>
      <c r="Q886" s="575"/>
      <c r="R886" s="575"/>
      <c r="S886" s="575"/>
      <c r="T886" s="575"/>
      <c r="U886" s="575"/>
      <c r="V886" s="575"/>
      <c r="W886" s="575"/>
      <c r="X886" s="575"/>
      <c r="Y886" s="575"/>
      <c r="Z886" s="575"/>
    </row>
    <row r="887">
      <c r="A887" s="582"/>
      <c r="B887" s="583"/>
      <c r="C887" s="584"/>
      <c r="D887" s="585"/>
      <c r="E887" s="575"/>
      <c r="F887" s="575"/>
      <c r="G887" s="575"/>
      <c r="H887" s="575"/>
      <c r="I887" s="575"/>
      <c r="J887" s="575"/>
      <c r="K887" s="575"/>
      <c r="L887" s="575"/>
      <c r="M887" s="575"/>
      <c r="N887" s="575"/>
      <c r="O887" s="575"/>
      <c r="P887" s="575"/>
      <c r="Q887" s="575"/>
      <c r="R887" s="575"/>
      <c r="S887" s="575"/>
      <c r="T887" s="575"/>
      <c r="U887" s="575"/>
      <c r="V887" s="575"/>
      <c r="W887" s="575"/>
      <c r="X887" s="575"/>
      <c r="Y887" s="575"/>
      <c r="Z887" s="575"/>
    </row>
    <row r="888">
      <c r="A888" s="582"/>
      <c r="B888" s="583"/>
      <c r="C888" s="584"/>
      <c r="D888" s="585"/>
      <c r="E888" s="575"/>
      <c r="F888" s="575"/>
      <c r="G888" s="575"/>
      <c r="H888" s="575"/>
      <c r="I888" s="575"/>
      <c r="J888" s="575"/>
      <c r="K888" s="575"/>
      <c r="L888" s="575"/>
      <c r="M888" s="575"/>
      <c r="N888" s="575"/>
      <c r="O888" s="575"/>
      <c r="P888" s="575"/>
      <c r="Q888" s="575"/>
      <c r="R888" s="575"/>
      <c r="S888" s="575"/>
      <c r="T888" s="575"/>
      <c r="U888" s="575"/>
      <c r="V888" s="575"/>
      <c r="W888" s="575"/>
      <c r="X888" s="575"/>
      <c r="Y888" s="575"/>
      <c r="Z888" s="575"/>
    </row>
    <row r="889">
      <c r="A889" s="582"/>
      <c r="B889" s="583"/>
      <c r="C889" s="584"/>
      <c r="D889" s="585"/>
      <c r="E889" s="575"/>
      <c r="F889" s="575"/>
      <c r="G889" s="575"/>
      <c r="H889" s="575"/>
      <c r="I889" s="575"/>
      <c r="J889" s="575"/>
      <c r="K889" s="575"/>
      <c r="L889" s="575"/>
      <c r="M889" s="575"/>
      <c r="N889" s="575"/>
      <c r="O889" s="575"/>
      <c r="P889" s="575"/>
      <c r="Q889" s="575"/>
      <c r="R889" s="575"/>
      <c r="S889" s="575"/>
      <c r="T889" s="575"/>
      <c r="U889" s="575"/>
      <c r="V889" s="575"/>
      <c r="W889" s="575"/>
      <c r="X889" s="575"/>
      <c r="Y889" s="575"/>
      <c r="Z889" s="575"/>
    </row>
    <row r="890">
      <c r="A890" s="582"/>
      <c r="B890" s="583"/>
      <c r="C890" s="584"/>
      <c r="D890" s="585"/>
      <c r="E890" s="575"/>
      <c r="F890" s="575"/>
      <c r="G890" s="575"/>
      <c r="H890" s="575"/>
      <c r="I890" s="575"/>
      <c r="J890" s="575"/>
      <c r="K890" s="575"/>
      <c r="L890" s="575"/>
      <c r="M890" s="575"/>
      <c r="N890" s="575"/>
      <c r="O890" s="575"/>
      <c r="P890" s="575"/>
      <c r="Q890" s="575"/>
      <c r="R890" s="575"/>
      <c r="S890" s="575"/>
      <c r="T890" s="575"/>
      <c r="U890" s="575"/>
      <c r="V890" s="575"/>
      <c r="W890" s="575"/>
      <c r="X890" s="575"/>
      <c r="Y890" s="575"/>
      <c r="Z890" s="575"/>
    </row>
    <row r="891">
      <c r="A891" s="582"/>
      <c r="B891" s="583"/>
      <c r="C891" s="584"/>
      <c r="D891" s="585"/>
      <c r="E891" s="575"/>
      <c r="F891" s="575"/>
      <c r="G891" s="575"/>
      <c r="H891" s="575"/>
      <c r="I891" s="575"/>
      <c r="J891" s="575"/>
      <c r="K891" s="575"/>
      <c r="L891" s="575"/>
      <c r="M891" s="575"/>
      <c r="N891" s="575"/>
      <c r="O891" s="575"/>
      <c r="P891" s="575"/>
      <c r="Q891" s="575"/>
      <c r="R891" s="575"/>
      <c r="S891" s="575"/>
      <c r="T891" s="575"/>
      <c r="U891" s="575"/>
      <c r="V891" s="575"/>
      <c r="W891" s="575"/>
      <c r="X891" s="575"/>
      <c r="Y891" s="575"/>
      <c r="Z891" s="575"/>
    </row>
    <row r="892">
      <c r="A892" s="582"/>
      <c r="B892" s="583"/>
      <c r="C892" s="584"/>
      <c r="D892" s="585"/>
      <c r="E892" s="575"/>
      <c r="F892" s="575"/>
      <c r="G892" s="575"/>
      <c r="H892" s="575"/>
      <c r="I892" s="575"/>
      <c r="J892" s="575"/>
      <c r="K892" s="575"/>
      <c r="L892" s="575"/>
      <c r="M892" s="575"/>
      <c r="N892" s="575"/>
      <c r="O892" s="575"/>
      <c r="P892" s="575"/>
      <c r="Q892" s="575"/>
      <c r="R892" s="575"/>
      <c r="S892" s="575"/>
      <c r="T892" s="575"/>
      <c r="U892" s="575"/>
      <c r="V892" s="575"/>
      <c r="W892" s="575"/>
      <c r="X892" s="575"/>
      <c r="Y892" s="575"/>
      <c r="Z892" s="575"/>
    </row>
    <row r="893">
      <c r="A893" s="582"/>
      <c r="B893" s="583"/>
      <c r="C893" s="584"/>
      <c r="D893" s="585"/>
      <c r="E893" s="575"/>
      <c r="F893" s="575"/>
      <c r="G893" s="575"/>
      <c r="H893" s="575"/>
      <c r="I893" s="575"/>
      <c r="J893" s="575"/>
      <c r="K893" s="575"/>
      <c r="L893" s="575"/>
      <c r="M893" s="575"/>
      <c r="N893" s="575"/>
      <c r="O893" s="575"/>
      <c r="P893" s="575"/>
      <c r="Q893" s="575"/>
      <c r="R893" s="575"/>
      <c r="S893" s="575"/>
      <c r="T893" s="575"/>
      <c r="U893" s="575"/>
      <c r="V893" s="575"/>
      <c r="W893" s="575"/>
      <c r="X893" s="575"/>
      <c r="Y893" s="575"/>
      <c r="Z893" s="575"/>
    </row>
    <row r="894">
      <c r="A894" s="582"/>
      <c r="B894" s="583"/>
      <c r="C894" s="584"/>
      <c r="D894" s="585"/>
      <c r="E894" s="575"/>
      <c r="F894" s="575"/>
      <c r="G894" s="575"/>
      <c r="H894" s="575"/>
      <c r="I894" s="575"/>
      <c r="J894" s="575"/>
      <c r="K894" s="575"/>
      <c r="L894" s="575"/>
      <c r="M894" s="575"/>
      <c r="N894" s="575"/>
      <c r="O894" s="575"/>
      <c r="P894" s="575"/>
      <c r="Q894" s="575"/>
      <c r="R894" s="575"/>
      <c r="S894" s="575"/>
      <c r="T894" s="575"/>
      <c r="U894" s="575"/>
      <c r="V894" s="575"/>
      <c r="W894" s="575"/>
      <c r="X894" s="575"/>
      <c r="Y894" s="575"/>
      <c r="Z894" s="575"/>
    </row>
    <row r="895">
      <c r="A895" s="582"/>
      <c r="B895" s="583"/>
      <c r="C895" s="584"/>
      <c r="D895" s="585"/>
      <c r="E895" s="575"/>
      <c r="F895" s="575"/>
      <c r="G895" s="575"/>
      <c r="H895" s="575"/>
      <c r="I895" s="575"/>
      <c r="J895" s="575"/>
      <c r="K895" s="575"/>
      <c r="L895" s="575"/>
      <c r="M895" s="575"/>
      <c r="N895" s="575"/>
      <c r="O895" s="575"/>
      <c r="P895" s="575"/>
      <c r="Q895" s="575"/>
      <c r="R895" s="575"/>
      <c r="S895" s="575"/>
      <c r="T895" s="575"/>
      <c r="U895" s="575"/>
      <c r="V895" s="575"/>
      <c r="W895" s="575"/>
      <c r="X895" s="575"/>
      <c r="Y895" s="575"/>
      <c r="Z895" s="575"/>
    </row>
    <row r="896">
      <c r="A896" s="582"/>
      <c r="B896" s="583"/>
      <c r="C896" s="584"/>
      <c r="D896" s="585"/>
      <c r="E896" s="575"/>
      <c r="F896" s="575"/>
      <c r="G896" s="575"/>
      <c r="H896" s="575"/>
      <c r="I896" s="575"/>
      <c r="J896" s="575"/>
      <c r="K896" s="575"/>
      <c r="L896" s="575"/>
      <c r="M896" s="575"/>
      <c r="N896" s="575"/>
      <c r="O896" s="575"/>
      <c r="P896" s="575"/>
      <c r="Q896" s="575"/>
      <c r="R896" s="575"/>
      <c r="S896" s="575"/>
      <c r="T896" s="575"/>
      <c r="U896" s="575"/>
      <c r="V896" s="575"/>
      <c r="W896" s="575"/>
      <c r="X896" s="575"/>
      <c r="Y896" s="575"/>
      <c r="Z896" s="575"/>
    </row>
    <row r="897">
      <c r="A897" s="582"/>
      <c r="B897" s="583"/>
      <c r="C897" s="584"/>
      <c r="D897" s="585"/>
      <c r="E897" s="575"/>
      <c r="F897" s="575"/>
      <c r="G897" s="575"/>
      <c r="H897" s="575"/>
      <c r="I897" s="575"/>
      <c r="J897" s="575"/>
      <c r="K897" s="575"/>
      <c r="L897" s="575"/>
      <c r="M897" s="575"/>
      <c r="N897" s="575"/>
      <c r="O897" s="575"/>
      <c r="P897" s="575"/>
      <c r="Q897" s="575"/>
      <c r="R897" s="575"/>
      <c r="S897" s="575"/>
      <c r="T897" s="575"/>
      <c r="U897" s="575"/>
      <c r="V897" s="575"/>
      <c r="W897" s="575"/>
      <c r="X897" s="575"/>
      <c r="Y897" s="575"/>
      <c r="Z897" s="575"/>
    </row>
    <row r="898">
      <c r="A898" s="582"/>
      <c r="B898" s="583"/>
      <c r="C898" s="584"/>
      <c r="D898" s="585"/>
      <c r="E898" s="575"/>
      <c r="F898" s="575"/>
      <c r="G898" s="575"/>
      <c r="H898" s="575"/>
      <c r="I898" s="575"/>
      <c r="J898" s="575"/>
      <c r="K898" s="575"/>
      <c r="L898" s="575"/>
      <c r="M898" s="575"/>
      <c r="N898" s="575"/>
      <c r="O898" s="575"/>
      <c r="P898" s="575"/>
      <c r="Q898" s="575"/>
      <c r="R898" s="575"/>
      <c r="S898" s="575"/>
      <c r="T898" s="575"/>
      <c r="U898" s="575"/>
      <c r="V898" s="575"/>
      <c r="W898" s="575"/>
      <c r="X898" s="575"/>
      <c r="Y898" s="575"/>
      <c r="Z898" s="575"/>
    </row>
    <row r="899">
      <c r="A899" s="582"/>
      <c r="B899" s="583"/>
      <c r="C899" s="584"/>
      <c r="D899" s="585"/>
      <c r="E899" s="575"/>
      <c r="F899" s="575"/>
      <c r="G899" s="575"/>
      <c r="H899" s="575"/>
      <c r="I899" s="575"/>
      <c r="J899" s="575"/>
      <c r="K899" s="575"/>
      <c r="L899" s="575"/>
      <c r="M899" s="575"/>
      <c r="N899" s="575"/>
      <c r="O899" s="575"/>
      <c r="P899" s="575"/>
      <c r="Q899" s="575"/>
      <c r="R899" s="575"/>
      <c r="S899" s="575"/>
      <c r="T899" s="575"/>
      <c r="U899" s="575"/>
      <c r="V899" s="575"/>
      <c r="W899" s="575"/>
      <c r="X899" s="575"/>
      <c r="Y899" s="575"/>
      <c r="Z899" s="575"/>
    </row>
    <row r="900">
      <c r="A900" s="582"/>
      <c r="B900" s="583"/>
      <c r="C900" s="584"/>
      <c r="D900" s="585"/>
      <c r="E900" s="575"/>
      <c r="F900" s="575"/>
      <c r="G900" s="575"/>
      <c r="H900" s="575"/>
      <c r="I900" s="575"/>
      <c r="J900" s="575"/>
      <c r="K900" s="575"/>
      <c r="L900" s="575"/>
      <c r="M900" s="575"/>
      <c r="N900" s="575"/>
      <c r="O900" s="575"/>
      <c r="P900" s="575"/>
      <c r="Q900" s="575"/>
      <c r="R900" s="575"/>
      <c r="S900" s="575"/>
      <c r="T900" s="575"/>
      <c r="U900" s="575"/>
      <c r="V900" s="575"/>
      <c r="W900" s="575"/>
      <c r="X900" s="575"/>
      <c r="Y900" s="575"/>
      <c r="Z900" s="575"/>
    </row>
    <row r="901">
      <c r="A901" s="582"/>
      <c r="B901" s="583"/>
      <c r="C901" s="584"/>
      <c r="D901" s="585"/>
      <c r="E901" s="575"/>
      <c r="F901" s="575"/>
      <c r="G901" s="575"/>
      <c r="H901" s="575"/>
      <c r="I901" s="575"/>
      <c r="J901" s="575"/>
      <c r="K901" s="575"/>
      <c r="L901" s="575"/>
      <c r="M901" s="575"/>
      <c r="N901" s="575"/>
      <c r="O901" s="575"/>
      <c r="P901" s="575"/>
      <c r="Q901" s="575"/>
      <c r="R901" s="575"/>
      <c r="S901" s="575"/>
      <c r="T901" s="575"/>
      <c r="U901" s="575"/>
      <c r="V901" s="575"/>
      <c r="W901" s="575"/>
      <c r="X901" s="575"/>
      <c r="Y901" s="575"/>
      <c r="Z901" s="575"/>
    </row>
    <row r="902">
      <c r="A902" s="582"/>
      <c r="B902" s="583"/>
      <c r="C902" s="584"/>
      <c r="D902" s="585"/>
      <c r="E902" s="575"/>
      <c r="F902" s="575"/>
      <c r="G902" s="575"/>
      <c r="H902" s="575"/>
      <c r="I902" s="575"/>
      <c r="J902" s="575"/>
      <c r="K902" s="575"/>
      <c r="L902" s="575"/>
      <c r="M902" s="575"/>
      <c r="N902" s="575"/>
      <c r="O902" s="575"/>
      <c r="P902" s="575"/>
      <c r="Q902" s="575"/>
      <c r="R902" s="575"/>
      <c r="S902" s="575"/>
      <c r="T902" s="575"/>
      <c r="U902" s="575"/>
      <c r="V902" s="575"/>
      <c r="W902" s="575"/>
      <c r="X902" s="575"/>
      <c r="Y902" s="575"/>
      <c r="Z902" s="575"/>
    </row>
    <row r="903">
      <c r="A903" s="582"/>
      <c r="B903" s="583"/>
      <c r="C903" s="584"/>
      <c r="D903" s="585"/>
      <c r="E903" s="575"/>
      <c r="F903" s="575"/>
      <c r="G903" s="575"/>
      <c r="H903" s="575"/>
      <c r="I903" s="575"/>
      <c r="J903" s="575"/>
      <c r="K903" s="575"/>
      <c r="L903" s="575"/>
      <c r="M903" s="575"/>
      <c r="N903" s="575"/>
      <c r="O903" s="575"/>
      <c r="P903" s="575"/>
      <c r="Q903" s="575"/>
      <c r="R903" s="575"/>
      <c r="S903" s="575"/>
      <c r="T903" s="575"/>
      <c r="U903" s="575"/>
      <c r="V903" s="575"/>
      <c r="W903" s="575"/>
      <c r="X903" s="575"/>
      <c r="Y903" s="575"/>
      <c r="Z903" s="575"/>
    </row>
    <row r="904">
      <c r="A904" s="582"/>
      <c r="B904" s="583"/>
      <c r="C904" s="584"/>
      <c r="D904" s="585"/>
      <c r="E904" s="575"/>
      <c r="F904" s="575"/>
      <c r="G904" s="575"/>
      <c r="H904" s="575"/>
      <c r="I904" s="575"/>
      <c r="J904" s="575"/>
      <c r="K904" s="575"/>
      <c r="L904" s="575"/>
      <c r="M904" s="575"/>
      <c r="N904" s="575"/>
      <c r="O904" s="575"/>
      <c r="P904" s="575"/>
      <c r="Q904" s="575"/>
      <c r="R904" s="575"/>
      <c r="S904" s="575"/>
      <c r="T904" s="575"/>
      <c r="U904" s="575"/>
      <c r="V904" s="575"/>
      <c r="W904" s="575"/>
      <c r="X904" s="575"/>
      <c r="Y904" s="575"/>
      <c r="Z904" s="575"/>
    </row>
    <row r="905">
      <c r="A905" s="582"/>
      <c r="B905" s="583"/>
      <c r="C905" s="584"/>
      <c r="D905" s="585"/>
      <c r="E905" s="575"/>
      <c r="F905" s="575"/>
      <c r="G905" s="575"/>
      <c r="H905" s="575"/>
      <c r="I905" s="575"/>
      <c r="J905" s="575"/>
      <c r="K905" s="575"/>
      <c r="L905" s="575"/>
      <c r="M905" s="575"/>
      <c r="N905" s="575"/>
      <c r="O905" s="575"/>
      <c r="P905" s="575"/>
      <c r="Q905" s="575"/>
      <c r="R905" s="575"/>
      <c r="S905" s="575"/>
      <c r="T905" s="575"/>
      <c r="U905" s="575"/>
      <c r="V905" s="575"/>
      <c r="W905" s="575"/>
      <c r="X905" s="575"/>
      <c r="Y905" s="575"/>
      <c r="Z905" s="575"/>
    </row>
    <row r="906">
      <c r="A906" s="582"/>
      <c r="B906" s="583"/>
      <c r="C906" s="584"/>
      <c r="D906" s="585"/>
      <c r="E906" s="575"/>
      <c r="F906" s="575"/>
      <c r="G906" s="575"/>
      <c r="H906" s="575"/>
      <c r="I906" s="575"/>
      <c r="J906" s="575"/>
      <c r="K906" s="575"/>
      <c r="L906" s="575"/>
      <c r="M906" s="575"/>
      <c r="N906" s="575"/>
      <c r="O906" s="575"/>
      <c r="P906" s="575"/>
      <c r="Q906" s="575"/>
      <c r="R906" s="575"/>
      <c r="S906" s="575"/>
      <c r="T906" s="575"/>
      <c r="U906" s="575"/>
      <c r="V906" s="575"/>
      <c r="W906" s="575"/>
      <c r="X906" s="575"/>
      <c r="Y906" s="575"/>
      <c r="Z906" s="575"/>
    </row>
    <row r="907">
      <c r="A907" s="582"/>
      <c r="B907" s="583"/>
      <c r="C907" s="584"/>
      <c r="D907" s="585"/>
      <c r="E907" s="575"/>
      <c r="F907" s="575"/>
      <c r="G907" s="575"/>
      <c r="H907" s="575"/>
      <c r="I907" s="575"/>
      <c r="J907" s="575"/>
      <c r="K907" s="575"/>
      <c r="L907" s="575"/>
      <c r="M907" s="575"/>
      <c r="N907" s="575"/>
      <c r="O907" s="575"/>
      <c r="P907" s="575"/>
      <c r="Q907" s="575"/>
      <c r="R907" s="575"/>
      <c r="S907" s="575"/>
      <c r="T907" s="575"/>
      <c r="U907" s="575"/>
      <c r="V907" s="575"/>
      <c r="W907" s="575"/>
      <c r="X907" s="575"/>
      <c r="Y907" s="575"/>
      <c r="Z907" s="575"/>
    </row>
    <row r="908">
      <c r="A908" s="582"/>
      <c r="B908" s="583"/>
      <c r="C908" s="584"/>
      <c r="D908" s="585"/>
      <c r="E908" s="575"/>
      <c r="F908" s="575"/>
      <c r="G908" s="575"/>
      <c r="H908" s="575"/>
      <c r="I908" s="575"/>
      <c r="J908" s="575"/>
      <c r="K908" s="575"/>
      <c r="L908" s="575"/>
      <c r="M908" s="575"/>
      <c r="N908" s="575"/>
      <c r="O908" s="575"/>
      <c r="P908" s="575"/>
      <c r="Q908" s="575"/>
      <c r="R908" s="575"/>
      <c r="S908" s="575"/>
      <c r="T908" s="575"/>
      <c r="U908" s="575"/>
      <c r="V908" s="575"/>
      <c r="W908" s="575"/>
      <c r="X908" s="575"/>
      <c r="Y908" s="575"/>
      <c r="Z908" s="575"/>
    </row>
    <row r="909">
      <c r="A909" s="582"/>
      <c r="B909" s="583"/>
      <c r="C909" s="584"/>
      <c r="D909" s="585"/>
      <c r="E909" s="575"/>
      <c r="F909" s="575"/>
      <c r="G909" s="575"/>
      <c r="H909" s="575"/>
      <c r="I909" s="575"/>
      <c r="J909" s="575"/>
      <c r="K909" s="575"/>
      <c r="L909" s="575"/>
      <c r="M909" s="575"/>
      <c r="N909" s="575"/>
      <c r="O909" s="575"/>
      <c r="P909" s="575"/>
      <c r="Q909" s="575"/>
      <c r="R909" s="575"/>
      <c r="S909" s="575"/>
      <c r="T909" s="575"/>
      <c r="U909" s="575"/>
      <c r="V909" s="575"/>
      <c r="W909" s="575"/>
      <c r="X909" s="575"/>
      <c r="Y909" s="575"/>
      <c r="Z909" s="575"/>
    </row>
    <row r="910">
      <c r="A910" s="582"/>
      <c r="B910" s="583"/>
      <c r="C910" s="584"/>
      <c r="D910" s="585"/>
      <c r="E910" s="575"/>
      <c r="F910" s="575"/>
      <c r="G910" s="575"/>
      <c r="H910" s="575"/>
      <c r="I910" s="575"/>
      <c r="J910" s="575"/>
      <c r="K910" s="575"/>
      <c r="L910" s="575"/>
      <c r="M910" s="575"/>
      <c r="N910" s="575"/>
      <c r="O910" s="575"/>
      <c r="P910" s="575"/>
      <c r="Q910" s="575"/>
      <c r="R910" s="575"/>
      <c r="S910" s="575"/>
      <c r="T910" s="575"/>
      <c r="U910" s="575"/>
      <c r="V910" s="575"/>
      <c r="W910" s="575"/>
      <c r="X910" s="575"/>
      <c r="Y910" s="575"/>
      <c r="Z910" s="575"/>
    </row>
    <row r="911">
      <c r="A911" s="582"/>
      <c r="B911" s="583"/>
      <c r="C911" s="584"/>
      <c r="D911" s="585"/>
      <c r="E911" s="575"/>
      <c r="F911" s="575"/>
      <c r="G911" s="575"/>
      <c r="H911" s="575"/>
      <c r="I911" s="575"/>
      <c r="J911" s="575"/>
      <c r="K911" s="575"/>
      <c r="L911" s="575"/>
      <c r="M911" s="575"/>
      <c r="N911" s="575"/>
      <c r="O911" s="575"/>
      <c r="P911" s="575"/>
      <c r="Q911" s="575"/>
      <c r="R911" s="575"/>
      <c r="S911" s="575"/>
      <c r="T911" s="575"/>
      <c r="U911" s="575"/>
      <c r="V911" s="575"/>
      <c r="W911" s="575"/>
      <c r="X911" s="575"/>
      <c r="Y911" s="575"/>
      <c r="Z911" s="575"/>
    </row>
    <row r="912">
      <c r="A912" s="582"/>
      <c r="B912" s="583"/>
      <c r="C912" s="584"/>
      <c r="D912" s="585"/>
      <c r="E912" s="575"/>
      <c r="F912" s="575"/>
      <c r="G912" s="575"/>
      <c r="H912" s="575"/>
      <c r="I912" s="575"/>
      <c r="J912" s="575"/>
      <c r="K912" s="575"/>
      <c r="L912" s="575"/>
      <c r="M912" s="575"/>
      <c r="N912" s="575"/>
      <c r="O912" s="575"/>
      <c r="P912" s="575"/>
      <c r="Q912" s="575"/>
      <c r="R912" s="575"/>
      <c r="S912" s="575"/>
      <c r="T912" s="575"/>
      <c r="U912" s="575"/>
      <c r="V912" s="575"/>
      <c r="W912" s="575"/>
      <c r="X912" s="575"/>
      <c r="Y912" s="575"/>
      <c r="Z912" s="575"/>
    </row>
    <row r="913">
      <c r="A913" s="582"/>
      <c r="B913" s="583"/>
      <c r="C913" s="584"/>
      <c r="D913" s="585"/>
      <c r="E913" s="575"/>
      <c r="F913" s="575"/>
      <c r="G913" s="575"/>
      <c r="H913" s="575"/>
      <c r="I913" s="575"/>
      <c r="J913" s="575"/>
      <c r="K913" s="575"/>
      <c r="L913" s="575"/>
      <c r="M913" s="575"/>
      <c r="N913" s="575"/>
      <c r="O913" s="575"/>
      <c r="P913" s="575"/>
      <c r="Q913" s="575"/>
      <c r="R913" s="575"/>
      <c r="S913" s="575"/>
      <c r="T913" s="575"/>
      <c r="U913" s="575"/>
      <c r="V913" s="575"/>
      <c r="W913" s="575"/>
      <c r="X913" s="575"/>
      <c r="Y913" s="575"/>
      <c r="Z913" s="575"/>
    </row>
    <row r="914">
      <c r="A914" s="582"/>
      <c r="B914" s="583"/>
      <c r="C914" s="584"/>
      <c r="D914" s="585"/>
      <c r="E914" s="575"/>
      <c r="F914" s="575"/>
      <c r="G914" s="575"/>
      <c r="H914" s="575"/>
      <c r="I914" s="575"/>
      <c r="J914" s="575"/>
      <c r="K914" s="575"/>
      <c r="L914" s="575"/>
      <c r="M914" s="575"/>
      <c r="N914" s="575"/>
      <c r="O914" s="575"/>
      <c r="P914" s="575"/>
      <c r="Q914" s="575"/>
      <c r="R914" s="575"/>
      <c r="S914" s="575"/>
      <c r="T914" s="575"/>
      <c r="U914" s="575"/>
      <c r="V914" s="575"/>
      <c r="W914" s="575"/>
      <c r="X914" s="575"/>
      <c r="Y914" s="575"/>
      <c r="Z914" s="575"/>
    </row>
    <row r="915">
      <c r="A915" s="582"/>
      <c r="B915" s="583"/>
      <c r="C915" s="584"/>
      <c r="D915" s="585"/>
      <c r="E915" s="575"/>
      <c r="F915" s="575"/>
      <c r="G915" s="575"/>
      <c r="H915" s="575"/>
      <c r="I915" s="575"/>
      <c r="J915" s="575"/>
      <c r="K915" s="575"/>
      <c r="L915" s="575"/>
      <c r="M915" s="575"/>
      <c r="N915" s="575"/>
      <c r="O915" s="575"/>
      <c r="P915" s="575"/>
      <c r="Q915" s="575"/>
      <c r="R915" s="575"/>
      <c r="S915" s="575"/>
      <c r="T915" s="575"/>
      <c r="U915" s="575"/>
      <c r="V915" s="575"/>
      <c r="W915" s="575"/>
      <c r="X915" s="575"/>
      <c r="Y915" s="575"/>
      <c r="Z915" s="575"/>
    </row>
    <row r="916">
      <c r="A916" s="582"/>
      <c r="B916" s="583"/>
      <c r="C916" s="584"/>
      <c r="D916" s="585"/>
      <c r="E916" s="575"/>
      <c r="F916" s="575"/>
      <c r="G916" s="575"/>
      <c r="H916" s="575"/>
      <c r="I916" s="575"/>
      <c r="J916" s="575"/>
      <c r="K916" s="575"/>
      <c r="L916" s="575"/>
      <c r="M916" s="575"/>
      <c r="N916" s="575"/>
      <c r="O916" s="575"/>
      <c r="P916" s="575"/>
      <c r="Q916" s="575"/>
      <c r="R916" s="575"/>
      <c r="S916" s="575"/>
      <c r="T916" s="575"/>
      <c r="U916" s="575"/>
      <c r="V916" s="575"/>
      <c r="W916" s="575"/>
      <c r="X916" s="575"/>
      <c r="Y916" s="575"/>
      <c r="Z916" s="575"/>
    </row>
    <row r="917">
      <c r="A917" s="582"/>
      <c r="B917" s="583"/>
      <c r="C917" s="584"/>
      <c r="D917" s="585"/>
      <c r="E917" s="575"/>
      <c r="F917" s="575"/>
      <c r="G917" s="575"/>
      <c r="H917" s="575"/>
      <c r="I917" s="575"/>
      <c r="J917" s="575"/>
      <c r="K917" s="575"/>
      <c r="L917" s="575"/>
      <c r="M917" s="575"/>
      <c r="N917" s="575"/>
      <c r="O917" s="575"/>
      <c r="P917" s="575"/>
      <c r="Q917" s="575"/>
      <c r="R917" s="575"/>
      <c r="S917" s="575"/>
      <c r="T917" s="575"/>
      <c r="U917" s="575"/>
      <c r="V917" s="575"/>
      <c r="W917" s="575"/>
      <c r="X917" s="575"/>
      <c r="Y917" s="575"/>
      <c r="Z917" s="575"/>
    </row>
    <row r="918">
      <c r="A918" s="582"/>
      <c r="B918" s="583"/>
      <c r="C918" s="584"/>
      <c r="D918" s="585"/>
      <c r="E918" s="575"/>
      <c r="F918" s="575"/>
      <c r="G918" s="575"/>
      <c r="H918" s="575"/>
      <c r="I918" s="575"/>
      <c r="J918" s="575"/>
      <c r="K918" s="575"/>
      <c r="L918" s="575"/>
      <c r="M918" s="575"/>
      <c r="N918" s="575"/>
      <c r="O918" s="575"/>
      <c r="P918" s="575"/>
      <c r="Q918" s="575"/>
      <c r="R918" s="575"/>
      <c r="S918" s="575"/>
      <c r="T918" s="575"/>
      <c r="U918" s="575"/>
      <c r="V918" s="575"/>
      <c r="W918" s="575"/>
      <c r="X918" s="575"/>
      <c r="Y918" s="575"/>
      <c r="Z918" s="575"/>
    </row>
    <row r="919">
      <c r="A919" s="582"/>
      <c r="B919" s="583"/>
      <c r="C919" s="584"/>
      <c r="D919" s="585"/>
      <c r="E919" s="575"/>
      <c r="F919" s="575"/>
      <c r="G919" s="575"/>
      <c r="H919" s="575"/>
      <c r="I919" s="575"/>
      <c r="J919" s="575"/>
      <c r="K919" s="575"/>
      <c r="L919" s="575"/>
      <c r="M919" s="575"/>
      <c r="N919" s="575"/>
      <c r="O919" s="575"/>
      <c r="P919" s="575"/>
      <c r="Q919" s="575"/>
      <c r="R919" s="575"/>
      <c r="S919" s="575"/>
      <c r="T919" s="575"/>
      <c r="U919" s="575"/>
      <c r="V919" s="575"/>
      <c r="W919" s="575"/>
      <c r="X919" s="575"/>
      <c r="Y919" s="575"/>
      <c r="Z919" s="575"/>
    </row>
    <row r="920">
      <c r="A920" s="582"/>
      <c r="B920" s="583"/>
      <c r="C920" s="584"/>
      <c r="D920" s="585"/>
      <c r="E920" s="575"/>
      <c r="F920" s="575"/>
      <c r="G920" s="575"/>
      <c r="H920" s="575"/>
      <c r="I920" s="575"/>
      <c r="J920" s="575"/>
      <c r="K920" s="575"/>
      <c r="L920" s="575"/>
      <c r="M920" s="575"/>
      <c r="N920" s="575"/>
      <c r="O920" s="575"/>
      <c r="P920" s="575"/>
      <c r="Q920" s="575"/>
      <c r="R920" s="575"/>
      <c r="S920" s="575"/>
      <c r="T920" s="575"/>
      <c r="U920" s="575"/>
      <c r="V920" s="575"/>
      <c r="W920" s="575"/>
      <c r="X920" s="575"/>
      <c r="Y920" s="575"/>
      <c r="Z920" s="575"/>
    </row>
    <row r="921">
      <c r="A921" s="582"/>
      <c r="B921" s="583"/>
      <c r="C921" s="584"/>
      <c r="D921" s="585"/>
      <c r="E921" s="575"/>
      <c r="F921" s="575"/>
      <c r="G921" s="575"/>
      <c r="H921" s="575"/>
      <c r="I921" s="575"/>
      <c r="J921" s="575"/>
      <c r="K921" s="575"/>
      <c r="L921" s="575"/>
      <c r="M921" s="575"/>
      <c r="N921" s="575"/>
      <c r="O921" s="575"/>
      <c r="P921" s="575"/>
      <c r="Q921" s="575"/>
      <c r="R921" s="575"/>
      <c r="S921" s="575"/>
      <c r="T921" s="575"/>
      <c r="U921" s="575"/>
      <c r="V921" s="575"/>
      <c r="W921" s="575"/>
      <c r="X921" s="575"/>
      <c r="Y921" s="575"/>
      <c r="Z921" s="575"/>
    </row>
    <row r="922">
      <c r="A922" s="582"/>
      <c r="B922" s="583"/>
      <c r="C922" s="584"/>
      <c r="D922" s="585"/>
      <c r="E922" s="575"/>
      <c r="F922" s="575"/>
      <c r="G922" s="575"/>
      <c r="H922" s="575"/>
      <c r="I922" s="575"/>
      <c r="J922" s="575"/>
      <c r="K922" s="575"/>
      <c r="L922" s="575"/>
      <c r="M922" s="575"/>
      <c r="N922" s="575"/>
      <c r="O922" s="575"/>
      <c r="P922" s="575"/>
      <c r="Q922" s="575"/>
      <c r="R922" s="575"/>
      <c r="S922" s="575"/>
      <c r="T922" s="575"/>
      <c r="U922" s="575"/>
      <c r="V922" s="575"/>
      <c r="W922" s="575"/>
      <c r="X922" s="575"/>
      <c r="Y922" s="575"/>
      <c r="Z922" s="575"/>
    </row>
    <row r="923">
      <c r="A923" s="582"/>
      <c r="B923" s="583"/>
      <c r="C923" s="584"/>
      <c r="D923" s="585"/>
      <c r="E923" s="575"/>
      <c r="F923" s="575"/>
      <c r="G923" s="575"/>
      <c r="H923" s="575"/>
      <c r="I923" s="575"/>
      <c r="J923" s="575"/>
      <c r="K923" s="575"/>
      <c r="L923" s="575"/>
      <c r="M923" s="575"/>
      <c r="N923" s="575"/>
      <c r="O923" s="575"/>
      <c r="P923" s="575"/>
      <c r="Q923" s="575"/>
      <c r="R923" s="575"/>
      <c r="S923" s="575"/>
      <c r="T923" s="575"/>
      <c r="U923" s="575"/>
      <c r="V923" s="575"/>
      <c r="W923" s="575"/>
      <c r="X923" s="575"/>
      <c r="Y923" s="575"/>
      <c r="Z923" s="575"/>
    </row>
    <row r="924">
      <c r="A924" s="582"/>
      <c r="B924" s="583"/>
      <c r="C924" s="584"/>
      <c r="D924" s="585"/>
      <c r="E924" s="575"/>
      <c r="F924" s="575"/>
      <c r="G924" s="575"/>
      <c r="H924" s="575"/>
      <c r="I924" s="575"/>
      <c r="J924" s="575"/>
      <c r="K924" s="575"/>
      <c r="L924" s="575"/>
      <c r="M924" s="575"/>
      <c r="N924" s="575"/>
      <c r="O924" s="575"/>
      <c r="P924" s="575"/>
      <c r="Q924" s="575"/>
      <c r="R924" s="575"/>
      <c r="S924" s="575"/>
      <c r="T924" s="575"/>
      <c r="U924" s="575"/>
      <c r="V924" s="575"/>
      <c r="W924" s="575"/>
      <c r="X924" s="575"/>
      <c r="Y924" s="575"/>
      <c r="Z924" s="575"/>
    </row>
    <row r="925">
      <c r="A925" s="582"/>
      <c r="B925" s="583"/>
      <c r="C925" s="584"/>
      <c r="D925" s="585"/>
      <c r="E925" s="575"/>
      <c r="F925" s="575"/>
      <c r="G925" s="575"/>
      <c r="H925" s="575"/>
      <c r="I925" s="575"/>
      <c r="J925" s="575"/>
      <c r="K925" s="575"/>
      <c r="L925" s="575"/>
      <c r="M925" s="575"/>
      <c r="N925" s="575"/>
      <c r="O925" s="575"/>
      <c r="P925" s="575"/>
      <c r="Q925" s="575"/>
      <c r="R925" s="575"/>
      <c r="S925" s="575"/>
      <c r="T925" s="575"/>
      <c r="U925" s="575"/>
      <c r="V925" s="575"/>
      <c r="W925" s="575"/>
      <c r="X925" s="575"/>
      <c r="Y925" s="575"/>
      <c r="Z925" s="575"/>
    </row>
    <row r="926">
      <c r="A926" s="582"/>
      <c r="B926" s="583"/>
      <c r="C926" s="584"/>
      <c r="D926" s="585"/>
      <c r="E926" s="575"/>
      <c r="F926" s="575"/>
      <c r="G926" s="575"/>
      <c r="H926" s="575"/>
      <c r="I926" s="575"/>
      <c r="J926" s="575"/>
      <c r="K926" s="575"/>
      <c r="L926" s="575"/>
      <c r="M926" s="575"/>
      <c r="N926" s="575"/>
      <c r="O926" s="575"/>
      <c r="P926" s="575"/>
      <c r="Q926" s="575"/>
      <c r="R926" s="575"/>
      <c r="S926" s="575"/>
      <c r="T926" s="575"/>
      <c r="U926" s="575"/>
      <c r="V926" s="575"/>
      <c r="W926" s="575"/>
      <c r="X926" s="575"/>
      <c r="Y926" s="575"/>
      <c r="Z926" s="575"/>
    </row>
    <row r="927">
      <c r="A927" s="582"/>
      <c r="B927" s="583"/>
      <c r="C927" s="584"/>
      <c r="D927" s="585"/>
      <c r="E927" s="575"/>
      <c r="F927" s="575"/>
      <c r="G927" s="575"/>
      <c r="H927" s="575"/>
      <c r="I927" s="575"/>
      <c r="J927" s="575"/>
      <c r="K927" s="575"/>
      <c r="L927" s="575"/>
      <c r="M927" s="575"/>
      <c r="N927" s="575"/>
      <c r="O927" s="575"/>
      <c r="P927" s="575"/>
      <c r="Q927" s="575"/>
      <c r="R927" s="575"/>
      <c r="S927" s="575"/>
      <c r="T927" s="575"/>
      <c r="U927" s="575"/>
      <c r="V927" s="575"/>
      <c r="W927" s="575"/>
      <c r="X927" s="575"/>
      <c r="Y927" s="575"/>
      <c r="Z927" s="575"/>
    </row>
    <row r="928">
      <c r="A928" s="582"/>
      <c r="B928" s="583"/>
      <c r="C928" s="584"/>
      <c r="D928" s="585"/>
      <c r="E928" s="575"/>
      <c r="F928" s="575"/>
      <c r="G928" s="575"/>
      <c r="H928" s="575"/>
      <c r="I928" s="575"/>
      <c r="J928" s="575"/>
      <c r="K928" s="575"/>
      <c r="L928" s="575"/>
      <c r="M928" s="575"/>
      <c r="N928" s="575"/>
      <c r="O928" s="575"/>
      <c r="P928" s="575"/>
      <c r="Q928" s="575"/>
      <c r="R928" s="575"/>
      <c r="S928" s="575"/>
      <c r="T928" s="575"/>
      <c r="U928" s="575"/>
      <c r="V928" s="575"/>
      <c r="W928" s="575"/>
      <c r="X928" s="575"/>
      <c r="Y928" s="575"/>
      <c r="Z928" s="575"/>
    </row>
    <row r="929">
      <c r="A929" s="582"/>
      <c r="B929" s="583"/>
      <c r="C929" s="584"/>
      <c r="D929" s="585"/>
      <c r="E929" s="575"/>
      <c r="F929" s="575"/>
      <c r="G929" s="575"/>
      <c r="H929" s="575"/>
      <c r="I929" s="575"/>
      <c r="J929" s="575"/>
      <c r="K929" s="575"/>
      <c r="L929" s="575"/>
      <c r="M929" s="575"/>
      <c r="N929" s="575"/>
      <c r="O929" s="575"/>
      <c r="P929" s="575"/>
      <c r="Q929" s="575"/>
      <c r="R929" s="575"/>
      <c r="S929" s="575"/>
      <c r="T929" s="575"/>
      <c r="U929" s="575"/>
      <c r="V929" s="575"/>
      <c r="W929" s="575"/>
      <c r="X929" s="575"/>
      <c r="Y929" s="575"/>
      <c r="Z929" s="575"/>
    </row>
    <row r="930">
      <c r="A930" s="582"/>
      <c r="B930" s="583"/>
      <c r="C930" s="584"/>
      <c r="D930" s="585"/>
      <c r="E930" s="575"/>
      <c r="F930" s="575"/>
      <c r="G930" s="575"/>
      <c r="H930" s="575"/>
      <c r="I930" s="575"/>
      <c r="J930" s="575"/>
      <c r="K930" s="575"/>
      <c r="L930" s="575"/>
      <c r="M930" s="575"/>
      <c r="N930" s="575"/>
      <c r="O930" s="575"/>
      <c r="P930" s="575"/>
      <c r="Q930" s="575"/>
      <c r="R930" s="575"/>
      <c r="S930" s="575"/>
      <c r="T930" s="575"/>
      <c r="U930" s="575"/>
      <c r="V930" s="575"/>
      <c r="W930" s="575"/>
      <c r="X930" s="575"/>
      <c r="Y930" s="575"/>
      <c r="Z930" s="575"/>
    </row>
    <row r="931">
      <c r="A931" s="582"/>
      <c r="B931" s="583"/>
      <c r="C931" s="584"/>
      <c r="D931" s="585"/>
      <c r="E931" s="575"/>
      <c r="F931" s="575"/>
      <c r="G931" s="575"/>
      <c r="H931" s="575"/>
      <c r="I931" s="575"/>
      <c r="J931" s="575"/>
      <c r="K931" s="575"/>
      <c r="L931" s="575"/>
      <c r="M931" s="575"/>
      <c r="N931" s="575"/>
      <c r="O931" s="575"/>
      <c r="P931" s="575"/>
      <c r="Q931" s="575"/>
      <c r="R931" s="575"/>
      <c r="S931" s="575"/>
      <c r="T931" s="575"/>
      <c r="U931" s="575"/>
      <c r="V931" s="575"/>
      <c r="W931" s="575"/>
      <c r="X931" s="575"/>
      <c r="Y931" s="575"/>
      <c r="Z931" s="575"/>
    </row>
    <row r="932">
      <c r="A932" s="582"/>
      <c r="B932" s="583"/>
      <c r="C932" s="584"/>
      <c r="D932" s="585"/>
      <c r="E932" s="575"/>
      <c r="F932" s="575"/>
      <c r="G932" s="575"/>
      <c r="H932" s="575"/>
      <c r="I932" s="575"/>
      <c r="J932" s="575"/>
      <c r="K932" s="575"/>
      <c r="L932" s="575"/>
      <c r="M932" s="575"/>
      <c r="N932" s="575"/>
      <c r="O932" s="575"/>
      <c r="P932" s="575"/>
      <c r="Q932" s="575"/>
      <c r="R932" s="575"/>
      <c r="S932" s="575"/>
      <c r="T932" s="575"/>
      <c r="U932" s="575"/>
      <c r="V932" s="575"/>
      <c r="W932" s="575"/>
      <c r="X932" s="575"/>
      <c r="Y932" s="575"/>
      <c r="Z932" s="575"/>
    </row>
    <row r="933">
      <c r="A933" s="582"/>
      <c r="B933" s="583"/>
      <c r="C933" s="584"/>
      <c r="D933" s="585"/>
      <c r="E933" s="575"/>
      <c r="F933" s="575"/>
      <c r="G933" s="575"/>
      <c r="H933" s="575"/>
      <c r="I933" s="575"/>
      <c r="J933" s="575"/>
      <c r="K933" s="575"/>
      <c r="L933" s="575"/>
      <c r="M933" s="575"/>
      <c r="N933" s="575"/>
      <c r="O933" s="575"/>
      <c r="P933" s="575"/>
      <c r="Q933" s="575"/>
      <c r="R933" s="575"/>
      <c r="S933" s="575"/>
      <c r="T933" s="575"/>
      <c r="U933" s="575"/>
      <c r="V933" s="575"/>
      <c r="W933" s="575"/>
      <c r="X933" s="575"/>
      <c r="Y933" s="575"/>
      <c r="Z933" s="575"/>
    </row>
    <row r="934">
      <c r="A934" s="582"/>
      <c r="B934" s="583"/>
      <c r="C934" s="584"/>
      <c r="D934" s="585"/>
      <c r="E934" s="575"/>
      <c r="F934" s="575"/>
      <c r="G934" s="575"/>
      <c r="H934" s="575"/>
      <c r="I934" s="575"/>
      <c r="J934" s="575"/>
      <c r="K934" s="575"/>
      <c r="L934" s="575"/>
      <c r="M934" s="575"/>
      <c r="N934" s="575"/>
      <c r="O934" s="575"/>
      <c r="P934" s="575"/>
      <c r="Q934" s="575"/>
      <c r="R934" s="575"/>
      <c r="S934" s="575"/>
      <c r="T934" s="575"/>
      <c r="U934" s="575"/>
      <c r="V934" s="575"/>
      <c r="W934" s="575"/>
      <c r="X934" s="575"/>
      <c r="Y934" s="575"/>
      <c r="Z934" s="575"/>
    </row>
    <row r="935">
      <c r="A935" s="582"/>
      <c r="B935" s="583"/>
      <c r="C935" s="584"/>
      <c r="D935" s="585"/>
      <c r="E935" s="575"/>
      <c r="F935" s="575"/>
      <c r="G935" s="575"/>
      <c r="H935" s="575"/>
      <c r="I935" s="575"/>
      <c r="J935" s="575"/>
      <c r="K935" s="575"/>
      <c r="L935" s="575"/>
      <c r="M935" s="575"/>
      <c r="N935" s="575"/>
      <c r="O935" s="575"/>
      <c r="P935" s="575"/>
      <c r="Q935" s="575"/>
      <c r="R935" s="575"/>
      <c r="S935" s="575"/>
      <c r="T935" s="575"/>
      <c r="U935" s="575"/>
      <c r="V935" s="575"/>
      <c r="W935" s="575"/>
      <c r="X935" s="575"/>
      <c r="Y935" s="575"/>
      <c r="Z935" s="575"/>
    </row>
    <row r="936">
      <c r="A936" s="582"/>
      <c r="B936" s="583"/>
      <c r="C936" s="584"/>
      <c r="D936" s="585"/>
      <c r="E936" s="575"/>
      <c r="F936" s="575"/>
      <c r="G936" s="575"/>
      <c r="H936" s="575"/>
      <c r="I936" s="575"/>
      <c r="J936" s="575"/>
      <c r="K936" s="575"/>
      <c r="L936" s="575"/>
      <c r="M936" s="575"/>
      <c r="N936" s="575"/>
      <c r="O936" s="575"/>
      <c r="P936" s="575"/>
      <c r="Q936" s="575"/>
      <c r="R936" s="575"/>
      <c r="S936" s="575"/>
      <c r="T936" s="575"/>
      <c r="U936" s="575"/>
      <c r="V936" s="575"/>
      <c r="W936" s="575"/>
      <c r="X936" s="575"/>
      <c r="Y936" s="575"/>
      <c r="Z936" s="575"/>
    </row>
    <row r="937">
      <c r="A937" s="582"/>
      <c r="B937" s="583"/>
      <c r="C937" s="584"/>
      <c r="D937" s="585"/>
      <c r="E937" s="575"/>
      <c r="F937" s="575"/>
      <c r="G937" s="575"/>
      <c r="H937" s="575"/>
      <c r="I937" s="575"/>
      <c r="J937" s="575"/>
      <c r="K937" s="575"/>
      <c r="L937" s="575"/>
      <c r="M937" s="575"/>
      <c r="N937" s="575"/>
      <c r="O937" s="575"/>
      <c r="P937" s="575"/>
      <c r="Q937" s="575"/>
      <c r="R937" s="575"/>
      <c r="S937" s="575"/>
      <c r="T937" s="575"/>
      <c r="U937" s="575"/>
      <c r="V937" s="575"/>
      <c r="W937" s="575"/>
      <c r="X937" s="575"/>
      <c r="Y937" s="575"/>
      <c r="Z937" s="575"/>
    </row>
    <row r="938">
      <c r="A938" s="582"/>
      <c r="B938" s="583"/>
      <c r="C938" s="584"/>
      <c r="D938" s="585"/>
      <c r="E938" s="575"/>
      <c r="F938" s="575"/>
      <c r="G938" s="575"/>
      <c r="H938" s="575"/>
      <c r="I938" s="575"/>
      <c r="J938" s="575"/>
      <c r="K938" s="575"/>
      <c r="L938" s="575"/>
      <c r="M938" s="575"/>
      <c r="N938" s="575"/>
      <c r="O938" s="575"/>
      <c r="P938" s="575"/>
      <c r="Q938" s="575"/>
      <c r="R938" s="575"/>
      <c r="S938" s="575"/>
      <c r="T938" s="575"/>
      <c r="U938" s="575"/>
      <c r="V938" s="575"/>
      <c r="W938" s="575"/>
      <c r="X938" s="575"/>
      <c r="Y938" s="575"/>
      <c r="Z938" s="575"/>
    </row>
    <row r="939">
      <c r="A939" s="582"/>
      <c r="B939" s="583"/>
      <c r="C939" s="584"/>
      <c r="D939" s="585"/>
      <c r="E939" s="575"/>
      <c r="F939" s="575"/>
      <c r="G939" s="575"/>
      <c r="H939" s="575"/>
      <c r="I939" s="575"/>
      <c r="J939" s="575"/>
      <c r="K939" s="575"/>
      <c r="L939" s="575"/>
      <c r="M939" s="575"/>
      <c r="N939" s="575"/>
      <c r="O939" s="575"/>
      <c r="P939" s="575"/>
      <c r="Q939" s="575"/>
      <c r="R939" s="575"/>
      <c r="S939" s="575"/>
      <c r="T939" s="575"/>
      <c r="U939" s="575"/>
      <c r="V939" s="575"/>
      <c r="W939" s="575"/>
      <c r="X939" s="575"/>
      <c r="Y939" s="575"/>
      <c r="Z939" s="575"/>
    </row>
    <row r="940">
      <c r="A940" s="582"/>
      <c r="B940" s="583"/>
      <c r="C940" s="584"/>
      <c r="D940" s="585"/>
      <c r="E940" s="575"/>
      <c r="F940" s="575"/>
      <c r="G940" s="575"/>
      <c r="H940" s="575"/>
      <c r="I940" s="575"/>
      <c r="J940" s="575"/>
      <c r="K940" s="575"/>
      <c r="L940" s="575"/>
      <c r="M940" s="575"/>
      <c r="N940" s="575"/>
      <c r="O940" s="575"/>
      <c r="P940" s="575"/>
      <c r="Q940" s="575"/>
      <c r="R940" s="575"/>
      <c r="S940" s="575"/>
      <c r="T940" s="575"/>
      <c r="U940" s="575"/>
      <c r="V940" s="575"/>
      <c r="W940" s="575"/>
      <c r="X940" s="575"/>
      <c r="Y940" s="575"/>
      <c r="Z940" s="575"/>
    </row>
    <row r="941">
      <c r="A941" s="582"/>
      <c r="B941" s="583"/>
      <c r="C941" s="584"/>
      <c r="D941" s="585"/>
      <c r="E941" s="575"/>
      <c r="F941" s="575"/>
      <c r="G941" s="575"/>
      <c r="H941" s="575"/>
      <c r="I941" s="575"/>
      <c r="J941" s="575"/>
      <c r="K941" s="575"/>
      <c r="L941" s="575"/>
      <c r="M941" s="575"/>
      <c r="N941" s="575"/>
      <c r="O941" s="575"/>
      <c r="P941" s="575"/>
      <c r="Q941" s="575"/>
      <c r="R941" s="575"/>
      <c r="S941" s="575"/>
      <c r="T941" s="575"/>
      <c r="U941" s="575"/>
      <c r="V941" s="575"/>
      <c r="W941" s="575"/>
      <c r="X941" s="575"/>
      <c r="Y941" s="575"/>
      <c r="Z941" s="575"/>
    </row>
    <row r="942">
      <c r="A942" s="582"/>
      <c r="B942" s="583"/>
      <c r="C942" s="584"/>
      <c r="D942" s="585"/>
      <c r="E942" s="575"/>
      <c r="F942" s="575"/>
      <c r="G942" s="575"/>
      <c r="H942" s="575"/>
      <c r="I942" s="575"/>
      <c r="J942" s="575"/>
      <c r="K942" s="575"/>
      <c r="L942" s="575"/>
      <c r="M942" s="575"/>
      <c r="N942" s="575"/>
      <c r="O942" s="575"/>
      <c r="P942" s="575"/>
      <c r="Q942" s="575"/>
      <c r="R942" s="575"/>
      <c r="S942" s="575"/>
      <c r="T942" s="575"/>
      <c r="U942" s="575"/>
      <c r="V942" s="575"/>
      <c r="W942" s="575"/>
      <c r="X942" s="575"/>
      <c r="Y942" s="575"/>
      <c r="Z942" s="575"/>
    </row>
    <row r="943">
      <c r="A943" s="582"/>
      <c r="B943" s="583"/>
      <c r="C943" s="584"/>
      <c r="D943" s="585"/>
      <c r="E943" s="575"/>
      <c r="F943" s="575"/>
      <c r="G943" s="575"/>
      <c r="H943" s="575"/>
      <c r="I943" s="575"/>
      <c r="J943" s="575"/>
      <c r="K943" s="575"/>
      <c r="L943" s="575"/>
      <c r="M943" s="575"/>
      <c r="N943" s="575"/>
      <c r="O943" s="575"/>
      <c r="P943" s="575"/>
      <c r="Q943" s="575"/>
      <c r="R943" s="575"/>
      <c r="S943" s="575"/>
      <c r="T943" s="575"/>
      <c r="U943" s="575"/>
      <c r="V943" s="575"/>
      <c r="W943" s="575"/>
      <c r="X943" s="575"/>
      <c r="Y943" s="575"/>
      <c r="Z943" s="575"/>
    </row>
    <row r="944">
      <c r="A944" s="582"/>
      <c r="B944" s="583"/>
      <c r="C944" s="584"/>
      <c r="D944" s="585"/>
      <c r="E944" s="575"/>
      <c r="F944" s="575"/>
      <c r="G944" s="575"/>
      <c r="H944" s="575"/>
      <c r="I944" s="575"/>
      <c r="J944" s="575"/>
      <c r="K944" s="575"/>
      <c r="L944" s="575"/>
      <c r="M944" s="575"/>
      <c r="N944" s="575"/>
      <c r="O944" s="575"/>
      <c r="P944" s="575"/>
      <c r="Q944" s="575"/>
      <c r="R944" s="575"/>
      <c r="S944" s="575"/>
      <c r="T944" s="575"/>
      <c r="U944" s="575"/>
      <c r="V944" s="575"/>
      <c r="W944" s="575"/>
      <c r="X944" s="575"/>
      <c r="Y944" s="575"/>
      <c r="Z944" s="575"/>
    </row>
    <row r="945">
      <c r="A945" s="582"/>
      <c r="B945" s="583"/>
      <c r="C945" s="584"/>
      <c r="D945" s="585"/>
      <c r="E945" s="575"/>
      <c r="F945" s="575"/>
      <c r="G945" s="575"/>
      <c r="H945" s="575"/>
      <c r="I945" s="575"/>
      <c r="J945" s="575"/>
      <c r="K945" s="575"/>
      <c r="L945" s="575"/>
      <c r="M945" s="575"/>
      <c r="N945" s="575"/>
      <c r="O945" s="575"/>
      <c r="P945" s="575"/>
      <c r="Q945" s="575"/>
      <c r="R945" s="575"/>
      <c r="S945" s="575"/>
      <c r="T945" s="575"/>
      <c r="U945" s="575"/>
      <c r="V945" s="575"/>
      <c r="W945" s="575"/>
      <c r="X945" s="575"/>
      <c r="Y945" s="575"/>
      <c r="Z945" s="575"/>
    </row>
    <row r="946">
      <c r="A946" s="582"/>
      <c r="B946" s="583"/>
      <c r="C946" s="584"/>
      <c r="D946" s="585"/>
      <c r="E946" s="575"/>
      <c r="F946" s="575"/>
      <c r="G946" s="575"/>
      <c r="H946" s="575"/>
      <c r="I946" s="575"/>
      <c r="J946" s="575"/>
      <c r="K946" s="575"/>
      <c r="L946" s="575"/>
      <c r="M946" s="575"/>
      <c r="N946" s="575"/>
      <c r="O946" s="575"/>
      <c r="P946" s="575"/>
      <c r="Q946" s="575"/>
      <c r="R946" s="575"/>
      <c r="S946" s="575"/>
      <c r="T946" s="575"/>
      <c r="U946" s="575"/>
      <c r="V946" s="575"/>
      <c r="W946" s="575"/>
      <c r="X946" s="575"/>
      <c r="Y946" s="575"/>
      <c r="Z946" s="575"/>
    </row>
    <row r="947">
      <c r="A947" s="582"/>
      <c r="B947" s="583"/>
      <c r="C947" s="584"/>
      <c r="D947" s="585"/>
      <c r="E947" s="575"/>
      <c r="F947" s="575"/>
      <c r="G947" s="575"/>
      <c r="H947" s="575"/>
      <c r="I947" s="575"/>
      <c r="J947" s="575"/>
      <c r="K947" s="575"/>
      <c r="L947" s="575"/>
      <c r="M947" s="575"/>
      <c r="N947" s="575"/>
      <c r="O947" s="575"/>
      <c r="P947" s="575"/>
      <c r="Q947" s="575"/>
      <c r="R947" s="575"/>
      <c r="S947" s="575"/>
      <c r="T947" s="575"/>
      <c r="U947" s="575"/>
      <c r="V947" s="575"/>
      <c r="W947" s="575"/>
      <c r="X947" s="575"/>
      <c r="Y947" s="575"/>
      <c r="Z947" s="575"/>
    </row>
    <row r="948">
      <c r="A948" s="582"/>
      <c r="B948" s="583"/>
      <c r="C948" s="584"/>
      <c r="D948" s="585"/>
      <c r="E948" s="575"/>
      <c r="F948" s="575"/>
      <c r="G948" s="575"/>
      <c r="H948" s="575"/>
      <c r="I948" s="575"/>
      <c r="J948" s="575"/>
      <c r="K948" s="575"/>
      <c r="L948" s="575"/>
      <c r="M948" s="575"/>
      <c r="N948" s="575"/>
      <c r="O948" s="575"/>
      <c r="P948" s="575"/>
      <c r="Q948" s="575"/>
      <c r="R948" s="575"/>
      <c r="S948" s="575"/>
      <c r="T948" s="575"/>
      <c r="U948" s="575"/>
      <c r="V948" s="575"/>
      <c r="W948" s="575"/>
      <c r="X948" s="575"/>
      <c r="Y948" s="575"/>
      <c r="Z948" s="575"/>
    </row>
    <row r="949">
      <c r="A949" s="582"/>
      <c r="B949" s="583"/>
      <c r="C949" s="584"/>
      <c r="D949" s="585"/>
      <c r="E949" s="575"/>
      <c r="F949" s="575"/>
      <c r="G949" s="575"/>
      <c r="H949" s="575"/>
      <c r="I949" s="575"/>
      <c r="J949" s="575"/>
      <c r="K949" s="575"/>
      <c r="L949" s="575"/>
      <c r="M949" s="575"/>
      <c r="N949" s="575"/>
      <c r="O949" s="575"/>
      <c r="P949" s="575"/>
      <c r="Q949" s="575"/>
      <c r="R949" s="575"/>
      <c r="S949" s="575"/>
      <c r="T949" s="575"/>
      <c r="U949" s="575"/>
      <c r="V949" s="575"/>
      <c r="W949" s="575"/>
      <c r="X949" s="575"/>
      <c r="Y949" s="575"/>
      <c r="Z949" s="575"/>
    </row>
    <row r="950">
      <c r="A950" s="582"/>
      <c r="B950" s="583"/>
      <c r="C950" s="584"/>
      <c r="D950" s="585"/>
      <c r="E950" s="575"/>
      <c r="F950" s="575"/>
      <c r="G950" s="575"/>
      <c r="H950" s="575"/>
      <c r="I950" s="575"/>
      <c r="J950" s="575"/>
      <c r="K950" s="575"/>
      <c r="L950" s="575"/>
      <c r="M950" s="575"/>
      <c r="N950" s="575"/>
      <c r="O950" s="575"/>
      <c r="P950" s="575"/>
      <c r="Q950" s="575"/>
      <c r="R950" s="575"/>
      <c r="S950" s="575"/>
      <c r="T950" s="575"/>
      <c r="U950" s="575"/>
      <c r="V950" s="575"/>
      <c r="W950" s="575"/>
      <c r="X950" s="575"/>
      <c r="Y950" s="575"/>
      <c r="Z950" s="575"/>
    </row>
    <row r="951">
      <c r="A951" s="582"/>
      <c r="B951" s="583"/>
      <c r="C951" s="584"/>
      <c r="D951" s="585"/>
      <c r="E951" s="575"/>
      <c r="F951" s="575"/>
      <c r="G951" s="575"/>
      <c r="H951" s="575"/>
      <c r="I951" s="575"/>
      <c r="J951" s="575"/>
      <c r="K951" s="575"/>
      <c r="L951" s="575"/>
      <c r="M951" s="575"/>
      <c r="N951" s="575"/>
      <c r="O951" s="575"/>
      <c r="P951" s="575"/>
      <c r="Q951" s="575"/>
      <c r="R951" s="575"/>
      <c r="S951" s="575"/>
      <c r="T951" s="575"/>
      <c r="U951" s="575"/>
      <c r="V951" s="575"/>
      <c r="W951" s="575"/>
      <c r="X951" s="575"/>
      <c r="Y951" s="575"/>
      <c r="Z951" s="575"/>
    </row>
    <row r="952">
      <c r="A952" s="582"/>
      <c r="B952" s="583"/>
      <c r="C952" s="584"/>
      <c r="D952" s="585"/>
      <c r="E952" s="575"/>
      <c r="F952" s="575"/>
      <c r="G952" s="575"/>
      <c r="H952" s="575"/>
      <c r="I952" s="575"/>
      <c r="J952" s="575"/>
      <c r="K952" s="575"/>
      <c r="L952" s="575"/>
      <c r="M952" s="575"/>
      <c r="N952" s="575"/>
      <c r="O952" s="575"/>
      <c r="P952" s="575"/>
      <c r="Q952" s="575"/>
      <c r="R952" s="575"/>
      <c r="S952" s="575"/>
      <c r="T952" s="575"/>
      <c r="U952" s="575"/>
      <c r="V952" s="575"/>
      <c r="W952" s="575"/>
      <c r="X952" s="575"/>
      <c r="Y952" s="575"/>
      <c r="Z952" s="575"/>
    </row>
    <row r="953">
      <c r="A953" s="582"/>
      <c r="B953" s="583"/>
      <c r="C953" s="584"/>
      <c r="D953" s="585"/>
      <c r="E953" s="575"/>
      <c r="F953" s="575"/>
      <c r="G953" s="575"/>
      <c r="H953" s="575"/>
      <c r="I953" s="575"/>
      <c r="J953" s="575"/>
      <c r="K953" s="575"/>
      <c r="L953" s="575"/>
      <c r="M953" s="575"/>
      <c r="N953" s="575"/>
      <c r="O953" s="575"/>
      <c r="P953" s="575"/>
      <c r="Q953" s="575"/>
      <c r="R953" s="575"/>
      <c r="S953" s="575"/>
      <c r="T953" s="575"/>
      <c r="U953" s="575"/>
      <c r="V953" s="575"/>
      <c r="W953" s="575"/>
      <c r="X953" s="575"/>
      <c r="Y953" s="575"/>
      <c r="Z953" s="575"/>
    </row>
    <row r="954">
      <c r="A954" s="582"/>
      <c r="B954" s="583"/>
      <c r="C954" s="584"/>
      <c r="D954" s="585"/>
      <c r="E954" s="575"/>
      <c r="F954" s="575"/>
      <c r="G954" s="575"/>
      <c r="H954" s="575"/>
      <c r="I954" s="575"/>
      <c r="J954" s="575"/>
      <c r="K954" s="575"/>
      <c r="L954" s="575"/>
      <c r="M954" s="575"/>
      <c r="N954" s="575"/>
      <c r="O954" s="575"/>
      <c r="P954" s="575"/>
      <c r="Q954" s="575"/>
      <c r="R954" s="575"/>
      <c r="S954" s="575"/>
      <c r="T954" s="575"/>
      <c r="U954" s="575"/>
      <c r="V954" s="575"/>
      <c r="W954" s="575"/>
      <c r="X954" s="575"/>
      <c r="Y954" s="575"/>
      <c r="Z954" s="575"/>
    </row>
    <row r="955">
      <c r="A955" s="582"/>
      <c r="B955" s="583"/>
      <c r="C955" s="584"/>
      <c r="D955" s="585"/>
      <c r="E955" s="575"/>
      <c r="F955" s="575"/>
      <c r="G955" s="575"/>
      <c r="H955" s="575"/>
      <c r="I955" s="575"/>
      <c r="J955" s="575"/>
      <c r="K955" s="575"/>
      <c r="L955" s="575"/>
      <c r="M955" s="575"/>
      <c r="N955" s="575"/>
      <c r="O955" s="575"/>
      <c r="P955" s="575"/>
      <c r="Q955" s="575"/>
      <c r="R955" s="575"/>
      <c r="S955" s="575"/>
      <c r="T955" s="575"/>
      <c r="U955" s="575"/>
      <c r="V955" s="575"/>
      <c r="W955" s="575"/>
      <c r="X955" s="575"/>
      <c r="Y955" s="575"/>
      <c r="Z955" s="575"/>
    </row>
    <row r="956">
      <c r="A956" s="582"/>
      <c r="B956" s="583"/>
      <c r="C956" s="584"/>
      <c r="D956" s="585"/>
      <c r="E956" s="575"/>
      <c r="F956" s="575"/>
      <c r="G956" s="575"/>
      <c r="H956" s="575"/>
      <c r="I956" s="575"/>
      <c r="J956" s="575"/>
      <c r="K956" s="575"/>
      <c r="L956" s="575"/>
      <c r="M956" s="575"/>
      <c r="N956" s="575"/>
      <c r="O956" s="575"/>
      <c r="P956" s="575"/>
      <c r="Q956" s="575"/>
      <c r="R956" s="575"/>
      <c r="S956" s="575"/>
      <c r="T956" s="575"/>
      <c r="U956" s="575"/>
      <c r="V956" s="575"/>
      <c r="W956" s="575"/>
      <c r="X956" s="575"/>
      <c r="Y956" s="575"/>
      <c r="Z956" s="575"/>
    </row>
    <row r="957">
      <c r="A957" s="582"/>
      <c r="B957" s="583"/>
      <c r="C957" s="584"/>
      <c r="D957" s="585"/>
      <c r="E957" s="575"/>
      <c r="F957" s="575"/>
      <c r="G957" s="575"/>
      <c r="H957" s="575"/>
      <c r="I957" s="575"/>
      <c r="J957" s="575"/>
      <c r="K957" s="575"/>
      <c r="L957" s="575"/>
      <c r="M957" s="575"/>
      <c r="N957" s="575"/>
      <c r="O957" s="575"/>
      <c r="P957" s="575"/>
      <c r="Q957" s="575"/>
      <c r="R957" s="575"/>
      <c r="S957" s="575"/>
      <c r="T957" s="575"/>
      <c r="U957" s="575"/>
      <c r="V957" s="575"/>
      <c r="W957" s="575"/>
      <c r="X957" s="575"/>
      <c r="Y957" s="575"/>
      <c r="Z957" s="575"/>
    </row>
    <row r="958">
      <c r="A958" s="582"/>
      <c r="B958" s="583"/>
      <c r="C958" s="584"/>
      <c r="D958" s="585"/>
      <c r="E958" s="575"/>
      <c r="F958" s="575"/>
      <c r="G958" s="575"/>
      <c r="H958" s="575"/>
      <c r="I958" s="575"/>
      <c r="J958" s="575"/>
      <c r="K958" s="575"/>
      <c r="L958" s="575"/>
      <c r="M958" s="575"/>
      <c r="N958" s="575"/>
      <c r="O958" s="575"/>
      <c r="P958" s="575"/>
      <c r="Q958" s="575"/>
      <c r="R958" s="575"/>
      <c r="S958" s="575"/>
      <c r="T958" s="575"/>
      <c r="U958" s="575"/>
      <c r="V958" s="575"/>
      <c r="W958" s="575"/>
      <c r="X958" s="575"/>
      <c r="Y958" s="575"/>
      <c r="Z958" s="575"/>
    </row>
    <row r="959">
      <c r="A959" s="582"/>
      <c r="B959" s="583"/>
      <c r="C959" s="584"/>
      <c r="D959" s="585"/>
      <c r="E959" s="575"/>
      <c r="F959" s="575"/>
      <c r="G959" s="575"/>
      <c r="H959" s="575"/>
      <c r="I959" s="575"/>
      <c r="J959" s="575"/>
      <c r="K959" s="575"/>
      <c r="L959" s="575"/>
      <c r="M959" s="575"/>
      <c r="N959" s="575"/>
      <c r="O959" s="575"/>
      <c r="P959" s="575"/>
      <c r="Q959" s="575"/>
      <c r="R959" s="575"/>
      <c r="S959" s="575"/>
      <c r="T959" s="575"/>
      <c r="U959" s="575"/>
      <c r="V959" s="575"/>
      <c r="W959" s="575"/>
      <c r="X959" s="575"/>
      <c r="Y959" s="575"/>
      <c r="Z959" s="575"/>
    </row>
    <row r="960">
      <c r="A960" s="582"/>
      <c r="B960" s="583"/>
      <c r="C960" s="584"/>
      <c r="D960" s="585"/>
      <c r="E960" s="575"/>
      <c r="F960" s="575"/>
      <c r="G960" s="575"/>
      <c r="H960" s="575"/>
      <c r="I960" s="575"/>
      <c r="J960" s="575"/>
      <c r="K960" s="575"/>
      <c r="L960" s="575"/>
      <c r="M960" s="575"/>
      <c r="N960" s="575"/>
      <c r="O960" s="575"/>
      <c r="P960" s="575"/>
      <c r="Q960" s="575"/>
      <c r="R960" s="575"/>
      <c r="S960" s="575"/>
      <c r="T960" s="575"/>
      <c r="U960" s="575"/>
      <c r="V960" s="575"/>
      <c r="W960" s="575"/>
      <c r="X960" s="575"/>
      <c r="Y960" s="575"/>
      <c r="Z960" s="575"/>
    </row>
    <row r="961">
      <c r="A961" s="582"/>
      <c r="B961" s="583"/>
      <c r="C961" s="584"/>
      <c r="D961" s="585"/>
      <c r="E961" s="575"/>
      <c r="F961" s="575"/>
      <c r="G961" s="575"/>
      <c r="H961" s="575"/>
      <c r="I961" s="575"/>
      <c r="J961" s="575"/>
      <c r="K961" s="575"/>
      <c r="L961" s="575"/>
      <c r="M961" s="575"/>
      <c r="N961" s="575"/>
      <c r="O961" s="575"/>
      <c r="P961" s="575"/>
      <c r="Q961" s="575"/>
      <c r="R961" s="575"/>
      <c r="S961" s="575"/>
      <c r="T961" s="575"/>
      <c r="U961" s="575"/>
      <c r="V961" s="575"/>
      <c r="W961" s="575"/>
      <c r="X961" s="575"/>
      <c r="Y961" s="575"/>
      <c r="Z961" s="575"/>
    </row>
    <row r="962">
      <c r="A962" s="582"/>
      <c r="B962" s="583"/>
      <c r="C962" s="584"/>
      <c r="D962" s="585"/>
      <c r="E962" s="575"/>
      <c r="F962" s="575"/>
      <c r="G962" s="575"/>
      <c r="H962" s="575"/>
      <c r="I962" s="575"/>
      <c r="J962" s="575"/>
      <c r="K962" s="575"/>
      <c r="L962" s="575"/>
      <c r="M962" s="575"/>
      <c r="N962" s="575"/>
      <c r="O962" s="575"/>
      <c r="P962" s="575"/>
      <c r="Q962" s="575"/>
      <c r="R962" s="575"/>
      <c r="S962" s="575"/>
      <c r="T962" s="575"/>
      <c r="U962" s="575"/>
      <c r="V962" s="575"/>
      <c r="W962" s="575"/>
      <c r="X962" s="575"/>
      <c r="Y962" s="575"/>
      <c r="Z962" s="575"/>
    </row>
    <row r="963">
      <c r="A963" s="582"/>
      <c r="B963" s="583"/>
      <c r="C963" s="584"/>
      <c r="D963" s="585"/>
      <c r="E963" s="575"/>
      <c r="F963" s="575"/>
      <c r="G963" s="575"/>
      <c r="H963" s="575"/>
      <c r="I963" s="575"/>
      <c r="J963" s="575"/>
      <c r="K963" s="575"/>
      <c r="L963" s="575"/>
      <c r="M963" s="575"/>
      <c r="N963" s="575"/>
      <c r="O963" s="575"/>
      <c r="P963" s="575"/>
      <c r="Q963" s="575"/>
      <c r="R963" s="575"/>
      <c r="S963" s="575"/>
      <c r="T963" s="575"/>
      <c r="U963" s="575"/>
      <c r="V963" s="575"/>
      <c r="W963" s="575"/>
      <c r="X963" s="575"/>
      <c r="Y963" s="575"/>
      <c r="Z963" s="575"/>
    </row>
    <row r="964">
      <c r="A964" s="582"/>
      <c r="B964" s="583"/>
      <c r="C964" s="584"/>
      <c r="D964" s="585"/>
      <c r="E964" s="575"/>
      <c r="F964" s="575"/>
      <c r="G964" s="575"/>
      <c r="H964" s="575"/>
      <c r="I964" s="575"/>
      <c r="J964" s="575"/>
      <c r="K964" s="575"/>
      <c r="L964" s="575"/>
      <c r="M964" s="575"/>
      <c r="N964" s="575"/>
      <c r="O964" s="575"/>
      <c r="P964" s="575"/>
      <c r="Q964" s="575"/>
      <c r="R964" s="575"/>
      <c r="S964" s="575"/>
      <c r="T964" s="575"/>
      <c r="U964" s="575"/>
      <c r="V964" s="575"/>
      <c r="W964" s="575"/>
      <c r="X964" s="575"/>
      <c r="Y964" s="575"/>
      <c r="Z964" s="575"/>
    </row>
    <row r="965">
      <c r="A965" s="582"/>
      <c r="B965" s="583"/>
      <c r="C965" s="584"/>
      <c r="D965" s="585"/>
      <c r="E965" s="575"/>
      <c r="F965" s="575"/>
      <c r="G965" s="575"/>
      <c r="H965" s="575"/>
      <c r="I965" s="575"/>
      <c r="J965" s="575"/>
      <c r="K965" s="575"/>
      <c r="L965" s="575"/>
      <c r="M965" s="575"/>
      <c r="N965" s="575"/>
      <c r="O965" s="575"/>
      <c r="P965" s="575"/>
      <c r="Q965" s="575"/>
      <c r="R965" s="575"/>
      <c r="S965" s="575"/>
      <c r="T965" s="575"/>
      <c r="U965" s="575"/>
      <c r="V965" s="575"/>
      <c r="W965" s="575"/>
      <c r="X965" s="575"/>
      <c r="Y965" s="575"/>
      <c r="Z965" s="575"/>
    </row>
    <row r="966">
      <c r="A966" s="582"/>
      <c r="B966" s="583"/>
      <c r="C966" s="584"/>
      <c r="D966" s="585"/>
      <c r="E966" s="575"/>
      <c r="F966" s="575"/>
      <c r="G966" s="575"/>
      <c r="H966" s="575"/>
      <c r="I966" s="575"/>
      <c r="J966" s="575"/>
      <c r="K966" s="575"/>
      <c r="L966" s="575"/>
      <c r="M966" s="575"/>
      <c r="N966" s="575"/>
      <c r="O966" s="575"/>
      <c r="P966" s="575"/>
      <c r="Q966" s="575"/>
      <c r="R966" s="575"/>
      <c r="S966" s="575"/>
      <c r="T966" s="575"/>
      <c r="U966" s="575"/>
      <c r="V966" s="575"/>
      <c r="W966" s="575"/>
      <c r="X966" s="575"/>
      <c r="Y966" s="575"/>
      <c r="Z966" s="575"/>
    </row>
    <row r="967">
      <c r="A967" s="582"/>
      <c r="B967" s="583"/>
      <c r="C967" s="584"/>
      <c r="D967" s="585"/>
      <c r="E967" s="575"/>
      <c r="F967" s="575"/>
      <c r="G967" s="575"/>
      <c r="H967" s="575"/>
      <c r="I967" s="575"/>
      <c r="J967" s="575"/>
      <c r="K967" s="575"/>
      <c r="L967" s="575"/>
      <c r="M967" s="575"/>
      <c r="N967" s="575"/>
      <c r="O967" s="575"/>
      <c r="P967" s="575"/>
      <c r="Q967" s="575"/>
      <c r="R967" s="575"/>
      <c r="S967" s="575"/>
      <c r="T967" s="575"/>
      <c r="U967" s="575"/>
      <c r="V967" s="575"/>
      <c r="W967" s="575"/>
      <c r="X967" s="575"/>
      <c r="Y967" s="575"/>
      <c r="Z967" s="575"/>
    </row>
    <row r="968">
      <c r="A968" s="582"/>
      <c r="B968" s="583"/>
      <c r="C968" s="584"/>
      <c r="D968" s="585"/>
      <c r="E968" s="575"/>
      <c r="F968" s="575"/>
      <c r="G968" s="575"/>
      <c r="H968" s="575"/>
      <c r="I968" s="575"/>
      <c r="J968" s="575"/>
      <c r="K968" s="575"/>
      <c r="L968" s="575"/>
      <c r="M968" s="575"/>
      <c r="N968" s="575"/>
      <c r="O968" s="575"/>
      <c r="P968" s="575"/>
      <c r="Q968" s="575"/>
      <c r="R968" s="575"/>
      <c r="S968" s="575"/>
      <c r="T968" s="575"/>
      <c r="U968" s="575"/>
      <c r="V968" s="575"/>
      <c r="W968" s="575"/>
      <c r="X968" s="575"/>
      <c r="Y968" s="575"/>
      <c r="Z968" s="575"/>
    </row>
    <row r="969">
      <c r="A969" s="582"/>
      <c r="B969" s="583"/>
      <c r="C969" s="584"/>
      <c r="D969" s="585"/>
      <c r="E969" s="575"/>
      <c r="F969" s="575"/>
      <c r="G969" s="575"/>
      <c r="H969" s="575"/>
      <c r="I969" s="575"/>
      <c r="J969" s="575"/>
      <c r="K969" s="575"/>
      <c r="L969" s="575"/>
      <c r="M969" s="575"/>
      <c r="N969" s="575"/>
      <c r="O969" s="575"/>
      <c r="P969" s="575"/>
      <c r="Q969" s="575"/>
      <c r="R969" s="575"/>
      <c r="S969" s="575"/>
      <c r="T969" s="575"/>
      <c r="U969" s="575"/>
      <c r="V969" s="575"/>
      <c r="W969" s="575"/>
      <c r="X969" s="575"/>
      <c r="Y969" s="575"/>
      <c r="Z969" s="575"/>
    </row>
    <row r="970">
      <c r="A970" s="582"/>
      <c r="B970" s="583"/>
      <c r="C970" s="584"/>
      <c r="D970" s="585"/>
      <c r="E970" s="575"/>
      <c r="F970" s="575"/>
      <c r="G970" s="575"/>
      <c r="H970" s="575"/>
      <c r="I970" s="575"/>
      <c r="J970" s="575"/>
      <c r="K970" s="575"/>
      <c r="L970" s="575"/>
      <c r="M970" s="575"/>
      <c r="N970" s="575"/>
      <c r="O970" s="575"/>
      <c r="P970" s="575"/>
      <c r="Q970" s="575"/>
      <c r="R970" s="575"/>
      <c r="S970" s="575"/>
      <c r="T970" s="575"/>
      <c r="U970" s="575"/>
      <c r="V970" s="575"/>
      <c r="W970" s="575"/>
      <c r="X970" s="575"/>
      <c r="Y970" s="575"/>
      <c r="Z970" s="575"/>
    </row>
    <row r="971">
      <c r="A971" s="582"/>
      <c r="B971" s="583"/>
      <c r="C971" s="584"/>
      <c r="D971" s="585"/>
      <c r="E971" s="575"/>
      <c r="F971" s="575"/>
      <c r="G971" s="575"/>
      <c r="H971" s="575"/>
      <c r="I971" s="575"/>
      <c r="J971" s="575"/>
      <c r="K971" s="575"/>
      <c r="L971" s="575"/>
      <c r="M971" s="575"/>
      <c r="N971" s="575"/>
      <c r="O971" s="575"/>
      <c r="P971" s="575"/>
      <c r="Q971" s="575"/>
      <c r="R971" s="575"/>
      <c r="S971" s="575"/>
      <c r="T971" s="575"/>
      <c r="U971" s="575"/>
      <c r="V971" s="575"/>
      <c r="W971" s="575"/>
      <c r="X971" s="575"/>
      <c r="Y971" s="575"/>
      <c r="Z971" s="575"/>
    </row>
    <row r="972">
      <c r="A972" s="582"/>
      <c r="B972" s="583"/>
      <c r="C972" s="584"/>
      <c r="D972" s="585"/>
      <c r="E972" s="575"/>
      <c r="F972" s="575"/>
      <c r="G972" s="575"/>
      <c r="H972" s="575"/>
      <c r="I972" s="575"/>
      <c r="J972" s="575"/>
      <c r="K972" s="575"/>
      <c r="L972" s="575"/>
      <c r="M972" s="575"/>
      <c r="N972" s="575"/>
      <c r="O972" s="575"/>
      <c r="P972" s="575"/>
      <c r="Q972" s="575"/>
      <c r="R972" s="575"/>
      <c r="S972" s="575"/>
      <c r="T972" s="575"/>
      <c r="U972" s="575"/>
      <c r="V972" s="575"/>
      <c r="W972" s="575"/>
      <c r="X972" s="575"/>
      <c r="Y972" s="575"/>
      <c r="Z972" s="575"/>
    </row>
    <row r="973">
      <c r="A973" s="582"/>
      <c r="B973" s="583"/>
      <c r="C973" s="584"/>
      <c r="D973" s="585"/>
      <c r="E973" s="575"/>
      <c r="F973" s="575"/>
      <c r="G973" s="575"/>
      <c r="H973" s="575"/>
      <c r="I973" s="575"/>
      <c r="J973" s="575"/>
      <c r="K973" s="575"/>
      <c r="L973" s="575"/>
      <c r="M973" s="575"/>
      <c r="N973" s="575"/>
      <c r="O973" s="575"/>
      <c r="P973" s="575"/>
      <c r="Q973" s="575"/>
      <c r="R973" s="575"/>
      <c r="S973" s="575"/>
      <c r="T973" s="575"/>
      <c r="U973" s="575"/>
      <c r="V973" s="575"/>
      <c r="W973" s="575"/>
      <c r="X973" s="575"/>
      <c r="Y973" s="575"/>
      <c r="Z973" s="575"/>
    </row>
    <row r="974">
      <c r="A974" s="582"/>
      <c r="B974" s="583"/>
      <c r="C974" s="584"/>
      <c r="D974" s="585"/>
      <c r="E974" s="575"/>
      <c r="F974" s="575"/>
      <c r="G974" s="575"/>
      <c r="H974" s="575"/>
      <c r="I974" s="575"/>
      <c r="J974" s="575"/>
      <c r="K974" s="575"/>
      <c r="L974" s="575"/>
      <c r="M974" s="575"/>
      <c r="N974" s="575"/>
      <c r="O974" s="575"/>
      <c r="P974" s="575"/>
      <c r="Q974" s="575"/>
      <c r="R974" s="575"/>
      <c r="S974" s="575"/>
      <c r="T974" s="575"/>
      <c r="U974" s="575"/>
      <c r="V974" s="575"/>
      <c r="W974" s="575"/>
      <c r="X974" s="575"/>
      <c r="Y974" s="575"/>
      <c r="Z974" s="575"/>
    </row>
    <row r="975">
      <c r="A975" s="582"/>
      <c r="B975" s="583"/>
      <c r="C975" s="584"/>
      <c r="D975" s="585"/>
      <c r="E975" s="575"/>
      <c r="F975" s="575"/>
      <c r="G975" s="575"/>
      <c r="H975" s="575"/>
      <c r="I975" s="575"/>
      <c r="J975" s="575"/>
      <c r="K975" s="575"/>
      <c r="L975" s="575"/>
      <c r="M975" s="575"/>
      <c r="N975" s="575"/>
      <c r="O975" s="575"/>
      <c r="P975" s="575"/>
      <c r="Q975" s="575"/>
      <c r="R975" s="575"/>
      <c r="S975" s="575"/>
      <c r="T975" s="575"/>
      <c r="U975" s="575"/>
      <c r="V975" s="575"/>
      <c r="W975" s="575"/>
      <c r="X975" s="575"/>
      <c r="Y975" s="575"/>
      <c r="Z975" s="575"/>
    </row>
    <row r="976">
      <c r="A976" s="582"/>
      <c r="B976" s="583"/>
      <c r="C976" s="584"/>
      <c r="D976" s="585"/>
      <c r="E976" s="575"/>
      <c r="F976" s="575"/>
      <c r="G976" s="575"/>
      <c r="H976" s="575"/>
      <c r="I976" s="575"/>
      <c r="J976" s="575"/>
      <c r="K976" s="575"/>
      <c r="L976" s="575"/>
      <c r="M976" s="575"/>
      <c r="N976" s="575"/>
      <c r="O976" s="575"/>
      <c r="P976" s="575"/>
      <c r="Q976" s="575"/>
      <c r="R976" s="575"/>
      <c r="S976" s="575"/>
      <c r="T976" s="575"/>
      <c r="U976" s="575"/>
      <c r="V976" s="575"/>
      <c r="W976" s="575"/>
      <c r="X976" s="575"/>
      <c r="Y976" s="575"/>
      <c r="Z976" s="575"/>
    </row>
    <row r="977">
      <c r="A977" s="582"/>
      <c r="B977" s="583"/>
      <c r="C977" s="584"/>
      <c r="D977" s="585"/>
      <c r="E977" s="575"/>
      <c r="F977" s="575"/>
      <c r="G977" s="575"/>
      <c r="H977" s="575"/>
      <c r="I977" s="575"/>
      <c r="J977" s="575"/>
      <c r="K977" s="575"/>
      <c r="L977" s="575"/>
      <c r="M977" s="575"/>
      <c r="N977" s="575"/>
      <c r="O977" s="575"/>
      <c r="P977" s="575"/>
      <c r="Q977" s="575"/>
      <c r="R977" s="575"/>
      <c r="S977" s="575"/>
      <c r="T977" s="575"/>
      <c r="U977" s="575"/>
      <c r="V977" s="575"/>
      <c r="W977" s="575"/>
      <c r="X977" s="575"/>
      <c r="Y977" s="575"/>
      <c r="Z977" s="575"/>
    </row>
    <row r="978">
      <c r="A978" s="582"/>
      <c r="B978" s="583"/>
      <c r="C978" s="584"/>
      <c r="D978" s="585"/>
      <c r="E978" s="575"/>
      <c r="F978" s="575"/>
      <c r="G978" s="575"/>
      <c r="H978" s="575"/>
      <c r="I978" s="575"/>
      <c r="J978" s="575"/>
      <c r="K978" s="575"/>
      <c r="L978" s="575"/>
      <c r="M978" s="575"/>
      <c r="N978" s="575"/>
      <c r="O978" s="575"/>
      <c r="P978" s="575"/>
      <c r="Q978" s="575"/>
      <c r="R978" s="575"/>
      <c r="S978" s="575"/>
      <c r="T978" s="575"/>
      <c r="U978" s="575"/>
      <c r="V978" s="575"/>
      <c r="W978" s="575"/>
      <c r="X978" s="575"/>
      <c r="Y978" s="575"/>
      <c r="Z978" s="575"/>
    </row>
    <row r="979">
      <c r="A979" s="582"/>
      <c r="B979" s="583"/>
      <c r="C979" s="584"/>
      <c r="D979" s="585"/>
      <c r="E979" s="575"/>
      <c r="F979" s="575"/>
      <c r="G979" s="575"/>
      <c r="H979" s="575"/>
      <c r="I979" s="575"/>
      <c r="J979" s="575"/>
      <c r="K979" s="575"/>
      <c r="L979" s="575"/>
      <c r="M979" s="575"/>
      <c r="N979" s="575"/>
      <c r="O979" s="575"/>
      <c r="P979" s="575"/>
      <c r="Q979" s="575"/>
      <c r="R979" s="575"/>
      <c r="S979" s="575"/>
      <c r="T979" s="575"/>
      <c r="U979" s="575"/>
      <c r="V979" s="575"/>
      <c r="W979" s="575"/>
      <c r="X979" s="575"/>
      <c r="Y979" s="575"/>
      <c r="Z979" s="575"/>
    </row>
    <row r="980">
      <c r="A980" s="582"/>
      <c r="B980" s="583"/>
      <c r="C980" s="584"/>
      <c r="D980" s="585"/>
      <c r="E980" s="575"/>
      <c r="F980" s="575"/>
      <c r="G980" s="575"/>
      <c r="H980" s="575"/>
      <c r="I980" s="575"/>
      <c r="J980" s="575"/>
      <c r="K980" s="575"/>
      <c r="L980" s="575"/>
      <c r="M980" s="575"/>
      <c r="N980" s="575"/>
      <c r="O980" s="575"/>
      <c r="P980" s="575"/>
      <c r="Q980" s="575"/>
      <c r="R980" s="575"/>
      <c r="S980" s="575"/>
      <c r="T980" s="575"/>
      <c r="U980" s="575"/>
      <c r="V980" s="575"/>
      <c r="W980" s="575"/>
      <c r="X980" s="575"/>
      <c r="Y980" s="575"/>
      <c r="Z980" s="575"/>
    </row>
    <row r="981">
      <c r="A981" s="582"/>
      <c r="B981" s="583"/>
      <c r="C981" s="584"/>
      <c r="D981" s="585"/>
      <c r="E981" s="575"/>
      <c r="F981" s="575"/>
      <c r="G981" s="575"/>
      <c r="H981" s="575"/>
      <c r="I981" s="575"/>
      <c r="J981" s="575"/>
      <c r="K981" s="575"/>
      <c r="L981" s="575"/>
      <c r="M981" s="575"/>
      <c r="N981" s="575"/>
      <c r="O981" s="575"/>
      <c r="P981" s="575"/>
      <c r="Q981" s="575"/>
      <c r="R981" s="575"/>
      <c r="S981" s="575"/>
      <c r="T981" s="575"/>
      <c r="U981" s="575"/>
      <c r="V981" s="575"/>
      <c r="W981" s="575"/>
      <c r="X981" s="575"/>
      <c r="Y981" s="575"/>
      <c r="Z981" s="575"/>
    </row>
    <row r="982">
      <c r="A982" s="582"/>
      <c r="B982" s="583"/>
      <c r="C982" s="584"/>
      <c r="D982" s="585"/>
      <c r="E982" s="575"/>
      <c r="F982" s="575"/>
      <c r="G982" s="575"/>
      <c r="H982" s="575"/>
      <c r="I982" s="575"/>
      <c r="J982" s="575"/>
      <c r="K982" s="575"/>
      <c r="L982" s="575"/>
      <c r="M982" s="575"/>
      <c r="N982" s="575"/>
      <c r="O982" s="575"/>
      <c r="P982" s="575"/>
      <c r="Q982" s="575"/>
      <c r="R982" s="575"/>
      <c r="S982" s="575"/>
      <c r="T982" s="575"/>
      <c r="U982" s="575"/>
      <c r="V982" s="575"/>
      <c r="W982" s="575"/>
      <c r="X982" s="575"/>
      <c r="Y982" s="575"/>
      <c r="Z982" s="575"/>
    </row>
    <row r="983">
      <c r="A983" s="582"/>
      <c r="B983" s="583"/>
      <c r="C983" s="584"/>
      <c r="D983" s="585"/>
      <c r="E983" s="575"/>
      <c r="F983" s="575"/>
      <c r="G983" s="575"/>
      <c r="H983" s="575"/>
      <c r="I983" s="575"/>
      <c r="J983" s="575"/>
      <c r="K983" s="575"/>
      <c r="L983" s="575"/>
      <c r="M983" s="575"/>
      <c r="N983" s="575"/>
      <c r="O983" s="575"/>
      <c r="P983" s="575"/>
      <c r="Q983" s="575"/>
      <c r="R983" s="575"/>
      <c r="S983" s="575"/>
      <c r="T983" s="575"/>
      <c r="U983" s="575"/>
      <c r="V983" s="575"/>
      <c r="W983" s="575"/>
      <c r="X983" s="575"/>
      <c r="Y983" s="575"/>
      <c r="Z983" s="575"/>
    </row>
    <row r="984">
      <c r="A984" s="582"/>
      <c r="B984" s="583"/>
      <c r="C984" s="584"/>
      <c r="D984" s="585"/>
      <c r="E984" s="575"/>
      <c r="F984" s="575"/>
      <c r="G984" s="575"/>
      <c r="H984" s="575"/>
      <c r="I984" s="575"/>
      <c r="J984" s="575"/>
      <c r="K984" s="575"/>
      <c r="L984" s="575"/>
      <c r="M984" s="575"/>
      <c r="N984" s="575"/>
      <c r="O984" s="575"/>
      <c r="P984" s="575"/>
      <c r="Q984" s="575"/>
      <c r="R984" s="575"/>
      <c r="S984" s="575"/>
      <c r="T984" s="575"/>
      <c r="U984" s="575"/>
      <c r="V984" s="575"/>
      <c r="W984" s="575"/>
      <c r="X984" s="575"/>
      <c r="Y984" s="575"/>
      <c r="Z984" s="575"/>
    </row>
    <row r="985">
      <c r="A985" s="582"/>
      <c r="B985" s="583"/>
      <c r="C985" s="584"/>
      <c r="D985" s="585"/>
      <c r="E985" s="575"/>
      <c r="F985" s="575"/>
      <c r="G985" s="575"/>
      <c r="H985" s="575"/>
      <c r="I985" s="575"/>
      <c r="J985" s="575"/>
      <c r="K985" s="575"/>
      <c r="L985" s="575"/>
      <c r="M985" s="575"/>
      <c r="N985" s="575"/>
      <c r="O985" s="575"/>
      <c r="P985" s="575"/>
      <c r="Q985" s="575"/>
      <c r="R985" s="575"/>
      <c r="S985" s="575"/>
      <c r="T985" s="575"/>
      <c r="U985" s="575"/>
      <c r="V985" s="575"/>
      <c r="W985" s="575"/>
      <c r="X985" s="575"/>
      <c r="Y985" s="575"/>
      <c r="Z985" s="575"/>
    </row>
    <row r="986">
      <c r="A986" s="582"/>
      <c r="B986" s="583"/>
      <c r="C986" s="584"/>
      <c r="D986" s="585"/>
      <c r="E986" s="575"/>
      <c r="F986" s="575"/>
      <c r="G986" s="575"/>
      <c r="H986" s="575"/>
      <c r="I986" s="575"/>
      <c r="J986" s="575"/>
      <c r="K986" s="575"/>
      <c r="L986" s="575"/>
      <c r="M986" s="575"/>
      <c r="N986" s="575"/>
      <c r="O986" s="575"/>
      <c r="P986" s="575"/>
      <c r="Q986" s="575"/>
      <c r="R986" s="575"/>
      <c r="S986" s="575"/>
      <c r="T986" s="575"/>
      <c r="U986" s="575"/>
      <c r="V986" s="575"/>
      <c r="W986" s="575"/>
      <c r="X986" s="575"/>
      <c r="Y986" s="575"/>
      <c r="Z986" s="575"/>
    </row>
    <row r="987">
      <c r="A987" s="582"/>
      <c r="B987" s="583"/>
      <c r="C987" s="584"/>
      <c r="D987" s="585"/>
      <c r="E987" s="575"/>
      <c r="F987" s="575"/>
      <c r="G987" s="575"/>
      <c r="H987" s="575"/>
      <c r="I987" s="575"/>
      <c r="J987" s="575"/>
      <c r="K987" s="575"/>
      <c r="L987" s="575"/>
      <c r="M987" s="575"/>
      <c r="N987" s="575"/>
      <c r="O987" s="575"/>
      <c r="P987" s="575"/>
      <c r="Q987" s="575"/>
      <c r="R987" s="575"/>
      <c r="S987" s="575"/>
      <c r="T987" s="575"/>
      <c r="U987" s="575"/>
      <c r="V987" s="575"/>
      <c r="W987" s="575"/>
      <c r="X987" s="575"/>
      <c r="Y987" s="575"/>
      <c r="Z987" s="575"/>
    </row>
    <row r="988">
      <c r="A988" s="582"/>
      <c r="B988" s="583"/>
      <c r="C988" s="584"/>
      <c r="D988" s="585"/>
      <c r="E988" s="575"/>
      <c r="F988" s="575"/>
      <c r="G988" s="575"/>
      <c r="H988" s="575"/>
      <c r="I988" s="575"/>
      <c r="J988" s="575"/>
      <c r="K988" s="575"/>
      <c r="L988" s="575"/>
      <c r="M988" s="575"/>
      <c r="N988" s="575"/>
      <c r="O988" s="575"/>
      <c r="P988" s="575"/>
      <c r="Q988" s="575"/>
      <c r="R988" s="575"/>
      <c r="S988" s="575"/>
      <c r="T988" s="575"/>
      <c r="U988" s="575"/>
      <c r="V988" s="575"/>
      <c r="W988" s="575"/>
      <c r="X988" s="575"/>
      <c r="Y988" s="575"/>
      <c r="Z988" s="575"/>
    </row>
    <row r="989">
      <c r="A989" s="582"/>
      <c r="B989" s="583"/>
      <c r="C989" s="584"/>
      <c r="D989" s="585"/>
      <c r="E989" s="575"/>
      <c r="F989" s="575"/>
      <c r="G989" s="575"/>
      <c r="H989" s="575"/>
      <c r="I989" s="575"/>
      <c r="J989" s="575"/>
      <c r="K989" s="575"/>
      <c r="L989" s="575"/>
      <c r="M989" s="575"/>
      <c r="N989" s="575"/>
      <c r="O989" s="575"/>
      <c r="P989" s="575"/>
      <c r="Q989" s="575"/>
      <c r="R989" s="575"/>
      <c r="S989" s="575"/>
      <c r="T989" s="575"/>
      <c r="U989" s="575"/>
      <c r="V989" s="575"/>
      <c r="W989" s="575"/>
      <c r="X989" s="575"/>
      <c r="Y989" s="575"/>
      <c r="Z989" s="575"/>
    </row>
    <row r="990">
      <c r="A990" s="582"/>
      <c r="B990" s="583"/>
      <c r="C990" s="584"/>
      <c r="D990" s="585"/>
      <c r="E990" s="575"/>
      <c r="F990" s="575"/>
      <c r="G990" s="575"/>
      <c r="H990" s="575"/>
      <c r="I990" s="575"/>
      <c r="J990" s="575"/>
      <c r="K990" s="575"/>
      <c r="L990" s="575"/>
      <c r="M990" s="575"/>
      <c r="N990" s="575"/>
      <c r="O990" s="575"/>
      <c r="P990" s="575"/>
      <c r="Q990" s="575"/>
      <c r="R990" s="575"/>
      <c r="S990" s="575"/>
      <c r="T990" s="575"/>
      <c r="U990" s="575"/>
      <c r="V990" s="575"/>
      <c r="W990" s="575"/>
      <c r="X990" s="575"/>
      <c r="Y990" s="575"/>
      <c r="Z990" s="575"/>
    </row>
    <row r="991">
      <c r="A991" s="582"/>
      <c r="B991" s="583"/>
      <c r="C991" s="584"/>
      <c r="D991" s="585"/>
      <c r="E991" s="575"/>
      <c r="F991" s="575"/>
      <c r="G991" s="575"/>
      <c r="H991" s="575"/>
      <c r="I991" s="575"/>
      <c r="J991" s="575"/>
      <c r="K991" s="575"/>
      <c r="L991" s="575"/>
      <c r="M991" s="575"/>
      <c r="N991" s="575"/>
      <c r="O991" s="575"/>
      <c r="P991" s="575"/>
      <c r="Q991" s="575"/>
      <c r="R991" s="575"/>
      <c r="S991" s="575"/>
      <c r="T991" s="575"/>
      <c r="U991" s="575"/>
      <c r="V991" s="575"/>
      <c r="W991" s="575"/>
      <c r="X991" s="575"/>
      <c r="Y991" s="575"/>
      <c r="Z991" s="575"/>
    </row>
    <row r="992">
      <c r="A992" s="582"/>
      <c r="B992" s="583"/>
      <c r="C992" s="584"/>
      <c r="D992" s="585"/>
      <c r="E992" s="575"/>
      <c r="F992" s="575"/>
      <c r="G992" s="575"/>
      <c r="H992" s="575"/>
      <c r="I992" s="575"/>
      <c r="J992" s="575"/>
      <c r="K992" s="575"/>
      <c r="L992" s="575"/>
      <c r="M992" s="575"/>
      <c r="N992" s="575"/>
      <c r="O992" s="575"/>
      <c r="P992" s="575"/>
      <c r="Q992" s="575"/>
      <c r="R992" s="575"/>
      <c r="S992" s="575"/>
      <c r="T992" s="575"/>
      <c r="U992" s="575"/>
      <c r="V992" s="575"/>
      <c r="W992" s="575"/>
      <c r="X992" s="575"/>
      <c r="Y992" s="575"/>
      <c r="Z992" s="575"/>
    </row>
    <row r="993">
      <c r="A993" s="582"/>
      <c r="B993" s="583"/>
      <c r="C993" s="584"/>
      <c r="D993" s="585"/>
      <c r="E993" s="575"/>
      <c r="F993" s="575"/>
      <c r="G993" s="575"/>
      <c r="H993" s="575"/>
      <c r="I993" s="575"/>
      <c r="J993" s="575"/>
      <c r="K993" s="575"/>
      <c r="L993" s="575"/>
      <c r="M993" s="575"/>
      <c r="N993" s="575"/>
      <c r="O993" s="575"/>
      <c r="P993" s="575"/>
      <c r="Q993" s="575"/>
      <c r="R993" s="575"/>
      <c r="S993" s="575"/>
      <c r="T993" s="575"/>
      <c r="U993" s="575"/>
      <c r="V993" s="575"/>
      <c r="W993" s="575"/>
      <c r="X993" s="575"/>
      <c r="Y993" s="575"/>
      <c r="Z993" s="575"/>
    </row>
    <row r="994">
      <c r="A994" s="582"/>
      <c r="B994" s="583"/>
      <c r="C994" s="584"/>
      <c r="D994" s="585"/>
      <c r="E994" s="575"/>
      <c r="F994" s="575"/>
      <c r="G994" s="575"/>
      <c r="H994" s="575"/>
      <c r="I994" s="575"/>
      <c r="J994" s="575"/>
      <c r="K994" s="575"/>
      <c r="L994" s="575"/>
      <c r="M994" s="575"/>
      <c r="N994" s="575"/>
      <c r="O994" s="575"/>
      <c r="P994" s="575"/>
      <c r="Q994" s="575"/>
      <c r="R994" s="575"/>
      <c r="S994" s="575"/>
      <c r="T994" s="575"/>
      <c r="U994" s="575"/>
      <c r="V994" s="575"/>
      <c r="W994" s="575"/>
      <c r="X994" s="575"/>
      <c r="Y994" s="575"/>
      <c r="Z994" s="575"/>
    </row>
    <row r="995">
      <c r="A995" s="582"/>
      <c r="B995" s="583"/>
      <c r="C995" s="584"/>
      <c r="D995" s="585"/>
      <c r="E995" s="575"/>
      <c r="F995" s="575"/>
      <c r="G995" s="575"/>
      <c r="H995" s="575"/>
      <c r="I995" s="575"/>
      <c r="J995" s="575"/>
      <c r="K995" s="575"/>
      <c r="L995" s="575"/>
      <c r="M995" s="575"/>
      <c r="N995" s="575"/>
      <c r="O995" s="575"/>
      <c r="P995" s="575"/>
      <c r="Q995" s="575"/>
      <c r="R995" s="575"/>
      <c r="S995" s="575"/>
      <c r="T995" s="575"/>
      <c r="U995" s="575"/>
      <c r="V995" s="575"/>
      <c r="W995" s="575"/>
      <c r="X995" s="575"/>
      <c r="Y995" s="575"/>
      <c r="Z995" s="575"/>
    </row>
    <row r="996">
      <c r="A996" s="582"/>
      <c r="B996" s="583"/>
      <c r="C996" s="584"/>
      <c r="D996" s="585"/>
      <c r="E996" s="575"/>
      <c r="F996" s="575"/>
      <c r="G996" s="575"/>
      <c r="H996" s="575"/>
      <c r="I996" s="575"/>
      <c r="J996" s="575"/>
      <c r="K996" s="575"/>
      <c r="L996" s="575"/>
      <c r="M996" s="575"/>
      <c r="N996" s="575"/>
      <c r="O996" s="575"/>
      <c r="P996" s="575"/>
      <c r="Q996" s="575"/>
      <c r="R996" s="575"/>
      <c r="S996" s="575"/>
      <c r="T996" s="575"/>
      <c r="U996" s="575"/>
      <c r="V996" s="575"/>
      <c r="W996" s="575"/>
      <c r="X996" s="575"/>
      <c r="Y996" s="575"/>
      <c r="Z996" s="575"/>
    </row>
    <row r="997">
      <c r="A997" s="582"/>
      <c r="B997" s="583"/>
      <c r="C997" s="584"/>
      <c r="D997" s="585"/>
      <c r="E997" s="575"/>
      <c r="F997" s="575"/>
      <c r="G997" s="575"/>
      <c r="H997" s="575"/>
      <c r="I997" s="575"/>
      <c r="J997" s="575"/>
      <c r="K997" s="575"/>
      <c r="L997" s="575"/>
      <c r="M997" s="575"/>
      <c r="N997" s="575"/>
      <c r="O997" s="575"/>
      <c r="P997" s="575"/>
      <c r="Q997" s="575"/>
      <c r="R997" s="575"/>
      <c r="S997" s="575"/>
      <c r="T997" s="575"/>
      <c r="U997" s="575"/>
      <c r="V997" s="575"/>
      <c r="W997" s="575"/>
      <c r="X997" s="575"/>
      <c r="Y997" s="575"/>
      <c r="Z997" s="575"/>
    </row>
    <row r="998">
      <c r="A998" s="582"/>
      <c r="B998" s="583"/>
      <c r="C998" s="584"/>
      <c r="D998" s="585"/>
      <c r="E998" s="575"/>
      <c r="F998" s="575"/>
      <c r="G998" s="575"/>
      <c r="H998" s="575"/>
      <c r="I998" s="575"/>
      <c r="J998" s="575"/>
      <c r="K998" s="575"/>
      <c r="L998" s="575"/>
      <c r="M998" s="575"/>
      <c r="N998" s="575"/>
      <c r="O998" s="575"/>
      <c r="P998" s="575"/>
      <c r="Q998" s="575"/>
      <c r="R998" s="575"/>
      <c r="S998" s="575"/>
      <c r="T998" s="575"/>
      <c r="U998" s="575"/>
      <c r="V998" s="575"/>
      <c r="W998" s="575"/>
      <c r="X998" s="575"/>
      <c r="Y998" s="575"/>
      <c r="Z998" s="575"/>
    </row>
    <row r="999">
      <c r="A999" s="582"/>
      <c r="B999" s="583"/>
      <c r="C999" s="584"/>
      <c r="D999" s="585"/>
      <c r="E999" s="575"/>
      <c r="F999" s="575"/>
      <c r="G999" s="575"/>
      <c r="H999" s="575"/>
      <c r="I999" s="575"/>
      <c r="J999" s="575"/>
      <c r="K999" s="575"/>
      <c r="L999" s="575"/>
      <c r="M999" s="575"/>
      <c r="N999" s="575"/>
      <c r="O999" s="575"/>
      <c r="P999" s="575"/>
      <c r="Q999" s="575"/>
      <c r="R999" s="575"/>
      <c r="S999" s="575"/>
      <c r="T999" s="575"/>
      <c r="U999" s="575"/>
      <c r="V999" s="575"/>
      <c r="W999" s="575"/>
      <c r="X999" s="575"/>
      <c r="Y999" s="575"/>
      <c r="Z999" s="575"/>
    </row>
    <row r="1000">
      <c r="A1000" s="582"/>
      <c r="B1000" s="583"/>
      <c r="C1000" s="584"/>
      <c r="D1000" s="585"/>
      <c r="E1000" s="575"/>
      <c r="F1000" s="575"/>
      <c r="G1000" s="575"/>
      <c r="H1000" s="575"/>
      <c r="I1000" s="575"/>
      <c r="J1000" s="575"/>
      <c r="K1000" s="575"/>
      <c r="L1000" s="575"/>
      <c r="M1000" s="575"/>
      <c r="N1000" s="575"/>
      <c r="O1000" s="575"/>
      <c r="P1000" s="575"/>
      <c r="Q1000" s="575"/>
      <c r="R1000" s="575"/>
      <c r="S1000" s="575"/>
      <c r="T1000" s="575"/>
      <c r="U1000" s="575"/>
      <c r="V1000" s="575"/>
      <c r="W1000" s="575"/>
      <c r="X1000" s="575"/>
      <c r="Y1000" s="575"/>
      <c r="Z1000" s="575"/>
    </row>
    <row r="1001">
      <c r="A1001" s="582"/>
      <c r="B1001" s="583"/>
      <c r="C1001" s="584"/>
      <c r="D1001" s="585"/>
      <c r="E1001" s="575"/>
      <c r="F1001" s="575"/>
      <c r="G1001" s="575"/>
      <c r="H1001" s="575"/>
      <c r="I1001" s="575"/>
      <c r="J1001" s="575"/>
      <c r="K1001" s="575"/>
      <c r="L1001" s="575"/>
      <c r="M1001" s="575"/>
      <c r="N1001" s="575"/>
      <c r="O1001" s="575"/>
      <c r="P1001" s="575"/>
      <c r="Q1001" s="575"/>
      <c r="R1001" s="575"/>
      <c r="S1001" s="575"/>
      <c r="T1001" s="575"/>
      <c r="U1001" s="575"/>
      <c r="V1001" s="575"/>
      <c r="W1001" s="575"/>
      <c r="X1001" s="575"/>
      <c r="Y1001" s="575"/>
      <c r="Z1001" s="575"/>
    </row>
    <row r="1002">
      <c r="A1002" s="582"/>
      <c r="B1002" s="583"/>
      <c r="C1002" s="584"/>
      <c r="D1002" s="585"/>
      <c r="E1002" s="575"/>
      <c r="F1002" s="575"/>
      <c r="G1002" s="575"/>
      <c r="H1002" s="575"/>
      <c r="I1002" s="575"/>
      <c r="J1002" s="575"/>
      <c r="K1002" s="575"/>
      <c r="L1002" s="575"/>
      <c r="M1002" s="575"/>
      <c r="N1002" s="575"/>
      <c r="O1002" s="575"/>
      <c r="P1002" s="575"/>
      <c r="Q1002" s="575"/>
      <c r="R1002" s="575"/>
      <c r="S1002" s="575"/>
      <c r="T1002" s="575"/>
      <c r="U1002" s="575"/>
      <c r="V1002" s="575"/>
      <c r="W1002" s="575"/>
      <c r="X1002" s="575"/>
      <c r="Y1002" s="575"/>
      <c r="Z1002" s="575"/>
    </row>
  </sheetData>
  <mergeCells count="3">
    <mergeCell ref="D1:D3"/>
    <mergeCell ref="A4:D4"/>
    <mergeCell ref="A10:D10"/>
  </mergeCells>
  <hyperlinks>
    <hyperlink r:id="rId1" ref="A2"/>
    <hyperlink r:id="rId2" ref="A5"/>
    <hyperlink r:id="rId3" ref="A6"/>
    <hyperlink r:id="rId4" ref="A7"/>
    <hyperlink r:id="rId5" ref="A8"/>
    <hyperlink r:id="rId6" ref="A9"/>
  </hyperlinks>
  <drawing r:id="rId7"/>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0" width="43.63"/>
    <col customWidth="1" min="11" max="11" width="54.5"/>
    <col customWidth="1" min="12" max="12" width="51.13"/>
    <col customWidth="1" min="13" max="13" width="49.38"/>
    <col customWidth="1" min="14" max="14" width="44.63"/>
    <col customWidth="1" min="15" max="15" width="49.38"/>
    <col customWidth="1" min="16" max="16" width="44.63"/>
  </cols>
  <sheetData>
    <row r="1" ht="117.75" customHeight="1">
      <c r="A1" s="554" t="s">
        <v>12661</v>
      </c>
      <c r="B1" s="554" t="s">
        <v>12662</v>
      </c>
      <c r="C1" s="555" t="s">
        <v>12663</v>
      </c>
      <c r="D1" s="555" t="str">
        <f>IFERROR(__xludf.DUMMYFUNCTION("GOOGLETRANSLATE(B1,""zh-tw"",""ja"")"),"※このチュートリアルはプレイヤーによって提供されました※
「NVIDIAプログラム」がプリインストールされていないコンピューター向けの解決策
Windows 10/11でNVIDIAグラフィックカードのパフォーマンスを向上させるには、この設定を参照することをお勧めします。")</f>
        <v>※このチュートリアルはプレイヤーによって提供されました※
「NVIDIAプログラム」がプリインストールされていないコンピューター向けの解決策
Windows 10/11でNVIDIAグラフィックカードのパフォーマンスを向上させるには、この設定を参照することをお勧めします。</v>
      </c>
      <c r="E1" s="586" t="s">
        <v>12664</v>
      </c>
      <c r="F1" s="587" t="s">
        <v>12665</v>
      </c>
      <c r="G1" s="588" t="s">
        <v>12666</v>
      </c>
      <c r="H1" s="589" t="str">
        <f>IFERROR(__xludf.DUMMYFUNCTION("GOOGLETRANSLATE(B1,""zh-tw"",""zh"")"),"※本教程由玩家提供※
用于电脑没有内建「NVIDIA程式」的解决方法
为了在 Windows 10/11 上获得更好的 NVIDIA 显示卡性能，推荐参考此设定。")</f>
        <v>※本教程由玩家提供※
用于电脑没有内建「NVIDIA程式」的解决方法
为了在 Windows 10/11 上获得更好的 NVIDIA 显示卡性能，推荐参考此设定。</v>
      </c>
      <c r="I1" s="590" t="s">
        <v>12667</v>
      </c>
      <c r="J1" s="590" t="s">
        <v>12668</v>
      </c>
      <c r="K1" s="591" t="s">
        <v>12669</v>
      </c>
      <c r="L1" s="591" t="s">
        <v>12670</v>
      </c>
      <c r="M1" s="592" t="s">
        <v>12671</v>
      </c>
      <c r="N1" s="592" t="s">
        <v>12672</v>
      </c>
      <c r="O1" s="593" t="s">
        <v>12673</v>
      </c>
      <c r="P1" s="594" t="s">
        <v>12674</v>
      </c>
      <c r="Q1" s="560"/>
      <c r="R1" s="560"/>
      <c r="S1" s="560"/>
      <c r="T1" s="560"/>
      <c r="U1" s="560"/>
      <c r="V1" s="560"/>
      <c r="W1" s="560"/>
    </row>
    <row r="2">
      <c r="A2" s="561" t="s">
        <v>12675</v>
      </c>
      <c r="B2" s="561" t="s">
        <v>12676</v>
      </c>
      <c r="C2" s="71" t="s">
        <v>12677</v>
      </c>
      <c r="D2" s="71" t="str">
        <f>IFERROR(__xludf.DUMMYFUNCTION("GOOGLETRANSLATE(B2,""zh-tw"",""ja"")"),"1 - Googleで「NVIDIAアプリのインストール」を検索し、NVIDIAアプリケーションを起動します。")</f>
        <v>1 - Googleで「NVIDIAアプリのインストール」を検索し、NVIDIAアプリケーションを起動します。</v>
      </c>
      <c r="E2" s="595" t="s">
        <v>12678</v>
      </c>
      <c r="F2" s="507" t="s">
        <v>12679</v>
      </c>
      <c r="G2" s="596" t="s">
        <v>12680</v>
      </c>
      <c r="H2" s="597" t="str">
        <f>IFERROR(__xludf.DUMMYFUNCTION("GOOGLETRANSLATE(B2,""zh-tw"",""zh"")"),"1 - 在google上搜寻 NVIDIA APP安装，并启动 NVIDIA 应用程式。")</f>
        <v>1 - 在google上搜寻 NVIDIA APP安装，并启动 NVIDIA 应用程式。</v>
      </c>
      <c r="I2" s="598" t="s">
        <v>12681</v>
      </c>
      <c r="J2" s="598" t="s">
        <v>12682</v>
      </c>
      <c r="K2" s="478" t="s">
        <v>12683</v>
      </c>
      <c r="L2" s="478" t="s">
        <v>12684</v>
      </c>
      <c r="M2" s="599" t="s">
        <v>12685</v>
      </c>
      <c r="N2" s="599" t="s">
        <v>12686</v>
      </c>
      <c r="O2" s="600" t="s">
        <v>12687</v>
      </c>
      <c r="P2" s="600" t="s">
        <v>12688</v>
      </c>
      <c r="Q2" s="236"/>
      <c r="R2" s="236"/>
      <c r="S2" s="236"/>
      <c r="T2" s="236"/>
      <c r="U2" s="236"/>
      <c r="V2" s="236"/>
      <c r="W2" s="236"/>
    </row>
    <row r="3">
      <c r="A3" s="561" t="s">
        <v>12689</v>
      </c>
      <c r="B3" s="561" t="s">
        <v>12690</v>
      </c>
      <c r="C3" s="71" t="s">
        <v>12691</v>
      </c>
      <c r="D3" s="71" t="str">
        <f>IFERROR(__xludf.DUMMYFUNCTION("GOOGLETRANSLATE(B3,""zh-tw"",""ja"")"),"2 - 最新バージョンにアップデートした後、NVIDIAアプリケーションを再起動してください。")</f>
        <v>2 - 最新バージョンにアップデートした後、NVIDIAアプリケーションを再起動してください。</v>
      </c>
      <c r="E3" s="595" t="s">
        <v>12692</v>
      </c>
      <c r="F3" s="507" t="s">
        <v>12693</v>
      </c>
      <c r="G3" s="596" t="s">
        <v>12694</v>
      </c>
      <c r="H3" s="597" t="str">
        <f>IFERROR(__xludf.DUMMYFUNCTION("GOOGLETRANSLATE(B3,""zh-tw"",""zh"")"),"2 - 在更新至最新版本后重新启动 NVIDIA 应用程式。")</f>
        <v>2 - 在更新至最新版本后重新启动 NVIDIA 应用程式。</v>
      </c>
      <c r="I3" s="598" t="s">
        <v>12695</v>
      </c>
      <c r="J3" s="598" t="s">
        <v>12696</v>
      </c>
      <c r="K3" s="478" t="s">
        <v>12697</v>
      </c>
      <c r="L3" s="478" t="s">
        <v>12698</v>
      </c>
      <c r="M3" s="599" t="s">
        <v>12699</v>
      </c>
      <c r="N3" s="599" t="s">
        <v>12700</v>
      </c>
      <c r="O3" s="600" t="s">
        <v>12701</v>
      </c>
      <c r="P3" s="600" t="s">
        <v>12702</v>
      </c>
      <c r="Q3" s="236"/>
      <c r="R3" s="236"/>
      <c r="S3" s="236"/>
      <c r="T3" s="236"/>
      <c r="U3" s="236"/>
      <c r="V3" s="236"/>
      <c r="W3" s="236"/>
    </row>
    <row r="4">
      <c r="A4" s="561" t="s">
        <v>12703</v>
      </c>
      <c r="B4" s="561" t="s">
        <v>12704</v>
      </c>
      <c r="C4" s="71" t="s">
        <v>12705</v>
      </c>
      <c r="D4" s="71" t="str">
        <f>IFERROR(__xludf.DUMMYFUNCTION("GOOGLETRANSLATE(B4,""zh-tw"",""ja"")"),"3 - NVIDIAアプリケーションで、グラフィック設定エリアに移動します。")</f>
        <v>3 - NVIDIAアプリケーションで、グラフィック設定エリアに移動します。</v>
      </c>
      <c r="E4" s="595" t="s">
        <v>12706</v>
      </c>
      <c r="F4" s="507" t="s">
        <v>12707</v>
      </c>
      <c r="G4" s="596" t="s">
        <v>12708</v>
      </c>
      <c r="H4" s="597" t="str">
        <f>IFERROR(__xludf.DUMMYFUNCTION("GOOGLETRANSLATE(B4,""zh-tw"",""zh"")"),"3 - 在NVIDIA应用程式中，进入图形设置区域。")</f>
        <v>3 - 在NVIDIA应用程式中，进入图形设置区域。</v>
      </c>
      <c r="I4" s="598" t="s">
        <v>12709</v>
      </c>
      <c r="J4" s="598" t="s">
        <v>12710</v>
      </c>
      <c r="K4" s="478" t="s">
        <v>12711</v>
      </c>
      <c r="L4" s="478" t="s">
        <v>12712</v>
      </c>
      <c r="M4" s="599" t="s">
        <v>12713</v>
      </c>
      <c r="N4" s="599" t="s">
        <v>12714</v>
      </c>
      <c r="O4" s="600" t="s">
        <v>12715</v>
      </c>
      <c r="P4" s="600" t="s">
        <v>12716</v>
      </c>
      <c r="Q4" s="236"/>
      <c r="R4" s="236"/>
      <c r="S4" s="236"/>
      <c r="T4" s="236"/>
      <c r="U4" s="236"/>
      <c r="V4" s="236"/>
      <c r="W4" s="236"/>
    </row>
    <row r="5">
      <c r="A5" s="561" t="s">
        <v>12717</v>
      </c>
      <c r="B5" s="561" t="s">
        <v>12718</v>
      </c>
      <c r="C5" s="71" t="s">
        <v>12719</v>
      </c>
      <c r="D5" s="71" t="str">
        <f>IFERROR(__xludf.DUMMYFUNCTION("GOOGLETRANSLATE(B5,""zh-tw"",""ja"")"),"4 - 「プログラム設定」で、3つの点をクリックし、「プログラムの追加」を選択して、ゲームの実行ファイルを探します。")</f>
        <v>4 - 「プログラム設定」で、3つの点をクリックし、「プログラムの追加」を選択して、ゲームの実行ファイルを探します。</v>
      </c>
      <c r="E5" s="595" t="s">
        <v>12720</v>
      </c>
      <c r="F5" s="507" t="s">
        <v>12721</v>
      </c>
      <c r="G5" s="596" t="s">
        <v>12722</v>
      </c>
      <c r="H5" s="597" t="str">
        <f>IFERROR(__xludf.DUMMYFUNCTION("GOOGLETRANSLATE(B5,""zh-tw"",""zh"")"),"4 - 在「程式设定」中点击三个点，选择「新增程式」，然后寻找游戏的执行档。")</f>
        <v>4 - 在「程式设定」中点击三个点，选择「新增程式」，然后寻找游戏的执行档。</v>
      </c>
      <c r="I5" s="598" t="s">
        <v>12723</v>
      </c>
      <c r="J5" s="598" t="s">
        <v>12724</v>
      </c>
      <c r="K5" s="478" t="s">
        <v>12725</v>
      </c>
      <c r="L5" s="478" t="s">
        <v>12726</v>
      </c>
      <c r="M5" s="599" t="s">
        <v>12727</v>
      </c>
      <c r="N5" s="599" t="s">
        <v>12728</v>
      </c>
      <c r="O5" s="600" t="s">
        <v>12729</v>
      </c>
      <c r="P5" s="600" t="s">
        <v>12730</v>
      </c>
      <c r="Q5" s="236"/>
      <c r="R5" s="236"/>
      <c r="S5" s="236"/>
      <c r="T5" s="236"/>
      <c r="U5" s="236"/>
      <c r="V5" s="236"/>
      <c r="W5" s="236"/>
    </row>
    <row r="6">
      <c r="A6" s="561" t="s">
        <v>12731</v>
      </c>
      <c r="B6" s="561" t="s">
        <v>12732</v>
      </c>
      <c r="C6" s="71" t="s">
        <v>12733</v>
      </c>
      <c r="D6" s="71" t="str">
        <f>IFERROR(__xludf.DUMMYFUNCTION("GOOGLETRANSLATE(B6,""zh-tw"",""ja"")"),"5 - 「低遅延モード」を「超高」に、「電源管理モード」を「最適電力」に設定します。")</f>
        <v>5 - 「低遅延モード」を「超高」に、「電源管理モード」を「最適電力」に設定します。</v>
      </c>
      <c r="E6" s="595" t="s">
        <v>12734</v>
      </c>
      <c r="F6" s="507" t="s">
        <v>12735</v>
      </c>
      <c r="G6" s="596" t="s">
        <v>12736</v>
      </c>
      <c r="H6" s="597" t="str">
        <f>IFERROR(__xludf.DUMMYFUNCTION("GOOGLETRANSLATE(B6,""zh-tw"",""zh"")"),"5 - 将「低延迟模式」设为「超高」，电源管理模式设为「最佳电源」。")</f>
        <v>5 - 将「低延迟模式」设为「超高」，电源管理模式设为「最佳电源」。</v>
      </c>
      <c r="I6" s="598" t="s">
        <v>12737</v>
      </c>
      <c r="J6" s="598" t="s">
        <v>12738</v>
      </c>
      <c r="K6" s="478" t="s">
        <v>12739</v>
      </c>
      <c r="L6" s="478" t="s">
        <v>12740</v>
      </c>
      <c r="M6" s="599" t="s">
        <v>12741</v>
      </c>
      <c r="N6" s="599" t="s">
        <v>12742</v>
      </c>
      <c r="O6" s="600" t="s">
        <v>12743</v>
      </c>
      <c r="P6" s="600" t="s">
        <v>12744</v>
      </c>
      <c r="Q6" s="236"/>
      <c r="R6" s="236"/>
      <c r="S6" s="236"/>
      <c r="T6" s="236"/>
      <c r="U6" s="236"/>
      <c r="V6" s="236"/>
      <c r="W6" s="236"/>
    </row>
    <row r="7">
      <c r="A7" s="561" t="s">
        <v>12745</v>
      </c>
      <c r="B7" s="561" t="s">
        <v>12746</v>
      </c>
      <c r="C7" s="71" t="s">
        <v>12747</v>
      </c>
      <c r="D7" s="71" t="str">
        <f>IFERROR(__xludf.DUMMYFUNCTION("GOOGLETRANSLATE(B7,""zh-tw"",""ja"")"),"6. 「垂直同期」を「高速」に設定します。")</f>
        <v>6. 「垂直同期」を「高速」に設定します。</v>
      </c>
      <c r="E7" s="595" t="s">
        <v>12748</v>
      </c>
      <c r="F7" s="507" t="s">
        <v>12749</v>
      </c>
      <c r="G7" s="596" t="s">
        <v>12750</v>
      </c>
      <c r="H7" s="597" t="str">
        <f>IFERROR(__xludf.DUMMYFUNCTION("GOOGLETRANSLATE(B7,""zh-tw"",""zh"")"),"6- 将「垂直同步」设为「快速」。")</f>
        <v>6- 将「垂直同步」设为「快速」。</v>
      </c>
      <c r="I7" s="598" t="s">
        <v>12751</v>
      </c>
      <c r="J7" s="598" t="s">
        <v>12752</v>
      </c>
      <c r="K7" s="478" t="s">
        <v>12753</v>
      </c>
      <c r="L7" s="478" t="s">
        <v>12754</v>
      </c>
      <c r="M7" s="599" t="s">
        <v>12755</v>
      </c>
      <c r="N7" s="599" t="s">
        <v>12756</v>
      </c>
      <c r="O7" s="600" t="s">
        <v>12757</v>
      </c>
      <c r="P7" s="600" t="s">
        <v>12758</v>
      </c>
      <c r="Q7" s="236"/>
      <c r="R7" s="236"/>
      <c r="S7" s="236"/>
      <c r="T7" s="236"/>
      <c r="U7" s="236"/>
      <c r="V7" s="236"/>
      <c r="W7" s="236"/>
    </row>
    <row r="8">
      <c r="A8" s="561" t="s">
        <v>12759</v>
      </c>
      <c r="B8" s="561" t="s">
        <v>12760</v>
      </c>
      <c r="C8" s="71" t="s">
        <v>12761</v>
      </c>
      <c r="D8" s="71" t="str">
        <f>IFERROR(__xludf.DUMMYFUNCTION("GOOGLETRANSLATE(B8,""zh-tw"",""ja"")"),"7 - お使いのコンピューターがこれらのオプションに対応できない場合は、最適なオプションを選択してください。")</f>
        <v>7 - お使いのコンピューターがこれらのオプションに対応できない場合は、最適なオプションを選択してください。</v>
      </c>
      <c r="E8" s="595" t="s">
        <v>12762</v>
      </c>
      <c r="F8" s="507" t="s">
        <v>12763</v>
      </c>
      <c r="G8" s="596" t="s">
        <v>12764</v>
      </c>
      <c r="H8" s="597" t="str">
        <f>IFERROR(__xludf.DUMMYFUNCTION("GOOGLETRANSLATE(B8,""zh-tw"",""zh"")"),"7 - 如果你的电脑无法负荷这些选项，请依照最佳的选项即可。")</f>
        <v>7 - 如果你的电脑无法负荷这些选项，请依照最佳的选项即可。</v>
      </c>
      <c r="I8" s="598" t="s">
        <v>12765</v>
      </c>
      <c r="J8" s="598" t="s">
        <v>12766</v>
      </c>
      <c r="K8" s="478" t="s">
        <v>12767</v>
      </c>
      <c r="L8" s="478" t="s">
        <v>12768</v>
      </c>
      <c r="M8" s="599" t="s">
        <v>12769</v>
      </c>
      <c r="N8" s="599" t="s">
        <v>12770</v>
      </c>
      <c r="O8" s="600" t="s">
        <v>12771</v>
      </c>
      <c r="P8" s="600" t="s">
        <v>12772</v>
      </c>
      <c r="Q8" s="236"/>
      <c r="R8" s="236"/>
      <c r="S8" s="236"/>
      <c r="T8" s="236"/>
      <c r="U8" s="236"/>
      <c r="V8" s="236"/>
      <c r="W8" s="236"/>
    </row>
    <row r="9">
      <c r="A9" s="561" t="s">
        <v>12773</v>
      </c>
      <c r="B9" s="561" t="s">
        <v>12774</v>
      </c>
      <c r="C9" s="71" t="s">
        <v>12775</v>
      </c>
      <c r="D9" s="71" t="str">
        <f>IFERROR(__xludf.DUMMYFUNCTION("GOOGLETRANSLATE(B9,""zh-tw"",""ja"")"),"8. さあ、ゲームを起動してみましょう。その優れた安定性を実感できるはずです。")</f>
        <v>8. さあ、ゲームを起動してみましょう。その優れた安定性を実感できるはずです。</v>
      </c>
      <c r="E9" s="595" t="s">
        <v>12776</v>
      </c>
      <c r="F9" s="507" t="s">
        <v>12777</v>
      </c>
      <c r="G9" s="596" t="s">
        <v>12778</v>
      </c>
      <c r="H9" s="597" t="str">
        <f>IFERROR(__xludf.DUMMYFUNCTION("GOOGLETRANSLATE(B9,""zh-tw"",""zh"")"),"8- 现在，将游戏启动，你能体验到良好的稳定性能。")</f>
        <v>8- 现在，将游戏启动，你能体验到良好的稳定性能。</v>
      </c>
      <c r="I9" s="598" t="s">
        <v>12779</v>
      </c>
      <c r="J9" s="598" t="s">
        <v>12780</v>
      </c>
      <c r="K9" s="478" t="s">
        <v>12781</v>
      </c>
      <c r="L9" s="478" t="s">
        <v>12782</v>
      </c>
      <c r="M9" s="599" t="s">
        <v>12776</v>
      </c>
      <c r="N9" s="599" t="s">
        <v>12783</v>
      </c>
      <c r="O9" s="600" t="s">
        <v>12784</v>
      </c>
      <c r="P9" s="600" t="s">
        <v>12785</v>
      </c>
      <c r="Q9" s="236"/>
      <c r="R9" s="236"/>
      <c r="S9" s="236"/>
      <c r="T9" s="236"/>
      <c r="U9" s="236"/>
      <c r="V9" s="236"/>
      <c r="W9" s="236"/>
    </row>
    <row r="10">
      <c r="A10" s="561"/>
      <c r="B10" s="601" t="s">
        <v>12786</v>
      </c>
      <c r="C10" s="294"/>
      <c r="D10" s="602" t="s">
        <v>12787</v>
      </c>
      <c r="E10" s="603"/>
      <c r="F10" s="604" t="s">
        <v>12642</v>
      </c>
      <c r="G10" s="597"/>
      <c r="H10" s="605" t="s">
        <v>12788</v>
      </c>
      <c r="I10" s="606"/>
      <c r="J10" s="607" t="s">
        <v>12644</v>
      </c>
      <c r="K10" s="608"/>
      <c r="L10" s="609" t="str">
        <f>HYPERLINK("https://www.youtube.com/watch?v=9NSNcMB5M2o&amp;ab_channel=gabrielb", "Video Youtube tham khảo")</f>
        <v>Video Youtube tham khảo</v>
      </c>
      <c r="M10" s="610"/>
      <c r="N10" s="611" t="s">
        <v>12789</v>
      </c>
      <c r="O10" s="600"/>
      <c r="P10" s="612" t="s">
        <v>12647</v>
      </c>
      <c r="Q10" s="236"/>
      <c r="R10" s="236"/>
      <c r="S10" s="236"/>
      <c r="T10" s="236"/>
      <c r="U10" s="236"/>
      <c r="V10" s="236"/>
      <c r="W10" s="236"/>
    </row>
    <row r="11">
      <c r="A11" s="571"/>
      <c r="B11" s="571"/>
      <c r="C11" s="236"/>
      <c r="D11" s="236"/>
      <c r="E11" s="236"/>
      <c r="F11" s="571"/>
      <c r="G11" s="236"/>
      <c r="H11" s="236"/>
      <c r="I11" s="236"/>
      <c r="J11" s="452"/>
      <c r="K11" s="330"/>
      <c r="L11" s="330"/>
      <c r="M11" s="236"/>
      <c r="N11" s="236"/>
      <c r="O11" s="236"/>
      <c r="P11" s="236"/>
      <c r="Q11" s="236"/>
      <c r="R11" s="236"/>
      <c r="S11" s="236"/>
      <c r="T11" s="236"/>
      <c r="U11" s="236"/>
      <c r="V11" s="236"/>
      <c r="W11" s="236"/>
    </row>
    <row r="12">
      <c r="A12" s="571"/>
      <c r="B12" s="571"/>
      <c r="C12" s="236"/>
      <c r="D12" s="236"/>
      <c r="E12" s="236"/>
      <c r="F12" s="236"/>
      <c r="G12" s="236"/>
      <c r="H12" s="236"/>
      <c r="I12" s="236"/>
      <c r="J12" s="236"/>
      <c r="K12" s="330"/>
      <c r="L12" s="330"/>
      <c r="M12" s="236"/>
      <c r="N12" s="236"/>
      <c r="O12" s="236"/>
      <c r="P12" s="236"/>
      <c r="Q12" s="236"/>
      <c r="R12" s="236"/>
      <c r="S12" s="236"/>
      <c r="T12" s="236"/>
      <c r="U12" s="236"/>
      <c r="V12" s="236"/>
      <c r="W12" s="236"/>
    </row>
    <row r="13">
      <c r="A13" s="571"/>
      <c r="B13" s="571"/>
      <c r="C13" s="236"/>
      <c r="D13" s="236"/>
      <c r="E13" s="236"/>
      <c r="F13" s="236"/>
      <c r="G13" s="236"/>
      <c r="H13" s="236"/>
      <c r="I13" s="236"/>
      <c r="J13" s="236"/>
      <c r="K13" s="330"/>
      <c r="L13" s="330"/>
      <c r="M13" s="236"/>
      <c r="N13" s="236"/>
      <c r="O13" s="236"/>
      <c r="P13" s="236"/>
      <c r="Q13" s="236"/>
      <c r="R13" s="236"/>
      <c r="S13" s="236"/>
      <c r="T13" s="236"/>
      <c r="U13" s="236"/>
      <c r="V13" s="236"/>
      <c r="W13" s="236"/>
    </row>
    <row r="14">
      <c r="A14" s="571"/>
      <c r="B14" s="571"/>
      <c r="C14" s="236"/>
      <c r="D14" s="236"/>
      <c r="E14" s="236"/>
      <c r="F14" s="236"/>
      <c r="G14" s="236"/>
      <c r="H14" s="236"/>
      <c r="I14" s="236"/>
      <c r="J14" s="236"/>
      <c r="K14" s="330"/>
      <c r="L14" s="330"/>
      <c r="M14" s="236"/>
      <c r="N14" s="236"/>
      <c r="O14" s="236"/>
      <c r="P14" s="236"/>
      <c r="Q14" s="236"/>
      <c r="R14" s="236"/>
      <c r="S14" s="236"/>
      <c r="T14" s="236"/>
      <c r="U14" s="236"/>
      <c r="V14" s="236"/>
      <c r="W14" s="236"/>
    </row>
    <row r="15">
      <c r="A15" s="571"/>
      <c r="B15" s="571"/>
      <c r="C15" s="236"/>
      <c r="D15" s="236"/>
      <c r="E15" s="236"/>
      <c r="F15" s="236"/>
      <c r="G15" s="236"/>
      <c r="H15" s="236"/>
      <c r="I15" s="236"/>
      <c r="J15" s="236"/>
      <c r="K15" s="330"/>
      <c r="L15" s="330"/>
      <c r="M15" s="236"/>
      <c r="N15" s="236"/>
      <c r="O15" s="236"/>
      <c r="P15" s="236"/>
      <c r="Q15" s="236"/>
      <c r="R15" s="236"/>
      <c r="S15" s="236"/>
      <c r="T15" s="236"/>
      <c r="U15" s="236"/>
      <c r="V15" s="236"/>
      <c r="W15" s="236"/>
    </row>
    <row r="16">
      <c r="A16" s="571"/>
      <c r="B16" s="571"/>
      <c r="C16" s="236"/>
      <c r="D16" s="236"/>
      <c r="E16" s="236"/>
      <c r="F16" s="236"/>
      <c r="G16" s="236"/>
      <c r="H16" s="236"/>
      <c r="I16" s="236"/>
      <c r="J16" s="236"/>
      <c r="K16" s="330"/>
      <c r="L16" s="330"/>
      <c r="M16" s="236"/>
      <c r="N16" s="236"/>
      <c r="O16" s="236"/>
      <c r="P16" s="236"/>
      <c r="Q16" s="236"/>
      <c r="R16" s="236"/>
      <c r="S16" s="236"/>
      <c r="T16" s="236"/>
      <c r="U16" s="236"/>
      <c r="V16" s="236"/>
      <c r="W16" s="236"/>
    </row>
    <row r="17">
      <c r="A17" s="571"/>
      <c r="B17" s="571"/>
      <c r="C17" s="236"/>
      <c r="D17" s="236"/>
      <c r="E17" s="236"/>
      <c r="F17" s="236"/>
      <c r="G17" s="236"/>
      <c r="H17" s="236"/>
      <c r="I17" s="236"/>
      <c r="J17" s="236"/>
      <c r="K17" s="330"/>
      <c r="L17" s="330"/>
      <c r="M17" s="236"/>
      <c r="N17" s="236"/>
      <c r="O17" s="236"/>
      <c r="P17" s="236"/>
      <c r="Q17" s="236"/>
      <c r="R17" s="236"/>
      <c r="S17" s="236"/>
      <c r="T17" s="236"/>
      <c r="U17" s="236"/>
      <c r="V17" s="236"/>
      <c r="W17" s="236"/>
    </row>
    <row r="18">
      <c r="A18" s="571"/>
      <c r="B18" s="571"/>
      <c r="C18" s="236"/>
      <c r="D18" s="236"/>
      <c r="E18" s="236"/>
      <c r="F18" s="236"/>
      <c r="G18" s="236"/>
      <c r="H18" s="236"/>
      <c r="I18" s="236"/>
      <c r="J18" s="236"/>
      <c r="K18" s="330"/>
      <c r="L18" s="330"/>
      <c r="M18" s="236"/>
      <c r="N18" s="236"/>
      <c r="O18" s="236"/>
      <c r="P18" s="236"/>
      <c r="Q18" s="236"/>
      <c r="R18" s="236"/>
      <c r="S18" s="236"/>
      <c r="T18" s="236"/>
      <c r="U18" s="236"/>
      <c r="V18" s="236"/>
      <c r="W18" s="236"/>
    </row>
    <row r="19">
      <c r="A19" s="571"/>
      <c r="B19" s="571"/>
      <c r="C19" s="236"/>
      <c r="D19" s="236"/>
      <c r="E19" s="236"/>
      <c r="F19" s="236"/>
      <c r="G19" s="236"/>
      <c r="H19" s="236"/>
      <c r="I19" s="236"/>
      <c r="J19" s="236"/>
      <c r="K19" s="330"/>
      <c r="L19" s="330"/>
      <c r="M19" s="236"/>
      <c r="N19" s="236"/>
      <c r="O19" s="236"/>
      <c r="P19" s="236"/>
      <c r="Q19" s="236"/>
      <c r="R19" s="236"/>
      <c r="S19" s="236"/>
      <c r="T19" s="236"/>
      <c r="U19" s="236"/>
      <c r="V19" s="236"/>
      <c r="W19" s="236"/>
    </row>
    <row r="20">
      <c r="A20" s="571"/>
      <c r="B20" s="571"/>
      <c r="C20" s="236"/>
      <c r="D20" s="236"/>
      <c r="E20" s="236"/>
      <c r="F20" s="236"/>
      <c r="G20" s="236"/>
      <c r="H20" s="236"/>
      <c r="I20" s="236"/>
      <c r="J20" s="236"/>
      <c r="K20" s="330"/>
      <c r="L20" s="330"/>
      <c r="M20" s="236"/>
      <c r="N20" s="236"/>
      <c r="O20" s="236"/>
      <c r="P20" s="236"/>
      <c r="Q20" s="236"/>
      <c r="R20" s="236"/>
      <c r="S20" s="236"/>
      <c r="T20" s="236"/>
      <c r="U20" s="236"/>
      <c r="V20" s="236"/>
      <c r="W20" s="236"/>
    </row>
    <row r="21">
      <c r="A21" s="571"/>
      <c r="B21" s="571"/>
      <c r="C21" s="236"/>
      <c r="D21" s="236"/>
      <c r="E21" s="236"/>
      <c r="F21" s="236"/>
      <c r="G21" s="236"/>
      <c r="H21" s="236"/>
      <c r="I21" s="236"/>
      <c r="J21" s="236"/>
      <c r="K21" s="330"/>
      <c r="L21" s="330"/>
      <c r="M21" s="236"/>
      <c r="N21" s="236"/>
      <c r="O21" s="236"/>
      <c r="P21" s="236"/>
      <c r="Q21" s="236"/>
      <c r="R21" s="236"/>
      <c r="S21" s="236"/>
      <c r="T21" s="236"/>
      <c r="U21" s="236"/>
      <c r="V21" s="236"/>
      <c r="W21" s="236"/>
    </row>
    <row r="22">
      <c r="A22" s="613"/>
      <c r="B22" s="571"/>
      <c r="C22" s="236"/>
      <c r="D22" s="236"/>
      <c r="E22" s="236"/>
      <c r="F22" s="236"/>
      <c r="G22" s="236"/>
      <c r="H22" s="236"/>
      <c r="I22" s="236"/>
      <c r="J22" s="236"/>
      <c r="K22" s="330"/>
      <c r="L22" s="330"/>
      <c r="M22" s="236"/>
      <c r="N22" s="236"/>
      <c r="O22" s="236"/>
      <c r="P22" s="236"/>
      <c r="Q22" s="236"/>
      <c r="R22" s="236"/>
      <c r="S22" s="236"/>
      <c r="T22" s="236"/>
      <c r="U22" s="236"/>
      <c r="V22" s="236"/>
      <c r="W22" s="236"/>
    </row>
    <row r="23">
      <c r="A23" s="571"/>
      <c r="B23" s="571"/>
      <c r="C23" s="236"/>
      <c r="D23" s="236"/>
      <c r="E23" s="236"/>
      <c r="F23" s="236"/>
      <c r="G23" s="236"/>
      <c r="H23" s="236"/>
      <c r="I23" s="236"/>
      <c r="J23" s="236"/>
      <c r="K23" s="330"/>
      <c r="L23" s="330"/>
      <c r="M23" s="236"/>
      <c r="N23" s="236"/>
      <c r="O23" s="236"/>
      <c r="P23" s="236"/>
      <c r="Q23" s="236"/>
      <c r="R23" s="236"/>
      <c r="S23" s="236"/>
      <c r="T23" s="236"/>
      <c r="U23" s="236"/>
      <c r="V23" s="236"/>
      <c r="W23" s="236"/>
    </row>
    <row r="24">
      <c r="A24" s="571"/>
      <c r="B24" s="571"/>
      <c r="C24" s="236"/>
      <c r="D24" s="236"/>
      <c r="E24" s="236"/>
      <c r="F24" s="236"/>
      <c r="G24" s="236"/>
      <c r="H24" s="236"/>
      <c r="I24" s="236"/>
      <c r="J24" s="236"/>
      <c r="K24" s="330"/>
      <c r="L24" s="330"/>
      <c r="M24" s="236"/>
      <c r="N24" s="236"/>
      <c r="O24" s="236"/>
      <c r="P24" s="236"/>
      <c r="Q24" s="236"/>
      <c r="R24" s="236"/>
      <c r="S24" s="236"/>
      <c r="T24" s="236"/>
      <c r="U24" s="236"/>
      <c r="V24" s="236"/>
      <c r="W24" s="236"/>
    </row>
    <row r="25">
      <c r="A25" s="571"/>
      <c r="B25" s="571"/>
      <c r="C25" s="236"/>
      <c r="D25" s="236"/>
      <c r="E25" s="236"/>
      <c r="F25" s="236"/>
      <c r="G25" s="236"/>
      <c r="H25" s="236"/>
      <c r="I25" s="236"/>
      <c r="J25" s="236"/>
      <c r="K25" s="330"/>
      <c r="L25" s="330"/>
      <c r="M25" s="236"/>
      <c r="N25" s="236"/>
      <c r="O25" s="236"/>
      <c r="P25" s="236"/>
      <c r="Q25" s="236"/>
      <c r="R25" s="236"/>
      <c r="S25" s="236"/>
      <c r="T25" s="236"/>
      <c r="U25" s="236"/>
      <c r="V25" s="236"/>
      <c r="W25" s="236"/>
    </row>
    <row r="26">
      <c r="A26" s="571"/>
      <c r="B26" s="571"/>
      <c r="C26" s="236"/>
      <c r="D26" s="236"/>
      <c r="E26" s="236"/>
      <c r="F26" s="236"/>
      <c r="G26" s="236"/>
      <c r="H26" s="236"/>
      <c r="I26" s="236"/>
      <c r="J26" s="236"/>
      <c r="K26" s="330"/>
      <c r="L26" s="330"/>
      <c r="M26" s="236"/>
      <c r="N26" s="236"/>
      <c r="O26" s="236"/>
      <c r="P26" s="236"/>
      <c r="Q26" s="236"/>
      <c r="R26" s="236"/>
      <c r="S26" s="236"/>
      <c r="T26" s="236"/>
      <c r="U26" s="236"/>
      <c r="V26" s="236"/>
      <c r="W26" s="236"/>
    </row>
    <row r="27">
      <c r="A27" s="571"/>
      <c r="B27" s="571"/>
      <c r="C27" s="236"/>
      <c r="D27" s="236"/>
      <c r="E27" s="236"/>
      <c r="F27" s="236"/>
      <c r="G27" s="236"/>
      <c r="H27" s="236"/>
      <c r="I27" s="236"/>
      <c r="J27" s="236"/>
      <c r="K27" s="330"/>
      <c r="L27" s="330"/>
      <c r="M27" s="236"/>
      <c r="N27" s="236"/>
      <c r="O27" s="236"/>
      <c r="P27" s="236"/>
      <c r="Q27" s="236"/>
      <c r="R27" s="236"/>
      <c r="S27" s="236"/>
      <c r="T27" s="236"/>
      <c r="U27" s="236"/>
      <c r="V27" s="236"/>
      <c r="W27" s="236"/>
    </row>
    <row r="28">
      <c r="A28" s="571"/>
      <c r="B28" s="571"/>
      <c r="C28" s="236"/>
      <c r="D28" s="236"/>
      <c r="E28" s="236"/>
      <c r="F28" s="236"/>
      <c r="G28" s="236"/>
      <c r="H28" s="236"/>
      <c r="I28" s="236"/>
      <c r="J28" s="236"/>
      <c r="K28" s="330"/>
      <c r="L28" s="330"/>
      <c r="M28" s="236"/>
      <c r="N28" s="236"/>
      <c r="O28" s="236"/>
      <c r="P28" s="236"/>
      <c r="Q28" s="236"/>
      <c r="R28" s="236"/>
      <c r="S28" s="236"/>
      <c r="T28" s="236"/>
      <c r="U28" s="236"/>
      <c r="V28" s="236"/>
      <c r="W28" s="236"/>
    </row>
    <row r="29">
      <c r="A29" s="571"/>
      <c r="B29" s="571"/>
      <c r="C29" s="236"/>
      <c r="D29" s="236"/>
      <c r="E29" s="236"/>
      <c r="F29" s="236"/>
      <c r="G29" s="236"/>
      <c r="H29" s="236"/>
      <c r="I29" s="236"/>
      <c r="J29" s="236"/>
      <c r="K29" s="330"/>
      <c r="L29" s="330"/>
      <c r="M29" s="236"/>
      <c r="N29" s="236"/>
      <c r="O29" s="236"/>
      <c r="P29" s="236"/>
      <c r="Q29" s="236"/>
      <c r="R29" s="236"/>
      <c r="S29" s="236"/>
      <c r="T29" s="236"/>
      <c r="U29" s="236"/>
      <c r="V29" s="236"/>
      <c r="W29" s="236"/>
    </row>
    <row r="30">
      <c r="A30" s="571"/>
      <c r="B30" s="571"/>
      <c r="C30" s="236"/>
      <c r="D30" s="236"/>
      <c r="E30" s="236"/>
      <c r="F30" s="236"/>
      <c r="G30" s="236"/>
      <c r="H30" s="236"/>
      <c r="I30" s="236"/>
      <c r="J30" s="236"/>
      <c r="K30" s="330"/>
      <c r="L30" s="330"/>
      <c r="M30" s="236"/>
      <c r="N30" s="236"/>
      <c r="O30" s="236"/>
      <c r="P30" s="236"/>
      <c r="Q30" s="236"/>
      <c r="R30" s="236"/>
      <c r="S30" s="236"/>
      <c r="T30" s="236"/>
      <c r="U30" s="236"/>
      <c r="V30" s="236"/>
      <c r="W30" s="236"/>
    </row>
    <row r="31">
      <c r="A31" s="571"/>
      <c r="B31" s="571"/>
      <c r="C31" s="236"/>
      <c r="D31" s="236"/>
      <c r="E31" s="236"/>
      <c r="F31" s="236"/>
      <c r="G31" s="236"/>
      <c r="H31" s="236"/>
      <c r="I31" s="236"/>
      <c r="J31" s="236"/>
      <c r="K31" s="330"/>
      <c r="L31" s="330"/>
      <c r="M31" s="236"/>
      <c r="N31" s="236"/>
      <c r="O31" s="236"/>
      <c r="P31" s="236"/>
      <c r="Q31" s="236"/>
      <c r="R31" s="236"/>
      <c r="S31" s="236"/>
      <c r="T31" s="236"/>
      <c r="U31" s="236"/>
      <c r="V31" s="236"/>
      <c r="W31" s="236"/>
    </row>
    <row r="32">
      <c r="A32" s="571"/>
      <c r="B32" s="571"/>
      <c r="C32" s="236"/>
      <c r="D32" s="236"/>
      <c r="E32" s="236"/>
      <c r="F32" s="236"/>
      <c r="G32" s="236"/>
      <c r="H32" s="236"/>
      <c r="I32" s="236"/>
      <c r="J32" s="236"/>
      <c r="K32" s="330"/>
      <c r="L32" s="330"/>
      <c r="M32" s="236"/>
      <c r="N32" s="236"/>
      <c r="O32" s="236"/>
      <c r="P32" s="236"/>
      <c r="Q32" s="236"/>
      <c r="R32" s="236"/>
      <c r="S32" s="236"/>
      <c r="T32" s="236"/>
      <c r="U32" s="236"/>
      <c r="V32" s="236"/>
      <c r="W32" s="236"/>
    </row>
    <row r="33">
      <c r="A33" s="571"/>
      <c r="B33" s="571"/>
      <c r="C33" s="236"/>
      <c r="D33" s="236"/>
      <c r="E33" s="236"/>
      <c r="F33" s="236"/>
      <c r="G33" s="236"/>
      <c r="H33" s="236"/>
      <c r="I33" s="236"/>
      <c r="J33" s="236"/>
      <c r="K33" s="330"/>
      <c r="L33" s="330"/>
      <c r="M33" s="236"/>
      <c r="N33" s="236"/>
      <c r="O33" s="236"/>
      <c r="P33" s="236"/>
      <c r="Q33" s="236"/>
      <c r="R33" s="236"/>
      <c r="S33" s="236"/>
      <c r="T33" s="236"/>
      <c r="U33" s="236"/>
      <c r="V33" s="236"/>
      <c r="W33" s="236"/>
    </row>
    <row r="34">
      <c r="A34" s="571"/>
      <c r="B34" s="571"/>
      <c r="C34" s="236"/>
      <c r="D34" s="236"/>
      <c r="E34" s="236"/>
      <c r="F34" s="236"/>
      <c r="G34" s="236"/>
      <c r="H34" s="236"/>
      <c r="I34" s="236"/>
      <c r="J34" s="236"/>
      <c r="K34" s="330"/>
      <c r="L34" s="330"/>
      <c r="M34" s="236"/>
      <c r="N34" s="236"/>
      <c r="O34" s="236"/>
      <c r="P34" s="236"/>
      <c r="Q34" s="236"/>
      <c r="R34" s="236"/>
      <c r="S34" s="236"/>
      <c r="T34" s="236"/>
      <c r="U34" s="236"/>
      <c r="V34" s="236"/>
      <c r="W34" s="236"/>
    </row>
    <row r="35">
      <c r="A35" s="571"/>
      <c r="B35" s="571"/>
      <c r="C35" s="236"/>
      <c r="D35" s="236"/>
      <c r="E35" s="236"/>
      <c r="F35" s="236"/>
      <c r="G35" s="236"/>
      <c r="H35" s="236"/>
      <c r="I35" s="236"/>
      <c r="J35" s="236"/>
      <c r="K35" s="330"/>
      <c r="L35" s="330"/>
      <c r="M35" s="236"/>
      <c r="N35" s="236"/>
      <c r="O35" s="236"/>
      <c r="P35" s="236"/>
      <c r="Q35" s="236"/>
      <c r="R35" s="236"/>
      <c r="S35" s="236"/>
      <c r="T35" s="236"/>
      <c r="U35" s="236"/>
      <c r="V35" s="236"/>
      <c r="W35" s="236"/>
    </row>
    <row r="36">
      <c r="A36" s="236"/>
      <c r="B36" s="236"/>
      <c r="C36" s="236"/>
      <c r="D36" s="236"/>
      <c r="E36" s="236"/>
      <c r="F36" s="236"/>
      <c r="G36" s="236"/>
      <c r="H36" s="236"/>
      <c r="I36" s="236"/>
      <c r="J36" s="236"/>
      <c r="K36" s="330"/>
      <c r="L36" s="330"/>
      <c r="M36" s="236"/>
      <c r="N36" s="236"/>
      <c r="O36" s="236"/>
      <c r="P36" s="236"/>
      <c r="Q36" s="236"/>
      <c r="R36" s="236"/>
      <c r="S36" s="236"/>
      <c r="T36" s="236"/>
      <c r="U36" s="236"/>
      <c r="V36" s="236"/>
      <c r="W36" s="236"/>
    </row>
    <row r="37">
      <c r="A37" s="236"/>
      <c r="B37" s="236"/>
      <c r="C37" s="236"/>
      <c r="D37" s="236"/>
      <c r="E37" s="236"/>
      <c r="F37" s="236"/>
      <c r="G37" s="236"/>
      <c r="H37" s="236"/>
      <c r="I37" s="236"/>
      <c r="J37" s="236"/>
      <c r="K37" s="330"/>
      <c r="L37" s="330"/>
      <c r="M37" s="236"/>
      <c r="N37" s="236"/>
      <c r="O37" s="236"/>
      <c r="P37" s="236"/>
      <c r="Q37" s="236"/>
      <c r="R37" s="236"/>
      <c r="S37" s="236"/>
      <c r="T37" s="236"/>
      <c r="U37" s="236"/>
      <c r="V37" s="236"/>
      <c r="W37" s="236"/>
    </row>
    <row r="38">
      <c r="A38" s="236"/>
      <c r="B38" s="236"/>
      <c r="C38" s="236"/>
      <c r="D38" s="236"/>
      <c r="E38" s="236"/>
      <c r="F38" s="236"/>
      <c r="G38" s="236"/>
      <c r="H38" s="236"/>
      <c r="I38" s="236"/>
      <c r="J38" s="236"/>
      <c r="K38" s="330"/>
      <c r="L38" s="330"/>
      <c r="M38" s="236"/>
      <c r="N38" s="236"/>
      <c r="O38" s="236"/>
      <c r="P38" s="236"/>
      <c r="Q38" s="236"/>
      <c r="R38" s="236"/>
      <c r="S38" s="236"/>
      <c r="T38" s="236"/>
      <c r="U38" s="236"/>
      <c r="V38" s="236"/>
      <c r="W38" s="236"/>
    </row>
    <row r="39">
      <c r="A39" s="236"/>
      <c r="B39" s="236"/>
      <c r="C39" s="236"/>
      <c r="D39" s="236"/>
      <c r="E39" s="236"/>
      <c r="F39" s="236"/>
      <c r="G39" s="236"/>
      <c r="H39" s="236"/>
      <c r="I39" s="236"/>
      <c r="J39" s="236"/>
      <c r="K39" s="330"/>
      <c r="L39" s="330"/>
      <c r="M39" s="236"/>
      <c r="N39" s="236"/>
      <c r="O39" s="236"/>
      <c r="P39" s="236"/>
      <c r="Q39" s="236"/>
      <c r="R39" s="236"/>
      <c r="S39" s="236"/>
      <c r="T39" s="236"/>
      <c r="U39" s="236"/>
      <c r="V39" s="236"/>
      <c r="W39" s="236"/>
    </row>
    <row r="40">
      <c r="A40" s="236"/>
      <c r="B40" s="236"/>
      <c r="C40" s="236"/>
      <c r="D40" s="236"/>
      <c r="E40" s="236"/>
      <c r="F40" s="236"/>
      <c r="G40" s="236"/>
      <c r="H40" s="236"/>
      <c r="I40" s="236"/>
      <c r="J40" s="236"/>
      <c r="K40" s="330"/>
      <c r="L40" s="330"/>
      <c r="M40" s="236"/>
      <c r="N40" s="236"/>
      <c r="O40" s="236"/>
      <c r="P40" s="236"/>
      <c r="Q40" s="236"/>
      <c r="R40" s="236"/>
      <c r="S40" s="236"/>
      <c r="T40" s="236"/>
      <c r="U40" s="236"/>
      <c r="V40" s="236"/>
      <c r="W40" s="236"/>
    </row>
    <row r="41">
      <c r="A41" s="236"/>
      <c r="B41" s="236"/>
      <c r="C41" s="236"/>
      <c r="D41" s="236"/>
      <c r="E41" s="236"/>
      <c r="F41" s="236"/>
      <c r="G41" s="236"/>
      <c r="H41" s="236"/>
      <c r="I41" s="236"/>
      <c r="J41" s="236"/>
      <c r="K41" s="330"/>
      <c r="L41" s="330"/>
      <c r="M41" s="236"/>
      <c r="N41" s="236"/>
      <c r="O41" s="236"/>
      <c r="P41" s="236"/>
      <c r="Q41" s="236"/>
      <c r="R41" s="236"/>
      <c r="S41" s="236"/>
      <c r="T41" s="236"/>
      <c r="U41" s="236"/>
      <c r="V41" s="236"/>
      <c r="W41" s="236"/>
    </row>
    <row r="42">
      <c r="A42" s="236"/>
      <c r="B42" s="236"/>
      <c r="C42" s="236"/>
      <c r="D42" s="236"/>
      <c r="E42" s="236"/>
      <c r="F42" s="236"/>
      <c r="G42" s="236"/>
      <c r="H42" s="236"/>
      <c r="I42" s="236"/>
      <c r="J42" s="236"/>
      <c r="K42" s="330"/>
      <c r="L42" s="330"/>
      <c r="M42" s="236"/>
      <c r="N42" s="236"/>
      <c r="O42" s="236"/>
      <c r="P42" s="236"/>
      <c r="Q42" s="236"/>
      <c r="R42" s="236"/>
      <c r="S42" s="236"/>
      <c r="T42" s="236"/>
      <c r="U42" s="236"/>
      <c r="V42" s="236"/>
      <c r="W42" s="236"/>
    </row>
    <row r="43">
      <c r="A43" s="236"/>
      <c r="B43" s="236"/>
      <c r="C43" s="236"/>
      <c r="D43" s="236"/>
      <c r="E43" s="236"/>
      <c r="F43" s="236"/>
      <c r="G43" s="236"/>
      <c r="H43" s="236"/>
      <c r="I43" s="236"/>
      <c r="J43" s="236"/>
      <c r="K43" s="330"/>
      <c r="L43" s="330"/>
      <c r="M43" s="236"/>
      <c r="N43" s="236"/>
      <c r="O43" s="236"/>
      <c r="P43" s="236"/>
      <c r="Q43" s="236"/>
      <c r="R43" s="236"/>
      <c r="S43" s="236"/>
      <c r="T43" s="236"/>
      <c r="U43" s="236"/>
      <c r="V43" s="236"/>
      <c r="W43" s="236"/>
    </row>
    <row r="44">
      <c r="A44" s="236"/>
      <c r="B44" s="236"/>
      <c r="C44" s="236"/>
      <c r="D44" s="236"/>
      <c r="E44" s="236"/>
      <c r="F44" s="236"/>
      <c r="G44" s="236"/>
      <c r="H44" s="236"/>
      <c r="I44" s="236"/>
      <c r="J44" s="236"/>
      <c r="K44" s="330"/>
      <c r="L44" s="330"/>
      <c r="M44" s="236"/>
      <c r="N44" s="236"/>
      <c r="O44" s="236"/>
      <c r="P44" s="236"/>
      <c r="Q44" s="236"/>
      <c r="R44" s="236"/>
      <c r="S44" s="236"/>
      <c r="T44" s="236"/>
      <c r="U44" s="236"/>
      <c r="V44" s="236"/>
      <c r="W44" s="236"/>
    </row>
    <row r="45">
      <c r="A45" s="236"/>
      <c r="B45" s="236"/>
      <c r="C45" s="236"/>
      <c r="D45" s="236"/>
      <c r="E45" s="236"/>
      <c r="F45" s="236"/>
      <c r="G45" s="236"/>
      <c r="H45" s="236"/>
      <c r="I45" s="236"/>
      <c r="J45" s="236"/>
      <c r="K45" s="330"/>
      <c r="L45" s="330"/>
      <c r="M45" s="236"/>
      <c r="N45" s="236"/>
      <c r="O45" s="236"/>
      <c r="P45" s="236"/>
      <c r="Q45" s="236"/>
      <c r="R45" s="236"/>
      <c r="S45" s="236"/>
      <c r="T45" s="236"/>
      <c r="U45" s="236"/>
      <c r="V45" s="236"/>
      <c r="W45" s="236"/>
    </row>
    <row r="46">
      <c r="A46" s="236"/>
      <c r="B46" s="236"/>
      <c r="C46" s="236"/>
      <c r="D46" s="236"/>
      <c r="E46" s="236"/>
      <c r="F46" s="236"/>
      <c r="G46" s="236"/>
      <c r="H46" s="236"/>
      <c r="I46" s="236"/>
      <c r="J46" s="236"/>
      <c r="K46" s="330"/>
      <c r="L46" s="330"/>
      <c r="M46" s="236"/>
      <c r="N46" s="236"/>
      <c r="O46" s="236"/>
      <c r="P46" s="236"/>
      <c r="Q46" s="236"/>
      <c r="R46" s="236"/>
      <c r="S46" s="236"/>
      <c r="T46" s="236"/>
      <c r="U46" s="236"/>
      <c r="V46" s="236"/>
      <c r="W46" s="236"/>
    </row>
    <row r="47">
      <c r="A47" s="236"/>
      <c r="B47" s="236"/>
      <c r="C47" s="236"/>
      <c r="D47" s="236"/>
      <c r="E47" s="236"/>
      <c r="F47" s="236"/>
      <c r="G47" s="236"/>
      <c r="H47" s="236"/>
      <c r="I47" s="236"/>
      <c r="J47" s="236"/>
      <c r="K47" s="330"/>
      <c r="L47" s="330"/>
      <c r="M47" s="236"/>
      <c r="N47" s="236"/>
      <c r="O47" s="236"/>
      <c r="P47" s="236"/>
      <c r="Q47" s="236"/>
      <c r="R47" s="236"/>
      <c r="S47" s="236"/>
      <c r="T47" s="236"/>
      <c r="U47" s="236"/>
      <c r="V47" s="236"/>
      <c r="W47" s="236"/>
    </row>
    <row r="48">
      <c r="A48" s="236"/>
      <c r="B48" s="236"/>
      <c r="C48" s="236"/>
      <c r="D48" s="236"/>
      <c r="E48" s="236"/>
      <c r="F48" s="236"/>
      <c r="G48" s="236"/>
      <c r="H48" s="236"/>
      <c r="I48" s="236"/>
      <c r="J48" s="236"/>
      <c r="K48" s="330"/>
      <c r="L48" s="330"/>
      <c r="M48" s="236"/>
      <c r="N48" s="236"/>
      <c r="O48" s="236"/>
      <c r="P48" s="236"/>
      <c r="Q48" s="236"/>
      <c r="R48" s="236"/>
      <c r="S48" s="236"/>
      <c r="T48" s="236"/>
      <c r="U48" s="236"/>
      <c r="V48" s="236"/>
      <c r="W48" s="236"/>
    </row>
    <row r="49">
      <c r="A49" s="236"/>
      <c r="B49" s="236"/>
      <c r="C49" s="236"/>
      <c r="D49" s="236"/>
      <c r="E49" s="236"/>
      <c r="F49" s="236"/>
      <c r="G49" s="236"/>
      <c r="H49" s="236"/>
      <c r="I49" s="236"/>
      <c r="J49" s="236"/>
      <c r="K49" s="330"/>
      <c r="L49" s="330"/>
      <c r="M49" s="236"/>
      <c r="N49" s="236"/>
      <c r="O49" s="236"/>
      <c r="P49" s="236"/>
      <c r="Q49" s="236"/>
      <c r="R49" s="236"/>
      <c r="S49" s="236"/>
      <c r="T49" s="236"/>
      <c r="U49" s="236"/>
      <c r="V49" s="236"/>
      <c r="W49" s="236"/>
    </row>
    <row r="50">
      <c r="A50" s="236"/>
      <c r="B50" s="236"/>
      <c r="C50" s="236"/>
      <c r="D50" s="236"/>
      <c r="E50" s="236"/>
      <c r="F50" s="236"/>
      <c r="G50" s="236"/>
      <c r="H50" s="236"/>
      <c r="I50" s="236"/>
      <c r="J50" s="236"/>
      <c r="K50" s="330"/>
      <c r="L50" s="330"/>
      <c r="M50" s="236"/>
      <c r="N50" s="236"/>
      <c r="O50" s="236"/>
      <c r="P50" s="236"/>
      <c r="Q50" s="236"/>
      <c r="R50" s="236"/>
      <c r="S50" s="236"/>
      <c r="T50" s="236"/>
      <c r="U50" s="236"/>
      <c r="V50" s="236"/>
      <c r="W50" s="236"/>
    </row>
    <row r="51">
      <c r="A51" s="236"/>
      <c r="B51" s="236"/>
      <c r="C51" s="236"/>
      <c r="D51" s="236"/>
      <c r="E51" s="236"/>
      <c r="F51" s="236"/>
      <c r="G51" s="236"/>
      <c r="H51" s="236"/>
      <c r="I51" s="236"/>
      <c r="J51" s="236"/>
      <c r="K51" s="330"/>
      <c r="L51" s="330"/>
      <c r="M51" s="236"/>
      <c r="N51" s="236"/>
      <c r="O51" s="236"/>
      <c r="P51" s="236"/>
      <c r="Q51" s="236"/>
      <c r="R51" s="236"/>
      <c r="S51" s="236"/>
      <c r="T51" s="236"/>
      <c r="U51" s="236"/>
      <c r="V51" s="236"/>
      <c r="W51" s="236"/>
    </row>
    <row r="52">
      <c r="A52" s="236"/>
      <c r="B52" s="236"/>
      <c r="C52" s="236"/>
      <c r="D52" s="236"/>
      <c r="E52" s="236"/>
      <c r="F52" s="236"/>
      <c r="G52" s="236"/>
      <c r="H52" s="236"/>
      <c r="I52" s="236"/>
      <c r="J52" s="236"/>
      <c r="K52" s="330"/>
      <c r="L52" s="330"/>
      <c r="M52" s="236"/>
      <c r="N52" s="236"/>
      <c r="O52" s="236"/>
      <c r="P52" s="236"/>
      <c r="Q52" s="236"/>
      <c r="R52" s="236"/>
      <c r="S52" s="236"/>
      <c r="T52" s="236"/>
      <c r="U52" s="236"/>
      <c r="V52" s="236"/>
      <c r="W52" s="236"/>
    </row>
    <row r="53">
      <c r="A53" s="236"/>
      <c r="B53" s="236"/>
      <c r="C53" s="236"/>
      <c r="D53" s="236"/>
      <c r="E53" s="236"/>
      <c r="F53" s="236"/>
      <c r="G53" s="236"/>
      <c r="H53" s="236"/>
      <c r="I53" s="236"/>
      <c r="J53" s="236"/>
      <c r="K53" s="330"/>
      <c r="L53" s="330"/>
      <c r="M53" s="236"/>
      <c r="N53" s="236"/>
      <c r="O53" s="236"/>
      <c r="P53" s="236"/>
      <c r="Q53" s="236"/>
      <c r="R53" s="236"/>
      <c r="S53" s="236"/>
      <c r="T53" s="236"/>
      <c r="U53" s="236"/>
      <c r="V53" s="236"/>
      <c r="W53" s="236"/>
    </row>
    <row r="54">
      <c r="A54" s="236"/>
      <c r="B54" s="236"/>
      <c r="C54" s="236"/>
      <c r="D54" s="236"/>
      <c r="E54" s="236"/>
      <c r="F54" s="236"/>
      <c r="G54" s="236"/>
      <c r="H54" s="236"/>
      <c r="I54" s="236"/>
      <c r="J54" s="236"/>
      <c r="K54" s="330"/>
      <c r="L54" s="330"/>
      <c r="M54" s="236"/>
      <c r="N54" s="236"/>
      <c r="O54" s="236"/>
      <c r="P54" s="236"/>
      <c r="Q54" s="236"/>
      <c r="R54" s="236"/>
      <c r="S54" s="236"/>
      <c r="T54" s="236"/>
      <c r="U54" s="236"/>
      <c r="V54" s="236"/>
      <c r="W54" s="236"/>
    </row>
    <row r="55">
      <c r="A55" s="236"/>
      <c r="B55" s="236"/>
      <c r="C55" s="236"/>
      <c r="D55" s="236"/>
      <c r="E55" s="236"/>
      <c r="F55" s="236"/>
      <c r="G55" s="236"/>
      <c r="H55" s="236"/>
      <c r="I55" s="236"/>
      <c r="J55" s="236"/>
      <c r="K55" s="330"/>
      <c r="L55" s="330"/>
      <c r="M55" s="236"/>
      <c r="N55" s="236"/>
      <c r="O55" s="236"/>
      <c r="P55" s="236"/>
      <c r="Q55" s="236"/>
      <c r="R55" s="236"/>
      <c r="S55" s="236"/>
      <c r="T55" s="236"/>
      <c r="U55" s="236"/>
      <c r="V55" s="236"/>
      <c r="W55" s="236"/>
    </row>
    <row r="56">
      <c r="A56" s="236"/>
      <c r="B56" s="236"/>
      <c r="C56" s="236"/>
      <c r="D56" s="236"/>
      <c r="E56" s="236"/>
      <c r="F56" s="236"/>
      <c r="G56" s="236"/>
      <c r="H56" s="236"/>
      <c r="I56" s="236"/>
      <c r="J56" s="236"/>
      <c r="K56" s="330"/>
      <c r="L56" s="330"/>
      <c r="M56" s="236"/>
      <c r="N56" s="236"/>
      <c r="O56" s="236"/>
      <c r="P56" s="236"/>
      <c r="Q56" s="236"/>
      <c r="R56" s="236"/>
      <c r="S56" s="236"/>
      <c r="T56" s="236"/>
      <c r="U56" s="236"/>
      <c r="V56" s="236"/>
      <c r="W56" s="236"/>
    </row>
    <row r="57">
      <c r="A57" s="236"/>
      <c r="B57" s="236"/>
      <c r="C57" s="236"/>
      <c r="D57" s="236"/>
      <c r="E57" s="236"/>
      <c r="F57" s="236"/>
      <c r="G57" s="236"/>
      <c r="H57" s="236"/>
      <c r="I57" s="236"/>
      <c r="J57" s="236"/>
      <c r="K57" s="330"/>
      <c r="L57" s="330"/>
      <c r="M57" s="236"/>
      <c r="N57" s="236"/>
      <c r="O57" s="236"/>
      <c r="P57" s="236"/>
      <c r="Q57" s="236"/>
      <c r="R57" s="236"/>
      <c r="S57" s="236"/>
      <c r="T57" s="236"/>
      <c r="U57" s="236"/>
      <c r="V57" s="236"/>
      <c r="W57" s="236"/>
    </row>
    <row r="58">
      <c r="A58" s="236"/>
      <c r="B58" s="236"/>
      <c r="C58" s="236"/>
      <c r="D58" s="236"/>
      <c r="E58" s="236"/>
      <c r="F58" s="236"/>
      <c r="G58" s="236"/>
      <c r="H58" s="236"/>
      <c r="I58" s="236"/>
      <c r="J58" s="236"/>
      <c r="K58" s="330"/>
      <c r="L58" s="330"/>
      <c r="M58" s="236"/>
      <c r="N58" s="236"/>
      <c r="O58" s="236"/>
      <c r="P58" s="236"/>
      <c r="Q58" s="236"/>
      <c r="R58" s="236"/>
      <c r="S58" s="236"/>
      <c r="T58" s="236"/>
      <c r="U58" s="236"/>
      <c r="V58" s="236"/>
      <c r="W58" s="236"/>
    </row>
    <row r="59">
      <c r="A59" s="236"/>
      <c r="B59" s="236"/>
      <c r="C59" s="236"/>
      <c r="D59" s="236"/>
      <c r="E59" s="236"/>
      <c r="F59" s="236"/>
      <c r="G59" s="236"/>
      <c r="H59" s="236"/>
      <c r="I59" s="236"/>
      <c r="J59" s="236"/>
      <c r="K59" s="330"/>
      <c r="L59" s="330"/>
      <c r="M59" s="236"/>
      <c r="N59" s="236"/>
      <c r="O59" s="236"/>
      <c r="P59" s="236"/>
      <c r="Q59" s="236"/>
      <c r="R59" s="236"/>
      <c r="S59" s="236"/>
      <c r="T59" s="236"/>
      <c r="U59" s="236"/>
      <c r="V59" s="236"/>
      <c r="W59" s="236"/>
    </row>
    <row r="60">
      <c r="A60" s="236"/>
      <c r="B60" s="236"/>
      <c r="C60" s="236"/>
      <c r="D60" s="236"/>
      <c r="E60" s="236"/>
      <c r="F60" s="236"/>
      <c r="G60" s="236"/>
      <c r="H60" s="236"/>
      <c r="I60" s="236"/>
      <c r="J60" s="236"/>
      <c r="K60" s="330"/>
      <c r="L60" s="330"/>
      <c r="M60" s="236"/>
      <c r="N60" s="236"/>
      <c r="O60" s="236"/>
      <c r="P60" s="236"/>
      <c r="Q60" s="236"/>
      <c r="R60" s="236"/>
      <c r="S60" s="236"/>
      <c r="T60" s="236"/>
      <c r="U60" s="236"/>
      <c r="V60" s="236"/>
      <c r="W60" s="236"/>
    </row>
    <row r="61">
      <c r="A61" s="236"/>
      <c r="B61" s="236"/>
      <c r="C61" s="236"/>
      <c r="D61" s="236"/>
      <c r="E61" s="236"/>
      <c r="F61" s="236"/>
      <c r="G61" s="236"/>
      <c r="H61" s="236"/>
      <c r="I61" s="236"/>
      <c r="J61" s="236"/>
      <c r="K61" s="330"/>
      <c r="L61" s="330"/>
      <c r="M61" s="236"/>
      <c r="N61" s="236"/>
      <c r="O61" s="236"/>
      <c r="P61" s="236"/>
      <c r="Q61" s="236"/>
      <c r="R61" s="236"/>
      <c r="S61" s="236"/>
      <c r="T61" s="236"/>
      <c r="U61" s="236"/>
      <c r="V61" s="236"/>
      <c r="W61" s="236"/>
    </row>
    <row r="62">
      <c r="A62" s="236"/>
      <c r="B62" s="236"/>
      <c r="C62" s="236"/>
      <c r="D62" s="236"/>
      <c r="E62" s="236"/>
      <c r="F62" s="236"/>
      <c r="G62" s="236"/>
      <c r="H62" s="236"/>
      <c r="I62" s="236"/>
      <c r="J62" s="236"/>
      <c r="K62" s="330"/>
      <c r="L62" s="330"/>
      <c r="M62" s="236"/>
      <c r="N62" s="236"/>
      <c r="O62" s="236"/>
      <c r="P62" s="236"/>
      <c r="Q62" s="236"/>
      <c r="R62" s="236"/>
      <c r="S62" s="236"/>
      <c r="T62" s="236"/>
      <c r="U62" s="236"/>
      <c r="V62" s="236"/>
      <c r="W62" s="236"/>
    </row>
    <row r="63">
      <c r="A63" s="236"/>
      <c r="B63" s="236"/>
      <c r="C63" s="236"/>
      <c r="D63" s="236"/>
      <c r="E63" s="236"/>
      <c r="F63" s="236"/>
      <c r="G63" s="236"/>
      <c r="H63" s="236"/>
      <c r="I63" s="236"/>
      <c r="J63" s="236"/>
      <c r="K63" s="330"/>
      <c r="L63" s="330"/>
      <c r="M63" s="236"/>
      <c r="N63" s="236"/>
      <c r="O63" s="236"/>
      <c r="P63" s="236"/>
      <c r="Q63" s="236"/>
      <c r="R63" s="236"/>
      <c r="S63" s="236"/>
      <c r="T63" s="236"/>
      <c r="U63" s="236"/>
      <c r="V63" s="236"/>
      <c r="W63" s="236"/>
    </row>
    <row r="64">
      <c r="A64" s="236"/>
      <c r="B64" s="236"/>
      <c r="C64" s="236"/>
      <c r="D64" s="236"/>
      <c r="E64" s="236"/>
      <c r="F64" s="236"/>
      <c r="G64" s="236"/>
      <c r="H64" s="236"/>
      <c r="I64" s="236"/>
      <c r="J64" s="236"/>
      <c r="K64" s="330"/>
      <c r="L64" s="330"/>
      <c r="M64" s="236"/>
      <c r="N64" s="236"/>
      <c r="O64" s="236"/>
      <c r="P64" s="236"/>
      <c r="Q64" s="236"/>
      <c r="R64" s="236"/>
      <c r="S64" s="236"/>
      <c r="T64" s="236"/>
      <c r="U64" s="236"/>
      <c r="V64" s="236"/>
      <c r="W64" s="236"/>
    </row>
    <row r="65">
      <c r="A65" s="236"/>
      <c r="B65" s="236"/>
      <c r="C65" s="236"/>
      <c r="D65" s="236"/>
      <c r="E65" s="236"/>
      <c r="F65" s="236"/>
      <c r="G65" s="236"/>
      <c r="H65" s="236"/>
      <c r="I65" s="236"/>
      <c r="J65" s="236"/>
      <c r="K65" s="330"/>
      <c r="L65" s="330"/>
      <c r="M65" s="236"/>
      <c r="N65" s="236"/>
      <c r="O65" s="236"/>
      <c r="P65" s="236"/>
      <c r="Q65" s="236"/>
      <c r="R65" s="236"/>
      <c r="S65" s="236"/>
      <c r="T65" s="236"/>
      <c r="U65" s="236"/>
      <c r="V65" s="236"/>
      <c r="W65" s="236"/>
    </row>
    <row r="66">
      <c r="A66" s="236"/>
      <c r="B66" s="236"/>
      <c r="C66" s="236"/>
      <c r="D66" s="236"/>
      <c r="E66" s="236"/>
      <c r="F66" s="236"/>
      <c r="G66" s="236"/>
      <c r="H66" s="236"/>
      <c r="I66" s="236"/>
      <c r="J66" s="236"/>
      <c r="K66" s="330"/>
      <c r="L66" s="330"/>
      <c r="M66" s="236"/>
      <c r="N66" s="236"/>
      <c r="O66" s="236"/>
      <c r="P66" s="236"/>
      <c r="Q66" s="236"/>
      <c r="R66" s="236"/>
      <c r="S66" s="236"/>
      <c r="T66" s="236"/>
      <c r="U66" s="236"/>
      <c r="V66" s="236"/>
      <c r="W66" s="236"/>
    </row>
    <row r="67">
      <c r="A67" s="236"/>
      <c r="B67" s="236"/>
      <c r="C67" s="236"/>
      <c r="D67" s="236"/>
      <c r="E67" s="236"/>
      <c r="F67" s="236"/>
      <c r="G67" s="236"/>
      <c r="H67" s="236"/>
      <c r="I67" s="236"/>
      <c r="J67" s="236"/>
      <c r="K67" s="330"/>
      <c r="L67" s="330"/>
      <c r="M67" s="236"/>
      <c r="N67" s="236"/>
      <c r="O67" s="236"/>
      <c r="P67" s="236"/>
      <c r="Q67" s="236"/>
      <c r="R67" s="236"/>
      <c r="S67" s="236"/>
      <c r="T67" s="236"/>
      <c r="U67" s="236"/>
      <c r="V67" s="236"/>
      <c r="W67" s="236"/>
    </row>
    <row r="68">
      <c r="A68" s="236"/>
      <c r="B68" s="236"/>
      <c r="C68" s="236"/>
      <c r="D68" s="236"/>
      <c r="E68" s="236"/>
      <c r="F68" s="236"/>
      <c r="G68" s="236"/>
      <c r="H68" s="236"/>
      <c r="I68" s="236"/>
      <c r="J68" s="236"/>
      <c r="K68" s="330"/>
      <c r="L68" s="330"/>
      <c r="M68" s="236"/>
      <c r="N68" s="236"/>
      <c r="O68" s="236"/>
      <c r="P68" s="236"/>
      <c r="Q68" s="236"/>
      <c r="R68" s="236"/>
      <c r="S68" s="236"/>
      <c r="T68" s="236"/>
      <c r="U68" s="236"/>
      <c r="V68" s="236"/>
      <c r="W68" s="236"/>
    </row>
    <row r="69">
      <c r="A69" s="236"/>
      <c r="B69" s="236"/>
      <c r="C69" s="236"/>
      <c r="D69" s="236"/>
      <c r="E69" s="236"/>
      <c r="F69" s="236"/>
      <c r="G69" s="236"/>
      <c r="H69" s="236"/>
      <c r="I69" s="236"/>
      <c r="J69" s="236"/>
      <c r="K69" s="330"/>
      <c r="L69" s="330"/>
      <c r="M69" s="236"/>
      <c r="N69" s="236"/>
      <c r="O69" s="236"/>
      <c r="P69" s="236"/>
      <c r="Q69" s="236"/>
      <c r="R69" s="236"/>
      <c r="S69" s="236"/>
      <c r="T69" s="236"/>
      <c r="U69" s="236"/>
      <c r="V69" s="236"/>
      <c r="W69" s="236"/>
    </row>
    <row r="70">
      <c r="A70" s="236"/>
      <c r="B70" s="236"/>
      <c r="C70" s="236"/>
      <c r="D70" s="236"/>
      <c r="E70" s="236"/>
      <c r="F70" s="236"/>
      <c r="G70" s="236"/>
      <c r="H70" s="236"/>
      <c r="I70" s="236"/>
      <c r="J70" s="236"/>
      <c r="K70" s="330"/>
      <c r="L70" s="330"/>
      <c r="M70" s="236"/>
      <c r="N70" s="236"/>
      <c r="O70" s="236"/>
      <c r="P70" s="236"/>
      <c r="Q70" s="236"/>
      <c r="R70" s="236"/>
      <c r="S70" s="236"/>
      <c r="T70" s="236"/>
      <c r="U70" s="236"/>
      <c r="V70" s="236"/>
      <c r="W70" s="236"/>
    </row>
    <row r="71">
      <c r="A71" s="236"/>
      <c r="B71" s="236"/>
      <c r="C71" s="236"/>
      <c r="D71" s="236"/>
      <c r="E71" s="236"/>
      <c r="F71" s="236"/>
      <c r="G71" s="236"/>
      <c r="H71" s="236"/>
      <c r="I71" s="236"/>
      <c r="J71" s="236"/>
      <c r="K71" s="330"/>
      <c r="L71" s="330"/>
      <c r="M71" s="236"/>
      <c r="N71" s="236"/>
      <c r="O71" s="236"/>
      <c r="P71" s="236"/>
      <c r="Q71" s="236"/>
      <c r="R71" s="236"/>
      <c r="S71" s="236"/>
      <c r="T71" s="236"/>
      <c r="U71" s="236"/>
      <c r="V71" s="236"/>
      <c r="W71" s="236"/>
    </row>
    <row r="72">
      <c r="A72" s="236"/>
      <c r="B72" s="236"/>
      <c r="C72" s="236"/>
      <c r="D72" s="236"/>
      <c r="E72" s="236"/>
      <c r="F72" s="236"/>
      <c r="G72" s="236"/>
      <c r="H72" s="236"/>
      <c r="I72" s="236"/>
      <c r="J72" s="236"/>
      <c r="K72" s="330"/>
      <c r="L72" s="330"/>
      <c r="M72" s="236"/>
      <c r="N72" s="236"/>
      <c r="O72" s="236"/>
      <c r="P72" s="236"/>
      <c r="Q72" s="236"/>
      <c r="R72" s="236"/>
      <c r="S72" s="236"/>
      <c r="T72" s="236"/>
      <c r="U72" s="236"/>
      <c r="V72" s="236"/>
      <c r="W72" s="236"/>
    </row>
    <row r="73">
      <c r="A73" s="236"/>
      <c r="B73" s="236"/>
      <c r="C73" s="236"/>
      <c r="D73" s="236"/>
      <c r="E73" s="236"/>
      <c r="F73" s="236"/>
      <c r="G73" s="236"/>
      <c r="H73" s="236"/>
      <c r="I73" s="236"/>
      <c r="J73" s="236"/>
      <c r="K73" s="330"/>
      <c r="L73" s="330"/>
      <c r="M73" s="236"/>
      <c r="N73" s="236"/>
      <c r="O73" s="236"/>
      <c r="P73" s="236"/>
      <c r="Q73" s="236"/>
      <c r="R73" s="236"/>
      <c r="S73" s="236"/>
      <c r="T73" s="236"/>
      <c r="U73" s="236"/>
      <c r="V73" s="236"/>
      <c r="W73" s="236"/>
    </row>
    <row r="74">
      <c r="A74" s="236"/>
      <c r="B74" s="236"/>
      <c r="C74" s="236"/>
      <c r="D74" s="236"/>
      <c r="E74" s="236"/>
      <c r="F74" s="236"/>
      <c r="G74" s="236"/>
      <c r="H74" s="236"/>
      <c r="I74" s="236"/>
      <c r="J74" s="236"/>
      <c r="K74" s="330"/>
      <c r="L74" s="330"/>
      <c r="M74" s="236"/>
      <c r="N74" s="236"/>
      <c r="O74" s="236"/>
      <c r="P74" s="236"/>
      <c r="Q74" s="236"/>
      <c r="R74" s="236"/>
      <c r="S74" s="236"/>
      <c r="T74" s="236"/>
      <c r="U74" s="236"/>
      <c r="V74" s="236"/>
      <c r="W74" s="236"/>
    </row>
    <row r="75">
      <c r="A75" s="236"/>
      <c r="B75" s="236"/>
      <c r="C75" s="236"/>
      <c r="D75" s="236"/>
      <c r="E75" s="236"/>
      <c r="F75" s="236"/>
      <c r="G75" s="236"/>
      <c r="H75" s="236"/>
      <c r="I75" s="236"/>
      <c r="J75" s="236"/>
      <c r="K75" s="330"/>
      <c r="L75" s="330"/>
      <c r="M75" s="236"/>
      <c r="N75" s="236"/>
      <c r="O75" s="236"/>
      <c r="P75" s="236"/>
      <c r="Q75" s="236"/>
      <c r="R75" s="236"/>
      <c r="S75" s="236"/>
      <c r="T75" s="236"/>
      <c r="U75" s="236"/>
      <c r="V75" s="236"/>
      <c r="W75" s="236"/>
    </row>
    <row r="76">
      <c r="A76" s="236"/>
      <c r="B76" s="236"/>
      <c r="C76" s="236"/>
      <c r="D76" s="236"/>
      <c r="E76" s="236"/>
      <c r="F76" s="236"/>
      <c r="G76" s="236"/>
      <c r="H76" s="236"/>
      <c r="I76" s="236"/>
      <c r="J76" s="236"/>
      <c r="K76" s="330"/>
      <c r="L76" s="330"/>
      <c r="M76" s="236"/>
      <c r="N76" s="236"/>
      <c r="O76" s="236"/>
      <c r="P76" s="236"/>
      <c r="Q76" s="236"/>
      <c r="R76" s="236"/>
      <c r="S76" s="236"/>
      <c r="T76" s="236"/>
      <c r="U76" s="236"/>
      <c r="V76" s="236"/>
      <c r="W76" s="236"/>
    </row>
    <row r="77">
      <c r="A77" s="236"/>
      <c r="B77" s="236"/>
      <c r="C77" s="236"/>
      <c r="D77" s="236"/>
      <c r="E77" s="236"/>
      <c r="F77" s="236"/>
      <c r="G77" s="236"/>
      <c r="H77" s="236"/>
      <c r="I77" s="236"/>
      <c r="J77" s="236"/>
      <c r="K77" s="330"/>
      <c r="L77" s="330"/>
      <c r="M77" s="236"/>
      <c r="N77" s="236"/>
      <c r="O77" s="236"/>
      <c r="P77" s="236"/>
      <c r="Q77" s="236"/>
      <c r="R77" s="236"/>
      <c r="S77" s="236"/>
      <c r="T77" s="236"/>
      <c r="U77" s="236"/>
      <c r="V77" s="236"/>
      <c r="W77" s="236"/>
    </row>
    <row r="78">
      <c r="A78" s="236"/>
      <c r="B78" s="236"/>
      <c r="C78" s="236"/>
      <c r="D78" s="236"/>
      <c r="E78" s="236"/>
      <c r="F78" s="236"/>
      <c r="G78" s="236"/>
      <c r="H78" s="236"/>
      <c r="I78" s="236"/>
      <c r="J78" s="236"/>
      <c r="K78" s="330"/>
      <c r="L78" s="330"/>
      <c r="M78" s="236"/>
      <c r="N78" s="236"/>
      <c r="O78" s="236"/>
      <c r="P78" s="236"/>
      <c r="Q78" s="236"/>
      <c r="R78" s="236"/>
      <c r="S78" s="236"/>
      <c r="T78" s="236"/>
      <c r="U78" s="236"/>
      <c r="V78" s="236"/>
      <c r="W78" s="236"/>
    </row>
    <row r="79">
      <c r="A79" s="236"/>
      <c r="B79" s="236"/>
      <c r="C79" s="236"/>
      <c r="D79" s="236"/>
      <c r="E79" s="236"/>
      <c r="F79" s="236"/>
      <c r="G79" s="236"/>
      <c r="H79" s="236"/>
      <c r="I79" s="236"/>
      <c r="J79" s="236"/>
      <c r="K79" s="330"/>
      <c r="L79" s="330"/>
      <c r="M79" s="236"/>
      <c r="N79" s="236"/>
      <c r="O79" s="236"/>
      <c r="P79" s="236"/>
      <c r="Q79" s="236"/>
      <c r="R79" s="236"/>
      <c r="S79" s="236"/>
      <c r="T79" s="236"/>
      <c r="U79" s="236"/>
      <c r="V79" s="236"/>
      <c r="W79" s="236"/>
    </row>
    <row r="80">
      <c r="A80" s="236"/>
      <c r="B80" s="236"/>
      <c r="C80" s="236"/>
      <c r="D80" s="236"/>
      <c r="E80" s="236"/>
      <c r="F80" s="236"/>
      <c r="G80" s="236"/>
      <c r="H80" s="236"/>
      <c r="I80" s="236"/>
      <c r="J80" s="236"/>
      <c r="K80" s="330"/>
      <c r="L80" s="330"/>
      <c r="M80" s="236"/>
      <c r="N80" s="236"/>
      <c r="O80" s="236"/>
      <c r="P80" s="236"/>
      <c r="Q80" s="236"/>
      <c r="R80" s="236"/>
      <c r="S80" s="236"/>
      <c r="T80" s="236"/>
      <c r="U80" s="236"/>
      <c r="V80" s="236"/>
      <c r="W80" s="236"/>
    </row>
    <row r="81">
      <c r="A81" s="236"/>
      <c r="B81" s="236"/>
      <c r="C81" s="236"/>
      <c r="D81" s="236"/>
      <c r="E81" s="236"/>
      <c r="F81" s="236"/>
      <c r="G81" s="236"/>
      <c r="H81" s="236"/>
      <c r="I81" s="236"/>
      <c r="J81" s="236"/>
      <c r="K81" s="330"/>
      <c r="L81" s="330"/>
      <c r="M81" s="236"/>
      <c r="N81" s="236"/>
      <c r="O81" s="236"/>
      <c r="P81" s="236"/>
      <c r="Q81" s="236"/>
      <c r="R81" s="236"/>
      <c r="S81" s="236"/>
      <c r="T81" s="236"/>
      <c r="U81" s="236"/>
      <c r="V81" s="236"/>
      <c r="W81" s="236"/>
    </row>
    <row r="82">
      <c r="A82" s="236"/>
      <c r="B82" s="236"/>
      <c r="C82" s="236"/>
      <c r="D82" s="236"/>
      <c r="E82" s="236"/>
      <c r="F82" s="236"/>
      <c r="G82" s="236"/>
      <c r="H82" s="236"/>
      <c r="I82" s="236"/>
      <c r="J82" s="236"/>
      <c r="K82" s="330"/>
      <c r="L82" s="330"/>
      <c r="M82" s="236"/>
      <c r="N82" s="236"/>
      <c r="O82" s="236"/>
      <c r="P82" s="236"/>
      <c r="Q82" s="236"/>
      <c r="R82" s="236"/>
      <c r="S82" s="236"/>
      <c r="T82" s="236"/>
      <c r="U82" s="236"/>
      <c r="V82" s="236"/>
      <c r="W82" s="236"/>
    </row>
    <row r="83">
      <c r="A83" s="236"/>
      <c r="B83" s="236"/>
      <c r="C83" s="236"/>
      <c r="D83" s="236"/>
      <c r="E83" s="236"/>
      <c r="F83" s="236"/>
      <c r="G83" s="236"/>
      <c r="H83" s="236"/>
      <c r="I83" s="236"/>
      <c r="J83" s="236"/>
      <c r="K83" s="330"/>
      <c r="L83" s="330"/>
      <c r="M83" s="236"/>
      <c r="N83" s="236"/>
      <c r="O83" s="236"/>
      <c r="P83" s="236"/>
      <c r="Q83" s="236"/>
      <c r="R83" s="236"/>
      <c r="S83" s="236"/>
      <c r="T83" s="236"/>
      <c r="U83" s="236"/>
      <c r="V83" s="236"/>
      <c r="W83" s="236"/>
    </row>
    <row r="84">
      <c r="A84" s="236"/>
      <c r="B84" s="236"/>
      <c r="C84" s="236"/>
      <c r="D84" s="236"/>
      <c r="E84" s="236"/>
      <c r="F84" s="236"/>
      <c r="G84" s="236"/>
      <c r="H84" s="236"/>
      <c r="I84" s="236"/>
      <c r="J84" s="236"/>
      <c r="K84" s="330"/>
      <c r="L84" s="330"/>
      <c r="M84" s="236"/>
      <c r="N84" s="236"/>
      <c r="O84" s="236"/>
      <c r="P84" s="236"/>
      <c r="Q84" s="236"/>
      <c r="R84" s="236"/>
      <c r="S84" s="236"/>
      <c r="T84" s="236"/>
      <c r="U84" s="236"/>
      <c r="V84" s="236"/>
      <c r="W84" s="236"/>
    </row>
    <row r="85">
      <c r="A85" s="236"/>
      <c r="B85" s="236"/>
      <c r="C85" s="236"/>
      <c r="D85" s="236"/>
      <c r="E85" s="236"/>
      <c r="F85" s="236"/>
      <c r="G85" s="236"/>
      <c r="H85" s="236"/>
      <c r="I85" s="236"/>
      <c r="J85" s="236"/>
      <c r="K85" s="330"/>
      <c r="L85" s="330"/>
      <c r="M85" s="236"/>
      <c r="N85" s="236"/>
      <c r="O85" s="236"/>
      <c r="P85" s="236"/>
      <c r="Q85" s="236"/>
      <c r="R85" s="236"/>
      <c r="S85" s="236"/>
      <c r="T85" s="236"/>
      <c r="U85" s="236"/>
      <c r="V85" s="236"/>
      <c r="W85" s="236"/>
    </row>
    <row r="86">
      <c r="A86" s="236"/>
      <c r="B86" s="236"/>
      <c r="C86" s="236"/>
      <c r="D86" s="236"/>
      <c r="E86" s="236"/>
      <c r="F86" s="236"/>
      <c r="G86" s="236"/>
      <c r="H86" s="236"/>
      <c r="I86" s="236"/>
      <c r="J86" s="236"/>
      <c r="K86" s="330"/>
      <c r="L86" s="330"/>
      <c r="M86" s="236"/>
      <c r="N86" s="236"/>
      <c r="O86" s="236"/>
      <c r="P86" s="236"/>
      <c r="Q86" s="236"/>
      <c r="R86" s="236"/>
      <c r="S86" s="236"/>
      <c r="T86" s="236"/>
      <c r="U86" s="236"/>
      <c r="V86" s="236"/>
      <c r="W86" s="236"/>
    </row>
    <row r="87">
      <c r="A87" s="236"/>
      <c r="B87" s="236"/>
      <c r="C87" s="236"/>
      <c r="D87" s="236"/>
      <c r="E87" s="236"/>
      <c r="F87" s="236"/>
      <c r="G87" s="236"/>
      <c r="H87" s="236"/>
      <c r="I87" s="236"/>
      <c r="J87" s="236"/>
      <c r="K87" s="330"/>
      <c r="L87" s="330"/>
      <c r="M87" s="236"/>
      <c r="N87" s="236"/>
      <c r="O87" s="236"/>
      <c r="P87" s="236"/>
      <c r="Q87" s="236"/>
      <c r="R87" s="236"/>
      <c r="S87" s="236"/>
      <c r="T87" s="236"/>
      <c r="U87" s="236"/>
      <c r="V87" s="236"/>
      <c r="W87" s="236"/>
    </row>
    <row r="88">
      <c r="A88" s="236"/>
      <c r="B88" s="236"/>
      <c r="C88" s="236"/>
      <c r="D88" s="236"/>
      <c r="E88" s="236"/>
      <c r="F88" s="236"/>
      <c r="G88" s="236"/>
      <c r="H88" s="236"/>
      <c r="I88" s="236"/>
      <c r="J88" s="236"/>
      <c r="K88" s="330"/>
      <c r="L88" s="330"/>
      <c r="M88" s="236"/>
      <c r="N88" s="236"/>
      <c r="O88" s="236"/>
      <c r="P88" s="236"/>
      <c r="Q88" s="236"/>
      <c r="R88" s="236"/>
      <c r="S88" s="236"/>
      <c r="T88" s="236"/>
      <c r="U88" s="236"/>
      <c r="V88" s="236"/>
      <c r="W88" s="236"/>
    </row>
    <row r="89">
      <c r="A89" s="236"/>
      <c r="B89" s="236"/>
      <c r="C89" s="236"/>
      <c r="D89" s="236"/>
      <c r="E89" s="236"/>
      <c r="F89" s="236"/>
      <c r="G89" s="236"/>
      <c r="H89" s="236"/>
      <c r="I89" s="236"/>
      <c r="J89" s="236"/>
      <c r="K89" s="330"/>
      <c r="L89" s="330"/>
      <c r="M89" s="236"/>
      <c r="N89" s="236"/>
      <c r="O89" s="236"/>
      <c r="P89" s="236"/>
      <c r="Q89" s="236"/>
      <c r="R89" s="236"/>
      <c r="S89" s="236"/>
      <c r="T89" s="236"/>
      <c r="U89" s="236"/>
      <c r="V89" s="236"/>
      <c r="W89" s="236"/>
    </row>
    <row r="90">
      <c r="A90" s="236"/>
      <c r="B90" s="236"/>
      <c r="C90" s="236"/>
      <c r="D90" s="236"/>
      <c r="E90" s="236"/>
      <c r="F90" s="236"/>
      <c r="G90" s="236"/>
      <c r="H90" s="236"/>
      <c r="I90" s="236"/>
      <c r="J90" s="236"/>
      <c r="K90" s="330"/>
      <c r="L90" s="330"/>
      <c r="M90" s="236"/>
      <c r="N90" s="236"/>
      <c r="O90" s="236"/>
      <c r="P90" s="236"/>
      <c r="Q90" s="236"/>
      <c r="R90" s="236"/>
      <c r="S90" s="236"/>
      <c r="T90" s="236"/>
      <c r="U90" s="236"/>
      <c r="V90" s="236"/>
      <c r="W90" s="236"/>
    </row>
    <row r="91">
      <c r="A91" s="236"/>
      <c r="B91" s="236"/>
      <c r="C91" s="236"/>
      <c r="D91" s="236"/>
      <c r="E91" s="236"/>
      <c r="F91" s="236"/>
      <c r="G91" s="236"/>
      <c r="H91" s="236"/>
      <c r="I91" s="236"/>
      <c r="J91" s="236"/>
      <c r="K91" s="330"/>
      <c r="L91" s="330"/>
      <c r="M91" s="236"/>
      <c r="N91" s="236"/>
      <c r="O91" s="236"/>
      <c r="P91" s="236"/>
      <c r="Q91" s="236"/>
      <c r="R91" s="236"/>
      <c r="S91" s="236"/>
      <c r="T91" s="236"/>
      <c r="U91" s="236"/>
      <c r="V91" s="236"/>
      <c r="W91" s="236"/>
    </row>
    <row r="92">
      <c r="A92" s="236"/>
      <c r="B92" s="236"/>
      <c r="C92" s="236"/>
      <c r="D92" s="236"/>
      <c r="E92" s="236"/>
      <c r="F92" s="236"/>
      <c r="G92" s="236"/>
      <c r="H92" s="236"/>
      <c r="I92" s="236"/>
      <c r="J92" s="236"/>
      <c r="K92" s="330"/>
      <c r="L92" s="330"/>
      <c r="M92" s="236"/>
      <c r="N92" s="236"/>
      <c r="O92" s="236"/>
      <c r="P92" s="236"/>
      <c r="Q92" s="236"/>
      <c r="R92" s="236"/>
      <c r="S92" s="236"/>
      <c r="T92" s="236"/>
      <c r="U92" s="236"/>
      <c r="V92" s="236"/>
      <c r="W92" s="236"/>
    </row>
    <row r="93">
      <c r="A93" s="236"/>
      <c r="B93" s="236"/>
      <c r="C93" s="236"/>
      <c r="D93" s="236"/>
      <c r="E93" s="236"/>
      <c r="F93" s="236"/>
      <c r="G93" s="236"/>
      <c r="H93" s="236"/>
      <c r="I93" s="236"/>
      <c r="J93" s="236"/>
      <c r="K93" s="330"/>
      <c r="L93" s="330"/>
      <c r="M93" s="236"/>
      <c r="N93" s="236"/>
      <c r="O93" s="236"/>
      <c r="P93" s="236"/>
      <c r="Q93" s="236"/>
      <c r="R93" s="236"/>
      <c r="S93" s="236"/>
      <c r="T93" s="236"/>
      <c r="U93" s="236"/>
      <c r="V93" s="236"/>
      <c r="W93" s="236"/>
    </row>
    <row r="94">
      <c r="A94" s="236"/>
      <c r="B94" s="236"/>
      <c r="C94" s="236"/>
      <c r="D94" s="236"/>
      <c r="E94" s="236"/>
      <c r="F94" s="236"/>
      <c r="G94" s="236"/>
      <c r="H94" s="236"/>
      <c r="I94" s="236"/>
      <c r="J94" s="236"/>
      <c r="K94" s="330"/>
      <c r="L94" s="330"/>
      <c r="M94" s="236"/>
      <c r="N94" s="236"/>
      <c r="O94" s="236"/>
      <c r="P94" s="236"/>
      <c r="Q94" s="236"/>
      <c r="R94" s="236"/>
      <c r="S94" s="236"/>
      <c r="T94" s="236"/>
      <c r="U94" s="236"/>
      <c r="V94" s="236"/>
      <c r="W94" s="236"/>
    </row>
    <row r="95">
      <c r="A95" s="236"/>
      <c r="B95" s="236"/>
      <c r="C95" s="236"/>
      <c r="D95" s="236"/>
      <c r="E95" s="236"/>
      <c r="F95" s="236"/>
      <c r="G95" s="236"/>
      <c r="H95" s="236"/>
      <c r="I95" s="236"/>
      <c r="J95" s="236"/>
      <c r="K95" s="330"/>
      <c r="L95" s="330"/>
      <c r="M95" s="236"/>
      <c r="N95" s="236"/>
      <c r="O95" s="236"/>
      <c r="P95" s="236"/>
      <c r="Q95" s="236"/>
      <c r="R95" s="236"/>
      <c r="S95" s="236"/>
      <c r="T95" s="236"/>
      <c r="U95" s="236"/>
      <c r="V95" s="236"/>
      <c r="W95" s="236"/>
    </row>
    <row r="96">
      <c r="A96" s="236"/>
      <c r="B96" s="236"/>
      <c r="C96" s="236"/>
      <c r="D96" s="236"/>
      <c r="E96" s="236"/>
      <c r="F96" s="236"/>
      <c r="G96" s="236"/>
      <c r="H96" s="236"/>
      <c r="I96" s="236"/>
      <c r="J96" s="236"/>
      <c r="K96" s="330"/>
      <c r="L96" s="330"/>
      <c r="M96" s="236"/>
      <c r="N96" s="236"/>
      <c r="O96" s="236"/>
      <c r="P96" s="236"/>
      <c r="Q96" s="236"/>
      <c r="R96" s="236"/>
      <c r="S96" s="236"/>
      <c r="T96" s="236"/>
      <c r="U96" s="236"/>
      <c r="V96" s="236"/>
      <c r="W96" s="236"/>
    </row>
    <row r="97">
      <c r="A97" s="236"/>
      <c r="B97" s="236"/>
      <c r="C97" s="236"/>
      <c r="D97" s="236"/>
      <c r="E97" s="236"/>
      <c r="F97" s="236"/>
      <c r="G97" s="236"/>
      <c r="H97" s="236"/>
      <c r="I97" s="236"/>
      <c r="J97" s="236"/>
      <c r="K97" s="330"/>
      <c r="L97" s="330"/>
      <c r="M97" s="236"/>
      <c r="N97" s="236"/>
      <c r="O97" s="236"/>
      <c r="P97" s="236"/>
      <c r="Q97" s="236"/>
      <c r="R97" s="236"/>
      <c r="S97" s="236"/>
      <c r="T97" s="236"/>
      <c r="U97" s="236"/>
      <c r="V97" s="236"/>
      <c r="W97" s="236"/>
    </row>
    <row r="98">
      <c r="A98" s="236"/>
      <c r="B98" s="236"/>
      <c r="C98" s="236"/>
      <c r="D98" s="236"/>
      <c r="E98" s="236"/>
      <c r="F98" s="236"/>
      <c r="G98" s="236"/>
      <c r="H98" s="236"/>
      <c r="I98" s="236"/>
      <c r="J98" s="236"/>
      <c r="K98" s="330"/>
      <c r="L98" s="330"/>
      <c r="M98" s="236"/>
      <c r="N98" s="236"/>
      <c r="O98" s="236"/>
      <c r="P98" s="236"/>
      <c r="Q98" s="236"/>
      <c r="R98" s="236"/>
      <c r="S98" s="236"/>
      <c r="T98" s="236"/>
      <c r="U98" s="236"/>
      <c r="V98" s="236"/>
      <c r="W98" s="236"/>
    </row>
    <row r="99">
      <c r="A99" s="236"/>
      <c r="B99" s="236"/>
      <c r="C99" s="236"/>
      <c r="D99" s="236"/>
      <c r="E99" s="236"/>
      <c r="F99" s="236"/>
      <c r="G99" s="236"/>
      <c r="H99" s="236"/>
      <c r="I99" s="236"/>
      <c r="J99" s="236"/>
      <c r="K99" s="330"/>
      <c r="L99" s="330"/>
      <c r="M99" s="236"/>
      <c r="N99" s="236"/>
      <c r="O99" s="236"/>
      <c r="P99" s="236"/>
      <c r="Q99" s="236"/>
      <c r="R99" s="236"/>
      <c r="S99" s="236"/>
      <c r="T99" s="236"/>
      <c r="U99" s="236"/>
      <c r="V99" s="236"/>
      <c r="W99" s="236"/>
    </row>
    <row r="100">
      <c r="A100" s="236"/>
      <c r="B100" s="236"/>
      <c r="C100" s="236"/>
      <c r="D100" s="236"/>
      <c r="E100" s="236"/>
      <c r="F100" s="236"/>
      <c r="G100" s="236"/>
      <c r="H100" s="236"/>
      <c r="I100" s="236"/>
      <c r="J100" s="236"/>
      <c r="K100" s="330"/>
      <c r="L100" s="330"/>
      <c r="M100" s="236"/>
      <c r="N100" s="236"/>
      <c r="O100" s="236"/>
      <c r="P100" s="236"/>
      <c r="Q100" s="236"/>
      <c r="R100" s="236"/>
      <c r="S100" s="236"/>
      <c r="T100" s="236"/>
      <c r="U100" s="236"/>
      <c r="V100" s="236"/>
      <c r="W100" s="236"/>
    </row>
    <row r="101">
      <c r="A101" s="236"/>
      <c r="B101" s="236"/>
      <c r="C101" s="236"/>
      <c r="D101" s="236"/>
      <c r="E101" s="236"/>
      <c r="F101" s="236"/>
      <c r="G101" s="236"/>
      <c r="H101" s="236"/>
      <c r="I101" s="236"/>
      <c r="J101" s="236"/>
      <c r="K101" s="330"/>
      <c r="L101" s="330"/>
      <c r="M101" s="236"/>
      <c r="N101" s="236"/>
      <c r="O101" s="236"/>
      <c r="P101" s="236"/>
      <c r="Q101" s="236"/>
      <c r="R101" s="236"/>
      <c r="S101" s="236"/>
      <c r="T101" s="236"/>
      <c r="U101" s="236"/>
      <c r="V101" s="236"/>
      <c r="W101" s="236"/>
    </row>
    <row r="102">
      <c r="A102" s="236"/>
      <c r="B102" s="236"/>
      <c r="C102" s="236"/>
      <c r="D102" s="236"/>
      <c r="E102" s="236"/>
      <c r="F102" s="236"/>
      <c r="G102" s="236"/>
      <c r="H102" s="236"/>
      <c r="I102" s="236"/>
      <c r="J102" s="236"/>
      <c r="K102" s="330"/>
      <c r="L102" s="330"/>
      <c r="M102" s="236"/>
      <c r="N102" s="236"/>
      <c r="O102" s="236"/>
      <c r="P102" s="236"/>
      <c r="Q102" s="236"/>
      <c r="R102" s="236"/>
      <c r="S102" s="236"/>
      <c r="T102" s="236"/>
      <c r="U102" s="236"/>
      <c r="V102" s="236"/>
      <c r="W102" s="236"/>
    </row>
    <row r="103">
      <c r="A103" s="236"/>
      <c r="B103" s="236"/>
      <c r="C103" s="236"/>
      <c r="D103" s="236"/>
      <c r="E103" s="236"/>
      <c r="F103" s="236"/>
      <c r="G103" s="236"/>
      <c r="H103" s="236"/>
      <c r="I103" s="236"/>
      <c r="J103" s="236"/>
      <c r="K103" s="330"/>
      <c r="L103" s="330"/>
      <c r="M103" s="236"/>
      <c r="N103" s="236"/>
      <c r="O103" s="236"/>
      <c r="P103" s="236"/>
      <c r="Q103" s="236"/>
      <c r="R103" s="236"/>
      <c r="S103" s="236"/>
      <c r="T103" s="236"/>
      <c r="U103" s="236"/>
      <c r="V103" s="236"/>
      <c r="W103" s="236"/>
    </row>
    <row r="104">
      <c r="A104" s="236"/>
      <c r="B104" s="236"/>
      <c r="C104" s="236"/>
      <c r="D104" s="236"/>
      <c r="E104" s="236"/>
      <c r="F104" s="236"/>
      <c r="G104" s="236"/>
      <c r="H104" s="236"/>
      <c r="I104" s="236"/>
      <c r="J104" s="236"/>
      <c r="K104" s="330"/>
      <c r="L104" s="330"/>
      <c r="M104" s="236"/>
      <c r="N104" s="236"/>
      <c r="O104" s="236"/>
      <c r="P104" s="236"/>
      <c r="Q104" s="236"/>
      <c r="R104" s="236"/>
      <c r="S104" s="236"/>
      <c r="T104" s="236"/>
      <c r="U104" s="236"/>
      <c r="V104" s="236"/>
      <c r="W104" s="236"/>
    </row>
    <row r="105">
      <c r="A105" s="236"/>
      <c r="B105" s="236"/>
      <c r="C105" s="236"/>
      <c r="D105" s="236"/>
      <c r="E105" s="236"/>
      <c r="F105" s="236"/>
      <c r="G105" s="236"/>
      <c r="H105" s="236"/>
      <c r="I105" s="236"/>
      <c r="J105" s="236"/>
      <c r="K105" s="330"/>
      <c r="L105" s="330"/>
      <c r="M105" s="236"/>
      <c r="N105" s="236"/>
      <c r="O105" s="236"/>
      <c r="P105" s="236"/>
      <c r="Q105" s="236"/>
      <c r="R105" s="236"/>
      <c r="S105" s="236"/>
      <c r="T105" s="236"/>
      <c r="U105" s="236"/>
      <c r="V105" s="236"/>
      <c r="W105" s="236"/>
    </row>
    <row r="106">
      <c r="A106" s="236"/>
      <c r="B106" s="236"/>
      <c r="C106" s="236"/>
      <c r="D106" s="236"/>
      <c r="E106" s="236"/>
      <c r="F106" s="236"/>
      <c r="G106" s="236"/>
      <c r="H106" s="236"/>
      <c r="I106" s="236"/>
      <c r="J106" s="236"/>
      <c r="K106" s="330"/>
      <c r="L106" s="330"/>
      <c r="M106" s="236"/>
      <c r="N106" s="236"/>
      <c r="O106" s="236"/>
      <c r="P106" s="236"/>
      <c r="Q106" s="236"/>
      <c r="R106" s="236"/>
      <c r="S106" s="236"/>
      <c r="T106" s="236"/>
      <c r="U106" s="236"/>
      <c r="V106" s="236"/>
      <c r="W106" s="236"/>
    </row>
    <row r="107">
      <c r="A107" s="236"/>
      <c r="B107" s="236"/>
      <c r="C107" s="236"/>
      <c r="D107" s="236"/>
      <c r="E107" s="236"/>
      <c r="F107" s="236"/>
      <c r="G107" s="236"/>
      <c r="H107" s="236"/>
      <c r="I107" s="236"/>
      <c r="J107" s="236"/>
      <c r="K107" s="330"/>
      <c r="L107" s="330"/>
      <c r="M107" s="236"/>
      <c r="N107" s="236"/>
      <c r="O107" s="236"/>
      <c r="P107" s="236"/>
      <c r="Q107" s="236"/>
      <c r="R107" s="236"/>
      <c r="S107" s="236"/>
      <c r="T107" s="236"/>
      <c r="U107" s="236"/>
      <c r="V107" s="236"/>
      <c r="W107" s="236"/>
    </row>
    <row r="108">
      <c r="A108" s="236"/>
      <c r="B108" s="236"/>
      <c r="C108" s="236"/>
      <c r="D108" s="236"/>
      <c r="E108" s="236"/>
      <c r="F108" s="236"/>
      <c r="G108" s="236"/>
      <c r="H108" s="236"/>
      <c r="I108" s="236"/>
      <c r="J108" s="236"/>
      <c r="K108" s="330"/>
      <c r="L108" s="330"/>
      <c r="M108" s="236"/>
      <c r="N108" s="236"/>
      <c r="O108" s="236"/>
      <c r="P108" s="236"/>
      <c r="Q108" s="236"/>
      <c r="R108" s="236"/>
      <c r="S108" s="236"/>
      <c r="T108" s="236"/>
      <c r="U108" s="236"/>
      <c r="V108" s="236"/>
      <c r="W108" s="236"/>
    </row>
    <row r="109">
      <c r="A109" s="236"/>
      <c r="B109" s="236"/>
      <c r="C109" s="236"/>
      <c r="D109" s="236"/>
      <c r="E109" s="236"/>
      <c r="F109" s="236"/>
      <c r="G109" s="236"/>
      <c r="H109" s="236"/>
      <c r="I109" s="236"/>
      <c r="J109" s="236"/>
      <c r="K109" s="330"/>
      <c r="L109" s="330"/>
      <c r="M109" s="236"/>
      <c r="N109" s="236"/>
      <c r="O109" s="236"/>
      <c r="P109" s="236"/>
      <c r="Q109" s="236"/>
      <c r="R109" s="236"/>
      <c r="S109" s="236"/>
      <c r="T109" s="236"/>
      <c r="U109" s="236"/>
      <c r="V109" s="236"/>
      <c r="W109" s="236"/>
    </row>
    <row r="110">
      <c r="A110" s="236"/>
      <c r="B110" s="236"/>
      <c r="C110" s="236"/>
      <c r="D110" s="236"/>
      <c r="E110" s="236"/>
      <c r="F110" s="236"/>
      <c r="G110" s="236"/>
      <c r="H110" s="236"/>
      <c r="I110" s="236"/>
      <c r="J110" s="236"/>
      <c r="K110" s="330"/>
      <c r="L110" s="330"/>
      <c r="M110" s="236"/>
      <c r="N110" s="236"/>
      <c r="O110" s="236"/>
      <c r="P110" s="236"/>
      <c r="Q110" s="236"/>
      <c r="R110" s="236"/>
      <c r="S110" s="236"/>
      <c r="T110" s="236"/>
      <c r="U110" s="236"/>
      <c r="V110" s="236"/>
      <c r="W110" s="236"/>
    </row>
    <row r="111">
      <c r="A111" s="236"/>
      <c r="B111" s="236"/>
      <c r="C111" s="236"/>
      <c r="D111" s="236"/>
      <c r="E111" s="236"/>
      <c r="F111" s="236"/>
      <c r="G111" s="236"/>
      <c r="H111" s="236"/>
      <c r="I111" s="236"/>
      <c r="J111" s="236"/>
      <c r="K111" s="330"/>
      <c r="L111" s="330"/>
      <c r="M111" s="236"/>
      <c r="N111" s="236"/>
      <c r="O111" s="236"/>
      <c r="P111" s="236"/>
      <c r="Q111" s="236"/>
      <c r="R111" s="236"/>
      <c r="S111" s="236"/>
      <c r="T111" s="236"/>
      <c r="U111" s="236"/>
      <c r="V111" s="236"/>
      <c r="W111" s="236"/>
    </row>
    <row r="112">
      <c r="A112" s="236"/>
      <c r="B112" s="236"/>
      <c r="C112" s="236"/>
      <c r="D112" s="236"/>
      <c r="E112" s="236"/>
      <c r="F112" s="236"/>
      <c r="G112" s="236"/>
      <c r="H112" s="236"/>
      <c r="I112" s="236"/>
      <c r="J112" s="236"/>
      <c r="K112" s="330"/>
      <c r="L112" s="330"/>
      <c r="M112" s="236"/>
      <c r="N112" s="236"/>
      <c r="O112" s="236"/>
      <c r="P112" s="236"/>
      <c r="Q112" s="236"/>
      <c r="R112" s="236"/>
      <c r="S112" s="236"/>
      <c r="T112" s="236"/>
      <c r="U112" s="236"/>
      <c r="V112" s="236"/>
      <c r="W112" s="236"/>
    </row>
    <row r="113">
      <c r="A113" s="236"/>
      <c r="B113" s="236"/>
      <c r="C113" s="236"/>
      <c r="D113" s="236"/>
      <c r="E113" s="236"/>
      <c r="F113" s="236"/>
      <c r="G113" s="236"/>
      <c r="H113" s="236"/>
      <c r="I113" s="236"/>
      <c r="J113" s="236"/>
      <c r="K113" s="330"/>
      <c r="L113" s="330"/>
      <c r="M113" s="236"/>
      <c r="N113" s="236"/>
      <c r="O113" s="236"/>
      <c r="P113" s="236"/>
      <c r="Q113" s="236"/>
      <c r="R113" s="236"/>
      <c r="S113" s="236"/>
      <c r="T113" s="236"/>
      <c r="U113" s="236"/>
      <c r="V113" s="236"/>
      <c r="W113" s="236"/>
    </row>
    <row r="114">
      <c r="A114" s="236"/>
      <c r="B114" s="236"/>
      <c r="C114" s="236"/>
      <c r="D114" s="236"/>
      <c r="E114" s="236"/>
      <c r="F114" s="236"/>
      <c r="G114" s="236"/>
      <c r="H114" s="236"/>
      <c r="I114" s="236"/>
      <c r="J114" s="236"/>
      <c r="K114" s="330"/>
      <c r="L114" s="330"/>
      <c r="M114" s="236"/>
      <c r="N114" s="236"/>
      <c r="O114" s="236"/>
      <c r="P114" s="236"/>
      <c r="Q114" s="236"/>
      <c r="R114" s="236"/>
      <c r="S114" s="236"/>
      <c r="T114" s="236"/>
      <c r="U114" s="236"/>
      <c r="V114" s="236"/>
      <c r="W114" s="236"/>
    </row>
    <row r="115">
      <c r="A115" s="236"/>
      <c r="B115" s="236"/>
      <c r="C115" s="236"/>
      <c r="D115" s="236"/>
      <c r="E115" s="236"/>
      <c r="F115" s="236"/>
      <c r="G115" s="236"/>
      <c r="H115" s="236"/>
      <c r="I115" s="236"/>
      <c r="J115" s="236"/>
      <c r="K115" s="330"/>
      <c r="L115" s="330"/>
      <c r="M115" s="236"/>
      <c r="N115" s="236"/>
      <c r="O115" s="236"/>
      <c r="P115" s="236"/>
      <c r="Q115" s="236"/>
      <c r="R115" s="236"/>
      <c r="S115" s="236"/>
      <c r="T115" s="236"/>
      <c r="U115" s="236"/>
      <c r="V115" s="236"/>
      <c r="W115" s="236"/>
    </row>
    <row r="116">
      <c r="A116" s="236"/>
      <c r="B116" s="236"/>
      <c r="C116" s="236"/>
      <c r="D116" s="236"/>
      <c r="E116" s="236"/>
      <c r="F116" s="236"/>
      <c r="G116" s="236"/>
      <c r="H116" s="236"/>
      <c r="I116" s="236"/>
      <c r="J116" s="236"/>
      <c r="K116" s="330"/>
      <c r="L116" s="330"/>
      <c r="M116" s="236"/>
      <c r="N116" s="236"/>
      <c r="O116" s="236"/>
      <c r="P116" s="236"/>
      <c r="Q116" s="236"/>
      <c r="R116" s="236"/>
      <c r="S116" s="236"/>
      <c r="T116" s="236"/>
      <c r="U116" s="236"/>
      <c r="V116" s="236"/>
      <c r="W116" s="236"/>
    </row>
    <row r="117">
      <c r="A117" s="236"/>
      <c r="B117" s="236"/>
      <c r="C117" s="236"/>
      <c r="D117" s="236"/>
      <c r="E117" s="236"/>
      <c r="F117" s="236"/>
      <c r="G117" s="236"/>
      <c r="H117" s="236"/>
      <c r="I117" s="236"/>
      <c r="J117" s="236"/>
      <c r="K117" s="330"/>
      <c r="L117" s="330"/>
      <c r="M117" s="236"/>
      <c r="N117" s="236"/>
      <c r="O117" s="236"/>
      <c r="P117" s="236"/>
      <c r="Q117" s="236"/>
      <c r="R117" s="236"/>
      <c r="S117" s="236"/>
      <c r="T117" s="236"/>
      <c r="U117" s="236"/>
      <c r="V117" s="236"/>
      <c r="W117" s="236"/>
    </row>
    <row r="118">
      <c r="A118" s="236"/>
      <c r="B118" s="236"/>
      <c r="C118" s="236"/>
      <c r="D118" s="236"/>
      <c r="E118" s="236"/>
      <c r="F118" s="236"/>
      <c r="G118" s="236"/>
      <c r="H118" s="236"/>
      <c r="I118" s="236"/>
      <c r="J118" s="236"/>
      <c r="K118" s="330"/>
      <c r="L118" s="330"/>
      <c r="M118" s="236"/>
      <c r="N118" s="236"/>
      <c r="O118" s="236"/>
      <c r="P118" s="236"/>
      <c r="Q118" s="236"/>
      <c r="R118" s="236"/>
      <c r="S118" s="236"/>
      <c r="T118" s="236"/>
      <c r="U118" s="236"/>
      <c r="V118" s="236"/>
      <c r="W118" s="236"/>
    </row>
    <row r="119">
      <c r="A119" s="236"/>
      <c r="B119" s="236"/>
      <c r="C119" s="236"/>
      <c r="D119" s="236"/>
      <c r="E119" s="236"/>
      <c r="F119" s="236"/>
      <c r="G119" s="236"/>
      <c r="H119" s="236"/>
      <c r="I119" s="236"/>
      <c r="J119" s="236"/>
      <c r="K119" s="330"/>
      <c r="L119" s="330"/>
      <c r="M119" s="236"/>
      <c r="N119" s="236"/>
      <c r="O119" s="236"/>
      <c r="P119" s="236"/>
      <c r="Q119" s="236"/>
      <c r="R119" s="236"/>
      <c r="S119" s="236"/>
      <c r="T119" s="236"/>
      <c r="U119" s="236"/>
      <c r="V119" s="236"/>
      <c r="W119" s="236"/>
    </row>
    <row r="120">
      <c r="A120" s="236"/>
      <c r="B120" s="236"/>
      <c r="C120" s="236"/>
      <c r="D120" s="236"/>
      <c r="E120" s="236"/>
      <c r="F120" s="236"/>
      <c r="G120" s="236"/>
      <c r="H120" s="236"/>
      <c r="I120" s="236"/>
      <c r="J120" s="236"/>
      <c r="K120" s="330"/>
      <c r="L120" s="330"/>
      <c r="M120" s="236"/>
      <c r="N120" s="236"/>
      <c r="O120" s="236"/>
      <c r="P120" s="236"/>
      <c r="Q120" s="236"/>
      <c r="R120" s="236"/>
      <c r="S120" s="236"/>
      <c r="T120" s="236"/>
      <c r="U120" s="236"/>
      <c r="V120" s="236"/>
      <c r="W120" s="236"/>
    </row>
    <row r="121">
      <c r="A121" s="236"/>
      <c r="B121" s="236"/>
      <c r="C121" s="236"/>
      <c r="D121" s="236"/>
      <c r="E121" s="236"/>
      <c r="F121" s="236"/>
      <c r="G121" s="236"/>
      <c r="H121" s="236"/>
      <c r="I121" s="236"/>
      <c r="J121" s="236"/>
      <c r="K121" s="330"/>
      <c r="L121" s="330"/>
      <c r="M121" s="236"/>
      <c r="N121" s="236"/>
      <c r="O121" s="236"/>
      <c r="P121" s="236"/>
      <c r="Q121" s="236"/>
      <c r="R121" s="236"/>
      <c r="S121" s="236"/>
      <c r="T121" s="236"/>
      <c r="U121" s="236"/>
      <c r="V121" s="236"/>
      <c r="W121" s="236"/>
    </row>
    <row r="122">
      <c r="A122" s="236"/>
      <c r="B122" s="236"/>
      <c r="C122" s="236"/>
      <c r="D122" s="236"/>
      <c r="E122" s="236"/>
      <c r="F122" s="236"/>
      <c r="G122" s="236"/>
      <c r="H122" s="236"/>
      <c r="I122" s="236"/>
      <c r="J122" s="236"/>
      <c r="K122" s="330"/>
      <c r="L122" s="330"/>
      <c r="M122" s="236"/>
      <c r="N122" s="236"/>
      <c r="O122" s="236"/>
      <c r="P122" s="236"/>
      <c r="Q122" s="236"/>
      <c r="R122" s="236"/>
      <c r="S122" s="236"/>
      <c r="T122" s="236"/>
      <c r="U122" s="236"/>
      <c r="V122" s="236"/>
      <c r="W122" s="236"/>
    </row>
    <row r="123">
      <c r="A123" s="236"/>
      <c r="B123" s="236"/>
      <c r="C123" s="236"/>
      <c r="D123" s="236"/>
      <c r="E123" s="236"/>
      <c r="F123" s="236"/>
      <c r="G123" s="236"/>
      <c r="H123" s="236"/>
      <c r="I123" s="236"/>
      <c r="J123" s="236"/>
      <c r="K123" s="330"/>
      <c r="L123" s="330"/>
      <c r="M123" s="236"/>
      <c r="N123" s="236"/>
      <c r="O123" s="236"/>
      <c r="P123" s="236"/>
      <c r="Q123" s="236"/>
      <c r="R123" s="236"/>
      <c r="S123" s="236"/>
      <c r="T123" s="236"/>
      <c r="U123" s="236"/>
      <c r="V123" s="236"/>
      <c r="W123" s="236"/>
    </row>
    <row r="124">
      <c r="A124" s="236"/>
      <c r="B124" s="236"/>
      <c r="C124" s="236"/>
      <c r="D124" s="236"/>
      <c r="E124" s="236"/>
      <c r="F124" s="236"/>
      <c r="G124" s="236"/>
      <c r="H124" s="236"/>
      <c r="I124" s="236"/>
      <c r="J124" s="236"/>
      <c r="K124" s="330"/>
      <c r="L124" s="330"/>
      <c r="M124" s="236"/>
      <c r="N124" s="236"/>
      <c r="O124" s="236"/>
      <c r="P124" s="236"/>
      <c r="Q124" s="236"/>
      <c r="R124" s="236"/>
      <c r="S124" s="236"/>
      <c r="T124" s="236"/>
      <c r="U124" s="236"/>
      <c r="V124" s="236"/>
      <c r="W124" s="236"/>
    </row>
    <row r="125">
      <c r="A125" s="236"/>
      <c r="B125" s="236"/>
      <c r="C125" s="236"/>
      <c r="D125" s="236"/>
      <c r="E125" s="236"/>
      <c r="F125" s="236"/>
      <c r="G125" s="236"/>
      <c r="H125" s="236"/>
      <c r="I125" s="236"/>
      <c r="J125" s="236"/>
      <c r="K125" s="330"/>
      <c r="L125" s="330"/>
      <c r="M125" s="236"/>
      <c r="N125" s="236"/>
      <c r="O125" s="236"/>
      <c r="P125" s="236"/>
      <c r="Q125" s="236"/>
      <c r="R125" s="236"/>
      <c r="S125" s="236"/>
      <c r="T125" s="236"/>
      <c r="U125" s="236"/>
      <c r="V125" s="236"/>
      <c r="W125" s="236"/>
    </row>
    <row r="126">
      <c r="A126" s="236"/>
      <c r="B126" s="236"/>
      <c r="C126" s="236"/>
      <c r="D126" s="236"/>
      <c r="E126" s="236"/>
      <c r="F126" s="236"/>
      <c r="G126" s="236"/>
      <c r="H126" s="236"/>
      <c r="I126" s="236"/>
      <c r="J126" s="236"/>
      <c r="K126" s="330"/>
      <c r="L126" s="330"/>
      <c r="M126" s="236"/>
      <c r="N126" s="236"/>
      <c r="O126" s="236"/>
      <c r="P126" s="236"/>
      <c r="Q126" s="236"/>
      <c r="R126" s="236"/>
      <c r="S126" s="236"/>
      <c r="T126" s="236"/>
      <c r="U126" s="236"/>
      <c r="V126" s="236"/>
      <c r="W126" s="236"/>
    </row>
    <row r="127">
      <c r="A127" s="236"/>
      <c r="B127" s="236"/>
      <c r="C127" s="236"/>
      <c r="D127" s="236"/>
      <c r="E127" s="236"/>
      <c r="F127" s="236"/>
      <c r="G127" s="236"/>
      <c r="H127" s="236"/>
      <c r="I127" s="236"/>
      <c r="J127" s="236"/>
      <c r="K127" s="330"/>
      <c r="L127" s="330"/>
      <c r="M127" s="236"/>
      <c r="N127" s="236"/>
      <c r="O127" s="236"/>
      <c r="P127" s="236"/>
      <c r="Q127" s="236"/>
      <c r="R127" s="236"/>
      <c r="S127" s="236"/>
      <c r="T127" s="236"/>
      <c r="U127" s="236"/>
      <c r="V127" s="236"/>
      <c r="W127" s="236"/>
    </row>
    <row r="128">
      <c r="A128" s="236"/>
      <c r="B128" s="236"/>
      <c r="C128" s="236"/>
      <c r="D128" s="236"/>
      <c r="E128" s="236"/>
      <c r="F128" s="236"/>
      <c r="G128" s="236"/>
      <c r="H128" s="236"/>
      <c r="I128" s="236"/>
      <c r="J128" s="236"/>
      <c r="K128" s="330"/>
      <c r="L128" s="330"/>
      <c r="M128" s="236"/>
      <c r="N128" s="236"/>
      <c r="O128" s="236"/>
      <c r="P128" s="236"/>
      <c r="Q128" s="236"/>
      <c r="R128" s="236"/>
      <c r="S128" s="236"/>
      <c r="T128" s="236"/>
      <c r="U128" s="236"/>
      <c r="V128" s="236"/>
      <c r="W128" s="236"/>
    </row>
    <row r="129">
      <c r="A129" s="236"/>
      <c r="B129" s="236"/>
      <c r="C129" s="236"/>
      <c r="D129" s="236"/>
      <c r="E129" s="236"/>
      <c r="F129" s="236"/>
      <c r="G129" s="236"/>
      <c r="H129" s="236"/>
      <c r="I129" s="236"/>
      <c r="J129" s="236"/>
      <c r="K129" s="330"/>
      <c r="L129" s="330"/>
      <c r="M129" s="236"/>
      <c r="N129" s="236"/>
      <c r="O129" s="236"/>
      <c r="P129" s="236"/>
      <c r="Q129" s="236"/>
      <c r="R129" s="236"/>
      <c r="S129" s="236"/>
      <c r="T129" s="236"/>
      <c r="U129" s="236"/>
      <c r="V129" s="236"/>
      <c r="W129" s="236"/>
    </row>
    <row r="130">
      <c r="A130" s="236"/>
      <c r="B130" s="236"/>
      <c r="C130" s="236"/>
      <c r="D130" s="236"/>
      <c r="E130" s="236"/>
      <c r="F130" s="236"/>
      <c r="G130" s="236"/>
      <c r="H130" s="236"/>
      <c r="I130" s="236"/>
      <c r="J130" s="236"/>
      <c r="K130" s="330"/>
      <c r="L130" s="330"/>
      <c r="M130" s="236"/>
      <c r="N130" s="236"/>
      <c r="O130" s="236"/>
      <c r="P130" s="236"/>
      <c r="Q130" s="236"/>
      <c r="R130" s="236"/>
      <c r="S130" s="236"/>
      <c r="T130" s="236"/>
      <c r="U130" s="236"/>
      <c r="V130" s="236"/>
      <c r="W130" s="236"/>
    </row>
    <row r="131">
      <c r="A131" s="236"/>
      <c r="B131" s="236"/>
      <c r="C131" s="236"/>
      <c r="D131" s="236"/>
      <c r="E131" s="236"/>
      <c r="F131" s="236"/>
      <c r="G131" s="236"/>
      <c r="H131" s="236"/>
      <c r="I131" s="236"/>
      <c r="J131" s="236"/>
      <c r="K131" s="330"/>
      <c r="L131" s="330"/>
      <c r="M131" s="236"/>
      <c r="N131" s="236"/>
      <c r="O131" s="236"/>
      <c r="P131" s="236"/>
      <c r="Q131" s="236"/>
      <c r="R131" s="236"/>
      <c r="S131" s="236"/>
      <c r="T131" s="236"/>
      <c r="U131" s="236"/>
      <c r="V131" s="236"/>
      <c r="W131" s="236"/>
    </row>
    <row r="132">
      <c r="A132" s="236"/>
      <c r="B132" s="236"/>
      <c r="C132" s="236"/>
      <c r="D132" s="236"/>
      <c r="E132" s="236"/>
      <c r="F132" s="236"/>
      <c r="G132" s="236"/>
      <c r="H132" s="236"/>
      <c r="I132" s="236"/>
      <c r="J132" s="236"/>
      <c r="K132" s="330"/>
      <c r="L132" s="330"/>
      <c r="M132" s="236"/>
      <c r="N132" s="236"/>
      <c r="O132" s="236"/>
      <c r="P132" s="236"/>
      <c r="Q132" s="236"/>
      <c r="R132" s="236"/>
      <c r="S132" s="236"/>
      <c r="T132" s="236"/>
      <c r="U132" s="236"/>
      <c r="V132" s="236"/>
      <c r="W132" s="236"/>
    </row>
    <row r="133">
      <c r="A133" s="236"/>
      <c r="B133" s="236"/>
      <c r="C133" s="236"/>
      <c r="D133" s="236"/>
      <c r="E133" s="236"/>
      <c r="F133" s="236"/>
      <c r="G133" s="236"/>
      <c r="H133" s="236"/>
      <c r="I133" s="236"/>
      <c r="J133" s="236"/>
      <c r="K133" s="330"/>
      <c r="L133" s="330"/>
      <c r="M133" s="236"/>
      <c r="N133" s="236"/>
      <c r="O133" s="236"/>
      <c r="P133" s="236"/>
      <c r="Q133" s="236"/>
      <c r="R133" s="236"/>
      <c r="S133" s="236"/>
      <c r="T133" s="236"/>
      <c r="U133" s="236"/>
      <c r="V133" s="236"/>
      <c r="W133" s="236"/>
    </row>
    <row r="134">
      <c r="A134" s="236"/>
      <c r="B134" s="236"/>
      <c r="C134" s="236"/>
      <c r="D134" s="236"/>
      <c r="E134" s="236"/>
      <c r="F134" s="236"/>
      <c r="G134" s="236"/>
      <c r="H134" s="236"/>
      <c r="I134" s="236"/>
      <c r="J134" s="236"/>
      <c r="K134" s="330"/>
      <c r="L134" s="330"/>
      <c r="M134" s="236"/>
      <c r="N134" s="236"/>
      <c r="O134" s="236"/>
      <c r="P134" s="236"/>
      <c r="Q134" s="236"/>
      <c r="R134" s="236"/>
      <c r="S134" s="236"/>
      <c r="T134" s="236"/>
      <c r="U134" s="236"/>
      <c r="V134" s="236"/>
      <c r="W134" s="236"/>
    </row>
    <row r="135">
      <c r="A135" s="236"/>
      <c r="B135" s="236"/>
      <c r="C135" s="236"/>
      <c r="D135" s="236"/>
      <c r="E135" s="236"/>
      <c r="F135" s="236"/>
      <c r="G135" s="236"/>
      <c r="H135" s="236"/>
      <c r="I135" s="236"/>
      <c r="J135" s="236"/>
      <c r="K135" s="330"/>
      <c r="L135" s="330"/>
      <c r="M135" s="236"/>
      <c r="N135" s="236"/>
      <c r="O135" s="236"/>
      <c r="P135" s="236"/>
      <c r="Q135" s="236"/>
      <c r="R135" s="236"/>
      <c r="S135" s="236"/>
      <c r="T135" s="236"/>
      <c r="U135" s="236"/>
      <c r="V135" s="236"/>
      <c r="W135" s="236"/>
    </row>
    <row r="136">
      <c r="A136" s="236"/>
      <c r="B136" s="236"/>
      <c r="C136" s="236"/>
      <c r="D136" s="236"/>
      <c r="E136" s="236"/>
      <c r="F136" s="236"/>
      <c r="G136" s="236"/>
      <c r="H136" s="236"/>
      <c r="I136" s="236"/>
      <c r="J136" s="236"/>
      <c r="K136" s="330"/>
      <c r="L136" s="330"/>
      <c r="M136" s="236"/>
      <c r="N136" s="236"/>
      <c r="O136" s="236"/>
      <c r="P136" s="236"/>
      <c r="Q136" s="236"/>
      <c r="R136" s="236"/>
      <c r="S136" s="236"/>
      <c r="T136" s="236"/>
      <c r="U136" s="236"/>
      <c r="V136" s="236"/>
      <c r="W136" s="236"/>
    </row>
    <row r="137">
      <c r="A137" s="236"/>
      <c r="B137" s="236"/>
      <c r="C137" s="236"/>
      <c r="D137" s="236"/>
      <c r="E137" s="236"/>
      <c r="F137" s="236"/>
      <c r="G137" s="236"/>
      <c r="H137" s="236"/>
      <c r="I137" s="236"/>
      <c r="J137" s="236"/>
      <c r="K137" s="330"/>
      <c r="L137" s="330"/>
      <c r="M137" s="236"/>
      <c r="N137" s="236"/>
      <c r="O137" s="236"/>
      <c r="P137" s="236"/>
      <c r="Q137" s="236"/>
      <c r="R137" s="236"/>
      <c r="S137" s="236"/>
      <c r="T137" s="236"/>
      <c r="U137" s="236"/>
      <c r="V137" s="236"/>
      <c r="W137" s="236"/>
    </row>
    <row r="138">
      <c r="A138" s="236"/>
      <c r="B138" s="236"/>
      <c r="C138" s="236"/>
      <c r="D138" s="236"/>
      <c r="E138" s="236"/>
      <c r="F138" s="236"/>
      <c r="G138" s="236"/>
      <c r="H138" s="236"/>
      <c r="I138" s="236"/>
      <c r="J138" s="236"/>
      <c r="K138" s="330"/>
      <c r="L138" s="330"/>
      <c r="M138" s="236"/>
      <c r="N138" s="236"/>
      <c r="O138" s="236"/>
      <c r="P138" s="236"/>
      <c r="Q138" s="236"/>
      <c r="R138" s="236"/>
      <c r="S138" s="236"/>
      <c r="T138" s="236"/>
      <c r="U138" s="236"/>
      <c r="V138" s="236"/>
      <c r="W138" s="236"/>
    </row>
    <row r="139">
      <c r="A139" s="236"/>
      <c r="B139" s="236"/>
      <c r="C139" s="236"/>
      <c r="D139" s="236"/>
      <c r="E139" s="236"/>
      <c r="F139" s="236"/>
      <c r="G139" s="236"/>
      <c r="H139" s="236"/>
      <c r="I139" s="236"/>
      <c r="J139" s="236"/>
      <c r="K139" s="330"/>
      <c r="L139" s="330"/>
      <c r="M139" s="236"/>
      <c r="N139" s="236"/>
      <c r="O139" s="236"/>
      <c r="P139" s="236"/>
      <c r="Q139" s="236"/>
      <c r="R139" s="236"/>
      <c r="S139" s="236"/>
      <c r="T139" s="236"/>
      <c r="U139" s="236"/>
      <c r="V139" s="236"/>
      <c r="W139" s="236"/>
    </row>
    <row r="140">
      <c r="A140" s="236"/>
      <c r="B140" s="236"/>
      <c r="C140" s="236"/>
      <c r="D140" s="236"/>
      <c r="E140" s="236"/>
      <c r="F140" s="236"/>
      <c r="G140" s="236"/>
      <c r="H140" s="236"/>
      <c r="I140" s="236"/>
      <c r="J140" s="236"/>
      <c r="K140" s="330"/>
      <c r="L140" s="330"/>
      <c r="M140" s="236"/>
      <c r="N140" s="236"/>
      <c r="O140" s="236"/>
      <c r="P140" s="236"/>
      <c r="Q140" s="236"/>
      <c r="R140" s="236"/>
      <c r="S140" s="236"/>
      <c r="T140" s="236"/>
      <c r="U140" s="236"/>
      <c r="V140" s="236"/>
      <c r="W140" s="236"/>
    </row>
    <row r="141">
      <c r="A141" s="236"/>
      <c r="B141" s="236"/>
      <c r="C141" s="236"/>
      <c r="D141" s="236"/>
      <c r="E141" s="236"/>
      <c r="F141" s="236"/>
      <c r="G141" s="236"/>
      <c r="H141" s="236"/>
      <c r="I141" s="236"/>
      <c r="J141" s="236"/>
      <c r="K141" s="330"/>
      <c r="L141" s="330"/>
      <c r="M141" s="236"/>
      <c r="N141" s="236"/>
      <c r="O141" s="236"/>
      <c r="P141" s="236"/>
      <c r="Q141" s="236"/>
      <c r="R141" s="236"/>
      <c r="S141" s="236"/>
      <c r="T141" s="236"/>
      <c r="U141" s="236"/>
      <c r="V141" s="236"/>
      <c r="W141" s="236"/>
    </row>
    <row r="142">
      <c r="A142" s="236"/>
      <c r="B142" s="236"/>
      <c r="C142" s="236"/>
      <c r="D142" s="236"/>
      <c r="E142" s="236"/>
      <c r="F142" s="236"/>
      <c r="G142" s="236"/>
      <c r="H142" s="236"/>
      <c r="I142" s="236"/>
      <c r="J142" s="236"/>
      <c r="K142" s="330"/>
      <c r="L142" s="330"/>
      <c r="M142" s="236"/>
      <c r="N142" s="236"/>
      <c r="O142" s="236"/>
      <c r="P142" s="236"/>
      <c r="Q142" s="236"/>
      <c r="R142" s="236"/>
      <c r="S142" s="236"/>
      <c r="T142" s="236"/>
      <c r="U142" s="236"/>
      <c r="V142" s="236"/>
      <c r="W142" s="236"/>
    </row>
    <row r="143">
      <c r="A143" s="236"/>
      <c r="B143" s="236"/>
      <c r="C143" s="236"/>
      <c r="D143" s="236"/>
      <c r="E143" s="236"/>
      <c r="F143" s="236"/>
      <c r="G143" s="236"/>
      <c r="H143" s="236"/>
      <c r="I143" s="236"/>
      <c r="J143" s="236"/>
      <c r="K143" s="330"/>
      <c r="L143" s="330"/>
      <c r="M143" s="236"/>
      <c r="N143" s="236"/>
      <c r="O143" s="236"/>
      <c r="P143" s="236"/>
      <c r="Q143" s="236"/>
      <c r="R143" s="236"/>
      <c r="S143" s="236"/>
      <c r="T143" s="236"/>
      <c r="U143" s="236"/>
      <c r="V143" s="236"/>
      <c r="W143" s="236"/>
    </row>
    <row r="144">
      <c r="A144" s="236"/>
      <c r="B144" s="236"/>
      <c r="C144" s="236"/>
      <c r="D144" s="236"/>
      <c r="E144" s="236"/>
      <c r="F144" s="236"/>
      <c r="G144" s="236"/>
      <c r="H144" s="236"/>
      <c r="I144" s="236"/>
      <c r="J144" s="236"/>
      <c r="K144" s="330"/>
      <c r="L144" s="330"/>
      <c r="M144" s="236"/>
      <c r="N144" s="236"/>
      <c r="O144" s="236"/>
      <c r="P144" s="236"/>
      <c r="Q144" s="236"/>
      <c r="R144" s="236"/>
      <c r="S144" s="236"/>
      <c r="T144" s="236"/>
      <c r="U144" s="236"/>
      <c r="V144" s="236"/>
      <c r="W144" s="236"/>
    </row>
    <row r="145">
      <c r="A145" s="236"/>
      <c r="B145" s="236"/>
      <c r="C145" s="236"/>
      <c r="D145" s="236"/>
      <c r="E145" s="236"/>
      <c r="F145" s="236"/>
      <c r="G145" s="236"/>
      <c r="H145" s="236"/>
      <c r="I145" s="236"/>
      <c r="J145" s="236"/>
      <c r="K145" s="330"/>
      <c r="L145" s="330"/>
      <c r="M145" s="236"/>
      <c r="N145" s="236"/>
      <c r="O145" s="236"/>
      <c r="P145" s="236"/>
      <c r="Q145" s="236"/>
      <c r="R145" s="236"/>
      <c r="S145" s="236"/>
      <c r="T145" s="236"/>
      <c r="U145" s="236"/>
      <c r="V145" s="236"/>
      <c r="W145" s="236"/>
    </row>
    <row r="146">
      <c r="A146" s="236"/>
      <c r="B146" s="236"/>
      <c r="C146" s="236"/>
      <c r="D146" s="236"/>
      <c r="E146" s="236"/>
      <c r="F146" s="236"/>
      <c r="G146" s="236"/>
      <c r="H146" s="236"/>
      <c r="I146" s="236"/>
      <c r="J146" s="236"/>
      <c r="K146" s="330"/>
      <c r="L146" s="330"/>
      <c r="M146" s="236"/>
      <c r="N146" s="236"/>
      <c r="O146" s="236"/>
      <c r="P146" s="236"/>
      <c r="Q146" s="236"/>
      <c r="R146" s="236"/>
      <c r="S146" s="236"/>
      <c r="T146" s="236"/>
      <c r="U146" s="236"/>
      <c r="V146" s="236"/>
      <c r="W146" s="236"/>
    </row>
    <row r="147">
      <c r="A147" s="236"/>
      <c r="B147" s="236"/>
      <c r="C147" s="236"/>
      <c r="D147" s="236"/>
      <c r="E147" s="236"/>
      <c r="F147" s="236"/>
      <c r="G147" s="236"/>
      <c r="H147" s="236"/>
      <c r="I147" s="236"/>
      <c r="J147" s="236"/>
      <c r="K147" s="330"/>
      <c r="L147" s="330"/>
      <c r="M147" s="236"/>
      <c r="N147" s="236"/>
      <c r="O147" s="236"/>
      <c r="P147" s="236"/>
      <c r="Q147" s="236"/>
      <c r="R147" s="236"/>
      <c r="S147" s="236"/>
      <c r="T147" s="236"/>
      <c r="U147" s="236"/>
      <c r="V147" s="236"/>
      <c r="W147" s="236"/>
    </row>
    <row r="148">
      <c r="A148" s="236"/>
      <c r="B148" s="236"/>
      <c r="C148" s="236"/>
      <c r="D148" s="236"/>
      <c r="E148" s="236"/>
      <c r="F148" s="236"/>
      <c r="G148" s="236"/>
      <c r="H148" s="236"/>
      <c r="I148" s="236"/>
      <c r="J148" s="236"/>
      <c r="K148" s="330"/>
      <c r="L148" s="330"/>
      <c r="M148" s="236"/>
      <c r="N148" s="236"/>
      <c r="O148" s="236"/>
      <c r="P148" s="236"/>
      <c r="Q148" s="236"/>
      <c r="R148" s="236"/>
      <c r="S148" s="236"/>
      <c r="T148" s="236"/>
      <c r="U148" s="236"/>
      <c r="V148" s="236"/>
      <c r="W148" s="236"/>
    </row>
    <row r="149">
      <c r="A149" s="236"/>
      <c r="B149" s="236"/>
      <c r="C149" s="236"/>
      <c r="D149" s="236"/>
      <c r="E149" s="236"/>
      <c r="F149" s="236"/>
      <c r="G149" s="236"/>
      <c r="H149" s="236"/>
      <c r="I149" s="236"/>
      <c r="J149" s="236"/>
      <c r="K149" s="330"/>
      <c r="L149" s="330"/>
      <c r="M149" s="236"/>
      <c r="N149" s="236"/>
      <c r="O149" s="236"/>
      <c r="P149" s="236"/>
      <c r="Q149" s="236"/>
      <c r="R149" s="236"/>
      <c r="S149" s="236"/>
      <c r="T149" s="236"/>
      <c r="U149" s="236"/>
      <c r="V149" s="236"/>
      <c r="W149" s="236"/>
    </row>
    <row r="150">
      <c r="A150" s="236"/>
      <c r="B150" s="236"/>
      <c r="C150" s="236"/>
      <c r="D150" s="236"/>
      <c r="E150" s="236"/>
      <c r="F150" s="236"/>
      <c r="G150" s="236"/>
      <c r="H150" s="236"/>
      <c r="I150" s="236"/>
      <c r="J150" s="236"/>
      <c r="K150" s="330"/>
      <c r="L150" s="330"/>
      <c r="M150" s="236"/>
      <c r="N150" s="236"/>
      <c r="O150" s="236"/>
      <c r="P150" s="236"/>
      <c r="Q150" s="236"/>
      <c r="R150" s="236"/>
      <c r="S150" s="236"/>
      <c r="T150" s="236"/>
      <c r="U150" s="236"/>
      <c r="V150" s="236"/>
      <c r="W150" s="236"/>
    </row>
    <row r="151">
      <c r="A151" s="236"/>
      <c r="B151" s="236"/>
      <c r="C151" s="236"/>
      <c r="D151" s="236"/>
      <c r="E151" s="236"/>
      <c r="F151" s="236"/>
      <c r="G151" s="236"/>
      <c r="H151" s="236"/>
      <c r="I151" s="236"/>
      <c r="J151" s="236"/>
      <c r="K151" s="330"/>
      <c r="L151" s="330"/>
      <c r="M151" s="236"/>
      <c r="N151" s="236"/>
      <c r="O151" s="236"/>
      <c r="P151" s="236"/>
      <c r="Q151" s="236"/>
      <c r="R151" s="236"/>
      <c r="S151" s="236"/>
      <c r="T151" s="236"/>
      <c r="U151" s="236"/>
      <c r="V151" s="236"/>
      <c r="W151" s="236"/>
    </row>
    <row r="152">
      <c r="A152" s="236"/>
      <c r="B152" s="236"/>
      <c r="C152" s="236"/>
      <c r="D152" s="236"/>
      <c r="E152" s="236"/>
      <c r="F152" s="236"/>
      <c r="G152" s="236"/>
      <c r="H152" s="236"/>
      <c r="I152" s="236"/>
      <c r="J152" s="236"/>
      <c r="K152" s="330"/>
      <c r="L152" s="330"/>
      <c r="M152" s="236"/>
      <c r="N152" s="236"/>
      <c r="O152" s="236"/>
      <c r="P152" s="236"/>
      <c r="Q152" s="236"/>
      <c r="R152" s="236"/>
      <c r="S152" s="236"/>
      <c r="T152" s="236"/>
      <c r="U152" s="236"/>
      <c r="V152" s="236"/>
      <c r="W152" s="236"/>
    </row>
    <row r="153">
      <c r="A153" s="236"/>
      <c r="B153" s="236"/>
      <c r="C153" s="236"/>
      <c r="D153" s="236"/>
      <c r="E153" s="236"/>
      <c r="F153" s="236"/>
      <c r="G153" s="236"/>
      <c r="H153" s="236"/>
      <c r="I153" s="236"/>
      <c r="J153" s="236"/>
      <c r="K153" s="330"/>
      <c r="L153" s="330"/>
      <c r="M153" s="236"/>
      <c r="N153" s="236"/>
      <c r="O153" s="236"/>
      <c r="P153" s="236"/>
      <c r="Q153" s="236"/>
      <c r="R153" s="236"/>
      <c r="S153" s="236"/>
      <c r="T153" s="236"/>
      <c r="U153" s="236"/>
      <c r="V153" s="236"/>
      <c r="W153" s="236"/>
    </row>
    <row r="154">
      <c r="A154" s="236"/>
      <c r="B154" s="236"/>
      <c r="C154" s="236"/>
      <c r="D154" s="236"/>
      <c r="E154" s="236"/>
      <c r="F154" s="236"/>
      <c r="G154" s="236"/>
      <c r="H154" s="236"/>
      <c r="I154" s="236"/>
      <c r="J154" s="236"/>
      <c r="K154" s="330"/>
      <c r="L154" s="330"/>
      <c r="M154" s="236"/>
      <c r="N154" s="236"/>
      <c r="O154" s="236"/>
      <c r="P154" s="236"/>
      <c r="Q154" s="236"/>
      <c r="R154" s="236"/>
      <c r="S154" s="236"/>
      <c r="T154" s="236"/>
      <c r="U154" s="236"/>
      <c r="V154" s="236"/>
      <c r="W154" s="236"/>
    </row>
    <row r="155">
      <c r="A155" s="236"/>
      <c r="B155" s="236"/>
      <c r="C155" s="236"/>
      <c r="D155" s="236"/>
      <c r="E155" s="236"/>
      <c r="F155" s="236"/>
      <c r="G155" s="236"/>
      <c r="H155" s="236"/>
      <c r="I155" s="236"/>
      <c r="J155" s="236"/>
      <c r="K155" s="330"/>
      <c r="L155" s="330"/>
      <c r="M155" s="236"/>
      <c r="N155" s="236"/>
      <c r="O155" s="236"/>
      <c r="P155" s="236"/>
      <c r="Q155" s="236"/>
      <c r="R155" s="236"/>
      <c r="S155" s="236"/>
      <c r="T155" s="236"/>
      <c r="U155" s="236"/>
      <c r="V155" s="236"/>
      <c r="W155" s="236"/>
    </row>
    <row r="156">
      <c r="A156" s="236"/>
      <c r="B156" s="236"/>
      <c r="C156" s="236"/>
      <c r="D156" s="236"/>
      <c r="E156" s="236"/>
      <c r="F156" s="236"/>
      <c r="G156" s="236"/>
      <c r="H156" s="236"/>
      <c r="I156" s="236"/>
      <c r="J156" s="236"/>
      <c r="K156" s="330"/>
      <c r="L156" s="330"/>
      <c r="M156" s="236"/>
      <c r="N156" s="236"/>
      <c r="O156" s="236"/>
      <c r="P156" s="236"/>
      <c r="Q156" s="236"/>
      <c r="R156" s="236"/>
      <c r="S156" s="236"/>
      <c r="T156" s="236"/>
      <c r="U156" s="236"/>
      <c r="V156" s="236"/>
      <c r="W156" s="236"/>
    </row>
    <row r="157">
      <c r="A157" s="236"/>
      <c r="B157" s="236"/>
      <c r="C157" s="236"/>
      <c r="D157" s="236"/>
      <c r="E157" s="236"/>
      <c r="F157" s="236"/>
      <c r="G157" s="236"/>
      <c r="H157" s="236"/>
      <c r="I157" s="236"/>
      <c r="J157" s="236"/>
      <c r="K157" s="330"/>
      <c r="L157" s="330"/>
      <c r="M157" s="236"/>
      <c r="N157" s="236"/>
      <c r="O157" s="236"/>
      <c r="P157" s="236"/>
      <c r="Q157" s="236"/>
      <c r="R157" s="236"/>
      <c r="S157" s="236"/>
      <c r="T157" s="236"/>
      <c r="U157" s="236"/>
      <c r="V157" s="236"/>
      <c r="W157" s="236"/>
    </row>
    <row r="158">
      <c r="A158" s="236"/>
      <c r="B158" s="236"/>
      <c r="C158" s="236"/>
      <c r="D158" s="236"/>
      <c r="E158" s="236"/>
      <c r="F158" s="236"/>
      <c r="G158" s="236"/>
      <c r="H158" s="236"/>
      <c r="I158" s="236"/>
      <c r="J158" s="236"/>
      <c r="K158" s="330"/>
      <c r="L158" s="330"/>
      <c r="M158" s="236"/>
      <c r="N158" s="236"/>
      <c r="O158" s="236"/>
      <c r="P158" s="236"/>
      <c r="Q158" s="236"/>
      <c r="R158" s="236"/>
      <c r="S158" s="236"/>
      <c r="T158" s="236"/>
      <c r="U158" s="236"/>
      <c r="V158" s="236"/>
      <c r="W158" s="236"/>
    </row>
    <row r="159">
      <c r="A159" s="236"/>
      <c r="B159" s="236"/>
      <c r="C159" s="236"/>
      <c r="D159" s="236"/>
      <c r="E159" s="236"/>
      <c r="F159" s="236"/>
      <c r="G159" s="236"/>
      <c r="H159" s="236"/>
      <c r="I159" s="236"/>
      <c r="J159" s="236"/>
      <c r="K159" s="330"/>
      <c r="L159" s="330"/>
      <c r="M159" s="236"/>
      <c r="N159" s="236"/>
      <c r="O159" s="236"/>
      <c r="P159" s="236"/>
      <c r="Q159" s="236"/>
      <c r="R159" s="236"/>
      <c r="S159" s="236"/>
      <c r="T159" s="236"/>
      <c r="U159" s="236"/>
      <c r="V159" s="236"/>
      <c r="W159" s="236"/>
    </row>
    <row r="160">
      <c r="A160" s="236"/>
      <c r="B160" s="236"/>
      <c r="C160" s="236"/>
      <c r="D160" s="236"/>
      <c r="E160" s="236"/>
      <c r="F160" s="236"/>
      <c r="G160" s="236"/>
      <c r="H160" s="236"/>
      <c r="I160" s="236"/>
      <c r="J160" s="236"/>
      <c r="K160" s="330"/>
      <c r="L160" s="330"/>
      <c r="M160" s="236"/>
      <c r="N160" s="236"/>
      <c r="O160" s="236"/>
      <c r="P160" s="236"/>
      <c r="Q160" s="236"/>
      <c r="R160" s="236"/>
      <c r="S160" s="236"/>
      <c r="T160" s="236"/>
      <c r="U160" s="236"/>
      <c r="V160" s="236"/>
      <c r="W160" s="236"/>
    </row>
    <row r="161">
      <c r="A161" s="236"/>
      <c r="B161" s="236"/>
      <c r="C161" s="236"/>
      <c r="D161" s="236"/>
      <c r="E161" s="236"/>
      <c r="F161" s="236"/>
      <c r="G161" s="236"/>
      <c r="H161" s="236"/>
      <c r="I161" s="236"/>
      <c r="J161" s="236"/>
      <c r="K161" s="330"/>
      <c r="L161" s="330"/>
      <c r="M161" s="236"/>
      <c r="N161" s="236"/>
      <c r="O161" s="236"/>
      <c r="P161" s="236"/>
      <c r="Q161" s="236"/>
      <c r="R161" s="236"/>
      <c r="S161" s="236"/>
      <c r="T161" s="236"/>
      <c r="U161" s="236"/>
      <c r="V161" s="236"/>
      <c r="W161" s="236"/>
    </row>
    <row r="162">
      <c r="A162" s="236"/>
      <c r="B162" s="236"/>
      <c r="C162" s="236"/>
      <c r="D162" s="236"/>
      <c r="E162" s="236"/>
      <c r="F162" s="236"/>
      <c r="G162" s="236"/>
      <c r="H162" s="236"/>
      <c r="I162" s="236"/>
      <c r="J162" s="236"/>
      <c r="K162" s="330"/>
      <c r="L162" s="330"/>
      <c r="M162" s="236"/>
      <c r="N162" s="236"/>
      <c r="O162" s="236"/>
      <c r="P162" s="236"/>
      <c r="Q162" s="236"/>
      <c r="R162" s="236"/>
      <c r="S162" s="236"/>
      <c r="T162" s="236"/>
      <c r="U162" s="236"/>
      <c r="V162" s="236"/>
      <c r="W162" s="236"/>
    </row>
    <row r="163">
      <c r="A163" s="236"/>
      <c r="B163" s="236"/>
      <c r="C163" s="236"/>
      <c r="D163" s="236"/>
      <c r="E163" s="236"/>
      <c r="F163" s="236"/>
      <c r="G163" s="236"/>
      <c r="H163" s="236"/>
      <c r="I163" s="236"/>
      <c r="J163" s="236"/>
      <c r="K163" s="330"/>
      <c r="L163" s="330"/>
      <c r="M163" s="236"/>
      <c r="N163" s="236"/>
      <c r="O163" s="236"/>
      <c r="P163" s="236"/>
      <c r="Q163" s="236"/>
      <c r="R163" s="236"/>
      <c r="S163" s="236"/>
      <c r="T163" s="236"/>
      <c r="U163" s="236"/>
      <c r="V163" s="236"/>
      <c r="W163" s="236"/>
    </row>
    <row r="164">
      <c r="A164" s="236"/>
      <c r="B164" s="236"/>
      <c r="C164" s="236"/>
      <c r="D164" s="236"/>
      <c r="E164" s="236"/>
      <c r="F164" s="236"/>
      <c r="G164" s="236"/>
      <c r="H164" s="236"/>
      <c r="I164" s="236"/>
      <c r="J164" s="236"/>
      <c r="K164" s="330"/>
      <c r="L164" s="330"/>
      <c r="M164" s="236"/>
      <c r="N164" s="236"/>
      <c r="O164" s="236"/>
      <c r="P164" s="236"/>
      <c r="Q164" s="236"/>
      <c r="R164" s="236"/>
      <c r="S164" s="236"/>
      <c r="T164" s="236"/>
      <c r="U164" s="236"/>
      <c r="V164" s="236"/>
      <c r="W164" s="236"/>
    </row>
    <row r="165">
      <c r="A165" s="236"/>
      <c r="B165" s="236"/>
      <c r="C165" s="236"/>
      <c r="D165" s="236"/>
      <c r="E165" s="236"/>
      <c r="F165" s="236"/>
      <c r="G165" s="236"/>
      <c r="H165" s="236"/>
      <c r="I165" s="236"/>
      <c r="J165" s="236"/>
      <c r="K165" s="330"/>
      <c r="L165" s="330"/>
      <c r="M165" s="236"/>
      <c r="N165" s="236"/>
      <c r="O165" s="236"/>
      <c r="P165" s="236"/>
      <c r="Q165" s="236"/>
      <c r="R165" s="236"/>
      <c r="S165" s="236"/>
      <c r="T165" s="236"/>
      <c r="U165" s="236"/>
      <c r="V165" s="236"/>
      <c r="W165" s="236"/>
    </row>
    <row r="166">
      <c r="A166" s="236"/>
      <c r="B166" s="236"/>
      <c r="C166" s="236"/>
      <c r="D166" s="236"/>
      <c r="E166" s="236"/>
      <c r="F166" s="236"/>
      <c r="G166" s="236"/>
      <c r="H166" s="236"/>
      <c r="I166" s="236"/>
      <c r="J166" s="236"/>
      <c r="K166" s="330"/>
      <c r="L166" s="330"/>
      <c r="M166" s="236"/>
      <c r="N166" s="236"/>
      <c r="O166" s="236"/>
      <c r="P166" s="236"/>
      <c r="Q166" s="236"/>
      <c r="R166" s="236"/>
      <c r="S166" s="236"/>
      <c r="T166" s="236"/>
      <c r="U166" s="236"/>
      <c r="V166" s="236"/>
      <c r="W166" s="236"/>
    </row>
    <row r="167">
      <c r="A167" s="236"/>
      <c r="B167" s="236"/>
      <c r="C167" s="236"/>
      <c r="D167" s="236"/>
      <c r="E167" s="236"/>
      <c r="F167" s="236"/>
      <c r="G167" s="236"/>
      <c r="H167" s="236"/>
      <c r="I167" s="236"/>
      <c r="J167" s="236"/>
      <c r="K167" s="330"/>
      <c r="L167" s="330"/>
      <c r="M167" s="236"/>
      <c r="N167" s="236"/>
      <c r="O167" s="236"/>
      <c r="P167" s="236"/>
      <c r="Q167" s="236"/>
      <c r="R167" s="236"/>
      <c r="S167" s="236"/>
      <c r="T167" s="236"/>
      <c r="U167" s="236"/>
      <c r="V167" s="236"/>
      <c r="W167" s="236"/>
    </row>
    <row r="168">
      <c r="A168" s="236"/>
      <c r="B168" s="236"/>
      <c r="C168" s="236"/>
      <c r="D168" s="236"/>
      <c r="E168" s="236"/>
      <c r="F168" s="236"/>
      <c r="G168" s="236"/>
      <c r="H168" s="236"/>
      <c r="I168" s="236"/>
      <c r="J168" s="236"/>
      <c r="K168" s="330"/>
      <c r="L168" s="330"/>
      <c r="M168" s="236"/>
      <c r="N168" s="236"/>
      <c r="O168" s="236"/>
      <c r="P168" s="236"/>
      <c r="Q168" s="236"/>
      <c r="R168" s="236"/>
      <c r="S168" s="236"/>
      <c r="T168" s="236"/>
      <c r="U168" s="236"/>
      <c r="V168" s="236"/>
      <c r="W168" s="236"/>
    </row>
    <row r="169">
      <c r="A169" s="236"/>
      <c r="B169" s="236"/>
      <c r="C169" s="236"/>
      <c r="D169" s="236"/>
      <c r="E169" s="236"/>
      <c r="F169" s="236"/>
      <c r="G169" s="236"/>
      <c r="H169" s="236"/>
      <c r="I169" s="236"/>
      <c r="J169" s="236"/>
      <c r="K169" s="330"/>
      <c r="L169" s="330"/>
      <c r="M169" s="236"/>
      <c r="N169" s="236"/>
      <c r="O169" s="236"/>
      <c r="P169" s="236"/>
      <c r="Q169" s="236"/>
      <c r="R169" s="236"/>
      <c r="S169" s="236"/>
      <c r="T169" s="236"/>
      <c r="U169" s="236"/>
      <c r="V169" s="236"/>
      <c r="W169" s="236"/>
    </row>
    <row r="170">
      <c r="A170" s="236"/>
      <c r="B170" s="236"/>
      <c r="C170" s="236"/>
      <c r="D170" s="236"/>
      <c r="E170" s="236"/>
      <c r="F170" s="236"/>
      <c r="G170" s="236"/>
      <c r="H170" s="236"/>
      <c r="I170" s="236"/>
      <c r="J170" s="236"/>
      <c r="K170" s="330"/>
      <c r="L170" s="330"/>
      <c r="M170" s="236"/>
      <c r="N170" s="236"/>
      <c r="O170" s="236"/>
      <c r="P170" s="236"/>
      <c r="Q170" s="236"/>
      <c r="R170" s="236"/>
      <c r="S170" s="236"/>
      <c r="T170" s="236"/>
      <c r="U170" s="236"/>
      <c r="V170" s="236"/>
      <c r="W170" s="236"/>
    </row>
    <row r="171">
      <c r="A171" s="236"/>
      <c r="B171" s="236"/>
      <c r="C171" s="236"/>
      <c r="D171" s="236"/>
      <c r="E171" s="236"/>
      <c r="F171" s="236"/>
      <c r="G171" s="236"/>
      <c r="H171" s="236"/>
      <c r="I171" s="236"/>
      <c r="J171" s="236"/>
      <c r="K171" s="330"/>
      <c r="L171" s="330"/>
      <c r="M171" s="236"/>
      <c r="N171" s="236"/>
      <c r="O171" s="236"/>
      <c r="P171" s="236"/>
      <c r="Q171" s="236"/>
      <c r="R171" s="236"/>
      <c r="S171" s="236"/>
      <c r="T171" s="236"/>
      <c r="U171" s="236"/>
      <c r="V171" s="236"/>
      <c r="W171" s="236"/>
    </row>
    <row r="172">
      <c r="A172" s="236"/>
      <c r="B172" s="236"/>
      <c r="C172" s="236"/>
      <c r="D172" s="236"/>
      <c r="E172" s="236"/>
      <c r="F172" s="236"/>
      <c r="G172" s="236"/>
      <c r="H172" s="236"/>
      <c r="I172" s="236"/>
      <c r="J172" s="236"/>
      <c r="K172" s="330"/>
      <c r="L172" s="330"/>
      <c r="M172" s="236"/>
      <c r="N172" s="236"/>
      <c r="O172" s="236"/>
      <c r="P172" s="236"/>
      <c r="Q172" s="236"/>
      <c r="R172" s="236"/>
      <c r="S172" s="236"/>
      <c r="T172" s="236"/>
      <c r="U172" s="236"/>
      <c r="V172" s="236"/>
      <c r="W172" s="236"/>
    </row>
    <row r="173">
      <c r="A173" s="236"/>
      <c r="B173" s="236"/>
      <c r="C173" s="236"/>
      <c r="D173" s="236"/>
      <c r="E173" s="236"/>
      <c r="F173" s="236"/>
      <c r="G173" s="236"/>
      <c r="H173" s="236"/>
      <c r="I173" s="236"/>
      <c r="J173" s="236"/>
      <c r="K173" s="330"/>
      <c r="L173" s="330"/>
      <c r="M173" s="236"/>
      <c r="N173" s="236"/>
      <c r="O173" s="236"/>
      <c r="P173" s="236"/>
      <c r="Q173" s="236"/>
      <c r="R173" s="236"/>
      <c r="S173" s="236"/>
      <c r="T173" s="236"/>
      <c r="U173" s="236"/>
      <c r="V173" s="236"/>
      <c r="W173" s="236"/>
    </row>
    <row r="174">
      <c r="A174" s="236"/>
      <c r="B174" s="236"/>
      <c r="C174" s="236"/>
      <c r="D174" s="236"/>
      <c r="E174" s="236"/>
      <c r="F174" s="236"/>
      <c r="G174" s="236"/>
      <c r="H174" s="236"/>
      <c r="I174" s="236"/>
      <c r="J174" s="236"/>
      <c r="K174" s="330"/>
      <c r="L174" s="330"/>
      <c r="M174" s="236"/>
      <c r="N174" s="236"/>
      <c r="O174" s="236"/>
      <c r="P174" s="236"/>
      <c r="Q174" s="236"/>
      <c r="R174" s="236"/>
      <c r="S174" s="236"/>
      <c r="T174" s="236"/>
      <c r="U174" s="236"/>
      <c r="V174" s="236"/>
      <c r="W174" s="236"/>
    </row>
    <row r="175">
      <c r="A175" s="236"/>
      <c r="B175" s="236"/>
      <c r="C175" s="236"/>
      <c r="D175" s="236"/>
      <c r="E175" s="236"/>
      <c r="F175" s="236"/>
      <c r="G175" s="236"/>
      <c r="H175" s="236"/>
      <c r="I175" s="236"/>
      <c r="J175" s="236"/>
      <c r="K175" s="330"/>
      <c r="L175" s="330"/>
      <c r="M175" s="236"/>
      <c r="N175" s="236"/>
      <c r="O175" s="236"/>
      <c r="P175" s="236"/>
      <c r="Q175" s="236"/>
      <c r="R175" s="236"/>
      <c r="S175" s="236"/>
      <c r="T175" s="236"/>
      <c r="U175" s="236"/>
      <c r="V175" s="236"/>
      <c r="W175" s="236"/>
    </row>
    <row r="176">
      <c r="A176" s="236"/>
      <c r="B176" s="236"/>
      <c r="C176" s="236"/>
      <c r="D176" s="236"/>
      <c r="E176" s="236"/>
      <c r="F176" s="236"/>
      <c r="G176" s="236"/>
      <c r="H176" s="236"/>
      <c r="I176" s="236"/>
      <c r="J176" s="236"/>
      <c r="K176" s="330"/>
      <c r="L176" s="330"/>
      <c r="M176" s="236"/>
      <c r="N176" s="236"/>
      <c r="O176" s="236"/>
      <c r="P176" s="236"/>
      <c r="Q176" s="236"/>
      <c r="R176" s="236"/>
      <c r="S176" s="236"/>
      <c r="T176" s="236"/>
      <c r="U176" s="236"/>
      <c r="V176" s="236"/>
      <c r="W176" s="236"/>
    </row>
    <row r="177">
      <c r="A177" s="236"/>
      <c r="B177" s="236"/>
      <c r="C177" s="236"/>
      <c r="D177" s="236"/>
      <c r="E177" s="236"/>
      <c r="F177" s="236"/>
      <c r="G177" s="236"/>
      <c r="H177" s="236"/>
      <c r="I177" s="236"/>
      <c r="J177" s="236"/>
      <c r="K177" s="330"/>
      <c r="L177" s="330"/>
      <c r="M177" s="236"/>
      <c r="N177" s="236"/>
      <c r="O177" s="236"/>
      <c r="P177" s="236"/>
      <c r="Q177" s="236"/>
      <c r="R177" s="236"/>
      <c r="S177" s="236"/>
      <c r="T177" s="236"/>
      <c r="U177" s="236"/>
      <c r="V177" s="236"/>
      <c r="W177" s="236"/>
    </row>
    <row r="178">
      <c r="A178" s="236"/>
      <c r="B178" s="236"/>
      <c r="C178" s="236"/>
      <c r="D178" s="236"/>
      <c r="E178" s="236"/>
      <c r="F178" s="236"/>
      <c r="G178" s="236"/>
      <c r="H178" s="236"/>
      <c r="I178" s="236"/>
      <c r="J178" s="236"/>
      <c r="K178" s="330"/>
      <c r="L178" s="330"/>
      <c r="M178" s="236"/>
      <c r="N178" s="236"/>
      <c r="O178" s="236"/>
      <c r="P178" s="236"/>
      <c r="Q178" s="236"/>
      <c r="R178" s="236"/>
      <c r="S178" s="236"/>
      <c r="T178" s="236"/>
      <c r="U178" s="236"/>
      <c r="V178" s="236"/>
      <c r="W178" s="236"/>
    </row>
    <row r="179">
      <c r="A179" s="236"/>
      <c r="B179" s="236"/>
      <c r="C179" s="236"/>
      <c r="D179" s="236"/>
      <c r="E179" s="236"/>
      <c r="F179" s="236"/>
      <c r="G179" s="236"/>
      <c r="H179" s="236"/>
      <c r="I179" s="236"/>
      <c r="J179" s="236"/>
      <c r="K179" s="330"/>
      <c r="L179" s="330"/>
      <c r="M179" s="236"/>
      <c r="N179" s="236"/>
      <c r="O179" s="236"/>
      <c r="P179" s="236"/>
      <c r="Q179" s="236"/>
      <c r="R179" s="236"/>
      <c r="S179" s="236"/>
      <c r="T179" s="236"/>
      <c r="U179" s="236"/>
      <c r="V179" s="236"/>
      <c r="W179" s="236"/>
    </row>
    <row r="180">
      <c r="A180" s="236"/>
      <c r="B180" s="236"/>
      <c r="C180" s="236"/>
      <c r="D180" s="236"/>
      <c r="E180" s="236"/>
      <c r="F180" s="236"/>
      <c r="G180" s="236"/>
      <c r="H180" s="236"/>
      <c r="I180" s="236"/>
      <c r="J180" s="236"/>
      <c r="K180" s="330"/>
      <c r="L180" s="330"/>
      <c r="M180" s="236"/>
      <c r="N180" s="236"/>
      <c r="O180" s="236"/>
      <c r="P180" s="236"/>
      <c r="Q180" s="236"/>
      <c r="R180" s="236"/>
      <c r="S180" s="236"/>
      <c r="T180" s="236"/>
      <c r="U180" s="236"/>
      <c r="V180" s="236"/>
      <c r="W180" s="236"/>
    </row>
    <row r="181">
      <c r="A181" s="236"/>
      <c r="B181" s="236"/>
      <c r="C181" s="236"/>
      <c r="D181" s="236"/>
      <c r="E181" s="236"/>
      <c r="F181" s="236"/>
      <c r="G181" s="236"/>
      <c r="H181" s="236"/>
      <c r="I181" s="236"/>
      <c r="J181" s="236"/>
      <c r="K181" s="330"/>
      <c r="L181" s="330"/>
      <c r="M181" s="236"/>
      <c r="N181" s="236"/>
      <c r="O181" s="236"/>
      <c r="P181" s="236"/>
      <c r="Q181" s="236"/>
      <c r="R181" s="236"/>
      <c r="S181" s="236"/>
      <c r="T181" s="236"/>
      <c r="U181" s="236"/>
      <c r="V181" s="236"/>
      <c r="W181" s="236"/>
    </row>
    <row r="182">
      <c r="A182" s="236"/>
      <c r="B182" s="236"/>
      <c r="C182" s="236"/>
      <c r="D182" s="236"/>
      <c r="E182" s="236"/>
      <c r="F182" s="236"/>
      <c r="G182" s="236"/>
      <c r="H182" s="236"/>
      <c r="I182" s="236"/>
      <c r="J182" s="236"/>
      <c r="K182" s="330"/>
      <c r="L182" s="330"/>
      <c r="M182" s="236"/>
      <c r="N182" s="236"/>
      <c r="O182" s="236"/>
      <c r="P182" s="236"/>
      <c r="Q182" s="236"/>
      <c r="R182" s="236"/>
      <c r="S182" s="236"/>
      <c r="T182" s="236"/>
      <c r="U182" s="236"/>
      <c r="V182" s="236"/>
      <c r="W182" s="236"/>
    </row>
    <row r="183">
      <c r="A183" s="236"/>
      <c r="B183" s="236"/>
      <c r="C183" s="236"/>
      <c r="D183" s="236"/>
      <c r="E183" s="236"/>
      <c r="F183" s="236"/>
      <c r="G183" s="236"/>
      <c r="H183" s="236"/>
      <c r="I183" s="236"/>
      <c r="J183" s="236"/>
      <c r="K183" s="330"/>
      <c r="L183" s="330"/>
      <c r="M183" s="236"/>
      <c r="N183" s="236"/>
      <c r="O183" s="236"/>
      <c r="P183" s="236"/>
      <c r="Q183" s="236"/>
      <c r="R183" s="236"/>
      <c r="S183" s="236"/>
      <c r="T183" s="236"/>
      <c r="U183" s="236"/>
      <c r="V183" s="236"/>
      <c r="W183" s="236"/>
    </row>
    <row r="184">
      <c r="A184" s="236"/>
      <c r="B184" s="236"/>
      <c r="C184" s="236"/>
      <c r="D184" s="236"/>
      <c r="E184" s="236"/>
      <c r="F184" s="236"/>
      <c r="G184" s="236"/>
      <c r="H184" s="236"/>
      <c r="I184" s="236"/>
      <c r="J184" s="236"/>
      <c r="K184" s="330"/>
      <c r="L184" s="330"/>
      <c r="M184" s="236"/>
      <c r="N184" s="236"/>
      <c r="O184" s="236"/>
      <c r="P184" s="236"/>
      <c r="Q184" s="236"/>
      <c r="R184" s="236"/>
      <c r="S184" s="236"/>
      <c r="T184" s="236"/>
      <c r="U184" s="236"/>
      <c r="V184" s="236"/>
      <c r="W184" s="236"/>
    </row>
    <row r="185">
      <c r="A185" s="236"/>
      <c r="B185" s="236"/>
      <c r="C185" s="236"/>
      <c r="D185" s="236"/>
      <c r="E185" s="236"/>
      <c r="F185" s="236"/>
      <c r="G185" s="236"/>
      <c r="H185" s="236"/>
      <c r="I185" s="236"/>
      <c r="J185" s="236"/>
      <c r="K185" s="330"/>
      <c r="L185" s="330"/>
      <c r="M185" s="236"/>
      <c r="N185" s="236"/>
      <c r="O185" s="236"/>
      <c r="P185" s="236"/>
      <c r="Q185" s="236"/>
      <c r="R185" s="236"/>
      <c r="S185" s="236"/>
      <c r="T185" s="236"/>
      <c r="U185" s="236"/>
      <c r="V185" s="236"/>
      <c r="W185" s="236"/>
    </row>
    <row r="186">
      <c r="A186" s="236"/>
      <c r="B186" s="236"/>
      <c r="C186" s="236"/>
      <c r="D186" s="236"/>
      <c r="E186" s="236"/>
      <c r="F186" s="236"/>
      <c r="G186" s="236"/>
      <c r="H186" s="236"/>
      <c r="I186" s="236"/>
      <c r="J186" s="236"/>
      <c r="K186" s="330"/>
      <c r="L186" s="330"/>
      <c r="M186" s="236"/>
      <c r="N186" s="236"/>
      <c r="O186" s="236"/>
      <c r="P186" s="236"/>
      <c r="Q186" s="236"/>
      <c r="R186" s="236"/>
      <c r="S186" s="236"/>
      <c r="T186" s="236"/>
      <c r="U186" s="236"/>
      <c r="V186" s="236"/>
      <c r="W186" s="236"/>
    </row>
    <row r="187">
      <c r="A187" s="236"/>
      <c r="B187" s="236"/>
      <c r="C187" s="236"/>
      <c r="D187" s="236"/>
      <c r="E187" s="236"/>
      <c r="F187" s="236"/>
      <c r="G187" s="236"/>
      <c r="H187" s="236"/>
      <c r="I187" s="236"/>
      <c r="J187" s="236"/>
      <c r="K187" s="330"/>
      <c r="L187" s="330"/>
      <c r="M187" s="236"/>
      <c r="N187" s="236"/>
      <c r="O187" s="236"/>
      <c r="P187" s="236"/>
      <c r="Q187" s="236"/>
      <c r="R187" s="236"/>
      <c r="S187" s="236"/>
      <c r="T187" s="236"/>
      <c r="U187" s="236"/>
      <c r="V187" s="236"/>
      <c r="W187" s="236"/>
    </row>
    <row r="188">
      <c r="A188" s="236"/>
      <c r="B188" s="236"/>
      <c r="C188" s="236"/>
      <c r="D188" s="236"/>
      <c r="E188" s="236"/>
      <c r="F188" s="236"/>
      <c r="G188" s="236"/>
      <c r="H188" s="236"/>
      <c r="I188" s="236"/>
      <c r="J188" s="236"/>
      <c r="K188" s="330"/>
      <c r="L188" s="330"/>
      <c r="M188" s="236"/>
      <c r="N188" s="236"/>
      <c r="O188" s="236"/>
      <c r="P188" s="236"/>
      <c r="Q188" s="236"/>
      <c r="R188" s="236"/>
      <c r="S188" s="236"/>
      <c r="T188" s="236"/>
      <c r="U188" s="236"/>
      <c r="V188" s="236"/>
      <c r="W188" s="236"/>
    </row>
    <row r="189">
      <c r="A189" s="236"/>
      <c r="B189" s="236"/>
      <c r="C189" s="236"/>
      <c r="D189" s="236"/>
      <c r="E189" s="236"/>
      <c r="F189" s="236"/>
      <c r="G189" s="236"/>
      <c r="H189" s="236"/>
      <c r="I189" s="236"/>
      <c r="J189" s="236"/>
      <c r="K189" s="330"/>
      <c r="L189" s="330"/>
      <c r="M189" s="236"/>
      <c r="N189" s="236"/>
      <c r="O189" s="236"/>
      <c r="P189" s="236"/>
      <c r="Q189" s="236"/>
      <c r="R189" s="236"/>
      <c r="S189" s="236"/>
      <c r="T189" s="236"/>
      <c r="U189" s="236"/>
      <c r="V189" s="236"/>
      <c r="W189" s="236"/>
    </row>
    <row r="190">
      <c r="A190" s="236"/>
      <c r="B190" s="236"/>
      <c r="C190" s="236"/>
      <c r="D190" s="236"/>
      <c r="E190" s="236"/>
      <c r="F190" s="236"/>
      <c r="G190" s="236"/>
      <c r="H190" s="236"/>
      <c r="I190" s="236"/>
      <c r="J190" s="236"/>
      <c r="K190" s="330"/>
      <c r="L190" s="330"/>
      <c r="M190" s="236"/>
      <c r="N190" s="236"/>
      <c r="O190" s="236"/>
      <c r="P190" s="236"/>
      <c r="Q190" s="236"/>
      <c r="R190" s="236"/>
      <c r="S190" s="236"/>
      <c r="T190" s="236"/>
      <c r="U190" s="236"/>
      <c r="V190" s="236"/>
      <c r="W190" s="236"/>
    </row>
    <row r="191">
      <c r="A191" s="236"/>
      <c r="B191" s="236"/>
      <c r="C191" s="236"/>
      <c r="D191" s="236"/>
      <c r="E191" s="236"/>
      <c r="F191" s="236"/>
      <c r="G191" s="236"/>
      <c r="H191" s="236"/>
      <c r="I191" s="236"/>
      <c r="J191" s="236"/>
      <c r="K191" s="330"/>
      <c r="L191" s="330"/>
      <c r="M191" s="236"/>
      <c r="N191" s="236"/>
      <c r="O191" s="236"/>
      <c r="P191" s="236"/>
      <c r="Q191" s="236"/>
      <c r="R191" s="236"/>
      <c r="S191" s="236"/>
      <c r="T191" s="236"/>
      <c r="U191" s="236"/>
      <c r="V191" s="236"/>
      <c r="W191" s="236"/>
    </row>
    <row r="192">
      <c r="A192" s="236"/>
      <c r="B192" s="236"/>
      <c r="C192" s="236"/>
      <c r="D192" s="236"/>
      <c r="E192" s="236"/>
      <c r="F192" s="236"/>
      <c r="G192" s="236"/>
      <c r="H192" s="236"/>
      <c r="I192" s="236"/>
      <c r="J192" s="236"/>
      <c r="K192" s="330"/>
      <c r="L192" s="330"/>
      <c r="M192" s="236"/>
      <c r="N192" s="236"/>
      <c r="O192" s="236"/>
      <c r="P192" s="236"/>
      <c r="Q192" s="236"/>
      <c r="R192" s="236"/>
      <c r="S192" s="236"/>
      <c r="T192" s="236"/>
      <c r="U192" s="236"/>
      <c r="V192" s="236"/>
      <c r="W192" s="236"/>
    </row>
    <row r="193">
      <c r="A193" s="236"/>
      <c r="B193" s="236"/>
      <c r="C193" s="236"/>
      <c r="D193" s="236"/>
      <c r="E193" s="236"/>
      <c r="F193" s="236"/>
      <c r="G193" s="236"/>
      <c r="H193" s="236"/>
      <c r="I193" s="236"/>
      <c r="J193" s="236"/>
      <c r="K193" s="330"/>
      <c r="L193" s="330"/>
      <c r="M193" s="236"/>
      <c r="N193" s="236"/>
      <c r="O193" s="236"/>
      <c r="P193" s="236"/>
      <c r="Q193" s="236"/>
      <c r="R193" s="236"/>
      <c r="S193" s="236"/>
      <c r="T193" s="236"/>
      <c r="U193" s="236"/>
      <c r="V193" s="236"/>
      <c r="W193" s="236"/>
    </row>
    <row r="194">
      <c r="A194" s="236"/>
      <c r="B194" s="236"/>
      <c r="C194" s="236"/>
      <c r="D194" s="236"/>
      <c r="E194" s="236"/>
      <c r="F194" s="236"/>
      <c r="G194" s="236"/>
      <c r="H194" s="236"/>
      <c r="I194" s="236"/>
      <c r="J194" s="236"/>
      <c r="K194" s="330"/>
      <c r="L194" s="330"/>
      <c r="M194" s="236"/>
      <c r="N194" s="236"/>
      <c r="O194" s="236"/>
      <c r="P194" s="236"/>
      <c r="Q194" s="236"/>
      <c r="R194" s="236"/>
      <c r="S194" s="236"/>
      <c r="T194" s="236"/>
      <c r="U194" s="236"/>
      <c r="V194" s="236"/>
      <c r="W194" s="236"/>
    </row>
    <row r="195">
      <c r="A195" s="236"/>
      <c r="B195" s="236"/>
      <c r="C195" s="236"/>
      <c r="D195" s="236"/>
      <c r="E195" s="236"/>
      <c r="F195" s="236"/>
      <c r="G195" s="236"/>
      <c r="H195" s="236"/>
      <c r="I195" s="236"/>
      <c r="J195" s="236"/>
      <c r="K195" s="330"/>
      <c r="L195" s="330"/>
      <c r="M195" s="236"/>
      <c r="N195" s="236"/>
      <c r="O195" s="236"/>
      <c r="P195" s="236"/>
      <c r="Q195" s="236"/>
      <c r="R195" s="236"/>
      <c r="S195" s="236"/>
      <c r="T195" s="236"/>
      <c r="U195" s="236"/>
      <c r="V195" s="236"/>
      <c r="W195" s="236"/>
    </row>
    <row r="196">
      <c r="A196" s="236"/>
      <c r="B196" s="236"/>
      <c r="C196" s="236"/>
      <c r="D196" s="236"/>
      <c r="E196" s="236"/>
      <c r="F196" s="236"/>
      <c r="G196" s="236"/>
      <c r="H196" s="236"/>
      <c r="I196" s="236"/>
      <c r="J196" s="236"/>
      <c r="K196" s="330"/>
      <c r="L196" s="330"/>
      <c r="M196" s="236"/>
      <c r="N196" s="236"/>
      <c r="O196" s="236"/>
      <c r="P196" s="236"/>
      <c r="Q196" s="236"/>
      <c r="R196" s="236"/>
      <c r="S196" s="236"/>
      <c r="T196" s="236"/>
      <c r="U196" s="236"/>
      <c r="V196" s="236"/>
      <c r="W196" s="236"/>
    </row>
    <row r="197">
      <c r="A197" s="236"/>
      <c r="B197" s="236"/>
      <c r="C197" s="236"/>
      <c r="D197" s="236"/>
      <c r="E197" s="236"/>
      <c r="F197" s="236"/>
      <c r="G197" s="236"/>
      <c r="H197" s="236"/>
      <c r="I197" s="236"/>
      <c r="J197" s="236"/>
      <c r="K197" s="330"/>
      <c r="L197" s="330"/>
      <c r="M197" s="236"/>
      <c r="N197" s="236"/>
      <c r="O197" s="236"/>
      <c r="P197" s="236"/>
      <c r="Q197" s="236"/>
      <c r="R197" s="236"/>
      <c r="S197" s="236"/>
      <c r="T197" s="236"/>
      <c r="U197" s="236"/>
      <c r="V197" s="236"/>
      <c r="W197" s="236"/>
    </row>
    <row r="198">
      <c r="A198" s="236"/>
      <c r="B198" s="236"/>
      <c r="C198" s="236"/>
      <c r="D198" s="236"/>
      <c r="E198" s="236"/>
      <c r="F198" s="236"/>
      <c r="G198" s="236"/>
      <c r="H198" s="236"/>
      <c r="I198" s="236"/>
      <c r="J198" s="236"/>
      <c r="K198" s="330"/>
      <c r="L198" s="330"/>
      <c r="M198" s="236"/>
      <c r="N198" s="236"/>
      <c r="O198" s="236"/>
      <c r="P198" s="236"/>
      <c r="Q198" s="236"/>
      <c r="R198" s="236"/>
      <c r="S198" s="236"/>
      <c r="T198" s="236"/>
      <c r="U198" s="236"/>
      <c r="V198" s="236"/>
      <c r="W198" s="236"/>
    </row>
    <row r="199">
      <c r="A199" s="236"/>
      <c r="B199" s="236"/>
      <c r="C199" s="236"/>
      <c r="D199" s="236"/>
      <c r="E199" s="236"/>
      <c r="F199" s="236"/>
      <c r="G199" s="236"/>
      <c r="H199" s="236"/>
      <c r="I199" s="236"/>
      <c r="J199" s="236"/>
      <c r="K199" s="330"/>
      <c r="L199" s="330"/>
      <c r="M199" s="236"/>
      <c r="N199" s="236"/>
      <c r="O199" s="236"/>
      <c r="P199" s="236"/>
      <c r="Q199" s="236"/>
      <c r="R199" s="236"/>
      <c r="S199" s="236"/>
      <c r="T199" s="236"/>
      <c r="U199" s="236"/>
      <c r="V199" s="236"/>
      <c r="W199" s="236"/>
    </row>
    <row r="200">
      <c r="A200" s="236"/>
      <c r="B200" s="236"/>
      <c r="C200" s="236"/>
      <c r="D200" s="236"/>
      <c r="E200" s="236"/>
      <c r="F200" s="236"/>
      <c r="G200" s="236"/>
      <c r="H200" s="236"/>
      <c r="I200" s="236"/>
      <c r="J200" s="236"/>
      <c r="K200" s="330"/>
      <c r="L200" s="330"/>
      <c r="M200" s="236"/>
      <c r="N200" s="236"/>
      <c r="O200" s="236"/>
      <c r="P200" s="236"/>
      <c r="Q200" s="236"/>
      <c r="R200" s="236"/>
      <c r="S200" s="236"/>
      <c r="T200" s="236"/>
      <c r="U200" s="236"/>
      <c r="V200" s="236"/>
      <c r="W200" s="236"/>
    </row>
    <row r="201">
      <c r="A201" s="236"/>
      <c r="B201" s="236"/>
      <c r="C201" s="236"/>
      <c r="D201" s="236"/>
      <c r="E201" s="236"/>
      <c r="F201" s="236"/>
      <c r="G201" s="236"/>
      <c r="H201" s="236"/>
      <c r="I201" s="236"/>
      <c r="J201" s="236"/>
      <c r="K201" s="330"/>
      <c r="L201" s="330"/>
      <c r="M201" s="236"/>
      <c r="N201" s="236"/>
      <c r="O201" s="236"/>
      <c r="P201" s="236"/>
      <c r="Q201" s="236"/>
      <c r="R201" s="236"/>
      <c r="S201" s="236"/>
      <c r="T201" s="236"/>
      <c r="U201" s="236"/>
      <c r="V201" s="236"/>
      <c r="W201" s="236"/>
    </row>
    <row r="202">
      <c r="A202" s="236"/>
      <c r="B202" s="236"/>
      <c r="C202" s="236"/>
      <c r="D202" s="236"/>
      <c r="E202" s="236"/>
      <c r="F202" s="236"/>
      <c r="G202" s="236"/>
      <c r="H202" s="236"/>
      <c r="I202" s="236"/>
      <c r="J202" s="236"/>
      <c r="K202" s="330"/>
      <c r="L202" s="330"/>
      <c r="M202" s="236"/>
      <c r="N202" s="236"/>
      <c r="O202" s="236"/>
      <c r="P202" s="236"/>
      <c r="Q202" s="236"/>
      <c r="R202" s="236"/>
      <c r="S202" s="236"/>
      <c r="T202" s="236"/>
      <c r="U202" s="236"/>
      <c r="V202" s="236"/>
      <c r="W202" s="236"/>
    </row>
    <row r="203">
      <c r="A203" s="236"/>
      <c r="B203" s="236"/>
      <c r="C203" s="236"/>
      <c r="D203" s="236"/>
      <c r="E203" s="236"/>
      <c r="F203" s="236"/>
      <c r="G203" s="236"/>
      <c r="H203" s="236"/>
      <c r="I203" s="236"/>
      <c r="J203" s="236"/>
      <c r="K203" s="330"/>
      <c r="L203" s="330"/>
      <c r="M203" s="236"/>
      <c r="N203" s="236"/>
      <c r="O203" s="236"/>
      <c r="P203" s="236"/>
      <c r="Q203" s="236"/>
      <c r="R203" s="236"/>
      <c r="S203" s="236"/>
      <c r="T203" s="236"/>
      <c r="U203" s="236"/>
      <c r="V203" s="236"/>
      <c r="W203" s="236"/>
    </row>
    <row r="204">
      <c r="A204" s="236"/>
      <c r="B204" s="236"/>
      <c r="C204" s="236"/>
      <c r="D204" s="236"/>
      <c r="E204" s="236"/>
      <c r="F204" s="236"/>
      <c r="G204" s="236"/>
      <c r="H204" s="236"/>
      <c r="I204" s="236"/>
      <c r="J204" s="236"/>
      <c r="K204" s="330"/>
      <c r="L204" s="330"/>
      <c r="M204" s="236"/>
      <c r="N204" s="236"/>
      <c r="O204" s="236"/>
      <c r="P204" s="236"/>
      <c r="Q204" s="236"/>
      <c r="R204" s="236"/>
      <c r="S204" s="236"/>
      <c r="T204" s="236"/>
      <c r="U204" s="236"/>
      <c r="V204" s="236"/>
      <c r="W204" s="236"/>
    </row>
    <row r="205">
      <c r="A205" s="236"/>
      <c r="B205" s="236"/>
      <c r="C205" s="236"/>
      <c r="D205" s="236"/>
      <c r="E205" s="236"/>
      <c r="F205" s="236"/>
      <c r="G205" s="236"/>
      <c r="H205" s="236"/>
      <c r="I205" s="236"/>
      <c r="J205" s="236"/>
      <c r="K205" s="330"/>
      <c r="L205" s="330"/>
      <c r="M205" s="236"/>
      <c r="N205" s="236"/>
      <c r="O205" s="236"/>
      <c r="P205" s="236"/>
      <c r="Q205" s="236"/>
      <c r="R205" s="236"/>
      <c r="S205" s="236"/>
      <c r="T205" s="236"/>
      <c r="U205" s="236"/>
      <c r="V205" s="236"/>
      <c r="W205" s="236"/>
    </row>
    <row r="206">
      <c r="A206" s="236"/>
      <c r="B206" s="236"/>
      <c r="C206" s="236"/>
      <c r="D206" s="236"/>
      <c r="E206" s="236"/>
      <c r="F206" s="236"/>
      <c r="G206" s="236"/>
      <c r="H206" s="236"/>
      <c r="I206" s="236"/>
      <c r="J206" s="236"/>
      <c r="K206" s="330"/>
      <c r="L206" s="330"/>
      <c r="M206" s="236"/>
      <c r="N206" s="236"/>
      <c r="O206" s="236"/>
      <c r="P206" s="236"/>
      <c r="Q206" s="236"/>
      <c r="R206" s="236"/>
      <c r="S206" s="236"/>
      <c r="T206" s="236"/>
      <c r="U206" s="236"/>
      <c r="V206" s="236"/>
      <c r="W206" s="236"/>
    </row>
    <row r="207">
      <c r="A207" s="236"/>
      <c r="B207" s="236"/>
      <c r="C207" s="236"/>
      <c r="D207" s="236"/>
      <c r="E207" s="236"/>
      <c r="F207" s="236"/>
      <c r="G207" s="236"/>
      <c r="H207" s="236"/>
      <c r="I207" s="236"/>
      <c r="J207" s="236"/>
      <c r="K207" s="330"/>
      <c r="L207" s="330"/>
      <c r="M207" s="236"/>
      <c r="N207" s="236"/>
      <c r="O207" s="236"/>
      <c r="P207" s="236"/>
      <c r="Q207" s="236"/>
      <c r="R207" s="236"/>
      <c r="S207" s="236"/>
      <c r="T207" s="236"/>
      <c r="U207" s="236"/>
      <c r="V207" s="236"/>
      <c r="W207" s="236"/>
    </row>
    <row r="208">
      <c r="A208" s="236"/>
      <c r="B208" s="236"/>
      <c r="C208" s="236"/>
      <c r="D208" s="236"/>
      <c r="E208" s="236"/>
      <c r="F208" s="236"/>
      <c r="G208" s="236"/>
      <c r="H208" s="236"/>
      <c r="I208" s="236"/>
      <c r="J208" s="236"/>
      <c r="K208" s="330"/>
      <c r="L208" s="330"/>
      <c r="M208" s="236"/>
      <c r="N208" s="236"/>
      <c r="O208" s="236"/>
      <c r="P208" s="236"/>
      <c r="Q208" s="236"/>
      <c r="R208" s="236"/>
      <c r="S208" s="236"/>
      <c r="T208" s="236"/>
      <c r="U208" s="236"/>
      <c r="V208" s="236"/>
      <c r="W208" s="236"/>
    </row>
    <row r="209">
      <c r="A209" s="236"/>
      <c r="B209" s="236"/>
      <c r="C209" s="236"/>
      <c r="D209" s="236"/>
      <c r="E209" s="236"/>
      <c r="F209" s="236"/>
      <c r="G209" s="236"/>
      <c r="H209" s="236"/>
      <c r="I209" s="236"/>
      <c r="J209" s="236"/>
      <c r="K209" s="330"/>
      <c r="L209" s="330"/>
      <c r="M209" s="236"/>
      <c r="N209" s="236"/>
      <c r="O209" s="236"/>
      <c r="P209" s="236"/>
      <c r="Q209" s="236"/>
      <c r="R209" s="236"/>
      <c r="S209" s="236"/>
      <c r="T209" s="236"/>
      <c r="U209" s="236"/>
      <c r="V209" s="236"/>
      <c r="W209" s="236"/>
    </row>
    <row r="210">
      <c r="A210" s="236"/>
      <c r="B210" s="236"/>
      <c r="C210" s="236"/>
      <c r="D210" s="236"/>
      <c r="E210" s="236"/>
      <c r="F210" s="236"/>
      <c r="G210" s="236"/>
      <c r="H210" s="236"/>
      <c r="I210" s="236"/>
      <c r="J210" s="236"/>
      <c r="K210" s="330"/>
      <c r="L210" s="330"/>
      <c r="M210" s="236"/>
      <c r="N210" s="236"/>
      <c r="O210" s="236"/>
      <c r="P210" s="236"/>
      <c r="Q210" s="236"/>
      <c r="R210" s="236"/>
      <c r="S210" s="236"/>
      <c r="T210" s="236"/>
      <c r="U210" s="236"/>
      <c r="V210" s="236"/>
      <c r="W210" s="236"/>
    </row>
    <row r="211">
      <c r="A211" s="236"/>
      <c r="B211" s="236"/>
      <c r="C211" s="236"/>
      <c r="D211" s="236"/>
      <c r="E211" s="236"/>
      <c r="F211" s="236"/>
      <c r="G211" s="236"/>
      <c r="H211" s="236"/>
      <c r="I211" s="236"/>
      <c r="J211" s="236"/>
      <c r="K211" s="330"/>
      <c r="L211" s="330"/>
      <c r="M211" s="236"/>
      <c r="N211" s="236"/>
      <c r="O211" s="236"/>
      <c r="P211" s="236"/>
      <c r="Q211" s="236"/>
      <c r="R211" s="236"/>
      <c r="S211" s="236"/>
      <c r="T211" s="236"/>
      <c r="U211" s="236"/>
      <c r="V211" s="236"/>
      <c r="W211" s="236"/>
    </row>
    <row r="212">
      <c r="A212" s="236"/>
      <c r="B212" s="236"/>
      <c r="C212" s="236"/>
      <c r="D212" s="236"/>
      <c r="E212" s="236"/>
      <c r="F212" s="236"/>
      <c r="G212" s="236"/>
      <c r="H212" s="236"/>
      <c r="I212" s="236"/>
      <c r="J212" s="236"/>
      <c r="K212" s="330"/>
      <c r="L212" s="330"/>
      <c r="M212" s="236"/>
      <c r="N212" s="236"/>
      <c r="O212" s="236"/>
      <c r="P212" s="236"/>
      <c r="Q212" s="236"/>
      <c r="R212" s="236"/>
      <c r="S212" s="236"/>
      <c r="T212" s="236"/>
      <c r="U212" s="236"/>
      <c r="V212" s="236"/>
      <c r="W212" s="236"/>
    </row>
    <row r="213">
      <c r="A213" s="236"/>
      <c r="B213" s="236"/>
      <c r="C213" s="236"/>
      <c r="D213" s="236"/>
      <c r="E213" s="236"/>
      <c r="F213" s="236"/>
      <c r="G213" s="236"/>
      <c r="H213" s="236"/>
      <c r="I213" s="236"/>
      <c r="J213" s="236"/>
      <c r="K213" s="330"/>
      <c r="L213" s="330"/>
      <c r="M213" s="236"/>
      <c r="N213" s="236"/>
      <c r="O213" s="236"/>
      <c r="P213" s="236"/>
      <c r="Q213" s="236"/>
      <c r="R213" s="236"/>
      <c r="S213" s="236"/>
      <c r="T213" s="236"/>
      <c r="U213" s="236"/>
      <c r="V213" s="236"/>
      <c r="W213" s="236"/>
    </row>
    <row r="214">
      <c r="A214" s="236"/>
      <c r="B214" s="236"/>
      <c r="C214" s="236"/>
      <c r="D214" s="236"/>
      <c r="E214" s="236"/>
      <c r="F214" s="236"/>
      <c r="G214" s="236"/>
      <c r="H214" s="236"/>
      <c r="I214" s="236"/>
      <c r="J214" s="236"/>
      <c r="K214" s="330"/>
      <c r="L214" s="330"/>
      <c r="M214" s="236"/>
      <c r="N214" s="236"/>
      <c r="O214" s="236"/>
      <c r="P214" s="236"/>
      <c r="Q214" s="236"/>
      <c r="R214" s="236"/>
      <c r="S214" s="236"/>
      <c r="T214" s="236"/>
      <c r="U214" s="236"/>
      <c r="V214" s="236"/>
      <c r="W214" s="236"/>
    </row>
    <row r="215">
      <c r="A215" s="236"/>
      <c r="B215" s="236"/>
      <c r="C215" s="236"/>
      <c r="D215" s="236"/>
      <c r="E215" s="236"/>
      <c r="F215" s="236"/>
      <c r="G215" s="236"/>
      <c r="H215" s="236"/>
      <c r="I215" s="236"/>
      <c r="J215" s="236"/>
      <c r="K215" s="330"/>
      <c r="L215" s="330"/>
      <c r="M215" s="236"/>
      <c r="N215" s="236"/>
      <c r="O215" s="236"/>
      <c r="P215" s="236"/>
      <c r="Q215" s="236"/>
      <c r="R215" s="236"/>
      <c r="S215" s="236"/>
      <c r="T215" s="236"/>
      <c r="U215" s="236"/>
      <c r="V215" s="236"/>
      <c r="W215" s="236"/>
    </row>
    <row r="216">
      <c r="A216" s="236"/>
      <c r="B216" s="236"/>
      <c r="C216" s="236"/>
      <c r="D216" s="236"/>
      <c r="E216" s="236"/>
      <c r="F216" s="236"/>
      <c r="G216" s="236"/>
      <c r="H216" s="236"/>
      <c r="I216" s="236"/>
      <c r="J216" s="236"/>
      <c r="K216" s="330"/>
      <c r="L216" s="330"/>
      <c r="M216" s="236"/>
      <c r="N216" s="236"/>
      <c r="O216" s="236"/>
      <c r="P216" s="236"/>
      <c r="Q216" s="236"/>
      <c r="R216" s="236"/>
      <c r="S216" s="236"/>
      <c r="T216" s="236"/>
      <c r="U216" s="236"/>
      <c r="V216" s="236"/>
      <c r="W216" s="236"/>
    </row>
    <row r="217">
      <c r="A217" s="236"/>
      <c r="B217" s="236"/>
      <c r="C217" s="236"/>
      <c r="D217" s="236"/>
      <c r="E217" s="236"/>
      <c r="F217" s="236"/>
      <c r="G217" s="236"/>
      <c r="H217" s="236"/>
      <c r="I217" s="236"/>
      <c r="J217" s="236"/>
      <c r="K217" s="330"/>
      <c r="L217" s="330"/>
      <c r="M217" s="236"/>
      <c r="N217" s="236"/>
      <c r="O217" s="236"/>
      <c r="P217" s="236"/>
      <c r="Q217" s="236"/>
      <c r="R217" s="236"/>
      <c r="S217" s="236"/>
      <c r="T217" s="236"/>
      <c r="U217" s="236"/>
      <c r="V217" s="236"/>
      <c r="W217" s="236"/>
    </row>
    <row r="218">
      <c r="A218" s="236"/>
      <c r="B218" s="236"/>
      <c r="C218" s="236"/>
      <c r="D218" s="236"/>
      <c r="E218" s="236"/>
      <c r="F218" s="236"/>
      <c r="G218" s="236"/>
      <c r="H218" s="236"/>
      <c r="I218" s="236"/>
      <c r="J218" s="236"/>
      <c r="K218" s="330"/>
      <c r="L218" s="330"/>
      <c r="M218" s="236"/>
      <c r="N218" s="236"/>
      <c r="O218" s="236"/>
      <c r="P218" s="236"/>
      <c r="Q218" s="236"/>
      <c r="R218" s="236"/>
      <c r="S218" s="236"/>
      <c r="T218" s="236"/>
      <c r="U218" s="236"/>
      <c r="V218" s="236"/>
      <c r="W218" s="236"/>
    </row>
    <row r="219">
      <c r="A219" s="236"/>
      <c r="B219" s="236"/>
      <c r="C219" s="236"/>
      <c r="D219" s="236"/>
      <c r="E219" s="236"/>
      <c r="F219" s="236"/>
      <c r="G219" s="236"/>
      <c r="H219" s="236"/>
      <c r="I219" s="236"/>
      <c r="J219" s="236"/>
      <c r="K219" s="330"/>
      <c r="L219" s="330"/>
      <c r="M219" s="236"/>
      <c r="N219" s="236"/>
      <c r="O219" s="236"/>
      <c r="P219" s="236"/>
      <c r="Q219" s="236"/>
      <c r="R219" s="236"/>
      <c r="S219" s="236"/>
      <c r="T219" s="236"/>
      <c r="U219" s="236"/>
      <c r="V219" s="236"/>
      <c r="W219" s="236"/>
    </row>
    <row r="220">
      <c r="A220" s="236"/>
      <c r="B220" s="236"/>
      <c r="C220" s="236"/>
      <c r="D220" s="236"/>
      <c r="E220" s="236"/>
      <c r="F220" s="236"/>
      <c r="G220" s="236"/>
      <c r="H220" s="236"/>
      <c r="I220" s="236"/>
      <c r="J220" s="236"/>
      <c r="K220" s="330"/>
      <c r="L220" s="330"/>
      <c r="M220" s="236"/>
      <c r="N220" s="236"/>
      <c r="O220" s="236"/>
      <c r="P220" s="236"/>
      <c r="Q220" s="236"/>
      <c r="R220" s="236"/>
      <c r="S220" s="236"/>
      <c r="T220" s="236"/>
      <c r="U220" s="236"/>
      <c r="V220" s="236"/>
      <c r="W220" s="236"/>
    </row>
    <row r="221">
      <c r="A221" s="236"/>
      <c r="B221" s="236"/>
      <c r="C221" s="236"/>
      <c r="D221" s="236"/>
      <c r="E221" s="236"/>
      <c r="F221" s="236"/>
      <c r="G221" s="236"/>
      <c r="H221" s="236"/>
      <c r="I221" s="236"/>
      <c r="J221" s="236"/>
      <c r="K221" s="330"/>
      <c r="L221" s="330"/>
      <c r="M221" s="236"/>
      <c r="N221" s="236"/>
      <c r="O221" s="236"/>
      <c r="P221" s="236"/>
      <c r="Q221" s="236"/>
      <c r="R221" s="236"/>
      <c r="S221" s="236"/>
      <c r="T221" s="236"/>
      <c r="U221" s="236"/>
      <c r="V221" s="236"/>
      <c r="W221" s="236"/>
    </row>
    <row r="222">
      <c r="A222" s="236"/>
      <c r="B222" s="236"/>
      <c r="C222" s="236"/>
      <c r="D222" s="236"/>
      <c r="E222" s="236"/>
      <c r="F222" s="236"/>
      <c r="G222" s="236"/>
      <c r="H222" s="236"/>
      <c r="I222" s="236"/>
      <c r="J222" s="236"/>
      <c r="K222" s="330"/>
      <c r="L222" s="330"/>
      <c r="M222" s="236"/>
      <c r="N222" s="236"/>
      <c r="O222" s="236"/>
      <c r="P222" s="236"/>
      <c r="Q222" s="236"/>
      <c r="R222" s="236"/>
      <c r="S222" s="236"/>
      <c r="T222" s="236"/>
      <c r="U222" s="236"/>
      <c r="V222" s="236"/>
      <c r="W222" s="236"/>
    </row>
    <row r="223">
      <c r="A223" s="236"/>
      <c r="B223" s="236"/>
      <c r="C223" s="236"/>
      <c r="D223" s="236"/>
      <c r="E223" s="236"/>
      <c r="F223" s="236"/>
      <c r="G223" s="236"/>
      <c r="H223" s="236"/>
      <c r="I223" s="236"/>
      <c r="J223" s="236"/>
      <c r="K223" s="330"/>
      <c r="L223" s="330"/>
      <c r="M223" s="236"/>
      <c r="N223" s="236"/>
      <c r="O223" s="236"/>
      <c r="P223" s="236"/>
      <c r="Q223" s="236"/>
      <c r="R223" s="236"/>
      <c r="S223" s="236"/>
      <c r="T223" s="236"/>
      <c r="U223" s="236"/>
      <c r="V223" s="236"/>
      <c r="W223" s="236"/>
    </row>
    <row r="224">
      <c r="A224" s="236"/>
      <c r="B224" s="236"/>
      <c r="C224" s="236"/>
      <c r="D224" s="236"/>
      <c r="E224" s="236"/>
      <c r="F224" s="236"/>
      <c r="G224" s="236"/>
      <c r="H224" s="236"/>
      <c r="I224" s="236"/>
      <c r="J224" s="236"/>
      <c r="K224" s="330"/>
      <c r="L224" s="330"/>
      <c r="M224" s="236"/>
      <c r="N224" s="236"/>
      <c r="O224" s="236"/>
      <c r="P224" s="236"/>
      <c r="Q224" s="236"/>
      <c r="R224" s="236"/>
      <c r="S224" s="236"/>
      <c r="T224" s="236"/>
      <c r="U224" s="236"/>
      <c r="V224" s="236"/>
      <c r="W224" s="236"/>
    </row>
    <row r="225">
      <c r="A225" s="236"/>
      <c r="B225" s="236"/>
      <c r="C225" s="236"/>
      <c r="D225" s="236"/>
      <c r="E225" s="236"/>
      <c r="F225" s="236"/>
      <c r="G225" s="236"/>
      <c r="H225" s="236"/>
      <c r="I225" s="236"/>
      <c r="J225" s="236"/>
      <c r="K225" s="330"/>
      <c r="L225" s="330"/>
      <c r="M225" s="236"/>
      <c r="N225" s="236"/>
      <c r="O225" s="236"/>
      <c r="P225" s="236"/>
      <c r="Q225" s="236"/>
      <c r="R225" s="236"/>
      <c r="S225" s="236"/>
      <c r="T225" s="236"/>
      <c r="U225" s="236"/>
      <c r="V225" s="236"/>
      <c r="W225" s="236"/>
    </row>
    <row r="226">
      <c r="A226" s="236"/>
      <c r="B226" s="236"/>
      <c r="C226" s="236"/>
      <c r="D226" s="236"/>
      <c r="E226" s="236"/>
      <c r="F226" s="236"/>
      <c r="G226" s="236"/>
      <c r="H226" s="236"/>
      <c r="I226" s="236"/>
      <c r="J226" s="236"/>
      <c r="K226" s="330"/>
      <c r="L226" s="330"/>
      <c r="M226" s="236"/>
      <c r="N226" s="236"/>
      <c r="O226" s="236"/>
      <c r="P226" s="236"/>
      <c r="Q226" s="236"/>
      <c r="R226" s="236"/>
      <c r="S226" s="236"/>
      <c r="T226" s="236"/>
      <c r="U226" s="236"/>
      <c r="V226" s="236"/>
      <c r="W226" s="236"/>
    </row>
    <row r="227">
      <c r="A227" s="236"/>
      <c r="B227" s="236"/>
      <c r="C227" s="236"/>
      <c r="D227" s="236"/>
      <c r="E227" s="236"/>
      <c r="F227" s="236"/>
      <c r="G227" s="236"/>
      <c r="H227" s="236"/>
      <c r="I227" s="236"/>
      <c r="J227" s="236"/>
      <c r="K227" s="330"/>
      <c r="L227" s="330"/>
      <c r="M227" s="236"/>
      <c r="N227" s="236"/>
      <c r="O227" s="236"/>
      <c r="P227" s="236"/>
      <c r="Q227" s="236"/>
      <c r="R227" s="236"/>
      <c r="S227" s="236"/>
      <c r="T227" s="236"/>
      <c r="U227" s="236"/>
      <c r="V227" s="236"/>
      <c r="W227" s="236"/>
    </row>
    <row r="228">
      <c r="A228" s="236"/>
      <c r="B228" s="236"/>
      <c r="C228" s="236"/>
      <c r="D228" s="236"/>
      <c r="E228" s="236"/>
      <c r="F228" s="236"/>
      <c r="G228" s="236"/>
      <c r="H228" s="236"/>
      <c r="I228" s="236"/>
      <c r="J228" s="236"/>
      <c r="K228" s="330"/>
      <c r="L228" s="330"/>
      <c r="M228" s="236"/>
      <c r="N228" s="236"/>
      <c r="O228" s="236"/>
      <c r="P228" s="236"/>
      <c r="Q228" s="236"/>
      <c r="R228" s="236"/>
      <c r="S228" s="236"/>
      <c r="T228" s="236"/>
      <c r="U228" s="236"/>
      <c r="V228" s="236"/>
      <c r="W228" s="236"/>
    </row>
    <row r="229">
      <c r="A229" s="236"/>
      <c r="B229" s="236"/>
      <c r="C229" s="236"/>
      <c r="D229" s="236"/>
      <c r="E229" s="236"/>
      <c r="F229" s="236"/>
      <c r="G229" s="236"/>
      <c r="H229" s="236"/>
      <c r="I229" s="236"/>
      <c r="J229" s="236"/>
      <c r="K229" s="330"/>
      <c r="L229" s="330"/>
      <c r="M229" s="236"/>
      <c r="N229" s="236"/>
      <c r="O229" s="236"/>
      <c r="P229" s="236"/>
      <c r="Q229" s="236"/>
      <c r="R229" s="236"/>
      <c r="S229" s="236"/>
      <c r="T229" s="236"/>
      <c r="U229" s="236"/>
      <c r="V229" s="236"/>
      <c r="W229" s="236"/>
    </row>
    <row r="230">
      <c r="A230" s="236"/>
      <c r="B230" s="236"/>
      <c r="C230" s="236"/>
      <c r="D230" s="236"/>
      <c r="E230" s="236"/>
      <c r="F230" s="236"/>
      <c r="G230" s="236"/>
      <c r="H230" s="236"/>
      <c r="I230" s="236"/>
      <c r="J230" s="236"/>
      <c r="K230" s="330"/>
      <c r="L230" s="330"/>
      <c r="M230" s="236"/>
      <c r="N230" s="236"/>
      <c r="O230" s="236"/>
      <c r="P230" s="236"/>
      <c r="Q230" s="236"/>
      <c r="R230" s="236"/>
      <c r="S230" s="236"/>
      <c r="T230" s="236"/>
      <c r="U230" s="236"/>
      <c r="V230" s="236"/>
      <c r="W230" s="236"/>
    </row>
    <row r="231">
      <c r="A231" s="236"/>
      <c r="B231" s="236"/>
      <c r="C231" s="236"/>
      <c r="D231" s="236"/>
      <c r="E231" s="236"/>
      <c r="F231" s="236"/>
      <c r="G231" s="236"/>
      <c r="H231" s="236"/>
      <c r="I231" s="236"/>
      <c r="J231" s="236"/>
      <c r="K231" s="330"/>
      <c r="L231" s="330"/>
      <c r="M231" s="236"/>
      <c r="N231" s="236"/>
      <c r="O231" s="236"/>
      <c r="P231" s="236"/>
      <c r="Q231" s="236"/>
      <c r="R231" s="236"/>
      <c r="S231" s="236"/>
      <c r="T231" s="236"/>
      <c r="U231" s="236"/>
      <c r="V231" s="236"/>
      <c r="W231" s="236"/>
    </row>
    <row r="232">
      <c r="A232" s="236"/>
      <c r="B232" s="236"/>
      <c r="C232" s="236"/>
      <c r="D232" s="236"/>
      <c r="E232" s="236"/>
      <c r="F232" s="236"/>
      <c r="G232" s="236"/>
      <c r="H232" s="236"/>
      <c r="I232" s="236"/>
      <c r="J232" s="236"/>
      <c r="K232" s="330"/>
      <c r="L232" s="330"/>
      <c r="M232" s="236"/>
      <c r="N232" s="236"/>
      <c r="O232" s="236"/>
      <c r="P232" s="236"/>
      <c r="Q232" s="236"/>
      <c r="R232" s="236"/>
      <c r="S232" s="236"/>
      <c r="T232" s="236"/>
      <c r="U232" s="236"/>
      <c r="V232" s="236"/>
      <c r="W232" s="236"/>
    </row>
    <row r="233">
      <c r="A233" s="236"/>
      <c r="B233" s="236"/>
      <c r="C233" s="236"/>
      <c r="D233" s="236"/>
      <c r="E233" s="236"/>
      <c r="F233" s="236"/>
      <c r="G233" s="236"/>
      <c r="H233" s="236"/>
      <c r="I233" s="236"/>
      <c r="J233" s="236"/>
      <c r="K233" s="330"/>
      <c r="L233" s="330"/>
      <c r="M233" s="236"/>
      <c r="N233" s="236"/>
      <c r="O233" s="236"/>
      <c r="P233" s="236"/>
      <c r="Q233" s="236"/>
      <c r="R233" s="236"/>
      <c r="S233" s="236"/>
      <c r="T233" s="236"/>
      <c r="U233" s="236"/>
      <c r="V233" s="236"/>
      <c r="W233" s="236"/>
    </row>
    <row r="234">
      <c r="A234" s="236"/>
      <c r="B234" s="236"/>
      <c r="C234" s="236"/>
      <c r="D234" s="236"/>
      <c r="E234" s="236"/>
      <c r="F234" s="236"/>
      <c r="G234" s="236"/>
      <c r="H234" s="236"/>
      <c r="I234" s="236"/>
      <c r="J234" s="236"/>
      <c r="K234" s="330"/>
      <c r="L234" s="330"/>
      <c r="M234" s="236"/>
      <c r="N234" s="236"/>
      <c r="O234" s="236"/>
      <c r="P234" s="236"/>
      <c r="Q234" s="236"/>
      <c r="R234" s="236"/>
      <c r="S234" s="236"/>
      <c r="T234" s="236"/>
      <c r="U234" s="236"/>
      <c r="V234" s="236"/>
      <c r="W234" s="236"/>
    </row>
    <row r="235">
      <c r="A235" s="236"/>
      <c r="B235" s="236"/>
      <c r="C235" s="236"/>
      <c r="D235" s="236"/>
      <c r="E235" s="236"/>
      <c r="F235" s="236"/>
      <c r="G235" s="236"/>
      <c r="H235" s="236"/>
      <c r="I235" s="236"/>
      <c r="J235" s="236"/>
      <c r="K235" s="330"/>
      <c r="L235" s="330"/>
      <c r="M235" s="236"/>
      <c r="N235" s="236"/>
      <c r="O235" s="236"/>
      <c r="P235" s="236"/>
      <c r="Q235" s="236"/>
      <c r="R235" s="236"/>
      <c r="S235" s="236"/>
      <c r="T235" s="236"/>
      <c r="U235" s="236"/>
      <c r="V235" s="236"/>
      <c r="W235" s="236"/>
    </row>
    <row r="236">
      <c r="A236" s="236"/>
      <c r="B236" s="236"/>
      <c r="C236" s="236"/>
      <c r="D236" s="236"/>
      <c r="E236" s="236"/>
      <c r="F236" s="236"/>
      <c r="G236" s="236"/>
      <c r="H236" s="236"/>
      <c r="I236" s="236"/>
      <c r="J236" s="236"/>
      <c r="K236" s="330"/>
      <c r="L236" s="330"/>
      <c r="M236" s="236"/>
      <c r="N236" s="236"/>
      <c r="O236" s="236"/>
      <c r="P236" s="236"/>
      <c r="Q236" s="236"/>
      <c r="R236" s="236"/>
      <c r="S236" s="236"/>
      <c r="T236" s="236"/>
      <c r="U236" s="236"/>
      <c r="V236" s="236"/>
      <c r="W236" s="236"/>
    </row>
    <row r="237">
      <c r="A237" s="236"/>
      <c r="B237" s="236"/>
      <c r="C237" s="236"/>
      <c r="D237" s="236"/>
      <c r="E237" s="236"/>
      <c r="F237" s="236"/>
      <c r="G237" s="236"/>
      <c r="H237" s="236"/>
      <c r="I237" s="236"/>
      <c r="J237" s="236"/>
      <c r="K237" s="330"/>
      <c r="L237" s="330"/>
      <c r="M237" s="236"/>
      <c r="N237" s="236"/>
      <c r="O237" s="236"/>
      <c r="P237" s="236"/>
      <c r="Q237" s="236"/>
      <c r="R237" s="236"/>
      <c r="S237" s="236"/>
      <c r="T237" s="236"/>
      <c r="U237" s="236"/>
      <c r="V237" s="236"/>
      <c r="W237" s="236"/>
    </row>
    <row r="238">
      <c r="A238" s="236"/>
      <c r="B238" s="236"/>
      <c r="C238" s="236"/>
      <c r="D238" s="236"/>
      <c r="E238" s="236"/>
      <c r="F238" s="236"/>
      <c r="G238" s="236"/>
      <c r="H238" s="236"/>
      <c r="I238" s="236"/>
      <c r="J238" s="236"/>
      <c r="K238" s="330"/>
      <c r="L238" s="330"/>
      <c r="M238" s="236"/>
      <c r="N238" s="236"/>
      <c r="O238" s="236"/>
      <c r="P238" s="236"/>
      <c r="Q238" s="236"/>
      <c r="R238" s="236"/>
      <c r="S238" s="236"/>
      <c r="T238" s="236"/>
      <c r="U238" s="236"/>
      <c r="V238" s="236"/>
      <c r="W238" s="236"/>
    </row>
    <row r="239">
      <c r="A239" s="236"/>
      <c r="B239" s="236"/>
      <c r="C239" s="236"/>
      <c r="D239" s="236"/>
      <c r="E239" s="236"/>
      <c r="F239" s="236"/>
      <c r="G239" s="236"/>
      <c r="H239" s="236"/>
      <c r="I239" s="236"/>
      <c r="J239" s="236"/>
      <c r="K239" s="330"/>
      <c r="L239" s="330"/>
      <c r="M239" s="236"/>
      <c r="N239" s="236"/>
      <c r="O239" s="236"/>
      <c r="P239" s="236"/>
      <c r="Q239" s="236"/>
      <c r="R239" s="236"/>
      <c r="S239" s="236"/>
      <c r="T239" s="236"/>
      <c r="U239" s="236"/>
      <c r="V239" s="236"/>
      <c r="W239" s="236"/>
    </row>
    <row r="240">
      <c r="A240" s="236"/>
      <c r="B240" s="236"/>
      <c r="C240" s="236"/>
      <c r="D240" s="236"/>
      <c r="E240" s="236"/>
      <c r="F240" s="236"/>
      <c r="G240" s="236"/>
      <c r="H240" s="236"/>
      <c r="I240" s="236"/>
      <c r="J240" s="236"/>
      <c r="K240" s="330"/>
      <c r="L240" s="330"/>
      <c r="M240" s="236"/>
      <c r="N240" s="236"/>
      <c r="O240" s="236"/>
      <c r="P240" s="236"/>
      <c r="Q240" s="236"/>
      <c r="R240" s="236"/>
      <c r="S240" s="236"/>
      <c r="T240" s="236"/>
      <c r="U240" s="236"/>
      <c r="V240" s="236"/>
      <c r="W240" s="236"/>
    </row>
    <row r="241">
      <c r="A241" s="236"/>
      <c r="B241" s="236"/>
      <c r="C241" s="236"/>
      <c r="D241" s="236"/>
      <c r="E241" s="236"/>
      <c r="F241" s="236"/>
      <c r="G241" s="236"/>
      <c r="H241" s="236"/>
      <c r="I241" s="236"/>
      <c r="J241" s="236"/>
      <c r="K241" s="330"/>
      <c r="L241" s="330"/>
      <c r="M241" s="236"/>
      <c r="N241" s="236"/>
      <c r="O241" s="236"/>
      <c r="P241" s="236"/>
      <c r="Q241" s="236"/>
      <c r="R241" s="236"/>
      <c r="S241" s="236"/>
      <c r="T241" s="236"/>
      <c r="U241" s="236"/>
      <c r="V241" s="236"/>
      <c r="W241" s="236"/>
    </row>
    <row r="242">
      <c r="A242" s="236"/>
      <c r="B242" s="236"/>
      <c r="C242" s="236"/>
      <c r="D242" s="236"/>
      <c r="E242" s="236"/>
      <c r="F242" s="236"/>
      <c r="G242" s="236"/>
      <c r="H242" s="236"/>
      <c r="I242" s="236"/>
      <c r="J242" s="236"/>
      <c r="K242" s="330"/>
      <c r="L242" s="330"/>
      <c r="M242" s="236"/>
      <c r="N242" s="236"/>
      <c r="O242" s="236"/>
      <c r="P242" s="236"/>
      <c r="Q242" s="236"/>
      <c r="R242" s="236"/>
      <c r="S242" s="236"/>
      <c r="T242" s="236"/>
      <c r="U242" s="236"/>
      <c r="V242" s="236"/>
      <c r="W242" s="236"/>
    </row>
    <row r="243">
      <c r="A243" s="236"/>
      <c r="B243" s="236"/>
      <c r="C243" s="236"/>
      <c r="D243" s="236"/>
      <c r="E243" s="236"/>
      <c r="F243" s="236"/>
      <c r="G243" s="236"/>
      <c r="H243" s="236"/>
      <c r="I243" s="236"/>
      <c r="J243" s="236"/>
      <c r="K243" s="330"/>
      <c r="L243" s="330"/>
      <c r="M243" s="236"/>
      <c r="N243" s="236"/>
      <c r="O243" s="236"/>
      <c r="P243" s="236"/>
      <c r="Q243" s="236"/>
      <c r="R243" s="236"/>
      <c r="S243" s="236"/>
      <c r="T243" s="236"/>
      <c r="U243" s="236"/>
      <c r="V243" s="236"/>
      <c r="W243" s="236"/>
    </row>
    <row r="244">
      <c r="A244" s="236"/>
      <c r="B244" s="236"/>
      <c r="C244" s="236"/>
      <c r="D244" s="236"/>
      <c r="E244" s="236"/>
      <c r="F244" s="236"/>
      <c r="G244" s="236"/>
      <c r="H244" s="236"/>
      <c r="I244" s="236"/>
      <c r="J244" s="236"/>
      <c r="K244" s="330"/>
      <c r="L244" s="330"/>
      <c r="M244" s="236"/>
      <c r="N244" s="236"/>
      <c r="O244" s="236"/>
      <c r="P244" s="236"/>
      <c r="Q244" s="236"/>
      <c r="R244" s="236"/>
      <c r="S244" s="236"/>
      <c r="T244" s="236"/>
      <c r="U244" s="236"/>
      <c r="V244" s="236"/>
      <c r="W244" s="236"/>
    </row>
    <row r="245">
      <c r="A245" s="236"/>
      <c r="B245" s="236"/>
      <c r="C245" s="236"/>
      <c r="D245" s="236"/>
      <c r="E245" s="236"/>
      <c r="F245" s="236"/>
      <c r="G245" s="236"/>
      <c r="H245" s="236"/>
      <c r="I245" s="236"/>
      <c r="J245" s="236"/>
      <c r="K245" s="330"/>
      <c r="L245" s="330"/>
      <c r="M245" s="236"/>
      <c r="N245" s="236"/>
      <c r="O245" s="236"/>
      <c r="P245" s="236"/>
      <c r="Q245" s="236"/>
      <c r="R245" s="236"/>
      <c r="S245" s="236"/>
      <c r="T245" s="236"/>
      <c r="U245" s="236"/>
      <c r="V245" s="236"/>
      <c r="W245" s="236"/>
    </row>
    <row r="246">
      <c r="A246" s="236"/>
      <c r="B246" s="236"/>
      <c r="C246" s="236"/>
      <c r="D246" s="236"/>
      <c r="E246" s="236"/>
      <c r="F246" s="236"/>
      <c r="G246" s="236"/>
      <c r="H246" s="236"/>
      <c r="I246" s="236"/>
      <c r="J246" s="236"/>
      <c r="K246" s="330"/>
      <c r="L246" s="330"/>
      <c r="M246" s="236"/>
      <c r="N246" s="236"/>
      <c r="O246" s="236"/>
      <c r="P246" s="236"/>
      <c r="Q246" s="236"/>
      <c r="R246" s="236"/>
      <c r="S246" s="236"/>
      <c r="T246" s="236"/>
      <c r="U246" s="236"/>
      <c r="V246" s="236"/>
      <c r="W246" s="236"/>
    </row>
    <row r="247">
      <c r="A247" s="236"/>
      <c r="B247" s="236"/>
      <c r="C247" s="236"/>
      <c r="D247" s="236"/>
      <c r="E247" s="236"/>
      <c r="F247" s="236"/>
      <c r="G247" s="236"/>
      <c r="H247" s="236"/>
      <c r="I247" s="236"/>
      <c r="J247" s="236"/>
      <c r="K247" s="330"/>
      <c r="L247" s="330"/>
      <c r="M247" s="236"/>
      <c r="N247" s="236"/>
      <c r="O247" s="236"/>
      <c r="P247" s="236"/>
      <c r="Q247" s="236"/>
      <c r="R247" s="236"/>
      <c r="S247" s="236"/>
      <c r="T247" s="236"/>
      <c r="U247" s="236"/>
      <c r="V247" s="236"/>
      <c r="W247" s="236"/>
    </row>
    <row r="248">
      <c r="A248" s="236"/>
      <c r="B248" s="236"/>
      <c r="C248" s="236"/>
      <c r="D248" s="236"/>
      <c r="E248" s="236"/>
      <c r="F248" s="236"/>
      <c r="G248" s="236"/>
      <c r="H248" s="236"/>
      <c r="I248" s="236"/>
      <c r="J248" s="236"/>
      <c r="K248" s="330"/>
      <c r="L248" s="330"/>
      <c r="M248" s="236"/>
      <c r="N248" s="236"/>
      <c r="O248" s="236"/>
      <c r="P248" s="236"/>
      <c r="Q248" s="236"/>
      <c r="R248" s="236"/>
      <c r="S248" s="236"/>
      <c r="T248" s="236"/>
      <c r="U248" s="236"/>
      <c r="V248" s="236"/>
      <c r="W248" s="236"/>
    </row>
    <row r="249">
      <c r="A249" s="236"/>
      <c r="B249" s="236"/>
      <c r="C249" s="236"/>
      <c r="D249" s="236"/>
      <c r="E249" s="236"/>
      <c r="F249" s="236"/>
      <c r="G249" s="236"/>
      <c r="H249" s="236"/>
      <c r="I249" s="236"/>
      <c r="J249" s="236"/>
      <c r="K249" s="330"/>
      <c r="L249" s="330"/>
      <c r="M249" s="236"/>
      <c r="N249" s="236"/>
      <c r="O249" s="236"/>
      <c r="P249" s="236"/>
      <c r="Q249" s="236"/>
      <c r="R249" s="236"/>
      <c r="S249" s="236"/>
      <c r="T249" s="236"/>
      <c r="U249" s="236"/>
      <c r="V249" s="236"/>
      <c r="W249" s="236"/>
    </row>
    <row r="250">
      <c r="A250" s="236"/>
      <c r="B250" s="236"/>
      <c r="C250" s="236"/>
      <c r="D250" s="236"/>
      <c r="E250" s="236"/>
      <c r="F250" s="236"/>
      <c r="G250" s="236"/>
      <c r="H250" s="236"/>
      <c r="I250" s="236"/>
      <c r="J250" s="236"/>
      <c r="K250" s="330"/>
      <c r="L250" s="330"/>
      <c r="M250" s="236"/>
      <c r="N250" s="236"/>
      <c r="O250" s="236"/>
      <c r="P250" s="236"/>
      <c r="Q250" s="236"/>
      <c r="R250" s="236"/>
      <c r="S250" s="236"/>
      <c r="T250" s="236"/>
      <c r="U250" s="236"/>
      <c r="V250" s="236"/>
      <c r="W250" s="236"/>
    </row>
    <row r="251">
      <c r="A251" s="236"/>
      <c r="B251" s="236"/>
      <c r="C251" s="236"/>
      <c r="D251" s="236"/>
      <c r="E251" s="236"/>
      <c r="F251" s="236"/>
      <c r="G251" s="236"/>
      <c r="H251" s="236"/>
      <c r="I251" s="236"/>
      <c r="J251" s="236"/>
      <c r="K251" s="330"/>
      <c r="L251" s="330"/>
      <c r="M251" s="236"/>
      <c r="N251" s="236"/>
      <c r="O251" s="236"/>
      <c r="P251" s="236"/>
      <c r="Q251" s="236"/>
      <c r="R251" s="236"/>
      <c r="S251" s="236"/>
      <c r="T251" s="236"/>
      <c r="U251" s="236"/>
      <c r="V251" s="236"/>
      <c r="W251" s="236"/>
    </row>
    <row r="252">
      <c r="A252" s="236"/>
      <c r="B252" s="236"/>
      <c r="C252" s="236"/>
      <c r="D252" s="236"/>
      <c r="E252" s="236"/>
      <c r="F252" s="236"/>
      <c r="G252" s="236"/>
      <c r="H252" s="236"/>
      <c r="I252" s="236"/>
      <c r="J252" s="236"/>
      <c r="K252" s="330"/>
      <c r="L252" s="330"/>
      <c r="M252" s="236"/>
      <c r="N252" s="236"/>
      <c r="O252" s="236"/>
      <c r="P252" s="236"/>
      <c r="Q252" s="236"/>
      <c r="R252" s="236"/>
      <c r="S252" s="236"/>
      <c r="T252" s="236"/>
      <c r="U252" s="236"/>
      <c r="V252" s="236"/>
      <c r="W252" s="236"/>
    </row>
    <row r="253">
      <c r="A253" s="236"/>
      <c r="B253" s="236"/>
      <c r="C253" s="236"/>
      <c r="D253" s="236"/>
      <c r="E253" s="236"/>
      <c r="F253" s="236"/>
      <c r="G253" s="236"/>
      <c r="H253" s="236"/>
      <c r="I253" s="236"/>
      <c r="J253" s="236"/>
      <c r="K253" s="330"/>
      <c r="L253" s="330"/>
      <c r="M253" s="236"/>
      <c r="N253" s="236"/>
      <c r="O253" s="236"/>
      <c r="P253" s="236"/>
      <c r="Q253" s="236"/>
      <c r="R253" s="236"/>
      <c r="S253" s="236"/>
      <c r="T253" s="236"/>
      <c r="U253" s="236"/>
      <c r="V253" s="236"/>
      <c r="W253" s="236"/>
    </row>
    <row r="254">
      <c r="A254" s="236"/>
      <c r="B254" s="236"/>
      <c r="C254" s="236"/>
      <c r="D254" s="236"/>
      <c r="E254" s="236"/>
      <c r="F254" s="236"/>
      <c r="G254" s="236"/>
      <c r="H254" s="236"/>
      <c r="I254" s="236"/>
      <c r="J254" s="236"/>
      <c r="K254" s="330"/>
      <c r="L254" s="330"/>
      <c r="M254" s="236"/>
      <c r="N254" s="236"/>
      <c r="O254" s="236"/>
      <c r="P254" s="236"/>
      <c r="Q254" s="236"/>
      <c r="R254" s="236"/>
      <c r="S254" s="236"/>
      <c r="T254" s="236"/>
      <c r="U254" s="236"/>
      <c r="V254" s="236"/>
      <c r="W254" s="236"/>
    </row>
    <row r="255">
      <c r="A255" s="236"/>
      <c r="B255" s="236"/>
      <c r="C255" s="236"/>
      <c r="D255" s="236"/>
      <c r="E255" s="236"/>
      <c r="F255" s="236"/>
      <c r="G255" s="236"/>
      <c r="H255" s="236"/>
      <c r="I255" s="236"/>
      <c r="J255" s="236"/>
      <c r="K255" s="330"/>
      <c r="L255" s="330"/>
      <c r="M255" s="236"/>
      <c r="N255" s="236"/>
      <c r="O255" s="236"/>
      <c r="P255" s="236"/>
      <c r="Q255" s="236"/>
      <c r="R255" s="236"/>
      <c r="S255" s="236"/>
      <c r="T255" s="236"/>
      <c r="U255" s="236"/>
      <c r="V255" s="236"/>
      <c r="W255" s="236"/>
    </row>
    <row r="256">
      <c r="A256" s="236"/>
      <c r="B256" s="236"/>
      <c r="C256" s="236"/>
      <c r="D256" s="236"/>
      <c r="E256" s="236"/>
      <c r="F256" s="236"/>
      <c r="G256" s="236"/>
      <c r="H256" s="236"/>
      <c r="I256" s="236"/>
      <c r="J256" s="236"/>
      <c r="K256" s="330"/>
      <c r="L256" s="330"/>
      <c r="M256" s="236"/>
      <c r="N256" s="236"/>
      <c r="O256" s="236"/>
      <c r="P256" s="236"/>
      <c r="Q256" s="236"/>
      <c r="R256" s="236"/>
      <c r="S256" s="236"/>
      <c r="T256" s="236"/>
      <c r="U256" s="236"/>
      <c r="V256" s="236"/>
      <c r="W256" s="236"/>
    </row>
    <row r="257">
      <c r="A257" s="236"/>
      <c r="B257" s="236"/>
      <c r="C257" s="236"/>
      <c r="D257" s="236"/>
      <c r="E257" s="236"/>
      <c r="F257" s="236"/>
      <c r="G257" s="236"/>
      <c r="H257" s="236"/>
      <c r="I257" s="236"/>
      <c r="J257" s="236"/>
      <c r="K257" s="330"/>
      <c r="L257" s="330"/>
      <c r="M257" s="236"/>
      <c r="N257" s="236"/>
      <c r="O257" s="236"/>
      <c r="P257" s="236"/>
      <c r="Q257" s="236"/>
      <c r="R257" s="236"/>
      <c r="S257" s="236"/>
      <c r="T257" s="236"/>
      <c r="U257" s="236"/>
      <c r="V257" s="236"/>
      <c r="W257" s="236"/>
    </row>
    <row r="258">
      <c r="A258" s="236"/>
      <c r="B258" s="236"/>
      <c r="C258" s="236"/>
      <c r="D258" s="236"/>
      <c r="E258" s="236"/>
      <c r="F258" s="236"/>
      <c r="G258" s="236"/>
      <c r="H258" s="236"/>
      <c r="I258" s="236"/>
      <c r="J258" s="236"/>
      <c r="K258" s="330"/>
      <c r="L258" s="330"/>
      <c r="M258" s="236"/>
      <c r="N258" s="236"/>
      <c r="O258" s="236"/>
      <c r="P258" s="236"/>
      <c r="Q258" s="236"/>
      <c r="R258" s="236"/>
      <c r="S258" s="236"/>
      <c r="T258" s="236"/>
      <c r="U258" s="236"/>
      <c r="V258" s="236"/>
      <c r="W258" s="236"/>
    </row>
    <row r="259">
      <c r="A259" s="236"/>
      <c r="B259" s="236"/>
      <c r="C259" s="236"/>
      <c r="D259" s="236"/>
      <c r="E259" s="236"/>
      <c r="F259" s="236"/>
      <c r="G259" s="236"/>
      <c r="H259" s="236"/>
      <c r="I259" s="236"/>
      <c r="J259" s="236"/>
      <c r="K259" s="330"/>
      <c r="L259" s="330"/>
      <c r="M259" s="236"/>
      <c r="N259" s="236"/>
      <c r="O259" s="236"/>
      <c r="P259" s="236"/>
      <c r="Q259" s="236"/>
      <c r="R259" s="236"/>
      <c r="S259" s="236"/>
      <c r="T259" s="236"/>
      <c r="U259" s="236"/>
      <c r="V259" s="236"/>
      <c r="W259" s="236"/>
    </row>
    <row r="260">
      <c r="A260" s="236"/>
      <c r="B260" s="236"/>
      <c r="C260" s="236"/>
      <c r="D260" s="236"/>
      <c r="E260" s="236"/>
      <c r="F260" s="236"/>
      <c r="G260" s="236"/>
      <c r="H260" s="236"/>
      <c r="I260" s="236"/>
      <c r="J260" s="236"/>
      <c r="K260" s="330"/>
      <c r="L260" s="330"/>
      <c r="M260" s="236"/>
      <c r="N260" s="236"/>
      <c r="O260" s="236"/>
      <c r="P260" s="236"/>
      <c r="Q260" s="236"/>
      <c r="R260" s="236"/>
      <c r="S260" s="236"/>
      <c r="T260" s="236"/>
      <c r="U260" s="236"/>
      <c r="V260" s="236"/>
      <c r="W260" s="236"/>
    </row>
    <row r="261">
      <c r="A261" s="236"/>
      <c r="B261" s="236"/>
      <c r="C261" s="236"/>
      <c r="D261" s="236"/>
      <c r="E261" s="236"/>
      <c r="F261" s="236"/>
      <c r="G261" s="236"/>
      <c r="H261" s="236"/>
      <c r="I261" s="236"/>
      <c r="J261" s="236"/>
      <c r="K261" s="330"/>
      <c r="L261" s="330"/>
      <c r="M261" s="236"/>
      <c r="N261" s="236"/>
      <c r="O261" s="236"/>
      <c r="P261" s="236"/>
      <c r="Q261" s="236"/>
      <c r="R261" s="236"/>
      <c r="S261" s="236"/>
      <c r="T261" s="236"/>
      <c r="U261" s="236"/>
      <c r="V261" s="236"/>
      <c r="W261" s="236"/>
    </row>
    <row r="262">
      <c r="A262" s="236"/>
      <c r="B262" s="236"/>
      <c r="C262" s="236"/>
      <c r="D262" s="236"/>
      <c r="E262" s="236"/>
      <c r="F262" s="236"/>
      <c r="G262" s="236"/>
      <c r="H262" s="236"/>
      <c r="I262" s="236"/>
      <c r="J262" s="236"/>
      <c r="K262" s="330"/>
      <c r="L262" s="330"/>
      <c r="M262" s="236"/>
      <c r="N262" s="236"/>
      <c r="O262" s="236"/>
      <c r="P262" s="236"/>
      <c r="Q262" s="236"/>
      <c r="R262" s="236"/>
      <c r="S262" s="236"/>
      <c r="T262" s="236"/>
      <c r="U262" s="236"/>
      <c r="V262" s="236"/>
      <c r="W262" s="236"/>
    </row>
    <row r="263">
      <c r="A263" s="236"/>
      <c r="B263" s="236"/>
      <c r="C263" s="236"/>
      <c r="D263" s="236"/>
      <c r="E263" s="236"/>
      <c r="F263" s="236"/>
      <c r="G263" s="236"/>
      <c r="H263" s="236"/>
      <c r="I263" s="236"/>
      <c r="J263" s="236"/>
      <c r="K263" s="330"/>
      <c r="L263" s="330"/>
      <c r="M263" s="236"/>
      <c r="N263" s="236"/>
      <c r="O263" s="236"/>
      <c r="P263" s="236"/>
      <c r="Q263" s="236"/>
      <c r="R263" s="236"/>
      <c r="S263" s="236"/>
      <c r="T263" s="236"/>
      <c r="U263" s="236"/>
      <c r="V263" s="236"/>
      <c r="W263" s="236"/>
    </row>
    <row r="264">
      <c r="A264" s="236"/>
      <c r="B264" s="236"/>
      <c r="C264" s="236"/>
      <c r="D264" s="236"/>
      <c r="E264" s="236"/>
      <c r="F264" s="236"/>
      <c r="G264" s="236"/>
      <c r="H264" s="236"/>
      <c r="I264" s="236"/>
      <c r="J264" s="236"/>
      <c r="K264" s="330"/>
      <c r="L264" s="330"/>
      <c r="M264" s="236"/>
      <c r="N264" s="236"/>
      <c r="O264" s="236"/>
      <c r="P264" s="236"/>
      <c r="Q264" s="236"/>
      <c r="R264" s="236"/>
      <c r="S264" s="236"/>
      <c r="T264" s="236"/>
      <c r="U264" s="236"/>
      <c r="V264" s="236"/>
      <c r="W264" s="236"/>
    </row>
    <row r="265">
      <c r="A265" s="236"/>
      <c r="B265" s="236"/>
      <c r="C265" s="236"/>
      <c r="D265" s="236"/>
      <c r="E265" s="236"/>
      <c r="F265" s="236"/>
      <c r="G265" s="236"/>
      <c r="H265" s="236"/>
      <c r="I265" s="236"/>
      <c r="J265" s="236"/>
      <c r="K265" s="330"/>
      <c r="L265" s="330"/>
      <c r="M265" s="236"/>
      <c r="N265" s="236"/>
      <c r="O265" s="236"/>
      <c r="P265" s="236"/>
      <c r="Q265" s="236"/>
      <c r="R265" s="236"/>
      <c r="S265" s="236"/>
      <c r="T265" s="236"/>
      <c r="U265" s="236"/>
      <c r="V265" s="236"/>
      <c r="W265" s="236"/>
    </row>
    <row r="266">
      <c r="A266" s="236"/>
      <c r="B266" s="236"/>
      <c r="C266" s="236"/>
      <c r="D266" s="236"/>
      <c r="E266" s="236"/>
      <c r="F266" s="236"/>
      <c r="G266" s="236"/>
      <c r="H266" s="236"/>
      <c r="I266" s="236"/>
      <c r="J266" s="236"/>
      <c r="K266" s="330"/>
      <c r="L266" s="330"/>
      <c r="M266" s="236"/>
      <c r="N266" s="236"/>
      <c r="O266" s="236"/>
      <c r="P266" s="236"/>
      <c r="Q266" s="236"/>
      <c r="R266" s="236"/>
      <c r="S266" s="236"/>
      <c r="T266" s="236"/>
      <c r="U266" s="236"/>
      <c r="V266" s="236"/>
      <c r="W266" s="236"/>
    </row>
    <row r="267">
      <c r="A267" s="236"/>
      <c r="B267" s="236"/>
      <c r="C267" s="236"/>
      <c r="D267" s="236"/>
      <c r="E267" s="236"/>
      <c r="F267" s="236"/>
      <c r="G267" s="236"/>
      <c r="H267" s="236"/>
      <c r="I267" s="236"/>
      <c r="J267" s="236"/>
      <c r="K267" s="330"/>
      <c r="L267" s="330"/>
      <c r="M267" s="236"/>
      <c r="N267" s="236"/>
      <c r="O267" s="236"/>
      <c r="P267" s="236"/>
      <c r="Q267" s="236"/>
      <c r="R267" s="236"/>
      <c r="S267" s="236"/>
      <c r="T267" s="236"/>
      <c r="U267" s="236"/>
      <c r="V267" s="236"/>
      <c r="W267" s="236"/>
    </row>
    <row r="268">
      <c r="A268" s="236"/>
      <c r="B268" s="236"/>
      <c r="C268" s="236"/>
      <c r="D268" s="236"/>
      <c r="E268" s="236"/>
      <c r="F268" s="236"/>
      <c r="G268" s="236"/>
      <c r="H268" s="236"/>
      <c r="I268" s="236"/>
      <c r="J268" s="236"/>
      <c r="K268" s="330"/>
      <c r="L268" s="330"/>
      <c r="M268" s="236"/>
      <c r="N268" s="236"/>
      <c r="O268" s="236"/>
      <c r="P268" s="236"/>
      <c r="Q268" s="236"/>
      <c r="R268" s="236"/>
      <c r="S268" s="236"/>
      <c r="T268" s="236"/>
      <c r="U268" s="236"/>
      <c r="V268" s="236"/>
      <c r="W268" s="236"/>
    </row>
    <row r="269">
      <c r="A269" s="236"/>
      <c r="B269" s="236"/>
      <c r="C269" s="236"/>
      <c r="D269" s="236"/>
      <c r="E269" s="236"/>
      <c r="F269" s="236"/>
      <c r="G269" s="236"/>
      <c r="H269" s="236"/>
      <c r="I269" s="236"/>
      <c r="J269" s="236"/>
      <c r="K269" s="330"/>
      <c r="L269" s="330"/>
      <c r="M269" s="236"/>
      <c r="N269" s="236"/>
      <c r="O269" s="236"/>
      <c r="P269" s="236"/>
      <c r="Q269" s="236"/>
      <c r="R269" s="236"/>
      <c r="S269" s="236"/>
      <c r="T269" s="236"/>
      <c r="U269" s="236"/>
      <c r="V269" s="236"/>
      <c r="W269" s="236"/>
    </row>
    <row r="270">
      <c r="A270" s="236"/>
      <c r="B270" s="236"/>
      <c r="C270" s="236"/>
      <c r="D270" s="236"/>
      <c r="E270" s="236"/>
      <c r="F270" s="236"/>
      <c r="G270" s="236"/>
      <c r="H270" s="236"/>
      <c r="I270" s="236"/>
      <c r="J270" s="236"/>
      <c r="K270" s="330"/>
      <c r="L270" s="330"/>
      <c r="M270" s="236"/>
      <c r="N270" s="236"/>
      <c r="O270" s="236"/>
      <c r="P270" s="236"/>
      <c r="Q270" s="236"/>
      <c r="R270" s="236"/>
      <c r="S270" s="236"/>
      <c r="T270" s="236"/>
      <c r="U270" s="236"/>
      <c r="V270" s="236"/>
      <c r="W270" s="236"/>
    </row>
    <row r="271">
      <c r="A271" s="236"/>
      <c r="B271" s="236"/>
      <c r="C271" s="236"/>
      <c r="D271" s="236"/>
      <c r="E271" s="236"/>
      <c r="F271" s="236"/>
      <c r="G271" s="236"/>
      <c r="H271" s="236"/>
      <c r="I271" s="236"/>
      <c r="J271" s="236"/>
      <c r="K271" s="330"/>
      <c r="L271" s="330"/>
      <c r="M271" s="236"/>
      <c r="N271" s="236"/>
      <c r="O271" s="236"/>
      <c r="P271" s="236"/>
      <c r="Q271" s="236"/>
      <c r="R271" s="236"/>
      <c r="S271" s="236"/>
      <c r="T271" s="236"/>
      <c r="U271" s="236"/>
      <c r="V271" s="236"/>
      <c r="W271" s="236"/>
    </row>
    <row r="272">
      <c r="A272" s="236"/>
      <c r="B272" s="236"/>
      <c r="C272" s="236"/>
      <c r="D272" s="236"/>
      <c r="E272" s="236"/>
      <c r="F272" s="236"/>
      <c r="G272" s="236"/>
      <c r="H272" s="236"/>
      <c r="I272" s="236"/>
      <c r="J272" s="236"/>
      <c r="K272" s="330"/>
      <c r="L272" s="330"/>
      <c r="M272" s="236"/>
      <c r="N272" s="236"/>
      <c r="O272" s="236"/>
      <c r="P272" s="236"/>
      <c r="Q272" s="236"/>
      <c r="R272" s="236"/>
      <c r="S272" s="236"/>
      <c r="T272" s="236"/>
      <c r="U272" s="236"/>
      <c r="V272" s="236"/>
      <c r="W272" s="236"/>
    </row>
    <row r="273">
      <c r="A273" s="236"/>
      <c r="B273" s="236"/>
      <c r="C273" s="236"/>
      <c r="D273" s="236"/>
      <c r="E273" s="236"/>
      <c r="F273" s="236"/>
      <c r="G273" s="236"/>
      <c r="H273" s="236"/>
      <c r="I273" s="236"/>
      <c r="J273" s="236"/>
      <c r="K273" s="330"/>
      <c r="L273" s="330"/>
      <c r="M273" s="236"/>
      <c r="N273" s="236"/>
      <c r="O273" s="236"/>
      <c r="P273" s="236"/>
      <c r="Q273" s="236"/>
      <c r="R273" s="236"/>
      <c r="S273" s="236"/>
      <c r="T273" s="236"/>
      <c r="U273" s="236"/>
      <c r="V273" s="236"/>
      <c r="W273" s="236"/>
    </row>
    <row r="274">
      <c r="A274" s="236"/>
      <c r="B274" s="236"/>
      <c r="C274" s="236"/>
      <c r="D274" s="236"/>
      <c r="E274" s="236"/>
      <c r="F274" s="236"/>
      <c r="G274" s="236"/>
      <c r="H274" s="236"/>
      <c r="I274" s="236"/>
      <c r="J274" s="236"/>
      <c r="K274" s="330"/>
      <c r="L274" s="330"/>
      <c r="M274" s="236"/>
      <c r="N274" s="236"/>
      <c r="O274" s="236"/>
      <c r="P274" s="236"/>
      <c r="Q274" s="236"/>
      <c r="R274" s="236"/>
      <c r="S274" s="236"/>
      <c r="T274" s="236"/>
      <c r="U274" s="236"/>
      <c r="V274" s="236"/>
      <c r="W274" s="236"/>
    </row>
    <row r="275">
      <c r="A275" s="236"/>
      <c r="B275" s="236"/>
      <c r="C275" s="236"/>
      <c r="D275" s="236"/>
      <c r="E275" s="236"/>
      <c r="F275" s="236"/>
      <c r="G275" s="236"/>
      <c r="H275" s="236"/>
      <c r="I275" s="236"/>
      <c r="J275" s="236"/>
      <c r="K275" s="330"/>
      <c r="L275" s="330"/>
      <c r="M275" s="236"/>
      <c r="N275" s="236"/>
      <c r="O275" s="236"/>
      <c r="P275" s="236"/>
      <c r="Q275" s="236"/>
      <c r="R275" s="236"/>
      <c r="S275" s="236"/>
      <c r="T275" s="236"/>
      <c r="U275" s="236"/>
      <c r="V275" s="236"/>
      <c r="W275" s="236"/>
    </row>
    <row r="276">
      <c r="A276" s="236"/>
      <c r="B276" s="236"/>
      <c r="C276" s="236"/>
      <c r="D276" s="236"/>
      <c r="E276" s="236"/>
      <c r="F276" s="236"/>
      <c r="G276" s="236"/>
      <c r="H276" s="236"/>
      <c r="I276" s="236"/>
      <c r="J276" s="236"/>
      <c r="K276" s="330"/>
      <c r="L276" s="330"/>
      <c r="M276" s="236"/>
      <c r="N276" s="236"/>
      <c r="O276" s="236"/>
      <c r="P276" s="236"/>
      <c r="Q276" s="236"/>
      <c r="R276" s="236"/>
      <c r="S276" s="236"/>
      <c r="T276" s="236"/>
      <c r="U276" s="236"/>
      <c r="V276" s="236"/>
      <c r="W276" s="236"/>
    </row>
    <row r="277">
      <c r="A277" s="236"/>
      <c r="B277" s="236"/>
      <c r="C277" s="236"/>
      <c r="D277" s="236"/>
      <c r="E277" s="236"/>
      <c r="F277" s="236"/>
      <c r="G277" s="236"/>
      <c r="H277" s="236"/>
      <c r="I277" s="236"/>
      <c r="J277" s="236"/>
      <c r="K277" s="330"/>
      <c r="L277" s="330"/>
      <c r="M277" s="236"/>
      <c r="N277" s="236"/>
      <c r="O277" s="236"/>
      <c r="P277" s="236"/>
      <c r="Q277" s="236"/>
      <c r="R277" s="236"/>
      <c r="S277" s="236"/>
      <c r="T277" s="236"/>
      <c r="U277" s="236"/>
      <c r="V277" s="236"/>
      <c r="W277" s="236"/>
    </row>
    <row r="278">
      <c r="A278" s="236"/>
      <c r="B278" s="236"/>
      <c r="C278" s="236"/>
      <c r="D278" s="236"/>
      <c r="E278" s="236"/>
      <c r="F278" s="236"/>
      <c r="G278" s="236"/>
      <c r="H278" s="236"/>
      <c r="I278" s="236"/>
      <c r="J278" s="236"/>
      <c r="K278" s="330"/>
      <c r="L278" s="330"/>
      <c r="M278" s="236"/>
      <c r="N278" s="236"/>
      <c r="O278" s="236"/>
      <c r="P278" s="236"/>
      <c r="Q278" s="236"/>
      <c r="R278" s="236"/>
      <c r="S278" s="236"/>
      <c r="T278" s="236"/>
      <c r="U278" s="236"/>
      <c r="V278" s="236"/>
      <c r="W278" s="236"/>
    </row>
    <row r="279">
      <c r="A279" s="236"/>
      <c r="B279" s="236"/>
      <c r="C279" s="236"/>
      <c r="D279" s="236"/>
      <c r="E279" s="236"/>
      <c r="F279" s="236"/>
      <c r="G279" s="236"/>
      <c r="H279" s="236"/>
      <c r="I279" s="236"/>
      <c r="J279" s="236"/>
      <c r="K279" s="330"/>
      <c r="L279" s="330"/>
      <c r="M279" s="236"/>
      <c r="N279" s="236"/>
      <c r="O279" s="236"/>
      <c r="P279" s="236"/>
      <c r="Q279" s="236"/>
      <c r="R279" s="236"/>
      <c r="S279" s="236"/>
      <c r="T279" s="236"/>
      <c r="U279" s="236"/>
      <c r="V279" s="236"/>
      <c r="W279" s="236"/>
    </row>
    <row r="280">
      <c r="A280" s="236"/>
      <c r="B280" s="236"/>
      <c r="C280" s="236"/>
      <c r="D280" s="236"/>
      <c r="E280" s="236"/>
      <c r="F280" s="236"/>
      <c r="G280" s="236"/>
      <c r="H280" s="236"/>
      <c r="I280" s="236"/>
      <c r="J280" s="236"/>
      <c r="K280" s="330"/>
      <c r="L280" s="330"/>
      <c r="M280" s="236"/>
      <c r="N280" s="236"/>
      <c r="O280" s="236"/>
      <c r="P280" s="236"/>
      <c r="Q280" s="236"/>
      <c r="R280" s="236"/>
      <c r="S280" s="236"/>
      <c r="T280" s="236"/>
      <c r="U280" s="236"/>
      <c r="V280" s="236"/>
      <c r="W280" s="236"/>
    </row>
    <row r="281">
      <c r="A281" s="236"/>
      <c r="B281" s="236"/>
      <c r="C281" s="236"/>
      <c r="D281" s="236"/>
      <c r="E281" s="236"/>
      <c r="F281" s="236"/>
      <c r="G281" s="236"/>
      <c r="H281" s="236"/>
      <c r="I281" s="236"/>
      <c r="J281" s="236"/>
      <c r="K281" s="330"/>
      <c r="L281" s="330"/>
      <c r="M281" s="236"/>
      <c r="N281" s="236"/>
      <c r="O281" s="236"/>
      <c r="P281" s="236"/>
      <c r="Q281" s="236"/>
      <c r="R281" s="236"/>
      <c r="S281" s="236"/>
      <c r="T281" s="236"/>
      <c r="U281" s="236"/>
      <c r="V281" s="236"/>
      <c r="W281" s="236"/>
    </row>
    <row r="282">
      <c r="A282" s="236"/>
      <c r="B282" s="236"/>
      <c r="C282" s="236"/>
      <c r="D282" s="236"/>
      <c r="E282" s="236"/>
      <c r="F282" s="236"/>
      <c r="G282" s="236"/>
      <c r="H282" s="236"/>
      <c r="I282" s="236"/>
      <c r="J282" s="236"/>
      <c r="K282" s="330"/>
      <c r="L282" s="330"/>
      <c r="M282" s="236"/>
      <c r="N282" s="236"/>
      <c r="O282" s="236"/>
      <c r="P282" s="236"/>
      <c r="Q282" s="236"/>
      <c r="R282" s="236"/>
      <c r="S282" s="236"/>
      <c r="T282" s="236"/>
      <c r="U282" s="236"/>
      <c r="V282" s="236"/>
      <c r="W282" s="236"/>
    </row>
    <row r="283">
      <c r="A283" s="236"/>
      <c r="B283" s="236"/>
      <c r="C283" s="236"/>
      <c r="D283" s="236"/>
      <c r="E283" s="236"/>
      <c r="F283" s="236"/>
      <c r="G283" s="236"/>
      <c r="H283" s="236"/>
      <c r="I283" s="236"/>
      <c r="J283" s="236"/>
      <c r="K283" s="330"/>
      <c r="L283" s="330"/>
      <c r="M283" s="236"/>
      <c r="N283" s="236"/>
      <c r="O283" s="236"/>
      <c r="P283" s="236"/>
      <c r="Q283" s="236"/>
      <c r="R283" s="236"/>
      <c r="S283" s="236"/>
      <c r="T283" s="236"/>
      <c r="U283" s="236"/>
      <c r="V283" s="236"/>
      <c r="W283" s="236"/>
    </row>
    <row r="284">
      <c r="A284" s="236"/>
      <c r="B284" s="236"/>
      <c r="C284" s="236"/>
      <c r="D284" s="236"/>
      <c r="E284" s="236"/>
      <c r="F284" s="236"/>
      <c r="G284" s="236"/>
      <c r="H284" s="236"/>
      <c r="I284" s="236"/>
      <c r="J284" s="236"/>
      <c r="K284" s="330"/>
      <c r="L284" s="330"/>
      <c r="M284" s="236"/>
      <c r="N284" s="236"/>
      <c r="O284" s="236"/>
      <c r="P284" s="236"/>
      <c r="Q284" s="236"/>
      <c r="R284" s="236"/>
      <c r="S284" s="236"/>
      <c r="T284" s="236"/>
      <c r="U284" s="236"/>
      <c r="V284" s="236"/>
      <c r="W284" s="236"/>
    </row>
    <row r="285">
      <c r="A285" s="236"/>
      <c r="B285" s="236"/>
      <c r="C285" s="236"/>
      <c r="D285" s="236"/>
      <c r="E285" s="236"/>
      <c r="F285" s="236"/>
      <c r="G285" s="236"/>
      <c r="H285" s="236"/>
      <c r="I285" s="236"/>
      <c r="J285" s="236"/>
      <c r="K285" s="330"/>
      <c r="L285" s="330"/>
      <c r="M285" s="236"/>
      <c r="N285" s="236"/>
      <c r="O285" s="236"/>
      <c r="P285" s="236"/>
      <c r="Q285" s="236"/>
      <c r="R285" s="236"/>
      <c r="S285" s="236"/>
      <c r="T285" s="236"/>
      <c r="U285" s="236"/>
      <c r="V285" s="236"/>
      <c r="W285" s="236"/>
    </row>
    <row r="286">
      <c r="A286" s="236"/>
      <c r="B286" s="236"/>
      <c r="C286" s="236"/>
      <c r="D286" s="236"/>
      <c r="E286" s="236"/>
      <c r="F286" s="236"/>
      <c r="G286" s="236"/>
      <c r="H286" s="236"/>
      <c r="I286" s="236"/>
      <c r="J286" s="236"/>
      <c r="K286" s="330"/>
      <c r="L286" s="330"/>
      <c r="M286" s="236"/>
      <c r="N286" s="236"/>
      <c r="O286" s="236"/>
      <c r="P286" s="236"/>
      <c r="Q286" s="236"/>
      <c r="R286" s="236"/>
      <c r="S286" s="236"/>
      <c r="T286" s="236"/>
      <c r="U286" s="236"/>
      <c r="V286" s="236"/>
      <c r="W286" s="236"/>
    </row>
    <row r="287">
      <c r="A287" s="236"/>
      <c r="B287" s="236"/>
      <c r="C287" s="236"/>
      <c r="D287" s="236"/>
      <c r="E287" s="236"/>
      <c r="F287" s="236"/>
      <c r="G287" s="236"/>
      <c r="H287" s="236"/>
      <c r="I287" s="236"/>
      <c r="J287" s="236"/>
      <c r="K287" s="330"/>
      <c r="L287" s="330"/>
      <c r="M287" s="236"/>
      <c r="N287" s="236"/>
      <c r="O287" s="236"/>
      <c r="P287" s="236"/>
      <c r="Q287" s="236"/>
      <c r="R287" s="236"/>
      <c r="S287" s="236"/>
      <c r="T287" s="236"/>
      <c r="U287" s="236"/>
      <c r="V287" s="236"/>
      <c r="W287" s="236"/>
    </row>
    <row r="288">
      <c r="A288" s="236"/>
      <c r="B288" s="236"/>
      <c r="C288" s="236"/>
      <c r="D288" s="236"/>
      <c r="E288" s="236"/>
      <c r="F288" s="236"/>
      <c r="G288" s="236"/>
      <c r="H288" s="236"/>
      <c r="I288" s="236"/>
      <c r="J288" s="236"/>
      <c r="K288" s="330"/>
      <c r="L288" s="330"/>
      <c r="M288" s="236"/>
      <c r="N288" s="236"/>
      <c r="O288" s="236"/>
      <c r="P288" s="236"/>
      <c r="Q288" s="236"/>
      <c r="R288" s="236"/>
      <c r="S288" s="236"/>
      <c r="T288" s="236"/>
      <c r="U288" s="236"/>
      <c r="V288" s="236"/>
      <c r="W288" s="236"/>
    </row>
    <row r="289">
      <c r="A289" s="236"/>
      <c r="B289" s="236"/>
      <c r="C289" s="236"/>
      <c r="D289" s="236"/>
      <c r="E289" s="236"/>
      <c r="F289" s="236"/>
      <c r="G289" s="236"/>
      <c r="H289" s="236"/>
      <c r="I289" s="236"/>
      <c r="J289" s="236"/>
      <c r="K289" s="330"/>
      <c r="L289" s="330"/>
      <c r="M289" s="236"/>
      <c r="N289" s="236"/>
      <c r="O289" s="236"/>
      <c r="P289" s="236"/>
      <c r="Q289" s="236"/>
      <c r="R289" s="236"/>
      <c r="S289" s="236"/>
      <c r="T289" s="236"/>
      <c r="U289" s="236"/>
      <c r="V289" s="236"/>
      <c r="W289" s="236"/>
    </row>
    <row r="290">
      <c r="A290" s="236"/>
      <c r="B290" s="236"/>
      <c r="C290" s="236"/>
      <c r="D290" s="236"/>
      <c r="E290" s="236"/>
      <c r="F290" s="236"/>
      <c r="G290" s="236"/>
      <c r="H290" s="236"/>
      <c r="I290" s="236"/>
      <c r="J290" s="236"/>
      <c r="K290" s="330"/>
      <c r="L290" s="330"/>
      <c r="M290" s="236"/>
      <c r="N290" s="236"/>
      <c r="O290" s="236"/>
      <c r="P290" s="236"/>
      <c r="Q290" s="236"/>
      <c r="R290" s="236"/>
      <c r="S290" s="236"/>
      <c r="T290" s="236"/>
      <c r="U290" s="236"/>
      <c r="V290" s="236"/>
      <c r="W290" s="236"/>
    </row>
    <row r="291">
      <c r="A291" s="236"/>
      <c r="B291" s="236"/>
      <c r="C291" s="236"/>
      <c r="D291" s="236"/>
      <c r="E291" s="236"/>
      <c r="F291" s="236"/>
      <c r="G291" s="236"/>
      <c r="H291" s="236"/>
      <c r="I291" s="236"/>
      <c r="J291" s="236"/>
      <c r="K291" s="330"/>
      <c r="L291" s="330"/>
      <c r="M291" s="236"/>
      <c r="N291" s="236"/>
      <c r="O291" s="236"/>
      <c r="P291" s="236"/>
      <c r="Q291" s="236"/>
      <c r="R291" s="236"/>
      <c r="S291" s="236"/>
      <c r="T291" s="236"/>
      <c r="U291" s="236"/>
      <c r="V291" s="236"/>
      <c r="W291" s="236"/>
    </row>
    <row r="292">
      <c r="A292" s="236"/>
      <c r="B292" s="236"/>
      <c r="C292" s="236"/>
      <c r="D292" s="236"/>
      <c r="E292" s="236"/>
      <c r="F292" s="236"/>
      <c r="G292" s="236"/>
      <c r="H292" s="236"/>
      <c r="I292" s="236"/>
      <c r="J292" s="236"/>
      <c r="K292" s="330"/>
      <c r="L292" s="330"/>
      <c r="M292" s="236"/>
      <c r="N292" s="236"/>
      <c r="O292" s="236"/>
      <c r="P292" s="236"/>
      <c r="Q292" s="236"/>
      <c r="R292" s="236"/>
      <c r="S292" s="236"/>
      <c r="T292" s="236"/>
      <c r="U292" s="236"/>
      <c r="V292" s="236"/>
      <c r="W292" s="236"/>
    </row>
    <row r="293">
      <c r="A293" s="236"/>
      <c r="B293" s="236"/>
      <c r="C293" s="236"/>
      <c r="D293" s="236"/>
      <c r="E293" s="236"/>
      <c r="F293" s="236"/>
      <c r="G293" s="236"/>
      <c r="H293" s="236"/>
      <c r="I293" s="236"/>
      <c r="J293" s="236"/>
      <c r="K293" s="330"/>
      <c r="L293" s="330"/>
      <c r="M293" s="236"/>
      <c r="N293" s="236"/>
      <c r="O293" s="236"/>
      <c r="P293" s="236"/>
      <c r="Q293" s="236"/>
      <c r="R293" s="236"/>
      <c r="S293" s="236"/>
      <c r="T293" s="236"/>
      <c r="U293" s="236"/>
      <c r="V293" s="236"/>
      <c r="W293" s="236"/>
    </row>
    <row r="294">
      <c r="A294" s="236"/>
      <c r="B294" s="236"/>
      <c r="C294" s="236"/>
      <c r="D294" s="236"/>
      <c r="E294" s="236"/>
      <c r="F294" s="236"/>
      <c r="G294" s="236"/>
      <c r="H294" s="236"/>
      <c r="I294" s="236"/>
      <c r="J294" s="236"/>
      <c r="K294" s="330"/>
      <c r="L294" s="330"/>
      <c r="M294" s="236"/>
      <c r="N294" s="236"/>
      <c r="O294" s="236"/>
      <c r="P294" s="236"/>
      <c r="Q294" s="236"/>
      <c r="R294" s="236"/>
      <c r="S294" s="236"/>
      <c r="T294" s="236"/>
      <c r="U294" s="236"/>
      <c r="V294" s="236"/>
      <c r="W294" s="236"/>
    </row>
    <row r="295">
      <c r="A295" s="236"/>
      <c r="B295" s="236"/>
      <c r="C295" s="236"/>
      <c r="D295" s="236"/>
      <c r="E295" s="236"/>
      <c r="F295" s="236"/>
      <c r="G295" s="236"/>
      <c r="H295" s="236"/>
      <c r="I295" s="236"/>
      <c r="J295" s="236"/>
      <c r="K295" s="330"/>
      <c r="L295" s="330"/>
      <c r="M295" s="236"/>
      <c r="N295" s="236"/>
      <c r="O295" s="236"/>
      <c r="P295" s="236"/>
      <c r="Q295" s="236"/>
      <c r="R295" s="236"/>
      <c r="S295" s="236"/>
      <c r="T295" s="236"/>
      <c r="U295" s="236"/>
      <c r="V295" s="236"/>
      <c r="W295" s="236"/>
    </row>
    <row r="296">
      <c r="A296" s="236"/>
      <c r="B296" s="236"/>
      <c r="C296" s="236"/>
      <c r="D296" s="236"/>
      <c r="E296" s="236"/>
      <c r="F296" s="236"/>
      <c r="G296" s="236"/>
      <c r="H296" s="236"/>
      <c r="I296" s="236"/>
      <c r="J296" s="236"/>
      <c r="K296" s="330"/>
      <c r="L296" s="330"/>
      <c r="M296" s="236"/>
      <c r="N296" s="236"/>
      <c r="O296" s="236"/>
      <c r="P296" s="236"/>
      <c r="Q296" s="236"/>
      <c r="R296" s="236"/>
      <c r="S296" s="236"/>
      <c r="T296" s="236"/>
      <c r="U296" s="236"/>
      <c r="V296" s="236"/>
      <c r="W296" s="236"/>
    </row>
    <row r="297">
      <c r="A297" s="236"/>
      <c r="B297" s="236"/>
      <c r="C297" s="236"/>
      <c r="D297" s="236"/>
      <c r="E297" s="236"/>
      <c r="F297" s="236"/>
      <c r="G297" s="236"/>
      <c r="H297" s="236"/>
      <c r="I297" s="236"/>
      <c r="J297" s="236"/>
      <c r="K297" s="330"/>
      <c r="L297" s="330"/>
      <c r="M297" s="236"/>
      <c r="N297" s="236"/>
      <c r="O297" s="236"/>
      <c r="P297" s="236"/>
      <c r="Q297" s="236"/>
      <c r="R297" s="236"/>
      <c r="S297" s="236"/>
      <c r="T297" s="236"/>
      <c r="U297" s="236"/>
      <c r="V297" s="236"/>
      <c r="W297" s="236"/>
    </row>
    <row r="298">
      <c r="A298" s="236"/>
      <c r="B298" s="236"/>
      <c r="C298" s="236"/>
      <c r="D298" s="236"/>
      <c r="E298" s="236"/>
      <c r="F298" s="236"/>
      <c r="G298" s="236"/>
      <c r="H298" s="236"/>
      <c r="I298" s="236"/>
      <c r="J298" s="236"/>
      <c r="K298" s="330"/>
      <c r="L298" s="330"/>
      <c r="M298" s="236"/>
      <c r="N298" s="236"/>
      <c r="O298" s="236"/>
      <c r="P298" s="236"/>
      <c r="Q298" s="236"/>
      <c r="R298" s="236"/>
      <c r="S298" s="236"/>
      <c r="T298" s="236"/>
      <c r="U298" s="236"/>
      <c r="V298" s="236"/>
      <c r="W298" s="236"/>
    </row>
    <row r="299">
      <c r="A299" s="236"/>
      <c r="B299" s="236"/>
      <c r="C299" s="236"/>
      <c r="D299" s="236"/>
      <c r="E299" s="236"/>
      <c r="F299" s="236"/>
      <c r="G299" s="236"/>
      <c r="H299" s="236"/>
      <c r="I299" s="236"/>
      <c r="J299" s="236"/>
      <c r="K299" s="330"/>
      <c r="L299" s="330"/>
      <c r="M299" s="236"/>
      <c r="N299" s="236"/>
      <c r="O299" s="236"/>
      <c r="P299" s="236"/>
      <c r="Q299" s="236"/>
      <c r="R299" s="236"/>
      <c r="S299" s="236"/>
      <c r="T299" s="236"/>
      <c r="U299" s="236"/>
      <c r="V299" s="236"/>
      <c r="W299" s="236"/>
    </row>
    <row r="300">
      <c r="A300" s="236"/>
      <c r="B300" s="236"/>
      <c r="C300" s="236"/>
      <c r="D300" s="236"/>
      <c r="E300" s="236"/>
      <c r="F300" s="236"/>
      <c r="G300" s="236"/>
      <c r="H300" s="236"/>
      <c r="I300" s="236"/>
      <c r="J300" s="236"/>
      <c r="K300" s="330"/>
      <c r="L300" s="330"/>
      <c r="M300" s="236"/>
      <c r="N300" s="236"/>
      <c r="O300" s="236"/>
      <c r="P300" s="236"/>
      <c r="Q300" s="236"/>
      <c r="R300" s="236"/>
      <c r="S300" s="236"/>
      <c r="T300" s="236"/>
      <c r="U300" s="236"/>
      <c r="V300" s="236"/>
      <c r="W300" s="236"/>
    </row>
    <row r="301">
      <c r="A301" s="236"/>
      <c r="B301" s="236"/>
      <c r="C301" s="236"/>
      <c r="D301" s="236"/>
      <c r="E301" s="236"/>
      <c r="F301" s="236"/>
      <c r="G301" s="236"/>
      <c r="H301" s="236"/>
      <c r="I301" s="236"/>
      <c r="J301" s="236"/>
      <c r="K301" s="330"/>
      <c r="L301" s="330"/>
      <c r="M301" s="236"/>
      <c r="N301" s="236"/>
      <c r="O301" s="236"/>
      <c r="P301" s="236"/>
      <c r="Q301" s="236"/>
      <c r="R301" s="236"/>
      <c r="S301" s="236"/>
      <c r="T301" s="236"/>
      <c r="U301" s="236"/>
      <c r="V301" s="236"/>
      <c r="W301" s="236"/>
    </row>
    <row r="302">
      <c r="A302" s="236"/>
      <c r="B302" s="236"/>
      <c r="C302" s="236"/>
      <c r="D302" s="236"/>
      <c r="E302" s="236"/>
      <c r="F302" s="236"/>
      <c r="G302" s="236"/>
      <c r="H302" s="236"/>
      <c r="I302" s="236"/>
      <c r="J302" s="236"/>
      <c r="K302" s="330"/>
      <c r="L302" s="330"/>
      <c r="M302" s="236"/>
      <c r="N302" s="236"/>
      <c r="O302" s="236"/>
      <c r="P302" s="236"/>
      <c r="Q302" s="236"/>
      <c r="R302" s="236"/>
      <c r="S302" s="236"/>
      <c r="T302" s="236"/>
      <c r="U302" s="236"/>
      <c r="V302" s="236"/>
      <c r="W302" s="236"/>
    </row>
    <row r="303">
      <c r="A303" s="236"/>
      <c r="B303" s="236"/>
      <c r="C303" s="236"/>
      <c r="D303" s="236"/>
      <c r="E303" s="236"/>
      <c r="F303" s="236"/>
      <c r="G303" s="236"/>
      <c r="H303" s="236"/>
      <c r="I303" s="236"/>
      <c r="J303" s="236"/>
      <c r="K303" s="330"/>
      <c r="L303" s="330"/>
      <c r="M303" s="236"/>
      <c r="N303" s="236"/>
      <c r="O303" s="236"/>
      <c r="P303" s="236"/>
      <c r="Q303" s="236"/>
      <c r="R303" s="236"/>
      <c r="S303" s="236"/>
      <c r="T303" s="236"/>
      <c r="U303" s="236"/>
      <c r="V303" s="236"/>
      <c r="W303" s="236"/>
    </row>
    <row r="304">
      <c r="A304" s="236"/>
      <c r="B304" s="236"/>
      <c r="C304" s="236"/>
      <c r="D304" s="236"/>
      <c r="E304" s="236"/>
      <c r="F304" s="236"/>
      <c r="G304" s="236"/>
      <c r="H304" s="236"/>
      <c r="I304" s="236"/>
      <c r="J304" s="236"/>
      <c r="K304" s="330"/>
      <c r="L304" s="330"/>
      <c r="M304" s="236"/>
      <c r="N304" s="236"/>
      <c r="O304" s="236"/>
      <c r="P304" s="236"/>
      <c r="Q304" s="236"/>
      <c r="R304" s="236"/>
      <c r="S304" s="236"/>
      <c r="T304" s="236"/>
      <c r="U304" s="236"/>
      <c r="V304" s="236"/>
      <c r="W304" s="236"/>
    </row>
    <row r="305">
      <c r="A305" s="236"/>
      <c r="B305" s="236"/>
      <c r="C305" s="236"/>
      <c r="D305" s="236"/>
      <c r="E305" s="236"/>
      <c r="F305" s="236"/>
      <c r="G305" s="236"/>
      <c r="H305" s="236"/>
      <c r="I305" s="236"/>
      <c r="J305" s="236"/>
      <c r="K305" s="330"/>
      <c r="L305" s="330"/>
      <c r="M305" s="236"/>
      <c r="N305" s="236"/>
      <c r="O305" s="236"/>
      <c r="P305" s="236"/>
      <c r="Q305" s="236"/>
      <c r="R305" s="236"/>
      <c r="S305" s="236"/>
      <c r="T305" s="236"/>
      <c r="U305" s="236"/>
      <c r="V305" s="236"/>
      <c r="W305" s="236"/>
    </row>
    <row r="306">
      <c r="A306" s="236"/>
      <c r="B306" s="236"/>
      <c r="C306" s="236"/>
      <c r="D306" s="236"/>
      <c r="E306" s="236"/>
      <c r="F306" s="236"/>
      <c r="G306" s="236"/>
      <c r="H306" s="236"/>
      <c r="I306" s="236"/>
      <c r="J306" s="236"/>
      <c r="K306" s="330"/>
      <c r="L306" s="330"/>
      <c r="M306" s="236"/>
      <c r="N306" s="236"/>
      <c r="O306" s="236"/>
      <c r="P306" s="236"/>
      <c r="Q306" s="236"/>
      <c r="R306" s="236"/>
      <c r="S306" s="236"/>
      <c r="T306" s="236"/>
      <c r="U306" s="236"/>
      <c r="V306" s="236"/>
      <c r="W306" s="236"/>
    </row>
    <row r="307">
      <c r="A307" s="236"/>
      <c r="B307" s="236"/>
      <c r="C307" s="236"/>
      <c r="D307" s="236"/>
      <c r="E307" s="236"/>
      <c r="F307" s="236"/>
      <c r="G307" s="236"/>
      <c r="H307" s="236"/>
      <c r="I307" s="236"/>
      <c r="J307" s="236"/>
      <c r="K307" s="330"/>
      <c r="L307" s="330"/>
      <c r="M307" s="236"/>
      <c r="N307" s="236"/>
      <c r="O307" s="236"/>
      <c r="P307" s="236"/>
      <c r="Q307" s="236"/>
      <c r="R307" s="236"/>
      <c r="S307" s="236"/>
      <c r="T307" s="236"/>
      <c r="U307" s="236"/>
      <c r="V307" s="236"/>
      <c r="W307" s="236"/>
    </row>
    <row r="308">
      <c r="A308" s="236"/>
      <c r="B308" s="236"/>
      <c r="C308" s="236"/>
      <c r="D308" s="236"/>
      <c r="E308" s="236"/>
      <c r="F308" s="236"/>
      <c r="G308" s="236"/>
      <c r="H308" s="236"/>
      <c r="I308" s="236"/>
      <c r="J308" s="236"/>
      <c r="K308" s="330"/>
      <c r="L308" s="330"/>
      <c r="M308" s="236"/>
      <c r="N308" s="236"/>
      <c r="O308" s="236"/>
      <c r="P308" s="236"/>
      <c r="Q308" s="236"/>
      <c r="R308" s="236"/>
      <c r="S308" s="236"/>
      <c r="T308" s="236"/>
      <c r="U308" s="236"/>
      <c r="V308" s="236"/>
      <c r="W308" s="236"/>
    </row>
    <row r="309">
      <c r="A309" s="236"/>
      <c r="B309" s="236"/>
      <c r="C309" s="236"/>
      <c r="D309" s="236"/>
      <c r="E309" s="236"/>
      <c r="F309" s="236"/>
      <c r="G309" s="236"/>
      <c r="H309" s="236"/>
      <c r="I309" s="236"/>
      <c r="J309" s="236"/>
      <c r="K309" s="330"/>
      <c r="L309" s="330"/>
      <c r="M309" s="236"/>
      <c r="N309" s="236"/>
      <c r="O309" s="236"/>
      <c r="P309" s="236"/>
      <c r="Q309" s="236"/>
      <c r="R309" s="236"/>
      <c r="S309" s="236"/>
      <c r="T309" s="236"/>
      <c r="U309" s="236"/>
      <c r="V309" s="236"/>
      <c r="W309" s="236"/>
    </row>
    <row r="310">
      <c r="A310" s="236"/>
      <c r="B310" s="236"/>
      <c r="C310" s="236"/>
      <c r="D310" s="236"/>
      <c r="E310" s="236"/>
      <c r="F310" s="236"/>
      <c r="G310" s="236"/>
      <c r="H310" s="236"/>
      <c r="I310" s="236"/>
      <c r="J310" s="236"/>
      <c r="K310" s="330"/>
      <c r="L310" s="330"/>
      <c r="M310" s="236"/>
      <c r="N310" s="236"/>
      <c r="O310" s="236"/>
      <c r="P310" s="236"/>
      <c r="Q310" s="236"/>
      <c r="R310" s="236"/>
      <c r="S310" s="236"/>
      <c r="T310" s="236"/>
      <c r="U310" s="236"/>
      <c r="V310" s="236"/>
      <c r="W310" s="236"/>
    </row>
    <row r="311">
      <c r="A311" s="236"/>
      <c r="B311" s="236"/>
      <c r="C311" s="236"/>
      <c r="D311" s="236"/>
      <c r="E311" s="236"/>
      <c r="F311" s="236"/>
      <c r="G311" s="236"/>
      <c r="H311" s="236"/>
      <c r="I311" s="236"/>
      <c r="J311" s="236"/>
      <c r="K311" s="330"/>
      <c r="L311" s="330"/>
      <c r="M311" s="236"/>
      <c r="N311" s="236"/>
      <c r="O311" s="236"/>
      <c r="P311" s="236"/>
      <c r="Q311" s="236"/>
      <c r="R311" s="236"/>
      <c r="S311" s="236"/>
      <c r="T311" s="236"/>
      <c r="U311" s="236"/>
      <c r="V311" s="236"/>
      <c r="W311" s="236"/>
    </row>
    <row r="312">
      <c r="A312" s="236"/>
      <c r="B312" s="236"/>
      <c r="C312" s="236"/>
      <c r="D312" s="236"/>
      <c r="E312" s="236"/>
      <c r="F312" s="236"/>
      <c r="G312" s="236"/>
      <c r="H312" s="236"/>
      <c r="I312" s="236"/>
      <c r="J312" s="236"/>
      <c r="K312" s="330"/>
      <c r="L312" s="330"/>
      <c r="M312" s="236"/>
      <c r="N312" s="236"/>
      <c r="O312" s="236"/>
      <c r="P312" s="236"/>
      <c r="Q312" s="236"/>
      <c r="R312" s="236"/>
      <c r="S312" s="236"/>
      <c r="T312" s="236"/>
      <c r="U312" s="236"/>
      <c r="V312" s="236"/>
      <c r="W312" s="236"/>
    </row>
    <row r="313">
      <c r="A313" s="236"/>
      <c r="B313" s="236"/>
      <c r="C313" s="236"/>
      <c r="D313" s="236"/>
      <c r="E313" s="236"/>
      <c r="F313" s="236"/>
      <c r="G313" s="236"/>
      <c r="H313" s="236"/>
      <c r="I313" s="236"/>
      <c r="J313" s="236"/>
      <c r="K313" s="330"/>
      <c r="L313" s="330"/>
      <c r="M313" s="236"/>
      <c r="N313" s="236"/>
      <c r="O313" s="236"/>
      <c r="P313" s="236"/>
      <c r="Q313" s="236"/>
      <c r="R313" s="236"/>
      <c r="S313" s="236"/>
      <c r="T313" s="236"/>
      <c r="U313" s="236"/>
      <c r="V313" s="236"/>
      <c r="W313" s="236"/>
    </row>
    <row r="314">
      <c r="A314" s="236"/>
      <c r="B314" s="236"/>
      <c r="C314" s="236"/>
      <c r="D314" s="236"/>
      <c r="E314" s="236"/>
      <c r="F314" s="236"/>
      <c r="G314" s="236"/>
      <c r="H314" s="236"/>
      <c r="I314" s="236"/>
      <c r="J314" s="236"/>
      <c r="K314" s="330"/>
      <c r="L314" s="330"/>
      <c r="M314" s="236"/>
      <c r="N314" s="236"/>
      <c r="O314" s="236"/>
      <c r="P314" s="236"/>
      <c r="Q314" s="236"/>
      <c r="R314" s="236"/>
      <c r="S314" s="236"/>
      <c r="T314" s="236"/>
      <c r="U314" s="236"/>
      <c r="V314" s="236"/>
      <c r="W314" s="236"/>
    </row>
    <row r="315">
      <c r="A315" s="236"/>
      <c r="B315" s="236"/>
      <c r="C315" s="236"/>
      <c r="D315" s="236"/>
      <c r="E315" s="236"/>
      <c r="F315" s="236"/>
      <c r="G315" s="236"/>
      <c r="H315" s="236"/>
      <c r="I315" s="236"/>
      <c r="J315" s="236"/>
      <c r="K315" s="330"/>
      <c r="L315" s="330"/>
      <c r="M315" s="236"/>
      <c r="N315" s="236"/>
      <c r="O315" s="236"/>
      <c r="P315" s="236"/>
      <c r="Q315" s="236"/>
      <c r="R315" s="236"/>
      <c r="S315" s="236"/>
      <c r="T315" s="236"/>
      <c r="U315" s="236"/>
      <c r="V315" s="236"/>
      <c r="W315" s="236"/>
    </row>
    <row r="316">
      <c r="A316" s="236"/>
      <c r="B316" s="236"/>
      <c r="C316" s="236"/>
      <c r="D316" s="236"/>
      <c r="E316" s="236"/>
      <c r="F316" s="236"/>
      <c r="G316" s="236"/>
      <c r="H316" s="236"/>
      <c r="I316" s="236"/>
      <c r="J316" s="236"/>
      <c r="K316" s="330"/>
      <c r="L316" s="330"/>
      <c r="M316" s="236"/>
      <c r="N316" s="236"/>
      <c r="O316" s="236"/>
      <c r="P316" s="236"/>
      <c r="Q316" s="236"/>
      <c r="R316" s="236"/>
      <c r="S316" s="236"/>
      <c r="T316" s="236"/>
      <c r="U316" s="236"/>
      <c r="V316" s="236"/>
      <c r="W316" s="236"/>
    </row>
    <row r="317">
      <c r="A317" s="236"/>
      <c r="B317" s="236"/>
      <c r="C317" s="236"/>
      <c r="D317" s="236"/>
      <c r="E317" s="236"/>
      <c r="F317" s="236"/>
      <c r="G317" s="236"/>
      <c r="H317" s="236"/>
      <c r="I317" s="236"/>
      <c r="J317" s="236"/>
      <c r="K317" s="330"/>
      <c r="L317" s="330"/>
      <c r="M317" s="236"/>
      <c r="N317" s="236"/>
      <c r="O317" s="236"/>
      <c r="P317" s="236"/>
      <c r="Q317" s="236"/>
      <c r="R317" s="236"/>
      <c r="S317" s="236"/>
      <c r="T317" s="236"/>
      <c r="U317" s="236"/>
      <c r="V317" s="236"/>
      <c r="W317" s="236"/>
    </row>
    <row r="318">
      <c r="A318" s="236"/>
      <c r="B318" s="236"/>
      <c r="C318" s="236"/>
      <c r="D318" s="236"/>
      <c r="E318" s="236"/>
      <c r="F318" s="236"/>
      <c r="G318" s="236"/>
      <c r="H318" s="236"/>
      <c r="I318" s="236"/>
      <c r="J318" s="236"/>
      <c r="K318" s="330"/>
      <c r="L318" s="330"/>
      <c r="M318" s="236"/>
      <c r="N318" s="236"/>
      <c r="O318" s="236"/>
      <c r="P318" s="236"/>
      <c r="Q318" s="236"/>
      <c r="R318" s="236"/>
      <c r="S318" s="236"/>
      <c r="T318" s="236"/>
      <c r="U318" s="236"/>
      <c r="V318" s="236"/>
      <c r="W318" s="236"/>
    </row>
    <row r="319">
      <c r="A319" s="236"/>
      <c r="B319" s="236"/>
      <c r="C319" s="236"/>
      <c r="D319" s="236"/>
      <c r="E319" s="236"/>
      <c r="F319" s="236"/>
      <c r="G319" s="236"/>
      <c r="H319" s="236"/>
      <c r="I319" s="236"/>
      <c r="J319" s="236"/>
      <c r="K319" s="330"/>
      <c r="L319" s="330"/>
      <c r="M319" s="236"/>
      <c r="N319" s="236"/>
      <c r="O319" s="236"/>
      <c r="P319" s="236"/>
      <c r="Q319" s="236"/>
      <c r="R319" s="236"/>
      <c r="S319" s="236"/>
      <c r="T319" s="236"/>
      <c r="U319" s="236"/>
      <c r="V319" s="236"/>
      <c r="W319" s="236"/>
    </row>
    <row r="320">
      <c r="A320" s="236"/>
      <c r="B320" s="236"/>
      <c r="C320" s="236"/>
      <c r="D320" s="236"/>
      <c r="E320" s="236"/>
      <c r="F320" s="236"/>
      <c r="G320" s="236"/>
      <c r="H320" s="236"/>
      <c r="I320" s="236"/>
      <c r="J320" s="236"/>
      <c r="K320" s="330"/>
      <c r="L320" s="330"/>
      <c r="M320" s="236"/>
      <c r="N320" s="236"/>
      <c r="O320" s="236"/>
      <c r="P320" s="236"/>
      <c r="Q320" s="236"/>
      <c r="R320" s="236"/>
      <c r="S320" s="236"/>
      <c r="T320" s="236"/>
      <c r="U320" s="236"/>
      <c r="V320" s="236"/>
      <c r="W320" s="236"/>
    </row>
    <row r="321">
      <c r="A321" s="236"/>
      <c r="B321" s="236"/>
      <c r="C321" s="236"/>
      <c r="D321" s="236"/>
      <c r="E321" s="236"/>
      <c r="F321" s="236"/>
      <c r="G321" s="236"/>
      <c r="H321" s="236"/>
      <c r="I321" s="236"/>
      <c r="J321" s="236"/>
      <c r="K321" s="330"/>
      <c r="L321" s="330"/>
      <c r="M321" s="236"/>
      <c r="N321" s="236"/>
      <c r="O321" s="236"/>
      <c r="P321" s="236"/>
      <c r="Q321" s="236"/>
      <c r="R321" s="236"/>
      <c r="S321" s="236"/>
      <c r="T321" s="236"/>
      <c r="U321" s="236"/>
      <c r="V321" s="236"/>
      <c r="W321" s="236"/>
    </row>
    <row r="322">
      <c r="A322" s="236"/>
      <c r="B322" s="236"/>
      <c r="C322" s="236"/>
      <c r="D322" s="236"/>
      <c r="E322" s="236"/>
      <c r="F322" s="236"/>
      <c r="G322" s="236"/>
      <c r="H322" s="236"/>
      <c r="I322" s="236"/>
      <c r="J322" s="236"/>
      <c r="K322" s="330"/>
      <c r="L322" s="330"/>
      <c r="M322" s="236"/>
      <c r="N322" s="236"/>
      <c r="O322" s="236"/>
      <c r="P322" s="236"/>
      <c r="Q322" s="236"/>
      <c r="R322" s="236"/>
      <c r="S322" s="236"/>
      <c r="T322" s="236"/>
      <c r="U322" s="236"/>
      <c r="V322" s="236"/>
      <c r="W322" s="236"/>
    </row>
    <row r="323">
      <c r="A323" s="236"/>
      <c r="B323" s="236"/>
      <c r="C323" s="236"/>
      <c r="D323" s="236"/>
      <c r="E323" s="236"/>
      <c r="F323" s="236"/>
      <c r="G323" s="236"/>
      <c r="H323" s="236"/>
      <c r="I323" s="236"/>
      <c r="J323" s="236"/>
      <c r="K323" s="330"/>
      <c r="L323" s="330"/>
      <c r="M323" s="236"/>
      <c r="N323" s="236"/>
      <c r="O323" s="236"/>
      <c r="P323" s="236"/>
      <c r="Q323" s="236"/>
      <c r="R323" s="236"/>
      <c r="S323" s="236"/>
      <c r="T323" s="236"/>
      <c r="U323" s="236"/>
      <c r="V323" s="236"/>
      <c r="W323" s="236"/>
    </row>
    <row r="324">
      <c r="A324" s="236"/>
      <c r="B324" s="236"/>
      <c r="C324" s="236"/>
      <c r="D324" s="236"/>
      <c r="E324" s="236"/>
      <c r="F324" s="236"/>
      <c r="G324" s="236"/>
      <c r="H324" s="236"/>
      <c r="I324" s="236"/>
      <c r="J324" s="236"/>
      <c r="K324" s="330"/>
      <c r="L324" s="330"/>
      <c r="M324" s="236"/>
      <c r="N324" s="236"/>
      <c r="O324" s="236"/>
      <c r="P324" s="236"/>
      <c r="Q324" s="236"/>
      <c r="R324" s="236"/>
      <c r="S324" s="236"/>
      <c r="T324" s="236"/>
      <c r="U324" s="236"/>
      <c r="V324" s="236"/>
      <c r="W324" s="236"/>
    </row>
    <row r="325">
      <c r="A325" s="236"/>
      <c r="B325" s="236"/>
      <c r="C325" s="236"/>
      <c r="D325" s="236"/>
      <c r="E325" s="236"/>
      <c r="F325" s="236"/>
      <c r="G325" s="236"/>
      <c r="H325" s="236"/>
      <c r="I325" s="236"/>
      <c r="J325" s="236"/>
      <c r="K325" s="330"/>
      <c r="L325" s="330"/>
      <c r="M325" s="236"/>
      <c r="N325" s="236"/>
      <c r="O325" s="236"/>
      <c r="P325" s="236"/>
      <c r="Q325" s="236"/>
      <c r="R325" s="236"/>
      <c r="S325" s="236"/>
      <c r="T325" s="236"/>
      <c r="U325" s="236"/>
      <c r="V325" s="236"/>
      <c r="W325" s="236"/>
    </row>
    <row r="326">
      <c r="A326" s="236"/>
      <c r="B326" s="236"/>
      <c r="C326" s="236"/>
      <c r="D326" s="236"/>
      <c r="E326" s="236"/>
      <c r="F326" s="236"/>
      <c r="G326" s="236"/>
      <c r="H326" s="236"/>
      <c r="I326" s="236"/>
      <c r="J326" s="236"/>
      <c r="K326" s="330"/>
      <c r="L326" s="330"/>
      <c r="M326" s="236"/>
      <c r="N326" s="236"/>
      <c r="O326" s="236"/>
      <c r="P326" s="236"/>
      <c r="Q326" s="236"/>
      <c r="R326" s="236"/>
      <c r="S326" s="236"/>
      <c r="T326" s="236"/>
      <c r="U326" s="236"/>
      <c r="V326" s="236"/>
      <c r="W326" s="236"/>
    </row>
    <row r="327">
      <c r="A327" s="236"/>
      <c r="B327" s="236"/>
      <c r="C327" s="236"/>
      <c r="D327" s="236"/>
      <c r="E327" s="236"/>
      <c r="F327" s="236"/>
      <c r="G327" s="236"/>
      <c r="H327" s="236"/>
      <c r="I327" s="236"/>
      <c r="J327" s="236"/>
      <c r="K327" s="330"/>
      <c r="L327" s="330"/>
      <c r="M327" s="236"/>
      <c r="N327" s="236"/>
      <c r="O327" s="236"/>
      <c r="P327" s="236"/>
      <c r="Q327" s="236"/>
      <c r="R327" s="236"/>
      <c r="S327" s="236"/>
      <c r="T327" s="236"/>
      <c r="U327" s="236"/>
      <c r="V327" s="236"/>
      <c r="W327" s="236"/>
    </row>
    <row r="328">
      <c r="A328" s="236"/>
      <c r="B328" s="236"/>
      <c r="C328" s="236"/>
      <c r="D328" s="236"/>
      <c r="E328" s="236"/>
      <c r="F328" s="236"/>
      <c r="G328" s="236"/>
      <c r="H328" s="236"/>
      <c r="I328" s="236"/>
      <c r="J328" s="236"/>
      <c r="K328" s="330"/>
      <c r="L328" s="330"/>
      <c r="M328" s="236"/>
      <c r="N328" s="236"/>
      <c r="O328" s="236"/>
      <c r="P328" s="236"/>
      <c r="Q328" s="236"/>
      <c r="R328" s="236"/>
      <c r="S328" s="236"/>
      <c r="T328" s="236"/>
      <c r="U328" s="236"/>
      <c r="V328" s="236"/>
      <c r="W328" s="236"/>
    </row>
    <row r="329">
      <c r="A329" s="236"/>
      <c r="B329" s="236"/>
      <c r="C329" s="236"/>
      <c r="D329" s="236"/>
      <c r="E329" s="236"/>
      <c r="F329" s="236"/>
      <c r="G329" s="236"/>
      <c r="H329" s="236"/>
      <c r="I329" s="236"/>
      <c r="J329" s="236"/>
      <c r="K329" s="330"/>
      <c r="L329" s="330"/>
      <c r="M329" s="236"/>
      <c r="N329" s="236"/>
      <c r="O329" s="236"/>
      <c r="P329" s="236"/>
      <c r="Q329" s="236"/>
      <c r="R329" s="236"/>
      <c r="S329" s="236"/>
      <c r="T329" s="236"/>
      <c r="U329" s="236"/>
      <c r="V329" s="236"/>
      <c r="W329" s="236"/>
    </row>
    <row r="330">
      <c r="A330" s="236"/>
      <c r="B330" s="236"/>
      <c r="C330" s="236"/>
      <c r="D330" s="236"/>
      <c r="E330" s="236"/>
      <c r="F330" s="236"/>
      <c r="G330" s="236"/>
      <c r="H330" s="236"/>
      <c r="I330" s="236"/>
      <c r="J330" s="236"/>
      <c r="K330" s="330"/>
      <c r="L330" s="330"/>
      <c r="M330" s="236"/>
      <c r="N330" s="236"/>
      <c r="O330" s="236"/>
      <c r="P330" s="236"/>
      <c r="Q330" s="236"/>
      <c r="R330" s="236"/>
      <c r="S330" s="236"/>
      <c r="T330" s="236"/>
      <c r="U330" s="236"/>
      <c r="V330" s="236"/>
      <c r="W330" s="236"/>
    </row>
    <row r="331">
      <c r="A331" s="236"/>
      <c r="B331" s="236"/>
      <c r="C331" s="236"/>
      <c r="D331" s="236"/>
      <c r="E331" s="236"/>
      <c r="F331" s="236"/>
      <c r="G331" s="236"/>
      <c r="H331" s="236"/>
      <c r="I331" s="236"/>
      <c r="J331" s="236"/>
      <c r="K331" s="330"/>
      <c r="L331" s="330"/>
      <c r="M331" s="236"/>
      <c r="N331" s="236"/>
      <c r="O331" s="236"/>
      <c r="P331" s="236"/>
      <c r="Q331" s="236"/>
      <c r="R331" s="236"/>
      <c r="S331" s="236"/>
      <c r="T331" s="236"/>
      <c r="U331" s="236"/>
      <c r="V331" s="236"/>
      <c r="W331" s="236"/>
    </row>
    <row r="332">
      <c r="A332" s="236"/>
      <c r="B332" s="236"/>
      <c r="C332" s="236"/>
      <c r="D332" s="236"/>
      <c r="E332" s="236"/>
      <c r="F332" s="236"/>
      <c r="G332" s="236"/>
      <c r="H332" s="236"/>
      <c r="I332" s="236"/>
      <c r="J332" s="236"/>
      <c r="K332" s="330"/>
      <c r="L332" s="330"/>
      <c r="M332" s="236"/>
      <c r="N332" s="236"/>
      <c r="O332" s="236"/>
      <c r="P332" s="236"/>
      <c r="Q332" s="236"/>
      <c r="R332" s="236"/>
      <c r="S332" s="236"/>
      <c r="T332" s="236"/>
      <c r="U332" s="236"/>
      <c r="V332" s="236"/>
      <c r="W332" s="236"/>
    </row>
    <row r="333">
      <c r="A333" s="236"/>
      <c r="B333" s="236"/>
      <c r="C333" s="236"/>
      <c r="D333" s="236"/>
      <c r="E333" s="236"/>
      <c r="F333" s="236"/>
      <c r="G333" s="236"/>
      <c r="H333" s="236"/>
      <c r="I333" s="236"/>
      <c r="J333" s="236"/>
      <c r="K333" s="330"/>
      <c r="L333" s="330"/>
      <c r="M333" s="236"/>
      <c r="N333" s="236"/>
      <c r="O333" s="236"/>
      <c r="P333" s="236"/>
      <c r="Q333" s="236"/>
      <c r="R333" s="236"/>
      <c r="S333" s="236"/>
      <c r="T333" s="236"/>
      <c r="U333" s="236"/>
      <c r="V333" s="236"/>
      <c r="W333" s="236"/>
    </row>
    <row r="334">
      <c r="A334" s="236"/>
      <c r="B334" s="236"/>
      <c r="C334" s="236"/>
      <c r="D334" s="236"/>
      <c r="E334" s="236"/>
      <c r="F334" s="236"/>
      <c r="G334" s="236"/>
      <c r="H334" s="236"/>
      <c r="I334" s="236"/>
      <c r="J334" s="236"/>
      <c r="K334" s="330"/>
      <c r="L334" s="330"/>
      <c r="M334" s="236"/>
      <c r="N334" s="236"/>
      <c r="O334" s="236"/>
      <c r="P334" s="236"/>
      <c r="Q334" s="236"/>
      <c r="R334" s="236"/>
      <c r="S334" s="236"/>
      <c r="T334" s="236"/>
      <c r="U334" s="236"/>
      <c r="V334" s="236"/>
      <c r="W334" s="236"/>
    </row>
    <row r="335">
      <c r="A335" s="236"/>
      <c r="B335" s="236"/>
      <c r="C335" s="236"/>
      <c r="D335" s="236"/>
      <c r="E335" s="236"/>
      <c r="F335" s="236"/>
      <c r="G335" s="236"/>
      <c r="H335" s="236"/>
      <c r="I335" s="236"/>
      <c r="J335" s="236"/>
      <c r="K335" s="330"/>
      <c r="L335" s="330"/>
      <c r="M335" s="236"/>
      <c r="N335" s="236"/>
      <c r="O335" s="236"/>
      <c r="P335" s="236"/>
      <c r="Q335" s="236"/>
      <c r="R335" s="236"/>
      <c r="S335" s="236"/>
      <c r="T335" s="236"/>
      <c r="U335" s="236"/>
      <c r="V335" s="236"/>
      <c r="W335" s="236"/>
    </row>
    <row r="336">
      <c r="A336" s="236"/>
      <c r="B336" s="236"/>
      <c r="C336" s="236"/>
      <c r="D336" s="236"/>
      <c r="E336" s="236"/>
      <c r="F336" s="236"/>
      <c r="G336" s="236"/>
      <c r="H336" s="236"/>
      <c r="I336" s="236"/>
      <c r="J336" s="236"/>
      <c r="K336" s="330"/>
      <c r="L336" s="330"/>
      <c r="M336" s="236"/>
      <c r="N336" s="236"/>
      <c r="O336" s="236"/>
      <c r="P336" s="236"/>
      <c r="Q336" s="236"/>
      <c r="R336" s="236"/>
      <c r="S336" s="236"/>
      <c r="T336" s="236"/>
      <c r="U336" s="236"/>
      <c r="V336" s="236"/>
      <c r="W336" s="236"/>
    </row>
    <row r="337">
      <c r="A337" s="236"/>
      <c r="B337" s="236"/>
      <c r="C337" s="236"/>
      <c r="D337" s="236"/>
      <c r="E337" s="236"/>
      <c r="F337" s="236"/>
      <c r="G337" s="236"/>
      <c r="H337" s="236"/>
      <c r="I337" s="236"/>
      <c r="J337" s="236"/>
      <c r="K337" s="330"/>
      <c r="L337" s="330"/>
      <c r="M337" s="236"/>
      <c r="N337" s="236"/>
      <c r="O337" s="236"/>
      <c r="P337" s="236"/>
      <c r="Q337" s="236"/>
      <c r="R337" s="236"/>
      <c r="S337" s="236"/>
      <c r="T337" s="236"/>
      <c r="U337" s="236"/>
      <c r="V337" s="236"/>
      <c r="W337" s="236"/>
    </row>
    <row r="338">
      <c r="A338" s="236"/>
      <c r="B338" s="236"/>
      <c r="C338" s="236"/>
      <c r="D338" s="236"/>
      <c r="E338" s="236"/>
      <c r="F338" s="236"/>
      <c r="G338" s="236"/>
      <c r="H338" s="236"/>
      <c r="I338" s="236"/>
      <c r="J338" s="236"/>
      <c r="K338" s="330"/>
      <c r="L338" s="330"/>
      <c r="M338" s="236"/>
      <c r="N338" s="236"/>
      <c r="O338" s="236"/>
      <c r="P338" s="236"/>
      <c r="Q338" s="236"/>
      <c r="R338" s="236"/>
      <c r="S338" s="236"/>
      <c r="T338" s="236"/>
      <c r="U338" s="236"/>
      <c r="V338" s="236"/>
      <c r="W338" s="236"/>
    </row>
    <row r="339">
      <c r="A339" s="236"/>
      <c r="B339" s="236"/>
      <c r="C339" s="236"/>
      <c r="D339" s="236"/>
      <c r="E339" s="236"/>
      <c r="F339" s="236"/>
      <c r="G339" s="236"/>
      <c r="H339" s="236"/>
      <c r="I339" s="236"/>
      <c r="J339" s="236"/>
      <c r="K339" s="330"/>
      <c r="L339" s="330"/>
      <c r="M339" s="236"/>
      <c r="N339" s="236"/>
      <c r="O339" s="236"/>
      <c r="P339" s="236"/>
      <c r="Q339" s="236"/>
      <c r="R339" s="236"/>
      <c r="S339" s="236"/>
      <c r="T339" s="236"/>
      <c r="U339" s="236"/>
      <c r="V339" s="236"/>
      <c r="W339" s="236"/>
    </row>
    <row r="340">
      <c r="A340" s="236"/>
      <c r="B340" s="236"/>
      <c r="C340" s="236"/>
      <c r="D340" s="236"/>
      <c r="E340" s="236"/>
      <c r="F340" s="236"/>
      <c r="G340" s="236"/>
      <c r="H340" s="236"/>
      <c r="I340" s="236"/>
      <c r="J340" s="236"/>
      <c r="K340" s="330"/>
      <c r="L340" s="330"/>
      <c r="M340" s="236"/>
      <c r="N340" s="236"/>
      <c r="O340" s="236"/>
      <c r="P340" s="236"/>
      <c r="Q340" s="236"/>
      <c r="R340" s="236"/>
      <c r="S340" s="236"/>
      <c r="T340" s="236"/>
      <c r="U340" s="236"/>
      <c r="V340" s="236"/>
      <c r="W340" s="236"/>
    </row>
    <row r="341">
      <c r="A341" s="236"/>
      <c r="B341" s="236"/>
      <c r="C341" s="236"/>
      <c r="D341" s="236"/>
      <c r="E341" s="236"/>
      <c r="F341" s="236"/>
      <c r="G341" s="236"/>
      <c r="H341" s="236"/>
      <c r="I341" s="236"/>
      <c r="J341" s="236"/>
      <c r="K341" s="330"/>
      <c r="L341" s="330"/>
      <c r="M341" s="236"/>
      <c r="N341" s="236"/>
      <c r="O341" s="236"/>
      <c r="P341" s="236"/>
      <c r="Q341" s="236"/>
      <c r="R341" s="236"/>
      <c r="S341" s="236"/>
      <c r="T341" s="236"/>
      <c r="U341" s="236"/>
      <c r="V341" s="236"/>
      <c r="W341" s="236"/>
    </row>
    <row r="342">
      <c r="A342" s="236"/>
      <c r="B342" s="236"/>
      <c r="C342" s="236"/>
      <c r="D342" s="236"/>
      <c r="E342" s="236"/>
      <c r="F342" s="236"/>
      <c r="G342" s="236"/>
      <c r="H342" s="236"/>
      <c r="I342" s="236"/>
      <c r="J342" s="236"/>
      <c r="K342" s="330"/>
      <c r="L342" s="330"/>
      <c r="M342" s="236"/>
      <c r="N342" s="236"/>
      <c r="O342" s="236"/>
      <c r="P342" s="236"/>
      <c r="Q342" s="236"/>
      <c r="R342" s="236"/>
      <c r="S342" s="236"/>
      <c r="T342" s="236"/>
      <c r="U342" s="236"/>
      <c r="V342" s="236"/>
      <c r="W342" s="236"/>
    </row>
    <row r="343">
      <c r="A343" s="236"/>
      <c r="B343" s="236"/>
      <c r="C343" s="236"/>
      <c r="D343" s="236"/>
      <c r="E343" s="236"/>
      <c r="F343" s="236"/>
      <c r="G343" s="236"/>
      <c r="H343" s="236"/>
      <c r="I343" s="236"/>
      <c r="J343" s="236"/>
      <c r="K343" s="330"/>
      <c r="L343" s="330"/>
      <c r="M343" s="236"/>
      <c r="N343" s="236"/>
      <c r="O343" s="236"/>
      <c r="P343" s="236"/>
      <c r="Q343" s="236"/>
      <c r="R343" s="236"/>
      <c r="S343" s="236"/>
      <c r="T343" s="236"/>
      <c r="U343" s="236"/>
      <c r="V343" s="236"/>
      <c r="W343" s="236"/>
    </row>
    <row r="344">
      <c r="A344" s="236"/>
      <c r="B344" s="236"/>
      <c r="C344" s="236"/>
      <c r="D344" s="236"/>
      <c r="E344" s="236"/>
      <c r="F344" s="236"/>
      <c r="G344" s="236"/>
      <c r="H344" s="236"/>
      <c r="I344" s="236"/>
      <c r="J344" s="236"/>
      <c r="K344" s="330"/>
      <c r="L344" s="330"/>
      <c r="M344" s="236"/>
      <c r="N344" s="236"/>
      <c r="O344" s="236"/>
      <c r="P344" s="236"/>
      <c r="Q344" s="236"/>
      <c r="R344" s="236"/>
      <c r="S344" s="236"/>
      <c r="T344" s="236"/>
      <c r="U344" s="236"/>
      <c r="V344" s="236"/>
      <c r="W344" s="236"/>
    </row>
    <row r="345">
      <c r="A345" s="236"/>
      <c r="B345" s="236"/>
      <c r="C345" s="236"/>
      <c r="D345" s="236"/>
      <c r="E345" s="236"/>
      <c r="F345" s="236"/>
      <c r="G345" s="236"/>
      <c r="H345" s="236"/>
      <c r="I345" s="236"/>
      <c r="J345" s="236"/>
      <c r="K345" s="330"/>
      <c r="L345" s="330"/>
      <c r="M345" s="236"/>
      <c r="N345" s="236"/>
      <c r="O345" s="236"/>
      <c r="P345" s="236"/>
      <c r="Q345" s="236"/>
      <c r="R345" s="236"/>
      <c r="S345" s="236"/>
      <c r="T345" s="236"/>
      <c r="U345" s="236"/>
      <c r="V345" s="236"/>
      <c r="W345" s="236"/>
    </row>
    <row r="346">
      <c r="A346" s="236"/>
      <c r="B346" s="236"/>
      <c r="C346" s="236"/>
      <c r="D346" s="236"/>
      <c r="E346" s="236"/>
      <c r="F346" s="236"/>
      <c r="G346" s="236"/>
      <c r="H346" s="236"/>
      <c r="I346" s="236"/>
      <c r="J346" s="236"/>
      <c r="K346" s="330"/>
      <c r="L346" s="330"/>
      <c r="M346" s="236"/>
      <c r="N346" s="236"/>
      <c r="O346" s="236"/>
      <c r="P346" s="236"/>
      <c r="Q346" s="236"/>
      <c r="R346" s="236"/>
      <c r="S346" s="236"/>
      <c r="T346" s="236"/>
      <c r="U346" s="236"/>
      <c r="V346" s="236"/>
      <c r="W346" s="236"/>
    </row>
    <row r="347">
      <c r="A347" s="236"/>
      <c r="B347" s="236"/>
      <c r="C347" s="236"/>
      <c r="D347" s="236"/>
      <c r="E347" s="236"/>
      <c r="F347" s="236"/>
      <c r="G347" s="236"/>
      <c r="H347" s="236"/>
      <c r="I347" s="236"/>
      <c r="J347" s="236"/>
      <c r="K347" s="330"/>
      <c r="L347" s="330"/>
      <c r="M347" s="236"/>
      <c r="N347" s="236"/>
      <c r="O347" s="236"/>
      <c r="P347" s="236"/>
      <c r="Q347" s="236"/>
      <c r="R347" s="236"/>
      <c r="S347" s="236"/>
      <c r="T347" s="236"/>
      <c r="U347" s="236"/>
      <c r="V347" s="236"/>
      <c r="W347" s="236"/>
    </row>
    <row r="348">
      <c r="A348" s="236"/>
      <c r="B348" s="236"/>
      <c r="C348" s="236"/>
      <c r="D348" s="236"/>
      <c r="E348" s="236"/>
      <c r="F348" s="236"/>
      <c r="G348" s="236"/>
      <c r="H348" s="236"/>
      <c r="I348" s="236"/>
      <c r="J348" s="236"/>
      <c r="K348" s="330"/>
      <c r="L348" s="330"/>
      <c r="M348" s="236"/>
      <c r="N348" s="236"/>
      <c r="O348" s="236"/>
      <c r="P348" s="236"/>
      <c r="Q348" s="236"/>
      <c r="R348" s="236"/>
      <c r="S348" s="236"/>
      <c r="T348" s="236"/>
      <c r="U348" s="236"/>
      <c r="V348" s="236"/>
      <c r="W348" s="236"/>
    </row>
    <row r="349">
      <c r="A349" s="236"/>
      <c r="B349" s="236"/>
      <c r="C349" s="236"/>
      <c r="D349" s="236"/>
      <c r="E349" s="236"/>
      <c r="F349" s="236"/>
      <c r="G349" s="236"/>
      <c r="H349" s="236"/>
      <c r="I349" s="236"/>
      <c r="J349" s="236"/>
      <c r="K349" s="330"/>
      <c r="L349" s="330"/>
      <c r="M349" s="236"/>
      <c r="N349" s="236"/>
      <c r="O349" s="236"/>
      <c r="P349" s="236"/>
      <c r="Q349" s="236"/>
      <c r="R349" s="236"/>
      <c r="S349" s="236"/>
      <c r="T349" s="236"/>
      <c r="U349" s="236"/>
      <c r="V349" s="236"/>
      <c r="W349" s="236"/>
    </row>
    <row r="350">
      <c r="A350" s="236"/>
      <c r="B350" s="236"/>
      <c r="C350" s="236"/>
      <c r="D350" s="236"/>
      <c r="E350" s="236"/>
      <c r="F350" s="236"/>
      <c r="G350" s="236"/>
      <c r="H350" s="236"/>
      <c r="I350" s="236"/>
      <c r="J350" s="236"/>
      <c r="K350" s="330"/>
      <c r="L350" s="330"/>
      <c r="M350" s="236"/>
      <c r="N350" s="236"/>
      <c r="O350" s="236"/>
      <c r="P350" s="236"/>
      <c r="Q350" s="236"/>
      <c r="R350" s="236"/>
      <c r="S350" s="236"/>
      <c r="T350" s="236"/>
      <c r="U350" s="236"/>
      <c r="V350" s="236"/>
      <c r="W350" s="236"/>
    </row>
    <row r="351">
      <c r="A351" s="236"/>
      <c r="B351" s="236"/>
      <c r="C351" s="236"/>
      <c r="D351" s="236"/>
      <c r="E351" s="236"/>
      <c r="F351" s="236"/>
      <c r="G351" s="236"/>
      <c r="H351" s="236"/>
      <c r="I351" s="236"/>
      <c r="J351" s="236"/>
      <c r="K351" s="330"/>
      <c r="L351" s="330"/>
      <c r="M351" s="236"/>
      <c r="N351" s="236"/>
      <c r="O351" s="236"/>
      <c r="P351" s="236"/>
      <c r="Q351" s="236"/>
      <c r="R351" s="236"/>
      <c r="S351" s="236"/>
      <c r="T351" s="236"/>
      <c r="U351" s="236"/>
      <c r="V351" s="236"/>
      <c r="W351" s="236"/>
    </row>
    <row r="352">
      <c r="A352" s="236"/>
      <c r="B352" s="236"/>
      <c r="C352" s="236"/>
      <c r="D352" s="236"/>
      <c r="E352" s="236"/>
      <c r="F352" s="236"/>
      <c r="G352" s="236"/>
      <c r="H352" s="236"/>
      <c r="I352" s="236"/>
      <c r="J352" s="236"/>
      <c r="K352" s="330"/>
      <c r="L352" s="330"/>
      <c r="M352" s="236"/>
      <c r="N352" s="236"/>
      <c r="O352" s="236"/>
      <c r="P352" s="236"/>
      <c r="Q352" s="236"/>
      <c r="R352" s="236"/>
      <c r="S352" s="236"/>
      <c r="T352" s="236"/>
      <c r="U352" s="236"/>
      <c r="V352" s="236"/>
      <c r="W352" s="236"/>
    </row>
    <row r="353">
      <c r="A353" s="236"/>
      <c r="B353" s="236"/>
      <c r="C353" s="236"/>
      <c r="D353" s="236"/>
      <c r="E353" s="236"/>
      <c r="F353" s="236"/>
      <c r="G353" s="236"/>
      <c r="H353" s="236"/>
      <c r="I353" s="236"/>
      <c r="J353" s="236"/>
      <c r="K353" s="330"/>
      <c r="L353" s="330"/>
      <c r="M353" s="236"/>
      <c r="N353" s="236"/>
      <c r="O353" s="236"/>
      <c r="P353" s="236"/>
      <c r="Q353" s="236"/>
      <c r="R353" s="236"/>
      <c r="S353" s="236"/>
      <c r="T353" s="236"/>
      <c r="U353" s="236"/>
      <c r="V353" s="236"/>
      <c r="W353" s="236"/>
    </row>
    <row r="354">
      <c r="A354" s="236"/>
      <c r="B354" s="236"/>
      <c r="C354" s="236"/>
      <c r="D354" s="236"/>
      <c r="E354" s="236"/>
      <c r="F354" s="236"/>
      <c r="G354" s="236"/>
      <c r="H354" s="236"/>
      <c r="I354" s="236"/>
      <c r="J354" s="236"/>
      <c r="K354" s="330"/>
      <c r="L354" s="330"/>
      <c r="M354" s="236"/>
      <c r="N354" s="236"/>
      <c r="O354" s="236"/>
      <c r="P354" s="236"/>
      <c r="Q354" s="236"/>
      <c r="R354" s="236"/>
      <c r="S354" s="236"/>
      <c r="T354" s="236"/>
      <c r="U354" s="236"/>
      <c r="V354" s="236"/>
      <c r="W354" s="236"/>
    </row>
    <row r="355">
      <c r="A355" s="236"/>
      <c r="B355" s="236"/>
      <c r="C355" s="236"/>
      <c r="D355" s="236"/>
      <c r="E355" s="236"/>
      <c r="F355" s="236"/>
      <c r="G355" s="236"/>
      <c r="H355" s="236"/>
      <c r="I355" s="236"/>
      <c r="J355" s="236"/>
      <c r="K355" s="330"/>
      <c r="L355" s="330"/>
      <c r="M355" s="236"/>
      <c r="N355" s="236"/>
      <c r="O355" s="236"/>
      <c r="P355" s="236"/>
      <c r="Q355" s="236"/>
      <c r="R355" s="236"/>
      <c r="S355" s="236"/>
      <c r="T355" s="236"/>
      <c r="U355" s="236"/>
      <c r="V355" s="236"/>
      <c r="W355" s="236"/>
    </row>
    <row r="356">
      <c r="A356" s="236"/>
      <c r="B356" s="236"/>
      <c r="C356" s="236"/>
      <c r="D356" s="236"/>
      <c r="E356" s="236"/>
      <c r="F356" s="236"/>
      <c r="G356" s="236"/>
      <c r="H356" s="236"/>
      <c r="I356" s="236"/>
      <c r="J356" s="236"/>
      <c r="K356" s="330"/>
      <c r="L356" s="330"/>
      <c r="M356" s="236"/>
      <c r="N356" s="236"/>
      <c r="O356" s="236"/>
      <c r="P356" s="236"/>
      <c r="Q356" s="236"/>
      <c r="R356" s="236"/>
      <c r="S356" s="236"/>
      <c r="T356" s="236"/>
      <c r="U356" s="236"/>
      <c r="V356" s="236"/>
      <c r="W356" s="236"/>
    </row>
    <row r="357">
      <c r="A357" s="236"/>
      <c r="B357" s="236"/>
      <c r="C357" s="236"/>
      <c r="D357" s="236"/>
      <c r="E357" s="236"/>
      <c r="F357" s="236"/>
      <c r="G357" s="236"/>
      <c r="H357" s="236"/>
      <c r="I357" s="236"/>
      <c r="J357" s="236"/>
      <c r="K357" s="330"/>
      <c r="L357" s="330"/>
      <c r="M357" s="236"/>
      <c r="N357" s="236"/>
      <c r="O357" s="236"/>
      <c r="P357" s="236"/>
      <c r="Q357" s="236"/>
      <c r="R357" s="236"/>
      <c r="S357" s="236"/>
      <c r="T357" s="236"/>
      <c r="U357" s="236"/>
      <c r="V357" s="236"/>
      <c r="W357" s="236"/>
    </row>
    <row r="358">
      <c r="A358" s="236"/>
      <c r="B358" s="236"/>
      <c r="C358" s="236"/>
      <c r="D358" s="236"/>
      <c r="E358" s="236"/>
      <c r="F358" s="236"/>
      <c r="G358" s="236"/>
      <c r="H358" s="236"/>
      <c r="I358" s="236"/>
      <c r="J358" s="236"/>
      <c r="K358" s="330"/>
      <c r="L358" s="330"/>
      <c r="M358" s="236"/>
      <c r="N358" s="236"/>
      <c r="O358" s="236"/>
      <c r="P358" s="236"/>
      <c r="Q358" s="236"/>
      <c r="R358" s="236"/>
      <c r="S358" s="236"/>
      <c r="T358" s="236"/>
      <c r="U358" s="236"/>
      <c r="V358" s="236"/>
      <c r="W358" s="236"/>
    </row>
    <row r="359">
      <c r="A359" s="236"/>
      <c r="B359" s="236"/>
      <c r="C359" s="236"/>
      <c r="D359" s="236"/>
      <c r="E359" s="236"/>
      <c r="F359" s="236"/>
      <c r="G359" s="236"/>
      <c r="H359" s="236"/>
      <c r="I359" s="236"/>
      <c r="J359" s="236"/>
      <c r="K359" s="330"/>
      <c r="L359" s="330"/>
      <c r="M359" s="236"/>
      <c r="N359" s="236"/>
      <c r="O359" s="236"/>
      <c r="P359" s="236"/>
      <c r="Q359" s="236"/>
      <c r="R359" s="236"/>
      <c r="S359" s="236"/>
      <c r="T359" s="236"/>
      <c r="U359" s="236"/>
      <c r="V359" s="236"/>
      <c r="W359" s="236"/>
    </row>
    <row r="360">
      <c r="A360" s="236"/>
      <c r="B360" s="236"/>
      <c r="C360" s="236"/>
      <c r="D360" s="236"/>
      <c r="E360" s="236"/>
      <c r="F360" s="236"/>
      <c r="G360" s="236"/>
      <c r="H360" s="236"/>
      <c r="I360" s="236"/>
      <c r="J360" s="236"/>
      <c r="K360" s="330"/>
      <c r="L360" s="330"/>
      <c r="M360" s="236"/>
      <c r="N360" s="236"/>
      <c r="O360" s="236"/>
      <c r="P360" s="236"/>
      <c r="Q360" s="236"/>
      <c r="R360" s="236"/>
      <c r="S360" s="236"/>
      <c r="T360" s="236"/>
      <c r="U360" s="236"/>
      <c r="V360" s="236"/>
      <c r="W360" s="236"/>
    </row>
    <row r="361">
      <c r="A361" s="236"/>
      <c r="B361" s="236"/>
      <c r="C361" s="236"/>
      <c r="D361" s="236"/>
      <c r="E361" s="236"/>
      <c r="F361" s="236"/>
      <c r="G361" s="236"/>
      <c r="H361" s="236"/>
      <c r="I361" s="236"/>
      <c r="J361" s="236"/>
      <c r="K361" s="330"/>
      <c r="L361" s="330"/>
      <c r="M361" s="236"/>
      <c r="N361" s="236"/>
      <c r="O361" s="236"/>
      <c r="P361" s="236"/>
      <c r="Q361" s="236"/>
      <c r="R361" s="236"/>
      <c r="S361" s="236"/>
      <c r="T361" s="236"/>
      <c r="U361" s="236"/>
      <c r="V361" s="236"/>
      <c r="W361" s="236"/>
    </row>
    <row r="362">
      <c r="A362" s="236"/>
      <c r="B362" s="236"/>
      <c r="C362" s="236"/>
      <c r="D362" s="236"/>
      <c r="E362" s="236"/>
      <c r="F362" s="236"/>
      <c r="G362" s="236"/>
      <c r="H362" s="236"/>
      <c r="I362" s="236"/>
      <c r="J362" s="236"/>
      <c r="K362" s="330"/>
      <c r="L362" s="330"/>
      <c r="M362" s="236"/>
      <c r="N362" s="236"/>
      <c r="O362" s="236"/>
      <c r="P362" s="236"/>
      <c r="Q362" s="236"/>
      <c r="R362" s="236"/>
      <c r="S362" s="236"/>
      <c r="T362" s="236"/>
      <c r="U362" s="236"/>
      <c r="V362" s="236"/>
      <c r="W362" s="236"/>
    </row>
    <row r="363">
      <c r="A363" s="236"/>
      <c r="B363" s="236"/>
      <c r="C363" s="236"/>
      <c r="D363" s="236"/>
      <c r="E363" s="236"/>
      <c r="F363" s="236"/>
      <c r="G363" s="236"/>
      <c r="H363" s="236"/>
      <c r="I363" s="236"/>
      <c r="J363" s="236"/>
      <c r="K363" s="330"/>
      <c r="L363" s="330"/>
      <c r="M363" s="236"/>
      <c r="N363" s="236"/>
      <c r="O363" s="236"/>
      <c r="P363" s="236"/>
      <c r="Q363" s="236"/>
      <c r="R363" s="236"/>
      <c r="S363" s="236"/>
      <c r="T363" s="236"/>
      <c r="U363" s="236"/>
      <c r="V363" s="236"/>
      <c r="W363" s="236"/>
    </row>
    <row r="364">
      <c r="A364" s="236"/>
      <c r="B364" s="236"/>
      <c r="C364" s="236"/>
      <c r="D364" s="236"/>
      <c r="E364" s="236"/>
      <c r="F364" s="236"/>
      <c r="G364" s="236"/>
      <c r="H364" s="236"/>
      <c r="I364" s="236"/>
      <c r="J364" s="236"/>
      <c r="K364" s="330"/>
      <c r="L364" s="330"/>
      <c r="M364" s="236"/>
      <c r="N364" s="236"/>
      <c r="O364" s="236"/>
      <c r="P364" s="236"/>
      <c r="Q364" s="236"/>
      <c r="R364" s="236"/>
      <c r="S364" s="236"/>
      <c r="T364" s="236"/>
      <c r="U364" s="236"/>
      <c r="V364" s="236"/>
      <c r="W364" s="236"/>
    </row>
    <row r="365">
      <c r="A365" s="236"/>
      <c r="B365" s="236"/>
      <c r="C365" s="236"/>
      <c r="D365" s="236"/>
      <c r="E365" s="236"/>
      <c r="F365" s="236"/>
      <c r="G365" s="236"/>
      <c r="H365" s="236"/>
      <c r="I365" s="236"/>
      <c r="J365" s="236"/>
      <c r="K365" s="330"/>
      <c r="L365" s="330"/>
      <c r="M365" s="236"/>
      <c r="N365" s="236"/>
      <c r="O365" s="236"/>
      <c r="P365" s="236"/>
      <c r="Q365" s="236"/>
      <c r="R365" s="236"/>
      <c r="S365" s="236"/>
      <c r="T365" s="236"/>
      <c r="U365" s="236"/>
      <c r="V365" s="236"/>
      <c r="W365" s="236"/>
    </row>
    <row r="366">
      <c r="A366" s="236"/>
      <c r="B366" s="236"/>
      <c r="C366" s="236"/>
      <c r="D366" s="236"/>
      <c r="E366" s="236"/>
      <c r="F366" s="236"/>
      <c r="G366" s="236"/>
      <c r="H366" s="236"/>
      <c r="I366" s="236"/>
      <c r="J366" s="236"/>
      <c r="K366" s="330"/>
      <c r="L366" s="330"/>
      <c r="M366" s="236"/>
      <c r="N366" s="236"/>
      <c r="O366" s="236"/>
      <c r="P366" s="236"/>
      <c r="Q366" s="236"/>
      <c r="R366" s="236"/>
      <c r="S366" s="236"/>
      <c r="T366" s="236"/>
      <c r="U366" s="236"/>
      <c r="V366" s="236"/>
      <c r="W366" s="236"/>
    </row>
    <row r="367">
      <c r="A367" s="236"/>
      <c r="B367" s="236"/>
      <c r="C367" s="236"/>
      <c r="D367" s="236"/>
      <c r="E367" s="236"/>
      <c r="F367" s="236"/>
      <c r="G367" s="236"/>
      <c r="H367" s="236"/>
      <c r="I367" s="236"/>
      <c r="J367" s="236"/>
      <c r="K367" s="330"/>
      <c r="L367" s="330"/>
      <c r="M367" s="236"/>
      <c r="N367" s="236"/>
      <c r="O367" s="236"/>
      <c r="P367" s="236"/>
      <c r="Q367" s="236"/>
      <c r="R367" s="236"/>
      <c r="S367" s="236"/>
      <c r="T367" s="236"/>
      <c r="U367" s="236"/>
      <c r="V367" s="236"/>
      <c r="W367" s="236"/>
    </row>
    <row r="368">
      <c r="A368" s="236"/>
      <c r="B368" s="236"/>
      <c r="C368" s="236"/>
      <c r="D368" s="236"/>
      <c r="E368" s="236"/>
      <c r="F368" s="236"/>
      <c r="G368" s="236"/>
      <c r="H368" s="236"/>
      <c r="I368" s="236"/>
      <c r="J368" s="236"/>
      <c r="K368" s="330"/>
      <c r="L368" s="330"/>
      <c r="M368" s="236"/>
      <c r="N368" s="236"/>
      <c r="O368" s="236"/>
      <c r="P368" s="236"/>
      <c r="Q368" s="236"/>
      <c r="R368" s="236"/>
      <c r="S368" s="236"/>
      <c r="T368" s="236"/>
      <c r="U368" s="236"/>
      <c r="V368" s="236"/>
      <c r="W368" s="236"/>
    </row>
    <row r="369">
      <c r="A369" s="236"/>
      <c r="B369" s="236"/>
      <c r="C369" s="236"/>
      <c r="D369" s="236"/>
      <c r="E369" s="236"/>
      <c r="F369" s="236"/>
      <c r="G369" s="236"/>
      <c r="H369" s="236"/>
      <c r="I369" s="236"/>
      <c r="J369" s="236"/>
      <c r="K369" s="330"/>
      <c r="L369" s="330"/>
      <c r="M369" s="236"/>
      <c r="N369" s="236"/>
      <c r="O369" s="236"/>
      <c r="P369" s="236"/>
      <c r="Q369" s="236"/>
      <c r="R369" s="236"/>
      <c r="S369" s="236"/>
      <c r="T369" s="236"/>
      <c r="U369" s="236"/>
      <c r="V369" s="236"/>
      <c r="W369" s="236"/>
    </row>
    <row r="370">
      <c r="A370" s="236"/>
      <c r="B370" s="236"/>
      <c r="C370" s="236"/>
      <c r="D370" s="236"/>
      <c r="E370" s="236"/>
      <c r="F370" s="236"/>
      <c r="G370" s="236"/>
      <c r="H370" s="236"/>
      <c r="I370" s="236"/>
      <c r="J370" s="236"/>
      <c r="K370" s="330"/>
      <c r="L370" s="330"/>
      <c r="M370" s="236"/>
      <c r="N370" s="236"/>
      <c r="O370" s="236"/>
      <c r="P370" s="236"/>
      <c r="Q370" s="236"/>
      <c r="R370" s="236"/>
      <c r="S370" s="236"/>
      <c r="T370" s="236"/>
      <c r="U370" s="236"/>
      <c r="V370" s="236"/>
      <c r="W370" s="236"/>
    </row>
    <row r="371">
      <c r="A371" s="236"/>
      <c r="B371" s="236"/>
      <c r="C371" s="236"/>
      <c r="D371" s="236"/>
      <c r="E371" s="236"/>
      <c r="F371" s="236"/>
      <c r="G371" s="236"/>
      <c r="H371" s="236"/>
      <c r="I371" s="236"/>
      <c r="J371" s="236"/>
      <c r="K371" s="330"/>
      <c r="L371" s="330"/>
      <c r="M371" s="236"/>
      <c r="N371" s="236"/>
      <c r="O371" s="236"/>
      <c r="P371" s="236"/>
      <c r="Q371" s="236"/>
      <c r="R371" s="236"/>
      <c r="S371" s="236"/>
      <c r="T371" s="236"/>
      <c r="U371" s="236"/>
      <c r="V371" s="236"/>
      <c r="W371" s="236"/>
    </row>
    <row r="372">
      <c r="A372" s="236"/>
      <c r="B372" s="236"/>
      <c r="C372" s="236"/>
      <c r="D372" s="236"/>
      <c r="E372" s="236"/>
      <c r="F372" s="236"/>
      <c r="G372" s="236"/>
      <c r="H372" s="236"/>
      <c r="I372" s="236"/>
      <c r="J372" s="236"/>
      <c r="K372" s="330"/>
      <c r="L372" s="330"/>
      <c r="M372" s="236"/>
      <c r="N372" s="236"/>
      <c r="O372" s="236"/>
      <c r="P372" s="236"/>
      <c r="Q372" s="236"/>
      <c r="R372" s="236"/>
      <c r="S372" s="236"/>
      <c r="T372" s="236"/>
      <c r="U372" s="236"/>
      <c r="V372" s="236"/>
      <c r="W372" s="236"/>
    </row>
    <row r="373">
      <c r="A373" s="236"/>
      <c r="B373" s="236"/>
      <c r="C373" s="236"/>
      <c r="D373" s="236"/>
      <c r="E373" s="236"/>
      <c r="F373" s="236"/>
      <c r="G373" s="236"/>
      <c r="H373" s="236"/>
      <c r="I373" s="236"/>
      <c r="J373" s="236"/>
      <c r="K373" s="330"/>
      <c r="L373" s="330"/>
      <c r="M373" s="236"/>
      <c r="N373" s="236"/>
      <c r="O373" s="236"/>
      <c r="P373" s="236"/>
      <c r="Q373" s="236"/>
      <c r="R373" s="236"/>
      <c r="S373" s="236"/>
      <c r="T373" s="236"/>
      <c r="U373" s="236"/>
      <c r="V373" s="236"/>
      <c r="W373" s="236"/>
    </row>
    <row r="374">
      <c r="A374" s="236"/>
      <c r="B374" s="236"/>
      <c r="C374" s="236"/>
      <c r="D374" s="236"/>
      <c r="E374" s="236"/>
      <c r="F374" s="236"/>
      <c r="G374" s="236"/>
      <c r="H374" s="236"/>
      <c r="I374" s="236"/>
      <c r="J374" s="236"/>
      <c r="K374" s="330"/>
      <c r="L374" s="330"/>
      <c r="M374" s="236"/>
      <c r="N374" s="236"/>
      <c r="O374" s="236"/>
      <c r="P374" s="236"/>
      <c r="Q374" s="236"/>
      <c r="R374" s="236"/>
      <c r="S374" s="236"/>
      <c r="T374" s="236"/>
      <c r="U374" s="236"/>
      <c r="V374" s="236"/>
      <c r="W374" s="236"/>
    </row>
    <row r="375">
      <c r="A375" s="236"/>
      <c r="B375" s="236"/>
      <c r="C375" s="236"/>
      <c r="D375" s="236"/>
      <c r="E375" s="236"/>
      <c r="F375" s="236"/>
      <c r="G375" s="236"/>
      <c r="H375" s="236"/>
      <c r="I375" s="236"/>
      <c r="J375" s="236"/>
      <c r="K375" s="330"/>
      <c r="L375" s="330"/>
      <c r="M375" s="236"/>
      <c r="N375" s="236"/>
      <c r="O375" s="236"/>
      <c r="P375" s="236"/>
      <c r="Q375" s="236"/>
      <c r="R375" s="236"/>
      <c r="S375" s="236"/>
      <c r="T375" s="236"/>
      <c r="U375" s="236"/>
      <c r="V375" s="236"/>
      <c r="W375" s="236"/>
    </row>
    <row r="376">
      <c r="A376" s="236"/>
      <c r="B376" s="236"/>
      <c r="C376" s="236"/>
      <c r="D376" s="236"/>
      <c r="E376" s="236"/>
      <c r="F376" s="236"/>
      <c r="G376" s="236"/>
      <c r="H376" s="236"/>
      <c r="I376" s="236"/>
      <c r="J376" s="236"/>
      <c r="K376" s="330"/>
      <c r="L376" s="330"/>
      <c r="M376" s="236"/>
      <c r="N376" s="236"/>
      <c r="O376" s="236"/>
      <c r="P376" s="236"/>
      <c r="Q376" s="236"/>
      <c r="R376" s="236"/>
      <c r="S376" s="236"/>
      <c r="T376" s="236"/>
      <c r="U376" s="236"/>
      <c r="V376" s="236"/>
      <c r="W376" s="236"/>
    </row>
    <row r="377">
      <c r="A377" s="236"/>
      <c r="B377" s="236"/>
      <c r="C377" s="236"/>
      <c r="D377" s="236"/>
      <c r="E377" s="236"/>
      <c r="F377" s="236"/>
      <c r="G377" s="236"/>
      <c r="H377" s="236"/>
      <c r="I377" s="236"/>
      <c r="J377" s="236"/>
      <c r="K377" s="330"/>
      <c r="L377" s="330"/>
      <c r="M377" s="236"/>
      <c r="N377" s="236"/>
      <c r="O377" s="236"/>
      <c r="P377" s="236"/>
      <c r="Q377" s="236"/>
      <c r="R377" s="236"/>
      <c r="S377" s="236"/>
      <c r="T377" s="236"/>
      <c r="U377" s="236"/>
      <c r="V377" s="236"/>
      <c r="W377" s="236"/>
    </row>
    <row r="378">
      <c r="A378" s="236"/>
      <c r="B378" s="236"/>
      <c r="C378" s="236"/>
      <c r="D378" s="236"/>
      <c r="E378" s="236"/>
      <c r="F378" s="236"/>
      <c r="G378" s="236"/>
      <c r="H378" s="236"/>
      <c r="I378" s="236"/>
      <c r="J378" s="236"/>
      <c r="K378" s="330"/>
      <c r="L378" s="330"/>
      <c r="M378" s="236"/>
      <c r="N378" s="236"/>
      <c r="O378" s="236"/>
      <c r="P378" s="236"/>
      <c r="Q378" s="236"/>
      <c r="R378" s="236"/>
      <c r="S378" s="236"/>
      <c r="T378" s="236"/>
      <c r="U378" s="236"/>
      <c r="V378" s="236"/>
      <c r="W378" s="236"/>
    </row>
    <row r="379">
      <c r="A379" s="236"/>
      <c r="B379" s="236"/>
      <c r="C379" s="236"/>
      <c r="D379" s="236"/>
      <c r="E379" s="236"/>
      <c r="F379" s="236"/>
      <c r="G379" s="236"/>
      <c r="H379" s="236"/>
      <c r="I379" s="236"/>
      <c r="J379" s="236"/>
      <c r="K379" s="330"/>
      <c r="L379" s="330"/>
      <c r="M379" s="236"/>
      <c r="N379" s="236"/>
      <c r="O379" s="236"/>
      <c r="P379" s="236"/>
      <c r="Q379" s="236"/>
      <c r="R379" s="236"/>
      <c r="S379" s="236"/>
      <c r="T379" s="236"/>
      <c r="U379" s="236"/>
      <c r="V379" s="236"/>
      <c r="W379" s="236"/>
    </row>
    <row r="380">
      <c r="A380" s="236"/>
      <c r="B380" s="236"/>
      <c r="C380" s="236"/>
      <c r="D380" s="236"/>
      <c r="E380" s="236"/>
      <c r="F380" s="236"/>
      <c r="G380" s="236"/>
      <c r="H380" s="236"/>
      <c r="I380" s="236"/>
      <c r="J380" s="236"/>
      <c r="K380" s="330"/>
      <c r="L380" s="330"/>
      <c r="M380" s="236"/>
      <c r="N380" s="236"/>
      <c r="O380" s="236"/>
      <c r="P380" s="236"/>
      <c r="Q380" s="236"/>
      <c r="R380" s="236"/>
      <c r="S380" s="236"/>
      <c r="T380" s="236"/>
      <c r="U380" s="236"/>
      <c r="V380" s="236"/>
      <c r="W380" s="236"/>
    </row>
    <row r="381">
      <c r="A381" s="236"/>
      <c r="B381" s="236"/>
      <c r="C381" s="236"/>
      <c r="D381" s="236"/>
      <c r="E381" s="236"/>
      <c r="F381" s="236"/>
      <c r="G381" s="236"/>
      <c r="H381" s="236"/>
      <c r="I381" s="236"/>
      <c r="J381" s="236"/>
      <c r="K381" s="330"/>
      <c r="L381" s="330"/>
      <c r="M381" s="236"/>
      <c r="N381" s="236"/>
      <c r="O381" s="236"/>
      <c r="P381" s="236"/>
      <c r="Q381" s="236"/>
      <c r="R381" s="236"/>
      <c r="S381" s="236"/>
      <c r="T381" s="236"/>
      <c r="U381" s="236"/>
      <c r="V381" s="236"/>
      <c r="W381" s="236"/>
    </row>
    <row r="382">
      <c r="A382" s="236"/>
      <c r="B382" s="236"/>
      <c r="C382" s="236"/>
      <c r="D382" s="236"/>
      <c r="E382" s="236"/>
      <c r="F382" s="236"/>
      <c r="G382" s="236"/>
      <c r="H382" s="236"/>
      <c r="I382" s="236"/>
      <c r="J382" s="236"/>
      <c r="K382" s="330"/>
      <c r="L382" s="330"/>
      <c r="M382" s="236"/>
      <c r="N382" s="236"/>
      <c r="O382" s="236"/>
      <c r="P382" s="236"/>
      <c r="Q382" s="236"/>
      <c r="R382" s="236"/>
      <c r="S382" s="236"/>
      <c r="T382" s="236"/>
      <c r="U382" s="236"/>
      <c r="V382" s="236"/>
      <c r="W382" s="236"/>
    </row>
    <row r="383">
      <c r="A383" s="236"/>
      <c r="B383" s="236"/>
      <c r="C383" s="236"/>
      <c r="D383" s="236"/>
      <c r="E383" s="236"/>
      <c r="F383" s="236"/>
      <c r="G383" s="236"/>
      <c r="H383" s="236"/>
      <c r="I383" s="236"/>
      <c r="J383" s="236"/>
      <c r="K383" s="330"/>
      <c r="L383" s="330"/>
      <c r="M383" s="236"/>
      <c r="N383" s="236"/>
      <c r="O383" s="236"/>
      <c r="P383" s="236"/>
      <c r="Q383" s="236"/>
      <c r="R383" s="236"/>
      <c r="S383" s="236"/>
      <c r="T383" s="236"/>
      <c r="U383" s="236"/>
      <c r="V383" s="236"/>
      <c r="W383" s="236"/>
    </row>
    <row r="384">
      <c r="A384" s="236"/>
      <c r="B384" s="236"/>
      <c r="C384" s="236"/>
      <c r="D384" s="236"/>
      <c r="E384" s="236"/>
      <c r="F384" s="236"/>
      <c r="G384" s="236"/>
      <c r="H384" s="236"/>
      <c r="I384" s="236"/>
      <c r="J384" s="236"/>
      <c r="K384" s="330"/>
      <c r="L384" s="330"/>
      <c r="M384" s="236"/>
      <c r="N384" s="236"/>
      <c r="O384" s="236"/>
      <c r="P384" s="236"/>
      <c r="Q384" s="236"/>
      <c r="R384" s="236"/>
      <c r="S384" s="236"/>
      <c r="T384" s="236"/>
      <c r="U384" s="236"/>
      <c r="V384" s="236"/>
      <c r="W384" s="236"/>
    </row>
    <row r="385">
      <c r="A385" s="236"/>
      <c r="B385" s="236"/>
      <c r="C385" s="236"/>
      <c r="D385" s="236"/>
      <c r="E385" s="236"/>
      <c r="F385" s="236"/>
      <c r="G385" s="236"/>
      <c r="H385" s="236"/>
      <c r="I385" s="236"/>
      <c r="J385" s="236"/>
      <c r="K385" s="330"/>
      <c r="L385" s="330"/>
      <c r="M385" s="236"/>
      <c r="N385" s="236"/>
      <c r="O385" s="236"/>
      <c r="P385" s="236"/>
      <c r="Q385" s="236"/>
      <c r="R385" s="236"/>
      <c r="S385" s="236"/>
      <c r="T385" s="236"/>
      <c r="U385" s="236"/>
      <c r="V385" s="236"/>
      <c r="W385" s="236"/>
    </row>
    <row r="386">
      <c r="A386" s="236"/>
      <c r="B386" s="236"/>
      <c r="C386" s="236"/>
      <c r="D386" s="236"/>
      <c r="E386" s="236"/>
      <c r="F386" s="236"/>
      <c r="G386" s="236"/>
      <c r="H386" s="236"/>
      <c r="I386" s="236"/>
      <c r="J386" s="236"/>
      <c r="K386" s="330"/>
      <c r="L386" s="330"/>
      <c r="M386" s="236"/>
      <c r="N386" s="236"/>
      <c r="O386" s="236"/>
      <c r="P386" s="236"/>
      <c r="Q386" s="236"/>
      <c r="R386" s="236"/>
      <c r="S386" s="236"/>
      <c r="T386" s="236"/>
      <c r="U386" s="236"/>
      <c r="V386" s="236"/>
      <c r="W386" s="236"/>
    </row>
    <row r="387">
      <c r="A387" s="236"/>
      <c r="B387" s="236"/>
      <c r="C387" s="236"/>
      <c r="D387" s="236"/>
      <c r="E387" s="236"/>
      <c r="F387" s="236"/>
      <c r="G387" s="236"/>
      <c r="H387" s="236"/>
      <c r="I387" s="236"/>
      <c r="J387" s="236"/>
      <c r="K387" s="330"/>
      <c r="L387" s="330"/>
      <c r="M387" s="236"/>
      <c r="N387" s="236"/>
      <c r="O387" s="236"/>
      <c r="P387" s="236"/>
      <c r="Q387" s="236"/>
      <c r="R387" s="236"/>
      <c r="S387" s="236"/>
      <c r="T387" s="236"/>
      <c r="U387" s="236"/>
      <c r="V387" s="236"/>
      <c r="W387" s="236"/>
    </row>
    <row r="388">
      <c r="A388" s="236"/>
      <c r="B388" s="236"/>
      <c r="C388" s="236"/>
      <c r="D388" s="236"/>
      <c r="E388" s="236"/>
      <c r="F388" s="236"/>
      <c r="G388" s="236"/>
      <c r="H388" s="236"/>
      <c r="I388" s="236"/>
      <c r="J388" s="236"/>
      <c r="K388" s="330"/>
      <c r="L388" s="330"/>
      <c r="M388" s="236"/>
      <c r="N388" s="236"/>
      <c r="O388" s="236"/>
      <c r="P388" s="236"/>
      <c r="Q388" s="236"/>
      <c r="R388" s="236"/>
      <c r="S388" s="236"/>
      <c r="T388" s="236"/>
      <c r="U388" s="236"/>
      <c r="V388" s="236"/>
      <c r="W388" s="236"/>
    </row>
    <row r="389">
      <c r="A389" s="236"/>
      <c r="B389" s="236"/>
      <c r="C389" s="236"/>
      <c r="D389" s="236"/>
      <c r="E389" s="236"/>
      <c r="F389" s="236"/>
      <c r="G389" s="236"/>
      <c r="H389" s="236"/>
      <c r="I389" s="236"/>
      <c r="J389" s="236"/>
      <c r="K389" s="330"/>
      <c r="L389" s="330"/>
      <c r="M389" s="236"/>
      <c r="N389" s="236"/>
      <c r="O389" s="236"/>
      <c r="P389" s="236"/>
      <c r="Q389" s="236"/>
      <c r="R389" s="236"/>
      <c r="S389" s="236"/>
      <c r="T389" s="236"/>
      <c r="U389" s="236"/>
      <c r="V389" s="236"/>
      <c r="W389" s="236"/>
    </row>
    <row r="390">
      <c r="A390" s="236"/>
      <c r="B390" s="236"/>
      <c r="C390" s="236"/>
      <c r="D390" s="236"/>
      <c r="E390" s="236"/>
      <c r="F390" s="236"/>
      <c r="G390" s="236"/>
      <c r="H390" s="236"/>
      <c r="I390" s="236"/>
      <c r="J390" s="236"/>
      <c r="K390" s="330"/>
      <c r="L390" s="330"/>
      <c r="M390" s="236"/>
      <c r="N390" s="236"/>
      <c r="O390" s="236"/>
      <c r="P390" s="236"/>
      <c r="Q390" s="236"/>
      <c r="R390" s="236"/>
      <c r="S390" s="236"/>
      <c r="T390" s="236"/>
      <c r="U390" s="236"/>
      <c r="V390" s="236"/>
      <c r="W390" s="236"/>
    </row>
    <row r="391">
      <c r="A391" s="236"/>
      <c r="B391" s="236"/>
      <c r="C391" s="236"/>
      <c r="D391" s="236"/>
      <c r="E391" s="236"/>
      <c r="F391" s="236"/>
      <c r="G391" s="236"/>
      <c r="H391" s="236"/>
      <c r="I391" s="236"/>
      <c r="J391" s="236"/>
      <c r="K391" s="330"/>
      <c r="L391" s="330"/>
      <c r="M391" s="236"/>
      <c r="N391" s="236"/>
      <c r="O391" s="236"/>
      <c r="P391" s="236"/>
      <c r="Q391" s="236"/>
      <c r="R391" s="236"/>
      <c r="S391" s="236"/>
      <c r="T391" s="236"/>
      <c r="U391" s="236"/>
      <c r="V391" s="236"/>
      <c r="W391" s="236"/>
    </row>
    <row r="392">
      <c r="A392" s="236"/>
      <c r="B392" s="236"/>
      <c r="C392" s="236"/>
      <c r="D392" s="236"/>
      <c r="E392" s="236"/>
      <c r="F392" s="236"/>
      <c r="G392" s="236"/>
      <c r="H392" s="236"/>
      <c r="I392" s="236"/>
      <c r="J392" s="236"/>
      <c r="K392" s="330"/>
      <c r="L392" s="330"/>
      <c r="M392" s="236"/>
      <c r="N392" s="236"/>
      <c r="O392" s="236"/>
      <c r="P392" s="236"/>
      <c r="Q392" s="236"/>
      <c r="R392" s="236"/>
      <c r="S392" s="236"/>
      <c r="T392" s="236"/>
      <c r="U392" s="236"/>
      <c r="V392" s="236"/>
      <c r="W392" s="236"/>
    </row>
    <row r="393">
      <c r="A393" s="236"/>
      <c r="B393" s="236"/>
      <c r="C393" s="236"/>
      <c r="D393" s="236"/>
      <c r="E393" s="236"/>
      <c r="F393" s="236"/>
      <c r="G393" s="236"/>
      <c r="H393" s="236"/>
      <c r="I393" s="236"/>
      <c r="J393" s="236"/>
      <c r="K393" s="330"/>
      <c r="L393" s="330"/>
      <c r="M393" s="236"/>
      <c r="N393" s="236"/>
      <c r="O393" s="236"/>
      <c r="P393" s="236"/>
      <c r="Q393" s="236"/>
      <c r="R393" s="236"/>
      <c r="S393" s="236"/>
      <c r="T393" s="236"/>
      <c r="U393" s="236"/>
      <c r="V393" s="236"/>
      <c r="W393" s="236"/>
    </row>
    <row r="394">
      <c r="A394" s="236"/>
      <c r="B394" s="236"/>
      <c r="C394" s="236"/>
      <c r="D394" s="236"/>
      <c r="E394" s="236"/>
      <c r="F394" s="236"/>
      <c r="G394" s="236"/>
      <c r="H394" s="236"/>
      <c r="I394" s="236"/>
      <c r="J394" s="236"/>
      <c r="K394" s="330"/>
      <c r="L394" s="330"/>
      <c r="M394" s="236"/>
      <c r="N394" s="236"/>
      <c r="O394" s="236"/>
      <c r="P394" s="236"/>
      <c r="Q394" s="236"/>
      <c r="R394" s="236"/>
      <c r="S394" s="236"/>
      <c r="T394" s="236"/>
      <c r="U394" s="236"/>
      <c r="V394" s="236"/>
      <c r="W394" s="236"/>
    </row>
    <row r="395">
      <c r="A395" s="236"/>
      <c r="B395" s="236"/>
      <c r="C395" s="236"/>
      <c r="D395" s="236"/>
      <c r="E395" s="236"/>
      <c r="F395" s="236"/>
      <c r="G395" s="236"/>
      <c r="H395" s="236"/>
      <c r="I395" s="236"/>
      <c r="J395" s="236"/>
      <c r="K395" s="330"/>
      <c r="L395" s="330"/>
      <c r="M395" s="236"/>
      <c r="N395" s="236"/>
      <c r="O395" s="236"/>
      <c r="P395" s="236"/>
      <c r="Q395" s="236"/>
      <c r="R395" s="236"/>
      <c r="S395" s="236"/>
      <c r="T395" s="236"/>
      <c r="U395" s="236"/>
      <c r="V395" s="236"/>
      <c r="W395" s="236"/>
    </row>
    <row r="396">
      <c r="A396" s="236"/>
      <c r="B396" s="236"/>
      <c r="C396" s="236"/>
      <c r="D396" s="236"/>
      <c r="E396" s="236"/>
      <c r="F396" s="236"/>
      <c r="G396" s="236"/>
      <c r="H396" s="236"/>
      <c r="I396" s="236"/>
      <c r="J396" s="236"/>
      <c r="K396" s="330"/>
      <c r="L396" s="330"/>
      <c r="M396" s="236"/>
      <c r="N396" s="236"/>
      <c r="O396" s="236"/>
      <c r="P396" s="236"/>
      <c r="Q396" s="236"/>
      <c r="R396" s="236"/>
      <c r="S396" s="236"/>
      <c r="T396" s="236"/>
      <c r="U396" s="236"/>
      <c r="V396" s="236"/>
      <c r="W396" s="236"/>
    </row>
    <row r="397">
      <c r="A397" s="236"/>
      <c r="B397" s="236"/>
      <c r="C397" s="236"/>
      <c r="D397" s="236"/>
      <c r="E397" s="236"/>
      <c r="F397" s="236"/>
      <c r="G397" s="236"/>
      <c r="H397" s="236"/>
      <c r="I397" s="236"/>
      <c r="J397" s="236"/>
      <c r="K397" s="330"/>
      <c r="L397" s="330"/>
      <c r="M397" s="236"/>
      <c r="N397" s="236"/>
      <c r="O397" s="236"/>
      <c r="P397" s="236"/>
      <c r="Q397" s="236"/>
      <c r="R397" s="236"/>
      <c r="S397" s="236"/>
      <c r="T397" s="236"/>
      <c r="U397" s="236"/>
      <c r="V397" s="236"/>
      <c r="W397" s="236"/>
    </row>
    <row r="398">
      <c r="A398" s="236"/>
      <c r="B398" s="236"/>
      <c r="C398" s="236"/>
      <c r="D398" s="236"/>
      <c r="E398" s="236"/>
      <c r="F398" s="236"/>
      <c r="G398" s="236"/>
      <c r="H398" s="236"/>
      <c r="I398" s="236"/>
      <c r="J398" s="236"/>
      <c r="K398" s="330"/>
      <c r="L398" s="330"/>
      <c r="M398" s="236"/>
      <c r="N398" s="236"/>
      <c r="O398" s="236"/>
      <c r="P398" s="236"/>
      <c r="Q398" s="236"/>
      <c r="R398" s="236"/>
      <c r="S398" s="236"/>
      <c r="T398" s="236"/>
      <c r="U398" s="236"/>
      <c r="V398" s="236"/>
      <c r="W398" s="236"/>
    </row>
    <row r="399">
      <c r="A399" s="236"/>
      <c r="B399" s="236"/>
      <c r="C399" s="236"/>
      <c r="D399" s="236"/>
      <c r="E399" s="236"/>
      <c r="F399" s="236"/>
      <c r="G399" s="236"/>
      <c r="H399" s="236"/>
      <c r="I399" s="236"/>
      <c r="J399" s="236"/>
      <c r="K399" s="330"/>
      <c r="L399" s="330"/>
      <c r="M399" s="236"/>
      <c r="N399" s="236"/>
      <c r="O399" s="236"/>
      <c r="P399" s="236"/>
      <c r="Q399" s="236"/>
      <c r="R399" s="236"/>
      <c r="S399" s="236"/>
      <c r="T399" s="236"/>
      <c r="U399" s="236"/>
      <c r="V399" s="236"/>
      <c r="W399" s="236"/>
    </row>
    <row r="400">
      <c r="A400" s="236"/>
      <c r="B400" s="236"/>
      <c r="C400" s="236"/>
      <c r="D400" s="236"/>
      <c r="E400" s="236"/>
      <c r="F400" s="236"/>
      <c r="G400" s="236"/>
      <c r="H400" s="236"/>
      <c r="I400" s="236"/>
      <c r="J400" s="236"/>
      <c r="K400" s="330"/>
      <c r="L400" s="330"/>
      <c r="M400" s="236"/>
      <c r="N400" s="236"/>
      <c r="O400" s="236"/>
      <c r="P400" s="236"/>
      <c r="Q400" s="236"/>
      <c r="R400" s="236"/>
      <c r="S400" s="236"/>
      <c r="T400" s="236"/>
      <c r="U400" s="236"/>
      <c r="V400" s="236"/>
      <c r="W400" s="236"/>
    </row>
    <row r="401">
      <c r="A401" s="236"/>
      <c r="B401" s="236"/>
      <c r="C401" s="236"/>
      <c r="D401" s="236"/>
      <c r="E401" s="236"/>
      <c r="F401" s="236"/>
      <c r="G401" s="236"/>
      <c r="H401" s="236"/>
      <c r="I401" s="236"/>
      <c r="J401" s="236"/>
      <c r="K401" s="330"/>
      <c r="L401" s="330"/>
      <c r="M401" s="236"/>
      <c r="N401" s="236"/>
      <c r="O401" s="236"/>
      <c r="P401" s="236"/>
      <c r="Q401" s="236"/>
      <c r="R401" s="236"/>
      <c r="S401" s="236"/>
      <c r="T401" s="236"/>
      <c r="U401" s="236"/>
      <c r="V401" s="236"/>
      <c r="W401" s="236"/>
    </row>
    <row r="402">
      <c r="A402" s="236"/>
      <c r="B402" s="236"/>
      <c r="C402" s="236"/>
      <c r="D402" s="236"/>
      <c r="E402" s="236"/>
      <c r="F402" s="236"/>
      <c r="G402" s="236"/>
      <c r="H402" s="236"/>
      <c r="I402" s="236"/>
      <c r="J402" s="236"/>
      <c r="K402" s="330"/>
      <c r="L402" s="330"/>
      <c r="M402" s="236"/>
      <c r="N402" s="236"/>
      <c r="O402" s="236"/>
      <c r="P402" s="236"/>
      <c r="Q402" s="236"/>
      <c r="R402" s="236"/>
      <c r="S402" s="236"/>
      <c r="T402" s="236"/>
      <c r="U402" s="236"/>
      <c r="V402" s="236"/>
      <c r="W402" s="236"/>
    </row>
    <row r="403">
      <c r="A403" s="236"/>
      <c r="B403" s="236"/>
      <c r="C403" s="236"/>
      <c r="D403" s="236"/>
      <c r="E403" s="236"/>
      <c r="F403" s="236"/>
      <c r="G403" s="236"/>
      <c r="H403" s="236"/>
      <c r="I403" s="236"/>
      <c r="J403" s="236"/>
      <c r="K403" s="330"/>
      <c r="L403" s="330"/>
      <c r="M403" s="236"/>
      <c r="N403" s="236"/>
      <c r="O403" s="236"/>
      <c r="P403" s="236"/>
      <c r="Q403" s="236"/>
      <c r="R403" s="236"/>
      <c r="S403" s="236"/>
      <c r="T403" s="236"/>
      <c r="U403" s="236"/>
      <c r="V403" s="236"/>
      <c r="W403" s="236"/>
    </row>
    <row r="404">
      <c r="A404" s="236"/>
      <c r="B404" s="236"/>
      <c r="C404" s="236"/>
      <c r="D404" s="236"/>
      <c r="E404" s="236"/>
      <c r="F404" s="236"/>
      <c r="G404" s="236"/>
      <c r="H404" s="236"/>
      <c r="I404" s="236"/>
      <c r="J404" s="236"/>
      <c r="K404" s="330"/>
      <c r="L404" s="330"/>
      <c r="M404" s="236"/>
      <c r="N404" s="236"/>
      <c r="O404" s="236"/>
      <c r="P404" s="236"/>
      <c r="Q404" s="236"/>
      <c r="R404" s="236"/>
      <c r="S404" s="236"/>
      <c r="T404" s="236"/>
      <c r="U404" s="236"/>
      <c r="V404" s="236"/>
      <c r="W404" s="236"/>
    </row>
    <row r="405">
      <c r="A405" s="236"/>
      <c r="B405" s="236"/>
      <c r="C405" s="236"/>
      <c r="D405" s="236"/>
      <c r="E405" s="236"/>
      <c r="F405" s="236"/>
      <c r="G405" s="236"/>
      <c r="H405" s="236"/>
      <c r="I405" s="236"/>
      <c r="J405" s="236"/>
      <c r="K405" s="330"/>
      <c r="L405" s="330"/>
      <c r="M405" s="236"/>
      <c r="N405" s="236"/>
      <c r="O405" s="236"/>
      <c r="P405" s="236"/>
      <c r="Q405" s="236"/>
      <c r="R405" s="236"/>
      <c r="S405" s="236"/>
      <c r="T405" s="236"/>
      <c r="U405" s="236"/>
      <c r="V405" s="236"/>
      <c r="W405" s="236"/>
    </row>
    <row r="406">
      <c r="A406" s="236"/>
      <c r="B406" s="236"/>
      <c r="C406" s="236"/>
      <c r="D406" s="236"/>
      <c r="E406" s="236"/>
      <c r="F406" s="236"/>
      <c r="G406" s="236"/>
      <c r="H406" s="236"/>
      <c r="I406" s="236"/>
      <c r="J406" s="236"/>
      <c r="K406" s="330"/>
      <c r="L406" s="330"/>
      <c r="M406" s="236"/>
      <c r="N406" s="236"/>
      <c r="O406" s="236"/>
      <c r="P406" s="236"/>
      <c r="Q406" s="236"/>
      <c r="R406" s="236"/>
      <c r="S406" s="236"/>
      <c r="T406" s="236"/>
      <c r="U406" s="236"/>
      <c r="V406" s="236"/>
      <c r="W406" s="236"/>
    </row>
    <row r="407">
      <c r="A407" s="236"/>
      <c r="B407" s="236"/>
      <c r="C407" s="236"/>
      <c r="D407" s="236"/>
      <c r="E407" s="236"/>
      <c r="F407" s="236"/>
      <c r="G407" s="236"/>
      <c r="H407" s="236"/>
      <c r="I407" s="236"/>
      <c r="J407" s="236"/>
      <c r="K407" s="330"/>
      <c r="L407" s="330"/>
      <c r="M407" s="236"/>
      <c r="N407" s="236"/>
      <c r="O407" s="236"/>
      <c r="P407" s="236"/>
      <c r="Q407" s="236"/>
      <c r="R407" s="236"/>
      <c r="S407" s="236"/>
      <c r="T407" s="236"/>
      <c r="U407" s="236"/>
      <c r="V407" s="236"/>
      <c r="W407" s="236"/>
    </row>
    <row r="408">
      <c r="A408" s="236"/>
      <c r="B408" s="236"/>
      <c r="C408" s="236"/>
      <c r="D408" s="236"/>
      <c r="E408" s="236"/>
      <c r="F408" s="236"/>
      <c r="G408" s="236"/>
      <c r="H408" s="236"/>
      <c r="I408" s="236"/>
      <c r="J408" s="236"/>
      <c r="K408" s="330"/>
      <c r="L408" s="330"/>
      <c r="M408" s="236"/>
      <c r="N408" s="236"/>
      <c r="O408" s="236"/>
      <c r="P408" s="236"/>
      <c r="Q408" s="236"/>
      <c r="R408" s="236"/>
      <c r="S408" s="236"/>
      <c r="T408" s="236"/>
      <c r="U408" s="236"/>
      <c r="V408" s="236"/>
      <c r="W408" s="236"/>
    </row>
    <row r="409">
      <c r="A409" s="236"/>
      <c r="B409" s="236"/>
      <c r="C409" s="236"/>
      <c r="D409" s="236"/>
      <c r="E409" s="236"/>
      <c r="F409" s="236"/>
      <c r="G409" s="236"/>
      <c r="H409" s="236"/>
      <c r="I409" s="236"/>
      <c r="J409" s="236"/>
      <c r="K409" s="330"/>
      <c r="L409" s="330"/>
      <c r="M409" s="236"/>
      <c r="N409" s="236"/>
      <c r="O409" s="236"/>
      <c r="P409" s="236"/>
      <c r="Q409" s="236"/>
      <c r="R409" s="236"/>
      <c r="S409" s="236"/>
      <c r="T409" s="236"/>
      <c r="U409" s="236"/>
      <c r="V409" s="236"/>
      <c r="W409" s="236"/>
    </row>
    <row r="410">
      <c r="A410" s="236"/>
      <c r="B410" s="236"/>
      <c r="C410" s="236"/>
      <c r="D410" s="236"/>
      <c r="E410" s="236"/>
      <c r="F410" s="236"/>
      <c r="G410" s="236"/>
      <c r="H410" s="236"/>
      <c r="I410" s="236"/>
      <c r="J410" s="236"/>
      <c r="K410" s="330"/>
      <c r="L410" s="330"/>
      <c r="M410" s="236"/>
      <c r="N410" s="236"/>
      <c r="O410" s="236"/>
      <c r="P410" s="236"/>
      <c r="Q410" s="236"/>
      <c r="R410" s="236"/>
      <c r="S410" s="236"/>
      <c r="T410" s="236"/>
      <c r="U410" s="236"/>
      <c r="V410" s="236"/>
      <c r="W410" s="236"/>
    </row>
    <row r="411">
      <c r="A411" s="236"/>
      <c r="B411" s="236"/>
      <c r="C411" s="236"/>
      <c r="D411" s="236"/>
      <c r="E411" s="236"/>
      <c r="F411" s="236"/>
      <c r="G411" s="236"/>
      <c r="H411" s="236"/>
      <c r="I411" s="236"/>
      <c r="J411" s="236"/>
      <c r="K411" s="330"/>
      <c r="L411" s="330"/>
      <c r="M411" s="236"/>
      <c r="N411" s="236"/>
      <c r="O411" s="236"/>
      <c r="P411" s="236"/>
      <c r="Q411" s="236"/>
      <c r="R411" s="236"/>
      <c r="S411" s="236"/>
      <c r="T411" s="236"/>
      <c r="U411" s="236"/>
      <c r="V411" s="236"/>
      <c r="W411" s="236"/>
    </row>
    <row r="412">
      <c r="A412" s="236"/>
      <c r="B412" s="236"/>
      <c r="C412" s="236"/>
      <c r="D412" s="236"/>
      <c r="E412" s="236"/>
      <c r="F412" s="236"/>
      <c r="G412" s="236"/>
      <c r="H412" s="236"/>
      <c r="I412" s="236"/>
      <c r="J412" s="236"/>
      <c r="K412" s="330"/>
      <c r="L412" s="330"/>
      <c r="M412" s="236"/>
      <c r="N412" s="236"/>
      <c r="O412" s="236"/>
      <c r="P412" s="236"/>
      <c r="Q412" s="236"/>
      <c r="R412" s="236"/>
      <c r="S412" s="236"/>
      <c r="T412" s="236"/>
      <c r="U412" s="236"/>
      <c r="V412" s="236"/>
      <c r="W412" s="236"/>
    </row>
    <row r="413">
      <c r="A413" s="236"/>
      <c r="B413" s="236"/>
      <c r="C413" s="236"/>
      <c r="D413" s="236"/>
      <c r="E413" s="236"/>
      <c r="F413" s="236"/>
      <c r="G413" s="236"/>
      <c r="H413" s="236"/>
      <c r="I413" s="236"/>
      <c r="J413" s="236"/>
      <c r="K413" s="330"/>
      <c r="L413" s="330"/>
      <c r="M413" s="236"/>
      <c r="N413" s="236"/>
      <c r="O413" s="236"/>
      <c r="P413" s="236"/>
      <c r="Q413" s="236"/>
      <c r="R413" s="236"/>
      <c r="S413" s="236"/>
      <c r="T413" s="236"/>
      <c r="U413" s="236"/>
      <c r="V413" s="236"/>
      <c r="W413" s="236"/>
    </row>
    <row r="414">
      <c r="A414" s="236"/>
      <c r="B414" s="236"/>
      <c r="C414" s="236"/>
      <c r="D414" s="236"/>
      <c r="E414" s="236"/>
      <c r="F414" s="236"/>
      <c r="G414" s="236"/>
      <c r="H414" s="236"/>
      <c r="I414" s="236"/>
      <c r="J414" s="236"/>
      <c r="K414" s="330"/>
      <c r="L414" s="330"/>
      <c r="M414" s="236"/>
      <c r="N414" s="236"/>
      <c r="O414" s="236"/>
      <c r="P414" s="236"/>
      <c r="Q414" s="236"/>
      <c r="R414" s="236"/>
      <c r="S414" s="236"/>
      <c r="T414" s="236"/>
      <c r="U414" s="236"/>
      <c r="V414" s="236"/>
      <c r="W414" s="236"/>
    </row>
    <row r="415">
      <c r="A415" s="236"/>
      <c r="B415" s="236"/>
      <c r="C415" s="236"/>
      <c r="D415" s="236"/>
      <c r="E415" s="236"/>
      <c r="F415" s="236"/>
      <c r="G415" s="236"/>
      <c r="H415" s="236"/>
      <c r="I415" s="236"/>
      <c r="J415" s="236"/>
      <c r="K415" s="330"/>
      <c r="L415" s="330"/>
      <c r="M415" s="236"/>
      <c r="N415" s="236"/>
      <c r="O415" s="236"/>
      <c r="P415" s="236"/>
      <c r="Q415" s="236"/>
      <c r="R415" s="236"/>
      <c r="S415" s="236"/>
      <c r="T415" s="236"/>
      <c r="U415" s="236"/>
      <c r="V415" s="236"/>
      <c r="W415" s="236"/>
    </row>
    <row r="416">
      <c r="A416" s="236"/>
      <c r="B416" s="236"/>
      <c r="C416" s="236"/>
      <c r="D416" s="236"/>
      <c r="E416" s="236"/>
      <c r="F416" s="236"/>
      <c r="G416" s="236"/>
      <c r="H416" s="236"/>
      <c r="I416" s="236"/>
      <c r="J416" s="236"/>
      <c r="K416" s="330"/>
      <c r="L416" s="330"/>
      <c r="M416" s="236"/>
      <c r="N416" s="236"/>
      <c r="O416" s="236"/>
      <c r="P416" s="236"/>
      <c r="Q416" s="236"/>
      <c r="R416" s="236"/>
      <c r="S416" s="236"/>
      <c r="T416" s="236"/>
      <c r="U416" s="236"/>
      <c r="V416" s="236"/>
      <c r="W416" s="236"/>
    </row>
    <row r="417">
      <c r="A417" s="236"/>
      <c r="B417" s="236"/>
      <c r="C417" s="236"/>
      <c r="D417" s="236"/>
      <c r="E417" s="236"/>
      <c r="F417" s="236"/>
      <c r="G417" s="236"/>
      <c r="H417" s="236"/>
      <c r="I417" s="236"/>
      <c r="J417" s="236"/>
      <c r="K417" s="330"/>
      <c r="L417" s="330"/>
      <c r="M417" s="236"/>
      <c r="N417" s="236"/>
      <c r="O417" s="236"/>
      <c r="P417" s="236"/>
      <c r="Q417" s="236"/>
      <c r="R417" s="236"/>
      <c r="S417" s="236"/>
      <c r="T417" s="236"/>
      <c r="U417" s="236"/>
      <c r="V417" s="236"/>
      <c r="W417" s="236"/>
    </row>
    <row r="418">
      <c r="A418" s="236"/>
      <c r="B418" s="236"/>
      <c r="C418" s="236"/>
      <c r="D418" s="236"/>
      <c r="E418" s="236"/>
      <c r="F418" s="236"/>
      <c r="G418" s="236"/>
      <c r="H418" s="236"/>
      <c r="I418" s="236"/>
      <c r="J418" s="236"/>
      <c r="K418" s="330"/>
      <c r="L418" s="330"/>
      <c r="M418" s="236"/>
      <c r="N418" s="236"/>
      <c r="O418" s="236"/>
      <c r="P418" s="236"/>
      <c r="Q418" s="236"/>
      <c r="R418" s="236"/>
      <c r="S418" s="236"/>
      <c r="T418" s="236"/>
      <c r="U418" s="236"/>
      <c r="V418" s="236"/>
      <c r="W418" s="236"/>
    </row>
    <row r="419">
      <c r="A419" s="236"/>
      <c r="B419" s="236"/>
      <c r="C419" s="236"/>
      <c r="D419" s="236"/>
      <c r="E419" s="236"/>
      <c r="F419" s="236"/>
      <c r="G419" s="236"/>
      <c r="H419" s="236"/>
      <c r="I419" s="236"/>
      <c r="J419" s="236"/>
      <c r="K419" s="330"/>
      <c r="L419" s="330"/>
      <c r="M419" s="236"/>
      <c r="N419" s="236"/>
      <c r="O419" s="236"/>
      <c r="P419" s="236"/>
      <c r="Q419" s="236"/>
      <c r="R419" s="236"/>
      <c r="S419" s="236"/>
      <c r="T419" s="236"/>
      <c r="U419" s="236"/>
      <c r="V419" s="236"/>
      <c r="W419" s="236"/>
    </row>
    <row r="420">
      <c r="A420" s="236"/>
      <c r="B420" s="236"/>
      <c r="C420" s="236"/>
      <c r="D420" s="236"/>
      <c r="E420" s="236"/>
      <c r="F420" s="236"/>
      <c r="G420" s="236"/>
      <c r="H420" s="236"/>
      <c r="I420" s="236"/>
      <c r="J420" s="236"/>
      <c r="K420" s="330"/>
      <c r="L420" s="330"/>
      <c r="M420" s="236"/>
      <c r="N420" s="236"/>
      <c r="O420" s="236"/>
      <c r="P420" s="236"/>
      <c r="Q420" s="236"/>
      <c r="R420" s="236"/>
      <c r="S420" s="236"/>
      <c r="T420" s="236"/>
      <c r="U420" s="236"/>
      <c r="V420" s="236"/>
      <c r="W420" s="236"/>
    </row>
    <row r="421">
      <c r="A421" s="236"/>
      <c r="B421" s="236"/>
      <c r="C421" s="236"/>
      <c r="D421" s="236"/>
      <c r="E421" s="236"/>
      <c r="F421" s="236"/>
      <c r="G421" s="236"/>
      <c r="H421" s="236"/>
      <c r="I421" s="236"/>
      <c r="J421" s="236"/>
      <c r="K421" s="330"/>
      <c r="L421" s="330"/>
      <c r="M421" s="236"/>
      <c r="N421" s="236"/>
      <c r="O421" s="236"/>
      <c r="P421" s="236"/>
      <c r="Q421" s="236"/>
      <c r="R421" s="236"/>
      <c r="S421" s="236"/>
      <c r="T421" s="236"/>
      <c r="U421" s="236"/>
      <c r="V421" s="236"/>
      <c r="W421" s="236"/>
    </row>
    <row r="422">
      <c r="A422" s="236"/>
      <c r="B422" s="236"/>
      <c r="C422" s="236"/>
      <c r="D422" s="236"/>
      <c r="E422" s="236"/>
      <c r="F422" s="236"/>
      <c r="G422" s="236"/>
      <c r="H422" s="236"/>
      <c r="I422" s="236"/>
      <c r="J422" s="236"/>
      <c r="K422" s="330"/>
      <c r="L422" s="330"/>
      <c r="M422" s="236"/>
      <c r="N422" s="236"/>
      <c r="O422" s="236"/>
      <c r="P422" s="236"/>
      <c r="Q422" s="236"/>
      <c r="R422" s="236"/>
      <c r="S422" s="236"/>
      <c r="T422" s="236"/>
      <c r="U422" s="236"/>
      <c r="V422" s="236"/>
      <c r="W422" s="236"/>
    </row>
    <row r="423">
      <c r="A423" s="236"/>
      <c r="B423" s="236"/>
      <c r="C423" s="236"/>
      <c r="D423" s="236"/>
      <c r="E423" s="236"/>
      <c r="F423" s="236"/>
      <c r="G423" s="236"/>
      <c r="H423" s="236"/>
      <c r="I423" s="236"/>
      <c r="J423" s="236"/>
      <c r="K423" s="330"/>
      <c r="L423" s="330"/>
      <c r="M423" s="236"/>
      <c r="N423" s="236"/>
      <c r="O423" s="236"/>
      <c r="P423" s="236"/>
      <c r="Q423" s="236"/>
      <c r="R423" s="236"/>
      <c r="S423" s="236"/>
      <c r="T423" s="236"/>
      <c r="U423" s="236"/>
      <c r="V423" s="236"/>
      <c r="W423" s="236"/>
    </row>
    <row r="424">
      <c r="A424" s="236"/>
      <c r="B424" s="236"/>
      <c r="C424" s="236"/>
      <c r="D424" s="236"/>
      <c r="E424" s="236"/>
      <c r="F424" s="236"/>
      <c r="G424" s="236"/>
      <c r="H424" s="236"/>
      <c r="I424" s="236"/>
      <c r="J424" s="236"/>
      <c r="K424" s="330"/>
      <c r="L424" s="330"/>
      <c r="M424" s="236"/>
      <c r="N424" s="236"/>
      <c r="O424" s="236"/>
      <c r="P424" s="236"/>
      <c r="Q424" s="236"/>
      <c r="R424" s="236"/>
      <c r="S424" s="236"/>
      <c r="T424" s="236"/>
      <c r="U424" s="236"/>
      <c r="V424" s="236"/>
      <c r="W424" s="236"/>
    </row>
    <row r="425">
      <c r="A425" s="236"/>
      <c r="B425" s="236"/>
      <c r="C425" s="236"/>
      <c r="D425" s="236"/>
      <c r="E425" s="236"/>
      <c r="F425" s="236"/>
      <c r="G425" s="236"/>
      <c r="H425" s="236"/>
      <c r="I425" s="236"/>
      <c r="J425" s="236"/>
      <c r="K425" s="330"/>
      <c r="L425" s="330"/>
      <c r="M425" s="236"/>
      <c r="N425" s="236"/>
      <c r="O425" s="236"/>
      <c r="P425" s="236"/>
      <c r="Q425" s="236"/>
      <c r="R425" s="236"/>
      <c r="S425" s="236"/>
      <c r="T425" s="236"/>
      <c r="U425" s="236"/>
      <c r="V425" s="236"/>
      <c r="W425" s="236"/>
    </row>
    <row r="426">
      <c r="A426" s="236"/>
      <c r="B426" s="236"/>
      <c r="C426" s="236"/>
      <c r="D426" s="236"/>
      <c r="E426" s="236"/>
      <c r="F426" s="236"/>
      <c r="G426" s="236"/>
      <c r="H426" s="236"/>
      <c r="I426" s="236"/>
      <c r="J426" s="236"/>
      <c r="K426" s="330"/>
      <c r="L426" s="330"/>
      <c r="M426" s="236"/>
      <c r="N426" s="236"/>
      <c r="O426" s="236"/>
      <c r="P426" s="236"/>
      <c r="Q426" s="236"/>
      <c r="R426" s="236"/>
      <c r="S426" s="236"/>
      <c r="T426" s="236"/>
      <c r="U426" s="236"/>
      <c r="V426" s="236"/>
      <c r="W426" s="236"/>
    </row>
    <row r="427">
      <c r="A427" s="236"/>
      <c r="B427" s="236"/>
      <c r="C427" s="236"/>
      <c r="D427" s="236"/>
      <c r="E427" s="236"/>
      <c r="F427" s="236"/>
      <c r="G427" s="236"/>
      <c r="H427" s="236"/>
      <c r="I427" s="236"/>
      <c r="J427" s="236"/>
      <c r="K427" s="330"/>
      <c r="L427" s="330"/>
      <c r="M427" s="236"/>
      <c r="N427" s="236"/>
      <c r="O427" s="236"/>
      <c r="P427" s="236"/>
      <c r="Q427" s="236"/>
      <c r="R427" s="236"/>
      <c r="S427" s="236"/>
      <c r="T427" s="236"/>
      <c r="U427" s="236"/>
      <c r="V427" s="236"/>
      <c r="W427" s="236"/>
    </row>
    <row r="428">
      <c r="A428" s="236"/>
      <c r="B428" s="236"/>
      <c r="C428" s="236"/>
      <c r="D428" s="236"/>
      <c r="E428" s="236"/>
      <c r="F428" s="236"/>
      <c r="G428" s="236"/>
      <c r="H428" s="236"/>
      <c r="I428" s="236"/>
      <c r="J428" s="236"/>
      <c r="K428" s="330"/>
      <c r="L428" s="330"/>
      <c r="M428" s="236"/>
      <c r="N428" s="236"/>
      <c r="O428" s="236"/>
      <c r="P428" s="236"/>
      <c r="Q428" s="236"/>
      <c r="R428" s="236"/>
      <c r="S428" s="236"/>
      <c r="T428" s="236"/>
      <c r="U428" s="236"/>
      <c r="V428" s="236"/>
      <c r="W428" s="236"/>
    </row>
    <row r="429">
      <c r="A429" s="236"/>
      <c r="B429" s="236"/>
      <c r="C429" s="236"/>
      <c r="D429" s="236"/>
      <c r="E429" s="236"/>
      <c r="F429" s="236"/>
      <c r="G429" s="236"/>
      <c r="H429" s="236"/>
      <c r="I429" s="236"/>
      <c r="J429" s="236"/>
      <c r="K429" s="330"/>
      <c r="L429" s="330"/>
      <c r="M429" s="236"/>
      <c r="N429" s="236"/>
      <c r="O429" s="236"/>
      <c r="P429" s="236"/>
      <c r="Q429" s="236"/>
      <c r="R429" s="236"/>
      <c r="S429" s="236"/>
      <c r="T429" s="236"/>
      <c r="U429" s="236"/>
      <c r="V429" s="236"/>
      <c r="W429" s="236"/>
    </row>
    <row r="430">
      <c r="A430" s="236"/>
      <c r="B430" s="236"/>
      <c r="C430" s="236"/>
      <c r="D430" s="236"/>
      <c r="E430" s="236"/>
      <c r="F430" s="236"/>
      <c r="G430" s="236"/>
      <c r="H430" s="236"/>
      <c r="I430" s="236"/>
      <c r="J430" s="236"/>
      <c r="K430" s="330"/>
      <c r="L430" s="330"/>
      <c r="M430" s="236"/>
      <c r="N430" s="236"/>
      <c r="O430" s="236"/>
      <c r="P430" s="236"/>
      <c r="Q430" s="236"/>
      <c r="R430" s="236"/>
      <c r="S430" s="236"/>
      <c r="T430" s="236"/>
      <c r="U430" s="236"/>
      <c r="V430" s="236"/>
      <c r="W430" s="236"/>
    </row>
    <row r="431">
      <c r="A431" s="236"/>
      <c r="B431" s="236"/>
      <c r="C431" s="236"/>
      <c r="D431" s="236"/>
      <c r="E431" s="236"/>
      <c r="F431" s="236"/>
      <c r="G431" s="236"/>
      <c r="H431" s="236"/>
      <c r="I431" s="236"/>
      <c r="J431" s="236"/>
      <c r="K431" s="330"/>
      <c r="L431" s="330"/>
      <c r="M431" s="236"/>
      <c r="N431" s="236"/>
      <c r="O431" s="236"/>
      <c r="P431" s="236"/>
      <c r="Q431" s="236"/>
      <c r="R431" s="236"/>
      <c r="S431" s="236"/>
      <c r="T431" s="236"/>
      <c r="U431" s="236"/>
      <c r="V431" s="236"/>
      <c r="W431" s="236"/>
    </row>
    <row r="432">
      <c r="A432" s="236"/>
      <c r="B432" s="236"/>
      <c r="C432" s="236"/>
      <c r="D432" s="236"/>
      <c r="E432" s="236"/>
      <c r="F432" s="236"/>
      <c r="G432" s="236"/>
      <c r="H432" s="236"/>
      <c r="I432" s="236"/>
      <c r="J432" s="236"/>
      <c r="K432" s="330"/>
      <c r="L432" s="330"/>
      <c r="M432" s="236"/>
      <c r="N432" s="236"/>
      <c r="O432" s="236"/>
      <c r="P432" s="236"/>
      <c r="Q432" s="236"/>
      <c r="R432" s="236"/>
      <c r="S432" s="236"/>
      <c r="T432" s="236"/>
      <c r="U432" s="236"/>
      <c r="V432" s="236"/>
      <c r="W432" s="236"/>
    </row>
    <row r="433">
      <c r="A433" s="236"/>
      <c r="B433" s="236"/>
      <c r="C433" s="236"/>
      <c r="D433" s="236"/>
      <c r="E433" s="236"/>
      <c r="F433" s="236"/>
      <c r="G433" s="236"/>
      <c r="H433" s="236"/>
      <c r="I433" s="236"/>
      <c r="J433" s="236"/>
      <c r="K433" s="330"/>
      <c r="L433" s="330"/>
      <c r="M433" s="236"/>
      <c r="N433" s="236"/>
      <c r="O433" s="236"/>
      <c r="P433" s="236"/>
      <c r="Q433" s="236"/>
      <c r="R433" s="236"/>
      <c r="S433" s="236"/>
      <c r="T433" s="236"/>
      <c r="U433" s="236"/>
      <c r="V433" s="236"/>
      <c r="W433" s="236"/>
    </row>
    <row r="434">
      <c r="A434" s="236"/>
      <c r="B434" s="236"/>
      <c r="C434" s="236"/>
      <c r="D434" s="236"/>
      <c r="E434" s="236"/>
      <c r="F434" s="236"/>
      <c r="G434" s="236"/>
      <c r="H434" s="236"/>
      <c r="I434" s="236"/>
      <c r="J434" s="236"/>
      <c r="K434" s="330"/>
      <c r="L434" s="330"/>
      <c r="M434" s="236"/>
      <c r="N434" s="236"/>
      <c r="O434" s="236"/>
      <c r="P434" s="236"/>
      <c r="Q434" s="236"/>
      <c r="R434" s="236"/>
      <c r="S434" s="236"/>
      <c r="T434" s="236"/>
      <c r="U434" s="236"/>
      <c r="V434" s="236"/>
      <c r="W434" s="236"/>
    </row>
    <row r="435">
      <c r="A435" s="236"/>
      <c r="B435" s="236"/>
      <c r="C435" s="236"/>
      <c r="D435" s="236"/>
      <c r="E435" s="236"/>
      <c r="F435" s="236"/>
      <c r="G435" s="236"/>
      <c r="H435" s="236"/>
      <c r="I435" s="236"/>
      <c r="J435" s="236"/>
      <c r="K435" s="330"/>
      <c r="L435" s="330"/>
      <c r="M435" s="236"/>
      <c r="N435" s="236"/>
      <c r="O435" s="236"/>
      <c r="P435" s="236"/>
      <c r="Q435" s="236"/>
      <c r="R435" s="236"/>
      <c r="S435" s="236"/>
      <c r="T435" s="236"/>
      <c r="U435" s="236"/>
      <c r="V435" s="236"/>
      <c r="W435" s="236"/>
    </row>
    <row r="436">
      <c r="A436" s="236"/>
      <c r="B436" s="236"/>
      <c r="C436" s="236"/>
      <c r="D436" s="236"/>
      <c r="E436" s="236"/>
      <c r="F436" s="236"/>
      <c r="G436" s="236"/>
      <c r="H436" s="236"/>
      <c r="I436" s="236"/>
      <c r="J436" s="236"/>
      <c r="K436" s="330"/>
      <c r="L436" s="330"/>
      <c r="M436" s="236"/>
      <c r="N436" s="236"/>
      <c r="O436" s="236"/>
      <c r="P436" s="236"/>
      <c r="Q436" s="236"/>
      <c r="R436" s="236"/>
      <c r="S436" s="236"/>
      <c r="T436" s="236"/>
      <c r="U436" s="236"/>
      <c r="V436" s="236"/>
      <c r="W436" s="236"/>
    </row>
    <row r="437">
      <c r="A437" s="236"/>
      <c r="B437" s="236"/>
      <c r="C437" s="236"/>
      <c r="D437" s="236"/>
      <c r="E437" s="236"/>
      <c r="F437" s="236"/>
      <c r="G437" s="236"/>
      <c r="H437" s="236"/>
      <c r="I437" s="236"/>
      <c r="J437" s="236"/>
      <c r="K437" s="330"/>
      <c r="L437" s="330"/>
      <c r="M437" s="236"/>
      <c r="N437" s="236"/>
      <c r="O437" s="236"/>
      <c r="P437" s="236"/>
      <c r="Q437" s="236"/>
      <c r="R437" s="236"/>
      <c r="S437" s="236"/>
      <c r="T437" s="236"/>
      <c r="U437" s="236"/>
      <c r="V437" s="236"/>
      <c r="W437" s="236"/>
    </row>
    <row r="438">
      <c r="A438" s="236"/>
      <c r="B438" s="236"/>
      <c r="C438" s="236"/>
      <c r="D438" s="236"/>
      <c r="E438" s="236"/>
      <c r="F438" s="236"/>
      <c r="G438" s="236"/>
      <c r="H438" s="236"/>
      <c r="I438" s="236"/>
      <c r="J438" s="236"/>
      <c r="K438" s="330"/>
      <c r="L438" s="330"/>
      <c r="M438" s="236"/>
      <c r="N438" s="236"/>
      <c r="O438" s="236"/>
      <c r="P438" s="236"/>
      <c r="Q438" s="236"/>
      <c r="R438" s="236"/>
      <c r="S438" s="236"/>
      <c r="T438" s="236"/>
      <c r="U438" s="236"/>
      <c r="V438" s="236"/>
      <c r="W438" s="236"/>
    </row>
    <row r="439">
      <c r="A439" s="236"/>
      <c r="B439" s="236"/>
      <c r="C439" s="236"/>
      <c r="D439" s="236"/>
      <c r="E439" s="236"/>
      <c r="F439" s="236"/>
      <c r="G439" s="236"/>
      <c r="H439" s="236"/>
      <c r="I439" s="236"/>
      <c r="J439" s="236"/>
      <c r="K439" s="330"/>
      <c r="L439" s="330"/>
      <c r="M439" s="236"/>
      <c r="N439" s="236"/>
      <c r="O439" s="236"/>
      <c r="P439" s="236"/>
      <c r="Q439" s="236"/>
      <c r="R439" s="236"/>
      <c r="S439" s="236"/>
      <c r="T439" s="236"/>
      <c r="U439" s="236"/>
      <c r="V439" s="236"/>
      <c r="W439" s="236"/>
    </row>
    <row r="440">
      <c r="A440" s="236"/>
      <c r="B440" s="236"/>
      <c r="C440" s="236"/>
      <c r="D440" s="236"/>
      <c r="E440" s="236"/>
      <c r="F440" s="236"/>
      <c r="G440" s="236"/>
      <c r="H440" s="236"/>
      <c r="I440" s="236"/>
      <c r="J440" s="236"/>
      <c r="K440" s="330"/>
      <c r="L440" s="330"/>
      <c r="M440" s="236"/>
      <c r="N440" s="236"/>
      <c r="O440" s="236"/>
      <c r="P440" s="236"/>
      <c r="Q440" s="236"/>
      <c r="R440" s="236"/>
      <c r="S440" s="236"/>
      <c r="T440" s="236"/>
      <c r="U440" s="236"/>
      <c r="V440" s="236"/>
      <c r="W440" s="236"/>
    </row>
    <row r="441">
      <c r="A441" s="236"/>
      <c r="B441" s="236"/>
      <c r="C441" s="236"/>
      <c r="D441" s="236"/>
      <c r="E441" s="236"/>
      <c r="F441" s="236"/>
      <c r="G441" s="236"/>
      <c r="H441" s="236"/>
      <c r="I441" s="236"/>
      <c r="J441" s="236"/>
      <c r="K441" s="330"/>
      <c r="L441" s="330"/>
      <c r="M441" s="236"/>
      <c r="N441" s="236"/>
      <c r="O441" s="236"/>
      <c r="P441" s="236"/>
      <c r="Q441" s="236"/>
      <c r="R441" s="236"/>
      <c r="S441" s="236"/>
      <c r="T441" s="236"/>
      <c r="U441" s="236"/>
      <c r="V441" s="236"/>
      <c r="W441" s="236"/>
    </row>
    <row r="442">
      <c r="A442" s="236"/>
      <c r="B442" s="236"/>
      <c r="C442" s="236"/>
      <c r="D442" s="236"/>
      <c r="E442" s="236"/>
      <c r="F442" s="236"/>
      <c r="G442" s="236"/>
      <c r="H442" s="236"/>
      <c r="I442" s="236"/>
      <c r="J442" s="236"/>
      <c r="K442" s="330"/>
      <c r="L442" s="330"/>
      <c r="M442" s="236"/>
      <c r="N442" s="236"/>
      <c r="O442" s="236"/>
      <c r="P442" s="236"/>
      <c r="Q442" s="236"/>
      <c r="R442" s="236"/>
      <c r="S442" s="236"/>
      <c r="T442" s="236"/>
      <c r="U442" s="236"/>
      <c r="V442" s="236"/>
      <c r="W442" s="236"/>
    </row>
    <row r="443">
      <c r="A443" s="236"/>
      <c r="B443" s="236"/>
      <c r="C443" s="236"/>
      <c r="D443" s="236"/>
      <c r="E443" s="236"/>
      <c r="F443" s="236"/>
      <c r="G443" s="236"/>
      <c r="H443" s="236"/>
      <c r="I443" s="236"/>
      <c r="J443" s="236"/>
      <c r="K443" s="330"/>
      <c r="L443" s="330"/>
      <c r="M443" s="236"/>
      <c r="N443" s="236"/>
      <c r="O443" s="236"/>
      <c r="P443" s="236"/>
      <c r="Q443" s="236"/>
      <c r="R443" s="236"/>
      <c r="S443" s="236"/>
      <c r="T443" s="236"/>
      <c r="U443" s="236"/>
      <c r="V443" s="236"/>
      <c r="W443" s="236"/>
    </row>
    <row r="444">
      <c r="A444" s="236"/>
      <c r="B444" s="236"/>
      <c r="C444" s="236"/>
      <c r="D444" s="236"/>
      <c r="E444" s="236"/>
      <c r="F444" s="236"/>
      <c r="G444" s="236"/>
      <c r="H444" s="236"/>
      <c r="I444" s="236"/>
      <c r="J444" s="236"/>
      <c r="K444" s="330"/>
      <c r="L444" s="330"/>
      <c r="M444" s="236"/>
      <c r="N444" s="236"/>
      <c r="O444" s="236"/>
      <c r="P444" s="236"/>
      <c r="Q444" s="236"/>
      <c r="R444" s="236"/>
      <c r="S444" s="236"/>
      <c r="T444" s="236"/>
      <c r="U444" s="236"/>
      <c r="V444" s="236"/>
      <c r="W444" s="236"/>
    </row>
    <row r="445">
      <c r="A445" s="236"/>
      <c r="B445" s="236"/>
      <c r="C445" s="236"/>
      <c r="D445" s="236"/>
      <c r="E445" s="236"/>
      <c r="F445" s="236"/>
      <c r="G445" s="236"/>
      <c r="H445" s="236"/>
      <c r="I445" s="236"/>
      <c r="J445" s="236"/>
      <c r="K445" s="330"/>
      <c r="L445" s="330"/>
      <c r="M445" s="236"/>
      <c r="N445" s="236"/>
      <c r="O445" s="236"/>
      <c r="P445" s="236"/>
      <c r="Q445" s="236"/>
      <c r="R445" s="236"/>
      <c r="S445" s="236"/>
      <c r="T445" s="236"/>
      <c r="U445" s="236"/>
      <c r="V445" s="236"/>
      <c r="W445" s="236"/>
    </row>
    <row r="446">
      <c r="A446" s="236"/>
      <c r="B446" s="236"/>
      <c r="C446" s="236"/>
      <c r="D446" s="236"/>
      <c r="E446" s="236"/>
      <c r="F446" s="236"/>
      <c r="G446" s="236"/>
      <c r="H446" s="236"/>
      <c r="I446" s="236"/>
      <c r="J446" s="236"/>
      <c r="K446" s="330"/>
      <c r="L446" s="330"/>
      <c r="M446" s="236"/>
      <c r="N446" s="236"/>
      <c r="O446" s="236"/>
      <c r="P446" s="236"/>
      <c r="Q446" s="236"/>
      <c r="R446" s="236"/>
      <c r="S446" s="236"/>
      <c r="T446" s="236"/>
      <c r="U446" s="236"/>
      <c r="V446" s="236"/>
      <c r="W446" s="236"/>
    </row>
    <row r="447">
      <c r="A447" s="236"/>
      <c r="B447" s="236"/>
      <c r="C447" s="236"/>
      <c r="D447" s="236"/>
      <c r="E447" s="236"/>
      <c r="F447" s="236"/>
      <c r="G447" s="236"/>
      <c r="H447" s="236"/>
      <c r="I447" s="236"/>
      <c r="J447" s="236"/>
      <c r="K447" s="330"/>
      <c r="L447" s="330"/>
      <c r="M447" s="236"/>
      <c r="N447" s="236"/>
      <c r="O447" s="236"/>
      <c r="P447" s="236"/>
      <c r="Q447" s="236"/>
      <c r="R447" s="236"/>
      <c r="S447" s="236"/>
      <c r="T447" s="236"/>
      <c r="U447" s="236"/>
      <c r="V447" s="236"/>
      <c r="W447" s="236"/>
    </row>
    <row r="448">
      <c r="A448" s="236"/>
      <c r="B448" s="236"/>
      <c r="C448" s="236"/>
      <c r="D448" s="236"/>
      <c r="E448" s="236"/>
      <c r="F448" s="236"/>
      <c r="G448" s="236"/>
      <c r="H448" s="236"/>
      <c r="I448" s="236"/>
      <c r="J448" s="236"/>
      <c r="K448" s="330"/>
      <c r="L448" s="330"/>
      <c r="M448" s="236"/>
      <c r="N448" s="236"/>
      <c r="O448" s="236"/>
      <c r="P448" s="236"/>
      <c r="Q448" s="236"/>
      <c r="R448" s="236"/>
      <c r="S448" s="236"/>
      <c r="T448" s="236"/>
      <c r="U448" s="236"/>
      <c r="V448" s="236"/>
      <c r="W448" s="236"/>
    </row>
    <row r="449">
      <c r="A449" s="236"/>
      <c r="B449" s="236"/>
      <c r="C449" s="236"/>
      <c r="D449" s="236"/>
      <c r="E449" s="236"/>
      <c r="F449" s="236"/>
      <c r="G449" s="236"/>
      <c r="H449" s="236"/>
      <c r="I449" s="236"/>
      <c r="J449" s="236"/>
      <c r="K449" s="330"/>
      <c r="L449" s="330"/>
      <c r="M449" s="236"/>
      <c r="N449" s="236"/>
      <c r="O449" s="236"/>
      <c r="P449" s="236"/>
      <c r="Q449" s="236"/>
      <c r="R449" s="236"/>
      <c r="S449" s="236"/>
      <c r="T449" s="236"/>
      <c r="U449" s="236"/>
      <c r="V449" s="236"/>
      <c r="W449" s="236"/>
    </row>
    <row r="450">
      <c r="A450" s="236"/>
      <c r="B450" s="236"/>
      <c r="C450" s="236"/>
      <c r="D450" s="236"/>
      <c r="E450" s="236"/>
      <c r="F450" s="236"/>
      <c r="G450" s="236"/>
      <c r="H450" s="236"/>
      <c r="I450" s="236"/>
      <c r="J450" s="236"/>
      <c r="K450" s="330"/>
      <c r="L450" s="330"/>
      <c r="M450" s="236"/>
      <c r="N450" s="236"/>
      <c r="O450" s="236"/>
      <c r="P450" s="236"/>
      <c r="Q450" s="236"/>
      <c r="R450" s="236"/>
      <c r="S450" s="236"/>
      <c r="T450" s="236"/>
      <c r="U450" s="236"/>
      <c r="V450" s="236"/>
      <c r="W450" s="236"/>
    </row>
    <row r="451">
      <c r="A451" s="236"/>
      <c r="B451" s="236"/>
      <c r="C451" s="236"/>
      <c r="D451" s="236"/>
      <c r="E451" s="236"/>
      <c r="F451" s="236"/>
      <c r="G451" s="236"/>
      <c r="H451" s="236"/>
      <c r="I451" s="236"/>
      <c r="J451" s="236"/>
      <c r="K451" s="330"/>
      <c r="L451" s="330"/>
      <c r="M451" s="236"/>
      <c r="N451" s="236"/>
      <c r="O451" s="236"/>
      <c r="P451" s="236"/>
      <c r="Q451" s="236"/>
      <c r="R451" s="236"/>
      <c r="S451" s="236"/>
      <c r="T451" s="236"/>
      <c r="U451" s="236"/>
      <c r="V451" s="236"/>
      <c r="W451" s="236"/>
    </row>
    <row r="452">
      <c r="A452" s="236"/>
      <c r="B452" s="236"/>
      <c r="C452" s="236"/>
      <c r="D452" s="236"/>
      <c r="E452" s="236"/>
      <c r="F452" s="236"/>
      <c r="G452" s="236"/>
      <c r="H452" s="236"/>
      <c r="I452" s="236"/>
      <c r="J452" s="236"/>
      <c r="K452" s="330"/>
      <c r="L452" s="330"/>
      <c r="M452" s="236"/>
      <c r="N452" s="236"/>
      <c r="O452" s="236"/>
      <c r="P452" s="236"/>
      <c r="Q452" s="236"/>
      <c r="R452" s="236"/>
      <c r="S452" s="236"/>
      <c r="T452" s="236"/>
      <c r="U452" s="236"/>
      <c r="V452" s="236"/>
      <c r="W452" s="236"/>
    </row>
    <row r="453">
      <c r="A453" s="236"/>
      <c r="B453" s="236"/>
      <c r="C453" s="236"/>
      <c r="D453" s="236"/>
      <c r="E453" s="236"/>
      <c r="F453" s="236"/>
      <c r="G453" s="236"/>
      <c r="H453" s="236"/>
      <c r="I453" s="236"/>
      <c r="J453" s="236"/>
      <c r="K453" s="330"/>
      <c r="L453" s="330"/>
      <c r="M453" s="236"/>
      <c r="N453" s="236"/>
      <c r="O453" s="236"/>
      <c r="P453" s="236"/>
      <c r="Q453" s="236"/>
      <c r="R453" s="236"/>
      <c r="S453" s="236"/>
      <c r="T453" s="236"/>
      <c r="U453" s="236"/>
      <c r="V453" s="236"/>
      <c r="W453" s="236"/>
    </row>
    <row r="454">
      <c r="A454" s="236"/>
      <c r="B454" s="236"/>
      <c r="C454" s="236"/>
      <c r="D454" s="236"/>
      <c r="E454" s="236"/>
      <c r="F454" s="236"/>
      <c r="G454" s="236"/>
      <c r="H454" s="236"/>
      <c r="I454" s="236"/>
      <c r="J454" s="236"/>
      <c r="K454" s="330"/>
      <c r="L454" s="330"/>
      <c r="M454" s="236"/>
      <c r="N454" s="236"/>
      <c r="O454" s="236"/>
      <c r="P454" s="236"/>
      <c r="Q454" s="236"/>
      <c r="R454" s="236"/>
      <c r="S454" s="236"/>
      <c r="T454" s="236"/>
      <c r="U454" s="236"/>
      <c r="V454" s="236"/>
      <c r="W454" s="236"/>
    </row>
    <row r="455">
      <c r="A455" s="236"/>
      <c r="B455" s="236"/>
      <c r="C455" s="236"/>
      <c r="D455" s="236"/>
      <c r="E455" s="236"/>
      <c r="F455" s="236"/>
      <c r="G455" s="236"/>
      <c r="H455" s="236"/>
      <c r="I455" s="236"/>
      <c r="J455" s="236"/>
      <c r="K455" s="330"/>
      <c r="L455" s="330"/>
      <c r="M455" s="236"/>
      <c r="N455" s="236"/>
      <c r="O455" s="236"/>
      <c r="P455" s="236"/>
      <c r="Q455" s="236"/>
      <c r="R455" s="236"/>
      <c r="S455" s="236"/>
      <c r="T455" s="236"/>
      <c r="U455" s="236"/>
      <c r="V455" s="236"/>
      <c r="W455" s="236"/>
    </row>
    <row r="456">
      <c r="A456" s="236"/>
      <c r="B456" s="236"/>
      <c r="C456" s="236"/>
      <c r="D456" s="236"/>
      <c r="E456" s="236"/>
      <c r="F456" s="236"/>
      <c r="G456" s="236"/>
      <c r="H456" s="236"/>
      <c r="I456" s="236"/>
      <c r="J456" s="236"/>
      <c r="K456" s="330"/>
      <c r="L456" s="330"/>
      <c r="M456" s="236"/>
      <c r="N456" s="236"/>
      <c r="O456" s="236"/>
      <c r="P456" s="236"/>
      <c r="Q456" s="236"/>
      <c r="R456" s="236"/>
      <c r="S456" s="236"/>
      <c r="T456" s="236"/>
      <c r="U456" s="236"/>
      <c r="V456" s="236"/>
      <c r="W456" s="236"/>
    </row>
    <row r="457">
      <c r="A457" s="236"/>
      <c r="B457" s="236"/>
      <c r="C457" s="236"/>
      <c r="D457" s="236"/>
      <c r="E457" s="236"/>
      <c r="F457" s="236"/>
      <c r="G457" s="236"/>
      <c r="H457" s="236"/>
      <c r="I457" s="236"/>
      <c r="J457" s="236"/>
      <c r="K457" s="330"/>
      <c r="L457" s="330"/>
      <c r="M457" s="236"/>
      <c r="N457" s="236"/>
      <c r="O457" s="236"/>
      <c r="P457" s="236"/>
      <c r="Q457" s="236"/>
      <c r="R457" s="236"/>
      <c r="S457" s="236"/>
      <c r="T457" s="236"/>
      <c r="U457" s="236"/>
      <c r="V457" s="236"/>
      <c r="W457" s="236"/>
    </row>
    <row r="458">
      <c r="A458" s="236"/>
      <c r="B458" s="236"/>
      <c r="C458" s="236"/>
      <c r="D458" s="236"/>
      <c r="E458" s="236"/>
      <c r="F458" s="236"/>
      <c r="G458" s="236"/>
      <c r="H458" s="236"/>
      <c r="I458" s="236"/>
      <c r="J458" s="236"/>
      <c r="K458" s="330"/>
      <c r="L458" s="330"/>
      <c r="M458" s="236"/>
      <c r="N458" s="236"/>
      <c r="O458" s="236"/>
      <c r="P458" s="236"/>
      <c r="Q458" s="236"/>
      <c r="R458" s="236"/>
      <c r="S458" s="236"/>
      <c r="T458" s="236"/>
      <c r="U458" s="236"/>
      <c r="V458" s="236"/>
      <c r="W458" s="236"/>
    </row>
    <row r="459">
      <c r="A459" s="236"/>
      <c r="B459" s="236"/>
      <c r="C459" s="236"/>
      <c r="D459" s="236"/>
      <c r="E459" s="236"/>
      <c r="F459" s="236"/>
      <c r="G459" s="236"/>
      <c r="H459" s="236"/>
      <c r="I459" s="236"/>
      <c r="J459" s="236"/>
      <c r="K459" s="330"/>
      <c r="L459" s="330"/>
      <c r="M459" s="236"/>
      <c r="N459" s="236"/>
      <c r="O459" s="236"/>
      <c r="P459" s="236"/>
      <c r="Q459" s="236"/>
      <c r="R459" s="236"/>
      <c r="S459" s="236"/>
      <c r="T459" s="236"/>
      <c r="U459" s="236"/>
      <c r="V459" s="236"/>
      <c r="W459" s="236"/>
    </row>
    <row r="460">
      <c r="A460" s="236"/>
      <c r="B460" s="236"/>
      <c r="C460" s="236"/>
      <c r="D460" s="236"/>
      <c r="E460" s="236"/>
      <c r="F460" s="236"/>
      <c r="G460" s="236"/>
      <c r="H460" s="236"/>
      <c r="I460" s="236"/>
      <c r="J460" s="236"/>
      <c r="K460" s="330"/>
      <c r="L460" s="330"/>
      <c r="M460" s="236"/>
      <c r="N460" s="236"/>
      <c r="O460" s="236"/>
      <c r="P460" s="236"/>
      <c r="Q460" s="236"/>
      <c r="R460" s="236"/>
      <c r="S460" s="236"/>
      <c r="T460" s="236"/>
      <c r="U460" s="236"/>
      <c r="V460" s="236"/>
      <c r="W460" s="236"/>
    </row>
    <row r="461">
      <c r="A461" s="236"/>
      <c r="B461" s="236"/>
      <c r="C461" s="236"/>
      <c r="D461" s="236"/>
      <c r="E461" s="236"/>
      <c r="F461" s="236"/>
      <c r="G461" s="236"/>
      <c r="H461" s="236"/>
      <c r="I461" s="236"/>
      <c r="J461" s="236"/>
      <c r="K461" s="330"/>
      <c r="L461" s="330"/>
      <c r="M461" s="236"/>
      <c r="N461" s="236"/>
      <c r="O461" s="236"/>
      <c r="P461" s="236"/>
      <c r="Q461" s="236"/>
      <c r="R461" s="236"/>
      <c r="S461" s="236"/>
      <c r="T461" s="236"/>
      <c r="U461" s="236"/>
      <c r="V461" s="236"/>
      <c r="W461" s="236"/>
    </row>
    <row r="462">
      <c r="A462" s="236"/>
      <c r="B462" s="236"/>
      <c r="C462" s="236"/>
      <c r="D462" s="236"/>
      <c r="E462" s="236"/>
      <c r="F462" s="236"/>
      <c r="G462" s="236"/>
      <c r="H462" s="236"/>
      <c r="I462" s="236"/>
      <c r="J462" s="236"/>
      <c r="K462" s="330"/>
      <c r="L462" s="330"/>
      <c r="M462" s="236"/>
      <c r="N462" s="236"/>
      <c r="O462" s="236"/>
      <c r="P462" s="236"/>
      <c r="Q462" s="236"/>
      <c r="R462" s="236"/>
      <c r="S462" s="236"/>
      <c r="T462" s="236"/>
      <c r="U462" s="236"/>
      <c r="V462" s="236"/>
      <c r="W462" s="236"/>
    </row>
    <row r="463">
      <c r="A463" s="236"/>
      <c r="B463" s="236"/>
      <c r="C463" s="236"/>
      <c r="D463" s="236"/>
      <c r="E463" s="236"/>
      <c r="F463" s="236"/>
      <c r="G463" s="236"/>
      <c r="H463" s="236"/>
      <c r="I463" s="236"/>
      <c r="J463" s="236"/>
      <c r="K463" s="330"/>
      <c r="L463" s="330"/>
      <c r="M463" s="236"/>
      <c r="N463" s="236"/>
      <c r="O463" s="236"/>
      <c r="P463" s="236"/>
      <c r="Q463" s="236"/>
      <c r="R463" s="236"/>
      <c r="S463" s="236"/>
      <c r="T463" s="236"/>
      <c r="U463" s="236"/>
      <c r="V463" s="236"/>
      <c r="W463" s="236"/>
    </row>
    <row r="464">
      <c r="A464" s="236"/>
      <c r="B464" s="236"/>
      <c r="C464" s="236"/>
      <c r="D464" s="236"/>
      <c r="E464" s="236"/>
      <c r="F464" s="236"/>
      <c r="G464" s="236"/>
      <c r="H464" s="236"/>
      <c r="I464" s="236"/>
      <c r="J464" s="236"/>
      <c r="K464" s="330"/>
      <c r="L464" s="330"/>
      <c r="M464" s="236"/>
      <c r="N464" s="236"/>
      <c r="O464" s="236"/>
      <c r="P464" s="236"/>
      <c r="Q464" s="236"/>
      <c r="R464" s="236"/>
      <c r="S464" s="236"/>
      <c r="T464" s="236"/>
      <c r="U464" s="236"/>
      <c r="V464" s="236"/>
      <c r="W464" s="236"/>
    </row>
    <row r="465">
      <c r="A465" s="236"/>
      <c r="B465" s="236"/>
      <c r="C465" s="236"/>
      <c r="D465" s="236"/>
      <c r="E465" s="236"/>
      <c r="F465" s="236"/>
      <c r="G465" s="236"/>
      <c r="H465" s="236"/>
      <c r="I465" s="236"/>
      <c r="J465" s="236"/>
      <c r="K465" s="330"/>
      <c r="L465" s="330"/>
      <c r="M465" s="236"/>
      <c r="N465" s="236"/>
      <c r="O465" s="236"/>
      <c r="P465" s="236"/>
      <c r="Q465" s="236"/>
      <c r="R465" s="236"/>
      <c r="S465" s="236"/>
      <c r="T465" s="236"/>
      <c r="U465" s="236"/>
      <c r="V465" s="236"/>
      <c r="W465" s="236"/>
    </row>
    <row r="466">
      <c r="A466" s="236"/>
      <c r="B466" s="236"/>
      <c r="C466" s="236"/>
      <c r="D466" s="236"/>
      <c r="E466" s="236"/>
      <c r="F466" s="236"/>
      <c r="G466" s="236"/>
      <c r="H466" s="236"/>
      <c r="I466" s="236"/>
      <c r="J466" s="236"/>
      <c r="K466" s="330"/>
      <c r="L466" s="330"/>
      <c r="M466" s="236"/>
      <c r="N466" s="236"/>
      <c r="O466" s="236"/>
      <c r="P466" s="236"/>
      <c r="Q466" s="236"/>
      <c r="R466" s="236"/>
      <c r="S466" s="236"/>
      <c r="T466" s="236"/>
      <c r="U466" s="236"/>
      <c r="V466" s="236"/>
      <c r="W466" s="236"/>
    </row>
    <row r="467">
      <c r="A467" s="236"/>
      <c r="B467" s="236"/>
      <c r="C467" s="236"/>
      <c r="D467" s="236"/>
      <c r="E467" s="236"/>
      <c r="F467" s="236"/>
      <c r="G467" s="236"/>
      <c r="H467" s="236"/>
      <c r="I467" s="236"/>
      <c r="J467" s="236"/>
      <c r="K467" s="330"/>
      <c r="L467" s="330"/>
      <c r="M467" s="236"/>
      <c r="N467" s="236"/>
      <c r="O467" s="236"/>
      <c r="P467" s="236"/>
      <c r="Q467" s="236"/>
      <c r="R467" s="236"/>
      <c r="S467" s="236"/>
      <c r="T467" s="236"/>
      <c r="U467" s="236"/>
      <c r="V467" s="236"/>
      <c r="W467" s="236"/>
    </row>
    <row r="468">
      <c r="A468" s="236"/>
      <c r="B468" s="236"/>
      <c r="C468" s="236"/>
      <c r="D468" s="236"/>
      <c r="E468" s="236"/>
      <c r="F468" s="236"/>
      <c r="G468" s="236"/>
      <c r="H468" s="236"/>
      <c r="I468" s="236"/>
      <c r="J468" s="236"/>
      <c r="K468" s="330"/>
      <c r="L468" s="330"/>
      <c r="M468" s="236"/>
      <c r="N468" s="236"/>
      <c r="O468" s="236"/>
      <c r="P468" s="236"/>
      <c r="Q468" s="236"/>
      <c r="R468" s="236"/>
      <c r="S468" s="236"/>
      <c r="T468" s="236"/>
      <c r="U468" s="236"/>
      <c r="V468" s="236"/>
      <c r="W468" s="236"/>
    </row>
    <row r="469">
      <c r="A469" s="236"/>
      <c r="B469" s="236"/>
      <c r="C469" s="236"/>
      <c r="D469" s="236"/>
      <c r="E469" s="236"/>
      <c r="F469" s="236"/>
      <c r="G469" s="236"/>
      <c r="H469" s="236"/>
      <c r="I469" s="236"/>
      <c r="J469" s="236"/>
      <c r="K469" s="330"/>
      <c r="L469" s="330"/>
      <c r="M469" s="236"/>
      <c r="N469" s="236"/>
      <c r="O469" s="236"/>
      <c r="P469" s="236"/>
      <c r="Q469" s="236"/>
      <c r="R469" s="236"/>
      <c r="S469" s="236"/>
      <c r="T469" s="236"/>
      <c r="U469" s="236"/>
      <c r="V469" s="236"/>
      <c r="W469" s="236"/>
    </row>
    <row r="470">
      <c r="A470" s="236"/>
      <c r="B470" s="236"/>
      <c r="C470" s="236"/>
      <c r="D470" s="236"/>
      <c r="E470" s="236"/>
      <c r="F470" s="236"/>
      <c r="G470" s="236"/>
      <c r="H470" s="236"/>
      <c r="I470" s="236"/>
      <c r="J470" s="236"/>
      <c r="K470" s="330"/>
      <c r="L470" s="330"/>
      <c r="M470" s="236"/>
      <c r="N470" s="236"/>
      <c r="O470" s="236"/>
      <c r="P470" s="236"/>
      <c r="Q470" s="236"/>
      <c r="R470" s="236"/>
      <c r="S470" s="236"/>
      <c r="T470" s="236"/>
      <c r="U470" s="236"/>
      <c r="V470" s="236"/>
      <c r="W470" s="236"/>
    </row>
    <row r="471">
      <c r="A471" s="236"/>
      <c r="B471" s="236"/>
      <c r="C471" s="236"/>
      <c r="D471" s="236"/>
      <c r="E471" s="236"/>
      <c r="F471" s="236"/>
      <c r="G471" s="236"/>
      <c r="H471" s="236"/>
      <c r="I471" s="236"/>
      <c r="J471" s="236"/>
      <c r="K471" s="330"/>
      <c r="L471" s="330"/>
      <c r="M471" s="236"/>
      <c r="N471" s="236"/>
      <c r="O471" s="236"/>
      <c r="P471" s="236"/>
      <c r="Q471" s="236"/>
      <c r="R471" s="236"/>
      <c r="S471" s="236"/>
      <c r="T471" s="236"/>
      <c r="U471" s="236"/>
      <c r="V471" s="236"/>
      <c r="W471" s="236"/>
    </row>
    <row r="472">
      <c r="A472" s="236"/>
      <c r="B472" s="236"/>
      <c r="C472" s="236"/>
      <c r="D472" s="236"/>
      <c r="E472" s="236"/>
      <c r="F472" s="236"/>
      <c r="G472" s="236"/>
      <c r="H472" s="236"/>
      <c r="I472" s="236"/>
      <c r="J472" s="236"/>
      <c r="K472" s="330"/>
      <c r="L472" s="330"/>
      <c r="M472" s="236"/>
      <c r="N472" s="236"/>
      <c r="O472" s="236"/>
      <c r="P472" s="236"/>
      <c r="Q472" s="236"/>
      <c r="R472" s="236"/>
      <c r="S472" s="236"/>
      <c r="T472" s="236"/>
      <c r="U472" s="236"/>
      <c r="V472" s="236"/>
      <c r="W472" s="236"/>
    </row>
    <row r="473">
      <c r="A473" s="236"/>
      <c r="B473" s="236"/>
      <c r="C473" s="236"/>
      <c r="D473" s="236"/>
      <c r="E473" s="236"/>
      <c r="F473" s="236"/>
      <c r="G473" s="236"/>
      <c r="H473" s="236"/>
      <c r="I473" s="236"/>
      <c r="J473" s="236"/>
      <c r="K473" s="330"/>
      <c r="L473" s="330"/>
      <c r="M473" s="236"/>
      <c r="N473" s="236"/>
      <c r="O473" s="236"/>
      <c r="P473" s="236"/>
      <c r="Q473" s="236"/>
      <c r="R473" s="236"/>
      <c r="S473" s="236"/>
      <c r="T473" s="236"/>
      <c r="U473" s="236"/>
      <c r="V473" s="236"/>
      <c r="W473" s="236"/>
    </row>
    <row r="474">
      <c r="A474" s="236"/>
      <c r="B474" s="236"/>
      <c r="C474" s="236"/>
      <c r="D474" s="236"/>
      <c r="E474" s="236"/>
      <c r="F474" s="236"/>
      <c r="G474" s="236"/>
      <c r="H474" s="236"/>
      <c r="I474" s="236"/>
      <c r="J474" s="236"/>
      <c r="K474" s="330"/>
      <c r="L474" s="330"/>
      <c r="M474" s="236"/>
      <c r="N474" s="236"/>
      <c r="O474" s="236"/>
      <c r="P474" s="236"/>
      <c r="Q474" s="236"/>
      <c r="R474" s="236"/>
      <c r="S474" s="236"/>
      <c r="T474" s="236"/>
      <c r="U474" s="236"/>
      <c r="V474" s="236"/>
      <c r="W474" s="236"/>
    </row>
    <row r="475">
      <c r="A475" s="236"/>
      <c r="B475" s="236"/>
      <c r="C475" s="236"/>
      <c r="D475" s="236"/>
      <c r="E475" s="236"/>
      <c r="F475" s="236"/>
      <c r="G475" s="236"/>
      <c r="H475" s="236"/>
      <c r="I475" s="236"/>
      <c r="J475" s="236"/>
      <c r="K475" s="330"/>
      <c r="L475" s="330"/>
      <c r="M475" s="236"/>
      <c r="N475" s="236"/>
      <c r="O475" s="236"/>
      <c r="P475" s="236"/>
      <c r="Q475" s="236"/>
      <c r="R475" s="236"/>
      <c r="S475" s="236"/>
      <c r="T475" s="236"/>
      <c r="U475" s="236"/>
      <c r="V475" s="236"/>
      <c r="W475" s="236"/>
    </row>
    <row r="476">
      <c r="A476" s="236"/>
      <c r="B476" s="236"/>
      <c r="C476" s="236"/>
      <c r="D476" s="236"/>
      <c r="E476" s="236"/>
      <c r="F476" s="236"/>
      <c r="G476" s="236"/>
      <c r="H476" s="236"/>
      <c r="I476" s="236"/>
      <c r="J476" s="236"/>
      <c r="K476" s="330"/>
      <c r="L476" s="330"/>
      <c r="M476" s="236"/>
      <c r="N476" s="236"/>
      <c r="O476" s="236"/>
      <c r="P476" s="236"/>
      <c r="Q476" s="236"/>
      <c r="R476" s="236"/>
      <c r="S476" s="236"/>
      <c r="T476" s="236"/>
      <c r="U476" s="236"/>
      <c r="V476" s="236"/>
      <c r="W476" s="236"/>
    </row>
    <row r="477">
      <c r="A477" s="236"/>
      <c r="B477" s="236"/>
      <c r="C477" s="236"/>
      <c r="D477" s="236"/>
      <c r="E477" s="236"/>
      <c r="F477" s="236"/>
      <c r="G477" s="236"/>
      <c r="H477" s="236"/>
      <c r="I477" s="236"/>
      <c r="J477" s="236"/>
      <c r="K477" s="330"/>
      <c r="L477" s="330"/>
      <c r="M477" s="236"/>
      <c r="N477" s="236"/>
      <c r="O477" s="236"/>
      <c r="P477" s="236"/>
      <c r="Q477" s="236"/>
      <c r="R477" s="236"/>
      <c r="S477" s="236"/>
      <c r="T477" s="236"/>
      <c r="U477" s="236"/>
      <c r="V477" s="236"/>
      <c r="W477" s="236"/>
    </row>
    <row r="478">
      <c r="A478" s="236"/>
      <c r="B478" s="236"/>
      <c r="C478" s="236"/>
      <c r="D478" s="236"/>
      <c r="E478" s="236"/>
      <c r="F478" s="236"/>
      <c r="G478" s="236"/>
      <c r="H478" s="236"/>
      <c r="I478" s="236"/>
      <c r="J478" s="236"/>
      <c r="K478" s="330"/>
      <c r="L478" s="330"/>
      <c r="M478" s="236"/>
      <c r="N478" s="236"/>
      <c r="O478" s="236"/>
      <c r="P478" s="236"/>
      <c r="Q478" s="236"/>
      <c r="R478" s="236"/>
      <c r="S478" s="236"/>
      <c r="T478" s="236"/>
      <c r="U478" s="236"/>
      <c r="V478" s="236"/>
      <c r="W478" s="236"/>
    </row>
    <row r="479">
      <c r="A479" s="236"/>
      <c r="B479" s="236"/>
      <c r="C479" s="236"/>
      <c r="D479" s="236"/>
      <c r="E479" s="236"/>
      <c r="F479" s="236"/>
      <c r="G479" s="236"/>
      <c r="H479" s="236"/>
      <c r="I479" s="236"/>
      <c r="J479" s="236"/>
      <c r="K479" s="330"/>
      <c r="L479" s="330"/>
      <c r="M479" s="236"/>
      <c r="N479" s="236"/>
      <c r="O479" s="236"/>
      <c r="P479" s="236"/>
      <c r="Q479" s="236"/>
      <c r="R479" s="236"/>
      <c r="S479" s="236"/>
      <c r="T479" s="236"/>
      <c r="U479" s="236"/>
      <c r="V479" s="236"/>
      <c r="W479" s="236"/>
    </row>
    <row r="480">
      <c r="A480" s="236"/>
      <c r="B480" s="236"/>
      <c r="C480" s="236"/>
      <c r="D480" s="236"/>
      <c r="E480" s="236"/>
      <c r="F480" s="236"/>
      <c r="G480" s="236"/>
      <c r="H480" s="236"/>
      <c r="I480" s="236"/>
      <c r="J480" s="236"/>
      <c r="K480" s="330"/>
      <c r="L480" s="330"/>
      <c r="M480" s="236"/>
      <c r="N480" s="236"/>
      <c r="O480" s="236"/>
      <c r="P480" s="236"/>
      <c r="Q480" s="236"/>
      <c r="R480" s="236"/>
      <c r="S480" s="236"/>
      <c r="T480" s="236"/>
      <c r="U480" s="236"/>
      <c r="V480" s="236"/>
      <c r="W480" s="236"/>
    </row>
    <row r="481">
      <c r="A481" s="236"/>
      <c r="B481" s="236"/>
      <c r="C481" s="236"/>
      <c r="D481" s="236"/>
      <c r="E481" s="236"/>
      <c r="F481" s="236"/>
      <c r="G481" s="236"/>
      <c r="H481" s="236"/>
      <c r="I481" s="236"/>
      <c r="J481" s="236"/>
      <c r="K481" s="330"/>
      <c r="L481" s="330"/>
      <c r="M481" s="236"/>
      <c r="N481" s="236"/>
      <c r="O481" s="236"/>
      <c r="P481" s="236"/>
      <c r="Q481" s="236"/>
      <c r="R481" s="236"/>
      <c r="S481" s="236"/>
      <c r="T481" s="236"/>
      <c r="U481" s="236"/>
      <c r="V481" s="236"/>
      <c r="W481" s="236"/>
    </row>
    <row r="482">
      <c r="A482" s="236"/>
      <c r="B482" s="236"/>
      <c r="C482" s="236"/>
      <c r="D482" s="236"/>
      <c r="E482" s="236"/>
      <c r="F482" s="236"/>
      <c r="G482" s="236"/>
      <c r="H482" s="236"/>
      <c r="I482" s="236"/>
      <c r="J482" s="236"/>
      <c r="K482" s="330"/>
      <c r="L482" s="330"/>
      <c r="M482" s="236"/>
      <c r="N482" s="236"/>
      <c r="O482" s="236"/>
      <c r="P482" s="236"/>
      <c r="Q482" s="236"/>
      <c r="R482" s="236"/>
      <c r="S482" s="236"/>
      <c r="T482" s="236"/>
      <c r="U482" s="236"/>
      <c r="V482" s="236"/>
      <c r="W482" s="236"/>
    </row>
    <row r="483">
      <c r="A483" s="236"/>
      <c r="B483" s="236"/>
      <c r="C483" s="236"/>
      <c r="D483" s="236"/>
      <c r="E483" s="236"/>
      <c r="F483" s="236"/>
      <c r="G483" s="236"/>
      <c r="H483" s="236"/>
      <c r="I483" s="236"/>
      <c r="J483" s="236"/>
      <c r="K483" s="330"/>
      <c r="L483" s="330"/>
      <c r="M483" s="236"/>
      <c r="N483" s="236"/>
      <c r="O483" s="236"/>
      <c r="P483" s="236"/>
      <c r="Q483" s="236"/>
      <c r="R483" s="236"/>
      <c r="S483" s="236"/>
      <c r="T483" s="236"/>
      <c r="U483" s="236"/>
      <c r="V483" s="236"/>
      <c r="W483" s="236"/>
    </row>
    <row r="484">
      <c r="A484" s="236"/>
      <c r="B484" s="236"/>
      <c r="C484" s="236"/>
      <c r="D484" s="236"/>
      <c r="E484" s="236"/>
      <c r="F484" s="236"/>
      <c r="G484" s="236"/>
      <c r="H484" s="236"/>
      <c r="I484" s="236"/>
      <c r="J484" s="236"/>
      <c r="K484" s="330"/>
      <c r="L484" s="330"/>
      <c r="M484" s="236"/>
      <c r="N484" s="236"/>
      <c r="O484" s="236"/>
      <c r="P484" s="236"/>
      <c r="Q484" s="236"/>
      <c r="R484" s="236"/>
      <c r="S484" s="236"/>
      <c r="T484" s="236"/>
      <c r="U484" s="236"/>
      <c r="V484" s="236"/>
      <c r="W484" s="236"/>
    </row>
    <row r="485">
      <c r="A485" s="236"/>
      <c r="B485" s="236"/>
      <c r="C485" s="236"/>
      <c r="D485" s="236"/>
      <c r="E485" s="236"/>
      <c r="F485" s="236"/>
      <c r="G485" s="236"/>
      <c r="H485" s="236"/>
      <c r="I485" s="236"/>
      <c r="J485" s="236"/>
      <c r="K485" s="330"/>
      <c r="L485" s="330"/>
      <c r="M485" s="236"/>
      <c r="N485" s="236"/>
      <c r="O485" s="236"/>
      <c r="P485" s="236"/>
      <c r="Q485" s="236"/>
      <c r="R485" s="236"/>
      <c r="S485" s="236"/>
      <c r="T485" s="236"/>
      <c r="U485" s="236"/>
      <c r="V485" s="236"/>
      <c r="W485" s="236"/>
    </row>
    <row r="486">
      <c r="A486" s="236"/>
      <c r="B486" s="236"/>
      <c r="C486" s="236"/>
      <c r="D486" s="236"/>
      <c r="E486" s="236"/>
      <c r="F486" s="236"/>
      <c r="G486" s="236"/>
      <c r="H486" s="236"/>
      <c r="I486" s="236"/>
      <c r="J486" s="236"/>
      <c r="K486" s="330"/>
      <c r="L486" s="330"/>
      <c r="M486" s="236"/>
      <c r="N486" s="236"/>
      <c r="O486" s="236"/>
      <c r="P486" s="236"/>
      <c r="Q486" s="236"/>
      <c r="R486" s="236"/>
      <c r="S486" s="236"/>
      <c r="T486" s="236"/>
      <c r="U486" s="236"/>
      <c r="V486" s="236"/>
      <c r="W486" s="236"/>
    </row>
    <row r="487">
      <c r="A487" s="236"/>
      <c r="B487" s="236"/>
      <c r="C487" s="236"/>
      <c r="D487" s="236"/>
      <c r="E487" s="236"/>
      <c r="F487" s="236"/>
      <c r="G487" s="236"/>
      <c r="H487" s="236"/>
      <c r="I487" s="236"/>
      <c r="J487" s="236"/>
      <c r="K487" s="330"/>
      <c r="L487" s="330"/>
      <c r="M487" s="236"/>
      <c r="N487" s="236"/>
      <c r="O487" s="236"/>
      <c r="P487" s="236"/>
      <c r="Q487" s="236"/>
      <c r="R487" s="236"/>
      <c r="S487" s="236"/>
      <c r="T487" s="236"/>
      <c r="U487" s="236"/>
      <c r="V487" s="236"/>
      <c r="W487" s="236"/>
    </row>
    <row r="488">
      <c r="A488" s="236"/>
      <c r="B488" s="236"/>
      <c r="C488" s="236"/>
      <c r="D488" s="236"/>
      <c r="E488" s="236"/>
      <c r="F488" s="236"/>
      <c r="G488" s="236"/>
      <c r="H488" s="236"/>
      <c r="I488" s="236"/>
      <c r="J488" s="236"/>
      <c r="K488" s="330"/>
      <c r="L488" s="330"/>
      <c r="M488" s="236"/>
      <c r="N488" s="236"/>
      <c r="O488" s="236"/>
      <c r="P488" s="236"/>
      <c r="Q488" s="236"/>
      <c r="R488" s="236"/>
      <c r="S488" s="236"/>
      <c r="T488" s="236"/>
      <c r="U488" s="236"/>
      <c r="V488" s="236"/>
      <c r="W488" s="236"/>
    </row>
    <row r="489">
      <c r="A489" s="236"/>
      <c r="B489" s="236"/>
      <c r="C489" s="236"/>
      <c r="D489" s="236"/>
      <c r="E489" s="236"/>
      <c r="F489" s="236"/>
      <c r="G489" s="236"/>
      <c r="H489" s="236"/>
      <c r="I489" s="236"/>
      <c r="J489" s="236"/>
      <c r="K489" s="330"/>
      <c r="L489" s="330"/>
      <c r="M489" s="236"/>
      <c r="N489" s="236"/>
      <c r="O489" s="236"/>
      <c r="P489" s="236"/>
      <c r="Q489" s="236"/>
      <c r="R489" s="236"/>
      <c r="S489" s="236"/>
      <c r="T489" s="236"/>
      <c r="U489" s="236"/>
      <c r="V489" s="236"/>
      <c r="W489" s="236"/>
    </row>
    <row r="490">
      <c r="A490" s="236"/>
      <c r="B490" s="236"/>
      <c r="C490" s="236"/>
      <c r="D490" s="236"/>
      <c r="E490" s="236"/>
      <c r="F490" s="236"/>
      <c r="G490" s="236"/>
      <c r="H490" s="236"/>
      <c r="I490" s="236"/>
      <c r="J490" s="236"/>
      <c r="K490" s="330"/>
      <c r="L490" s="330"/>
      <c r="M490" s="236"/>
      <c r="N490" s="236"/>
      <c r="O490" s="236"/>
      <c r="P490" s="236"/>
      <c r="Q490" s="236"/>
      <c r="R490" s="236"/>
      <c r="S490" s="236"/>
      <c r="T490" s="236"/>
      <c r="U490" s="236"/>
      <c r="V490" s="236"/>
      <c r="W490" s="236"/>
    </row>
    <row r="491">
      <c r="A491" s="236"/>
      <c r="B491" s="236"/>
      <c r="C491" s="236"/>
      <c r="D491" s="236"/>
      <c r="E491" s="236"/>
      <c r="F491" s="236"/>
      <c r="G491" s="236"/>
      <c r="H491" s="236"/>
      <c r="I491" s="236"/>
      <c r="J491" s="236"/>
      <c r="K491" s="330"/>
      <c r="L491" s="330"/>
      <c r="M491" s="236"/>
      <c r="N491" s="236"/>
      <c r="O491" s="236"/>
      <c r="P491" s="236"/>
      <c r="Q491" s="236"/>
      <c r="R491" s="236"/>
      <c r="S491" s="236"/>
      <c r="T491" s="236"/>
      <c r="U491" s="236"/>
      <c r="V491" s="236"/>
      <c r="W491" s="236"/>
    </row>
    <row r="492">
      <c r="A492" s="236"/>
      <c r="B492" s="236"/>
      <c r="C492" s="236"/>
      <c r="D492" s="236"/>
      <c r="E492" s="236"/>
      <c r="F492" s="236"/>
      <c r="G492" s="236"/>
      <c r="H492" s="236"/>
      <c r="I492" s="236"/>
      <c r="J492" s="236"/>
      <c r="K492" s="330"/>
      <c r="L492" s="330"/>
      <c r="M492" s="236"/>
      <c r="N492" s="236"/>
      <c r="O492" s="236"/>
      <c r="P492" s="236"/>
      <c r="Q492" s="236"/>
      <c r="R492" s="236"/>
      <c r="S492" s="236"/>
      <c r="T492" s="236"/>
      <c r="U492" s="236"/>
      <c r="V492" s="236"/>
      <c r="W492" s="236"/>
    </row>
    <row r="493">
      <c r="A493" s="236"/>
      <c r="B493" s="236"/>
      <c r="C493" s="236"/>
      <c r="D493" s="236"/>
      <c r="E493" s="236"/>
      <c r="F493" s="236"/>
      <c r="G493" s="236"/>
      <c r="H493" s="236"/>
      <c r="I493" s="236"/>
      <c r="J493" s="236"/>
      <c r="K493" s="330"/>
      <c r="L493" s="330"/>
      <c r="M493" s="236"/>
      <c r="N493" s="236"/>
      <c r="O493" s="236"/>
      <c r="P493" s="236"/>
      <c r="Q493" s="236"/>
      <c r="R493" s="236"/>
      <c r="S493" s="236"/>
      <c r="T493" s="236"/>
      <c r="U493" s="236"/>
      <c r="V493" s="236"/>
      <c r="W493" s="236"/>
    </row>
    <row r="494">
      <c r="A494" s="236"/>
      <c r="B494" s="236"/>
      <c r="C494" s="236"/>
      <c r="D494" s="236"/>
      <c r="E494" s="236"/>
      <c r="F494" s="236"/>
      <c r="G494" s="236"/>
      <c r="H494" s="236"/>
      <c r="I494" s="236"/>
      <c r="J494" s="236"/>
      <c r="K494" s="330"/>
      <c r="L494" s="330"/>
      <c r="M494" s="236"/>
      <c r="N494" s="236"/>
      <c r="O494" s="236"/>
      <c r="P494" s="236"/>
      <c r="Q494" s="236"/>
      <c r="R494" s="236"/>
      <c r="S494" s="236"/>
      <c r="T494" s="236"/>
      <c r="U494" s="236"/>
      <c r="V494" s="236"/>
      <c r="W494" s="236"/>
    </row>
    <row r="495">
      <c r="A495" s="236"/>
      <c r="B495" s="236"/>
      <c r="C495" s="236"/>
      <c r="D495" s="236"/>
      <c r="E495" s="236"/>
      <c r="F495" s="236"/>
      <c r="G495" s="236"/>
      <c r="H495" s="236"/>
      <c r="I495" s="236"/>
      <c r="J495" s="236"/>
      <c r="K495" s="330"/>
      <c r="L495" s="330"/>
      <c r="M495" s="236"/>
      <c r="N495" s="236"/>
      <c r="O495" s="236"/>
      <c r="P495" s="236"/>
      <c r="Q495" s="236"/>
      <c r="R495" s="236"/>
      <c r="S495" s="236"/>
      <c r="T495" s="236"/>
      <c r="U495" s="236"/>
      <c r="V495" s="236"/>
      <c r="W495" s="236"/>
    </row>
    <row r="496">
      <c r="A496" s="236"/>
      <c r="B496" s="236"/>
      <c r="C496" s="236"/>
      <c r="D496" s="236"/>
      <c r="E496" s="236"/>
      <c r="F496" s="236"/>
      <c r="G496" s="236"/>
      <c r="H496" s="236"/>
      <c r="I496" s="236"/>
      <c r="J496" s="236"/>
      <c r="K496" s="330"/>
      <c r="L496" s="330"/>
      <c r="M496" s="236"/>
      <c r="N496" s="236"/>
      <c r="O496" s="236"/>
      <c r="P496" s="236"/>
      <c r="Q496" s="236"/>
      <c r="R496" s="236"/>
      <c r="S496" s="236"/>
      <c r="T496" s="236"/>
      <c r="U496" s="236"/>
      <c r="V496" s="236"/>
      <c r="W496" s="236"/>
    </row>
    <row r="497">
      <c r="A497" s="236"/>
      <c r="B497" s="236"/>
      <c r="C497" s="236"/>
      <c r="D497" s="236"/>
      <c r="E497" s="236"/>
      <c r="F497" s="236"/>
      <c r="G497" s="236"/>
      <c r="H497" s="236"/>
      <c r="I497" s="236"/>
      <c r="J497" s="236"/>
      <c r="K497" s="330"/>
      <c r="L497" s="330"/>
      <c r="M497" s="236"/>
      <c r="N497" s="236"/>
      <c r="O497" s="236"/>
      <c r="P497" s="236"/>
      <c r="Q497" s="236"/>
      <c r="R497" s="236"/>
      <c r="S497" s="236"/>
      <c r="T497" s="236"/>
      <c r="U497" s="236"/>
      <c r="V497" s="236"/>
      <c r="W497" s="236"/>
    </row>
    <row r="498">
      <c r="A498" s="236"/>
      <c r="B498" s="236"/>
      <c r="C498" s="236"/>
      <c r="D498" s="236"/>
      <c r="E498" s="236"/>
      <c r="F498" s="236"/>
      <c r="G498" s="236"/>
      <c r="H498" s="236"/>
      <c r="I498" s="236"/>
      <c r="J498" s="236"/>
      <c r="K498" s="330"/>
      <c r="L498" s="330"/>
      <c r="M498" s="236"/>
      <c r="N498" s="236"/>
      <c r="O498" s="236"/>
      <c r="P498" s="236"/>
      <c r="Q498" s="236"/>
      <c r="R498" s="236"/>
      <c r="S498" s="236"/>
      <c r="T498" s="236"/>
      <c r="U498" s="236"/>
      <c r="V498" s="236"/>
      <c r="W498" s="236"/>
    </row>
    <row r="499">
      <c r="A499" s="236"/>
      <c r="B499" s="236"/>
      <c r="C499" s="236"/>
      <c r="D499" s="236"/>
      <c r="E499" s="236"/>
      <c r="F499" s="236"/>
      <c r="G499" s="236"/>
      <c r="H499" s="236"/>
      <c r="I499" s="236"/>
      <c r="J499" s="236"/>
      <c r="K499" s="330"/>
      <c r="L499" s="330"/>
      <c r="M499" s="236"/>
      <c r="N499" s="236"/>
      <c r="O499" s="236"/>
      <c r="P499" s="236"/>
      <c r="Q499" s="236"/>
      <c r="R499" s="236"/>
      <c r="S499" s="236"/>
      <c r="T499" s="236"/>
      <c r="U499" s="236"/>
      <c r="V499" s="236"/>
      <c r="W499" s="236"/>
    </row>
    <row r="500">
      <c r="A500" s="236"/>
      <c r="B500" s="236"/>
      <c r="C500" s="236"/>
      <c r="D500" s="236"/>
      <c r="E500" s="236"/>
      <c r="F500" s="236"/>
      <c r="G500" s="236"/>
      <c r="H500" s="236"/>
      <c r="I500" s="236"/>
      <c r="J500" s="236"/>
      <c r="K500" s="330"/>
      <c r="L500" s="330"/>
      <c r="M500" s="236"/>
      <c r="N500" s="236"/>
      <c r="O500" s="236"/>
      <c r="P500" s="236"/>
      <c r="Q500" s="236"/>
      <c r="R500" s="236"/>
      <c r="S500" s="236"/>
      <c r="T500" s="236"/>
      <c r="U500" s="236"/>
      <c r="V500" s="236"/>
      <c r="W500" s="236"/>
    </row>
    <row r="501">
      <c r="A501" s="236"/>
      <c r="B501" s="236"/>
      <c r="C501" s="236"/>
      <c r="D501" s="236"/>
      <c r="E501" s="236"/>
      <c r="F501" s="236"/>
      <c r="G501" s="236"/>
      <c r="H501" s="236"/>
      <c r="I501" s="236"/>
      <c r="J501" s="236"/>
      <c r="K501" s="330"/>
      <c r="L501" s="330"/>
      <c r="M501" s="236"/>
      <c r="N501" s="236"/>
      <c r="O501" s="236"/>
      <c r="P501" s="236"/>
      <c r="Q501" s="236"/>
      <c r="R501" s="236"/>
      <c r="S501" s="236"/>
      <c r="T501" s="236"/>
      <c r="U501" s="236"/>
      <c r="V501" s="236"/>
      <c r="W501" s="236"/>
    </row>
    <row r="502">
      <c r="A502" s="236"/>
      <c r="B502" s="236"/>
      <c r="C502" s="236"/>
      <c r="D502" s="236"/>
      <c r="E502" s="236"/>
      <c r="F502" s="236"/>
      <c r="G502" s="236"/>
      <c r="H502" s="236"/>
      <c r="I502" s="236"/>
      <c r="J502" s="236"/>
      <c r="K502" s="330"/>
      <c r="L502" s="330"/>
      <c r="M502" s="236"/>
      <c r="N502" s="236"/>
      <c r="O502" s="236"/>
      <c r="P502" s="236"/>
      <c r="Q502" s="236"/>
      <c r="R502" s="236"/>
      <c r="S502" s="236"/>
      <c r="T502" s="236"/>
      <c r="U502" s="236"/>
      <c r="V502" s="236"/>
      <c r="W502" s="236"/>
    </row>
    <row r="503">
      <c r="A503" s="236"/>
      <c r="B503" s="236"/>
      <c r="C503" s="236"/>
      <c r="D503" s="236"/>
      <c r="E503" s="236"/>
      <c r="F503" s="236"/>
      <c r="G503" s="236"/>
      <c r="H503" s="236"/>
      <c r="I503" s="236"/>
      <c r="J503" s="236"/>
      <c r="K503" s="330"/>
      <c r="L503" s="330"/>
      <c r="M503" s="236"/>
      <c r="N503" s="236"/>
      <c r="O503" s="236"/>
      <c r="P503" s="236"/>
      <c r="Q503" s="236"/>
      <c r="R503" s="236"/>
      <c r="S503" s="236"/>
      <c r="T503" s="236"/>
      <c r="U503" s="236"/>
      <c r="V503" s="236"/>
      <c r="W503" s="236"/>
    </row>
    <row r="504">
      <c r="A504" s="236"/>
      <c r="B504" s="236"/>
      <c r="C504" s="236"/>
      <c r="D504" s="236"/>
      <c r="E504" s="236"/>
      <c r="F504" s="236"/>
      <c r="G504" s="236"/>
      <c r="H504" s="236"/>
      <c r="I504" s="236"/>
      <c r="J504" s="236"/>
      <c r="K504" s="330"/>
      <c r="L504" s="330"/>
      <c r="M504" s="236"/>
      <c r="N504" s="236"/>
      <c r="O504" s="236"/>
      <c r="P504" s="236"/>
      <c r="Q504" s="236"/>
      <c r="R504" s="236"/>
      <c r="S504" s="236"/>
      <c r="T504" s="236"/>
      <c r="U504" s="236"/>
      <c r="V504" s="236"/>
      <c r="W504" s="236"/>
    </row>
    <row r="505">
      <c r="A505" s="236"/>
      <c r="B505" s="236"/>
      <c r="C505" s="236"/>
      <c r="D505" s="236"/>
      <c r="E505" s="236"/>
      <c r="F505" s="236"/>
      <c r="G505" s="236"/>
      <c r="H505" s="236"/>
      <c r="I505" s="236"/>
      <c r="J505" s="236"/>
      <c r="K505" s="330"/>
      <c r="L505" s="330"/>
      <c r="M505" s="236"/>
      <c r="N505" s="236"/>
      <c r="O505" s="236"/>
      <c r="P505" s="236"/>
      <c r="Q505" s="236"/>
      <c r="R505" s="236"/>
      <c r="S505" s="236"/>
      <c r="T505" s="236"/>
      <c r="U505" s="236"/>
      <c r="V505" s="236"/>
      <c r="W505" s="236"/>
    </row>
    <row r="506">
      <c r="A506" s="236"/>
      <c r="B506" s="236"/>
      <c r="C506" s="236"/>
      <c r="D506" s="236"/>
      <c r="E506" s="236"/>
      <c r="F506" s="236"/>
      <c r="G506" s="236"/>
      <c r="H506" s="236"/>
      <c r="I506" s="236"/>
      <c r="J506" s="236"/>
      <c r="K506" s="330"/>
      <c r="L506" s="330"/>
      <c r="M506" s="236"/>
      <c r="N506" s="236"/>
      <c r="O506" s="236"/>
      <c r="P506" s="236"/>
      <c r="Q506" s="236"/>
      <c r="R506" s="236"/>
      <c r="S506" s="236"/>
      <c r="T506" s="236"/>
      <c r="U506" s="236"/>
      <c r="V506" s="236"/>
      <c r="W506" s="236"/>
    </row>
    <row r="507">
      <c r="A507" s="236"/>
      <c r="B507" s="236"/>
      <c r="C507" s="236"/>
      <c r="D507" s="236"/>
      <c r="E507" s="236"/>
      <c r="F507" s="236"/>
      <c r="G507" s="236"/>
      <c r="H507" s="236"/>
      <c r="I507" s="236"/>
      <c r="J507" s="236"/>
      <c r="K507" s="330"/>
      <c r="L507" s="330"/>
      <c r="M507" s="236"/>
      <c r="N507" s="236"/>
      <c r="O507" s="236"/>
      <c r="P507" s="236"/>
      <c r="Q507" s="236"/>
      <c r="R507" s="236"/>
      <c r="S507" s="236"/>
      <c r="T507" s="236"/>
      <c r="U507" s="236"/>
      <c r="V507" s="236"/>
      <c r="W507" s="236"/>
    </row>
    <row r="508">
      <c r="A508" s="236"/>
      <c r="B508" s="236"/>
      <c r="C508" s="236"/>
      <c r="D508" s="236"/>
      <c r="E508" s="236"/>
      <c r="F508" s="236"/>
      <c r="G508" s="236"/>
      <c r="H508" s="236"/>
      <c r="I508" s="236"/>
      <c r="J508" s="236"/>
      <c r="K508" s="330"/>
      <c r="L508" s="330"/>
      <c r="M508" s="236"/>
      <c r="N508" s="236"/>
      <c r="O508" s="236"/>
      <c r="P508" s="236"/>
      <c r="Q508" s="236"/>
      <c r="R508" s="236"/>
      <c r="S508" s="236"/>
      <c r="T508" s="236"/>
      <c r="U508" s="236"/>
      <c r="V508" s="236"/>
      <c r="W508" s="236"/>
    </row>
    <row r="509">
      <c r="A509" s="236"/>
      <c r="B509" s="236"/>
      <c r="C509" s="236"/>
      <c r="D509" s="236"/>
      <c r="E509" s="236"/>
      <c r="F509" s="236"/>
      <c r="G509" s="236"/>
      <c r="H509" s="236"/>
      <c r="I509" s="236"/>
      <c r="J509" s="236"/>
      <c r="K509" s="330"/>
      <c r="L509" s="330"/>
      <c r="M509" s="236"/>
      <c r="N509" s="236"/>
      <c r="O509" s="236"/>
      <c r="P509" s="236"/>
      <c r="Q509" s="236"/>
      <c r="R509" s="236"/>
      <c r="S509" s="236"/>
      <c r="T509" s="236"/>
      <c r="U509" s="236"/>
      <c r="V509" s="236"/>
      <c r="W509" s="236"/>
    </row>
    <row r="510">
      <c r="A510" s="236"/>
      <c r="B510" s="236"/>
      <c r="C510" s="236"/>
      <c r="D510" s="236"/>
      <c r="E510" s="236"/>
      <c r="F510" s="236"/>
      <c r="G510" s="236"/>
      <c r="H510" s="236"/>
      <c r="I510" s="236"/>
      <c r="J510" s="236"/>
      <c r="K510" s="330"/>
      <c r="L510" s="330"/>
      <c r="M510" s="236"/>
      <c r="N510" s="236"/>
      <c r="O510" s="236"/>
      <c r="P510" s="236"/>
      <c r="Q510" s="236"/>
      <c r="R510" s="236"/>
      <c r="S510" s="236"/>
      <c r="T510" s="236"/>
      <c r="U510" s="236"/>
      <c r="V510" s="236"/>
      <c r="W510" s="236"/>
    </row>
    <row r="511">
      <c r="A511" s="236"/>
      <c r="B511" s="236"/>
      <c r="C511" s="236"/>
      <c r="D511" s="236"/>
      <c r="E511" s="236"/>
      <c r="F511" s="236"/>
      <c r="G511" s="236"/>
      <c r="H511" s="236"/>
      <c r="I511" s="236"/>
      <c r="J511" s="236"/>
      <c r="K511" s="330"/>
      <c r="L511" s="330"/>
      <c r="M511" s="236"/>
      <c r="N511" s="236"/>
      <c r="O511" s="236"/>
      <c r="P511" s="236"/>
      <c r="Q511" s="236"/>
      <c r="R511" s="236"/>
      <c r="S511" s="236"/>
      <c r="T511" s="236"/>
      <c r="U511" s="236"/>
      <c r="V511" s="236"/>
      <c r="W511" s="236"/>
    </row>
    <row r="512">
      <c r="A512" s="236"/>
      <c r="B512" s="236"/>
      <c r="C512" s="236"/>
      <c r="D512" s="236"/>
      <c r="E512" s="236"/>
      <c r="F512" s="236"/>
      <c r="G512" s="236"/>
      <c r="H512" s="236"/>
      <c r="I512" s="236"/>
      <c r="J512" s="236"/>
      <c r="K512" s="330"/>
      <c r="L512" s="330"/>
      <c r="M512" s="236"/>
      <c r="N512" s="236"/>
      <c r="O512" s="236"/>
      <c r="P512" s="236"/>
      <c r="Q512" s="236"/>
      <c r="R512" s="236"/>
      <c r="S512" s="236"/>
      <c r="T512" s="236"/>
      <c r="U512" s="236"/>
      <c r="V512" s="236"/>
      <c r="W512" s="236"/>
    </row>
    <row r="513">
      <c r="A513" s="236"/>
      <c r="B513" s="236"/>
      <c r="C513" s="236"/>
      <c r="D513" s="236"/>
      <c r="E513" s="236"/>
      <c r="F513" s="236"/>
      <c r="G513" s="236"/>
      <c r="H513" s="236"/>
      <c r="I513" s="236"/>
      <c r="J513" s="236"/>
      <c r="K513" s="330"/>
      <c r="L513" s="330"/>
      <c r="M513" s="236"/>
      <c r="N513" s="236"/>
      <c r="O513" s="236"/>
      <c r="P513" s="236"/>
      <c r="Q513" s="236"/>
      <c r="R513" s="236"/>
      <c r="S513" s="236"/>
      <c r="T513" s="236"/>
      <c r="U513" s="236"/>
      <c r="V513" s="236"/>
      <c r="W513" s="236"/>
    </row>
    <row r="514">
      <c r="A514" s="236"/>
      <c r="B514" s="236"/>
      <c r="C514" s="236"/>
      <c r="D514" s="236"/>
      <c r="E514" s="236"/>
      <c r="F514" s="236"/>
      <c r="G514" s="236"/>
      <c r="H514" s="236"/>
      <c r="I514" s="236"/>
      <c r="J514" s="236"/>
      <c r="K514" s="330"/>
      <c r="L514" s="330"/>
      <c r="M514" s="236"/>
      <c r="N514" s="236"/>
      <c r="O514" s="236"/>
      <c r="P514" s="236"/>
      <c r="Q514" s="236"/>
      <c r="R514" s="236"/>
      <c r="S514" s="236"/>
      <c r="T514" s="236"/>
      <c r="U514" s="236"/>
      <c r="V514" s="236"/>
      <c r="W514" s="236"/>
    </row>
    <row r="515">
      <c r="A515" s="236"/>
      <c r="B515" s="236"/>
      <c r="C515" s="236"/>
      <c r="D515" s="236"/>
      <c r="E515" s="236"/>
      <c r="F515" s="236"/>
      <c r="G515" s="236"/>
      <c r="H515" s="236"/>
      <c r="I515" s="236"/>
      <c r="J515" s="236"/>
      <c r="K515" s="330"/>
      <c r="L515" s="330"/>
      <c r="M515" s="236"/>
      <c r="N515" s="236"/>
      <c r="O515" s="236"/>
      <c r="P515" s="236"/>
      <c r="Q515" s="236"/>
      <c r="R515" s="236"/>
      <c r="S515" s="236"/>
      <c r="T515" s="236"/>
      <c r="U515" s="236"/>
      <c r="V515" s="236"/>
      <c r="W515" s="236"/>
    </row>
    <row r="516">
      <c r="A516" s="236"/>
      <c r="B516" s="236"/>
      <c r="C516" s="236"/>
      <c r="D516" s="236"/>
      <c r="E516" s="236"/>
      <c r="F516" s="236"/>
      <c r="G516" s="236"/>
      <c r="H516" s="236"/>
      <c r="I516" s="236"/>
      <c r="J516" s="236"/>
      <c r="K516" s="330"/>
      <c r="L516" s="330"/>
      <c r="M516" s="236"/>
      <c r="N516" s="236"/>
      <c r="O516" s="236"/>
      <c r="P516" s="236"/>
      <c r="Q516" s="236"/>
      <c r="R516" s="236"/>
      <c r="S516" s="236"/>
      <c r="T516" s="236"/>
      <c r="U516" s="236"/>
      <c r="V516" s="236"/>
      <c r="W516" s="236"/>
    </row>
    <row r="517">
      <c r="A517" s="236"/>
      <c r="B517" s="236"/>
      <c r="C517" s="236"/>
      <c r="D517" s="236"/>
      <c r="E517" s="236"/>
      <c r="F517" s="236"/>
      <c r="G517" s="236"/>
      <c r="H517" s="236"/>
      <c r="I517" s="236"/>
      <c r="J517" s="236"/>
      <c r="K517" s="330"/>
      <c r="L517" s="330"/>
      <c r="M517" s="236"/>
      <c r="N517" s="236"/>
      <c r="O517" s="236"/>
      <c r="P517" s="236"/>
      <c r="Q517" s="236"/>
      <c r="R517" s="236"/>
      <c r="S517" s="236"/>
      <c r="T517" s="236"/>
      <c r="U517" s="236"/>
      <c r="V517" s="236"/>
      <c r="W517" s="236"/>
    </row>
    <row r="518">
      <c r="A518" s="236"/>
      <c r="B518" s="236"/>
      <c r="C518" s="236"/>
      <c r="D518" s="236"/>
      <c r="E518" s="236"/>
      <c r="F518" s="236"/>
      <c r="G518" s="236"/>
      <c r="H518" s="236"/>
      <c r="I518" s="236"/>
      <c r="J518" s="236"/>
      <c r="K518" s="330"/>
      <c r="L518" s="330"/>
      <c r="M518" s="236"/>
      <c r="N518" s="236"/>
      <c r="O518" s="236"/>
      <c r="P518" s="236"/>
      <c r="Q518" s="236"/>
      <c r="R518" s="236"/>
      <c r="S518" s="236"/>
      <c r="T518" s="236"/>
      <c r="U518" s="236"/>
      <c r="V518" s="236"/>
      <c r="W518" s="236"/>
    </row>
    <row r="519">
      <c r="A519" s="236"/>
      <c r="B519" s="236"/>
      <c r="C519" s="236"/>
      <c r="D519" s="236"/>
      <c r="E519" s="236"/>
      <c r="F519" s="236"/>
      <c r="G519" s="236"/>
      <c r="H519" s="236"/>
      <c r="I519" s="236"/>
      <c r="J519" s="236"/>
      <c r="K519" s="330"/>
      <c r="L519" s="330"/>
      <c r="M519" s="236"/>
      <c r="N519" s="236"/>
      <c r="O519" s="236"/>
      <c r="P519" s="236"/>
      <c r="Q519" s="236"/>
      <c r="R519" s="236"/>
      <c r="S519" s="236"/>
      <c r="T519" s="236"/>
      <c r="U519" s="236"/>
      <c r="V519" s="236"/>
      <c r="W519" s="236"/>
    </row>
    <row r="520">
      <c r="A520" s="236"/>
      <c r="B520" s="236"/>
      <c r="C520" s="236"/>
      <c r="D520" s="236"/>
      <c r="E520" s="236"/>
      <c r="F520" s="236"/>
      <c r="G520" s="236"/>
      <c r="H520" s="236"/>
      <c r="I520" s="236"/>
      <c r="J520" s="236"/>
      <c r="K520" s="330"/>
      <c r="L520" s="330"/>
      <c r="M520" s="236"/>
      <c r="N520" s="236"/>
      <c r="O520" s="236"/>
      <c r="P520" s="236"/>
      <c r="Q520" s="236"/>
      <c r="R520" s="236"/>
      <c r="S520" s="236"/>
      <c r="T520" s="236"/>
      <c r="U520" s="236"/>
      <c r="V520" s="236"/>
      <c r="W520" s="236"/>
    </row>
    <row r="521">
      <c r="A521" s="236"/>
      <c r="B521" s="236"/>
      <c r="C521" s="236"/>
      <c r="D521" s="236"/>
      <c r="E521" s="236"/>
      <c r="F521" s="236"/>
      <c r="G521" s="236"/>
      <c r="H521" s="236"/>
      <c r="I521" s="236"/>
      <c r="J521" s="236"/>
      <c r="K521" s="330"/>
      <c r="L521" s="330"/>
      <c r="M521" s="236"/>
      <c r="N521" s="236"/>
      <c r="O521" s="236"/>
      <c r="P521" s="236"/>
      <c r="Q521" s="236"/>
      <c r="R521" s="236"/>
      <c r="S521" s="236"/>
      <c r="T521" s="236"/>
      <c r="U521" s="236"/>
      <c r="V521" s="236"/>
      <c r="W521" s="236"/>
    </row>
    <row r="522">
      <c r="A522" s="236"/>
      <c r="B522" s="236"/>
      <c r="C522" s="236"/>
      <c r="D522" s="236"/>
      <c r="E522" s="236"/>
      <c r="F522" s="236"/>
      <c r="G522" s="236"/>
      <c r="H522" s="236"/>
      <c r="I522" s="236"/>
      <c r="J522" s="236"/>
      <c r="K522" s="330"/>
      <c r="L522" s="330"/>
      <c r="M522" s="236"/>
      <c r="N522" s="236"/>
      <c r="O522" s="236"/>
      <c r="P522" s="236"/>
      <c r="Q522" s="236"/>
      <c r="R522" s="236"/>
      <c r="S522" s="236"/>
      <c r="T522" s="236"/>
      <c r="U522" s="236"/>
      <c r="V522" s="236"/>
      <c r="W522" s="236"/>
    </row>
    <row r="523">
      <c r="A523" s="236"/>
      <c r="B523" s="236"/>
      <c r="C523" s="236"/>
      <c r="D523" s="236"/>
      <c r="E523" s="236"/>
      <c r="F523" s="236"/>
      <c r="G523" s="236"/>
      <c r="H523" s="236"/>
      <c r="I523" s="236"/>
      <c r="J523" s="236"/>
      <c r="K523" s="330"/>
      <c r="L523" s="330"/>
      <c r="M523" s="236"/>
      <c r="N523" s="236"/>
      <c r="O523" s="236"/>
      <c r="P523" s="236"/>
      <c r="Q523" s="236"/>
      <c r="R523" s="236"/>
      <c r="S523" s="236"/>
      <c r="T523" s="236"/>
      <c r="U523" s="236"/>
      <c r="V523" s="236"/>
      <c r="W523" s="236"/>
    </row>
    <row r="524">
      <c r="A524" s="236"/>
      <c r="B524" s="236"/>
      <c r="C524" s="236"/>
      <c r="D524" s="236"/>
      <c r="E524" s="236"/>
      <c r="F524" s="236"/>
      <c r="G524" s="236"/>
      <c r="H524" s="236"/>
      <c r="I524" s="236"/>
      <c r="J524" s="236"/>
      <c r="K524" s="330"/>
      <c r="L524" s="330"/>
      <c r="M524" s="236"/>
      <c r="N524" s="236"/>
      <c r="O524" s="236"/>
      <c r="P524" s="236"/>
      <c r="Q524" s="236"/>
      <c r="R524" s="236"/>
      <c r="S524" s="236"/>
      <c r="T524" s="236"/>
      <c r="U524" s="236"/>
      <c r="V524" s="236"/>
      <c r="W524" s="236"/>
    </row>
    <row r="525">
      <c r="A525" s="236"/>
      <c r="B525" s="236"/>
      <c r="C525" s="236"/>
      <c r="D525" s="236"/>
      <c r="E525" s="236"/>
      <c r="F525" s="236"/>
      <c r="G525" s="236"/>
      <c r="H525" s="236"/>
      <c r="I525" s="236"/>
      <c r="J525" s="236"/>
      <c r="K525" s="330"/>
      <c r="L525" s="330"/>
      <c r="M525" s="236"/>
      <c r="N525" s="236"/>
      <c r="O525" s="236"/>
      <c r="P525" s="236"/>
      <c r="Q525" s="236"/>
      <c r="R525" s="236"/>
      <c r="S525" s="236"/>
      <c r="T525" s="236"/>
      <c r="U525" s="236"/>
      <c r="V525" s="236"/>
      <c r="W525" s="236"/>
    </row>
    <row r="526">
      <c r="A526" s="236"/>
      <c r="B526" s="236"/>
      <c r="C526" s="236"/>
      <c r="D526" s="236"/>
      <c r="E526" s="236"/>
      <c r="F526" s="236"/>
      <c r="G526" s="236"/>
      <c r="H526" s="236"/>
      <c r="I526" s="236"/>
      <c r="J526" s="236"/>
      <c r="K526" s="330"/>
      <c r="L526" s="330"/>
      <c r="M526" s="236"/>
      <c r="N526" s="236"/>
      <c r="O526" s="236"/>
      <c r="P526" s="236"/>
      <c r="Q526" s="236"/>
      <c r="R526" s="236"/>
      <c r="S526" s="236"/>
      <c r="T526" s="236"/>
      <c r="U526" s="236"/>
      <c r="V526" s="236"/>
      <c r="W526" s="236"/>
    </row>
    <row r="527">
      <c r="A527" s="236"/>
      <c r="B527" s="236"/>
      <c r="C527" s="236"/>
      <c r="D527" s="236"/>
      <c r="E527" s="236"/>
      <c r="F527" s="236"/>
      <c r="G527" s="236"/>
      <c r="H527" s="236"/>
      <c r="I527" s="236"/>
      <c r="J527" s="236"/>
      <c r="K527" s="330"/>
      <c r="L527" s="330"/>
      <c r="M527" s="236"/>
      <c r="N527" s="236"/>
      <c r="O527" s="236"/>
      <c r="P527" s="236"/>
      <c r="Q527" s="236"/>
      <c r="R527" s="236"/>
      <c r="S527" s="236"/>
      <c r="T527" s="236"/>
      <c r="U527" s="236"/>
      <c r="V527" s="236"/>
      <c r="W527" s="236"/>
    </row>
    <row r="528">
      <c r="A528" s="236"/>
      <c r="B528" s="236"/>
      <c r="C528" s="236"/>
      <c r="D528" s="236"/>
      <c r="E528" s="236"/>
      <c r="F528" s="236"/>
      <c r="G528" s="236"/>
      <c r="H528" s="236"/>
      <c r="I528" s="236"/>
      <c r="J528" s="236"/>
      <c r="K528" s="330"/>
      <c r="L528" s="330"/>
      <c r="M528" s="236"/>
      <c r="N528" s="236"/>
      <c r="O528" s="236"/>
      <c r="P528" s="236"/>
      <c r="Q528" s="236"/>
      <c r="R528" s="236"/>
      <c r="S528" s="236"/>
      <c r="T528" s="236"/>
      <c r="U528" s="236"/>
      <c r="V528" s="236"/>
      <c r="W528" s="236"/>
    </row>
    <row r="529">
      <c r="A529" s="236"/>
      <c r="B529" s="236"/>
      <c r="C529" s="236"/>
      <c r="D529" s="236"/>
      <c r="E529" s="236"/>
      <c r="F529" s="236"/>
      <c r="G529" s="236"/>
      <c r="H529" s="236"/>
      <c r="I529" s="236"/>
      <c r="J529" s="236"/>
      <c r="K529" s="330"/>
      <c r="L529" s="330"/>
      <c r="M529" s="236"/>
      <c r="N529" s="236"/>
      <c r="O529" s="236"/>
      <c r="P529" s="236"/>
      <c r="Q529" s="236"/>
      <c r="R529" s="236"/>
      <c r="S529" s="236"/>
      <c r="T529" s="236"/>
      <c r="U529" s="236"/>
      <c r="V529" s="236"/>
      <c r="W529" s="236"/>
    </row>
    <row r="530">
      <c r="A530" s="236"/>
      <c r="B530" s="236"/>
      <c r="C530" s="236"/>
      <c r="D530" s="236"/>
      <c r="E530" s="236"/>
      <c r="F530" s="236"/>
      <c r="G530" s="236"/>
      <c r="H530" s="236"/>
      <c r="I530" s="236"/>
      <c r="J530" s="236"/>
      <c r="K530" s="330"/>
      <c r="L530" s="330"/>
      <c r="M530" s="236"/>
      <c r="N530" s="236"/>
      <c r="O530" s="236"/>
      <c r="P530" s="236"/>
      <c r="Q530" s="236"/>
      <c r="R530" s="236"/>
      <c r="S530" s="236"/>
      <c r="T530" s="236"/>
      <c r="U530" s="236"/>
      <c r="V530" s="236"/>
      <c r="W530" s="236"/>
    </row>
    <row r="531">
      <c r="A531" s="236"/>
      <c r="B531" s="236"/>
      <c r="C531" s="236"/>
      <c r="D531" s="236"/>
      <c r="E531" s="236"/>
      <c r="F531" s="236"/>
      <c r="G531" s="236"/>
      <c r="H531" s="236"/>
      <c r="I531" s="236"/>
      <c r="J531" s="236"/>
      <c r="K531" s="330"/>
      <c r="L531" s="330"/>
      <c r="M531" s="236"/>
      <c r="N531" s="236"/>
      <c r="O531" s="236"/>
      <c r="P531" s="236"/>
      <c r="Q531" s="236"/>
      <c r="R531" s="236"/>
      <c r="S531" s="236"/>
      <c r="T531" s="236"/>
      <c r="U531" s="236"/>
      <c r="V531" s="236"/>
      <c r="W531" s="236"/>
    </row>
    <row r="532">
      <c r="A532" s="236"/>
      <c r="B532" s="236"/>
      <c r="C532" s="236"/>
      <c r="D532" s="236"/>
      <c r="E532" s="236"/>
      <c r="F532" s="236"/>
      <c r="G532" s="236"/>
      <c r="H532" s="236"/>
      <c r="I532" s="236"/>
      <c r="J532" s="236"/>
      <c r="K532" s="330"/>
      <c r="L532" s="330"/>
      <c r="M532" s="236"/>
      <c r="N532" s="236"/>
      <c r="O532" s="236"/>
      <c r="P532" s="236"/>
      <c r="Q532" s="236"/>
      <c r="R532" s="236"/>
      <c r="S532" s="236"/>
      <c r="T532" s="236"/>
      <c r="U532" s="236"/>
      <c r="V532" s="236"/>
      <c r="W532" s="236"/>
    </row>
    <row r="533">
      <c r="A533" s="236"/>
      <c r="B533" s="236"/>
      <c r="C533" s="236"/>
      <c r="D533" s="236"/>
      <c r="E533" s="236"/>
      <c r="F533" s="236"/>
      <c r="G533" s="236"/>
      <c r="H533" s="236"/>
      <c r="I533" s="236"/>
      <c r="J533" s="236"/>
      <c r="K533" s="330"/>
      <c r="L533" s="330"/>
      <c r="M533" s="236"/>
      <c r="N533" s="236"/>
      <c r="O533" s="236"/>
      <c r="P533" s="236"/>
      <c r="Q533" s="236"/>
      <c r="R533" s="236"/>
      <c r="S533" s="236"/>
      <c r="T533" s="236"/>
      <c r="U533" s="236"/>
      <c r="V533" s="236"/>
      <c r="W533" s="236"/>
    </row>
    <row r="534">
      <c r="A534" s="236"/>
      <c r="B534" s="236"/>
      <c r="C534" s="236"/>
      <c r="D534" s="236"/>
      <c r="E534" s="236"/>
      <c r="F534" s="236"/>
      <c r="G534" s="236"/>
      <c r="H534" s="236"/>
      <c r="I534" s="236"/>
      <c r="J534" s="236"/>
      <c r="K534" s="330"/>
      <c r="L534" s="330"/>
      <c r="M534" s="236"/>
      <c r="N534" s="236"/>
      <c r="O534" s="236"/>
      <c r="P534" s="236"/>
      <c r="Q534" s="236"/>
      <c r="R534" s="236"/>
      <c r="S534" s="236"/>
      <c r="T534" s="236"/>
      <c r="U534" s="236"/>
      <c r="V534" s="236"/>
      <c r="W534" s="236"/>
    </row>
    <row r="535">
      <c r="A535" s="236"/>
      <c r="B535" s="236"/>
      <c r="C535" s="236"/>
      <c r="D535" s="236"/>
      <c r="E535" s="236"/>
      <c r="F535" s="236"/>
      <c r="G535" s="236"/>
      <c r="H535" s="236"/>
      <c r="I535" s="236"/>
      <c r="J535" s="236"/>
      <c r="K535" s="330"/>
      <c r="L535" s="330"/>
      <c r="M535" s="236"/>
      <c r="N535" s="236"/>
      <c r="O535" s="236"/>
      <c r="P535" s="236"/>
      <c r="Q535" s="236"/>
      <c r="R535" s="236"/>
      <c r="S535" s="236"/>
      <c r="T535" s="236"/>
      <c r="U535" s="236"/>
      <c r="V535" s="236"/>
      <c r="W535" s="236"/>
    </row>
    <row r="536">
      <c r="A536" s="236"/>
      <c r="B536" s="236"/>
      <c r="C536" s="236"/>
      <c r="D536" s="236"/>
      <c r="E536" s="236"/>
      <c r="F536" s="236"/>
      <c r="G536" s="236"/>
      <c r="H536" s="236"/>
      <c r="I536" s="236"/>
      <c r="J536" s="236"/>
      <c r="K536" s="330"/>
      <c r="L536" s="330"/>
      <c r="M536" s="236"/>
      <c r="N536" s="236"/>
      <c r="O536" s="236"/>
      <c r="P536" s="236"/>
      <c r="Q536" s="236"/>
      <c r="R536" s="236"/>
      <c r="S536" s="236"/>
      <c r="T536" s="236"/>
      <c r="U536" s="236"/>
      <c r="V536" s="236"/>
      <c r="W536" s="236"/>
    </row>
    <row r="537">
      <c r="A537" s="236"/>
      <c r="B537" s="236"/>
      <c r="C537" s="236"/>
      <c r="D537" s="236"/>
      <c r="E537" s="236"/>
      <c r="F537" s="236"/>
      <c r="G537" s="236"/>
      <c r="H537" s="236"/>
      <c r="I537" s="236"/>
      <c r="J537" s="236"/>
      <c r="K537" s="330"/>
      <c r="L537" s="330"/>
      <c r="M537" s="236"/>
      <c r="N537" s="236"/>
      <c r="O537" s="236"/>
      <c r="P537" s="236"/>
      <c r="Q537" s="236"/>
      <c r="R537" s="236"/>
      <c r="S537" s="236"/>
      <c r="T537" s="236"/>
      <c r="U537" s="236"/>
      <c r="V537" s="236"/>
      <c r="W537" s="236"/>
    </row>
    <row r="538">
      <c r="A538" s="236"/>
      <c r="B538" s="236"/>
      <c r="C538" s="236"/>
      <c r="D538" s="236"/>
      <c r="E538" s="236"/>
      <c r="F538" s="236"/>
      <c r="G538" s="236"/>
      <c r="H538" s="236"/>
      <c r="I538" s="236"/>
      <c r="J538" s="236"/>
      <c r="K538" s="330"/>
      <c r="L538" s="330"/>
      <c r="M538" s="236"/>
      <c r="N538" s="236"/>
      <c r="O538" s="236"/>
      <c r="P538" s="236"/>
      <c r="Q538" s="236"/>
      <c r="R538" s="236"/>
      <c r="S538" s="236"/>
      <c r="T538" s="236"/>
      <c r="U538" s="236"/>
      <c r="V538" s="236"/>
      <c r="W538" s="236"/>
    </row>
    <row r="539">
      <c r="A539" s="236"/>
      <c r="B539" s="236"/>
      <c r="C539" s="236"/>
      <c r="D539" s="236"/>
      <c r="E539" s="236"/>
      <c r="F539" s="236"/>
      <c r="G539" s="236"/>
      <c r="H539" s="236"/>
      <c r="I539" s="236"/>
      <c r="J539" s="236"/>
      <c r="K539" s="330"/>
      <c r="L539" s="330"/>
      <c r="M539" s="236"/>
      <c r="N539" s="236"/>
      <c r="O539" s="236"/>
      <c r="P539" s="236"/>
      <c r="Q539" s="236"/>
      <c r="R539" s="236"/>
      <c r="S539" s="236"/>
      <c r="T539" s="236"/>
      <c r="U539" s="236"/>
      <c r="V539" s="236"/>
      <c r="W539" s="236"/>
    </row>
    <row r="540">
      <c r="A540" s="236"/>
      <c r="B540" s="236"/>
      <c r="C540" s="236"/>
      <c r="D540" s="236"/>
      <c r="E540" s="236"/>
      <c r="F540" s="236"/>
      <c r="G540" s="236"/>
      <c r="H540" s="236"/>
      <c r="I540" s="236"/>
      <c r="J540" s="236"/>
      <c r="K540" s="330"/>
      <c r="L540" s="330"/>
      <c r="M540" s="236"/>
      <c r="N540" s="236"/>
      <c r="O540" s="236"/>
      <c r="P540" s="236"/>
      <c r="Q540" s="236"/>
      <c r="R540" s="236"/>
      <c r="S540" s="236"/>
      <c r="T540" s="236"/>
      <c r="U540" s="236"/>
      <c r="V540" s="236"/>
      <c r="W540" s="236"/>
    </row>
    <row r="541">
      <c r="A541" s="236"/>
      <c r="B541" s="236"/>
      <c r="C541" s="236"/>
      <c r="D541" s="236"/>
      <c r="E541" s="236"/>
      <c r="F541" s="236"/>
      <c r="G541" s="236"/>
      <c r="H541" s="236"/>
      <c r="I541" s="236"/>
      <c r="J541" s="236"/>
      <c r="K541" s="330"/>
      <c r="L541" s="330"/>
      <c r="M541" s="236"/>
      <c r="N541" s="236"/>
      <c r="O541" s="236"/>
      <c r="P541" s="236"/>
      <c r="Q541" s="236"/>
      <c r="R541" s="236"/>
      <c r="S541" s="236"/>
      <c r="T541" s="236"/>
      <c r="U541" s="236"/>
      <c r="V541" s="236"/>
      <c r="W541" s="236"/>
    </row>
    <row r="542">
      <c r="A542" s="236"/>
      <c r="B542" s="236"/>
      <c r="C542" s="236"/>
      <c r="D542" s="236"/>
      <c r="E542" s="236"/>
      <c r="F542" s="236"/>
      <c r="G542" s="236"/>
      <c r="H542" s="236"/>
      <c r="I542" s="236"/>
      <c r="J542" s="236"/>
      <c r="K542" s="330"/>
      <c r="L542" s="330"/>
      <c r="M542" s="236"/>
      <c r="N542" s="236"/>
      <c r="O542" s="236"/>
      <c r="P542" s="236"/>
      <c r="Q542" s="236"/>
      <c r="R542" s="236"/>
      <c r="S542" s="236"/>
      <c r="T542" s="236"/>
      <c r="U542" s="236"/>
      <c r="V542" s="236"/>
      <c r="W542" s="236"/>
    </row>
    <row r="543">
      <c r="A543" s="236"/>
      <c r="B543" s="236"/>
      <c r="C543" s="236"/>
      <c r="D543" s="236"/>
      <c r="E543" s="236"/>
      <c r="F543" s="236"/>
      <c r="G543" s="236"/>
      <c r="H543" s="236"/>
      <c r="I543" s="236"/>
      <c r="J543" s="236"/>
      <c r="K543" s="330"/>
      <c r="L543" s="330"/>
      <c r="M543" s="236"/>
      <c r="N543" s="236"/>
      <c r="O543" s="236"/>
      <c r="P543" s="236"/>
      <c r="Q543" s="236"/>
      <c r="R543" s="236"/>
      <c r="S543" s="236"/>
      <c r="T543" s="236"/>
      <c r="U543" s="236"/>
      <c r="V543" s="236"/>
      <c r="W543" s="236"/>
    </row>
    <row r="544">
      <c r="A544" s="236"/>
      <c r="B544" s="236"/>
      <c r="C544" s="236"/>
      <c r="D544" s="236"/>
      <c r="E544" s="236"/>
      <c r="F544" s="236"/>
      <c r="G544" s="236"/>
      <c r="H544" s="236"/>
      <c r="I544" s="236"/>
      <c r="J544" s="236"/>
      <c r="K544" s="330"/>
      <c r="L544" s="330"/>
      <c r="M544" s="236"/>
      <c r="N544" s="236"/>
      <c r="O544" s="236"/>
      <c r="P544" s="236"/>
      <c r="Q544" s="236"/>
      <c r="R544" s="236"/>
      <c r="S544" s="236"/>
      <c r="T544" s="236"/>
      <c r="U544" s="236"/>
      <c r="V544" s="236"/>
      <c r="W544" s="236"/>
    </row>
    <row r="545">
      <c r="A545" s="236"/>
      <c r="B545" s="236"/>
      <c r="C545" s="236"/>
      <c r="D545" s="236"/>
      <c r="E545" s="236"/>
      <c r="F545" s="236"/>
      <c r="G545" s="236"/>
      <c r="H545" s="236"/>
      <c r="I545" s="236"/>
      <c r="J545" s="236"/>
      <c r="K545" s="330"/>
      <c r="L545" s="330"/>
      <c r="M545" s="236"/>
      <c r="N545" s="236"/>
      <c r="O545" s="236"/>
      <c r="P545" s="236"/>
      <c r="Q545" s="236"/>
      <c r="R545" s="236"/>
      <c r="S545" s="236"/>
      <c r="T545" s="236"/>
      <c r="U545" s="236"/>
      <c r="V545" s="236"/>
      <c r="W545" s="236"/>
    </row>
    <row r="546">
      <c r="A546" s="236"/>
      <c r="B546" s="236"/>
      <c r="C546" s="236"/>
      <c r="D546" s="236"/>
      <c r="E546" s="236"/>
      <c r="F546" s="236"/>
      <c r="G546" s="236"/>
      <c r="H546" s="236"/>
      <c r="I546" s="236"/>
      <c r="J546" s="236"/>
      <c r="K546" s="330"/>
      <c r="L546" s="330"/>
      <c r="M546" s="236"/>
      <c r="N546" s="236"/>
      <c r="O546" s="236"/>
      <c r="P546" s="236"/>
      <c r="Q546" s="236"/>
      <c r="R546" s="236"/>
      <c r="S546" s="236"/>
      <c r="T546" s="236"/>
      <c r="U546" s="236"/>
      <c r="V546" s="236"/>
      <c r="W546" s="236"/>
    </row>
    <row r="547">
      <c r="A547" s="236"/>
      <c r="B547" s="236"/>
      <c r="C547" s="236"/>
      <c r="D547" s="236"/>
      <c r="E547" s="236"/>
      <c r="F547" s="236"/>
      <c r="G547" s="236"/>
      <c r="H547" s="236"/>
      <c r="I547" s="236"/>
      <c r="J547" s="236"/>
      <c r="K547" s="330"/>
      <c r="L547" s="330"/>
      <c r="M547" s="236"/>
      <c r="N547" s="236"/>
      <c r="O547" s="236"/>
      <c r="P547" s="236"/>
      <c r="Q547" s="236"/>
      <c r="R547" s="236"/>
      <c r="S547" s="236"/>
      <c r="T547" s="236"/>
      <c r="U547" s="236"/>
      <c r="V547" s="236"/>
      <c r="W547" s="236"/>
    </row>
    <row r="548">
      <c r="A548" s="236"/>
      <c r="B548" s="236"/>
      <c r="C548" s="236"/>
      <c r="D548" s="236"/>
      <c r="E548" s="236"/>
      <c r="F548" s="236"/>
      <c r="G548" s="236"/>
      <c r="H548" s="236"/>
      <c r="I548" s="236"/>
      <c r="J548" s="236"/>
      <c r="K548" s="330"/>
      <c r="L548" s="330"/>
      <c r="M548" s="236"/>
      <c r="N548" s="236"/>
      <c r="O548" s="236"/>
      <c r="P548" s="236"/>
      <c r="Q548" s="236"/>
      <c r="R548" s="236"/>
      <c r="S548" s="236"/>
      <c r="T548" s="236"/>
      <c r="U548" s="236"/>
      <c r="V548" s="236"/>
      <c r="W548" s="236"/>
    </row>
    <row r="549">
      <c r="A549" s="236"/>
      <c r="B549" s="236"/>
      <c r="C549" s="236"/>
      <c r="D549" s="236"/>
      <c r="E549" s="236"/>
      <c r="F549" s="236"/>
      <c r="G549" s="236"/>
      <c r="H549" s="236"/>
      <c r="I549" s="236"/>
      <c r="J549" s="236"/>
      <c r="K549" s="330"/>
      <c r="L549" s="330"/>
      <c r="M549" s="236"/>
      <c r="N549" s="236"/>
      <c r="O549" s="236"/>
      <c r="P549" s="236"/>
      <c r="Q549" s="236"/>
      <c r="R549" s="236"/>
      <c r="S549" s="236"/>
      <c r="T549" s="236"/>
      <c r="U549" s="236"/>
      <c r="V549" s="236"/>
      <c r="W549" s="236"/>
    </row>
    <row r="550">
      <c r="A550" s="236"/>
      <c r="B550" s="236"/>
      <c r="C550" s="236"/>
      <c r="D550" s="236"/>
      <c r="E550" s="236"/>
      <c r="F550" s="236"/>
      <c r="G550" s="236"/>
      <c r="H550" s="236"/>
      <c r="I550" s="236"/>
      <c r="J550" s="236"/>
      <c r="K550" s="330"/>
      <c r="L550" s="330"/>
      <c r="M550" s="236"/>
      <c r="N550" s="236"/>
      <c r="O550" s="236"/>
      <c r="P550" s="236"/>
      <c r="Q550" s="236"/>
      <c r="R550" s="236"/>
      <c r="S550" s="236"/>
      <c r="T550" s="236"/>
      <c r="U550" s="236"/>
      <c r="V550" s="236"/>
      <c r="W550" s="236"/>
    </row>
    <row r="551">
      <c r="A551" s="236"/>
      <c r="B551" s="236"/>
      <c r="C551" s="236"/>
      <c r="D551" s="236"/>
      <c r="E551" s="236"/>
      <c r="F551" s="236"/>
      <c r="G551" s="236"/>
      <c r="H551" s="236"/>
      <c r="I551" s="236"/>
      <c r="J551" s="236"/>
      <c r="K551" s="330"/>
      <c r="L551" s="330"/>
      <c r="M551" s="236"/>
      <c r="N551" s="236"/>
      <c r="O551" s="236"/>
      <c r="P551" s="236"/>
      <c r="Q551" s="236"/>
      <c r="R551" s="236"/>
      <c r="S551" s="236"/>
      <c r="T551" s="236"/>
      <c r="U551" s="236"/>
      <c r="V551" s="236"/>
      <c r="W551" s="236"/>
    </row>
    <row r="552">
      <c r="A552" s="236"/>
      <c r="B552" s="236"/>
      <c r="C552" s="236"/>
      <c r="D552" s="236"/>
      <c r="E552" s="236"/>
      <c r="F552" s="236"/>
      <c r="G552" s="236"/>
      <c r="H552" s="236"/>
      <c r="I552" s="236"/>
      <c r="J552" s="236"/>
      <c r="K552" s="330"/>
      <c r="L552" s="330"/>
      <c r="M552" s="236"/>
      <c r="N552" s="236"/>
      <c r="O552" s="236"/>
      <c r="P552" s="236"/>
      <c r="Q552" s="236"/>
      <c r="R552" s="236"/>
      <c r="S552" s="236"/>
      <c r="T552" s="236"/>
      <c r="U552" s="236"/>
      <c r="V552" s="236"/>
      <c r="W552" s="236"/>
    </row>
    <row r="553">
      <c r="A553" s="236"/>
      <c r="B553" s="236"/>
      <c r="C553" s="236"/>
      <c r="D553" s="236"/>
      <c r="E553" s="236"/>
      <c r="F553" s="236"/>
      <c r="G553" s="236"/>
      <c r="H553" s="236"/>
      <c r="I553" s="236"/>
      <c r="J553" s="236"/>
      <c r="K553" s="330"/>
      <c r="L553" s="330"/>
      <c r="M553" s="236"/>
      <c r="N553" s="236"/>
      <c r="O553" s="236"/>
      <c r="P553" s="236"/>
      <c r="Q553" s="236"/>
      <c r="R553" s="236"/>
      <c r="S553" s="236"/>
      <c r="T553" s="236"/>
      <c r="U553" s="236"/>
      <c r="V553" s="236"/>
      <c r="W553" s="236"/>
    </row>
    <row r="554">
      <c r="A554" s="236"/>
      <c r="B554" s="236"/>
      <c r="C554" s="236"/>
      <c r="D554" s="236"/>
      <c r="E554" s="236"/>
      <c r="F554" s="236"/>
      <c r="G554" s="236"/>
      <c r="H554" s="236"/>
      <c r="I554" s="236"/>
      <c r="J554" s="236"/>
      <c r="K554" s="330"/>
      <c r="L554" s="330"/>
      <c r="M554" s="236"/>
      <c r="N554" s="236"/>
      <c r="O554" s="236"/>
      <c r="P554" s="236"/>
      <c r="Q554" s="236"/>
      <c r="R554" s="236"/>
      <c r="S554" s="236"/>
      <c r="T554" s="236"/>
      <c r="U554" s="236"/>
      <c r="V554" s="236"/>
      <c r="W554" s="236"/>
    </row>
    <row r="555">
      <c r="A555" s="236"/>
      <c r="B555" s="236"/>
      <c r="C555" s="236"/>
      <c r="D555" s="236"/>
      <c r="E555" s="236"/>
      <c r="F555" s="236"/>
      <c r="G555" s="236"/>
      <c r="H555" s="236"/>
      <c r="I555" s="236"/>
      <c r="J555" s="236"/>
      <c r="K555" s="330"/>
      <c r="L555" s="330"/>
      <c r="M555" s="236"/>
      <c r="N555" s="236"/>
      <c r="O555" s="236"/>
      <c r="P555" s="236"/>
      <c r="Q555" s="236"/>
      <c r="R555" s="236"/>
      <c r="S555" s="236"/>
      <c r="T555" s="236"/>
      <c r="U555" s="236"/>
      <c r="V555" s="236"/>
      <c r="W555" s="236"/>
    </row>
    <row r="556">
      <c r="A556" s="236"/>
      <c r="B556" s="236"/>
      <c r="C556" s="236"/>
      <c r="D556" s="236"/>
      <c r="E556" s="236"/>
      <c r="F556" s="236"/>
      <c r="G556" s="236"/>
      <c r="H556" s="236"/>
      <c r="I556" s="236"/>
      <c r="J556" s="236"/>
      <c r="K556" s="330"/>
      <c r="L556" s="330"/>
      <c r="M556" s="236"/>
      <c r="N556" s="236"/>
      <c r="O556" s="236"/>
      <c r="P556" s="236"/>
      <c r="Q556" s="236"/>
      <c r="R556" s="236"/>
      <c r="S556" s="236"/>
      <c r="T556" s="236"/>
      <c r="U556" s="236"/>
      <c r="V556" s="236"/>
      <c r="W556" s="236"/>
    </row>
    <row r="557">
      <c r="A557" s="236"/>
      <c r="B557" s="236"/>
      <c r="C557" s="236"/>
      <c r="D557" s="236"/>
      <c r="E557" s="236"/>
      <c r="F557" s="236"/>
      <c r="G557" s="236"/>
      <c r="H557" s="236"/>
      <c r="I557" s="236"/>
      <c r="J557" s="236"/>
      <c r="K557" s="330"/>
      <c r="L557" s="330"/>
      <c r="M557" s="236"/>
      <c r="N557" s="236"/>
      <c r="O557" s="236"/>
      <c r="P557" s="236"/>
      <c r="Q557" s="236"/>
      <c r="R557" s="236"/>
      <c r="S557" s="236"/>
      <c r="T557" s="236"/>
      <c r="U557" s="236"/>
      <c r="V557" s="236"/>
      <c r="W557" s="236"/>
    </row>
    <row r="558">
      <c r="A558" s="236"/>
      <c r="B558" s="236"/>
      <c r="C558" s="236"/>
      <c r="D558" s="236"/>
      <c r="E558" s="236"/>
      <c r="F558" s="236"/>
      <c r="G558" s="236"/>
      <c r="H558" s="236"/>
      <c r="I558" s="236"/>
      <c r="J558" s="236"/>
      <c r="K558" s="330"/>
      <c r="L558" s="330"/>
      <c r="M558" s="236"/>
      <c r="N558" s="236"/>
      <c r="O558" s="236"/>
      <c r="P558" s="236"/>
      <c r="Q558" s="236"/>
      <c r="R558" s="236"/>
      <c r="S558" s="236"/>
      <c r="T558" s="236"/>
      <c r="U558" s="236"/>
      <c r="V558" s="236"/>
      <c r="W558" s="236"/>
    </row>
    <row r="559">
      <c r="A559" s="236"/>
      <c r="B559" s="236"/>
      <c r="C559" s="236"/>
      <c r="D559" s="236"/>
      <c r="E559" s="236"/>
      <c r="F559" s="236"/>
      <c r="G559" s="236"/>
      <c r="H559" s="236"/>
      <c r="I559" s="236"/>
      <c r="J559" s="236"/>
      <c r="K559" s="330"/>
      <c r="L559" s="330"/>
      <c r="M559" s="236"/>
      <c r="N559" s="236"/>
      <c r="O559" s="236"/>
      <c r="P559" s="236"/>
      <c r="Q559" s="236"/>
      <c r="R559" s="236"/>
      <c r="S559" s="236"/>
      <c r="T559" s="236"/>
      <c r="U559" s="236"/>
      <c r="V559" s="236"/>
      <c r="W559" s="236"/>
    </row>
    <row r="560">
      <c r="A560" s="236"/>
      <c r="B560" s="236"/>
      <c r="C560" s="236"/>
      <c r="D560" s="236"/>
      <c r="E560" s="236"/>
      <c r="F560" s="236"/>
      <c r="G560" s="236"/>
      <c r="H560" s="236"/>
      <c r="I560" s="236"/>
      <c r="J560" s="236"/>
      <c r="K560" s="330"/>
      <c r="L560" s="330"/>
      <c r="M560" s="236"/>
      <c r="N560" s="236"/>
      <c r="O560" s="236"/>
      <c r="P560" s="236"/>
      <c r="Q560" s="236"/>
      <c r="R560" s="236"/>
      <c r="S560" s="236"/>
      <c r="T560" s="236"/>
      <c r="U560" s="236"/>
      <c r="V560" s="236"/>
      <c r="W560" s="236"/>
    </row>
    <row r="561">
      <c r="A561" s="236"/>
      <c r="B561" s="236"/>
      <c r="C561" s="236"/>
      <c r="D561" s="236"/>
      <c r="E561" s="236"/>
      <c r="F561" s="236"/>
      <c r="G561" s="236"/>
      <c r="H561" s="236"/>
      <c r="I561" s="236"/>
      <c r="J561" s="236"/>
      <c r="K561" s="330"/>
      <c r="L561" s="330"/>
      <c r="M561" s="236"/>
      <c r="N561" s="236"/>
      <c r="O561" s="236"/>
      <c r="P561" s="236"/>
      <c r="Q561" s="236"/>
      <c r="R561" s="236"/>
      <c r="S561" s="236"/>
      <c r="T561" s="236"/>
      <c r="U561" s="236"/>
      <c r="V561" s="236"/>
      <c r="W561" s="236"/>
    </row>
    <row r="562">
      <c r="A562" s="236"/>
      <c r="B562" s="236"/>
      <c r="C562" s="236"/>
      <c r="D562" s="236"/>
      <c r="E562" s="236"/>
      <c r="F562" s="236"/>
      <c r="G562" s="236"/>
      <c r="H562" s="236"/>
      <c r="I562" s="236"/>
      <c r="J562" s="236"/>
      <c r="K562" s="330"/>
      <c r="L562" s="330"/>
      <c r="M562" s="236"/>
      <c r="N562" s="236"/>
      <c r="O562" s="236"/>
      <c r="P562" s="236"/>
      <c r="Q562" s="236"/>
      <c r="R562" s="236"/>
      <c r="S562" s="236"/>
      <c r="T562" s="236"/>
      <c r="U562" s="236"/>
      <c r="V562" s="236"/>
      <c r="W562" s="236"/>
    </row>
    <row r="563">
      <c r="A563" s="236"/>
      <c r="B563" s="236"/>
      <c r="C563" s="236"/>
      <c r="D563" s="236"/>
      <c r="E563" s="236"/>
      <c r="F563" s="236"/>
      <c r="G563" s="236"/>
      <c r="H563" s="236"/>
      <c r="I563" s="236"/>
      <c r="J563" s="236"/>
      <c r="K563" s="330"/>
      <c r="L563" s="330"/>
      <c r="M563" s="236"/>
      <c r="N563" s="236"/>
      <c r="O563" s="236"/>
      <c r="P563" s="236"/>
      <c r="Q563" s="236"/>
      <c r="R563" s="236"/>
      <c r="S563" s="236"/>
      <c r="T563" s="236"/>
      <c r="U563" s="236"/>
      <c r="V563" s="236"/>
      <c r="W563" s="236"/>
    </row>
    <row r="564">
      <c r="A564" s="236"/>
      <c r="B564" s="236"/>
      <c r="C564" s="236"/>
      <c r="D564" s="236"/>
      <c r="E564" s="236"/>
      <c r="F564" s="236"/>
      <c r="G564" s="236"/>
      <c r="H564" s="236"/>
      <c r="I564" s="236"/>
      <c r="J564" s="236"/>
      <c r="K564" s="330"/>
      <c r="L564" s="330"/>
      <c r="M564" s="236"/>
      <c r="N564" s="236"/>
      <c r="O564" s="236"/>
      <c r="P564" s="236"/>
      <c r="Q564" s="236"/>
      <c r="R564" s="236"/>
      <c r="S564" s="236"/>
      <c r="T564" s="236"/>
      <c r="U564" s="236"/>
      <c r="V564" s="236"/>
      <c r="W564" s="236"/>
    </row>
    <row r="565">
      <c r="A565" s="236"/>
      <c r="B565" s="236"/>
      <c r="C565" s="236"/>
      <c r="D565" s="236"/>
      <c r="E565" s="236"/>
      <c r="F565" s="236"/>
      <c r="G565" s="236"/>
      <c r="H565" s="236"/>
      <c r="I565" s="236"/>
      <c r="J565" s="236"/>
      <c r="K565" s="330"/>
      <c r="L565" s="330"/>
      <c r="M565" s="236"/>
      <c r="N565" s="236"/>
      <c r="O565" s="236"/>
      <c r="P565" s="236"/>
      <c r="Q565" s="236"/>
      <c r="R565" s="236"/>
      <c r="S565" s="236"/>
      <c r="T565" s="236"/>
      <c r="U565" s="236"/>
      <c r="V565" s="236"/>
      <c r="W565" s="236"/>
    </row>
    <row r="566">
      <c r="A566" s="236"/>
      <c r="B566" s="236"/>
      <c r="C566" s="236"/>
      <c r="D566" s="236"/>
      <c r="E566" s="236"/>
      <c r="F566" s="236"/>
      <c r="G566" s="236"/>
      <c r="H566" s="236"/>
      <c r="I566" s="236"/>
      <c r="J566" s="236"/>
      <c r="K566" s="330"/>
      <c r="L566" s="330"/>
      <c r="M566" s="236"/>
      <c r="N566" s="236"/>
      <c r="O566" s="236"/>
      <c r="P566" s="236"/>
      <c r="Q566" s="236"/>
      <c r="R566" s="236"/>
      <c r="S566" s="236"/>
      <c r="T566" s="236"/>
      <c r="U566" s="236"/>
      <c r="V566" s="236"/>
      <c r="W566" s="236"/>
    </row>
    <row r="567">
      <c r="A567" s="236"/>
      <c r="B567" s="236"/>
      <c r="C567" s="236"/>
      <c r="D567" s="236"/>
      <c r="E567" s="236"/>
      <c r="F567" s="236"/>
      <c r="G567" s="236"/>
      <c r="H567" s="236"/>
      <c r="I567" s="236"/>
      <c r="J567" s="236"/>
      <c r="K567" s="330"/>
      <c r="L567" s="330"/>
      <c r="M567" s="236"/>
      <c r="N567" s="236"/>
      <c r="O567" s="236"/>
      <c r="P567" s="236"/>
      <c r="Q567" s="236"/>
      <c r="R567" s="236"/>
      <c r="S567" s="236"/>
      <c r="T567" s="236"/>
      <c r="U567" s="236"/>
      <c r="V567" s="236"/>
      <c r="W567" s="236"/>
    </row>
    <row r="568">
      <c r="A568" s="236"/>
      <c r="B568" s="236"/>
      <c r="C568" s="236"/>
      <c r="D568" s="236"/>
      <c r="E568" s="236"/>
      <c r="F568" s="236"/>
      <c r="G568" s="236"/>
      <c r="H568" s="236"/>
      <c r="I568" s="236"/>
      <c r="J568" s="236"/>
      <c r="K568" s="330"/>
      <c r="L568" s="330"/>
      <c r="M568" s="236"/>
      <c r="N568" s="236"/>
      <c r="O568" s="236"/>
      <c r="P568" s="236"/>
      <c r="Q568" s="236"/>
      <c r="R568" s="236"/>
      <c r="S568" s="236"/>
      <c r="T568" s="236"/>
      <c r="U568" s="236"/>
      <c r="V568" s="236"/>
      <c r="W568" s="236"/>
    </row>
    <row r="569">
      <c r="A569" s="236"/>
      <c r="B569" s="236"/>
      <c r="C569" s="236"/>
      <c r="D569" s="236"/>
      <c r="E569" s="236"/>
      <c r="F569" s="236"/>
      <c r="G569" s="236"/>
      <c r="H569" s="236"/>
      <c r="I569" s="236"/>
      <c r="J569" s="236"/>
      <c r="K569" s="330"/>
      <c r="L569" s="330"/>
      <c r="M569" s="236"/>
      <c r="N569" s="236"/>
      <c r="O569" s="236"/>
      <c r="P569" s="236"/>
      <c r="Q569" s="236"/>
      <c r="R569" s="236"/>
      <c r="S569" s="236"/>
      <c r="T569" s="236"/>
      <c r="U569" s="236"/>
      <c r="V569" s="236"/>
      <c r="W569" s="236"/>
    </row>
    <row r="570">
      <c r="A570" s="236"/>
      <c r="B570" s="236"/>
      <c r="C570" s="236"/>
      <c r="D570" s="236"/>
      <c r="E570" s="236"/>
      <c r="F570" s="236"/>
      <c r="G570" s="236"/>
      <c r="H570" s="236"/>
      <c r="I570" s="236"/>
      <c r="J570" s="236"/>
      <c r="K570" s="330"/>
      <c r="L570" s="330"/>
      <c r="M570" s="236"/>
      <c r="N570" s="236"/>
      <c r="O570" s="236"/>
      <c r="P570" s="236"/>
      <c r="Q570" s="236"/>
      <c r="R570" s="236"/>
      <c r="S570" s="236"/>
      <c r="T570" s="236"/>
      <c r="U570" s="236"/>
      <c r="V570" s="236"/>
      <c r="W570" s="236"/>
    </row>
    <row r="571">
      <c r="A571" s="236"/>
      <c r="B571" s="236"/>
      <c r="C571" s="236"/>
      <c r="D571" s="236"/>
      <c r="E571" s="236"/>
      <c r="F571" s="236"/>
      <c r="G571" s="236"/>
      <c r="H571" s="236"/>
      <c r="I571" s="236"/>
      <c r="J571" s="236"/>
      <c r="K571" s="330"/>
      <c r="L571" s="330"/>
      <c r="M571" s="236"/>
      <c r="N571" s="236"/>
      <c r="O571" s="236"/>
      <c r="P571" s="236"/>
      <c r="Q571" s="236"/>
      <c r="R571" s="236"/>
      <c r="S571" s="236"/>
      <c r="T571" s="236"/>
      <c r="U571" s="236"/>
      <c r="V571" s="236"/>
      <c r="W571" s="236"/>
    </row>
    <row r="572">
      <c r="A572" s="236"/>
      <c r="B572" s="236"/>
      <c r="C572" s="236"/>
      <c r="D572" s="236"/>
      <c r="E572" s="236"/>
      <c r="F572" s="236"/>
      <c r="G572" s="236"/>
      <c r="H572" s="236"/>
      <c r="I572" s="236"/>
      <c r="J572" s="236"/>
      <c r="K572" s="330"/>
      <c r="L572" s="330"/>
      <c r="M572" s="236"/>
      <c r="N572" s="236"/>
      <c r="O572" s="236"/>
      <c r="P572" s="236"/>
      <c r="Q572" s="236"/>
      <c r="R572" s="236"/>
      <c r="S572" s="236"/>
      <c r="T572" s="236"/>
      <c r="U572" s="236"/>
      <c r="V572" s="236"/>
      <c r="W572" s="236"/>
    </row>
    <row r="573">
      <c r="A573" s="236"/>
      <c r="B573" s="236"/>
      <c r="C573" s="236"/>
      <c r="D573" s="236"/>
      <c r="E573" s="236"/>
      <c r="F573" s="236"/>
      <c r="G573" s="236"/>
      <c r="H573" s="236"/>
      <c r="I573" s="236"/>
      <c r="J573" s="236"/>
      <c r="K573" s="330"/>
      <c r="L573" s="330"/>
      <c r="M573" s="236"/>
      <c r="N573" s="236"/>
      <c r="O573" s="236"/>
      <c r="P573" s="236"/>
      <c r="Q573" s="236"/>
      <c r="R573" s="236"/>
      <c r="S573" s="236"/>
      <c r="T573" s="236"/>
      <c r="U573" s="236"/>
      <c r="V573" s="236"/>
      <c r="W573" s="236"/>
    </row>
    <row r="574">
      <c r="A574" s="236"/>
      <c r="B574" s="236"/>
      <c r="C574" s="236"/>
      <c r="D574" s="236"/>
      <c r="E574" s="236"/>
      <c r="F574" s="236"/>
      <c r="G574" s="236"/>
      <c r="H574" s="236"/>
      <c r="I574" s="236"/>
      <c r="J574" s="236"/>
      <c r="K574" s="330"/>
      <c r="L574" s="330"/>
      <c r="M574" s="236"/>
      <c r="N574" s="236"/>
      <c r="O574" s="236"/>
      <c r="P574" s="236"/>
      <c r="Q574" s="236"/>
      <c r="R574" s="236"/>
      <c r="S574" s="236"/>
      <c r="T574" s="236"/>
      <c r="U574" s="236"/>
      <c r="V574" s="236"/>
      <c r="W574" s="236"/>
    </row>
    <row r="575">
      <c r="A575" s="236"/>
      <c r="B575" s="236"/>
      <c r="C575" s="236"/>
      <c r="D575" s="236"/>
      <c r="E575" s="236"/>
      <c r="F575" s="236"/>
      <c r="G575" s="236"/>
      <c r="H575" s="236"/>
      <c r="I575" s="236"/>
      <c r="J575" s="236"/>
      <c r="K575" s="330"/>
      <c r="L575" s="330"/>
      <c r="M575" s="236"/>
      <c r="N575" s="236"/>
      <c r="O575" s="236"/>
      <c r="P575" s="236"/>
      <c r="Q575" s="236"/>
      <c r="R575" s="236"/>
      <c r="S575" s="236"/>
      <c r="T575" s="236"/>
      <c r="U575" s="236"/>
      <c r="V575" s="236"/>
      <c r="W575" s="236"/>
    </row>
    <row r="576">
      <c r="A576" s="236"/>
      <c r="B576" s="236"/>
      <c r="C576" s="236"/>
      <c r="D576" s="236"/>
      <c r="E576" s="236"/>
      <c r="F576" s="236"/>
      <c r="G576" s="236"/>
      <c r="H576" s="236"/>
      <c r="I576" s="236"/>
      <c r="J576" s="236"/>
      <c r="K576" s="330"/>
      <c r="L576" s="330"/>
      <c r="M576" s="236"/>
      <c r="N576" s="236"/>
      <c r="O576" s="236"/>
      <c r="P576" s="236"/>
      <c r="Q576" s="236"/>
      <c r="R576" s="236"/>
      <c r="S576" s="236"/>
      <c r="T576" s="236"/>
      <c r="U576" s="236"/>
      <c r="V576" s="236"/>
      <c r="W576" s="236"/>
    </row>
    <row r="577">
      <c r="A577" s="236"/>
      <c r="B577" s="236"/>
      <c r="C577" s="236"/>
      <c r="D577" s="236"/>
      <c r="E577" s="236"/>
      <c r="F577" s="236"/>
      <c r="G577" s="236"/>
      <c r="H577" s="236"/>
      <c r="I577" s="236"/>
      <c r="J577" s="236"/>
      <c r="K577" s="330"/>
      <c r="L577" s="330"/>
      <c r="M577" s="236"/>
      <c r="N577" s="236"/>
      <c r="O577" s="236"/>
      <c r="P577" s="236"/>
      <c r="Q577" s="236"/>
      <c r="R577" s="236"/>
      <c r="S577" s="236"/>
      <c r="T577" s="236"/>
      <c r="U577" s="236"/>
      <c r="V577" s="236"/>
      <c r="W577" s="236"/>
    </row>
    <row r="578">
      <c r="A578" s="236"/>
      <c r="B578" s="236"/>
      <c r="C578" s="236"/>
      <c r="D578" s="236"/>
      <c r="E578" s="236"/>
      <c r="F578" s="236"/>
      <c r="G578" s="236"/>
      <c r="H578" s="236"/>
      <c r="I578" s="236"/>
      <c r="J578" s="236"/>
      <c r="K578" s="330"/>
      <c r="L578" s="330"/>
      <c r="M578" s="236"/>
      <c r="N578" s="236"/>
      <c r="O578" s="236"/>
      <c r="P578" s="236"/>
      <c r="Q578" s="236"/>
      <c r="R578" s="236"/>
      <c r="S578" s="236"/>
      <c r="T578" s="236"/>
      <c r="U578" s="236"/>
      <c r="V578" s="236"/>
      <c r="W578" s="236"/>
    </row>
    <row r="579">
      <c r="A579" s="236"/>
      <c r="B579" s="236"/>
      <c r="C579" s="236"/>
      <c r="D579" s="236"/>
      <c r="E579" s="236"/>
      <c r="F579" s="236"/>
      <c r="G579" s="236"/>
      <c r="H579" s="236"/>
      <c r="I579" s="236"/>
      <c r="J579" s="236"/>
      <c r="K579" s="330"/>
      <c r="L579" s="330"/>
      <c r="M579" s="236"/>
      <c r="N579" s="236"/>
      <c r="O579" s="236"/>
      <c r="P579" s="236"/>
      <c r="Q579" s="236"/>
      <c r="R579" s="236"/>
      <c r="S579" s="236"/>
      <c r="T579" s="236"/>
      <c r="U579" s="236"/>
      <c r="V579" s="236"/>
      <c r="W579" s="236"/>
    </row>
    <row r="580">
      <c r="A580" s="236"/>
      <c r="B580" s="236"/>
      <c r="C580" s="236"/>
      <c r="D580" s="236"/>
      <c r="E580" s="236"/>
      <c r="F580" s="236"/>
      <c r="G580" s="236"/>
      <c r="H580" s="236"/>
      <c r="I580" s="236"/>
      <c r="J580" s="236"/>
      <c r="K580" s="330"/>
      <c r="L580" s="330"/>
      <c r="M580" s="236"/>
      <c r="N580" s="236"/>
      <c r="O580" s="236"/>
      <c r="P580" s="236"/>
      <c r="Q580" s="236"/>
      <c r="R580" s="236"/>
      <c r="S580" s="236"/>
      <c r="T580" s="236"/>
      <c r="U580" s="236"/>
      <c r="V580" s="236"/>
      <c r="W580" s="236"/>
    </row>
    <row r="581">
      <c r="A581" s="236"/>
      <c r="B581" s="236"/>
      <c r="C581" s="236"/>
      <c r="D581" s="236"/>
      <c r="E581" s="236"/>
      <c r="F581" s="236"/>
      <c r="G581" s="236"/>
      <c r="H581" s="236"/>
      <c r="I581" s="236"/>
      <c r="J581" s="236"/>
      <c r="K581" s="330"/>
      <c r="L581" s="330"/>
      <c r="M581" s="236"/>
      <c r="N581" s="236"/>
      <c r="O581" s="236"/>
      <c r="P581" s="236"/>
      <c r="Q581" s="236"/>
      <c r="R581" s="236"/>
      <c r="S581" s="236"/>
      <c r="T581" s="236"/>
      <c r="U581" s="236"/>
      <c r="V581" s="236"/>
      <c r="W581" s="236"/>
    </row>
    <row r="582">
      <c r="A582" s="236"/>
      <c r="B582" s="236"/>
      <c r="C582" s="236"/>
      <c r="D582" s="236"/>
      <c r="E582" s="236"/>
      <c r="F582" s="236"/>
      <c r="G582" s="236"/>
      <c r="H582" s="236"/>
      <c r="I582" s="236"/>
      <c r="J582" s="236"/>
      <c r="K582" s="330"/>
      <c r="L582" s="330"/>
      <c r="M582" s="236"/>
      <c r="N582" s="236"/>
      <c r="O582" s="236"/>
      <c r="P582" s="236"/>
      <c r="Q582" s="236"/>
      <c r="R582" s="236"/>
      <c r="S582" s="236"/>
      <c r="T582" s="236"/>
      <c r="U582" s="236"/>
      <c r="V582" s="236"/>
      <c r="W582" s="236"/>
    </row>
    <row r="583">
      <c r="A583" s="236"/>
      <c r="B583" s="236"/>
      <c r="C583" s="236"/>
      <c r="D583" s="236"/>
      <c r="E583" s="236"/>
      <c r="F583" s="236"/>
      <c r="G583" s="236"/>
      <c r="H583" s="236"/>
      <c r="I583" s="236"/>
      <c r="J583" s="236"/>
      <c r="K583" s="330"/>
      <c r="L583" s="330"/>
      <c r="M583" s="236"/>
      <c r="N583" s="236"/>
      <c r="O583" s="236"/>
      <c r="P583" s="236"/>
      <c r="Q583" s="236"/>
      <c r="R583" s="236"/>
      <c r="S583" s="236"/>
      <c r="T583" s="236"/>
      <c r="U583" s="236"/>
      <c r="V583" s="236"/>
      <c r="W583" s="236"/>
    </row>
    <row r="584">
      <c r="A584" s="236"/>
      <c r="B584" s="236"/>
      <c r="C584" s="236"/>
      <c r="D584" s="236"/>
      <c r="E584" s="236"/>
      <c r="F584" s="236"/>
      <c r="G584" s="236"/>
      <c r="H584" s="236"/>
      <c r="I584" s="236"/>
      <c r="J584" s="236"/>
      <c r="K584" s="330"/>
      <c r="L584" s="330"/>
      <c r="M584" s="236"/>
      <c r="N584" s="236"/>
      <c r="O584" s="236"/>
      <c r="P584" s="236"/>
      <c r="Q584" s="236"/>
      <c r="R584" s="236"/>
      <c r="S584" s="236"/>
      <c r="T584" s="236"/>
      <c r="U584" s="236"/>
      <c r="V584" s="236"/>
      <c r="W584" s="236"/>
    </row>
    <row r="585">
      <c r="A585" s="236"/>
      <c r="B585" s="236"/>
      <c r="C585" s="236"/>
      <c r="D585" s="236"/>
      <c r="E585" s="236"/>
      <c r="F585" s="236"/>
      <c r="G585" s="236"/>
      <c r="H585" s="236"/>
      <c r="I585" s="236"/>
      <c r="J585" s="236"/>
      <c r="K585" s="330"/>
      <c r="L585" s="330"/>
      <c r="M585" s="236"/>
      <c r="N585" s="236"/>
      <c r="O585" s="236"/>
      <c r="P585" s="236"/>
      <c r="Q585" s="236"/>
      <c r="R585" s="236"/>
      <c r="S585" s="236"/>
      <c r="T585" s="236"/>
      <c r="U585" s="236"/>
      <c r="V585" s="236"/>
      <c r="W585" s="236"/>
    </row>
    <row r="586">
      <c r="A586" s="236"/>
      <c r="B586" s="236"/>
      <c r="C586" s="236"/>
      <c r="D586" s="236"/>
      <c r="E586" s="236"/>
      <c r="F586" s="236"/>
      <c r="G586" s="236"/>
      <c r="H586" s="236"/>
      <c r="I586" s="236"/>
      <c r="J586" s="236"/>
      <c r="K586" s="330"/>
      <c r="L586" s="330"/>
      <c r="M586" s="236"/>
      <c r="N586" s="236"/>
      <c r="O586" s="236"/>
      <c r="P586" s="236"/>
      <c r="Q586" s="236"/>
      <c r="R586" s="236"/>
      <c r="S586" s="236"/>
      <c r="T586" s="236"/>
      <c r="U586" s="236"/>
      <c r="V586" s="236"/>
      <c r="W586" s="236"/>
    </row>
    <row r="587">
      <c r="A587" s="236"/>
      <c r="B587" s="236"/>
      <c r="C587" s="236"/>
      <c r="D587" s="236"/>
      <c r="E587" s="236"/>
      <c r="F587" s="236"/>
      <c r="G587" s="236"/>
      <c r="H587" s="236"/>
      <c r="I587" s="236"/>
      <c r="J587" s="236"/>
      <c r="K587" s="330"/>
      <c r="L587" s="330"/>
      <c r="M587" s="236"/>
      <c r="N587" s="236"/>
      <c r="O587" s="236"/>
      <c r="P587" s="236"/>
      <c r="Q587" s="236"/>
      <c r="R587" s="236"/>
      <c r="S587" s="236"/>
      <c r="T587" s="236"/>
      <c r="U587" s="236"/>
      <c r="V587" s="236"/>
      <c r="W587" s="236"/>
    </row>
    <row r="588">
      <c r="A588" s="236"/>
      <c r="B588" s="236"/>
      <c r="C588" s="236"/>
      <c r="D588" s="236"/>
      <c r="E588" s="236"/>
      <c r="F588" s="236"/>
      <c r="G588" s="236"/>
      <c r="H588" s="236"/>
      <c r="I588" s="236"/>
      <c r="J588" s="236"/>
      <c r="K588" s="330"/>
      <c r="L588" s="330"/>
      <c r="M588" s="236"/>
      <c r="N588" s="236"/>
      <c r="O588" s="236"/>
      <c r="P588" s="236"/>
      <c r="Q588" s="236"/>
      <c r="R588" s="236"/>
      <c r="S588" s="236"/>
      <c r="T588" s="236"/>
      <c r="U588" s="236"/>
      <c r="V588" s="236"/>
      <c r="W588" s="236"/>
    </row>
    <row r="589">
      <c r="A589" s="236"/>
      <c r="B589" s="236"/>
      <c r="C589" s="236"/>
      <c r="D589" s="236"/>
      <c r="E589" s="236"/>
      <c r="F589" s="236"/>
      <c r="G589" s="236"/>
      <c r="H589" s="236"/>
      <c r="I589" s="236"/>
      <c r="J589" s="236"/>
      <c r="K589" s="330"/>
      <c r="L589" s="330"/>
      <c r="M589" s="236"/>
      <c r="N589" s="236"/>
      <c r="O589" s="236"/>
      <c r="P589" s="236"/>
      <c r="Q589" s="236"/>
      <c r="R589" s="236"/>
      <c r="S589" s="236"/>
      <c r="T589" s="236"/>
      <c r="U589" s="236"/>
      <c r="V589" s="236"/>
      <c r="W589" s="236"/>
    </row>
    <row r="590">
      <c r="A590" s="236"/>
      <c r="B590" s="236"/>
      <c r="C590" s="236"/>
      <c r="D590" s="236"/>
      <c r="E590" s="236"/>
      <c r="F590" s="236"/>
      <c r="G590" s="236"/>
      <c r="H590" s="236"/>
      <c r="I590" s="236"/>
      <c r="J590" s="236"/>
      <c r="K590" s="330"/>
      <c r="L590" s="330"/>
      <c r="M590" s="236"/>
      <c r="N590" s="236"/>
      <c r="O590" s="236"/>
      <c r="P590" s="236"/>
      <c r="Q590" s="236"/>
      <c r="R590" s="236"/>
      <c r="S590" s="236"/>
      <c r="T590" s="236"/>
      <c r="U590" s="236"/>
      <c r="V590" s="236"/>
      <c r="W590" s="236"/>
    </row>
    <row r="591">
      <c r="A591" s="236"/>
      <c r="B591" s="236"/>
      <c r="C591" s="236"/>
      <c r="D591" s="236"/>
      <c r="E591" s="236"/>
      <c r="F591" s="236"/>
      <c r="G591" s="236"/>
      <c r="H591" s="236"/>
      <c r="I591" s="236"/>
      <c r="J591" s="236"/>
      <c r="K591" s="330"/>
      <c r="L591" s="330"/>
      <c r="M591" s="236"/>
      <c r="N591" s="236"/>
      <c r="O591" s="236"/>
      <c r="P591" s="236"/>
      <c r="Q591" s="236"/>
      <c r="R591" s="236"/>
      <c r="S591" s="236"/>
      <c r="T591" s="236"/>
      <c r="U591" s="236"/>
      <c r="V591" s="236"/>
      <c r="W591" s="236"/>
    </row>
    <row r="592">
      <c r="A592" s="236"/>
      <c r="B592" s="236"/>
      <c r="C592" s="236"/>
      <c r="D592" s="236"/>
      <c r="E592" s="236"/>
      <c r="F592" s="236"/>
      <c r="G592" s="236"/>
      <c r="H592" s="236"/>
      <c r="I592" s="236"/>
      <c r="J592" s="236"/>
      <c r="K592" s="330"/>
      <c r="L592" s="330"/>
      <c r="M592" s="236"/>
      <c r="N592" s="236"/>
      <c r="O592" s="236"/>
      <c r="P592" s="236"/>
      <c r="Q592" s="236"/>
      <c r="R592" s="236"/>
      <c r="S592" s="236"/>
      <c r="T592" s="236"/>
      <c r="U592" s="236"/>
      <c r="V592" s="236"/>
      <c r="W592" s="236"/>
    </row>
    <row r="593">
      <c r="A593" s="236"/>
      <c r="B593" s="236"/>
      <c r="C593" s="236"/>
      <c r="D593" s="236"/>
      <c r="E593" s="236"/>
      <c r="F593" s="236"/>
      <c r="G593" s="236"/>
      <c r="H593" s="236"/>
      <c r="I593" s="236"/>
      <c r="J593" s="236"/>
      <c r="K593" s="330"/>
      <c r="L593" s="330"/>
      <c r="M593" s="236"/>
      <c r="N593" s="236"/>
      <c r="O593" s="236"/>
      <c r="P593" s="236"/>
      <c r="Q593" s="236"/>
      <c r="R593" s="236"/>
      <c r="S593" s="236"/>
      <c r="T593" s="236"/>
      <c r="U593" s="236"/>
      <c r="V593" s="236"/>
      <c r="W593" s="236"/>
    </row>
    <row r="594">
      <c r="A594" s="236"/>
      <c r="B594" s="236"/>
      <c r="C594" s="236"/>
      <c r="D594" s="236"/>
      <c r="E594" s="236"/>
      <c r="F594" s="236"/>
      <c r="G594" s="236"/>
      <c r="H594" s="236"/>
      <c r="I594" s="236"/>
      <c r="J594" s="236"/>
      <c r="K594" s="330"/>
      <c r="L594" s="330"/>
      <c r="M594" s="236"/>
      <c r="N594" s="236"/>
      <c r="O594" s="236"/>
      <c r="P594" s="236"/>
      <c r="Q594" s="236"/>
      <c r="R594" s="236"/>
      <c r="S594" s="236"/>
      <c r="T594" s="236"/>
      <c r="U594" s="236"/>
      <c r="V594" s="236"/>
      <c r="W594" s="236"/>
    </row>
    <row r="595">
      <c r="A595" s="236"/>
      <c r="B595" s="236"/>
      <c r="C595" s="236"/>
      <c r="D595" s="236"/>
      <c r="E595" s="236"/>
      <c r="F595" s="236"/>
      <c r="G595" s="236"/>
      <c r="H595" s="236"/>
      <c r="I595" s="236"/>
      <c r="J595" s="236"/>
      <c r="K595" s="330"/>
      <c r="L595" s="330"/>
      <c r="M595" s="236"/>
      <c r="N595" s="236"/>
      <c r="O595" s="236"/>
      <c r="P595" s="236"/>
      <c r="Q595" s="236"/>
      <c r="R595" s="236"/>
      <c r="S595" s="236"/>
      <c r="T595" s="236"/>
      <c r="U595" s="236"/>
      <c r="V595" s="236"/>
      <c r="W595" s="236"/>
    </row>
    <row r="596">
      <c r="A596" s="236"/>
      <c r="B596" s="236"/>
      <c r="C596" s="236"/>
      <c r="D596" s="236"/>
      <c r="E596" s="236"/>
      <c r="F596" s="236"/>
      <c r="G596" s="236"/>
      <c r="H596" s="236"/>
      <c r="I596" s="236"/>
      <c r="J596" s="236"/>
      <c r="K596" s="330"/>
      <c r="L596" s="330"/>
      <c r="M596" s="236"/>
      <c r="N596" s="236"/>
      <c r="O596" s="236"/>
      <c r="P596" s="236"/>
      <c r="Q596" s="236"/>
      <c r="R596" s="236"/>
      <c r="S596" s="236"/>
      <c r="T596" s="236"/>
      <c r="U596" s="236"/>
      <c r="V596" s="236"/>
      <c r="W596" s="236"/>
    </row>
    <row r="597">
      <c r="A597" s="236"/>
      <c r="B597" s="236"/>
      <c r="C597" s="236"/>
      <c r="D597" s="236"/>
      <c r="E597" s="236"/>
      <c r="F597" s="236"/>
      <c r="G597" s="236"/>
      <c r="H597" s="236"/>
      <c r="I597" s="236"/>
      <c r="J597" s="236"/>
      <c r="K597" s="330"/>
      <c r="L597" s="330"/>
      <c r="M597" s="236"/>
      <c r="N597" s="236"/>
      <c r="O597" s="236"/>
      <c r="P597" s="236"/>
      <c r="Q597" s="236"/>
      <c r="R597" s="236"/>
      <c r="S597" s="236"/>
      <c r="T597" s="236"/>
      <c r="U597" s="236"/>
      <c r="V597" s="236"/>
      <c r="W597" s="236"/>
    </row>
    <row r="598">
      <c r="A598" s="236"/>
      <c r="B598" s="236"/>
      <c r="C598" s="236"/>
      <c r="D598" s="236"/>
      <c r="E598" s="236"/>
      <c r="F598" s="236"/>
      <c r="G598" s="236"/>
      <c r="H598" s="236"/>
      <c r="I598" s="236"/>
      <c r="J598" s="236"/>
      <c r="K598" s="330"/>
      <c r="L598" s="330"/>
      <c r="M598" s="236"/>
      <c r="N598" s="236"/>
      <c r="O598" s="236"/>
      <c r="P598" s="236"/>
      <c r="Q598" s="236"/>
      <c r="R598" s="236"/>
      <c r="S598" s="236"/>
      <c r="T598" s="236"/>
      <c r="U598" s="236"/>
      <c r="V598" s="236"/>
      <c r="W598" s="236"/>
    </row>
    <row r="599">
      <c r="A599" s="236"/>
      <c r="B599" s="236"/>
      <c r="C599" s="236"/>
      <c r="D599" s="236"/>
      <c r="E599" s="236"/>
      <c r="F599" s="236"/>
      <c r="G599" s="236"/>
      <c r="H599" s="236"/>
      <c r="I599" s="236"/>
      <c r="J599" s="236"/>
      <c r="K599" s="330"/>
      <c r="L599" s="330"/>
      <c r="M599" s="236"/>
      <c r="N599" s="236"/>
      <c r="O599" s="236"/>
      <c r="P599" s="236"/>
      <c r="Q599" s="236"/>
      <c r="R599" s="236"/>
      <c r="S599" s="236"/>
      <c r="T599" s="236"/>
      <c r="U599" s="236"/>
      <c r="V599" s="236"/>
      <c r="W599" s="236"/>
    </row>
    <row r="600">
      <c r="A600" s="236"/>
      <c r="B600" s="236"/>
      <c r="C600" s="236"/>
      <c r="D600" s="236"/>
      <c r="E600" s="236"/>
      <c r="F600" s="236"/>
      <c r="G600" s="236"/>
      <c r="H600" s="236"/>
      <c r="I600" s="236"/>
      <c r="J600" s="236"/>
      <c r="K600" s="330"/>
      <c r="L600" s="330"/>
      <c r="M600" s="236"/>
      <c r="N600" s="236"/>
      <c r="O600" s="236"/>
      <c r="P600" s="236"/>
      <c r="Q600" s="236"/>
      <c r="R600" s="236"/>
      <c r="S600" s="236"/>
      <c r="T600" s="236"/>
      <c r="U600" s="236"/>
      <c r="V600" s="236"/>
      <c r="W600" s="236"/>
    </row>
    <row r="601">
      <c r="A601" s="236"/>
      <c r="B601" s="236"/>
      <c r="C601" s="236"/>
      <c r="D601" s="236"/>
      <c r="E601" s="236"/>
      <c r="F601" s="236"/>
      <c r="G601" s="236"/>
      <c r="H601" s="236"/>
      <c r="I601" s="236"/>
      <c r="J601" s="236"/>
      <c r="K601" s="330"/>
      <c r="L601" s="330"/>
      <c r="M601" s="236"/>
      <c r="N601" s="236"/>
      <c r="O601" s="236"/>
      <c r="P601" s="236"/>
      <c r="Q601" s="236"/>
      <c r="R601" s="236"/>
      <c r="S601" s="236"/>
      <c r="T601" s="236"/>
      <c r="U601" s="236"/>
      <c r="V601" s="236"/>
      <c r="W601" s="236"/>
    </row>
    <row r="602">
      <c r="A602" s="236"/>
      <c r="B602" s="236"/>
      <c r="C602" s="236"/>
      <c r="D602" s="236"/>
      <c r="E602" s="236"/>
      <c r="F602" s="236"/>
      <c r="G602" s="236"/>
      <c r="H602" s="236"/>
      <c r="I602" s="236"/>
      <c r="J602" s="236"/>
      <c r="K602" s="330"/>
      <c r="L602" s="330"/>
      <c r="M602" s="236"/>
      <c r="N602" s="236"/>
      <c r="O602" s="236"/>
      <c r="P602" s="236"/>
      <c r="Q602" s="236"/>
      <c r="R602" s="236"/>
      <c r="S602" s="236"/>
      <c r="T602" s="236"/>
      <c r="U602" s="236"/>
      <c r="V602" s="236"/>
      <c r="W602" s="236"/>
    </row>
    <row r="603">
      <c r="A603" s="236"/>
      <c r="B603" s="236"/>
      <c r="C603" s="236"/>
      <c r="D603" s="236"/>
      <c r="E603" s="236"/>
      <c r="F603" s="236"/>
      <c r="G603" s="236"/>
      <c r="H603" s="236"/>
      <c r="I603" s="236"/>
      <c r="J603" s="236"/>
      <c r="K603" s="330"/>
      <c r="L603" s="330"/>
      <c r="M603" s="236"/>
      <c r="N603" s="236"/>
      <c r="O603" s="236"/>
      <c r="P603" s="236"/>
      <c r="Q603" s="236"/>
      <c r="R603" s="236"/>
      <c r="S603" s="236"/>
      <c r="T603" s="236"/>
      <c r="U603" s="236"/>
      <c r="V603" s="236"/>
      <c r="W603" s="236"/>
    </row>
    <row r="604">
      <c r="A604" s="236"/>
      <c r="B604" s="236"/>
      <c r="C604" s="236"/>
      <c r="D604" s="236"/>
      <c r="E604" s="236"/>
      <c r="F604" s="236"/>
      <c r="G604" s="236"/>
      <c r="H604" s="236"/>
      <c r="I604" s="236"/>
      <c r="J604" s="236"/>
      <c r="K604" s="330"/>
      <c r="L604" s="330"/>
      <c r="M604" s="236"/>
      <c r="N604" s="236"/>
      <c r="O604" s="236"/>
      <c r="P604" s="236"/>
      <c r="Q604" s="236"/>
      <c r="R604" s="236"/>
      <c r="S604" s="236"/>
      <c r="T604" s="236"/>
      <c r="U604" s="236"/>
      <c r="V604" s="236"/>
      <c r="W604" s="236"/>
    </row>
    <row r="605">
      <c r="A605" s="236"/>
      <c r="B605" s="236"/>
      <c r="C605" s="236"/>
      <c r="D605" s="236"/>
      <c r="E605" s="236"/>
      <c r="F605" s="236"/>
      <c r="G605" s="236"/>
      <c r="H605" s="236"/>
      <c r="I605" s="236"/>
      <c r="J605" s="236"/>
      <c r="K605" s="330"/>
      <c r="L605" s="330"/>
      <c r="M605" s="236"/>
      <c r="N605" s="236"/>
      <c r="O605" s="236"/>
      <c r="P605" s="236"/>
      <c r="Q605" s="236"/>
      <c r="R605" s="236"/>
      <c r="S605" s="236"/>
      <c r="T605" s="236"/>
      <c r="U605" s="236"/>
      <c r="V605" s="236"/>
      <c r="W605" s="236"/>
    </row>
    <row r="606">
      <c r="A606" s="236"/>
      <c r="B606" s="236"/>
      <c r="C606" s="236"/>
      <c r="D606" s="236"/>
      <c r="E606" s="236"/>
      <c r="F606" s="236"/>
      <c r="G606" s="236"/>
      <c r="H606" s="236"/>
      <c r="I606" s="236"/>
      <c r="J606" s="236"/>
      <c r="K606" s="330"/>
      <c r="L606" s="330"/>
      <c r="M606" s="236"/>
      <c r="N606" s="236"/>
      <c r="O606" s="236"/>
      <c r="P606" s="236"/>
      <c r="Q606" s="236"/>
      <c r="R606" s="236"/>
      <c r="S606" s="236"/>
      <c r="T606" s="236"/>
      <c r="U606" s="236"/>
      <c r="V606" s="236"/>
      <c r="W606" s="236"/>
    </row>
    <row r="607">
      <c r="A607" s="236"/>
      <c r="B607" s="236"/>
      <c r="C607" s="236"/>
      <c r="D607" s="236"/>
      <c r="E607" s="236"/>
      <c r="F607" s="236"/>
      <c r="G607" s="236"/>
      <c r="H607" s="236"/>
      <c r="I607" s="236"/>
      <c r="J607" s="236"/>
      <c r="K607" s="330"/>
      <c r="L607" s="330"/>
      <c r="M607" s="236"/>
      <c r="N607" s="236"/>
      <c r="O607" s="236"/>
      <c r="P607" s="236"/>
      <c r="Q607" s="236"/>
      <c r="R607" s="236"/>
      <c r="S607" s="236"/>
      <c r="T607" s="236"/>
      <c r="U607" s="236"/>
      <c r="V607" s="236"/>
      <c r="W607" s="236"/>
    </row>
    <row r="608">
      <c r="A608" s="236"/>
      <c r="B608" s="236"/>
      <c r="C608" s="236"/>
      <c r="D608" s="236"/>
      <c r="E608" s="236"/>
      <c r="F608" s="236"/>
      <c r="G608" s="236"/>
      <c r="H608" s="236"/>
      <c r="I608" s="236"/>
      <c r="J608" s="236"/>
      <c r="K608" s="330"/>
      <c r="L608" s="330"/>
      <c r="M608" s="236"/>
      <c r="N608" s="236"/>
      <c r="O608" s="236"/>
      <c r="P608" s="236"/>
      <c r="Q608" s="236"/>
      <c r="R608" s="236"/>
      <c r="S608" s="236"/>
      <c r="T608" s="236"/>
      <c r="U608" s="236"/>
      <c r="V608" s="236"/>
      <c r="W608" s="236"/>
    </row>
    <row r="609">
      <c r="A609" s="236"/>
      <c r="B609" s="236"/>
      <c r="C609" s="236"/>
      <c r="D609" s="236"/>
      <c r="E609" s="236"/>
      <c r="F609" s="236"/>
      <c r="G609" s="236"/>
      <c r="H609" s="236"/>
      <c r="I609" s="236"/>
      <c r="J609" s="236"/>
      <c r="K609" s="330"/>
      <c r="L609" s="330"/>
      <c r="M609" s="236"/>
      <c r="N609" s="236"/>
      <c r="O609" s="236"/>
      <c r="P609" s="236"/>
      <c r="Q609" s="236"/>
      <c r="R609" s="236"/>
      <c r="S609" s="236"/>
      <c r="T609" s="236"/>
      <c r="U609" s="236"/>
      <c r="V609" s="236"/>
      <c r="W609" s="236"/>
    </row>
    <row r="610">
      <c r="A610" s="236"/>
      <c r="B610" s="236"/>
      <c r="C610" s="236"/>
      <c r="D610" s="236"/>
      <c r="E610" s="236"/>
      <c r="F610" s="236"/>
      <c r="G610" s="236"/>
      <c r="H610" s="236"/>
      <c r="I610" s="236"/>
      <c r="J610" s="236"/>
      <c r="K610" s="330"/>
      <c r="L610" s="330"/>
      <c r="M610" s="236"/>
      <c r="N610" s="236"/>
      <c r="O610" s="236"/>
      <c r="P610" s="236"/>
      <c r="Q610" s="236"/>
      <c r="R610" s="236"/>
      <c r="S610" s="236"/>
      <c r="T610" s="236"/>
      <c r="U610" s="236"/>
      <c r="V610" s="236"/>
      <c r="W610" s="236"/>
    </row>
    <row r="611">
      <c r="A611" s="236"/>
      <c r="B611" s="236"/>
      <c r="C611" s="236"/>
      <c r="D611" s="236"/>
      <c r="E611" s="236"/>
      <c r="F611" s="236"/>
      <c r="G611" s="236"/>
      <c r="H611" s="236"/>
      <c r="I611" s="236"/>
      <c r="J611" s="236"/>
      <c r="K611" s="330"/>
      <c r="L611" s="330"/>
      <c r="M611" s="236"/>
      <c r="N611" s="236"/>
      <c r="O611" s="236"/>
      <c r="P611" s="236"/>
      <c r="Q611" s="236"/>
      <c r="R611" s="236"/>
      <c r="S611" s="236"/>
      <c r="T611" s="236"/>
      <c r="U611" s="236"/>
      <c r="V611" s="236"/>
      <c r="W611" s="236"/>
    </row>
    <row r="612">
      <c r="A612" s="236"/>
      <c r="B612" s="236"/>
      <c r="C612" s="236"/>
      <c r="D612" s="236"/>
      <c r="E612" s="236"/>
      <c r="F612" s="236"/>
      <c r="G612" s="236"/>
      <c r="H612" s="236"/>
      <c r="I612" s="236"/>
      <c r="J612" s="236"/>
      <c r="K612" s="330"/>
      <c r="L612" s="330"/>
      <c r="M612" s="236"/>
      <c r="N612" s="236"/>
      <c r="O612" s="236"/>
      <c r="P612" s="236"/>
      <c r="Q612" s="236"/>
      <c r="R612" s="236"/>
      <c r="S612" s="236"/>
      <c r="T612" s="236"/>
      <c r="U612" s="236"/>
      <c r="V612" s="236"/>
      <c r="W612" s="236"/>
    </row>
    <row r="613">
      <c r="A613" s="236"/>
      <c r="B613" s="236"/>
      <c r="C613" s="236"/>
      <c r="D613" s="236"/>
      <c r="E613" s="236"/>
      <c r="F613" s="236"/>
      <c r="G613" s="236"/>
      <c r="H613" s="236"/>
      <c r="I613" s="236"/>
      <c r="J613" s="236"/>
      <c r="K613" s="330"/>
      <c r="L613" s="330"/>
      <c r="M613" s="236"/>
      <c r="N613" s="236"/>
      <c r="O613" s="236"/>
      <c r="P613" s="236"/>
      <c r="Q613" s="236"/>
      <c r="R613" s="236"/>
      <c r="S613" s="236"/>
      <c r="T613" s="236"/>
      <c r="U613" s="236"/>
      <c r="V613" s="236"/>
      <c r="W613" s="236"/>
    </row>
    <row r="614">
      <c r="A614" s="236"/>
      <c r="B614" s="236"/>
      <c r="C614" s="236"/>
      <c r="D614" s="236"/>
      <c r="E614" s="236"/>
      <c r="F614" s="236"/>
      <c r="G614" s="236"/>
      <c r="H614" s="236"/>
      <c r="I614" s="236"/>
      <c r="J614" s="236"/>
      <c r="K614" s="330"/>
      <c r="L614" s="330"/>
      <c r="M614" s="236"/>
      <c r="N614" s="236"/>
      <c r="O614" s="236"/>
      <c r="P614" s="236"/>
      <c r="Q614" s="236"/>
      <c r="R614" s="236"/>
      <c r="S614" s="236"/>
      <c r="T614" s="236"/>
      <c r="U614" s="236"/>
      <c r="V614" s="236"/>
      <c r="W614" s="236"/>
    </row>
    <row r="615">
      <c r="A615" s="236"/>
      <c r="B615" s="236"/>
      <c r="C615" s="236"/>
      <c r="D615" s="236"/>
      <c r="E615" s="236"/>
      <c r="F615" s="236"/>
      <c r="G615" s="236"/>
      <c r="H615" s="236"/>
      <c r="I615" s="236"/>
      <c r="J615" s="236"/>
      <c r="K615" s="330"/>
      <c r="L615" s="330"/>
      <c r="M615" s="236"/>
      <c r="N615" s="236"/>
      <c r="O615" s="236"/>
      <c r="P615" s="236"/>
      <c r="Q615" s="236"/>
      <c r="R615" s="236"/>
      <c r="S615" s="236"/>
      <c r="T615" s="236"/>
      <c r="U615" s="236"/>
      <c r="V615" s="236"/>
      <c r="W615" s="236"/>
    </row>
    <row r="616">
      <c r="A616" s="236"/>
      <c r="B616" s="236"/>
      <c r="C616" s="236"/>
      <c r="D616" s="236"/>
      <c r="E616" s="236"/>
      <c r="F616" s="236"/>
      <c r="G616" s="236"/>
      <c r="H616" s="236"/>
      <c r="I616" s="236"/>
      <c r="J616" s="236"/>
      <c r="K616" s="330"/>
      <c r="L616" s="330"/>
      <c r="M616" s="236"/>
      <c r="N616" s="236"/>
      <c r="O616" s="236"/>
      <c r="P616" s="236"/>
      <c r="Q616" s="236"/>
      <c r="R616" s="236"/>
      <c r="S616" s="236"/>
      <c r="T616" s="236"/>
      <c r="U616" s="236"/>
      <c r="V616" s="236"/>
      <c r="W616" s="236"/>
    </row>
    <row r="617">
      <c r="A617" s="236"/>
      <c r="B617" s="236"/>
      <c r="C617" s="236"/>
      <c r="D617" s="236"/>
      <c r="E617" s="236"/>
      <c r="F617" s="236"/>
      <c r="G617" s="236"/>
      <c r="H617" s="236"/>
      <c r="I617" s="236"/>
      <c r="J617" s="236"/>
      <c r="K617" s="330"/>
      <c r="L617" s="330"/>
      <c r="M617" s="236"/>
      <c r="N617" s="236"/>
      <c r="O617" s="236"/>
      <c r="P617" s="236"/>
      <c r="Q617" s="236"/>
      <c r="R617" s="236"/>
      <c r="S617" s="236"/>
      <c r="T617" s="236"/>
      <c r="U617" s="236"/>
      <c r="V617" s="236"/>
      <c r="W617" s="236"/>
    </row>
    <row r="618">
      <c r="A618" s="236"/>
      <c r="B618" s="236"/>
      <c r="C618" s="236"/>
      <c r="D618" s="236"/>
      <c r="E618" s="236"/>
      <c r="F618" s="236"/>
      <c r="G618" s="236"/>
      <c r="H618" s="236"/>
      <c r="I618" s="236"/>
      <c r="J618" s="236"/>
      <c r="K618" s="330"/>
      <c r="L618" s="330"/>
      <c r="M618" s="236"/>
      <c r="N618" s="236"/>
      <c r="O618" s="236"/>
      <c r="P618" s="236"/>
      <c r="Q618" s="236"/>
      <c r="R618" s="236"/>
      <c r="S618" s="236"/>
      <c r="T618" s="236"/>
      <c r="U618" s="236"/>
      <c r="V618" s="236"/>
      <c r="W618" s="236"/>
    </row>
    <row r="619">
      <c r="A619" s="236"/>
      <c r="B619" s="236"/>
      <c r="C619" s="236"/>
      <c r="D619" s="236"/>
      <c r="E619" s="236"/>
      <c r="F619" s="236"/>
      <c r="G619" s="236"/>
      <c r="H619" s="236"/>
      <c r="I619" s="236"/>
      <c r="J619" s="236"/>
      <c r="K619" s="330"/>
      <c r="L619" s="330"/>
      <c r="M619" s="236"/>
      <c r="N619" s="236"/>
      <c r="O619" s="236"/>
      <c r="P619" s="236"/>
      <c r="Q619" s="236"/>
      <c r="R619" s="236"/>
      <c r="S619" s="236"/>
      <c r="T619" s="236"/>
      <c r="U619" s="236"/>
      <c r="V619" s="236"/>
      <c r="W619" s="236"/>
    </row>
    <row r="620">
      <c r="A620" s="236"/>
      <c r="B620" s="236"/>
      <c r="C620" s="236"/>
      <c r="D620" s="236"/>
      <c r="E620" s="236"/>
      <c r="F620" s="236"/>
      <c r="G620" s="236"/>
      <c r="H620" s="236"/>
      <c r="I620" s="236"/>
      <c r="J620" s="236"/>
      <c r="K620" s="330"/>
      <c r="L620" s="330"/>
      <c r="M620" s="236"/>
      <c r="N620" s="236"/>
      <c r="O620" s="236"/>
      <c r="P620" s="236"/>
      <c r="Q620" s="236"/>
      <c r="R620" s="236"/>
      <c r="S620" s="236"/>
      <c r="T620" s="236"/>
      <c r="U620" s="236"/>
      <c r="V620" s="236"/>
      <c r="W620" s="236"/>
    </row>
    <row r="621">
      <c r="A621" s="236"/>
      <c r="B621" s="236"/>
      <c r="C621" s="236"/>
      <c r="D621" s="236"/>
      <c r="E621" s="236"/>
      <c r="F621" s="236"/>
      <c r="G621" s="236"/>
      <c r="H621" s="236"/>
      <c r="I621" s="236"/>
      <c r="J621" s="236"/>
      <c r="K621" s="330"/>
      <c r="L621" s="330"/>
      <c r="M621" s="236"/>
      <c r="N621" s="236"/>
      <c r="O621" s="236"/>
      <c r="P621" s="236"/>
      <c r="Q621" s="236"/>
      <c r="R621" s="236"/>
      <c r="S621" s="236"/>
      <c r="T621" s="236"/>
      <c r="U621" s="236"/>
      <c r="V621" s="236"/>
      <c r="W621" s="236"/>
    </row>
    <row r="622">
      <c r="A622" s="236"/>
      <c r="B622" s="236"/>
      <c r="C622" s="236"/>
      <c r="D622" s="236"/>
      <c r="E622" s="236"/>
      <c r="F622" s="236"/>
      <c r="G622" s="236"/>
      <c r="H622" s="236"/>
      <c r="I622" s="236"/>
      <c r="J622" s="236"/>
      <c r="K622" s="330"/>
      <c r="L622" s="330"/>
      <c r="M622" s="236"/>
      <c r="N622" s="236"/>
      <c r="O622" s="236"/>
      <c r="P622" s="236"/>
      <c r="Q622" s="236"/>
      <c r="R622" s="236"/>
      <c r="S622" s="236"/>
      <c r="T622" s="236"/>
      <c r="U622" s="236"/>
      <c r="V622" s="236"/>
      <c r="W622" s="236"/>
    </row>
    <row r="623">
      <c r="A623" s="236"/>
      <c r="B623" s="236"/>
      <c r="C623" s="236"/>
      <c r="D623" s="236"/>
      <c r="E623" s="236"/>
      <c r="F623" s="236"/>
      <c r="G623" s="236"/>
      <c r="H623" s="236"/>
      <c r="I623" s="236"/>
      <c r="J623" s="236"/>
      <c r="K623" s="330"/>
      <c r="L623" s="330"/>
      <c r="M623" s="236"/>
      <c r="N623" s="236"/>
      <c r="O623" s="236"/>
      <c r="P623" s="236"/>
      <c r="Q623" s="236"/>
      <c r="R623" s="236"/>
      <c r="S623" s="236"/>
      <c r="T623" s="236"/>
      <c r="U623" s="236"/>
      <c r="V623" s="236"/>
      <c r="W623" s="236"/>
    </row>
    <row r="624">
      <c r="A624" s="236"/>
      <c r="B624" s="236"/>
      <c r="C624" s="236"/>
      <c r="D624" s="236"/>
      <c r="E624" s="236"/>
      <c r="F624" s="236"/>
      <c r="G624" s="236"/>
      <c r="H624" s="236"/>
      <c r="I624" s="236"/>
      <c r="J624" s="236"/>
      <c r="K624" s="330"/>
      <c r="L624" s="330"/>
      <c r="M624" s="236"/>
      <c r="N624" s="236"/>
      <c r="O624" s="236"/>
      <c r="P624" s="236"/>
      <c r="Q624" s="236"/>
      <c r="R624" s="236"/>
      <c r="S624" s="236"/>
      <c r="T624" s="236"/>
      <c r="U624" s="236"/>
      <c r="V624" s="236"/>
      <c r="W624" s="236"/>
    </row>
    <row r="625">
      <c r="A625" s="236"/>
      <c r="B625" s="236"/>
      <c r="C625" s="236"/>
      <c r="D625" s="236"/>
      <c r="E625" s="236"/>
      <c r="F625" s="236"/>
      <c r="G625" s="236"/>
      <c r="H625" s="236"/>
      <c r="I625" s="236"/>
      <c r="J625" s="236"/>
      <c r="K625" s="330"/>
      <c r="L625" s="330"/>
      <c r="M625" s="236"/>
      <c r="N625" s="236"/>
      <c r="O625" s="236"/>
      <c r="P625" s="236"/>
      <c r="Q625" s="236"/>
      <c r="R625" s="236"/>
      <c r="S625" s="236"/>
      <c r="T625" s="236"/>
      <c r="U625" s="236"/>
      <c r="V625" s="236"/>
      <c r="W625" s="236"/>
    </row>
    <row r="626">
      <c r="A626" s="236"/>
      <c r="B626" s="236"/>
      <c r="C626" s="236"/>
      <c r="D626" s="236"/>
      <c r="E626" s="236"/>
      <c r="F626" s="236"/>
      <c r="G626" s="236"/>
      <c r="H626" s="236"/>
      <c r="I626" s="236"/>
      <c r="J626" s="236"/>
      <c r="K626" s="330"/>
      <c r="L626" s="330"/>
      <c r="M626" s="236"/>
      <c r="N626" s="236"/>
      <c r="O626" s="236"/>
      <c r="P626" s="236"/>
      <c r="Q626" s="236"/>
      <c r="R626" s="236"/>
      <c r="S626" s="236"/>
      <c r="T626" s="236"/>
      <c r="U626" s="236"/>
      <c r="V626" s="236"/>
      <c r="W626" s="236"/>
    </row>
    <row r="627">
      <c r="A627" s="236"/>
      <c r="B627" s="236"/>
      <c r="C627" s="236"/>
      <c r="D627" s="236"/>
      <c r="E627" s="236"/>
      <c r="F627" s="236"/>
      <c r="G627" s="236"/>
      <c r="H627" s="236"/>
      <c r="I627" s="236"/>
      <c r="J627" s="236"/>
      <c r="K627" s="330"/>
      <c r="L627" s="330"/>
      <c r="M627" s="236"/>
      <c r="N627" s="236"/>
      <c r="O627" s="236"/>
      <c r="P627" s="236"/>
      <c r="Q627" s="236"/>
      <c r="R627" s="236"/>
      <c r="S627" s="236"/>
      <c r="T627" s="236"/>
      <c r="U627" s="236"/>
      <c r="V627" s="236"/>
      <c r="W627" s="236"/>
    </row>
    <row r="628">
      <c r="A628" s="236"/>
      <c r="B628" s="236"/>
      <c r="C628" s="236"/>
      <c r="D628" s="236"/>
      <c r="E628" s="236"/>
      <c r="F628" s="236"/>
      <c r="G628" s="236"/>
      <c r="H628" s="236"/>
      <c r="I628" s="236"/>
      <c r="J628" s="236"/>
      <c r="K628" s="330"/>
      <c r="L628" s="330"/>
      <c r="M628" s="236"/>
      <c r="N628" s="236"/>
      <c r="O628" s="236"/>
      <c r="P628" s="236"/>
      <c r="Q628" s="236"/>
      <c r="R628" s="236"/>
      <c r="S628" s="236"/>
      <c r="T628" s="236"/>
      <c r="U628" s="236"/>
      <c r="V628" s="236"/>
      <c r="W628" s="236"/>
    </row>
    <row r="629">
      <c r="A629" s="236"/>
      <c r="B629" s="236"/>
      <c r="C629" s="236"/>
      <c r="D629" s="236"/>
      <c r="E629" s="236"/>
      <c r="F629" s="236"/>
      <c r="G629" s="236"/>
      <c r="H629" s="236"/>
      <c r="I629" s="236"/>
      <c r="J629" s="236"/>
      <c r="K629" s="330"/>
      <c r="L629" s="330"/>
      <c r="M629" s="236"/>
      <c r="N629" s="236"/>
      <c r="O629" s="236"/>
      <c r="P629" s="236"/>
      <c r="Q629" s="236"/>
      <c r="R629" s="236"/>
      <c r="S629" s="236"/>
      <c r="T629" s="236"/>
      <c r="U629" s="236"/>
      <c r="V629" s="236"/>
      <c r="W629" s="236"/>
    </row>
    <row r="630">
      <c r="A630" s="236"/>
      <c r="B630" s="236"/>
      <c r="C630" s="236"/>
      <c r="D630" s="236"/>
      <c r="E630" s="236"/>
      <c r="F630" s="236"/>
      <c r="G630" s="236"/>
      <c r="H630" s="236"/>
      <c r="I630" s="236"/>
      <c r="J630" s="236"/>
      <c r="K630" s="330"/>
      <c r="L630" s="330"/>
      <c r="M630" s="236"/>
      <c r="N630" s="236"/>
      <c r="O630" s="236"/>
      <c r="P630" s="236"/>
      <c r="Q630" s="236"/>
      <c r="R630" s="236"/>
      <c r="S630" s="236"/>
      <c r="T630" s="236"/>
      <c r="U630" s="236"/>
      <c r="V630" s="236"/>
      <c r="W630" s="236"/>
    </row>
    <row r="631">
      <c r="A631" s="236"/>
      <c r="B631" s="236"/>
      <c r="C631" s="236"/>
      <c r="D631" s="236"/>
      <c r="E631" s="236"/>
      <c r="F631" s="236"/>
      <c r="G631" s="236"/>
      <c r="H631" s="236"/>
      <c r="I631" s="236"/>
      <c r="J631" s="236"/>
      <c r="K631" s="330"/>
      <c r="L631" s="330"/>
      <c r="M631" s="236"/>
      <c r="N631" s="236"/>
      <c r="O631" s="236"/>
      <c r="P631" s="236"/>
      <c r="Q631" s="236"/>
      <c r="R631" s="236"/>
      <c r="S631" s="236"/>
      <c r="T631" s="236"/>
      <c r="U631" s="236"/>
      <c r="V631" s="236"/>
      <c r="W631" s="236"/>
    </row>
    <row r="632">
      <c r="A632" s="236"/>
      <c r="B632" s="236"/>
      <c r="C632" s="236"/>
      <c r="D632" s="236"/>
      <c r="E632" s="236"/>
      <c r="F632" s="236"/>
      <c r="G632" s="236"/>
      <c r="H632" s="236"/>
      <c r="I632" s="236"/>
      <c r="J632" s="236"/>
      <c r="K632" s="330"/>
      <c r="L632" s="330"/>
      <c r="M632" s="236"/>
      <c r="N632" s="236"/>
      <c r="O632" s="236"/>
      <c r="P632" s="236"/>
      <c r="Q632" s="236"/>
      <c r="R632" s="236"/>
      <c r="S632" s="236"/>
      <c r="T632" s="236"/>
      <c r="U632" s="236"/>
      <c r="V632" s="236"/>
      <c r="W632" s="236"/>
    </row>
    <row r="633">
      <c r="A633" s="236"/>
      <c r="B633" s="236"/>
      <c r="C633" s="236"/>
      <c r="D633" s="236"/>
      <c r="E633" s="236"/>
      <c r="F633" s="236"/>
      <c r="G633" s="236"/>
      <c r="H633" s="236"/>
      <c r="I633" s="236"/>
      <c r="J633" s="236"/>
      <c r="K633" s="330"/>
      <c r="L633" s="330"/>
      <c r="M633" s="236"/>
      <c r="N633" s="236"/>
      <c r="O633" s="236"/>
      <c r="P633" s="236"/>
      <c r="Q633" s="236"/>
      <c r="R633" s="236"/>
      <c r="S633" s="236"/>
      <c r="T633" s="236"/>
      <c r="U633" s="236"/>
      <c r="V633" s="236"/>
      <c r="W633" s="236"/>
    </row>
    <row r="634">
      <c r="A634" s="236"/>
      <c r="B634" s="236"/>
      <c r="C634" s="236"/>
      <c r="D634" s="236"/>
      <c r="E634" s="236"/>
      <c r="F634" s="236"/>
      <c r="G634" s="236"/>
      <c r="H634" s="236"/>
      <c r="I634" s="236"/>
      <c r="J634" s="236"/>
      <c r="K634" s="330"/>
      <c r="L634" s="330"/>
      <c r="M634" s="236"/>
      <c r="N634" s="236"/>
      <c r="O634" s="236"/>
      <c r="P634" s="236"/>
      <c r="Q634" s="236"/>
      <c r="R634" s="236"/>
      <c r="S634" s="236"/>
      <c r="T634" s="236"/>
      <c r="U634" s="236"/>
      <c r="V634" s="236"/>
      <c r="W634" s="236"/>
    </row>
    <row r="635">
      <c r="A635" s="236"/>
      <c r="B635" s="236"/>
      <c r="C635" s="236"/>
      <c r="D635" s="236"/>
      <c r="E635" s="236"/>
      <c r="F635" s="236"/>
      <c r="G635" s="236"/>
      <c r="H635" s="236"/>
      <c r="I635" s="236"/>
      <c r="J635" s="236"/>
      <c r="K635" s="330"/>
      <c r="L635" s="330"/>
      <c r="M635" s="236"/>
      <c r="N635" s="236"/>
      <c r="O635" s="236"/>
      <c r="P635" s="236"/>
      <c r="Q635" s="236"/>
      <c r="R635" s="236"/>
      <c r="S635" s="236"/>
      <c r="T635" s="236"/>
      <c r="U635" s="236"/>
      <c r="V635" s="236"/>
      <c r="W635" s="236"/>
    </row>
    <row r="636">
      <c r="A636" s="236"/>
      <c r="B636" s="236"/>
      <c r="C636" s="236"/>
      <c r="D636" s="236"/>
      <c r="E636" s="236"/>
      <c r="F636" s="236"/>
      <c r="G636" s="236"/>
      <c r="H636" s="236"/>
      <c r="I636" s="236"/>
      <c r="J636" s="236"/>
      <c r="K636" s="330"/>
      <c r="L636" s="330"/>
      <c r="M636" s="236"/>
      <c r="N636" s="236"/>
      <c r="O636" s="236"/>
      <c r="P636" s="236"/>
      <c r="Q636" s="236"/>
      <c r="R636" s="236"/>
      <c r="S636" s="236"/>
      <c r="T636" s="236"/>
      <c r="U636" s="236"/>
      <c r="V636" s="236"/>
      <c r="W636" s="236"/>
    </row>
    <row r="637">
      <c r="A637" s="236"/>
      <c r="B637" s="236"/>
      <c r="C637" s="236"/>
      <c r="D637" s="236"/>
      <c r="E637" s="236"/>
      <c r="F637" s="236"/>
      <c r="G637" s="236"/>
      <c r="H637" s="236"/>
      <c r="I637" s="236"/>
      <c r="J637" s="236"/>
      <c r="K637" s="330"/>
      <c r="L637" s="330"/>
      <c r="M637" s="236"/>
      <c r="N637" s="236"/>
      <c r="O637" s="236"/>
      <c r="P637" s="236"/>
      <c r="Q637" s="236"/>
      <c r="R637" s="236"/>
      <c r="S637" s="236"/>
      <c r="T637" s="236"/>
      <c r="U637" s="236"/>
      <c r="V637" s="236"/>
      <c r="W637" s="236"/>
    </row>
    <row r="638">
      <c r="A638" s="236"/>
      <c r="B638" s="236"/>
      <c r="C638" s="236"/>
      <c r="D638" s="236"/>
      <c r="E638" s="236"/>
      <c r="F638" s="236"/>
      <c r="G638" s="236"/>
      <c r="H638" s="236"/>
      <c r="I638" s="236"/>
      <c r="J638" s="236"/>
      <c r="K638" s="330"/>
      <c r="L638" s="330"/>
      <c r="M638" s="236"/>
      <c r="N638" s="236"/>
      <c r="O638" s="236"/>
      <c r="P638" s="236"/>
      <c r="Q638" s="236"/>
      <c r="R638" s="236"/>
      <c r="S638" s="236"/>
      <c r="T638" s="236"/>
      <c r="U638" s="236"/>
      <c r="V638" s="236"/>
      <c r="W638" s="236"/>
    </row>
    <row r="639">
      <c r="A639" s="236"/>
      <c r="B639" s="236"/>
      <c r="C639" s="236"/>
      <c r="D639" s="236"/>
      <c r="E639" s="236"/>
      <c r="F639" s="236"/>
      <c r="G639" s="236"/>
      <c r="H639" s="236"/>
      <c r="I639" s="236"/>
      <c r="J639" s="236"/>
      <c r="K639" s="330"/>
      <c r="L639" s="330"/>
      <c r="M639" s="236"/>
      <c r="N639" s="236"/>
      <c r="O639" s="236"/>
      <c r="P639" s="236"/>
      <c r="Q639" s="236"/>
      <c r="R639" s="236"/>
      <c r="S639" s="236"/>
      <c r="T639" s="236"/>
      <c r="U639" s="236"/>
      <c r="V639" s="236"/>
      <c r="W639" s="236"/>
    </row>
    <row r="640">
      <c r="A640" s="236"/>
      <c r="B640" s="236"/>
      <c r="C640" s="236"/>
      <c r="D640" s="236"/>
      <c r="E640" s="236"/>
      <c r="F640" s="236"/>
      <c r="G640" s="236"/>
      <c r="H640" s="236"/>
      <c r="I640" s="236"/>
      <c r="J640" s="236"/>
      <c r="K640" s="330"/>
      <c r="L640" s="330"/>
      <c r="M640" s="236"/>
      <c r="N640" s="236"/>
      <c r="O640" s="236"/>
      <c r="P640" s="236"/>
      <c r="Q640" s="236"/>
      <c r="R640" s="236"/>
      <c r="S640" s="236"/>
      <c r="T640" s="236"/>
      <c r="U640" s="236"/>
      <c r="V640" s="236"/>
      <c r="W640" s="236"/>
    </row>
    <row r="641">
      <c r="A641" s="236"/>
      <c r="B641" s="236"/>
      <c r="C641" s="236"/>
      <c r="D641" s="236"/>
      <c r="E641" s="236"/>
      <c r="F641" s="236"/>
      <c r="G641" s="236"/>
      <c r="H641" s="236"/>
      <c r="I641" s="236"/>
      <c r="J641" s="236"/>
      <c r="K641" s="330"/>
      <c r="L641" s="330"/>
      <c r="M641" s="236"/>
      <c r="N641" s="236"/>
      <c r="O641" s="236"/>
      <c r="P641" s="236"/>
      <c r="Q641" s="236"/>
      <c r="R641" s="236"/>
      <c r="S641" s="236"/>
      <c r="T641" s="236"/>
      <c r="U641" s="236"/>
      <c r="V641" s="236"/>
      <c r="W641" s="236"/>
    </row>
    <row r="642">
      <c r="A642" s="236"/>
      <c r="B642" s="236"/>
      <c r="C642" s="236"/>
      <c r="D642" s="236"/>
      <c r="E642" s="236"/>
      <c r="F642" s="236"/>
      <c r="G642" s="236"/>
      <c r="H642" s="236"/>
      <c r="I642" s="236"/>
      <c r="J642" s="236"/>
      <c r="K642" s="330"/>
      <c r="L642" s="330"/>
      <c r="M642" s="236"/>
      <c r="N642" s="236"/>
      <c r="O642" s="236"/>
      <c r="P642" s="236"/>
      <c r="Q642" s="236"/>
      <c r="R642" s="236"/>
      <c r="S642" s="236"/>
      <c r="T642" s="236"/>
      <c r="U642" s="236"/>
      <c r="V642" s="236"/>
      <c r="W642" s="236"/>
    </row>
    <row r="643">
      <c r="A643" s="236"/>
      <c r="B643" s="236"/>
      <c r="C643" s="236"/>
      <c r="D643" s="236"/>
      <c r="E643" s="236"/>
      <c r="F643" s="236"/>
      <c r="G643" s="236"/>
      <c r="H643" s="236"/>
      <c r="I643" s="236"/>
      <c r="J643" s="236"/>
      <c r="K643" s="330"/>
      <c r="L643" s="330"/>
      <c r="M643" s="236"/>
      <c r="N643" s="236"/>
      <c r="O643" s="236"/>
      <c r="P643" s="236"/>
      <c r="Q643" s="236"/>
      <c r="R643" s="236"/>
      <c r="S643" s="236"/>
      <c r="T643" s="236"/>
      <c r="U643" s="236"/>
      <c r="V643" s="236"/>
      <c r="W643" s="236"/>
    </row>
    <row r="644">
      <c r="A644" s="236"/>
      <c r="B644" s="236"/>
      <c r="C644" s="236"/>
      <c r="D644" s="236"/>
      <c r="E644" s="236"/>
      <c r="F644" s="236"/>
      <c r="G644" s="236"/>
      <c r="H644" s="236"/>
      <c r="I644" s="236"/>
      <c r="J644" s="236"/>
      <c r="K644" s="330"/>
      <c r="L644" s="330"/>
      <c r="M644" s="236"/>
      <c r="N644" s="236"/>
      <c r="O644" s="236"/>
      <c r="P644" s="236"/>
      <c r="Q644" s="236"/>
      <c r="R644" s="236"/>
      <c r="S644" s="236"/>
      <c r="T644" s="236"/>
      <c r="U644" s="236"/>
      <c r="V644" s="236"/>
      <c r="W644" s="236"/>
    </row>
    <row r="645">
      <c r="A645" s="236"/>
      <c r="B645" s="236"/>
      <c r="C645" s="236"/>
      <c r="D645" s="236"/>
      <c r="E645" s="236"/>
      <c r="F645" s="236"/>
      <c r="G645" s="236"/>
      <c r="H645" s="236"/>
      <c r="I645" s="236"/>
      <c r="J645" s="236"/>
      <c r="K645" s="330"/>
      <c r="L645" s="330"/>
      <c r="M645" s="236"/>
      <c r="N645" s="236"/>
      <c r="O645" s="236"/>
      <c r="P645" s="236"/>
      <c r="Q645" s="236"/>
      <c r="R645" s="236"/>
      <c r="S645" s="236"/>
      <c r="T645" s="236"/>
      <c r="U645" s="236"/>
      <c r="V645" s="236"/>
      <c r="W645" s="236"/>
    </row>
    <row r="646">
      <c r="A646" s="236"/>
      <c r="B646" s="236"/>
      <c r="C646" s="236"/>
      <c r="D646" s="236"/>
      <c r="E646" s="236"/>
      <c r="F646" s="236"/>
      <c r="G646" s="236"/>
      <c r="H646" s="236"/>
      <c r="I646" s="236"/>
      <c r="J646" s="236"/>
      <c r="K646" s="330"/>
      <c r="L646" s="330"/>
      <c r="M646" s="236"/>
      <c r="N646" s="236"/>
      <c r="O646" s="236"/>
      <c r="P646" s="236"/>
      <c r="Q646" s="236"/>
      <c r="R646" s="236"/>
      <c r="S646" s="236"/>
      <c r="T646" s="236"/>
      <c r="U646" s="236"/>
      <c r="V646" s="236"/>
      <c r="W646" s="236"/>
    </row>
    <row r="647">
      <c r="A647" s="236"/>
      <c r="B647" s="236"/>
      <c r="C647" s="236"/>
      <c r="D647" s="236"/>
      <c r="E647" s="236"/>
      <c r="F647" s="236"/>
      <c r="G647" s="236"/>
      <c r="H647" s="236"/>
      <c r="I647" s="236"/>
      <c r="J647" s="236"/>
      <c r="K647" s="330"/>
      <c r="L647" s="330"/>
      <c r="M647" s="236"/>
      <c r="N647" s="236"/>
      <c r="O647" s="236"/>
      <c r="P647" s="236"/>
      <c r="Q647" s="236"/>
      <c r="R647" s="236"/>
      <c r="S647" s="236"/>
      <c r="T647" s="236"/>
      <c r="U647" s="236"/>
      <c r="V647" s="236"/>
      <c r="W647" s="236"/>
    </row>
    <row r="648">
      <c r="A648" s="236"/>
      <c r="B648" s="236"/>
      <c r="C648" s="236"/>
      <c r="D648" s="236"/>
      <c r="E648" s="236"/>
      <c r="F648" s="236"/>
      <c r="G648" s="236"/>
      <c r="H648" s="236"/>
      <c r="I648" s="236"/>
      <c r="J648" s="236"/>
      <c r="K648" s="330"/>
      <c r="L648" s="330"/>
      <c r="M648" s="236"/>
      <c r="N648" s="236"/>
      <c r="O648" s="236"/>
      <c r="P648" s="236"/>
      <c r="Q648" s="236"/>
      <c r="R648" s="236"/>
      <c r="S648" s="236"/>
      <c r="T648" s="236"/>
      <c r="U648" s="236"/>
      <c r="V648" s="236"/>
      <c r="W648" s="236"/>
    </row>
    <row r="649">
      <c r="A649" s="236"/>
      <c r="B649" s="236"/>
      <c r="C649" s="236"/>
      <c r="D649" s="236"/>
      <c r="E649" s="236"/>
      <c r="F649" s="236"/>
      <c r="G649" s="236"/>
      <c r="H649" s="236"/>
      <c r="I649" s="236"/>
      <c r="J649" s="236"/>
      <c r="K649" s="330"/>
      <c r="L649" s="330"/>
      <c r="M649" s="236"/>
      <c r="N649" s="236"/>
      <c r="O649" s="236"/>
      <c r="P649" s="236"/>
      <c r="Q649" s="236"/>
      <c r="R649" s="236"/>
      <c r="S649" s="236"/>
      <c r="T649" s="236"/>
      <c r="U649" s="236"/>
      <c r="V649" s="236"/>
      <c r="W649" s="236"/>
    </row>
    <row r="650">
      <c r="A650" s="236"/>
      <c r="B650" s="236"/>
      <c r="C650" s="236"/>
      <c r="D650" s="236"/>
      <c r="E650" s="236"/>
      <c r="F650" s="236"/>
      <c r="G650" s="236"/>
      <c r="H650" s="236"/>
      <c r="I650" s="236"/>
      <c r="J650" s="236"/>
      <c r="K650" s="330"/>
      <c r="L650" s="330"/>
      <c r="M650" s="236"/>
      <c r="N650" s="236"/>
      <c r="O650" s="236"/>
      <c r="P650" s="236"/>
      <c r="Q650" s="236"/>
      <c r="R650" s="236"/>
      <c r="S650" s="236"/>
      <c r="T650" s="236"/>
      <c r="U650" s="236"/>
      <c r="V650" s="236"/>
      <c r="W650" s="236"/>
    </row>
    <row r="651">
      <c r="A651" s="236"/>
      <c r="B651" s="236"/>
      <c r="C651" s="236"/>
      <c r="D651" s="236"/>
      <c r="E651" s="236"/>
      <c r="F651" s="236"/>
      <c r="G651" s="236"/>
      <c r="H651" s="236"/>
      <c r="I651" s="236"/>
      <c r="J651" s="236"/>
      <c r="K651" s="330"/>
      <c r="L651" s="330"/>
      <c r="M651" s="236"/>
      <c r="N651" s="236"/>
      <c r="O651" s="236"/>
      <c r="P651" s="236"/>
      <c r="Q651" s="236"/>
      <c r="R651" s="236"/>
      <c r="S651" s="236"/>
      <c r="T651" s="236"/>
      <c r="U651" s="236"/>
      <c r="V651" s="236"/>
      <c r="W651" s="236"/>
    </row>
    <row r="652">
      <c r="A652" s="236"/>
      <c r="B652" s="236"/>
      <c r="C652" s="236"/>
      <c r="D652" s="236"/>
      <c r="E652" s="236"/>
      <c r="F652" s="236"/>
      <c r="G652" s="236"/>
      <c r="H652" s="236"/>
      <c r="I652" s="236"/>
      <c r="J652" s="236"/>
      <c r="K652" s="330"/>
      <c r="L652" s="330"/>
      <c r="M652" s="236"/>
      <c r="N652" s="236"/>
      <c r="O652" s="236"/>
      <c r="P652" s="236"/>
      <c r="Q652" s="236"/>
      <c r="R652" s="236"/>
      <c r="S652" s="236"/>
      <c r="T652" s="236"/>
      <c r="U652" s="236"/>
      <c r="V652" s="236"/>
      <c r="W652" s="236"/>
    </row>
    <row r="653">
      <c r="A653" s="236"/>
      <c r="B653" s="236"/>
      <c r="C653" s="236"/>
      <c r="D653" s="236"/>
      <c r="E653" s="236"/>
      <c r="F653" s="236"/>
      <c r="G653" s="236"/>
      <c r="H653" s="236"/>
      <c r="I653" s="236"/>
      <c r="J653" s="236"/>
      <c r="K653" s="330"/>
      <c r="L653" s="330"/>
      <c r="M653" s="236"/>
      <c r="N653" s="236"/>
      <c r="O653" s="236"/>
      <c r="P653" s="236"/>
      <c r="Q653" s="236"/>
      <c r="R653" s="236"/>
      <c r="S653" s="236"/>
      <c r="T653" s="236"/>
      <c r="U653" s="236"/>
      <c r="V653" s="236"/>
      <c r="W653" s="236"/>
    </row>
    <row r="654">
      <c r="A654" s="236"/>
      <c r="B654" s="236"/>
      <c r="C654" s="236"/>
      <c r="D654" s="236"/>
      <c r="E654" s="236"/>
      <c r="F654" s="236"/>
      <c r="G654" s="236"/>
      <c r="H654" s="236"/>
      <c r="I654" s="236"/>
      <c r="J654" s="236"/>
      <c r="K654" s="330"/>
      <c r="L654" s="330"/>
      <c r="M654" s="236"/>
      <c r="N654" s="236"/>
      <c r="O654" s="236"/>
      <c r="P654" s="236"/>
      <c r="Q654" s="236"/>
      <c r="R654" s="236"/>
      <c r="S654" s="236"/>
      <c r="T654" s="236"/>
      <c r="U654" s="236"/>
      <c r="V654" s="236"/>
      <c r="W654" s="236"/>
    </row>
    <row r="655">
      <c r="A655" s="236"/>
      <c r="B655" s="236"/>
      <c r="C655" s="236"/>
      <c r="D655" s="236"/>
      <c r="E655" s="236"/>
      <c r="F655" s="236"/>
      <c r="G655" s="236"/>
      <c r="H655" s="236"/>
      <c r="I655" s="236"/>
      <c r="J655" s="236"/>
      <c r="K655" s="330"/>
      <c r="L655" s="330"/>
      <c r="M655" s="236"/>
      <c r="N655" s="236"/>
      <c r="O655" s="236"/>
      <c r="P655" s="236"/>
      <c r="Q655" s="236"/>
      <c r="R655" s="236"/>
      <c r="S655" s="236"/>
      <c r="T655" s="236"/>
      <c r="U655" s="236"/>
      <c r="V655" s="236"/>
      <c r="W655" s="236"/>
    </row>
    <row r="656">
      <c r="A656" s="236"/>
      <c r="B656" s="236"/>
      <c r="C656" s="236"/>
      <c r="D656" s="236"/>
      <c r="E656" s="236"/>
      <c r="F656" s="236"/>
      <c r="G656" s="236"/>
      <c r="H656" s="236"/>
      <c r="I656" s="236"/>
      <c r="J656" s="236"/>
      <c r="K656" s="330"/>
      <c r="L656" s="330"/>
      <c r="M656" s="236"/>
      <c r="N656" s="236"/>
      <c r="O656" s="236"/>
      <c r="P656" s="236"/>
      <c r="Q656" s="236"/>
      <c r="R656" s="236"/>
      <c r="S656" s="236"/>
      <c r="T656" s="236"/>
      <c r="U656" s="236"/>
      <c r="V656" s="236"/>
      <c r="W656" s="236"/>
    </row>
    <row r="657">
      <c r="A657" s="236"/>
      <c r="B657" s="236"/>
      <c r="C657" s="236"/>
      <c r="D657" s="236"/>
      <c r="E657" s="236"/>
      <c r="F657" s="236"/>
      <c r="G657" s="236"/>
      <c r="H657" s="236"/>
      <c r="I657" s="236"/>
      <c r="J657" s="236"/>
      <c r="K657" s="330"/>
      <c r="L657" s="330"/>
      <c r="M657" s="236"/>
      <c r="N657" s="236"/>
      <c r="O657" s="236"/>
      <c r="P657" s="236"/>
      <c r="Q657" s="236"/>
      <c r="R657" s="236"/>
      <c r="S657" s="236"/>
      <c r="T657" s="236"/>
      <c r="U657" s="236"/>
      <c r="V657" s="236"/>
      <c r="W657" s="236"/>
    </row>
    <row r="658">
      <c r="A658" s="236"/>
      <c r="B658" s="236"/>
      <c r="C658" s="236"/>
      <c r="D658" s="236"/>
      <c r="E658" s="236"/>
      <c r="F658" s="236"/>
      <c r="G658" s="236"/>
      <c r="H658" s="236"/>
      <c r="I658" s="236"/>
      <c r="J658" s="236"/>
      <c r="K658" s="330"/>
      <c r="L658" s="330"/>
      <c r="M658" s="236"/>
      <c r="N658" s="236"/>
      <c r="O658" s="236"/>
      <c r="P658" s="236"/>
      <c r="Q658" s="236"/>
      <c r="R658" s="236"/>
      <c r="S658" s="236"/>
      <c r="T658" s="236"/>
      <c r="U658" s="236"/>
      <c r="V658" s="236"/>
      <c r="W658" s="236"/>
    </row>
    <row r="659">
      <c r="A659" s="236"/>
      <c r="B659" s="236"/>
      <c r="C659" s="236"/>
      <c r="D659" s="236"/>
      <c r="E659" s="236"/>
      <c r="F659" s="236"/>
      <c r="G659" s="236"/>
      <c r="H659" s="236"/>
      <c r="I659" s="236"/>
      <c r="J659" s="236"/>
      <c r="K659" s="330"/>
      <c r="L659" s="330"/>
      <c r="M659" s="236"/>
      <c r="N659" s="236"/>
      <c r="O659" s="236"/>
      <c r="P659" s="236"/>
      <c r="Q659" s="236"/>
      <c r="R659" s="236"/>
      <c r="S659" s="236"/>
      <c r="T659" s="236"/>
      <c r="U659" s="236"/>
      <c r="V659" s="236"/>
      <c r="W659" s="236"/>
    </row>
    <row r="660">
      <c r="A660" s="236"/>
      <c r="B660" s="236"/>
      <c r="C660" s="236"/>
      <c r="D660" s="236"/>
      <c r="E660" s="236"/>
      <c r="F660" s="236"/>
      <c r="G660" s="236"/>
      <c r="H660" s="236"/>
      <c r="I660" s="236"/>
      <c r="J660" s="236"/>
      <c r="K660" s="330"/>
      <c r="L660" s="330"/>
      <c r="M660" s="236"/>
      <c r="N660" s="236"/>
      <c r="O660" s="236"/>
      <c r="P660" s="236"/>
      <c r="Q660" s="236"/>
      <c r="R660" s="236"/>
      <c r="S660" s="236"/>
      <c r="T660" s="236"/>
      <c r="U660" s="236"/>
      <c r="V660" s="236"/>
      <c r="W660" s="236"/>
    </row>
    <row r="661">
      <c r="A661" s="236"/>
      <c r="B661" s="236"/>
      <c r="C661" s="236"/>
      <c r="D661" s="236"/>
      <c r="E661" s="236"/>
      <c r="F661" s="236"/>
      <c r="G661" s="236"/>
      <c r="H661" s="236"/>
      <c r="I661" s="236"/>
      <c r="J661" s="236"/>
      <c r="K661" s="330"/>
      <c r="L661" s="330"/>
      <c r="M661" s="236"/>
      <c r="N661" s="236"/>
      <c r="O661" s="236"/>
      <c r="P661" s="236"/>
      <c r="Q661" s="236"/>
      <c r="R661" s="236"/>
      <c r="S661" s="236"/>
      <c r="T661" s="236"/>
      <c r="U661" s="236"/>
      <c r="V661" s="236"/>
      <c r="W661" s="236"/>
    </row>
    <row r="662">
      <c r="A662" s="236"/>
      <c r="B662" s="236"/>
      <c r="C662" s="236"/>
      <c r="D662" s="236"/>
      <c r="E662" s="236"/>
      <c r="F662" s="236"/>
      <c r="G662" s="236"/>
      <c r="H662" s="236"/>
      <c r="I662" s="236"/>
      <c r="J662" s="236"/>
      <c r="K662" s="330"/>
      <c r="L662" s="330"/>
      <c r="M662" s="236"/>
      <c r="N662" s="236"/>
      <c r="O662" s="236"/>
      <c r="P662" s="236"/>
      <c r="Q662" s="236"/>
      <c r="R662" s="236"/>
      <c r="S662" s="236"/>
      <c r="T662" s="236"/>
      <c r="U662" s="236"/>
      <c r="V662" s="236"/>
      <c r="W662" s="236"/>
    </row>
    <row r="663">
      <c r="A663" s="236"/>
      <c r="B663" s="236"/>
      <c r="C663" s="236"/>
      <c r="D663" s="236"/>
      <c r="E663" s="236"/>
      <c r="F663" s="236"/>
      <c r="G663" s="236"/>
      <c r="H663" s="236"/>
      <c r="I663" s="236"/>
      <c r="J663" s="236"/>
      <c r="K663" s="330"/>
      <c r="L663" s="330"/>
      <c r="M663" s="236"/>
      <c r="N663" s="236"/>
      <c r="O663" s="236"/>
      <c r="P663" s="236"/>
      <c r="Q663" s="236"/>
      <c r="R663" s="236"/>
      <c r="S663" s="236"/>
      <c r="T663" s="236"/>
      <c r="U663" s="236"/>
      <c r="V663" s="236"/>
      <c r="W663" s="236"/>
    </row>
    <row r="664">
      <c r="A664" s="236"/>
      <c r="B664" s="236"/>
      <c r="C664" s="236"/>
      <c r="D664" s="236"/>
      <c r="E664" s="236"/>
      <c r="F664" s="236"/>
      <c r="G664" s="236"/>
      <c r="H664" s="236"/>
      <c r="I664" s="236"/>
      <c r="J664" s="236"/>
      <c r="K664" s="330"/>
      <c r="L664" s="330"/>
      <c r="M664" s="236"/>
      <c r="N664" s="236"/>
      <c r="O664" s="236"/>
      <c r="P664" s="236"/>
      <c r="Q664" s="236"/>
      <c r="R664" s="236"/>
      <c r="S664" s="236"/>
      <c r="T664" s="236"/>
      <c r="U664" s="236"/>
      <c r="V664" s="236"/>
      <c r="W664" s="236"/>
    </row>
    <row r="665">
      <c r="A665" s="236"/>
      <c r="B665" s="236"/>
      <c r="C665" s="236"/>
      <c r="D665" s="236"/>
      <c r="E665" s="236"/>
      <c r="F665" s="236"/>
      <c r="G665" s="236"/>
      <c r="H665" s="236"/>
      <c r="I665" s="236"/>
      <c r="J665" s="236"/>
      <c r="K665" s="330"/>
      <c r="L665" s="330"/>
      <c r="M665" s="236"/>
      <c r="N665" s="236"/>
      <c r="O665" s="236"/>
      <c r="P665" s="236"/>
      <c r="Q665" s="236"/>
      <c r="R665" s="236"/>
      <c r="S665" s="236"/>
      <c r="T665" s="236"/>
      <c r="U665" s="236"/>
      <c r="V665" s="236"/>
      <c r="W665" s="236"/>
    </row>
    <row r="666">
      <c r="A666" s="236"/>
      <c r="B666" s="236"/>
      <c r="C666" s="236"/>
      <c r="D666" s="236"/>
      <c r="E666" s="236"/>
      <c r="F666" s="236"/>
      <c r="G666" s="236"/>
      <c r="H666" s="236"/>
      <c r="I666" s="236"/>
      <c r="J666" s="236"/>
      <c r="K666" s="330"/>
      <c r="L666" s="330"/>
      <c r="M666" s="236"/>
      <c r="N666" s="236"/>
      <c r="O666" s="236"/>
      <c r="P666" s="236"/>
      <c r="Q666" s="236"/>
      <c r="R666" s="236"/>
      <c r="S666" s="236"/>
      <c r="T666" s="236"/>
      <c r="U666" s="236"/>
      <c r="V666" s="236"/>
      <c r="W666" s="236"/>
    </row>
    <row r="667">
      <c r="A667" s="236"/>
      <c r="B667" s="236"/>
      <c r="C667" s="236"/>
      <c r="D667" s="236"/>
      <c r="E667" s="236"/>
      <c r="F667" s="236"/>
      <c r="G667" s="236"/>
      <c r="H667" s="236"/>
      <c r="I667" s="236"/>
      <c r="J667" s="236"/>
      <c r="K667" s="330"/>
      <c r="L667" s="330"/>
      <c r="M667" s="236"/>
      <c r="N667" s="236"/>
      <c r="O667" s="236"/>
      <c r="P667" s="236"/>
      <c r="Q667" s="236"/>
      <c r="R667" s="236"/>
      <c r="S667" s="236"/>
      <c r="T667" s="236"/>
      <c r="U667" s="236"/>
      <c r="V667" s="236"/>
      <c r="W667" s="236"/>
    </row>
    <row r="668">
      <c r="A668" s="236"/>
      <c r="B668" s="236"/>
      <c r="C668" s="236"/>
      <c r="D668" s="236"/>
      <c r="E668" s="236"/>
      <c r="F668" s="236"/>
      <c r="G668" s="236"/>
      <c r="H668" s="236"/>
      <c r="I668" s="236"/>
      <c r="J668" s="236"/>
      <c r="K668" s="330"/>
      <c r="L668" s="330"/>
      <c r="M668" s="236"/>
      <c r="N668" s="236"/>
      <c r="O668" s="236"/>
      <c r="P668" s="236"/>
      <c r="Q668" s="236"/>
      <c r="R668" s="236"/>
      <c r="S668" s="236"/>
      <c r="T668" s="236"/>
      <c r="U668" s="236"/>
      <c r="V668" s="236"/>
      <c r="W668" s="236"/>
    </row>
    <row r="669">
      <c r="A669" s="236"/>
      <c r="B669" s="236"/>
      <c r="C669" s="236"/>
      <c r="D669" s="236"/>
      <c r="E669" s="236"/>
      <c r="F669" s="236"/>
      <c r="G669" s="236"/>
      <c r="H669" s="236"/>
      <c r="I669" s="236"/>
      <c r="J669" s="236"/>
      <c r="K669" s="330"/>
      <c r="L669" s="330"/>
      <c r="M669" s="236"/>
      <c r="N669" s="236"/>
      <c r="O669" s="236"/>
      <c r="P669" s="236"/>
      <c r="Q669" s="236"/>
      <c r="R669" s="236"/>
      <c r="S669" s="236"/>
      <c r="T669" s="236"/>
      <c r="U669" s="236"/>
      <c r="V669" s="236"/>
      <c r="W669" s="236"/>
    </row>
    <row r="670">
      <c r="A670" s="236"/>
      <c r="B670" s="236"/>
      <c r="C670" s="236"/>
      <c r="D670" s="236"/>
      <c r="E670" s="236"/>
      <c r="F670" s="236"/>
      <c r="G670" s="236"/>
      <c r="H670" s="236"/>
      <c r="I670" s="236"/>
      <c r="J670" s="236"/>
      <c r="K670" s="330"/>
      <c r="L670" s="330"/>
      <c r="M670" s="236"/>
      <c r="N670" s="236"/>
      <c r="O670" s="236"/>
      <c r="P670" s="236"/>
      <c r="Q670" s="236"/>
      <c r="R670" s="236"/>
      <c r="S670" s="236"/>
      <c r="T670" s="236"/>
      <c r="U670" s="236"/>
      <c r="V670" s="236"/>
      <c r="W670" s="236"/>
    </row>
    <row r="671">
      <c r="A671" s="236"/>
      <c r="B671" s="236"/>
      <c r="C671" s="236"/>
      <c r="D671" s="236"/>
      <c r="E671" s="236"/>
      <c r="F671" s="236"/>
      <c r="G671" s="236"/>
      <c r="H671" s="236"/>
      <c r="I671" s="236"/>
      <c r="J671" s="236"/>
      <c r="K671" s="330"/>
      <c r="L671" s="330"/>
      <c r="M671" s="236"/>
      <c r="N671" s="236"/>
      <c r="O671" s="236"/>
      <c r="P671" s="236"/>
      <c r="Q671" s="236"/>
      <c r="R671" s="236"/>
      <c r="S671" s="236"/>
      <c r="T671" s="236"/>
      <c r="U671" s="236"/>
      <c r="V671" s="236"/>
      <c r="W671" s="236"/>
    </row>
    <row r="672">
      <c r="A672" s="236"/>
      <c r="B672" s="236"/>
      <c r="C672" s="236"/>
      <c r="D672" s="236"/>
      <c r="E672" s="236"/>
      <c r="F672" s="236"/>
      <c r="G672" s="236"/>
      <c r="H672" s="236"/>
      <c r="I672" s="236"/>
      <c r="J672" s="236"/>
      <c r="K672" s="330"/>
      <c r="L672" s="330"/>
      <c r="M672" s="236"/>
      <c r="N672" s="236"/>
      <c r="O672" s="236"/>
      <c r="P672" s="236"/>
      <c r="Q672" s="236"/>
      <c r="R672" s="236"/>
      <c r="S672" s="236"/>
      <c r="T672" s="236"/>
      <c r="U672" s="236"/>
      <c r="V672" s="236"/>
      <c r="W672" s="236"/>
    </row>
    <row r="673">
      <c r="A673" s="236"/>
      <c r="B673" s="236"/>
      <c r="C673" s="236"/>
      <c r="D673" s="236"/>
      <c r="E673" s="236"/>
      <c r="F673" s="236"/>
      <c r="G673" s="236"/>
      <c r="H673" s="236"/>
      <c r="I673" s="236"/>
      <c r="J673" s="236"/>
      <c r="K673" s="330"/>
      <c r="L673" s="330"/>
      <c r="M673" s="236"/>
      <c r="N673" s="236"/>
      <c r="O673" s="236"/>
      <c r="P673" s="236"/>
      <c r="Q673" s="236"/>
      <c r="R673" s="236"/>
      <c r="S673" s="236"/>
      <c r="T673" s="236"/>
      <c r="U673" s="236"/>
      <c r="V673" s="236"/>
      <c r="W673" s="236"/>
    </row>
    <row r="674">
      <c r="A674" s="236"/>
      <c r="B674" s="236"/>
      <c r="C674" s="236"/>
      <c r="D674" s="236"/>
      <c r="E674" s="236"/>
      <c r="F674" s="236"/>
      <c r="G674" s="236"/>
      <c r="H674" s="236"/>
      <c r="I674" s="236"/>
      <c r="J674" s="236"/>
      <c r="K674" s="330"/>
      <c r="L674" s="330"/>
      <c r="M674" s="236"/>
      <c r="N674" s="236"/>
      <c r="O674" s="236"/>
      <c r="P674" s="236"/>
      <c r="Q674" s="236"/>
      <c r="R674" s="236"/>
      <c r="S674" s="236"/>
      <c r="T674" s="236"/>
      <c r="U674" s="236"/>
      <c r="V674" s="236"/>
      <c r="W674" s="236"/>
    </row>
    <row r="675">
      <c r="A675" s="236"/>
      <c r="B675" s="236"/>
      <c r="C675" s="236"/>
      <c r="D675" s="236"/>
      <c r="E675" s="236"/>
      <c r="F675" s="236"/>
      <c r="G675" s="236"/>
      <c r="H675" s="236"/>
      <c r="I675" s="236"/>
      <c r="J675" s="236"/>
      <c r="K675" s="330"/>
      <c r="L675" s="330"/>
      <c r="M675" s="236"/>
      <c r="N675" s="236"/>
      <c r="O675" s="236"/>
      <c r="P675" s="236"/>
      <c r="Q675" s="236"/>
      <c r="R675" s="236"/>
      <c r="S675" s="236"/>
      <c r="T675" s="236"/>
      <c r="U675" s="236"/>
      <c r="V675" s="236"/>
      <c r="W675" s="236"/>
    </row>
    <row r="676">
      <c r="A676" s="236"/>
      <c r="B676" s="236"/>
      <c r="C676" s="236"/>
      <c r="D676" s="236"/>
      <c r="E676" s="236"/>
      <c r="F676" s="236"/>
      <c r="G676" s="236"/>
      <c r="H676" s="236"/>
      <c r="I676" s="236"/>
      <c r="J676" s="236"/>
      <c r="K676" s="330"/>
      <c r="L676" s="330"/>
      <c r="M676" s="236"/>
      <c r="N676" s="236"/>
      <c r="O676" s="236"/>
      <c r="P676" s="236"/>
      <c r="Q676" s="236"/>
      <c r="R676" s="236"/>
      <c r="S676" s="236"/>
      <c r="T676" s="236"/>
      <c r="U676" s="236"/>
      <c r="V676" s="236"/>
      <c r="W676" s="236"/>
    </row>
    <row r="677">
      <c r="A677" s="236"/>
      <c r="B677" s="236"/>
      <c r="C677" s="236"/>
      <c r="D677" s="236"/>
      <c r="E677" s="236"/>
      <c r="F677" s="236"/>
      <c r="G677" s="236"/>
      <c r="H677" s="236"/>
      <c r="I677" s="236"/>
      <c r="J677" s="236"/>
      <c r="K677" s="330"/>
      <c r="L677" s="330"/>
      <c r="M677" s="236"/>
      <c r="N677" s="236"/>
      <c r="O677" s="236"/>
      <c r="P677" s="236"/>
      <c r="Q677" s="236"/>
      <c r="R677" s="236"/>
      <c r="S677" s="236"/>
      <c r="T677" s="236"/>
      <c r="U677" s="236"/>
      <c r="V677" s="236"/>
      <c r="W677" s="236"/>
    </row>
    <row r="678">
      <c r="A678" s="236"/>
      <c r="B678" s="236"/>
      <c r="C678" s="236"/>
      <c r="D678" s="236"/>
      <c r="E678" s="236"/>
      <c r="F678" s="236"/>
      <c r="G678" s="236"/>
      <c r="H678" s="236"/>
      <c r="I678" s="236"/>
      <c r="J678" s="236"/>
      <c r="K678" s="330"/>
      <c r="L678" s="330"/>
      <c r="M678" s="236"/>
      <c r="N678" s="236"/>
      <c r="O678" s="236"/>
      <c r="P678" s="236"/>
      <c r="Q678" s="236"/>
      <c r="R678" s="236"/>
      <c r="S678" s="236"/>
      <c r="T678" s="236"/>
      <c r="U678" s="236"/>
      <c r="V678" s="236"/>
      <c r="W678" s="236"/>
    </row>
    <row r="679">
      <c r="A679" s="236"/>
      <c r="B679" s="236"/>
      <c r="C679" s="236"/>
      <c r="D679" s="236"/>
      <c r="E679" s="236"/>
      <c r="F679" s="236"/>
      <c r="G679" s="236"/>
      <c r="H679" s="236"/>
      <c r="I679" s="236"/>
      <c r="J679" s="236"/>
      <c r="K679" s="330"/>
      <c r="L679" s="330"/>
      <c r="M679" s="236"/>
      <c r="N679" s="236"/>
      <c r="O679" s="236"/>
      <c r="P679" s="236"/>
      <c r="Q679" s="236"/>
      <c r="R679" s="236"/>
      <c r="S679" s="236"/>
      <c r="T679" s="236"/>
      <c r="U679" s="236"/>
      <c r="V679" s="236"/>
      <c r="W679" s="236"/>
    </row>
    <row r="680">
      <c r="A680" s="236"/>
      <c r="B680" s="236"/>
      <c r="C680" s="236"/>
      <c r="D680" s="236"/>
      <c r="E680" s="236"/>
      <c r="F680" s="236"/>
      <c r="G680" s="236"/>
      <c r="H680" s="236"/>
      <c r="I680" s="236"/>
      <c r="J680" s="236"/>
      <c r="K680" s="330"/>
      <c r="L680" s="330"/>
      <c r="M680" s="236"/>
      <c r="N680" s="236"/>
      <c r="O680" s="236"/>
      <c r="P680" s="236"/>
      <c r="Q680" s="236"/>
      <c r="R680" s="236"/>
      <c r="S680" s="236"/>
      <c r="T680" s="236"/>
      <c r="U680" s="236"/>
      <c r="V680" s="236"/>
      <c r="W680" s="236"/>
    </row>
    <row r="681">
      <c r="A681" s="236"/>
      <c r="B681" s="236"/>
      <c r="C681" s="236"/>
      <c r="D681" s="236"/>
      <c r="E681" s="236"/>
      <c r="F681" s="236"/>
      <c r="G681" s="236"/>
      <c r="H681" s="236"/>
      <c r="I681" s="236"/>
      <c r="J681" s="236"/>
      <c r="K681" s="330"/>
      <c r="L681" s="330"/>
      <c r="M681" s="236"/>
      <c r="N681" s="236"/>
      <c r="O681" s="236"/>
      <c r="P681" s="236"/>
      <c r="Q681" s="236"/>
      <c r="R681" s="236"/>
      <c r="S681" s="236"/>
      <c r="T681" s="236"/>
      <c r="U681" s="236"/>
      <c r="V681" s="236"/>
      <c r="W681" s="236"/>
    </row>
    <row r="682">
      <c r="A682" s="236"/>
      <c r="B682" s="236"/>
      <c r="C682" s="236"/>
      <c r="D682" s="236"/>
      <c r="E682" s="236"/>
      <c r="F682" s="236"/>
      <c r="G682" s="236"/>
      <c r="H682" s="236"/>
      <c r="I682" s="236"/>
      <c r="J682" s="236"/>
      <c r="K682" s="330"/>
      <c r="L682" s="330"/>
      <c r="M682" s="236"/>
      <c r="N682" s="236"/>
      <c r="O682" s="236"/>
      <c r="P682" s="236"/>
      <c r="Q682" s="236"/>
      <c r="R682" s="236"/>
      <c r="S682" s="236"/>
      <c r="T682" s="236"/>
      <c r="U682" s="236"/>
      <c r="V682" s="236"/>
      <c r="W682" s="236"/>
    </row>
    <row r="683">
      <c r="A683" s="236"/>
      <c r="B683" s="236"/>
      <c r="C683" s="236"/>
      <c r="D683" s="236"/>
      <c r="E683" s="236"/>
      <c r="F683" s="236"/>
      <c r="G683" s="236"/>
      <c r="H683" s="236"/>
      <c r="I683" s="236"/>
      <c r="J683" s="236"/>
      <c r="K683" s="330"/>
      <c r="L683" s="330"/>
      <c r="M683" s="236"/>
      <c r="N683" s="236"/>
      <c r="O683" s="236"/>
      <c r="P683" s="236"/>
      <c r="Q683" s="236"/>
      <c r="R683" s="236"/>
      <c r="S683" s="236"/>
      <c r="T683" s="236"/>
      <c r="U683" s="236"/>
      <c r="V683" s="236"/>
      <c r="W683" s="236"/>
    </row>
    <row r="684">
      <c r="A684" s="236"/>
      <c r="B684" s="236"/>
      <c r="C684" s="236"/>
      <c r="D684" s="236"/>
      <c r="E684" s="236"/>
      <c r="F684" s="236"/>
      <c r="G684" s="236"/>
      <c r="H684" s="236"/>
      <c r="I684" s="236"/>
      <c r="J684" s="236"/>
      <c r="K684" s="330"/>
      <c r="L684" s="330"/>
      <c r="M684" s="236"/>
      <c r="N684" s="236"/>
      <c r="O684" s="236"/>
      <c r="P684" s="236"/>
      <c r="Q684" s="236"/>
      <c r="R684" s="236"/>
      <c r="S684" s="236"/>
      <c r="T684" s="236"/>
      <c r="U684" s="236"/>
      <c r="V684" s="236"/>
      <c r="W684" s="236"/>
    </row>
    <row r="685">
      <c r="A685" s="236"/>
      <c r="B685" s="236"/>
      <c r="C685" s="236"/>
      <c r="D685" s="236"/>
      <c r="E685" s="236"/>
      <c r="F685" s="236"/>
      <c r="G685" s="236"/>
      <c r="H685" s="236"/>
      <c r="I685" s="236"/>
      <c r="J685" s="236"/>
      <c r="K685" s="330"/>
      <c r="L685" s="330"/>
      <c r="M685" s="236"/>
      <c r="N685" s="236"/>
      <c r="O685" s="236"/>
      <c r="P685" s="236"/>
      <c r="Q685" s="236"/>
      <c r="R685" s="236"/>
      <c r="S685" s="236"/>
      <c r="T685" s="236"/>
      <c r="U685" s="236"/>
      <c r="V685" s="236"/>
      <c r="W685" s="236"/>
    </row>
    <row r="686">
      <c r="A686" s="236"/>
      <c r="B686" s="236"/>
      <c r="C686" s="236"/>
      <c r="D686" s="236"/>
      <c r="E686" s="236"/>
      <c r="F686" s="236"/>
      <c r="G686" s="236"/>
      <c r="H686" s="236"/>
      <c r="I686" s="236"/>
      <c r="J686" s="236"/>
      <c r="K686" s="330"/>
      <c r="L686" s="330"/>
      <c r="M686" s="236"/>
      <c r="N686" s="236"/>
      <c r="O686" s="236"/>
      <c r="P686" s="236"/>
      <c r="Q686" s="236"/>
      <c r="R686" s="236"/>
      <c r="S686" s="236"/>
      <c r="T686" s="236"/>
      <c r="U686" s="236"/>
      <c r="V686" s="236"/>
      <c r="W686" s="236"/>
    </row>
    <row r="687">
      <c r="A687" s="236"/>
      <c r="B687" s="236"/>
      <c r="C687" s="236"/>
      <c r="D687" s="236"/>
      <c r="E687" s="236"/>
      <c r="F687" s="236"/>
      <c r="G687" s="236"/>
      <c r="H687" s="236"/>
      <c r="I687" s="236"/>
      <c r="J687" s="236"/>
      <c r="K687" s="330"/>
      <c r="L687" s="330"/>
      <c r="M687" s="236"/>
      <c r="N687" s="236"/>
      <c r="O687" s="236"/>
      <c r="P687" s="236"/>
      <c r="Q687" s="236"/>
      <c r="R687" s="236"/>
      <c r="S687" s="236"/>
      <c r="T687" s="236"/>
      <c r="U687" s="236"/>
      <c r="V687" s="236"/>
      <c r="W687" s="236"/>
    </row>
    <row r="688">
      <c r="A688" s="236"/>
      <c r="B688" s="236"/>
      <c r="C688" s="236"/>
      <c r="D688" s="236"/>
      <c r="E688" s="236"/>
      <c r="F688" s="236"/>
      <c r="G688" s="236"/>
      <c r="H688" s="236"/>
      <c r="I688" s="236"/>
      <c r="J688" s="236"/>
      <c r="K688" s="330"/>
      <c r="L688" s="330"/>
      <c r="M688" s="236"/>
      <c r="N688" s="236"/>
      <c r="O688" s="236"/>
      <c r="P688" s="236"/>
      <c r="Q688" s="236"/>
      <c r="R688" s="236"/>
      <c r="S688" s="236"/>
      <c r="T688" s="236"/>
      <c r="U688" s="236"/>
      <c r="V688" s="236"/>
      <c r="W688" s="236"/>
    </row>
    <row r="689">
      <c r="A689" s="236"/>
      <c r="B689" s="236"/>
      <c r="C689" s="236"/>
      <c r="D689" s="236"/>
      <c r="E689" s="236"/>
      <c r="F689" s="236"/>
      <c r="G689" s="236"/>
      <c r="H689" s="236"/>
      <c r="I689" s="236"/>
      <c r="J689" s="236"/>
      <c r="K689" s="330"/>
      <c r="L689" s="330"/>
      <c r="M689" s="236"/>
      <c r="N689" s="236"/>
      <c r="O689" s="236"/>
      <c r="P689" s="236"/>
      <c r="Q689" s="236"/>
      <c r="R689" s="236"/>
      <c r="S689" s="236"/>
      <c r="T689" s="236"/>
      <c r="U689" s="236"/>
      <c r="V689" s="236"/>
      <c r="W689" s="236"/>
    </row>
    <row r="690">
      <c r="A690" s="236"/>
      <c r="B690" s="236"/>
      <c r="C690" s="236"/>
      <c r="D690" s="236"/>
      <c r="E690" s="236"/>
      <c r="F690" s="236"/>
      <c r="G690" s="236"/>
      <c r="H690" s="236"/>
      <c r="I690" s="236"/>
      <c r="J690" s="236"/>
      <c r="K690" s="330"/>
      <c r="L690" s="330"/>
      <c r="M690" s="236"/>
      <c r="N690" s="236"/>
      <c r="O690" s="236"/>
      <c r="P690" s="236"/>
      <c r="Q690" s="236"/>
      <c r="R690" s="236"/>
      <c r="S690" s="236"/>
      <c r="T690" s="236"/>
      <c r="U690" s="236"/>
      <c r="V690" s="236"/>
      <c r="W690" s="236"/>
    </row>
    <row r="691">
      <c r="A691" s="236"/>
      <c r="B691" s="236"/>
      <c r="C691" s="236"/>
      <c r="D691" s="236"/>
      <c r="E691" s="236"/>
      <c r="F691" s="236"/>
      <c r="G691" s="236"/>
      <c r="H691" s="236"/>
      <c r="I691" s="236"/>
      <c r="J691" s="236"/>
      <c r="K691" s="330"/>
      <c r="L691" s="330"/>
      <c r="M691" s="236"/>
      <c r="N691" s="236"/>
      <c r="O691" s="236"/>
      <c r="P691" s="236"/>
      <c r="Q691" s="236"/>
      <c r="R691" s="236"/>
      <c r="S691" s="236"/>
      <c r="T691" s="236"/>
      <c r="U691" s="236"/>
      <c r="V691" s="236"/>
      <c r="W691" s="236"/>
    </row>
    <row r="692">
      <c r="A692" s="236"/>
      <c r="B692" s="236"/>
      <c r="C692" s="236"/>
      <c r="D692" s="236"/>
      <c r="E692" s="236"/>
      <c r="F692" s="236"/>
      <c r="G692" s="236"/>
      <c r="H692" s="236"/>
      <c r="I692" s="236"/>
      <c r="J692" s="236"/>
      <c r="K692" s="330"/>
      <c r="L692" s="330"/>
      <c r="M692" s="236"/>
      <c r="N692" s="236"/>
      <c r="O692" s="236"/>
      <c r="P692" s="236"/>
      <c r="Q692" s="236"/>
      <c r="R692" s="236"/>
      <c r="S692" s="236"/>
      <c r="T692" s="236"/>
      <c r="U692" s="236"/>
      <c r="V692" s="236"/>
      <c r="W692" s="236"/>
    </row>
    <row r="693">
      <c r="A693" s="236"/>
      <c r="B693" s="236"/>
      <c r="C693" s="236"/>
      <c r="D693" s="236"/>
      <c r="E693" s="236"/>
      <c r="F693" s="236"/>
      <c r="G693" s="236"/>
      <c r="H693" s="236"/>
      <c r="I693" s="236"/>
      <c r="J693" s="236"/>
      <c r="K693" s="330"/>
      <c r="L693" s="330"/>
      <c r="M693" s="236"/>
      <c r="N693" s="236"/>
      <c r="O693" s="236"/>
      <c r="P693" s="236"/>
      <c r="Q693" s="236"/>
      <c r="R693" s="236"/>
      <c r="S693" s="236"/>
      <c r="T693" s="236"/>
      <c r="U693" s="236"/>
      <c r="V693" s="236"/>
      <c r="W693" s="236"/>
    </row>
    <row r="694">
      <c r="A694" s="236"/>
      <c r="B694" s="236"/>
      <c r="C694" s="236"/>
      <c r="D694" s="236"/>
      <c r="E694" s="236"/>
      <c r="F694" s="236"/>
      <c r="G694" s="236"/>
      <c r="H694" s="236"/>
      <c r="I694" s="236"/>
      <c r="J694" s="236"/>
      <c r="K694" s="330"/>
      <c r="L694" s="330"/>
      <c r="M694" s="236"/>
      <c r="N694" s="236"/>
      <c r="O694" s="236"/>
      <c r="P694" s="236"/>
      <c r="Q694" s="236"/>
      <c r="R694" s="236"/>
      <c r="S694" s="236"/>
      <c r="T694" s="236"/>
      <c r="U694" s="236"/>
      <c r="V694" s="236"/>
      <c r="W694" s="236"/>
    </row>
    <row r="695">
      <c r="A695" s="236"/>
      <c r="B695" s="236"/>
      <c r="C695" s="236"/>
      <c r="D695" s="236"/>
      <c r="E695" s="236"/>
      <c r="F695" s="236"/>
      <c r="G695" s="236"/>
      <c r="H695" s="236"/>
      <c r="I695" s="236"/>
      <c r="J695" s="236"/>
      <c r="K695" s="330"/>
      <c r="L695" s="330"/>
      <c r="M695" s="236"/>
      <c r="N695" s="236"/>
      <c r="O695" s="236"/>
      <c r="P695" s="236"/>
      <c r="Q695" s="236"/>
      <c r="R695" s="236"/>
      <c r="S695" s="236"/>
      <c r="T695" s="236"/>
      <c r="U695" s="236"/>
      <c r="V695" s="236"/>
      <c r="W695" s="236"/>
    </row>
    <row r="696">
      <c r="A696" s="236"/>
      <c r="B696" s="236"/>
      <c r="C696" s="236"/>
      <c r="D696" s="236"/>
      <c r="E696" s="236"/>
      <c r="F696" s="236"/>
      <c r="G696" s="236"/>
      <c r="H696" s="236"/>
      <c r="I696" s="236"/>
      <c r="J696" s="236"/>
      <c r="K696" s="330"/>
      <c r="L696" s="330"/>
      <c r="M696" s="236"/>
      <c r="N696" s="236"/>
      <c r="O696" s="236"/>
      <c r="P696" s="236"/>
      <c r="Q696" s="236"/>
      <c r="R696" s="236"/>
      <c r="S696" s="236"/>
      <c r="T696" s="236"/>
      <c r="U696" s="236"/>
      <c r="V696" s="236"/>
      <c r="W696" s="236"/>
    </row>
    <row r="697">
      <c r="A697" s="236"/>
      <c r="B697" s="236"/>
      <c r="C697" s="236"/>
      <c r="D697" s="236"/>
      <c r="E697" s="236"/>
      <c r="F697" s="236"/>
      <c r="G697" s="236"/>
      <c r="H697" s="236"/>
      <c r="I697" s="236"/>
      <c r="J697" s="236"/>
      <c r="K697" s="330"/>
      <c r="L697" s="330"/>
      <c r="M697" s="236"/>
      <c r="N697" s="236"/>
      <c r="O697" s="236"/>
      <c r="P697" s="236"/>
      <c r="Q697" s="236"/>
      <c r="R697" s="236"/>
      <c r="S697" s="236"/>
      <c r="T697" s="236"/>
      <c r="U697" s="236"/>
      <c r="V697" s="236"/>
      <c r="W697" s="236"/>
    </row>
    <row r="698">
      <c r="A698" s="236"/>
      <c r="B698" s="236"/>
      <c r="C698" s="236"/>
      <c r="D698" s="236"/>
      <c r="E698" s="236"/>
      <c r="F698" s="236"/>
      <c r="G698" s="236"/>
      <c r="H698" s="236"/>
      <c r="I698" s="236"/>
      <c r="J698" s="236"/>
      <c r="K698" s="330"/>
      <c r="L698" s="330"/>
      <c r="M698" s="236"/>
      <c r="N698" s="236"/>
      <c r="O698" s="236"/>
      <c r="P698" s="236"/>
      <c r="Q698" s="236"/>
      <c r="R698" s="236"/>
      <c r="S698" s="236"/>
      <c r="T698" s="236"/>
      <c r="U698" s="236"/>
      <c r="V698" s="236"/>
      <c r="W698" s="236"/>
    </row>
    <row r="699">
      <c r="A699" s="236"/>
      <c r="B699" s="236"/>
      <c r="C699" s="236"/>
      <c r="D699" s="236"/>
      <c r="E699" s="236"/>
      <c r="F699" s="236"/>
      <c r="G699" s="236"/>
      <c r="H699" s="236"/>
      <c r="I699" s="236"/>
      <c r="J699" s="236"/>
      <c r="K699" s="330"/>
      <c r="L699" s="330"/>
      <c r="M699" s="236"/>
      <c r="N699" s="236"/>
      <c r="O699" s="236"/>
      <c r="P699" s="236"/>
      <c r="Q699" s="236"/>
      <c r="R699" s="236"/>
      <c r="S699" s="236"/>
      <c r="T699" s="236"/>
      <c r="U699" s="236"/>
      <c r="V699" s="236"/>
      <c r="W699" s="236"/>
    </row>
    <row r="700">
      <c r="A700" s="236"/>
      <c r="B700" s="236"/>
      <c r="C700" s="236"/>
      <c r="D700" s="236"/>
      <c r="E700" s="236"/>
      <c r="F700" s="236"/>
      <c r="G700" s="236"/>
      <c r="H700" s="236"/>
      <c r="I700" s="236"/>
      <c r="J700" s="236"/>
      <c r="K700" s="330"/>
      <c r="L700" s="330"/>
      <c r="M700" s="236"/>
      <c r="N700" s="236"/>
      <c r="O700" s="236"/>
      <c r="P700" s="236"/>
      <c r="Q700" s="236"/>
      <c r="R700" s="236"/>
      <c r="S700" s="236"/>
      <c r="T700" s="236"/>
      <c r="U700" s="236"/>
      <c r="V700" s="236"/>
      <c r="W700" s="236"/>
    </row>
    <row r="701">
      <c r="A701" s="236"/>
      <c r="B701" s="236"/>
      <c r="C701" s="236"/>
      <c r="D701" s="236"/>
      <c r="E701" s="236"/>
      <c r="F701" s="236"/>
      <c r="G701" s="236"/>
      <c r="H701" s="236"/>
      <c r="I701" s="236"/>
      <c r="J701" s="236"/>
      <c r="K701" s="330"/>
      <c r="L701" s="330"/>
      <c r="M701" s="236"/>
      <c r="N701" s="236"/>
      <c r="O701" s="236"/>
      <c r="P701" s="236"/>
      <c r="Q701" s="236"/>
      <c r="R701" s="236"/>
      <c r="S701" s="236"/>
      <c r="T701" s="236"/>
      <c r="U701" s="236"/>
      <c r="V701" s="236"/>
      <c r="W701" s="236"/>
    </row>
    <row r="702">
      <c r="A702" s="236"/>
      <c r="B702" s="236"/>
      <c r="C702" s="236"/>
      <c r="D702" s="236"/>
      <c r="E702" s="236"/>
      <c r="F702" s="236"/>
      <c r="G702" s="236"/>
      <c r="H702" s="236"/>
      <c r="I702" s="236"/>
      <c r="J702" s="236"/>
      <c r="K702" s="330"/>
      <c r="L702" s="330"/>
      <c r="M702" s="236"/>
      <c r="N702" s="236"/>
      <c r="O702" s="236"/>
      <c r="P702" s="236"/>
      <c r="Q702" s="236"/>
      <c r="R702" s="236"/>
      <c r="S702" s="236"/>
      <c r="T702" s="236"/>
      <c r="U702" s="236"/>
      <c r="V702" s="236"/>
      <c r="W702" s="236"/>
    </row>
    <row r="703">
      <c r="A703" s="236"/>
      <c r="B703" s="236"/>
      <c r="C703" s="236"/>
      <c r="D703" s="236"/>
      <c r="E703" s="236"/>
      <c r="F703" s="236"/>
      <c r="G703" s="236"/>
      <c r="H703" s="236"/>
      <c r="I703" s="236"/>
      <c r="J703" s="236"/>
      <c r="K703" s="330"/>
      <c r="L703" s="330"/>
      <c r="M703" s="236"/>
      <c r="N703" s="236"/>
      <c r="O703" s="236"/>
      <c r="P703" s="236"/>
      <c r="Q703" s="236"/>
      <c r="R703" s="236"/>
      <c r="S703" s="236"/>
      <c r="T703" s="236"/>
      <c r="U703" s="236"/>
      <c r="V703" s="236"/>
      <c r="W703" s="236"/>
    </row>
    <row r="704">
      <c r="A704" s="236"/>
      <c r="B704" s="236"/>
      <c r="C704" s="236"/>
      <c r="D704" s="236"/>
      <c r="E704" s="236"/>
      <c r="F704" s="236"/>
      <c r="G704" s="236"/>
      <c r="H704" s="236"/>
      <c r="I704" s="236"/>
      <c r="J704" s="236"/>
      <c r="K704" s="330"/>
      <c r="L704" s="330"/>
      <c r="M704" s="236"/>
      <c r="N704" s="236"/>
      <c r="O704" s="236"/>
      <c r="P704" s="236"/>
      <c r="Q704" s="236"/>
      <c r="R704" s="236"/>
      <c r="S704" s="236"/>
      <c r="T704" s="236"/>
      <c r="U704" s="236"/>
      <c r="V704" s="236"/>
      <c r="W704" s="236"/>
    </row>
    <row r="705">
      <c r="A705" s="236"/>
      <c r="B705" s="236"/>
      <c r="C705" s="236"/>
      <c r="D705" s="236"/>
      <c r="E705" s="236"/>
      <c r="F705" s="236"/>
      <c r="G705" s="236"/>
      <c r="H705" s="236"/>
      <c r="I705" s="236"/>
      <c r="J705" s="236"/>
      <c r="K705" s="330"/>
      <c r="L705" s="330"/>
      <c r="M705" s="236"/>
      <c r="N705" s="236"/>
      <c r="O705" s="236"/>
      <c r="P705" s="236"/>
      <c r="Q705" s="236"/>
      <c r="R705" s="236"/>
      <c r="S705" s="236"/>
      <c r="T705" s="236"/>
      <c r="U705" s="236"/>
      <c r="V705" s="236"/>
      <c r="W705" s="236"/>
    </row>
    <row r="706">
      <c r="A706" s="236"/>
      <c r="B706" s="236"/>
      <c r="C706" s="236"/>
      <c r="D706" s="236"/>
      <c r="E706" s="236"/>
      <c r="F706" s="236"/>
      <c r="G706" s="236"/>
      <c r="H706" s="236"/>
      <c r="I706" s="236"/>
      <c r="J706" s="236"/>
      <c r="K706" s="330"/>
      <c r="L706" s="330"/>
      <c r="M706" s="236"/>
      <c r="N706" s="236"/>
      <c r="O706" s="236"/>
      <c r="P706" s="236"/>
      <c r="Q706" s="236"/>
      <c r="R706" s="236"/>
      <c r="S706" s="236"/>
      <c r="T706" s="236"/>
      <c r="U706" s="236"/>
      <c r="V706" s="236"/>
      <c r="W706" s="236"/>
    </row>
    <row r="707">
      <c r="A707" s="236"/>
      <c r="B707" s="236"/>
      <c r="C707" s="236"/>
      <c r="D707" s="236"/>
      <c r="E707" s="236"/>
      <c r="F707" s="236"/>
      <c r="G707" s="236"/>
      <c r="H707" s="236"/>
      <c r="I707" s="236"/>
      <c r="J707" s="236"/>
      <c r="K707" s="330"/>
      <c r="L707" s="330"/>
      <c r="M707" s="236"/>
      <c r="N707" s="236"/>
      <c r="O707" s="236"/>
      <c r="P707" s="236"/>
      <c r="Q707" s="236"/>
      <c r="R707" s="236"/>
      <c r="S707" s="236"/>
      <c r="T707" s="236"/>
      <c r="U707" s="236"/>
      <c r="V707" s="236"/>
      <c r="W707" s="236"/>
    </row>
    <row r="708">
      <c r="A708" s="236"/>
      <c r="B708" s="236"/>
      <c r="C708" s="236"/>
      <c r="D708" s="236"/>
      <c r="E708" s="236"/>
      <c r="F708" s="236"/>
      <c r="G708" s="236"/>
      <c r="H708" s="236"/>
      <c r="I708" s="236"/>
      <c r="J708" s="236"/>
      <c r="K708" s="330"/>
      <c r="L708" s="330"/>
      <c r="M708" s="236"/>
      <c r="N708" s="236"/>
      <c r="O708" s="236"/>
      <c r="P708" s="236"/>
      <c r="Q708" s="236"/>
      <c r="R708" s="236"/>
      <c r="S708" s="236"/>
      <c r="T708" s="236"/>
      <c r="U708" s="236"/>
      <c r="V708" s="236"/>
      <c r="W708" s="236"/>
    </row>
    <row r="709">
      <c r="A709" s="236"/>
      <c r="B709" s="236"/>
      <c r="C709" s="236"/>
      <c r="D709" s="236"/>
      <c r="E709" s="236"/>
      <c r="F709" s="236"/>
      <c r="G709" s="236"/>
      <c r="H709" s="236"/>
      <c r="I709" s="236"/>
      <c r="J709" s="236"/>
      <c r="K709" s="330"/>
      <c r="L709" s="330"/>
      <c r="M709" s="236"/>
      <c r="N709" s="236"/>
      <c r="O709" s="236"/>
      <c r="P709" s="236"/>
      <c r="Q709" s="236"/>
      <c r="R709" s="236"/>
      <c r="S709" s="236"/>
      <c r="T709" s="236"/>
      <c r="U709" s="236"/>
      <c r="V709" s="236"/>
      <c r="W709" s="236"/>
    </row>
    <row r="710">
      <c r="A710" s="236"/>
      <c r="B710" s="236"/>
      <c r="C710" s="236"/>
      <c r="D710" s="236"/>
      <c r="E710" s="236"/>
      <c r="F710" s="236"/>
      <c r="G710" s="236"/>
      <c r="H710" s="236"/>
      <c r="I710" s="236"/>
      <c r="J710" s="236"/>
      <c r="K710" s="330"/>
      <c r="L710" s="330"/>
      <c r="M710" s="236"/>
      <c r="N710" s="236"/>
      <c r="O710" s="236"/>
      <c r="P710" s="236"/>
      <c r="Q710" s="236"/>
      <c r="R710" s="236"/>
      <c r="S710" s="236"/>
      <c r="T710" s="236"/>
      <c r="U710" s="236"/>
      <c r="V710" s="236"/>
      <c r="W710" s="236"/>
    </row>
    <row r="711">
      <c r="A711" s="236"/>
      <c r="B711" s="236"/>
      <c r="C711" s="236"/>
      <c r="D711" s="236"/>
      <c r="E711" s="236"/>
      <c r="F711" s="236"/>
      <c r="G711" s="236"/>
      <c r="H711" s="236"/>
      <c r="I711" s="236"/>
      <c r="J711" s="236"/>
      <c r="K711" s="330"/>
      <c r="L711" s="330"/>
      <c r="M711" s="236"/>
      <c r="N711" s="236"/>
      <c r="O711" s="236"/>
      <c r="P711" s="236"/>
      <c r="Q711" s="236"/>
      <c r="R711" s="236"/>
      <c r="S711" s="236"/>
      <c r="T711" s="236"/>
      <c r="U711" s="236"/>
      <c r="V711" s="236"/>
      <c r="W711" s="236"/>
    </row>
    <row r="712">
      <c r="A712" s="236"/>
      <c r="B712" s="236"/>
      <c r="C712" s="236"/>
      <c r="D712" s="236"/>
      <c r="E712" s="236"/>
      <c r="F712" s="236"/>
      <c r="G712" s="236"/>
      <c r="H712" s="236"/>
      <c r="I712" s="236"/>
      <c r="J712" s="236"/>
      <c r="K712" s="330"/>
      <c r="L712" s="330"/>
      <c r="M712" s="236"/>
      <c r="N712" s="236"/>
      <c r="O712" s="236"/>
      <c r="P712" s="236"/>
      <c r="Q712" s="236"/>
      <c r="R712" s="236"/>
      <c r="S712" s="236"/>
      <c r="T712" s="236"/>
      <c r="U712" s="236"/>
      <c r="V712" s="236"/>
      <c r="W712" s="236"/>
    </row>
    <row r="713">
      <c r="A713" s="236"/>
      <c r="B713" s="236"/>
      <c r="C713" s="236"/>
      <c r="D713" s="236"/>
      <c r="E713" s="236"/>
      <c r="F713" s="236"/>
      <c r="G713" s="236"/>
      <c r="H713" s="236"/>
      <c r="I713" s="236"/>
      <c r="J713" s="236"/>
      <c r="K713" s="330"/>
      <c r="L713" s="330"/>
      <c r="M713" s="236"/>
      <c r="N713" s="236"/>
      <c r="O713" s="236"/>
      <c r="P713" s="236"/>
      <c r="Q713" s="236"/>
      <c r="R713" s="236"/>
      <c r="S713" s="236"/>
      <c r="T713" s="236"/>
      <c r="U713" s="236"/>
      <c r="V713" s="236"/>
      <c r="W713" s="236"/>
    </row>
    <row r="714">
      <c r="A714" s="236"/>
      <c r="B714" s="236"/>
      <c r="C714" s="236"/>
      <c r="D714" s="236"/>
      <c r="E714" s="236"/>
      <c r="F714" s="236"/>
      <c r="G714" s="236"/>
      <c r="H714" s="236"/>
      <c r="I714" s="236"/>
      <c r="J714" s="236"/>
      <c r="K714" s="330"/>
      <c r="L714" s="330"/>
      <c r="M714" s="236"/>
      <c r="N714" s="236"/>
      <c r="O714" s="236"/>
      <c r="P714" s="236"/>
      <c r="Q714" s="236"/>
      <c r="R714" s="236"/>
      <c r="S714" s="236"/>
      <c r="T714" s="236"/>
      <c r="U714" s="236"/>
      <c r="V714" s="236"/>
      <c r="W714" s="236"/>
    </row>
    <row r="715">
      <c r="A715" s="236"/>
      <c r="B715" s="236"/>
      <c r="C715" s="236"/>
      <c r="D715" s="236"/>
      <c r="E715" s="236"/>
      <c r="F715" s="236"/>
      <c r="G715" s="236"/>
      <c r="H715" s="236"/>
      <c r="I715" s="236"/>
      <c r="J715" s="236"/>
      <c r="K715" s="330"/>
      <c r="L715" s="330"/>
      <c r="M715" s="236"/>
      <c r="N715" s="236"/>
      <c r="O715" s="236"/>
      <c r="P715" s="236"/>
      <c r="Q715" s="236"/>
      <c r="R715" s="236"/>
      <c r="S715" s="236"/>
      <c r="T715" s="236"/>
      <c r="U715" s="236"/>
      <c r="V715" s="236"/>
      <c r="W715" s="236"/>
    </row>
    <row r="716">
      <c r="A716" s="236"/>
      <c r="B716" s="236"/>
      <c r="C716" s="236"/>
      <c r="D716" s="236"/>
      <c r="E716" s="236"/>
      <c r="F716" s="236"/>
      <c r="G716" s="236"/>
      <c r="H716" s="236"/>
      <c r="I716" s="236"/>
      <c r="J716" s="236"/>
      <c r="K716" s="330"/>
      <c r="L716" s="330"/>
      <c r="M716" s="236"/>
      <c r="N716" s="236"/>
      <c r="O716" s="236"/>
      <c r="P716" s="236"/>
      <c r="Q716" s="236"/>
      <c r="R716" s="236"/>
      <c r="S716" s="236"/>
      <c r="T716" s="236"/>
      <c r="U716" s="236"/>
      <c r="V716" s="236"/>
      <c r="W716" s="236"/>
    </row>
    <row r="717">
      <c r="A717" s="236"/>
      <c r="B717" s="236"/>
      <c r="C717" s="236"/>
      <c r="D717" s="236"/>
      <c r="E717" s="236"/>
      <c r="F717" s="236"/>
      <c r="G717" s="236"/>
      <c r="H717" s="236"/>
      <c r="I717" s="236"/>
      <c r="J717" s="236"/>
      <c r="K717" s="330"/>
      <c r="L717" s="330"/>
      <c r="M717" s="236"/>
      <c r="N717" s="236"/>
      <c r="O717" s="236"/>
      <c r="P717" s="236"/>
      <c r="Q717" s="236"/>
      <c r="R717" s="236"/>
      <c r="S717" s="236"/>
      <c r="T717" s="236"/>
      <c r="U717" s="236"/>
      <c r="V717" s="236"/>
      <c r="W717" s="236"/>
    </row>
    <row r="718">
      <c r="A718" s="236"/>
      <c r="B718" s="236"/>
      <c r="C718" s="236"/>
      <c r="D718" s="236"/>
      <c r="E718" s="236"/>
      <c r="F718" s="236"/>
      <c r="G718" s="236"/>
      <c r="H718" s="236"/>
      <c r="I718" s="236"/>
      <c r="J718" s="236"/>
      <c r="K718" s="330"/>
      <c r="L718" s="330"/>
      <c r="M718" s="236"/>
      <c r="N718" s="236"/>
      <c r="O718" s="236"/>
      <c r="P718" s="236"/>
      <c r="Q718" s="236"/>
      <c r="R718" s="236"/>
      <c r="S718" s="236"/>
      <c r="T718" s="236"/>
      <c r="U718" s="236"/>
      <c r="V718" s="236"/>
      <c r="W718" s="236"/>
    </row>
    <row r="719">
      <c r="A719" s="236"/>
      <c r="B719" s="236"/>
      <c r="C719" s="236"/>
      <c r="D719" s="236"/>
      <c r="E719" s="236"/>
      <c r="F719" s="236"/>
      <c r="G719" s="236"/>
      <c r="H719" s="236"/>
      <c r="I719" s="236"/>
      <c r="J719" s="236"/>
      <c r="K719" s="330"/>
      <c r="L719" s="330"/>
      <c r="M719" s="236"/>
      <c r="N719" s="236"/>
      <c r="O719" s="236"/>
      <c r="P719" s="236"/>
      <c r="Q719" s="236"/>
      <c r="R719" s="236"/>
      <c r="S719" s="236"/>
      <c r="T719" s="236"/>
      <c r="U719" s="236"/>
      <c r="V719" s="236"/>
      <c r="W719" s="236"/>
    </row>
    <row r="720">
      <c r="A720" s="236"/>
      <c r="B720" s="236"/>
      <c r="C720" s="236"/>
      <c r="D720" s="236"/>
      <c r="E720" s="236"/>
      <c r="F720" s="236"/>
      <c r="G720" s="236"/>
      <c r="H720" s="236"/>
      <c r="I720" s="236"/>
      <c r="J720" s="236"/>
      <c r="K720" s="330"/>
      <c r="L720" s="330"/>
      <c r="M720" s="236"/>
      <c r="N720" s="236"/>
      <c r="O720" s="236"/>
      <c r="P720" s="236"/>
      <c r="Q720" s="236"/>
      <c r="R720" s="236"/>
      <c r="S720" s="236"/>
      <c r="T720" s="236"/>
      <c r="U720" s="236"/>
      <c r="V720" s="236"/>
      <c r="W720" s="236"/>
    </row>
    <row r="721">
      <c r="A721" s="236"/>
      <c r="B721" s="236"/>
      <c r="C721" s="236"/>
      <c r="D721" s="236"/>
      <c r="E721" s="236"/>
      <c r="F721" s="236"/>
      <c r="G721" s="236"/>
      <c r="H721" s="236"/>
      <c r="I721" s="236"/>
      <c r="J721" s="236"/>
      <c r="K721" s="330"/>
      <c r="L721" s="330"/>
      <c r="M721" s="236"/>
      <c r="N721" s="236"/>
      <c r="O721" s="236"/>
      <c r="P721" s="236"/>
      <c r="Q721" s="236"/>
      <c r="R721" s="236"/>
      <c r="S721" s="236"/>
      <c r="T721" s="236"/>
      <c r="U721" s="236"/>
      <c r="V721" s="236"/>
      <c r="W721" s="236"/>
    </row>
    <row r="722">
      <c r="A722" s="236"/>
      <c r="B722" s="236"/>
      <c r="C722" s="236"/>
      <c r="D722" s="236"/>
      <c r="E722" s="236"/>
      <c r="F722" s="236"/>
      <c r="G722" s="236"/>
      <c r="H722" s="236"/>
      <c r="I722" s="236"/>
      <c r="J722" s="236"/>
      <c r="K722" s="330"/>
      <c r="L722" s="330"/>
      <c r="M722" s="236"/>
      <c r="N722" s="236"/>
      <c r="O722" s="236"/>
      <c r="P722" s="236"/>
      <c r="Q722" s="236"/>
      <c r="R722" s="236"/>
      <c r="S722" s="236"/>
      <c r="T722" s="236"/>
      <c r="U722" s="236"/>
      <c r="V722" s="236"/>
      <c r="W722" s="236"/>
    </row>
    <row r="723">
      <c r="A723" s="236"/>
      <c r="B723" s="236"/>
      <c r="C723" s="236"/>
      <c r="D723" s="236"/>
      <c r="E723" s="236"/>
      <c r="F723" s="236"/>
      <c r="G723" s="236"/>
      <c r="H723" s="236"/>
      <c r="I723" s="236"/>
      <c r="J723" s="236"/>
      <c r="K723" s="330"/>
      <c r="L723" s="330"/>
      <c r="M723" s="236"/>
      <c r="N723" s="236"/>
      <c r="O723" s="236"/>
      <c r="P723" s="236"/>
      <c r="Q723" s="236"/>
      <c r="R723" s="236"/>
      <c r="S723" s="236"/>
      <c r="T723" s="236"/>
      <c r="U723" s="236"/>
      <c r="V723" s="236"/>
      <c r="W723" s="236"/>
    </row>
    <row r="724">
      <c r="A724" s="236"/>
      <c r="B724" s="236"/>
      <c r="C724" s="236"/>
      <c r="D724" s="236"/>
      <c r="E724" s="236"/>
      <c r="F724" s="236"/>
      <c r="G724" s="236"/>
      <c r="H724" s="236"/>
      <c r="I724" s="236"/>
      <c r="J724" s="236"/>
      <c r="K724" s="330"/>
      <c r="L724" s="330"/>
      <c r="M724" s="236"/>
      <c r="N724" s="236"/>
      <c r="O724" s="236"/>
      <c r="P724" s="236"/>
      <c r="Q724" s="236"/>
      <c r="R724" s="236"/>
      <c r="S724" s="236"/>
      <c r="T724" s="236"/>
      <c r="U724" s="236"/>
      <c r="V724" s="236"/>
      <c r="W724" s="236"/>
    </row>
    <row r="725">
      <c r="A725" s="236"/>
      <c r="B725" s="236"/>
      <c r="C725" s="236"/>
      <c r="D725" s="236"/>
      <c r="E725" s="236"/>
      <c r="F725" s="236"/>
      <c r="G725" s="236"/>
      <c r="H725" s="236"/>
      <c r="I725" s="236"/>
      <c r="J725" s="236"/>
      <c r="K725" s="330"/>
      <c r="L725" s="330"/>
      <c r="M725" s="236"/>
      <c r="N725" s="236"/>
      <c r="O725" s="236"/>
      <c r="P725" s="236"/>
      <c r="Q725" s="236"/>
      <c r="R725" s="236"/>
      <c r="S725" s="236"/>
      <c r="T725" s="236"/>
      <c r="U725" s="236"/>
      <c r="V725" s="236"/>
      <c r="W725" s="236"/>
    </row>
    <row r="726">
      <c r="A726" s="236"/>
      <c r="B726" s="236"/>
      <c r="C726" s="236"/>
      <c r="D726" s="236"/>
      <c r="E726" s="236"/>
      <c r="F726" s="236"/>
      <c r="G726" s="236"/>
      <c r="H726" s="236"/>
      <c r="I726" s="236"/>
      <c r="J726" s="236"/>
      <c r="K726" s="330"/>
      <c r="L726" s="330"/>
      <c r="M726" s="236"/>
      <c r="N726" s="236"/>
      <c r="O726" s="236"/>
      <c r="P726" s="236"/>
      <c r="Q726" s="236"/>
      <c r="R726" s="236"/>
      <c r="S726" s="236"/>
      <c r="T726" s="236"/>
      <c r="U726" s="236"/>
      <c r="V726" s="236"/>
      <c r="W726" s="236"/>
    </row>
    <row r="727">
      <c r="A727" s="236"/>
      <c r="B727" s="236"/>
      <c r="C727" s="236"/>
      <c r="D727" s="236"/>
      <c r="E727" s="236"/>
      <c r="F727" s="236"/>
      <c r="G727" s="236"/>
      <c r="H727" s="236"/>
      <c r="I727" s="236"/>
      <c r="J727" s="236"/>
      <c r="K727" s="330"/>
      <c r="L727" s="330"/>
      <c r="M727" s="236"/>
      <c r="N727" s="236"/>
      <c r="O727" s="236"/>
      <c r="P727" s="236"/>
      <c r="Q727" s="236"/>
      <c r="R727" s="236"/>
      <c r="S727" s="236"/>
      <c r="T727" s="236"/>
      <c r="U727" s="236"/>
      <c r="V727" s="236"/>
      <c r="W727" s="236"/>
    </row>
    <row r="728">
      <c r="A728" s="236"/>
      <c r="B728" s="236"/>
      <c r="C728" s="236"/>
      <c r="D728" s="236"/>
      <c r="E728" s="236"/>
      <c r="F728" s="236"/>
      <c r="G728" s="236"/>
      <c r="H728" s="236"/>
      <c r="I728" s="236"/>
      <c r="J728" s="236"/>
      <c r="K728" s="330"/>
      <c r="L728" s="330"/>
      <c r="M728" s="236"/>
      <c r="N728" s="236"/>
      <c r="O728" s="236"/>
      <c r="P728" s="236"/>
      <c r="Q728" s="236"/>
      <c r="R728" s="236"/>
      <c r="S728" s="236"/>
      <c r="T728" s="236"/>
      <c r="U728" s="236"/>
      <c r="V728" s="236"/>
      <c r="W728" s="236"/>
    </row>
    <row r="729">
      <c r="A729" s="236"/>
      <c r="B729" s="236"/>
      <c r="C729" s="236"/>
      <c r="D729" s="236"/>
      <c r="E729" s="236"/>
      <c r="F729" s="236"/>
      <c r="G729" s="236"/>
      <c r="H729" s="236"/>
      <c r="I729" s="236"/>
      <c r="J729" s="236"/>
      <c r="K729" s="330"/>
      <c r="L729" s="330"/>
      <c r="M729" s="236"/>
      <c r="N729" s="236"/>
      <c r="O729" s="236"/>
      <c r="P729" s="236"/>
      <c r="Q729" s="236"/>
      <c r="R729" s="236"/>
      <c r="S729" s="236"/>
      <c r="T729" s="236"/>
      <c r="U729" s="236"/>
      <c r="V729" s="236"/>
      <c r="W729" s="236"/>
    </row>
    <row r="730">
      <c r="A730" s="236"/>
      <c r="B730" s="236"/>
      <c r="C730" s="236"/>
      <c r="D730" s="236"/>
      <c r="E730" s="236"/>
      <c r="F730" s="236"/>
      <c r="G730" s="236"/>
      <c r="H730" s="236"/>
      <c r="I730" s="236"/>
      <c r="J730" s="236"/>
      <c r="K730" s="330"/>
      <c r="L730" s="330"/>
      <c r="M730" s="236"/>
      <c r="N730" s="236"/>
      <c r="O730" s="236"/>
      <c r="P730" s="236"/>
      <c r="Q730" s="236"/>
      <c r="R730" s="236"/>
      <c r="S730" s="236"/>
      <c r="T730" s="236"/>
      <c r="U730" s="236"/>
      <c r="V730" s="236"/>
      <c r="W730" s="236"/>
    </row>
    <row r="731">
      <c r="A731" s="236"/>
      <c r="B731" s="236"/>
      <c r="C731" s="236"/>
      <c r="D731" s="236"/>
      <c r="E731" s="236"/>
      <c r="F731" s="236"/>
      <c r="G731" s="236"/>
      <c r="H731" s="236"/>
      <c r="I731" s="236"/>
      <c r="J731" s="236"/>
      <c r="K731" s="330"/>
      <c r="L731" s="330"/>
      <c r="M731" s="236"/>
      <c r="N731" s="236"/>
      <c r="O731" s="236"/>
      <c r="P731" s="236"/>
      <c r="Q731" s="236"/>
      <c r="R731" s="236"/>
      <c r="S731" s="236"/>
      <c r="T731" s="236"/>
      <c r="U731" s="236"/>
      <c r="V731" s="236"/>
      <c r="W731" s="236"/>
    </row>
    <row r="732">
      <c r="A732" s="236"/>
      <c r="B732" s="236"/>
      <c r="C732" s="236"/>
      <c r="D732" s="236"/>
      <c r="E732" s="236"/>
      <c r="F732" s="236"/>
      <c r="G732" s="236"/>
      <c r="H732" s="236"/>
      <c r="I732" s="236"/>
      <c r="J732" s="236"/>
      <c r="K732" s="330"/>
      <c r="L732" s="330"/>
      <c r="M732" s="236"/>
      <c r="N732" s="236"/>
      <c r="O732" s="236"/>
      <c r="P732" s="236"/>
      <c r="Q732" s="236"/>
      <c r="R732" s="236"/>
      <c r="S732" s="236"/>
      <c r="T732" s="236"/>
      <c r="U732" s="236"/>
      <c r="V732" s="236"/>
      <c r="W732" s="236"/>
    </row>
    <row r="733">
      <c r="A733" s="236"/>
      <c r="B733" s="236"/>
      <c r="C733" s="236"/>
      <c r="D733" s="236"/>
      <c r="E733" s="236"/>
      <c r="F733" s="236"/>
      <c r="G733" s="236"/>
      <c r="H733" s="236"/>
      <c r="I733" s="236"/>
      <c r="J733" s="236"/>
      <c r="K733" s="330"/>
      <c r="L733" s="330"/>
      <c r="M733" s="236"/>
      <c r="N733" s="236"/>
      <c r="O733" s="236"/>
      <c r="P733" s="236"/>
      <c r="Q733" s="236"/>
      <c r="R733" s="236"/>
      <c r="S733" s="236"/>
      <c r="T733" s="236"/>
      <c r="U733" s="236"/>
      <c r="V733" s="236"/>
      <c r="W733" s="236"/>
    </row>
    <row r="734">
      <c r="A734" s="236"/>
      <c r="B734" s="236"/>
      <c r="C734" s="236"/>
      <c r="D734" s="236"/>
      <c r="E734" s="236"/>
      <c r="F734" s="236"/>
      <c r="G734" s="236"/>
      <c r="H734" s="236"/>
      <c r="I734" s="236"/>
      <c r="J734" s="236"/>
      <c r="K734" s="330"/>
      <c r="L734" s="330"/>
      <c r="M734" s="236"/>
      <c r="N734" s="236"/>
      <c r="O734" s="236"/>
      <c r="P734" s="236"/>
      <c r="Q734" s="236"/>
      <c r="R734" s="236"/>
      <c r="S734" s="236"/>
      <c r="T734" s="236"/>
      <c r="U734" s="236"/>
      <c r="V734" s="236"/>
      <c r="W734" s="236"/>
    </row>
    <row r="735">
      <c r="A735" s="236"/>
      <c r="B735" s="236"/>
      <c r="C735" s="236"/>
      <c r="D735" s="236"/>
      <c r="E735" s="236"/>
      <c r="F735" s="236"/>
      <c r="G735" s="236"/>
      <c r="H735" s="236"/>
      <c r="I735" s="236"/>
      <c r="J735" s="236"/>
      <c r="K735" s="330"/>
      <c r="L735" s="330"/>
      <c r="M735" s="236"/>
      <c r="N735" s="236"/>
      <c r="O735" s="236"/>
      <c r="P735" s="236"/>
      <c r="Q735" s="236"/>
      <c r="R735" s="236"/>
      <c r="S735" s="236"/>
      <c r="T735" s="236"/>
      <c r="U735" s="236"/>
      <c r="V735" s="236"/>
      <c r="W735" s="236"/>
    </row>
    <row r="736">
      <c r="A736" s="236"/>
      <c r="B736" s="236"/>
      <c r="C736" s="236"/>
      <c r="D736" s="236"/>
      <c r="E736" s="236"/>
      <c r="F736" s="236"/>
      <c r="G736" s="236"/>
      <c r="H736" s="236"/>
      <c r="I736" s="236"/>
      <c r="J736" s="236"/>
      <c r="K736" s="330"/>
      <c r="L736" s="330"/>
      <c r="M736" s="236"/>
      <c r="N736" s="236"/>
      <c r="O736" s="236"/>
      <c r="P736" s="236"/>
      <c r="Q736" s="236"/>
      <c r="R736" s="236"/>
      <c r="S736" s="236"/>
      <c r="T736" s="236"/>
      <c r="U736" s="236"/>
      <c r="V736" s="236"/>
      <c r="W736" s="236"/>
    </row>
    <row r="737">
      <c r="A737" s="236"/>
      <c r="B737" s="236"/>
      <c r="C737" s="236"/>
      <c r="D737" s="236"/>
      <c r="E737" s="236"/>
      <c r="F737" s="236"/>
      <c r="G737" s="236"/>
      <c r="H737" s="236"/>
      <c r="I737" s="236"/>
      <c r="J737" s="236"/>
      <c r="K737" s="330"/>
      <c r="L737" s="330"/>
      <c r="M737" s="236"/>
      <c r="N737" s="236"/>
      <c r="O737" s="236"/>
      <c r="P737" s="236"/>
      <c r="Q737" s="236"/>
      <c r="R737" s="236"/>
      <c r="S737" s="236"/>
      <c r="T737" s="236"/>
      <c r="U737" s="236"/>
      <c r="V737" s="236"/>
      <c r="W737" s="236"/>
    </row>
    <row r="738">
      <c r="A738" s="236"/>
      <c r="B738" s="236"/>
      <c r="C738" s="236"/>
      <c r="D738" s="236"/>
      <c r="E738" s="236"/>
      <c r="F738" s="236"/>
      <c r="G738" s="236"/>
      <c r="H738" s="236"/>
      <c r="I738" s="236"/>
      <c r="J738" s="236"/>
      <c r="K738" s="330"/>
      <c r="L738" s="330"/>
      <c r="M738" s="236"/>
      <c r="N738" s="236"/>
      <c r="O738" s="236"/>
      <c r="P738" s="236"/>
      <c r="Q738" s="236"/>
      <c r="R738" s="236"/>
      <c r="S738" s="236"/>
      <c r="T738" s="236"/>
      <c r="U738" s="236"/>
      <c r="V738" s="236"/>
      <c r="W738" s="236"/>
    </row>
    <row r="739">
      <c r="A739" s="236"/>
      <c r="B739" s="236"/>
      <c r="C739" s="236"/>
      <c r="D739" s="236"/>
      <c r="E739" s="236"/>
      <c r="F739" s="236"/>
      <c r="G739" s="236"/>
      <c r="H739" s="236"/>
      <c r="I739" s="236"/>
      <c r="J739" s="236"/>
      <c r="K739" s="330"/>
      <c r="L739" s="330"/>
      <c r="M739" s="236"/>
      <c r="N739" s="236"/>
      <c r="O739" s="236"/>
      <c r="P739" s="236"/>
      <c r="Q739" s="236"/>
      <c r="R739" s="236"/>
      <c r="S739" s="236"/>
      <c r="T739" s="236"/>
      <c r="U739" s="236"/>
      <c r="V739" s="236"/>
      <c r="W739" s="236"/>
    </row>
    <row r="740">
      <c r="A740" s="236"/>
      <c r="B740" s="236"/>
      <c r="C740" s="236"/>
      <c r="D740" s="236"/>
      <c r="E740" s="236"/>
      <c r="F740" s="236"/>
      <c r="G740" s="236"/>
      <c r="H740" s="236"/>
      <c r="I740" s="236"/>
      <c r="J740" s="236"/>
      <c r="K740" s="330"/>
      <c r="L740" s="330"/>
      <c r="M740" s="236"/>
      <c r="N740" s="236"/>
      <c r="O740" s="236"/>
      <c r="P740" s="236"/>
      <c r="Q740" s="236"/>
      <c r="R740" s="236"/>
      <c r="S740" s="236"/>
      <c r="T740" s="236"/>
      <c r="U740" s="236"/>
      <c r="V740" s="236"/>
      <c r="W740" s="236"/>
    </row>
    <row r="741">
      <c r="A741" s="236"/>
      <c r="B741" s="236"/>
      <c r="C741" s="236"/>
      <c r="D741" s="236"/>
      <c r="E741" s="236"/>
      <c r="F741" s="236"/>
      <c r="G741" s="236"/>
      <c r="H741" s="236"/>
      <c r="I741" s="236"/>
      <c r="J741" s="236"/>
      <c r="K741" s="330"/>
      <c r="L741" s="330"/>
      <c r="M741" s="236"/>
      <c r="N741" s="236"/>
      <c r="O741" s="236"/>
      <c r="P741" s="236"/>
      <c r="Q741" s="236"/>
      <c r="R741" s="236"/>
      <c r="S741" s="236"/>
      <c r="T741" s="236"/>
      <c r="U741" s="236"/>
      <c r="V741" s="236"/>
      <c r="W741" s="236"/>
    </row>
    <row r="742">
      <c r="A742" s="236"/>
      <c r="B742" s="236"/>
      <c r="C742" s="236"/>
      <c r="D742" s="236"/>
      <c r="E742" s="236"/>
      <c r="F742" s="236"/>
      <c r="G742" s="236"/>
      <c r="H742" s="236"/>
      <c r="I742" s="236"/>
      <c r="J742" s="236"/>
      <c r="K742" s="330"/>
      <c r="L742" s="330"/>
      <c r="M742" s="236"/>
      <c r="N742" s="236"/>
      <c r="O742" s="236"/>
      <c r="P742" s="236"/>
      <c r="Q742" s="236"/>
      <c r="R742" s="236"/>
      <c r="S742" s="236"/>
      <c r="T742" s="236"/>
      <c r="U742" s="236"/>
      <c r="V742" s="236"/>
      <c r="W742" s="236"/>
    </row>
    <row r="743">
      <c r="A743" s="236"/>
      <c r="B743" s="236"/>
      <c r="C743" s="236"/>
      <c r="D743" s="236"/>
      <c r="E743" s="236"/>
      <c r="F743" s="236"/>
      <c r="G743" s="236"/>
      <c r="H743" s="236"/>
      <c r="I743" s="236"/>
      <c r="J743" s="236"/>
      <c r="K743" s="330"/>
      <c r="L743" s="330"/>
      <c r="M743" s="236"/>
      <c r="N743" s="236"/>
      <c r="O743" s="236"/>
      <c r="P743" s="236"/>
      <c r="Q743" s="236"/>
      <c r="R743" s="236"/>
      <c r="S743" s="236"/>
      <c r="T743" s="236"/>
      <c r="U743" s="236"/>
      <c r="V743" s="236"/>
      <c r="W743" s="236"/>
    </row>
    <row r="744">
      <c r="A744" s="236"/>
      <c r="B744" s="236"/>
      <c r="C744" s="236"/>
      <c r="D744" s="236"/>
      <c r="E744" s="236"/>
      <c r="F744" s="236"/>
      <c r="G744" s="236"/>
      <c r="H744" s="236"/>
      <c r="I744" s="236"/>
      <c r="J744" s="236"/>
      <c r="K744" s="330"/>
      <c r="L744" s="330"/>
      <c r="M744" s="236"/>
      <c r="N744" s="236"/>
      <c r="O744" s="236"/>
      <c r="P744" s="236"/>
      <c r="Q744" s="236"/>
      <c r="R744" s="236"/>
      <c r="S744" s="236"/>
      <c r="T744" s="236"/>
      <c r="U744" s="236"/>
      <c r="V744" s="236"/>
      <c r="W744" s="236"/>
    </row>
    <row r="745">
      <c r="A745" s="236"/>
      <c r="B745" s="236"/>
      <c r="C745" s="236"/>
      <c r="D745" s="236"/>
      <c r="E745" s="236"/>
      <c r="F745" s="236"/>
      <c r="G745" s="236"/>
      <c r="H745" s="236"/>
      <c r="I745" s="236"/>
      <c r="J745" s="236"/>
      <c r="K745" s="330"/>
      <c r="L745" s="330"/>
      <c r="M745" s="236"/>
      <c r="N745" s="236"/>
      <c r="O745" s="236"/>
      <c r="P745" s="236"/>
      <c r="Q745" s="236"/>
      <c r="R745" s="236"/>
      <c r="S745" s="236"/>
      <c r="T745" s="236"/>
      <c r="U745" s="236"/>
      <c r="V745" s="236"/>
      <c r="W745" s="236"/>
    </row>
    <row r="746">
      <c r="A746" s="236"/>
      <c r="B746" s="236"/>
      <c r="C746" s="236"/>
      <c r="D746" s="236"/>
      <c r="E746" s="236"/>
      <c r="F746" s="236"/>
      <c r="G746" s="236"/>
      <c r="H746" s="236"/>
      <c r="I746" s="236"/>
      <c r="J746" s="236"/>
      <c r="K746" s="330"/>
      <c r="L746" s="330"/>
      <c r="M746" s="236"/>
      <c r="N746" s="236"/>
      <c r="O746" s="236"/>
      <c r="P746" s="236"/>
      <c r="Q746" s="236"/>
      <c r="R746" s="236"/>
      <c r="S746" s="236"/>
      <c r="T746" s="236"/>
      <c r="U746" s="236"/>
      <c r="V746" s="236"/>
      <c r="W746" s="236"/>
    </row>
    <row r="747">
      <c r="A747" s="236"/>
      <c r="B747" s="236"/>
      <c r="C747" s="236"/>
      <c r="D747" s="236"/>
      <c r="E747" s="236"/>
      <c r="F747" s="236"/>
      <c r="G747" s="236"/>
      <c r="H747" s="236"/>
      <c r="I747" s="236"/>
      <c r="J747" s="236"/>
      <c r="K747" s="330"/>
      <c r="L747" s="330"/>
      <c r="M747" s="236"/>
      <c r="N747" s="236"/>
      <c r="O747" s="236"/>
      <c r="P747" s="236"/>
      <c r="Q747" s="236"/>
      <c r="R747" s="236"/>
      <c r="S747" s="236"/>
      <c r="T747" s="236"/>
      <c r="U747" s="236"/>
      <c r="V747" s="236"/>
      <c r="W747" s="236"/>
    </row>
    <row r="748">
      <c r="A748" s="236"/>
      <c r="B748" s="236"/>
      <c r="C748" s="236"/>
      <c r="D748" s="236"/>
      <c r="E748" s="236"/>
      <c r="F748" s="236"/>
      <c r="G748" s="236"/>
      <c r="H748" s="236"/>
      <c r="I748" s="236"/>
      <c r="J748" s="236"/>
      <c r="K748" s="330"/>
      <c r="L748" s="330"/>
      <c r="M748" s="236"/>
      <c r="N748" s="236"/>
      <c r="O748" s="236"/>
      <c r="P748" s="236"/>
      <c r="Q748" s="236"/>
      <c r="R748" s="236"/>
      <c r="S748" s="236"/>
      <c r="T748" s="236"/>
      <c r="U748" s="236"/>
      <c r="V748" s="236"/>
      <c r="W748" s="236"/>
    </row>
    <row r="749">
      <c r="A749" s="236"/>
      <c r="B749" s="236"/>
      <c r="C749" s="236"/>
      <c r="D749" s="236"/>
      <c r="E749" s="236"/>
      <c r="F749" s="236"/>
      <c r="G749" s="236"/>
      <c r="H749" s="236"/>
      <c r="I749" s="236"/>
      <c r="J749" s="236"/>
      <c r="K749" s="330"/>
      <c r="L749" s="330"/>
      <c r="M749" s="236"/>
      <c r="N749" s="236"/>
      <c r="O749" s="236"/>
      <c r="P749" s="236"/>
      <c r="Q749" s="236"/>
      <c r="R749" s="236"/>
      <c r="S749" s="236"/>
      <c r="T749" s="236"/>
      <c r="U749" s="236"/>
      <c r="V749" s="236"/>
      <c r="W749" s="236"/>
    </row>
    <row r="750">
      <c r="A750" s="236"/>
      <c r="B750" s="236"/>
      <c r="C750" s="236"/>
      <c r="D750" s="236"/>
      <c r="E750" s="236"/>
      <c r="F750" s="236"/>
      <c r="G750" s="236"/>
      <c r="H750" s="236"/>
      <c r="I750" s="236"/>
      <c r="J750" s="236"/>
      <c r="K750" s="330"/>
      <c r="L750" s="330"/>
      <c r="M750" s="236"/>
      <c r="N750" s="236"/>
      <c r="O750" s="236"/>
      <c r="P750" s="236"/>
      <c r="Q750" s="236"/>
      <c r="R750" s="236"/>
      <c r="S750" s="236"/>
      <c r="T750" s="236"/>
      <c r="U750" s="236"/>
      <c r="V750" s="236"/>
      <c r="W750" s="236"/>
    </row>
    <row r="751">
      <c r="A751" s="236"/>
      <c r="B751" s="236"/>
      <c r="C751" s="236"/>
      <c r="D751" s="236"/>
      <c r="E751" s="236"/>
      <c r="F751" s="236"/>
      <c r="G751" s="236"/>
      <c r="H751" s="236"/>
      <c r="I751" s="236"/>
      <c r="J751" s="236"/>
      <c r="K751" s="330"/>
      <c r="L751" s="330"/>
      <c r="M751" s="236"/>
      <c r="N751" s="236"/>
      <c r="O751" s="236"/>
      <c r="P751" s="236"/>
      <c r="Q751" s="236"/>
      <c r="R751" s="236"/>
      <c r="S751" s="236"/>
      <c r="T751" s="236"/>
      <c r="U751" s="236"/>
      <c r="V751" s="236"/>
      <c r="W751" s="236"/>
    </row>
    <row r="752">
      <c r="A752" s="236"/>
      <c r="B752" s="236"/>
      <c r="C752" s="236"/>
      <c r="D752" s="236"/>
      <c r="E752" s="236"/>
      <c r="F752" s="236"/>
      <c r="G752" s="236"/>
      <c r="H752" s="236"/>
      <c r="I752" s="236"/>
      <c r="J752" s="236"/>
      <c r="K752" s="330"/>
      <c r="L752" s="330"/>
      <c r="M752" s="236"/>
      <c r="N752" s="236"/>
      <c r="O752" s="236"/>
      <c r="P752" s="236"/>
      <c r="Q752" s="236"/>
      <c r="R752" s="236"/>
      <c r="S752" s="236"/>
      <c r="T752" s="236"/>
      <c r="U752" s="236"/>
      <c r="V752" s="236"/>
      <c r="W752" s="236"/>
    </row>
    <row r="753">
      <c r="A753" s="236"/>
      <c r="B753" s="236"/>
      <c r="C753" s="236"/>
      <c r="D753" s="236"/>
      <c r="E753" s="236"/>
      <c r="F753" s="236"/>
      <c r="G753" s="236"/>
      <c r="H753" s="236"/>
      <c r="I753" s="236"/>
      <c r="J753" s="236"/>
      <c r="K753" s="330"/>
      <c r="L753" s="330"/>
      <c r="M753" s="236"/>
      <c r="N753" s="236"/>
      <c r="O753" s="236"/>
      <c r="P753" s="236"/>
      <c r="Q753" s="236"/>
      <c r="R753" s="236"/>
      <c r="S753" s="236"/>
      <c r="T753" s="236"/>
      <c r="U753" s="236"/>
      <c r="V753" s="236"/>
      <c r="W753" s="236"/>
    </row>
    <row r="754">
      <c r="A754" s="236"/>
      <c r="B754" s="236"/>
      <c r="C754" s="236"/>
      <c r="D754" s="236"/>
      <c r="E754" s="236"/>
      <c r="F754" s="236"/>
      <c r="G754" s="236"/>
      <c r="H754" s="236"/>
      <c r="I754" s="236"/>
      <c r="J754" s="236"/>
      <c r="K754" s="330"/>
      <c r="L754" s="330"/>
      <c r="M754" s="236"/>
      <c r="N754" s="236"/>
      <c r="O754" s="236"/>
      <c r="P754" s="236"/>
      <c r="Q754" s="236"/>
      <c r="R754" s="236"/>
      <c r="S754" s="236"/>
      <c r="T754" s="236"/>
      <c r="U754" s="236"/>
      <c r="V754" s="236"/>
      <c r="W754" s="236"/>
    </row>
    <row r="755">
      <c r="A755" s="236"/>
      <c r="B755" s="236"/>
      <c r="C755" s="236"/>
      <c r="D755" s="236"/>
      <c r="E755" s="236"/>
      <c r="F755" s="236"/>
      <c r="G755" s="236"/>
      <c r="H755" s="236"/>
      <c r="I755" s="236"/>
      <c r="J755" s="236"/>
      <c r="K755" s="330"/>
      <c r="L755" s="330"/>
      <c r="M755" s="236"/>
      <c r="N755" s="236"/>
      <c r="O755" s="236"/>
      <c r="P755" s="236"/>
      <c r="Q755" s="236"/>
      <c r="R755" s="236"/>
      <c r="S755" s="236"/>
      <c r="T755" s="236"/>
      <c r="U755" s="236"/>
      <c r="V755" s="236"/>
      <c r="W755" s="236"/>
    </row>
    <row r="756">
      <c r="A756" s="236"/>
      <c r="B756" s="236"/>
      <c r="C756" s="236"/>
      <c r="D756" s="236"/>
      <c r="E756" s="236"/>
      <c r="F756" s="236"/>
      <c r="G756" s="236"/>
      <c r="H756" s="236"/>
      <c r="I756" s="236"/>
      <c r="J756" s="236"/>
      <c r="K756" s="330"/>
      <c r="L756" s="330"/>
      <c r="M756" s="236"/>
      <c r="N756" s="236"/>
      <c r="O756" s="236"/>
      <c r="P756" s="236"/>
      <c r="Q756" s="236"/>
      <c r="R756" s="236"/>
      <c r="S756" s="236"/>
      <c r="T756" s="236"/>
      <c r="U756" s="236"/>
      <c r="V756" s="236"/>
      <c r="W756" s="236"/>
    </row>
    <row r="757">
      <c r="A757" s="236"/>
      <c r="B757" s="236"/>
      <c r="C757" s="236"/>
      <c r="D757" s="236"/>
      <c r="E757" s="236"/>
      <c r="F757" s="236"/>
      <c r="G757" s="236"/>
      <c r="H757" s="236"/>
      <c r="I757" s="236"/>
      <c r="J757" s="236"/>
      <c r="K757" s="330"/>
      <c r="L757" s="330"/>
      <c r="M757" s="236"/>
      <c r="N757" s="236"/>
      <c r="O757" s="236"/>
      <c r="P757" s="236"/>
      <c r="Q757" s="236"/>
      <c r="R757" s="236"/>
      <c r="S757" s="236"/>
      <c r="T757" s="236"/>
      <c r="U757" s="236"/>
      <c r="V757" s="236"/>
      <c r="W757" s="236"/>
    </row>
    <row r="758">
      <c r="A758" s="236"/>
      <c r="B758" s="236"/>
      <c r="C758" s="236"/>
      <c r="D758" s="236"/>
      <c r="E758" s="236"/>
      <c r="F758" s="236"/>
      <c r="G758" s="236"/>
      <c r="H758" s="236"/>
      <c r="I758" s="236"/>
      <c r="J758" s="236"/>
      <c r="K758" s="330"/>
      <c r="L758" s="330"/>
      <c r="M758" s="236"/>
      <c r="N758" s="236"/>
      <c r="O758" s="236"/>
      <c r="P758" s="236"/>
      <c r="Q758" s="236"/>
      <c r="R758" s="236"/>
      <c r="S758" s="236"/>
      <c r="T758" s="236"/>
      <c r="U758" s="236"/>
      <c r="V758" s="236"/>
      <c r="W758" s="236"/>
    </row>
    <row r="759">
      <c r="A759" s="236"/>
      <c r="B759" s="236"/>
      <c r="C759" s="236"/>
      <c r="D759" s="236"/>
      <c r="E759" s="236"/>
      <c r="F759" s="236"/>
      <c r="G759" s="236"/>
      <c r="H759" s="236"/>
      <c r="I759" s="236"/>
      <c r="J759" s="236"/>
      <c r="K759" s="330"/>
      <c r="L759" s="330"/>
      <c r="M759" s="236"/>
      <c r="N759" s="236"/>
      <c r="O759" s="236"/>
      <c r="P759" s="236"/>
      <c r="Q759" s="236"/>
      <c r="R759" s="236"/>
      <c r="S759" s="236"/>
      <c r="T759" s="236"/>
      <c r="U759" s="236"/>
      <c r="V759" s="236"/>
      <c r="W759" s="236"/>
    </row>
    <row r="760">
      <c r="A760" s="236"/>
      <c r="B760" s="236"/>
      <c r="C760" s="236"/>
      <c r="D760" s="236"/>
      <c r="E760" s="236"/>
      <c r="F760" s="236"/>
      <c r="G760" s="236"/>
      <c r="H760" s="236"/>
      <c r="I760" s="236"/>
      <c r="J760" s="236"/>
      <c r="K760" s="330"/>
      <c r="L760" s="330"/>
      <c r="M760" s="236"/>
      <c r="N760" s="236"/>
      <c r="O760" s="236"/>
      <c r="P760" s="236"/>
      <c r="Q760" s="236"/>
      <c r="R760" s="236"/>
      <c r="S760" s="236"/>
      <c r="T760" s="236"/>
      <c r="U760" s="236"/>
      <c r="V760" s="236"/>
      <c r="W760" s="236"/>
    </row>
    <row r="761">
      <c r="A761" s="236"/>
      <c r="B761" s="236"/>
      <c r="C761" s="236"/>
      <c r="D761" s="236"/>
      <c r="E761" s="236"/>
      <c r="F761" s="236"/>
      <c r="G761" s="236"/>
      <c r="H761" s="236"/>
      <c r="I761" s="236"/>
      <c r="J761" s="236"/>
      <c r="K761" s="330"/>
      <c r="L761" s="330"/>
      <c r="M761" s="236"/>
      <c r="N761" s="236"/>
      <c r="O761" s="236"/>
      <c r="P761" s="236"/>
      <c r="Q761" s="236"/>
      <c r="R761" s="236"/>
      <c r="S761" s="236"/>
      <c r="T761" s="236"/>
      <c r="U761" s="236"/>
      <c r="V761" s="236"/>
      <c r="W761" s="236"/>
    </row>
    <row r="762">
      <c r="A762" s="236"/>
      <c r="B762" s="236"/>
      <c r="C762" s="236"/>
      <c r="D762" s="236"/>
      <c r="E762" s="236"/>
      <c r="F762" s="236"/>
      <c r="G762" s="236"/>
      <c r="H762" s="236"/>
      <c r="I762" s="236"/>
      <c r="J762" s="236"/>
      <c r="K762" s="330"/>
      <c r="L762" s="330"/>
      <c r="M762" s="236"/>
      <c r="N762" s="236"/>
      <c r="O762" s="236"/>
      <c r="P762" s="236"/>
      <c r="Q762" s="236"/>
      <c r="R762" s="236"/>
      <c r="S762" s="236"/>
      <c r="T762" s="236"/>
      <c r="U762" s="236"/>
      <c r="V762" s="236"/>
      <c r="W762" s="236"/>
    </row>
    <row r="763">
      <c r="A763" s="236"/>
      <c r="B763" s="236"/>
      <c r="C763" s="236"/>
      <c r="D763" s="236"/>
      <c r="E763" s="236"/>
      <c r="F763" s="236"/>
      <c r="G763" s="236"/>
      <c r="H763" s="236"/>
      <c r="I763" s="236"/>
      <c r="J763" s="236"/>
      <c r="K763" s="330"/>
      <c r="L763" s="330"/>
      <c r="M763" s="236"/>
      <c r="N763" s="236"/>
      <c r="O763" s="236"/>
      <c r="P763" s="236"/>
      <c r="Q763" s="236"/>
      <c r="R763" s="236"/>
      <c r="S763" s="236"/>
      <c r="T763" s="236"/>
      <c r="U763" s="236"/>
      <c r="V763" s="236"/>
      <c r="W763" s="236"/>
    </row>
    <row r="764">
      <c r="A764" s="236"/>
      <c r="B764" s="236"/>
      <c r="C764" s="236"/>
      <c r="D764" s="236"/>
      <c r="E764" s="236"/>
      <c r="F764" s="236"/>
      <c r="G764" s="236"/>
      <c r="H764" s="236"/>
      <c r="I764" s="236"/>
      <c r="J764" s="236"/>
      <c r="K764" s="330"/>
      <c r="L764" s="330"/>
      <c r="M764" s="236"/>
      <c r="N764" s="236"/>
      <c r="O764" s="236"/>
      <c r="P764" s="236"/>
      <c r="Q764" s="236"/>
      <c r="R764" s="236"/>
      <c r="S764" s="236"/>
      <c r="T764" s="236"/>
      <c r="U764" s="236"/>
      <c r="V764" s="236"/>
      <c r="W764" s="236"/>
    </row>
    <row r="765">
      <c r="A765" s="236"/>
      <c r="B765" s="236"/>
      <c r="C765" s="236"/>
      <c r="D765" s="236"/>
      <c r="E765" s="236"/>
      <c r="F765" s="236"/>
      <c r="G765" s="236"/>
      <c r="H765" s="236"/>
      <c r="I765" s="236"/>
      <c r="J765" s="236"/>
      <c r="K765" s="330"/>
      <c r="L765" s="330"/>
      <c r="M765" s="236"/>
      <c r="N765" s="236"/>
      <c r="O765" s="236"/>
      <c r="P765" s="236"/>
      <c r="Q765" s="236"/>
      <c r="R765" s="236"/>
      <c r="S765" s="236"/>
      <c r="T765" s="236"/>
      <c r="U765" s="236"/>
      <c r="V765" s="236"/>
      <c r="W765" s="236"/>
    </row>
    <row r="766">
      <c r="A766" s="236"/>
      <c r="B766" s="236"/>
      <c r="C766" s="236"/>
      <c r="D766" s="236"/>
      <c r="E766" s="236"/>
      <c r="F766" s="236"/>
      <c r="G766" s="236"/>
      <c r="H766" s="236"/>
      <c r="I766" s="236"/>
      <c r="J766" s="236"/>
      <c r="K766" s="330"/>
      <c r="L766" s="330"/>
      <c r="M766" s="236"/>
      <c r="N766" s="236"/>
      <c r="O766" s="236"/>
      <c r="P766" s="236"/>
      <c r="Q766" s="236"/>
      <c r="R766" s="236"/>
      <c r="S766" s="236"/>
      <c r="T766" s="236"/>
      <c r="U766" s="236"/>
      <c r="V766" s="236"/>
      <c r="W766" s="236"/>
    </row>
    <row r="767">
      <c r="A767" s="236"/>
      <c r="B767" s="236"/>
      <c r="C767" s="236"/>
      <c r="D767" s="236"/>
      <c r="E767" s="236"/>
      <c r="F767" s="236"/>
      <c r="G767" s="236"/>
      <c r="H767" s="236"/>
      <c r="I767" s="236"/>
      <c r="J767" s="236"/>
      <c r="K767" s="330"/>
      <c r="L767" s="330"/>
      <c r="M767" s="236"/>
      <c r="N767" s="236"/>
      <c r="O767" s="236"/>
      <c r="P767" s="236"/>
      <c r="Q767" s="236"/>
      <c r="R767" s="236"/>
      <c r="S767" s="236"/>
      <c r="T767" s="236"/>
      <c r="U767" s="236"/>
      <c r="V767" s="236"/>
      <c r="W767" s="236"/>
    </row>
    <row r="768">
      <c r="A768" s="236"/>
      <c r="B768" s="236"/>
      <c r="C768" s="236"/>
      <c r="D768" s="236"/>
      <c r="E768" s="236"/>
      <c r="F768" s="236"/>
      <c r="G768" s="236"/>
      <c r="H768" s="236"/>
      <c r="I768" s="236"/>
      <c r="J768" s="236"/>
      <c r="K768" s="330"/>
      <c r="L768" s="330"/>
      <c r="M768" s="236"/>
      <c r="N768" s="236"/>
      <c r="O768" s="236"/>
      <c r="P768" s="236"/>
      <c r="Q768" s="236"/>
      <c r="R768" s="236"/>
      <c r="S768" s="236"/>
      <c r="T768" s="236"/>
      <c r="U768" s="236"/>
      <c r="V768" s="236"/>
      <c r="W768" s="236"/>
    </row>
    <row r="769">
      <c r="A769" s="236"/>
      <c r="B769" s="236"/>
      <c r="C769" s="236"/>
      <c r="D769" s="236"/>
      <c r="E769" s="236"/>
      <c r="F769" s="236"/>
      <c r="G769" s="236"/>
      <c r="H769" s="236"/>
      <c r="I769" s="236"/>
      <c r="J769" s="236"/>
      <c r="K769" s="330"/>
      <c r="L769" s="330"/>
      <c r="M769" s="236"/>
      <c r="N769" s="236"/>
      <c r="O769" s="236"/>
      <c r="P769" s="236"/>
      <c r="Q769" s="236"/>
      <c r="R769" s="236"/>
      <c r="S769" s="236"/>
      <c r="T769" s="236"/>
      <c r="U769" s="236"/>
      <c r="V769" s="236"/>
      <c r="W769" s="236"/>
    </row>
    <row r="770">
      <c r="A770" s="236"/>
      <c r="B770" s="236"/>
      <c r="C770" s="236"/>
      <c r="D770" s="236"/>
      <c r="E770" s="236"/>
      <c r="F770" s="236"/>
      <c r="G770" s="236"/>
      <c r="H770" s="236"/>
      <c r="I770" s="236"/>
      <c r="J770" s="236"/>
      <c r="K770" s="330"/>
      <c r="L770" s="330"/>
      <c r="M770" s="236"/>
      <c r="N770" s="236"/>
      <c r="O770" s="236"/>
      <c r="P770" s="236"/>
      <c r="Q770" s="236"/>
      <c r="R770" s="236"/>
      <c r="S770" s="236"/>
      <c r="T770" s="236"/>
      <c r="U770" s="236"/>
      <c r="V770" s="236"/>
      <c r="W770" s="236"/>
    </row>
    <row r="771">
      <c r="A771" s="236"/>
      <c r="B771" s="236"/>
      <c r="C771" s="236"/>
      <c r="D771" s="236"/>
      <c r="E771" s="236"/>
      <c r="F771" s="236"/>
      <c r="G771" s="236"/>
      <c r="H771" s="236"/>
      <c r="I771" s="236"/>
      <c r="J771" s="236"/>
      <c r="K771" s="330"/>
      <c r="L771" s="330"/>
      <c r="M771" s="236"/>
      <c r="N771" s="236"/>
      <c r="O771" s="236"/>
      <c r="P771" s="236"/>
      <c r="Q771" s="236"/>
      <c r="R771" s="236"/>
      <c r="S771" s="236"/>
      <c r="T771" s="236"/>
      <c r="U771" s="236"/>
      <c r="V771" s="236"/>
      <c r="W771" s="236"/>
    </row>
    <row r="772">
      <c r="A772" s="236"/>
      <c r="B772" s="236"/>
      <c r="C772" s="236"/>
      <c r="D772" s="236"/>
      <c r="E772" s="236"/>
      <c r="F772" s="236"/>
      <c r="G772" s="236"/>
      <c r="H772" s="236"/>
      <c r="I772" s="236"/>
      <c r="J772" s="236"/>
      <c r="K772" s="330"/>
      <c r="L772" s="330"/>
      <c r="M772" s="236"/>
      <c r="N772" s="236"/>
      <c r="O772" s="236"/>
      <c r="P772" s="236"/>
      <c r="Q772" s="236"/>
      <c r="R772" s="236"/>
      <c r="S772" s="236"/>
      <c r="T772" s="236"/>
      <c r="U772" s="236"/>
      <c r="V772" s="236"/>
      <c r="W772" s="236"/>
    </row>
    <row r="773">
      <c r="A773" s="236"/>
      <c r="B773" s="236"/>
      <c r="C773" s="236"/>
      <c r="D773" s="236"/>
      <c r="E773" s="236"/>
      <c r="F773" s="236"/>
      <c r="G773" s="236"/>
      <c r="H773" s="236"/>
      <c r="I773" s="236"/>
      <c r="J773" s="236"/>
      <c r="K773" s="330"/>
      <c r="L773" s="330"/>
      <c r="M773" s="236"/>
      <c r="N773" s="236"/>
      <c r="O773" s="236"/>
      <c r="P773" s="236"/>
      <c r="Q773" s="236"/>
      <c r="R773" s="236"/>
      <c r="S773" s="236"/>
      <c r="T773" s="236"/>
      <c r="U773" s="236"/>
      <c r="V773" s="236"/>
      <c r="W773" s="236"/>
    </row>
    <row r="774">
      <c r="A774" s="236"/>
      <c r="B774" s="236"/>
      <c r="C774" s="236"/>
      <c r="D774" s="236"/>
      <c r="E774" s="236"/>
      <c r="F774" s="236"/>
      <c r="G774" s="236"/>
      <c r="H774" s="236"/>
      <c r="I774" s="236"/>
      <c r="J774" s="236"/>
      <c r="K774" s="330"/>
      <c r="L774" s="330"/>
      <c r="M774" s="236"/>
      <c r="N774" s="236"/>
      <c r="O774" s="236"/>
      <c r="P774" s="236"/>
      <c r="Q774" s="236"/>
      <c r="R774" s="236"/>
      <c r="S774" s="236"/>
      <c r="T774" s="236"/>
      <c r="U774" s="236"/>
      <c r="V774" s="236"/>
      <c r="W774" s="236"/>
    </row>
    <row r="775">
      <c r="A775" s="236"/>
      <c r="B775" s="236"/>
      <c r="C775" s="236"/>
      <c r="D775" s="236"/>
      <c r="E775" s="236"/>
      <c r="F775" s="236"/>
      <c r="G775" s="236"/>
      <c r="H775" s="236"/>
      <c r="I775" s="236"/>
      <c r="J775" s="236"/>
      <c r="K775" s="330"/>
      <c r="L775" s="330"/>
      <c r="M775" s="236"/>
      <c r="N775" s="236"/>
      <c r="O775" s="236"/>
      <c r="P775" s="236"/>
      <c r="Q775" s="236"/>
      <c r="R775" s="236"/>
      <c r="S775" s="236"/>
      <c r="T775" s="236"/>
      <c r="U775" s="236"/>
      <c r="V775" s="236"/>
      <c r="W775" s="236"/>
    </row>
    <row r="776">
      <c r="A776" s="236"/>
      <c r="B776" s="236"/>
      <c r="C776" s="236"/>
      <c r="D776" s="236"/>
      <c r="E776" s="236"/>
      <c r="F776" s="236"/>
      <c r="G776" s="236"/>
      <c r="H776" s="236"/>
      <c r="I776" s="236"/>
      <c r="J776" s="236"/>
      <c r="K776" s="330"/>
      <c r="L776" s="330"/>
      <c r="M776" s="236"/>
      <c r="N776" s="236"/>
      <c r="O776" s="236"/>
      <c r="P776" s="236"/>
      <c r="Q776" s="236"/>
      <c r="R776" s="236"/>
      <c r="S776" s="236"/>
      <c r="T776" s="236"/>
      <c r="U776" s="236"/>
      <c r="V776" s="236"/>
      <c r="W776" s="236"/>
    </row>
    <row r="777">
      <c r="A777" s="236"/>
      <c r="B777" s="236"/>
      <c r="C777" s="236"/>
      <c r="D777" s="236"/>
      <c r="E777" s="236"/>
      <c r="F777" s="236"/>
      <c r="G777" s="236"/>
      <c r="H777" s="236"/>
      <c r="I777" s="236"/>
      <c r="J777" s="236"/>
      <c r="K777" s="330"/>
      <c r="L777" s="330"/>
      <c r="M777" s="236"/>
      <c r="N777" s="236"/>
      <c r="O777" s="236"/>
      <c r="P777" s="236"/>
      <c r="Q777" s="236"/>
      <c r="R777" s="236"/>
      <c r="S777" s="236"/>
      <c r="T777" s="236"/>
      <c r="U777" s="236"/>
      <c r="V777" s="236"/>
      <c r="W777" s="236"/>
    </row>
    <row r="778">
      <c r="A778" s="236"/>
      <c r="B778" s="236"/>
      <c r="C778" s="236"/>
      <c r="D778" s="236"/>
      <c r="E778" s="236"/>
      <c r="F778" s="236"/>
      <c r="G778" s="236"/>
      <c r="H778" s="236"/>
      <c r="I778" s="236"/>
      <c r="J778" s="236"/>
      <c r="K778" s="330"/>
      <c r="L778" s="330"/>
      <c r="M778" s="236"/>
      <c r="N778" s="236"/>
      <c r="O778" s="236"/>
      <c r="P778" s="236"/>
      <c r="Q778" s="236"/>
      <c r="R778" s="236"/>
      <c r="S778" s="236"/>
      <c r="T778" s="236"/>
      <c r="U778" s="236"/>
      <c r="V778" s="236"/>
      <c r="W778" s="236"/>
    </row>
    <row r="779">
      <c r="A779" s="236"/>
      <c r="B779" s="236"/>
      <c r="C779" s="236"/>
      <c r="D779" s="236"/>
      <c r="E779" s="236"/>
      <c r="F779" s="236"/>
      <c r="G779" s="236"/>
      <c r="H779" s="236"/>
      <c r="I779" s="236"/>
      <c r="J779" s="236"/>
      <c r="K779" s="330"/>
      <c r="L779" s="330"/>
      <c r="M779" s="236"/>
      <c r="N779" s="236"/>
      <c r="O779" s="236"/>
      <c r="P779" s="236"/>
      <c r="Q779" s="236"/>
      <c r="R779" s="236"/>
      <c r="S779" s="236"/>
      <c r="T779" s="236"/>
      <c r="U779" s="236"/>
      <c r="V779" s="236"/>
      <c r="W779" s="236"/>
    </row>
    <row r="780">
      <c r="A780" s="236"/>
      <c r="B780" s="236"/>
      <c r="C780" s="236"/>
      <c r="D780" s="236"/>
      <c r="E780" s="236"/>
      <c r="F780" s="236"/>
      <c r="G780" s="236"/>
      <c r="H780" s="236"/>
      <c r="I780" s="236"/>
      <c r="J780" s="236"/>
      <c r="K780" s="330"/>
      <c r="L780" s="330"/>
      <c r="M780" s="236"/>
      <c r="N780" s="236"/>
      <c r="O780" s="236"/>
      <c r="P780" s="236"/>
      <c r="Q780" s="236"/>
      <c r="R780" s="236"/>
      <c r="S780" s="236"/>
      <c r="T780" s="236"/>
      <c r="U780" s="236"/>
      <c r="V780" s="236"/>
      <c r="W780" s="236"/>
    </row>
    <row r="781">
      <c r="A781" s="236"/>
      <c r="B781" s="236"/>
      <c r="C781" s="236"/>
      <c r="D781" s="236"/>
      <c r="E781" s="236"/>
      <c r="F781" s="236"/>
      <c r="G781" s="236"/>
      <c r="H781" s="236"/>
      <c r="I781" s="236"/>
      <c r="J781" s="236"/>
      <c r="K781" s="330"/>
      <c r="L781" s="330"/>
      <c r="M781" s="236"/>
      <c r="N781" s="236"/>
      <c r="O781" s="236"/>
      <c r="P781" s="236"/>
      <c r="Q781" s="236"/>
      <c r="R781" s="236"/>
      <c r="S781" s="236"/>
      <c r="T781" s="236"/>
      <c r="U781" s="236"/>
      <c r="V781" s="236"/>
      <c r="W781" s="236"/>
    </row>
    <row r="782">
      <c r="A782" s="236"/>
      <c r="B782" s="236"/>
      <c r="C782" s="236"/>
      <c r="D782" s="236"/>
      <c r="E782" s="236"/>
      <c r="F782" s="236"/>
      <c r="G782" s="236"/>
      <c r="H782" s="236"/>
      <c r="I782" s="236"/>
      <c r="J782" s="236"/>
      <c r="K782" s="330"/>
      <c r="L782" s="330"/>
      <c r="M782" s="236"/>
      <c r="N782" s="236"/>
      <c r="O782" s="236"/>
      <c r="P782" s="236"/>
      <c r="Q782" s="236"/>
      <c r="R782" s="236"/>
      <c r="S782" s="236"/>
      <c r="T782" s="236"/>
      <c r="U782" s="236"/>
      <c r="V782" s="236"/>
      <c r="W782" s="236"/>
    </row>
    <row r="783">
      <c r="A783" s="236"/>
      <c r="B783" s="236"/>
      <c r="C783" s="236"/>
      <c r="D783" s="236"/>
      <c r="E783" s="236"/>
      <c r="F783" s="236"/>
      <c r="G783" s="236"/>
      <c r="H783" s="236"/>
      <c r="I783" s="236"/>
      <c r="J783" s="236"/>
      <c r="K783" s="330"/>
      <c r="L783" s="330"/>
      <c r="M783" s="236"/>
      <c r="N783" s="236"/>
      <c r="O783" s="236"/>
      <c r="P783" s="236"/>
      <c r="Q783" s="236"/>
      <c r="R783" s="236"/>
      <c r="S783" s="236"/>
      <c r="T783" s="236"/>
      <c r="U783" s="236"/>
      <c r="V783" s="236"/>
      <c r="W783" s="236"/>
    </row>
    <row r="784">
      <c r="A784" s="236"/>
      <c r="B784" s="236"/>
      <c r="C784" s="236"/>
      <c r="D784" s="236"/>
      <c r="E784" s="236"/>
      <c r="F784" s="236"/>
      <c r="G784" s="236"/>
      <c r="H784" s="236"/>
      <c r="I784" s="236"/>
      <c r="J784" s="236"/>
      <c r="K784" s="330"/>
      <c r="L784" s="330"/>
      <c r="M784" s="236"/>
      <c r="N784" s="236"/>
      <c r="O784" s="236"/>
      <c r="P784" s="236"/>
      <c r="Q784" s="236"/>
      <c r="R784" s="236"/>
      <c r="S784" s="236"/>
      <c r="T784" s="236"/>
      <c r="U784" s="236"/>
      <c r="V784" s="236"/>
      <c r="W784" s="236"/>
    </row>
    <row r="785">
      <c r="A785" s="236"/>
      <c r="B785" s="236"/>
      <c r="C785" s="236"/>
      <c r="D785" s="236"/>
      <c r="E785" s="236"/>
      <c r="F785" s="236"/>
      <c r="G785" s="236"/>
      <c r="H785" s="236"/>
      <c r="I785" s="236"/>
      <c r="J785" s="236"/>
      <c r="K785" s="330"/>
      <c r="L785" s="330"/>
      <c r="M785" s="236"/>
      <c r="N785" s="236"/>
      <c r="O785" s="236"/>
      <c r="P785" s="236"/>
      <c r="Q785" s="236"/>
      <c r="R785" s="236"/>
      <c r="S785" s="236"/>
      <c r="T785" s="236"/>
      <c r="U785" s="236"/>
      <c r="V785" s="236"/>
      <c r="W785" s="236"/>
    </row>
    <row r="786">
      <c r="A786" s="236"/>
      <c r="B786" s="236"/>
      <c r="C786" s="236"/>
      <c r="D786" s="236"/>
      <c r="E786" s="236"/>
      <c r="F786" s="236"/>
      <c r="G786" s="236"/>
      <c r="H786" s="236"/>
      <c r="I786" s="236"/>
      <c r="J786" s="236"/>
      <c r="K786" s="330"/>
      <c r="L786" s="330"/>
      <c r="M786" s="236"/>
      <c r="N786" s="236"/>
      <c r="O786" s="236"/>
      <c r="P786" s="236"/>
      <c r="Q786" s="236"/>
      <c r="R786" s="236"/>
      <c r="S786" s="236"/>
      <c r="T786" s="236"/>
      <c r="U786" s="236"/>
      <c r="V786" s="236"/>
      <c r="W786" s="236"/>
    </row>
    <row r="787">
      <c r="A787" s="236"/>
      <c r="B787" s="236"/>
      <c r="C787" s="236"/>
      <c r="D787" s="236"/>
      <c r="E787" s="236"/>
      <c r="F787" s="236"/>
      <c r="G787" s="236"/>
      <c r="H787" s="236"/>
      <c r="I787" s="236"/>
      <c r="J787" s="236"/>
      <c r="K787" s="330"/>
      <c r="L787" s="330"/>
      <c r="M787" s="236"/>
      <c r="N787" s="236"/>
      <c r="O787" s="236"/>
      <c r="P787" s="236"/>
      <c r="Q787" s="236"/>
      <c r="R787" s="236"/>
      <c r="S787" s="236"/>
      <c r="T787" s="236"/>
      <c r="U787" s="236"/>
      <c r="V787" s="236"/>
      <c r="W787" s="236"/>
    </row>
    <row r="788">
      <c r="A788" s="236"/>
      <c r="B788" s="236"/>
      <c r="C788" s="236"/>
      <c r="D788" s="236"/>
      <c r="E788" s="236"/>
      <c r="F788" s="236"/>
      <c r="G788" s="236"/>
      <c r="H788" s="236"/>
      <c r="I788" s="236"/>
      <c r="J788" s="236"/>
      <c r="K788" s="330"/>
      <c r="L788" s="330"/>
      <c r="M788" s="236"/>
      <c r="N788" s="236"/>
      <c r="O788" s="236"/>
      <c r="P788" s="236"/>
      <c r="Q788" s="236"/>
      <c r="R788" s="236"/>
      <c r="S788" s="236"/>
      <c r="T788" s="236"/>
      <c r="U788" s="236"/>
      <c r="V788" s="236"/>
      <c r="W788" s="236"/>
    </row>
    <row r="789">
      <c r="A789" s="236"/>
      <c r="B789" s="236"/>
      <c r="C789" s="236"/>
      <c r="D789" s="236"/>
      <c r="E789" s="236"/>
      <c r="F789" s="236"/>
      <c r="G789" s="236"/>
      <c r="H789" s="236"/>
      <c r="I789" s="236"/>
      <c r="J789" s="236"/>
      <c r="K789" s="330"/>
      <c r="L789" s="330"/>
      <c r="M789" s="236"/>
      <c r="N789" s="236"/>
      <c r="O789" s="236"/>
      <c r="P789" s="236"/>
      <c r="Q789" s="236"/>
      <c r="R789" s="236"/>
      <c r="S789" s="236"/>
      <c r="T789" s="236"/>
      <c r="U789" s="236"/>
      <c r="V789" s="236"/>
      <c r="W789" s="236"/>
    </row>
    <row r="790">
      <c r="A790" s="236"/>
      <c r="B790" s="236"/>
      <c r="C790" s="236"/>
      <c r="D790" s="236"/>
      <c r="E790" s="236"/>
      <c r="F790" s="236"/>
      <c r="G790" s="236"/>
      <c r="H790" s="236"/>
      <c r="I790" s="236"/>
      <c r="J790" s="236"/>
      <c r="K790" s="330"/>
      <c r="L790" s="330"/>
      <c r="M790" s="236"/>
      <c r="N790" s="236"/>
      <c r="O790" s="236"/>
      <c r="P790" s="236"/>
      <c r="Q790" s="236"/>
      <c r="R790" s="236"/>
      <c r="S790" s="236"/>
      <c r="T790" s="236"/>
      <c r="U790" s="236"/>
      <c r="V790" s="236"/>
      <c r="W790" s="236"/>
    </row>
    <row r="791">
      <c r="A791" s="236"/>
      <c r="B791" s="236"/>
      <c r="C791" s="236"/>
      <c r="D791" s="236"/>
      <c r="E791" s="236"/>
      <c r="F791" s="236"/>
      <c r="G791" s="236"/>
      <c r="H791" s="236"/>
      <c r="I791" s="236"/>
      <c r="J791" s="236"/>
      <c r="K791" s="330"/>
      <c r="L791" s="330"/>
      <c r="M791" s="236"/>
      <c r="N791" s="236"/>
      <c r="O791" s="236"/>
      <c r="P791" s="236"/>
      <c r="Q791" s="236"/>
      <c r="R791" s="236"/>
      <c r="S791" s="236"/>
      <c r="T791" s="236"/>
      <c r="U791" s="236"/>
      <c r="V791" s="236"/>
      <c r="W791" s="236"/>
    </row>
    <row r="792">
      <c r="A792" s="236"/>
      <c r="B792" s="236"/>
      <c r="C792" s="236"/>
      <c r="D792" s="236"/>
      <c r="E792" s="236"/>
      <c r="F792" s="236"/>
      <c r="G792" s="236"/>
      <c r="H792" s="236"/>
      <c r="I792" s="236"/>
      <c r="J792" s="236"/>
      <c r="K792" s="330"/>
      <c r="L792" s="330"/>
      <c r="M792" s="236"/>
      <c r="N792" s="236"/>
      <c r="O792" s="236"/>
      <c r="P792" s="236"/>
      <c r="Q792" s="236"/>
      <c r="R792" s="236"/>
      <c r="S792" s="236"/>
      <c r="T792" s="236"/>
      <c r="U792" s="236"/>
      <c r="V792" s="236"/>
      <c r="W792" s="236"/>
    </row>
    <row r="793">
      <c r="A793" s="236"/>
      <c r="B793" s="236"/>
      <c r="C793" s="236"/>
      <c r="D793" s="236"/>
      <c r="E793" s="236"/>
      <c r="F793" s="236"/>
      <c r="G793" s="236"/>
      <c r="H793" s="236"/>
      <c r="I793" s="236"/>
      <c r="J793" s="236"/>
      <c r="K793" s="330"/>
      <c r="L793" s="330"/>
      <c r="M793" s="236"/>
      <c r="N793" s="236"/>
      <c r="O793" s="236"/>
      <c r="P793" s="236"/>
      <c r="Q793" s="236"/>
      <c r="R793" s="236"/>
      <c r="S793" s="236"/>
      <c r="T793" s="236"/>
      <c r="U793" s="236"/>
      <c r="V793" s="236"/>
      <c r="W793" s="236"/>
    </row>
    <row r="794">
      <c r="A794" s="236"/>
      <c r="B794" s="236"/>
      <c r="C794" s="236"/>
      <c r="D794" s="236"/>
      <c r="E794" s="236"/>
      <c r="F794" s="236"/>
      <c r="G794" s="236"/>
      <c r="H794" s="236"/>
      <c r="I794" s="236"/>
      <c r="J794" s="236"/>
      <c r="K794" s="330"/>
      <c r="L794" s="330"/>
      <c r="M794" s="236"/>
      <c r="N794" s="236"/>
      <c r="O794" s="236"/>
      <c r="P794" s="236"/>
      <c r="Q794" s="236"/>
      <c r="R794" s="236"/>
      <c r="S794" s="236"/>
      <c r="T794" s="236"/>
      <c r="U794" s="236"/>
      <c r="V794" s="236"/>
      <c r="W794" s="236"/>
    </row>
    <row r="795">
      <c r="A795" s="236"/>
      <c r="B795" s="236"/>
      <c r="C795" s="236"/>
      <c r="D795" s="236"/>
      <c r="E795" s="236"/>
      <c r="F795" s="236"/>
      <c r="G795" s="236"/>
      <c r="H795" s="236"/>
      <c r="I795" s="236"/>
      <c r="J795" s="236"/>
      <c r="K795" s="330"/>
      <c r="L795" s="330"/>
      <c r="M795" s="236"/>
      <c r="N795" s="236"/>
      <c r="O795" s="236"/>
      <c r="P795" s="236"/>
      <c r="Q795" s="236"/>
      <c r="R795" s="236"/>
      <c r="S795" s="236"/>
      <c r="T795" s="236"/>
      <c r="U795" s="236"/>
      <c r="V795" s="236"/>
      <c r="W795" s="236"/>
    </row>
    <row r="796">
      <c r="A796" s="236"/>
      <c r="B796" s="236"/>
      <c r="C796" s="236"/>
      <c r="D796" s="236"/>
      <c r="E796" s="236"/>
      <c r="F796" s="236"/>
      <c r="G796" s="236"/>
      <c r="H796" s="236"/>
      <c r="I796" s="236"/>
      <c r="J796" s="236"/>
      <c r="K796" s="330"/>
      <c r="L796" s="330"/>
      <c r="M796" s="236"/>
      <c r="N796" s="236"/>
      <c r="O796" s="236"/>
      <c r="P796" s="236"/>
      <c r="Q796" s="236"/>
      <c r="R796" s="236"/>
      <c r="S796" s="236"/>
      <c r="T796" s="236"/>
      <c r="U796" s="236"/>
      <c r="V796" s="236"/>
      <c r="W796" s="236"/>
    </row>
    <row r="797">
      <c r="A797" s="236"/>
      <c r="B797" s="236"/>
      <c r="C797" s="236"/>
      <c r="D797" s="236"/>
      <c r="E797" s="236"/>
      <c r="F797" s="236"/>
      <c r="G797" s="236"/>
      <c r="H797" s="236"/>
      <c r="I797" s="236"/>
      <c r="J797" s="236"/>
      <c r="K797" s="330"/>
      <c r="L797" s="330"/>
      <c r="M797" s="236"/>
      <c r="N797" s="236"/>
      <c r="O797" s="236"/>
      <c r="P797" s="236"/>
      <c r="Q797" s="236"/>
      <c r="R797" s="236"/>
      <c r="S797" s="236"/>
      <c r="T797" s="236"/>
      <c r="U797" s="236"/>
      <c r="V797" s="236"/>
      <c r="W797" s="236"/>
    </row>
    <row r="798">
      <c r="A798" s="236"/>
      <c r="B798" s="236"/>
      <c r="C798" s="236"/>
      <c r="D798" s="236"/>
      <c r="E798" s="236"/>
      <c r="F798" s="236"/>
      <c r="G798" s="236"/>
      <c r="H798" s="236"/>
      <c r="I798" s="236"/>
      <c r="J798" s="236"/>
      <c r="K798" s="330"/>
      <c r="L798" s="330"/>
      <c r="M798" s="236"/>
      <c r="N798" s="236"/>
      <c r="O798" s="236"/>
      <c r="P798" s="236"/>
      <c r="Q798" s="236"/>
      <c r="R798" s="236"/>
      <c r="S798" s="236"/>
      <c r="T798" s="236"/>
      <c r="U798" s="236"/>
      <c r="V798" s="236"/>
      <c r="W798" s="236"/>
    </row>
    <row r="799">
      <c r="A799" s="236"/>
      <c r="B799" s="236"/>
      <c r="C799" s="236"/>
      <c r="D799" s="236"/>
      <c r="E799" s="236"/>
      <c r="F799" s="236"/>
      <c r="G799" s="236"/>
      <c r="H799" s="236"/>
      <c r="I799" s="236"/>
      <c r="J799" s="236"/>
      <c r="K799" s="330"/>
      <c r="L799" s="330"/>
      <c r="M799" s="236"/>
      <c r="N799" s="236"/>
      <c r="O799" s="236"/>
      <c r="P799" s="236"/>
      <c r="Q799" s="236"/>
      <c r="R799" s="236"/>
      <c r="S799" s="236"/>
      <c r="T799" s="236"/>
      <c r="U799" s="236"/>
      <c r="V799" s="236"/>
      <c r="W799" s="236"/>
    </row>
    <row r="800">
      <c r="A800" s="236"/>
      <c r="B800" s="236"/>
      <c r="C800" s="236"/>
      <c r="D800" s="236"/>
      <c r="E800" s="236"/>
      <c r="F800" s="236"/>
      <c r="G800" s="236"/>
      <c r="H800" s="236"/>
      <c r="I800" s="236"/>
      <c r="J800" s="236"/>
      <c r="K800" s="330"/>
      <c r="L800" s="330"/>
      <c r="M800" s="236"/>
      <c r="N800" s="236"/>
      <c r="O800" s="236"/>
      <c r="P800" s="236"/>
      <c r="Q800" s="236"/>
      <c r="R800" s="236"/>
      <c r="S800" s="236"/>
      <c r="T800" s="236"/>
      <c r="U800" s="236"/>
      <c r="V800" s="236"/>
      <c r="W800" s="236"/>
    </row>
    <row r="801">
      <c r="A801" s="236"/>
      <c r="B801" s="236"/>
      <c r="C801" s="236"/>
      <c r="D801" s="236"/>
      <c r="E801" s="236"/>
      <c r="F801" s="236"/>
      <c r="G801" s="236"/>
      <c r="H801" s="236"/>
      <c r="I801" s="236"/>
      <c r="J801" s="236"/>
      <c r="K801" s="330"/>
      <c r="L801" s="330"/>
      <c r="M801" s="236"/>
      <c r="N801" s="236"/>
      <c r="O801" s="236"/>
      <c r="P801" s="236"/>
      <c r="Q801" s="236"/>
      <c r="R801" s="236"/>
      <c r="S801" s="236"/>
      <c r="T801" s="236"/>
      <c r="U801" s="236"/>
      <c r="V801" s="236"/>
      <c r="W801" s="236"/>
    </row>
    <row r="802">
      <c r="A802" s="236"/>
      <c r="B802" s="236"/>
      <c r="C802" s="236"/>
      <c r="D802" s="236"/>
      <c r="E802" s="236"/>
      <c r="F802" s="236"/>
      <c r="G802" s="236"/>
      <c r="H802" s="236"/>
      <c r="I802" s="236"/>
      <c r="J802" s="236"/>
      <c r="K802" s="330"/>
      <c r="L802" s="330"/>
      <c r="M802" s="236"/>
      <c r="N802" s="236"/>
      <c r="O802" s="236"/>
      <c r="P802" s="236"/>
      <c r="Q802" s="236"/>
      <c r="R802" s="236"/>
      <c r="S802" s="236"/>
      <c r="T802" s="236"/>
      <c r="U802" s="236"/>
      <c r="V802" s="236"/>
      <c r="W802" s="236"/>
    </row>
    <row r="803">
      <c r="A803" s="236"/>
      <c r="B803" s="236"/>
      <c r="C803" s="236"/>
      <c r="D803" s="236"/>
      <c r="E803" s="236"/>
      <c r="F803" s="236"/>
      <c r="G803" s="236"/>
      <c r="H803" s="236"/>
      <c r="I803" s="236"/>
      <c r="J803" s="236"/>
      <c r="K803" s="330"/>
      <c r="L803" s="330"/>
      <c r="M803" s="236"/>
      <c r="N803" s="236"/>
      <c r="O803" s="236"/>
      <c r="P803" s="236"/>
      <c r="Q803" s="236"/>
      <c r="R803" s="236"/>
      <c r="S803" s="236"/>
      <c r="T803" s="236"/>
      <c r="U803" s="236"/>
      <c r="V803" s="236"/>
      <c r="W803" s="236"/>
    </row>
    <row r="804">
      <c r="A804" s="236"/>
      <c r="B804" s="236"/>
      <c r="C804" s="236"/>
      <c r="D804" s="236"/>
      <c r="E804" s="236"/>
      <c r="F804" s="236"/>
      <c r="G804" s="236"/>
      <c r="H804" s="236"/>
      <c r="I804" s="236"/>
      <c r="J804" s="236"/>
      <c r="K804" s="330"/>
      <c r="L804" s="330"/>
      <c r="M804" s="236"/>
      <c r="N804" s="236"/>
      <c r="O804" s="236"/>
      <c r="P804" s="236"/>
      <c r="Q804" s="236"/>
      <c r="R804" s="236"/>
      <c r="S804" s="236"/>
      <c r="T804" s="236"/>
      <c r="U804" s="236"/>
      <c r="V804" s="236"/>
      <c r="W804" s="236"/>
    </row>
    <row r="805">
      <c r="A805" s="236"/>
      <c r="B805" s="236"/>
      <c r="C805" s="236"/>
      <c r="D805" s="236"/>
      <c r="E805" s="236"/>
      <c r="F805" s="236"/>
      <c r="G805" s="236"/>
      <c r="H805" s="236"/>
      <c r="I805" s="236"/>
      <c r="J805" s="236"/>
      <c r="K805" s="330"/>
      <c r="L805" s="330"/>
      <c r="M805" s="236"/>
      <c r="N805" s="236"/>
      <c r="O805" s="236"/>
      <c r="P805" s="236"/>
      <c r="Q805" s="236"/>
      <c r="R805" s="236"/>
      <c r="S805" s="236"/>
      <c r="T805" s="236"/>
      <c r="U805" s="236"/>
      <c r="V805" s="236"/>
      <c r="W805" s="236"/>
    </row>
    <row r="806">
      <c r="A806" s="236"/>
      <c r="B806" s="236"/>
      <c r="C806" s="236"/>
      <c r="D806" s="236"/>
      <c r="E806" s="236"/>
      <c r="F806" s="236"/>
      <c r="G806" s="236"/>
      <c r="H806" s="236"/>
      <c r="I806" s="236"/>
      <c r="J806" s="236"/>
      <c r="K806" s="330"/>
      <c r="L806" s="330"/>
      <c r="M806" s="236"/>
      <c r="N806" s="236"/>
      <c r="O806" s="236"/>
      <c r="P806" s="236"/>
      <c r="Q806" s="236"/>
      <c r="R806" s="236"/>
      <c r="S806" s="236"/>
      <c r="T806" s="236"/>
      <c r="U806" s="236"/>
      <c r="V806" s="236"/>
      <c r="W806" s="236"/>
    </row>
    <row r="807">
      <c r="A807" s="236"/>
      <c r="B807" s="236"/>
      <c r="C807" s="236"/>
      <c r="D807" s="236"/>
      <c r="E807" s="236"/>
      <c r="F807" s="236"/>
      <c r="G807" s="236"/>
      <c r="H807" s="236"/>
      <c r="I807" s="236"/>
      <c r="J807" s="236"/>
      <c r="K807" s="330"/>
      <c r="L807" s="330"/>
      <c r="M807" s="236"/>
      <c r="N807" s="236"/>
      <c r="O807" s="236"/>
      <c r="P807" s="236"/>
      <c r="Q807" s="236"/>
      <c r="R807" s="236"/>
      <c r="S807" s="236"/>
      <c r="T807" s="236"/>
      <c r="U807" s="236"/>
      <c r="V807" s="236"/>
      <c r="W807" s="236"/>
    </row>
    <row r="808">
      <c r="A808" s="236"/>
      <c r="B808" s="236"/>
      <c r="C808" s="236"/>
      <c r="D808" s="236"/>
      <c r="E808" s="236"/>
      <c r="F808" s="236"/>
      <c r="G808" s="236"/>
      <c r="H808" s="236"/>
      <c r="I808" s="236"/>
      <c r="J808" s="236"/>
      <c r="K808" s="330"/>
      <c r="L808" s="330"/>
      <c r="M808" s="236"/>
      <c r="N808" s="236"/>
      <c r="O808" s="236"/>
      <c r="P808" s="236"/>
      <c r="Q808" s="236"/>
      <c r="R808" s="236"/>
      <c r="S808" s="236"/>
      <c r="T808" s="236"/>
      <c r="U808" s="236"/>
      <c r="V808" s="236"/>
      <c r="W808" s="236"/>
    </row>
    <row r="809">
      <c r="A809" s="236"/>
      <c r="B809" s="236"/>
      <c r="C809" s="236"/>
      <c r="D809" s="236"/>
      <c r="E809" s="236"/>
      <c r="F809" s="236"/>
      <c r="G809" s="236"/>
      <c r="H809" s="236"/>
      <c r="I809" s="236"/>
      <c r="J809" s="236"/>
      <c r="K809" s="330"/>
      <c r="L809" s="330"/>
      <c r="M809" s="236"/>
      <c r="N809" s="236"/>
      <c r="O809" s="236"/>
      <c r="P809" s="236"/>
      <c r="Q809" s="236"/>
      <c r="R809" s="236"/>
      <c r="S809" s="236"/>
      <c r="T809" s="236"/>
      <c r="U809" s="236"/>
      <c r="V809" s="236"/>
      <c r="W809" s="236"/>
    </row>
    <row r="810">
      <c r="A810" s="236"/>
      <c r="B810" s="236"/>
      <c r="C810" s="236"/>
      <c r="D810" s="236"/>
      <c r="E810" s="236"/>
      <c r="F810" s="236"/>
      <c r="G810" s="236"/>
      <c r="H810" s="236"/>
      <c r="I810" s="236"/>
      <c r="J810" s="236"/>
      <c r="K810" s="330"/>
      <c r="L810" s="330"/>
      <c r="M810" s="236"/>
      <c r="N810" s="236"/>
      <c r="O810" s="236"/>
      <c r="P810" s="236"/>
      <c r="Q810" s="236"/>
      <c r="R810" s="236"/>
      <c r="S810" s="236"/>
      <c r="T810" s="236"/>
      <c r="U810" s="236"/>
      <c r="V810" s="236"/>
      <c r="W810" s="236"/>
    </row>
    <row r="811">
      <c r="A811" s="236"/>
      <c r="B811" s="236"/>
      <c r="C811" s="236"/>
      <c r="D811" s="236"/>
      <c r="E811" s="236"/>
      <c r="F811" s="236"/>
      <c r="G811" s="236"/>
      <c r="H811" s="236"/>
      <c r="I811" s="236"/>
      <c r="J811" s="236"/>
      <c r="K811" s="330"/>
      <c r="L811" s="330"/>
      <c r="M811" s="236"/>
      <c r="N811" s="236"/>
      <c r="O811" s="236"/>
      <c r="P811" s="236"/>
      <c r="Q811" s="236"/>
      <c r="R811" s="236"/>
      <c r="S811" s="236"/>
      <c r="T811" s="236"/>
      <c r="U811" s="236"/>
      <c r="V811" s="236"/>
      <c r="W811" s="236"/>
    </row>
    <row r="812">
      <c r="A812" s="236"/>
      <c r="B812" s="236"/>
      <c r="C812" s="236"/>
      <c r="D812" s="236"/>
      <c r="E812" s="236"/>
      <c r="F812" s="236"/>
      <c r="G812" s="236"/>
      <c r="H812" s="236"/>
      <c r="I812" s="236"/>
      <c r="J812" s="236"/>
      <c r="K812" s="330"/>
      <c r="L812" s="330"/>
      <c r="M812" s="236"/>
      <c r="N812" s="236"/>
      <c r="O812" s="236"/>
      <c r="P812" s="236"/>
      <c r="Q812" s="236"/>
      <c r="R812" s="236"/>
      <c r="S812" s="236"/>
      <c r="T812" s="236"/>
      <c r="U812" s="236"/>
      <c r="V812" s="236"/>
      <c r="W812" s="236"/>
    </row>
    <row r="813">
      <c r="A813" s="236"/>
      <c r="B813" s="236"/>
      <c r="C813" s="236"/>
      <c r="D813" s="236"/>
      <c r="E813" s="236"/>
      <c r="F813" s="236"/>
      <c r="G813" s="236"/>
      <c r="H813" s="236"/>
      <c r="I813" s="236"/>
      <c r="J813" s="236"/>
      <c r="K813" s="330"/>
      <c r="L813" s="330"/>
      <c r="M813" s="236"/>
      <c r="N813" s="236"/>
      <c r="O813" s="236"/>
      <c r="P813" s="236"/>
      <c r="Q813" s="236"/>
      <c r="R813" s="236"/>
      <c r="S813" s="236"/>
      <c r="T813" s="236"/>
      <c r="U813" s="236"/>
      <c r="V813" s="236"/>
      <c r="W813" s="236"/>
    </row>
    <row r="814">
      <c r="A814" s="236"/>
      <c r="B814" s="236"/>
      <c r="C814" s="236"/>
      <c r="D814" s="236"/>
      <c r="E814" s="236"/>
      <c r="F814" s="236"/>
      <c r="G814" s="236"/>
      <c r="H814" s="236"/>
      <c r="I814" s="236"/>
      <c r="J814" s="236"/>
      <c r="K814" s="330"/>
      <c r="L814" s="330"/>
      <c r="M814" s="236"/>
      <c r="N814" s="236"/>
      <c r="O814" s="236"/>
      <c r="P814" s="236"/>
      <c r="Q814" s="236"/>
      <c r="R814" s="236"/>
      <c r="S814" s="236"/>
      <c r="T814" s="236"/>
      <c r="U814" s="236"/>
      <c r="V814" s="236"/>
      <c r="W814" s="236"/>
    </row>
    <row r="815">
      <c r="A815" s="236"/>
      <c r="B815" s="236"/>
      <c r="C815" s="236"/>
      <c r="D815" s="236"/>
      <c r="E815" s="236"/>
      <c r="F815" s="236"/>
      <c r="G815" s="236"/>
      <c r="H815" s="236"/>
      <c r="I815" s="236"/>
      <c r="J815" s="236"/>
      <c r="K815" s="330"/>
      <c r="L815" s="330"/>
      <c r="M815" s="236"/>
      <c r="N815" s="236"/>
      <c r="O815" s="236"/>
      <c r="P815" s="236"/>
      <c r="Q815" s="236"/>
      <c r="R815" s="236"/>
      <c r="S815" s="236"/>
      <c r="T815" s="236"/>
      <c r="U815" s="236"/>
      <c r="V815" s="236"/>
      <c r="W815" s="236"/>
    </row>
    <row r="816">
      <c r="A816" s="236"/>
      <c r="B816" s="236"/>
      <c r="C816" s="236"/>
      <c r="D816" s="236"/>
      <c r="E816" s="236"/>
      <c r="F816" s="236"/>
      <c r="G816" s="236"/>
      <c r="H816" s="236"/>
      <c r="I816" s="236"/>
      <c r="J816" s="236"/>
      <c r="K816" s="330"/>
      <c r="L816" s="330"/>
      <c r="M816" s="236"/>
      <c r="N816" s="236"/>
      <c r="O816" s="236"/>
      <c r="P816" s="236"/>
      <c r="Q816" s="236"/>
      <c r="R816" s="236"/>
      <c r="S816" s="236"/>
      <c r="T816" s="236"/>
      <c r="U816" s="236"/>
      <c r="V816" s="236"/>
      <c r="W816" s="236"/>
    </row>
    <row r="817">
      <c r="A817" s="236"/>
      <c r="B817" s="236"/>
      <c r="C817" s="236"/>
      <c r="D817" s="236"/>
      <c r="E817" s="236"/>
      <c r="F817" s="236"/>
      <c r="G817" s="236"/>
      <c r="H817" s="236"/>
      <c r="I817" s="236"/>
      <c r="J817" s="236"/>
      <c r="K817" s="330"/>
      <c r="L817" s="330"/>
      <c r="M817" s="236"/>
      <c r="N817" s="236"/>
      <c r="O817" s="236"/>
      <c r="P817" s="236"/>
      <c r="Q817" s="236"/>
      <c r="R817" s="236"/>
      <c r="S817" s="236"/>
      <c r="T817" s="236"/>
      <c r="U817" s="236"/>
      <c r="V817" s="236"/>
      <c r="W817" s="236"/>
    </row>
    <row r="818">
      <c r="A818" s="236"/>
      <c r="B818" s="236"/>
      <c r="C818" s="236"/>
      <c r="D818" s="236"/>
      <c r="E818" s="236"/>
      <c r="F818" s="236"/>
      <c r="G818" s="236"/>
      <c r="H818" s="236"/>
      <c r="I818" s="236"/>
      <c r="J818" s="236"/>
      <c r="K818" s="330"/>
      <c r="L818" s="330"/>
      <c r="M818" s="236"/>
      <c r="N818" s="236"/>
      <c r="O818" s="236"/>
      <c r="P818" s="236"/>
      <c r="Q818" s="236"/>
      <c r="R818" s="236"/>
      <c r="S818" s="236"/>
      <c r="T818" s="236"/>
      <c r="U818" s="236"/>
      <c r="V818" s="236"/>
      <c r="W818" s="236"/>
    </row>
    <row r="819">
      <c r="A819" s="236"/>
      <c r="B819" s="236"/>
      <c r="C819" s="236"/>
      <c r="D819" s="236"/>
      <c r="E819" s="236"/>
      <c r="F819" s="236"/>
      <c r="G819" s="236"/>
      <c r="H819" s="236"/>
      <c r="I819" s="236"/>
      <c r="J819" s="236"/>
      <c r="K819" s="330"/>
      <c r="L819" s="330"/>
      <c r="M819" s="236"/>
      <c r="N819" s="236"/>
      <c r="O819" s="236"/>
      <c r="P819" s="236"/>
      <c r="Q819" s="236"/>
      <c r="R819" s="236"/>
      <c r="S819" s="236"/>
      <c r="T819" s="236"/>
      <c r="U819" s="236"/>
      <c r="V819" s="236"/>
      <c r="W819" s="236"/>
    </row>
    <row r="820">
      <c r="A820" s="236"/>
      <c r="B820" s="236"/>
      <c r="C820" s="236"/>
      <c r="D820" s="236"/>
      <c r="E820" s="236"/>
      <c r="F820" s="236"/>
      <c r="G820" s="236"/>
      <c r="H820" s="236"/>
      <c r="I820" s="236"/>
      <c r="J820" s="236"/>
      <c r="K820" s="330"/>
      <c r="L820" s="330"/>
      <c r="M820" s="236"/>
      <c r="N820" s="236"/>
      <c r="O820" s="236"/>
      <c r="P820" s="236"/>
      <c r="Q820" s="236"/>
      <c r="R820" s="236"/>
      <c r="S820" s="236"/>
      <c r="T820" s="236"/>
      <c r="U820" s="236"/>
      <c r="V820" s="236"/>
      <c r="W820" s="236"/>
    </row>
    <row r="821">
      <c r="A821" s="236"/>
      <c r="B821" s="236"/>
      <c r="C821" s="236"/>
      <c r="D821" s="236"/>
      <c r="E821" s="236"/>
      <c r="F821" s="236"/>
      <c r="G821" s="236"/>
      <c r="H821" s="236"/>
      <c r="I821" s="236"/>
      <c r="J821" s="236"/>
      <c r="K821" s="330"/>
      <c r="L821" s="330"/>
      <c r="M821" s="236"/>
      <c r="N821" s="236"/>
      <c r="O821" s="236"/>
      <c r="P821" s="236"/>
      <c r="Q821" s="236"/>
      <c r="R821" s="236"/>
      <c r="S821" s="236"/>
      <c r="T821" s="236"/>
      <c r="U821" s="236"/>
      <c r="V821" s="236"/>
      <c r="W821" s="236"/>
    </row>
    <row r="822">
      <c r="A822" s="236"/>
      <c r="B822" s="236"/>
      <c r="C822" s="236"/>
      <c r="D822" s="236"/>
      <c r="E822" s="236"/>
      <c r="F822" s="236"/>
      <c r="G822" s="236"/>
      <c r="H822" s="236"/>
      <c r="I822" s="236"/>
      <c r="J822" s="236"/>
      <c r="K822" s="330"/>
      <c r="L822" s="330"/>
      <c r="M822" s="236"/>
      <c r="N822" s="236"/>
      <c r="O822" s="236"/>
      <c r="P822" s="236"/>
      <c r="Q822" s="236"/>
      <c r="R822" s="236"/>
      <c r="S822" s="236"/>
      <c r="T822" s="236"/>
      <c r="U822" s="236"/>
      <c r="V822" s="236"/>
      <c r="W822" s="236"/>
    </row>
    <row r="823">
      <c r="A823" s="236"/>
      <c r="B823" s="236"/>
      <c r="C823" s="236"/>
      <c r="D823" s="236"/>
      <c r="E823" s="236"/>
      <c r="F823" s="236"/>
      <c r="G823" s="236"/>
      <c r="H823" s="236"/>
      <c r="I823" s="236"/>
      <c r="J823" s="236"/>
      <c r="K823" s="330"/>
      <c r="L823" s="330"/>
      <c r="M823" s="236"/>
      <c r="N823" s="236"/>
      <c r="O823" s="236"/>
      <c r="P823" s="236"/>
      <c r="Q823" s="236"/>
      <c r="R823" s="236"/>
      <c r="S823" s="236"/>
      <c r="T823" s="236"/>
      <c r="U823" s="236"/>
      <c r="V823" s="236"/>
      <c r="W823" s="236"/>
    </row>
    <row r="824">
      <c r="A824" s="236"/>
      <c r="B824" s="236"/>
      <c r="C824" s="236"/>
      <c r="D824" s="236"/>
      <c r="E824" s="236"/>
      <c r="F824" s="236"/>
      <c r="G824" s="236"/>
      <c r="H824" s="236"/>
      <c r="I824" s="236"/>
      <c r="J824" s="236"/>
      <c r="K824" s="330"/>
      <c r="L824" s="330"/>
      <c r="M824" s="236"/>
      <c r="N824" s="236"/>
      <c r="O824" s="236"/>
      <c r="P824" s="236"/>
      <c r="Q824" s="236"/>
      <c r="R824" s="236"/>
      <c r="S824" s="236"/>
      <c r="T824" s="236"/>
      <c r="U824" s="236"/>
      <c r="V824" s="236"/>
      <c r="W824" s="236"/>
    </row>
    <row r="825">
      <c r="A825" s="236"/>
      <c r="B825" s="236"/>
      <c r="C825" s="236"/>
      <c r="D825" s="236"/>
      <c r="E825" s="236"/>
      <c r="F825" s="236"/>
      <c r="G825" s="236"/>
      <c r="H825" s="236"/>
      <c r="I825" s="236"/>
      <c r="J825" s="236"/>
      <c r="K825" s="330"/>
      <c r="L825" s="330"/>
      <c r="M825" s="236"/>
      <c r="N825" s="236"/>
      <c r="O825" s="236"/>
      <c r="P825" s="236"/>
      <c r="Q825" s="236"/>
      <c r="R825" s="236"/>
      <c r="S825" s="236"/>
      <c r="T825" s="236"/>
      <c r="U825" s="236"/>
      <c r="V825" s="236"/>
      <c r="W825" s="236"/>
    </row>
    <row r="826">
      <c r="A826" s="236"/>
      <c r="B826" s="236"/>
      <c r="C826" s="236"/>
      <c r="D826" s="236"/>
      <c r="E826" s="236"/>
      <c r="F826" s="236"/>
      <c r="G826" s="236"/>
      <c r="H826" s="236"/>
      <c r="I826" s="236"/>
      <c r="J826" s="236"/>
      <c r="K826" s="330"/>
      <c r="L826" s="330"/>
      <c r="M826" s="236"/>
      <c r="N826" s="236"/>
      <c r="O826" s="236"/>
      <c r="P826" s="236"/>
      <c r="Q826" s="236"/>
      <c r="R826" s="236"/>
      <c r="S826" s="236"/>
      <c r="T826" s="236"/>
      <c r="U826" s="236"/>
      <c r="V826" s="236"/>
      <c r="W826" s="236"/>
    </row>
    <row r="827">
      <c r="A827" s="236"/>
      <c r="B827" s="236"/>
      <c r="C827" s="236"/>
      <c r="D827" s="236"/>
      <c r="E827" s="236"/>
      <c r="F827" s="236"/>
      <c r="G827" s="236"/>
      <c r="H827" s="236"/>
      <c r="I827" s="236"/>
      <c r="J827" s="236"/>
      <c r="K827" s="330"/>
      <c r="L827" s="330"/>
      <c r="M827" s="236"/>
      <c r="N827" s="236"/>
      <c r="O827" s="236"/>
      <c r="P827" s="236"/>
      <c r="Q827" s="236"/>
      <c r="R827" s="236"/>
      <c r="S827" s="236"/>
      <c r="T827" s="236"/>
      <c r="U827" s="236"/>
      <c r="V827" s="236"/>
      <c r="W827" s="236"/>
    </row>
    <row r="828">
      <c r="A828" s="236"/>
      <c r="B828" s="236"/>
      <c r="C828" s="236"/>
      <c r="D828" s="236"/>
      <c r="E828" s="236"/>
      <c r="F828" s="236"/>
      <c r="G828" s="236"/>
      <c r="H828" s="236"/>
      <c r="I828" s="236"/>
      <c r="J828" s="236"/>
      <c r="K828" s="330"/>
      <c r="L828" s="330"/>
      <c r="M828" s="236"/>
      <c r="N828" s="236"/>
      <c r="O828" s="236"/>
      <c r="P828" s="236"/>
      <c r="Q828" s="236"/>
      <c r="R828" s="236"/>
      <c r="S828" s="236"/>
      <c r="T828" s="236"/>
      <c r="U828" s="236"/>
      <c r="V828" s="236"/>
      <c r="W828" s="236"/>
    </row>
    <row r="829">
      <c r="A829" s="236"/>
      <c r="B829" s="236"/>
      <c r="C829" s="236"/>
      <c r="D829" s="236"/>
      <c r="E829" s="236"/>
      <c r="F829" s="236"/>
      <c r="G829" s="236"/>
      <c r="H829" s="236"/>
      <c r="I829" s="236"/>
      <c r="J829" s="236"/>
      <c r="K829" s="330"/>
      <c r="L829" s="330"/>
      <c r="M829" s="236"/>
      <c r="N829" s="236"/>
      <c r="O829" s="236"/>
      <c r="P829" s="236"/>
      <c r="Q829" s="236"/>
      <c r="R829" s="236"/>
      <c r="S829" s="236"/>
      <c r="T829" s="236"/>
      <c r="U829" s="236"/>
      <c r="V829" s="236"/>
      <c r="W829" s="236"/>
    </row>
    <row r="830">
      <c r="A830" s="236"/>
      <c r="B830" s="236"/>
      <c r="C830" s="236"/>
      <c r="D830" s="236"/>
      <c r="E830" s="236"/>
      <c r="F830" s="236"/>
      <c r="G830" s="236"/>
      <c r="H830" s="236"/>
      <c r="I830" s="236"/>
      <c r="J830" s="236"/>
      <c r="K830" s="330"/>
      <c r="L830" s="330"/>
      <c r="M830" s="236"/>
      <c r="N830" s="236"/>
      <c r="O830" s="236"/>
      <c r="P830" s="236"/>
      <c r="Q830" s="236"/>
      <c r="R830" s="236"/>
      <c r="S830" s="236"/>
      <c r="T830" s="236"/>
      <c r="U830" s="236"/>
      <c r="V830" s="236"/>
      <c r="W830" s="236"/>
    </row>
    <row r="831">
      <c r="A831" s="236"/>
      <c r="B831" s="236"/>
      <c r="C831" s="236"/>
      <c r="D831" s="236"/>
      <c r="E831" s="236"/>
      <c r="F831" s="236"/>
      <c r="G831" s="236"/>
      <c r="H831" s="236"/>
      <c r="I831" s="236"/>
      <c r="J831" s="236"/>
      <c r="K831" s="330"/>
      <c r="L831" s="330"/>
      <c r="M831" s="236"/>
      <c r="N831" s="236"/>
      <c r="O831" s="236"/>
      <c r="P831" s="236"/>
      <c r="Q831" s="236"/>
      <c r="R831" s="236"/>
      <c r="S831" s="236"/>
      <c r="T831" s="236"/>
      <c r="U831" s="236"/>
      <c r="V831" s="236"/>
      <c r="W831" s="236"/>
    </row>
    <row r="832">
      <c r="A832" s="236"/>
      <c r="B832" s="236"/>
      <c r="C832" s="236"/>
      <c r="D832" s="236"/>
      <c r="E832" s="236"/>
      <c r="F832" s="236"/>
      <c r="G832" s="236"/>
      <c r="H832" s="236"/>
      <c r="I832" s="236"/>
      <c r="J832" s="236"/>
      <c r="K832" s="330"/>
      <c r="L832" s="330"/>
      <c r="M832" s="236"/>
      <c r="N832" s="236"/>
      <c r="O832" s="236"/>
      <c r="P832" s="236"/>
      <c r="Q832" s="236"/>
      <c r="R832" s="236"/>
      <c r="S832" s="236"/>
      <c r="T832" s="236"/>
      <c r="U832" s="236"/>
      <c r="V832" s="236"/>
      <c r="W832" s="236"/>
    </row>
    <row r="833">
      <c r="A833" s="236"/>
      <c r="B833" s="236"/>
      <c r="C833" s="236"/>
      <c r="D833" s="236"/>
      <c r="E833" s="236"/>
      <c r="F833" s="236"/>
      <c r="G833" s="236"/>
      <c r="H833" s="236"/>
      <c r="I833" s="236"/>
      <c r="J833" s="236"/>
      <c r="K833" s="330"/>
      <c r="L833" s="330"/>
      <c r="M833" s="236"/>
      <c r="N833" s="236"/>
      <c r="O833" s="236"/>
      <c r="P833" s="236"/>
      <c r="Q833" s="236"/>
      <c r="R833" s="236"/>
      <c r="S833" s="236"/>
      <c r="T833" s="236"/>
      <c r="U833" s="236"/>
      <c r="V833" s="236"/>
      <c r="W833" s="236"/>
    </row>
    <row r="834">
      <c r="A834" s="236"/>
      <c r="B834" s="236"/>
      <c r="C834" s="236"/>
      <c r="D834" s="236"/>
      <c r="E834" s="236"/>
      <c r="F834" s="236"/>
      <c r="G834" s="236"/>
      <c r="H834" s="236"/>
      <c r="I834" s="236"/>
      <c r="J834" s="236"/>
      <c r="K834" s="330"/>
      <c r="L834" s="330"/>
      <c r="M834" s="236"/>
      <c r="N834" s="236"/>
      <c r="O834" s="236"/>
      <c r="P834" s="236"/>
      <c r="Q834" s="236"/>
      <c r="R834" s="236"/>
      <c r="S834" s="236"/>
      <c r="T834" s="236"/>
      <c r="U834" s="236"/>
      <c r="V834" s="236"/>
      <c r="W834" s="236"/>
    </row>
    <row r="835">
      <c r="A835" s="236"/>
      <c r="B835" s="236"/>
      <c r="C835" s="236"/>
      <c r="D835" s="236"/>
      <c r="E835" s="236"/>
      <c r="F835" s="236"/>
      <c r="G835" s="236"/>
      <c r="H835" s="236"/>
      <c r="I835" s="236"/>
      <c r="J835" s="236"/>
      <c r="K835" s="330"/>
      <c r="L835" s="330"/>
      <c r="M835" s="236"/>
      <c r="N835" s="236"/>
      <c r="O835" s="236"/>
      <c r="P835" s="236"/>
      <c r="Q835" s="236"/>
      <c r="R835" s="236"/>
      <c r="S835" s="236"/>
      <c r="T835" s="236"/>
      <c r="U835" s="236"/>
      <c r="V835" s="236"/>
      <c r="W835" s="236"/>
    </row>
    <row r="836">
      <c r="A836" s="236"/>
      <c r="B836" s="236"/>
      <c r="C836" s="236"/>
      <c r="D836" s="236"/>
      <c r="E836" s="236"/>
      <c r="F836" s="236"/>
      <c r="G836" s="236"/>
      <c r="H836" s="236"/>
      <c r="I836" s="236"/>
      <c r="J836" s="236"/>
      <c r="K836" s="330"/>
      <c r="L836" s="330"/>
      <c r="M836" s="236"/>
      <c r="N836" s="236"/>
      <c r="O836" s="236"/>
      <c r="P836" s="236"/>
      <c r="Q836" s="236"/>
      <c r="R836" s="236"/>
      <c r="S836" s="236"/>
      <c r="T836" s="236"/>
      <c r="U836" s="236"/>
      <c r="V836" s="236"/>
      <c r="W836" s="236"/>
    </row>
    <row r="837">
      <c r="A837" s="236"/>
      <c r="B837" s="236"/>
      <c r="C837" s="236"/>
      <c r="D837" s="236"/>
      <c r="E837" s="236"/>
      <c r="F837" s="236"/>
      <c r="G837" s="236"/>
      <c r="H837" s="236"/>
      <c r="I837" s="236"/>
      <c r="J837" s="236"/>
      <c r="K837" s="330"/>
      <c r="L837" s="330"/>
      <c r="M837" s="236"/>
      <c r="N837" s="236"/>
      <c r="O837" s="236"/>
      <c r="P837" s="236"/>
      <c r="Q837" s="236"/>
      <c r="R837" s="236"/>
      <c r="S837" s="236"/>
      <c r="T837" s="236"/>
      <c r="U837" s="236"/>
      <c r="V837" s="236"/>
      <c r="W837" s="236"/>
    </row>
    <row r="838">
      <c r="A838" s="236"/>
      <c r="B838" s="236"/>
      <c r="C838" s="236"/>
      <c r="D838" s="236"/>
      <c r="E838" s="236"/>
      <c r="F838" s="236"/>
      <c r="G838" s="236"/>
      <c r="H838" s="236"/>
      <c r="I838" s="236"/>
      <c r="J838" s="236"/>
      <c r="K838" s="330"/>
      <c r="L838" s="330"/>
      <c r="M838" s="236"/>
      <c r="N838" s="236"/>
      <c r="O838" s="236"/>
      <c r="P838" s="236"/>
      <c r="Q838" s="236"/>
      <c r="R838" s="236"/>
      <c r="S838" s="236"/>
      <c r="T838" s="236"/>
      <c r="U838" s="236"/>
      <c r="V838" s="236"/>
      <c r="W838" s="236"/>
    </row>
    <row r="839">
      <c r="A839" s="236"/>
      <c r="B839" s="236"/>
      <c r="C839" s="236"/>
      <c r="D839" s="236"/>
      <c r="E839" s="236"/>
      <c r="F839" s="236"/>
      <c r="G839" s="236"/>
      <c r="H839" s="236"/>
      <c r="I839" s="236"/>
      <c r="J839" s="236"/>
      <c r="K839" s="330"/>
      <c r="L839" s="330"/>
      <c r="M839" s="236"/>
      <c r="N839" s="236"/>
      <c r="O839" s="236"/>
      <c r="P839" s="236"/>
      <c r="Q839" s="236"/>
      <c r="R839" s="236"/>
      <c r="S839" s="236"/>
      <c r="T839" s="236"/>
      <c r="U839" s="236"/>
      <c r="V839" s="236"/>
      <c r="W839" s="236"/>
    </row>
    <row r="840">
      <c r="A840" s="236"/>
      <c r="B840" s="236"/>
      <c r="C840" s="236"/>
      <c r="D840" s="236"/>
      <c r="E840" s="236"/>
      <c r="F840" s="236"/>
      <c r="G840" s="236"/>
      <c r="H840" s="236"/>
      <c r="I840" s="236"/>
      <c r="J840" s="236"/>
      <c r="K840" s="330"/>
      <c r="L840" s="330"/>
      <c r="M840" s="236"/>
      <c r="N840" s="236"/>
      <c r="O840" s="236"/>
      <c r="P840" s="236"/>
      <c r="Q840" s="236"/>
      <c r="R840" s="236"/>
      <c r="S840" s="236"/>
      <c r="T840" s="236"/>
      <c r="U840" s="236"/>
      <c r="V840" s="236"/>
      <c r="W840" s="236"/>
    </row>
    <row r="841">
      <c r="A841" s="236"/>
      <c r="B841" s="236"/>
      <c r="C841" s="236"/>
      <c r="D841" s="236"/>
      <c r="E841" s="236"/>
      <c r="F841" s="236"/>
      <c r="G841" s="236"/>
      <c r="H841" s="236"/>
      <c r="I841" s="236"/>
      <c r="J841" s="236"/>
      <c r="K841" s="330"/>
      <c r="L841" s="330"/>
      <c r="M841" s="236"/>
      <c r="N841" s="236"/>
      <c r="O841" s="236"/>
      <c r="P841" s="236"/>
      <c r="Q841" s="236"/>
      <c r="R841" s="236"/>
      <c r="S841" s="236"/>
      <c r="T841" s="236"/>
      <c r="U841" s="236"/>
      <c r="V841" s="236"/>
      <c r="W841" s="236"/>
    </row>
    <row r="842">
      <c r="A842" s="236"/>
      <c r="B842" s="236"/>
      <c r="C842" s="236"/>
      <c r="D842" s="236"/>
      <c r="E842" s="236"/>
      <c r="F842" s="236"/>
      <c r="G842" s="236"/>
      <c r="H842" s="236"/>
      <c r="I842" s="236"/>
      <c r="J842" s="236"/>
      <c r="K842" s="330"/>
      <c r="L842" s="330"/>
      <c r="M842" s="236"/>
      <c r="N842" s="236"/>
      <c r="O842" s="236"/>
      <c r="P842" s="236"/>
      <c r="Q842" s="236"/>
      <c r="R842" s="236"/>
      <c r="S842" s="236"/>
      <c r="T842" s="236"/>
      <c r="U842" s="236"/>
      <c r="V842" s="236"/>
      <c r="W842" s="236"/>
    </row>
    <row r="843">
      <c r="A843" s="236"/>
      <c r="B843" s="236"/>
      <c r="C843" s="236"/>
      <c r="D843" s="236"/>
      <c r="E843" s="236"/>
      <c r="F843" s="236"/>
      <c r="G843" s="236"/>
      <c r="H843" s="236"/>
      <c r="I843" s="236"/>
      <c r="J843" s="236"/>
      <c r="K843" s="330"/>
      <c r="L843" s="330"/>
      <c r="M843" s="236"/>
      <c r="N843" s="236"/>
      <c r="O843" s="236"/>
      <c r="P843" s="236"/>
      <c r="Q843" s="236"/>
      <c r="R843" s="236"/>
      <c r="S843" s="236"/>
      <c r="T843" s="236"/>
      <c r="U843" s="236"/>
      <c r="V843" s="236"/>
      <c r="W843" s="236"/>
    </row>
    <row r="844">
      <c r="A844" s="236"/>
      <c r="B844" s="236"/>
      <c r="C844" s="236"/>
      <c r="D844" s="236"/>
      <c r="E844" s="236"/>
      <c r="F844" s="236"/>
      <c r="G844" s="236"/>
      <c r="H844" s="236"/>
      <c r="I844" s="236"/>
      <c r="J844" s="236"/>
      <c r="K844" s="330"/>
      <c r="L844" s="330"/>
      <c r="M844" s="236"/>
      <c r="N844" s="236"/>
      <c r="O844" s="236"/>
      <c r="P844" s="236"/>
      <c r="Q844" s="236"/>
      <c r="R844" s="236"/>
      <c r="S844" s="236"/>
      <c r="T844" s="236"/>
      <c r="U844" s="236"/>
      <c r="V844" s="236"/>
      <c r="W844" s="236"/>
    </row>
    <row r="845">
      <c r="A845" s="236"/>
      <c r="B845" s="236"/>
      <c r="C845" s="236"/>
      <c r="D845" s="236"/>
      <c r="E845" s="236"/>
      <c r="F845" s="236"/>
      <c r="G845" s="236"/>
      <c r="H845" s="236"/>
      <c r="I845" s="236"/>
      <c r="J845" s="236"/>
      <c r="K845" s="330"/>
      <c r="L845" s="330"/>
      <c r="M845" s="236"/>
      <c r="N845" s="236"/>
      <c r="O845" s="236"/>
      <c r="P845" s="236"/>
      <c r="Q845" s="236"/>
      <c r="R845" s="236"/>
      <c r="S845" s="236"/>
      <c r="T845" s="236"/>
      <c r="U845" s="236"/>
      <c r="V845" s="236"/>
      <c r="W845" s="236"/>
    </row>
    <row r="846">
      <c r="A846" s="236"/>
      <c r="B846" s="236"/>
      <c r="C846" s="236"/>
      <c r="D846" s="236"/>
      <c r="E846" s="236"/>
      <c r="F846" s="236"/>
      <c r="G846" s="236"/>
      <c r="H846" s="236"/>
      <c r="I846" s="236"/>
      <c r="J846" s="236"/>
      <c r="K846" s="330"/>
      <c r="L846" s="330"/>
      <c r="M846" s="236"/>
      <c r="N846" s="236"/>
      <c r="O846" s="236"/>
      <c r="P846" s="236"/>
      <c r="Q846" s="236"/>
      <c r="R846" s="236"/>
      <c r="S846" s="236"/>
      <c r="T846" s="236"/>
      <c r="U846" s="236"/>
      <c r="V846" s="236"/>
      <c r="W846" s="236"/>
    </row>
    <row r="847">
      <c r="A847" s="236"/>
      <c r="B847" s="236"/>
      <c r="C847" s="236"/>
      <c r="D847" s="236"/>
      <c r="E847" s="236"/>
      <c r="F847" s="236"/>
      <c r="G847" s="236"/>
      <c r="H847" s="236"/>
      <c r="I847" s="236"/>
      <c r="J847" s="236"/>
      <c r="K847" s="330"/>
      <c r="L847" s="330"/>
      <c r="M847" s="236"/>
      <c r="N847" s="236"/>
      <c r="O847" s="236"/>
      <c r="P847" s="236"/>
      <c r="Q847" s="236"/>
      <c r="R847" s="236"/>
      <c r="S847" s="236"/>
      <c r="T847" s="236"/>
      <c r="U847" s="236"/>
      <c r="V847" s="236"/>
      <c r="W847" s="236"/>
    </row>
    <row r="848">
      <c r="A848" s="236"/>
      <c r="B848" s="236"/>
      <c r="C848" s="236"/>
      <c r="D848" s="236"/>
      <c r="E848" s="236"/>
      <c r="F848" s="236"/>
      <c r="G848" s="236"/>
      <c r="H848" s="236"/>
      <c r="I848" s="236"/>
      <c r="J848" s="236"/>
      <c r="K848" s="330"/>
      <c r="L848" s="330"/>
      <c r="M848" s="236"/>
      <c r="N848" s="236"/>
      <c r="O848" s="236"/>
      <c r="P848" s="236"/>
      <c r="Q848" s="236"/>
      <c r="R848" s="236"/>
      <c r="S848" s="236"/>
      <c r="T848" s="236"/>
      <c r="U848" s="236"/>
      <c r="V848" s="236"/>
      <c r="W848" s="236"/>
    </row>
    <row r="849">
      <c r="A849" s="236"/>
      <c r="B849" s="236"/>
      <c r="C849" s="236"/>
      <c r="D849" s="236"/>
      <c r="E849" s="236"/>
      <c r="F849" s="236"/>
      <c r="G849" s="236"/>
      <c r="H849" s="236"/>
      <c r="I849" s="236"/>
      <c r="J849" s="236"/>
      <c r="K849" s="330"/>
      <c r="L849" s="330"/>
      <c r="M849" s="236"/>
      <c r="N849" s="236"/>
      <c r="O849" s="236"/>
      <c r="P849" s="236"/>
      <c r="Q849" s="236"/>
      <c r="R849" s="236"/>
      <c r="S849" s="236"/>
      <c r="T849" s="236"/>
      <c r="U849" s="236"/>
      <c r="V849" s="236"/>
      <c r="W849" s="236"/>
    </row>
    <row r="850">
      <c r="A850" s="236"/>
      <c r="B850" s="236"/>
      <c r="C850" s="236"/>
      <c r="D850" s="236"/>
      <c r="E850" s="236"/>
      <c r="F850" s="236"/>
      <c r="G850" s="236"/>
      <c r="H850" s="236"/>
      <c r="I850" s="236"/>
      <c r="J850" s="236"/>
      <c r="K850" s="330"/>
      <c r="L850" s="330"/>
      <c r="M850" s="236"/>
      <c r="N850" s="236"/>
      <c r="O850" s="236"/>
      <c r="P850" s="236"/>
      <c r="Q850" s="236"/>
      <c r="R850" s="236"/>
      <c r="S850" s="236"/>
      <c r="T850" s="236"/>
      <c r="U850" s="236"/>
      <c r="V850" s="236"/>
      <c r="W850" s="236"/>
    </row>
    <row r="851">
      <c r="A851" s="236"/>
      <c r="B851" s="236"/>
      <c r="C851" s="236"/>
      <c r="D851" s="236"/>
      <c r="E851" s="236"/>
      <c r="F851" s="236"/>
      <c r="G851" s="236"/>
      <c r="H851" s="236"/>
      <c r="I851" s="236"/>
      <c r="J851" s="236"/>
      <c r="K851" s="330"/>
      <c r="L851" s="330"/>
      <c r="M851" s="236"/>
      <c r="N851" s="236"/>
      <c r="O851" s="236"/>
      <c r="P851" s="236"/>
      <c r="Q851" s="236"/>
      <c r="R851" s="236"/>
      <c r="S851" s="236"/>
      <c r="T851" s="236"/>
      <c r="U851" s="236"/>
      <c r="V851" s="236"/>
      <c r="W851" s="236"/>
    </row>
    <row r="852">
      <c r="A852" s="236"/>
      <c r="B852" s="236"/>
      <c r="C852" s="236"/>
      <c r="D852" s="236"/>
      <c r="E852" s="236"/>
      <c r="F852" s="236"/>
      <c r="G852" s="236"/>
      <c r="H852" s="236"/>
      <c r="I852" s="236"/>
      <c r="J852" s="236"/>
      <c r="K852" s="330"/>
      <c r="L852" s="330"/>
      <c r="M852" s="236"/>
      <c r="N852" s="236"/>
      <c r="O852" s="236"/>
      <c r="P852" s="236"/>
      <c r="Q852" s="236"/>
      <c r="R852" s="236"/>
      <c r="S852" s="236"/>
      <c r="T852" s="236"/>
      <c r="U852" s="236"/>
      <c r="V852" s="236"/>
      <c r="W852" s="236"/>
    </row>
    <row r="853">
      <c r="A853" s="236"/>
      <c r="B853" s="236"/>
      <c r="C853" s="236"/>
      <c r="D853" s="236"/>
      <c r="E853" s="236"/>
      <c r="F853" s="236"/>
      <c r="G853" s="236"/>
      <c r="H853" s="236"/>
      <c r="I853" s="236"/>
      <c r="J853" s="236"/>
      <c r="K853" s="330"/>
      <c r="L853" s="330"/>
      <c r="M853" s="236"/>
      <c r="N853" s="236"/>
      <c r="O853" s="236"/>
      <c r="P853" s="236"/>
      <c r="Q853" s="236"/>
      <c r="R853" s="236"/>
      <c r="S853" s="236"/>
      <c r="T853" s="236"/>
      <c r="U853" s="236"/>
      <c r="V853" s="236"/>
      <c r="W853" s="236"/>
    </row>
    <row r="854">
      <c r="A854" s="236"/>
      <c r="B854" s="236"/>
      <c r="C854" s="236"/>
      <c r="D854" s="236"/>
      <c r="E854" s="236"/>
      <c r="F854" s="236"/>
      <c r="G854" s="236"/>
      <c r="H854" s="236"/>
      <c r="I854" s="236"/>
      <c r="J854" s="236"/>
      <c r="K854" s="330"/>
      <c r="L854" s="330"/>
      <c r="M854" s="236"/>
      <c r="N854" s="236"/>
      <c r="O854" s="236"/>
      <c r="P854" s="236"/>
      <c r="Q854" s="236"/>
      <c r="R854" s="236"/>
      <c r="S854" s="236"/>
      <c r="T854" s="236"/>
      <c r="U854" s="236"/>
      <c r="V854" s="236"/>
      <c r="W854" s="236"/>
    </row>
    <row r="855">
      <c r="A855" s="236"/>
      <c r="B855" s="236"/>
      <c r="C855" s="236"/>
      <c r="D855" s="236"/>
      <c r="E855" s="236"/>
      <c r="F855" s="236"/>
      <c r="G855" s="236"/>
      <c r="H855" s="236"/>
      <c r="I855" s="236"/>
      <c r="J855" s="236"/>
      <c r="K855" s="330"/>
      <c r="L855" s="330"/>
      <c r="M855" s="236"/>
      <c r="N855" s="236"/>
      <c r="O855" s="236"/>
      <c r="P855" s="236"/>
      <c r="Q855" s="236"/>
      <c r="R855" s="236"/>
      <c r="S855" s="236"/>
      <c r="T855" s="236"/>
      <c r="U855" s="236"/>
      <c r="V855" s="236"/>
      <c r="W855" s="236"/>
    </row>
    <row r="856">
      <c r="A856" s="236"/>
      <c r="B856" s="236"/>
      <c r="C856" s="236"/>
      <c r="D856" s="236"/>
      <c r="E856" s="236"/>
      <c r="F856" s="236"/>
      <c r="G856" s="236"/>
      <c r="H856" s="236"/>
      <c r="I856" s="236"/>
      <c r="J856" s="236"/>
      <c r="K856" s="330"/>
      <c r="L856" s="330"/>
      <c r="M856" s="236"/>
      <c r="N856" s="236"/>
      <c r="O856" s="236"/>
      <c r="P856" s="236"/>
      <c r="Q856" s="236"/>
      <c r="R856" s="236"/>
      <c r="S856" s="236"/>
      <c r="T856" s="236"/>
      <c r="U856" s="236"/>
      <c r="V856" s="236"/>
      <c r="W856" s="236"/>
    </row>
    <row r="857">
      <c r="A857" s="236"/>
      <c r="B857" s="236"/>
      <c r="C857" s="236"/>
      <c r="D857" s="236"/>
      <c r="E857" s="236"/>
      <c r="F857" s="236"/>
      <c r="G857" s="236"/>
      <c r="H857" s="236"/>
      <c r="I857" s="236"/>
      <c r="J857" s="236"/>
      <c r="K857" s="330"/>
      <c r="L857" s="330"/>
      <c r="M857" s="236"/>
      <c r="N857" s="236"/>
      <c r="O857" s="236"/>
      <c r="P857" s="236"/>
      <c r="Q857" s="236"/>
      <c r="R857" s="236"/>
      <c r="S857" s="236"/>
      <c r="T857" s="236"/>
      <c r="U857" s="236"/>
      <c r="V857" s="236"/>
      <c r="W857" s="236"/>
    </row>
    <row r="858">
      <c r="A858" s="236"/>
      <c r="B858" s="236"/>
      <c r="C858" s="236"/>
      <c r="D858" s="236"/>
      <c r="E858" s="236"/>
      <c r="F858" s="236"/>
      <c r="G858" s="236"/>
      <c r="H858" s="236"/>
      <c r="I858" s="236"/>
      <c r="J858" s="236"/>
      <c r="K858" s="330"/>
      <c r="L858" s="330"/>
      <c r="M858" s="236"/>
      <c r="N858" s="236"/>
      <c r="O858" s="236"/>
      <c r="P858" s="236"/>
      <c r="Q858" s="236"/>
      <c r="R858" s="236"/>
      <c r="S858" s="236"/>
      <c r="T858" s="236"/>
      <c r="U858" s="236"/>
      <c r="V858" s="236"/>
      <c r="W858" s="236"/>
    </row>
    <row r="859">
      <c r="A859" s="236"/>
      <c r="B859" s="236"/>
      <c r="C859" s="236"/>
      <c r="D859" s="236"/>
      <c r="E859" s="236"/>
      <c r="F859" s="236"/>
      <c r="G859" s="236"/>
      <c r="H859" s="236"/>
      <c r="I859" s="236"/>
      <c r="J859" s="236"/>
      <c r="K859" s="330"/>
      <c r="L859" s="330"/>
      <c r="M859" s="236"/>
      <c r="N859" s="236"/>
      <c r="O859" s="236"/>
      <c r="P859" s="236"/>
      <c r="Q859" s="236"/>
      <c r="R859" s="236"/>
      <c r="S859" s="236"/>
      <c r="T859" s="236"/>
      <c r="U859" s="236"/>
      <c r="V859" s="236"/>
      <c r="W859" s="236"/>
    </row>
    <row r="860">
      <c r="A860" s="236"/>
      <c r="B860" s="236"/>
      <c r="C860" s="236"/>
      <c r="D860" s="236"/>
      <c r="E860" s="236"/>
      <c r="F860" s="236"/>
      <c r="G860" s="236"/>
      <c r="H860" s="236"/>
      <c r="I860" s="236"/>
      <c r="J860" s="236"/>
      <c r="K860" s="330"/>
      <c r="L860" s="330"/>
      <c r="M860" s="236"/>
      <c r="N860" s="236"/>
      <c r="O860" s="236"/>
      <c r="P860" s="236"/>
      <c r="Q860" s="236"/>
      <c r="R860" s="236"/>
      <c r="S860" s="236"/>
      <c r="T860" s="236"/>
      <c r="U860" s="236"/>
      <c r="V860" s="236"/>
      <c r="W860" s="236"/>
    </row>
    <row r="861">
      <c r="A861" s="236"/>
      <c r="B861" s="236"/>
      <c r="C861" s="236"/>
      <c r="D861" s="236"/>
      <c r="E861" s="236"/>
      <c r="F861" s="236"/>
      <c r="G861" s="236"/>
      <c r="H861" s="236"/>
      <c r="I861" s="236"/>
      <c r="J861" s="236"/>
      <c r="K861" s="330"/>
      <c r="L861" s="330"/>
      <c r="M861" s="236"/>
      <c r="N861" s="236"/>
      <c r="O861" s="236"/>
      <c r="P861" s="236"/>
      <c r="Q861" s="236"/>
      <c r="R861" s="236"/>
      <c r="S861" s="236"/>
      <c r="T861" s="236"/>
      <c r="U861" s="236"/>
      <c r="V861" s="236"/>
      <c r="W861" s="236"/>
    </row>
    <row r="862">
      <c r="A862" s="236"/>
      <c r="B862" s="236"/>
      <c r="C862" s="236"/>
      <c r="D862" s="236"/>
      <c r="E862" s="236"/>
      <c r="F862" s="236"/>
      <c r="G862" s="236"/>
      <c r="H862" s="236"/>
      <c r="I862" s="236"/>
      <c r="J862" s="236"/>
      <c r="K862" s="330"/>
      <c r="L862" s="330"/>
      <c r="M862" s="236"/>
      <c r="N862" s="236"/>
      <c r="O862" s="236"/>
      <c r="P862" s="236"/>
      <c r="Q862" s="236"/>
      <c r="R862" s="236"/>
      <c r="S862" s="236"/>
      <c r="T862" s="236"/>
      <c r="U862" s="236"/>
      <c r="V862" s="236"/>
      <c r="W862" s="236"/>
    </row>
    <row r="863">
      <c r="A863" s="236"/>
      <c r="B863" s="236"/>
      <c r="C863" s="236"/>
      <c r="D863" s="236"/>
      <c r="E863" s="236"/>
      <c r="F863" s="236"/>
      <c r="G863" s="236"/>
      <c r="H863" s="236"/>
      <c r="I863" s="236"/>
      <c r="J863" s="236"/>
      <c r="K863" s="330"/>
      <c r="L863" s="330"/>
      <c r="M863" s="236"/>
      <c r="N863" s="236"/>
      <c r="O863" s="236"/>
      <c r="P863" s="236"/>
      <c r="Q863" s="236"/>
      <c r="R863" s="236"/>
      <c r="S863" s="236"/>
      <c r="T863" s="236"/>
      <c r="U863" s="236"/>
      <c r="V863" s="236"/>
      <c r="W863" s="236"/>
    </row>
    <row r="864">
      <c r="A864" s="236"/>
      <c r="B864" s="236"/>
      <c r="C864" s="236"/>
      <c r="D864" s="236"/>
      <c r="E864" s="236"/>
      <c r="F864" s="236"/>
      <c r="G864" s="236"/>
      <c r="H864" s="236"/>
      <c r="I864" s="236"/>
      <c r="J864" s="236"/>
      <c r="K864" s="330"/>
      <c r="L864" s="330"/>
      <c r="M864" s="236"/>
      <c r="N864" s="236"/>
      <c r="O864" s="236"/>
      <c r="P864" s="236"/>
      <c r="Q864" s="236"/>
      <c r="R864" s="236"/>
      <c r="S864" s="236"/>
      <c r="T864" s="236"/>
      <c r="U864" s="236"/>
      <c r="V864" s="236"/>
      <c r="W864" s="236"/>
    </row>
    <row r="865">
      <c r="A865" s="236"/>
      <c r="B865" s="236"/>
      <c r="C865" s="236"/>
      <c r="D865" s="236"/>
      <c r="E865" s="236"/>
      <c r="F865" s="236"/>
      <c r="G865" s="236"/>
      <c r="H865" s="236"/>
      <c r="I865" s="236"/>
      <c r="J865" s="236"/>
      <c r="K865" s="330"/>
      <c r="L865" s="330"/>
      <c r="M865" s="236"/>
      <c r="N865" s="236"/>
      <c r="O865" s="236"/>
      <c r="P865" s="236"/>
      <c r="Q865" s="236"/>
      <c r="R865" s="236"/>
      <c r="S865" s="236"/>
      <c r="T865" s="236"/>
      <c r="U865" s="236"/>
      <c r="V865" s="236"/>
      <c r="W865" s="236"/>
    </row>
    <row r="866">
      <c r="A866" s="236"/>
      <c r="B866" s="236"/>
      <c r="C866" s="236"/>
      <c r="D866" s="236"/>
      <c r="E866" s="236"/>
      <c r="F866" s="236"/>
      <c r="G866" s="236"/>
      <c r="H866" s="236"/>
      <c r="I866" s="236"/>
      <c r="J866" s="236"/>
      <c r="K866" s="330"/>
      <c r="L866" s="330"/>
      <c r="M866" s="236"/>
      <c r="N866" s="236"/>
      <c r="O866" s="236"/>
      <c r="P866" s="236"/>
      <c r="Q866" s="236"/>
      <c r="R866" s="236"/>
      <c r="S866" s="236"/>
      <c r="T866" s="236"/>
      <c r="U866" s="236"/>
      <c r="V866" s="236"/>
      <c r="W866" s="236"/>
    </row>
    <row r="867">
      <c r="A867" s="236"/>
      <c r="B867" s="236"/>
      <c r="C867" s="236"/>
      <c r="D867" s="236"/>
      <c r="E867" s="236"/>
      <c r="F867" s="236"/>
      <c r="G867" s="236"/>
      <c r="H867" s="236"/>
      <c r="I867" s="236"/>
      <c r="J867" s="236"/>
      <c r="K867" s="330"/>
      <c r="L867" s="330"/>
      <c r="M867" s="236"/>
      <c r="N867" s="236"/>
      <c r="O867" s="236"/>
      <c r="P867" s="236"/>
      <c r="Q867" s="236"/>
      <c r="R867" s="236"/>
      <c r="S867" s="236"/>
      <c r="T867" s="236"/>
      <c r="U867" s="236"/>
      <c r="V867" s="236"/>
      <c r="W867" s="236"/>
    </row>
    <row r="868">
      <c r="A868" s="236"/>
      <c r="B868" s="236"/>
      <c r="C868" s="236"/>
      <c r="D868" s="236"/>
      <c r="E868" s="236"/>
      <c r="F868" s="236"/>
      <c r="G868" s="236"/>
      <c r="H868" s="236"/>
      <c r="I868" s="236"/>
      <c r="J868" s="236"/>
      <c r="K868" s="330"/>
      <c r="L868" s="330"/>
      <c r="M868" s="236"/>
      <c r="N868" s="236"/>
      <c r="O868" s="236"/>
      <c r="P868" s="236"/>
      <c r="Q868" s="236"/>
      <c r="R868" s="236"/>
      <c r="S868" s="236"/>
      <c r="T868" s="236"/>
      <c r="U868" s="236"/>
      <c r="V868" s="236"/>
      <c r="W868" s="236"/>
    </row>
    <row r="869">
      <c r="A869" s="236"/>
      <c r="B869" s="236"/>
      <c r="C869" s="236"/>
      <c r="D869" s="236"/>
      <c r="E869" s="236"/>
      <c r="F869" s="236"/>
      <c r="G869" s="236"/>
      <c r="H869" s="236"/>
      <c r="I869" s="236"/>
      <c r="J869" s="236"/>
      <c r="K869" s="330"/>
      <c r="L869" s="330"/>
      <c r="M869" s="236"/>
      <c r="N869" s="236"/>
      <c r="O869" s="236"/>
      <c r="P869" s="236"/>
      <c r="Q869" s="236"/>
      <c r="R869" s="236"/>
      <c r="S869" s="236"/>
      <c r="T869" s="236"/>
      <c r="U869" s="236"/>
      <c r="V869" s="236"/>
      <c r="W869" s="236"/>
    </row>
    <row r="870">
      <c r="A870" s="236"/>
      <c r="B870" s="236"/>
      <c r="C870" s="236"/>
      <c r="D870" s="236"/>
      <c r="E870" s="236"/>
      <c r="F870" s="236"/>
      <c r="G870" s="236"/>
      <c r="H870" s="236"/>
      <c r="I870" s="236"/>
      <c r="J870" s="236"/>
      <c r="K870" s="330"/>
      <c r="L870" s="330"/>
      <c r="M870" s="236"/>
      <c r="N870" s="236"/>
      <c r="O870" s="236"/>
      <c r="P870" s="236"/>
      <c r="Q870" s="236"/>
      <c r="R870" s="236"/>
      <c r="S870" s="236"/>
      <c r="T870" s="236"/>
      <c r="U870" s="236"/>
      <c r="V870" s="236"/>
      <c r="W870" s="236"/>
    </row>
    <row r="871">
      <c r="A871" s="236"/>
      <c r="B871" s="236"/>
      <c r="C871" s="236"/>
      <c r="D871" s="236"/>
      <c r="E871" s="236"/>
      <c r="F871" s="236"/>
      <c r="G871" s="236"/>
      <c r="H871" s="236"/>
      <c r="I871" s="236"/>
      <c r="J871" s="236"/>
      <c r="K871" s="330"/>
      <c r="L871" s="330"/>
      <c r="M871" s="236"/>
      <c r="N871" s="236"/>
      <c r="O871" s="236"/>
      <c r="P871" s="236"/>
      <c r="Q871" s="236"/>
      <c r="R871" s="236"/>
      <c r="S871" s="236"/>
      <c r="T871" s="236"/>
      <c r="U871" s="236"/>
      <c r="V871" s="236"/>
      <c r="W871" s="236"/>
    </row>
    <row r="872">
      <c r="A872" s="236"/>
      <c r="B872" s="236"/>
      <c r="C872" s="236"/>
      <c r="D872" s="236"/>
      <c r="E872" s="236"/>
      <c r="F872" s="236"/>
      <c r="G872" s="236"/>
      <c r="H872" s="236"/>
      <c r="I872" s="236"/>
      <c r="J872" s="236"/>
      <c r="K872" s="330"/>
      <c r="L872" s="330"/>
      <c r="M872" s="236"/>
      <c r="N872" s="236"/>
      <c r="O872" s="236"/>
      <c r="P872" s="236"/>
      <c r="Q872" s="236"/>
      <c r="R872" s="236"/>
      <c r="S872" s="236"/>
      <c r="T872" s="236"/>
      <c r="U872" s="236"/>
      <c r="V872" s="236"/>
      <c r="W872" s="236"/>
    </row>
    <row r="873">
      <c r="A873" s="236"/>
      <c r="B873" s="236"/>
      <c r="C873" s="236"/>
      <c r="D873" s="236"/>
      <c r="E873" s="236"/>
      <c r="F873" s="236"/>
      <c r="G873" s="236"/>
      <c r="H873" s="236"/>
      <c r="I873" s="236"/>
      <c r="J873" s="236"/>
      <c r="K873" s="330"/>
      <c r="L873" s="330"/>
      <c r="M873" s="236"/>
      <c r="N873" s="236"/>
      <c r="O873" s="236"/>
      <c r="P873" s="236"/>
      <c r="Q873" s="236"/>
      <c r="R873" s="236"/>
      <c r="S873" s="236"/>
      <c r="T873" s="236"/>
      <c r="U873" s="236"/>
      <c r="V873" s="236"/>
      <c r="W873" s="236"/>
    </row>
    <row r="874">
      <c r="A874" s="236"/>
      <c r="B874" s="236"/>
      <c r="C874" s="236"/>
      <c r="D874" s="236"/>
      <c r="E874" s="236"/>
      <c r="F874" s="236"/>
      <c r="G874" s="236"/>
      <c r="H874" s="236"/>
      <c r="I874" s="236"/>
      <c r="J874" s="236"/>
      <c r="K874" s="330"/>
      <c r="L874" s="330"/>
      <c r="M874" s="236"/>
      <c r="N874" s="236"/>
      <c r="O874" s="236"/>
      <c r="P874" s="236"/>
      <c r="Q874" s="236"/>
      <c r="R874" s="236"/>
      <c r="S874" s="236"/>
      <c r="T874" s="236"/>
      <c r="U874" s="236"/>
      <c r="V874" s="236"/>
      <c r="W874" s="236"/>
    </row>
    <row r="875">
      <c r="A875" s="236"/>
      <c r="B875" s="236"/>
      <c r="C875" s="236"/>
      <c r="D875" s="236"/>
      <c r="E875" s="236"/>
      <c r="F875" s="236"/>
      <c r="G875" s="236"/>
      <c r="H875" s="236"/>
      <c r="I875" s="236"/>
      <c r="J875" s="236"/>
      <c r="K875" s="330"/>
      <c r="L875" s="330"/>
      <c r="M875" s="236"/>
      <c r="N875" s="236"/>
      <c r="O875" s="236"/>
      <c r="P875" s="236"/>
      <c r="Q875" s="236"/>
      <c r="R875" s="236"/>
      <c r="S875" s="236"/>
      <c r="T875" s="236"/>
      <c r="U875" s="236"/>
      <c r="V875" s="236"/>
      <c r="W875" s="236"/>
    </row>
    <row r="876">
      <c r="A876" s="236"/>
      <c r="B876" s="236"/>
      <c r="C876" s="236"/>
      <c r="D876" s="236"/>
      <c r="E876" s="236"/>
      <c r="F876" s="236"/>
      <c r="G876" s="236"/>
      <c r="H876" s="236"/>
      <c r="I876" s="236"/>
      <c r="J876" s="236"/>
      <c r="K876" s="330"/>
      <c r="L876" s="330"/>
      <c r="M876" s="236"/>
      <c r="N876" s="236"/>
      <c r="O876" s="236"/>
      <c r="P876" s="236"/>
      <c r="Q876" s="236"/>
      <c r="R876" s="236"/>
      <c r="S876" s="236"/>
      <c r="T876" s="236"/>
      <c r="U876" s="236"/>
      <c r="V876" s="236"/>
      <c r="W876" s="236"/>
    </row>
    <row r="877">
      <c r="A877" s="236"/>
      <c r="B877" s="236"/>
      <c r="C877" s="236"/>
      <c r="D877" s="236"/>
      <c r="E877" s="236"/>
      <c r="F877" s="236"/>
      <c r="G877" s="236"/>
      <c r="H877" s="236"/>
      <c r="I877" s="236"/>
      <c r="J877" s="236"/>
      <c r="K877" s="330"/>
      <c r="L877" s="330"/>
      <c r="M877" s="236"/>
      <c r="N877" s="236"/>
      <c r="O877" s="236"/>
      <c r="P877" s="236"/>
      <c r="Q877" s="236"/>
      <c r="R877" s="236"/>
      <c r="S877" s="236"/>
      <c r="T877" s="236"/>
      <c r="U877" s="236"/>
      <c r="V877" s="236"/>
      <c r="W877" s="236"/>
    </row>
    <row r="878">
      <c r="A878" s="236"/>
      <c r="B878" s="236"/>
      <c r="C878" s="236"/>
      <c r="D878" s="236"/>
      <c r="E878" s="236"/>
      <c r="F878" s="236"/>
      <c r="G878" s="236"/>
      <c r="H878" s="236"/>
      <c r="I878" s="236"/>
      <c r="J878" s="236"/>
      <c r="K878" s="330"/>
      <c r="L878" s="330"/>
      <c r="M878" s="236"/>
      <c r="N878" s="236"/>
      <c r="O878" s="236"/>
      <c r="P878" s="236"/>
      <c r="Q878" s="236"/>
      <c r="R878" s="236"/>
      <c r="S878" s="236"/>
      <c r="T878" s="236"/>
      <c r="U878" s="236"/>
      <c r="V878" s="236"/>
      <c r="W878" s="236"/>
    </row>
    <row r="879">
      <c r="A879" s="236"/>
      <c r="B879" s="236"/>
      <c r="C879" s="236"/>
      <c r="D879" s="236"/>
      <c r="E879" s="236"/>
      <c r="F879" s="236"/>
      <c r="G879" s="236"/>
      <c r="H879" s="236"/>
      <c r="I879" s="236"/>
      <c r="J879" s="236"/>
      <c r="K879" s="330"/>
      <c r="L879" s="330"/>
      <c r="M879" s="236"/>
      <c r="N879" s="236"/>
      <c r="O879" s="236"/>
      <c r="P879" s="236"/>
      <c r="Q879" s="236"/>
      <c r="R879" s="236"/>
      <c r="S879" s="236"/>
      <c r="T879" s="236"/>
      <c r="U879" s="236"/>
      <c r="V879" s="236"/>
      <c r="W879" s="236"/>
    </row>
    <row r="880">
      <c r="A880" s="236"/>
      <c r="B880" s="236"/>
      <c r="C880" s="236"/>
      <c r="D880" s="236"/>
      <c r="E880" s="236"/>
      <c r="F880" s="236"/>
      <c r="G880" s="236"/>
      <c r="H880" s="236"/>
      <c r="I880" s="236"/>
      <c r="J880" s="236"/>
      <c r="K880" s="330"/>
      <c r="L880" s="330"/>
      <c r="M880" s="236"/>
      <c r="N880" s="236"/>
      <c r="O880" s="236"/>
      <c r="P880" s="236"/>
      <c r="Q880" s="236"/>
      <c r="R880" s="236"/>
      <c r="S880" s="236"/>
      <c r="T880" s="236"/>
      <c r="U880" s="236"/>
      <c r="V880" s="236"/>
      <c r="W880" s="236"/>
    </row>
    <row r="881">
      <c r="A881" s="236"/>
      <c r="B881" s="236"/>
      <c r="C881" s="236"/>
      <c r="D881" s="236"/>
      <c r="E881" s="236"/>
      <c r="F881" s="236"/>
      <c r="G881" s="236"/>
      <c r="H881" s="236"/>
      <c r="I881" s="236"/>
      <c r="J881" s="236"/>
      <c r="K881" s="330"/>
      <c r="L881" s="330"/>
      <c r="M881" s="236"/>
      <c r="N881" s="236"/>
      <c r="O881" s="236"/>
      <c r="P881" s="236"/>
      <c r="Q881" s="236"/>
      <c r="R881" s="236"/>
      <c r="S881" s="236"/>
      <c r="T881" s="236"/>
      <c r="U881" s="236"/>
      <c r="V881" s="236"/>
      <c r="W881" s="236"/>
    </row>
    <row r="882">
      <c r="A882" s="236"/>
      <c r="B882" s="236"/>
      <c r="C882" s="236"/>
      <c r="D882" s="236"/>
      <c r="E882" s="236"/>
      <c r="F882" s="236"/>
      <c r="G882" s="236"/>
      <c r="H882" s="236"/>
      <c r="I882" s="236"/>
      <c r="J882" s="236"/>
      <c r="K882" s="330"/>
      <c r="L882" s="330"/>
      <c r="M882" s="236"/>
      <c r="N882" s="236"/>
      <c r="O882" s="236"/>
      <c r="P882" s="236"/>
      <c r="Q882" s="236"/>
      <c r="R882" s="236"/>
      <c r="S882" s="236"/>
      <c r="T882" s="236"/>
      <c r="U882" s="236"/>
      <c r="V882" s="236"/>
      <c r="W882" s="236"/>
    </row>
    <row r="883">
      <c r="A883" s="236"/>
      <c r="B883" s="236"/>
      <c r="C883" s="236"/>
      <c r="D883" s="236"/>
      <c r="E883" s="236"/>
      <c r="F883" s="236"/>
      <c r="G883" s="236"/>
      <c r="H883" s="236"/>
      <c r="I883" s="236"/>
      <c r="J883" s="236"/>
      <c r="K883" s="330"/>
      <c r="L883" s="330"/>
      <c r="M883" s="236"/>
      <c r="N883" s="236"/>
      <c r="O883" s="236"/>
      <c r="P883" s="236"/>
      <c r="Q883" s="236"/>
      <c r="R883" s="236"/>
      <c r="S883" s="236"/>
      <c r="T883" s="236"/>
      <c r="U883" s="236"/>
      <c r="V883" s="236"/>
      <c r="W883" s="236"/>
    </row>
    <row r="884">
      <c r="A884" s="236"/>
      <c r="B884" s="236"/>
      <c r="C884" s="236"/>
      <c r="D884" s="236"/>
      <c r="E884" s="236"/>
      <c r="F884" s="236"/>
      <c r="G884" s="236"/>
      <c r="H884" s="236"/>
      <c r="I884" s="236"/>
      <c r="J884" s="236"/>
      <c r="K884" s="330"/>
      <c r="L884" s="330"/>
      <c r="M884" s="236"/>
      <c r="N884" s="236"/>
      <c r="O884" s="236"/>
      <c r="P884" s="236"/>
      <c r="Q884" s="236"/>
      <c r="R884" s="236"/>
      <c r="S884" s="236"/>
      <c r="T884" s="236"/>
      <c r="U884" s="236"/>
      <c r="V884" s="236"/>
      <c r="W884" s="236"/>
    </row>
    <row r="885">
      <c r="A885" s="236"/>
      <c r="B885" s="236"/>
      <c r="C885" s="236"/>
      <c r="D885" s="236"/>
      <c r="E885" s="236"/>
      <c r="F885" s="236"/>
      <c r="G885" s="236"/>
      <c r="H885" s="236"/>
      <c r="I885" s="236"/>
      <c r="J885" s="236"/>
      <c r="K885" s="330"/>
      <c r="L885" s="330"/>
      <c r="M885" s="236"/>
      <c r="N885" s="236"/>
      <c r="O885" s="236"/>
      <c r="P885" s="236"/>
      <c r="Q885" s="236"/>
      <c r="R885" s="236"/>
      <c r="S885" s="236"/>
      <c r="T885" s="236"/>
      <c r="U885" s="236"/>
      <c r="V885" s="236"/>
      <c r="W885" s="236"/>
    </row>
    <row r="886">
      <c r="A886" s="236"/>
      <c r="B886" s="236"/>
      <c r="C886" s="236"/>
      <c r="D886" s="236"/>
      <c r="E886" s="236"/>
      <c r="F886" s="236"/>
      <c r="G886" s="236"/>
      <c r="H886" s="236"/>
      <c r="I886" s="236"/>
      <c r="J886" s="236"/>
      <c r="K886" s="330"/>
      <c r="L886" s="330"/>
      <c r="M886" s="236"/>
      <c r="N886" s="236"/>
      <c r="O886" s="236"/>
      <c r="P886" s="236"/>
      <c r="Q886" s="236"/>
      <c r="R886" s="236"/>
      <c r="S886" s="236"/>
      <c r="T886" s="236"/>
      <c r="U886" s="236"/>
      <c r="V886" s="236"/>
      <c r="W886" s="236"/>
    </row>
    <row r="887">
      <c r="A887" s="236"/>
      <c r="B887" s="236"/>
      <c r="C887" s="236"/>
      <c r="D887" s="236"/>
      <c r="E887" s="236"/>
      <c r="F887" s="236"/>
      <c r="G887" s="236"/>
      <c r="H887" s="236"/>
      <c r="I887" s="236"/>
      <c r="J887" s="236"/>
      <c r="K887" s="330"/>
      <c r="L887" s="330"/>
      <c r="M887" s="236"/>
      <c r="N887" s="236"/>
      <c r="O887" s="236"/>
      <c r="P887" s="236"/>
      <c r="Q887" s="236"/>
      <c r="R887" s="236"/>
      <c r="S887" s="236"/>
      <c r="T887" s="236"/>
      <c r="U887" s="236"/>
      <c r="V887" s="236"/>
      <c r="W887" s="236"/>
    </row>
    <row r="888">
      <c r="A888" s="236"/>
      <c r="B888" s="236"/>
      <c r="C888" s="236"/>
      <c r="D888" s="236"/>
      <c r="E888" s="236"/>
      <c r="F888" s="236"/>
      <c r="G888" s="236"/>
      <c r="H888" s="236"/>
      <c r="I888" s="236"/>
      <c r="J888" s="236"/>
      <c r="K888" s="330"/>
      <c r="L888" s="330"/>
      <c r="M888" s="236"/>
      <c r="N888" s="236"/>
      <c r="O888" s="236"/>
      <c r="P888" s="236"/>
      <c r="Q888" s="236"/>
      <c r="R888" s="236"/>
      <c r="S888" s="236"/>
      <c r="T888" s="236"/>
      <c r="U888" s="236"/>
      <c r="V888" s="236"/>
      <c r="W888" s="236"/>
    </row>
    <row r="889">
      <c r="A889" s="236"/>
      <c r="B889" s="236"/>
      <c r="C889" s="236"/>
      <c r="D889" s="236"/>
      <c r="E889" s="236"/>
      <c r="F889" s="236"/>
      <c r="G889" s="236"/>
      <c r="H889" s="236"/>
      <c r="I889" s="236"/>
      <c r="J889" s="236"/>
      <c r="K889" s="330"/>
      <c r="L889" s="330"/>
      <c r="M889" s="236"/>
      <c r="N889" s="236"/>
      <c r="O889" s="236"/>
      <c r="P889" s="236"/>
      <c r="Q889" s="236"/>
      <c r="R889" s="236"/>
      <c r="S889" s="236"/>
      <c r="T889" s="236"/>
      <c r="U889" s="236"/>
      <c r="V889" s="236"/>
      <c r="W889" s="236"/>
    </row>
    <row r="890">
      <c r="A890" s="236"/>
      <c r="B890" s="236"/>
      <c r="C890" s="236"/>
      <c r="D890" s="236"/>
      <c r="E890" s="236"/>
      <c r="F890" s="236"/>
      <c r="G890" s="236"/>
      <c r="H890" s="236"/>
      <c r="I890" s="236"/>
      <c r="J890" s="236"/>
      <c r="K890" s="330"/>
      <c r="L890" s="330"/>
      <c r="M890" s="236"/>
      <c r="N890" s="236"/>
      <c r="O890" s="236"/>
      <c r="P890" s="236"/>
      <c r="Q890" s="236"/>
      <c r="R890" s="236"/>
      <c r="S890" s="236"/>
      <c r="T890" s="236"/>
      <c r="U890" s="236"/>
      <c r="V890" s="236"/>
      <c r="W890" s="236"/>
    </row>
    <row r="891">
      <c r="A891" s="236"/>
      <c r="B891" s="236"/>
      <c r="C891" s="236"/>
      <c r="D891" s="236"/>
      <c r="E891" s="236"/>
      <c r="F891" s="236"/>
      <c r="G891" s="236"/>
      <c r="H891" s="236"/>
      <c r="I891" s="236"/>
      <c r="J891" s="236"/>
      <c r="K891" s="330"/>
      <c r="L891" s="330"/>
      <c r="M891" s="236"/>
      <c r="N891" s="236"/>
      <c r="O891" s="236"/>
      <c r="P891" s="236"/>
      <c r="Q891" s="236"/>
      <c r="R891" s="236"/>
      <c r="S891" s="236"/>
      <c r="T891" s="236"/>
      <c r="U891" s="236"/>
      <c r="V891" s="236"/>
      <c r="W891" s="236"/>
    </row>
    <row r="892">
      <c r="A892" s="236"/>
      <c r="B892" s="236"/>
      <c r="C892" s="236"/>
      <c r="D892" s="236"/>
      <c r="E892" s="236"/>
      <c r="F892" s="236"/>
      <c r="G892" s="236"/>
      <c r="H892" s="236"/>
      <c r="I892" s="236"/>
      <c r="J892" s="236"/>
      <c r="K892" s="330"/>
      <c r="L892" s="330"/>
      <c r="M892" s="236"/>
      <c r="N892" s="236"/>
      <c r="O892" s="236"/>
      <c r="P892" s="236"/>
      <c r="Q892" s="236"/>
      <c r="R892" s="236"/>
      <c r="S892" s="236"/>
      <c r="T892" s="236"/>
      <c r="U892" s="236"/>
      <c r="V892" s="236"/>
      <c r="W892" s="236"/>
    </row>
    <row r="893">
      <c r="A893" s="236"/>
      <c r="B893" s="236"/>
      <c r="C893" s="236"/>
      <c r="D893" s="236"/>
      <c r="E893" s="236"/>
      <c r="F893" s="236"/>
      <c r="G893" s="236"/>
      <c r="H893" s="236"/>
      <c r="I893" s="236"/>
      <c r="J893" s="236"/>
      <c r="K893" s="330"/>
      <c r="L893" s="330"/>
      <c r="M893" s="236"/>
      <c r="N893" s="236"/>
      <c r="O893" s="236"/>
      <c r="P893" s="236"/>
      <c r="Q893" s="236"/>
      <c r="R893" s="236"/>
      <c r="S893" s="236"/>
      <c r="T893" s="236"/>
      <c r="U893" s="236"/>
      <c r="V893" s="236"/>
      <c r="W893" s="236"/>
    </row>
    <row r="894">
      <c r="A894" s="236"/>
      <c r="B894" s="236"/>
      <c r="C894" s="236"/>
      <c r="D894" s="236"/>
      <c r="E894" s="236"/>
      <c r="F894" s="236"/>
      <c r="G894" s="236"/>
      <c r="H894" s="236"/>
      <c r="I894" s="236"/>
      <c r="J894" s="236"/>
      <c r="K894" s="330"/>
      <c r="L894" s="330"/>
      <c r="M894" s="236"/>
      <c r="N894" s="236"/>
      <c r="O894" s="236"/>
      <c r="P894" s="236"/>
      <c r="Q894" s="236"/>
      <c r="R894" s="236"/>
      <c r="S894" s="236"/>
      <c r="T894" s="236"/>
      <c r="U894" s="236"/>
      <c r="V894" s="236"/>
      <c r="W894" s="236"/>
    </row>
    <row r="895">
      <c r="A895" s="236"/>
      <c r="B895" s="236"/>
      <c r="C895" s="236"/>
      <c r="D895" s="236"/>
      <c r="E895" s="236"/>
      <c r="F895" s="236"/>
      <c r="G895" s="236"/>
      <c r="H895" s="236"/>
      <c r="I895" s="236"/>
      <c r="J895" s="236"/>
      <c r="K895" s="330"/>
      <c r="L895" s="330"/>
      <c r="M895" s="236"/>
      <c r="N895" s="236"/>
      <c r="O895" s="236"/>
      <c r="P895" s="236"/>
      <c r="Q895" s="236"/>
      <c r="R895" s="236"/>
      <c r="S895" s="236"/>
      <c r="T895" s="236"/>
      <c r="U895" s="236"/>
      <c r="V895" s="236"/>
      <c r="W895" s="236"/>
    </row>
    <row r="896">
      <c r="A896" s="236"/>
      <c r="B896" s="236"/>
      <c r="C896" s="236"/>
      <c r="D896" s="236"/>
      <c r="E896" s="236"/>
      <c r="F896" s="236"/>
      <c r="G896" s="236"/>
      <c r="H896" s="236"/>
      <c r="I896" s="236"/>
      <c r="J896" s="236"/>
      <c r="K896" s="330"/>
      <c r="L896" s="330"/>
      <c r="M896" s="236"/>
      <c r="N896" s="236"/>
      <c r="O896" s="236"/>
      <c r="P896" s="236"/>
      <c r="Q896" s="236"/>
      <c r="R896" s="236"/>
      <c r="S896" s="236"/>
      <c r="T896" s="236"/>
      <c r="U896" s="236"/>
      <c r="V896" s="236"/>
      <c r="W896" s="236"/>
    </row>
    <row r="897">
      <c r="A897" s="236"/>
      <c r="B897" s="236"/>
      <c r="C897" s="236"/>
      <c r="D897" s="236"/>
      <c r="E897" s="236"/>
      <c r="F897" s="236"/>
      <c r="G897" s="236"/>
      <c r="H897" s="236"/>
      <c r="I897" s="236"/>
      <c r="J897" s="236"/>
      <c r="K897" s="330"/>
      <c r="L897" s="330"/>
      <c r="M897" s="236"/>
      <c r="N897" s="236"/>
      <c r="O897" s="236"/>
      <c r="P897" s="236"/>
      <c r="Q897" s="236"/>
      <c r="R897" s="236"/>
      <c r="S897" s="236"/>
      <c r="T897" s="236"/>
      <c r="U897" s="236"/>
      <c r="V897" s="236"/>
      <c r="W897" s="236"/>
    </row>
    <row r="898">
      <c r="A898" s="236"/>
      <c r="B898" s="236"/>
      <c r="C898" s="236"/>
      <c r="D898" s="236"/>
      <c r="E898" s="236"/>
      <c r="F898" s="236"/>
      <c r="G898" s="236"/>
      <c r="H898" s="236"/>
      <c r="I898" s="236"/>
      <c r="J898" s="236"/>
      <c r="K898" s="330"/>
      <c r="L898" s="330"/>
      <c r="M898" s="236"/>
      <c r="N898" s="236"/>
      <c r="O898" s="236"/>
      <c r="P898" s="236"/>
      <c r="Q898" s="236"/>
      <c r="R898" s="236"/>
      <c r="S898" s="236"/>
      <c r="T898" s="236"/>
      <c r="U898" s="236"/>
      <c r="V898" s="236"/>
      <c r="W898" s="236"/>
    </row>
    <row r="899">
      <c r="A899" s="236"/>
      <c r="B899" s="236"/>
      <c r="C899" s="236"/>
      <c r="D899" s="236"/>
      <c r="E899" s="236"/>
      <c r="F899" s="236"/>
      <c r="G899" s="236"/>
      <c r="H899" s="236"/>
      <c r="I899" s="236"/>
      <c r="J899" s="236"/>
      <c r="K899" s="330"/>
      <c r="L899" s="330"/>
      <c r="M899" s="236"/>
      <c r="N899" s="236"/>
      <c r="O899" s="236"/>
      <c r="P899" s="236"/>
      <c r="Q899" s="236"/>
      <c r="R899" s="236"/>
      <c r="S899" s="236"/>
      <c r="T899" s="236"/>
      <c r="U899" s="236"/>
      <c r="V899" s="236"/>
      <c r="W899" s="236"/>
    </row>
    <row r="900">
      <c r="A900" s="236"/>
      <c r="B900" s="236"/>
      <c r="C900" s="236"/>
      <c r="D900" s="236"/>
      <c r="E900" s="236"/>
      <c r="F900" s="236"/>
      <c r="G900" s="236"/>
      <c r="H900" s="236"/>
      <c r="I900" s="236"/>
      <c r="J900" s="236"/>
      <c r="K900" s="330"/>
      <c r="L900" s="330"/>
      <c r="M900" s="236"/>
      <c r="N900" s="236"/>
      <c r="O900" s="236"/>
      <c r="P900" s="236"/>
      <c r="Q900" s="236"/>
      <c r="R900" s="236"/>
      <c r="S900" s="236"/>
      <c r="T900" s="236"/>
      <c r="U900" s="236"/>
      <c r="V900" s="236"/>
      <c r="W900" s="236"/>
    </row>
    <row r="901">
      <c r="A901" s="236"/>
      <c r="B901" s="236"/>
      <c r="C901" s="236"/>
      <c r="D901" s="236"/>
      <c r="E901" s="236"/>
      <c r="F901" s="236"/>
      <c r="G901" s="236"/>
      <c r="H901" s="236"/>
      <c r="I901" s="236"/>
      <c r="J901" s="236"/>
      <c r="K901" s="330"/>
      <c r="L901" s="330"/>
      <c r="M901" s="236"/>
      <c r="N901" s="236"/>
      <c r="O901" s="236"/>
      <c r="P901" s="236"/>
      <c r="Q901" s="236"/>
      <c r="R901" s="236"/>
      <c r="S901" s="236"/>
      <c r="T901" s="236"/>
      <c r="U901" s="236"/>
      <c r="V901" s="236"/>
      <c r="W901" s="236"/>
    </row>
    <row r="902">
      <c r="A902" s="236"/>
      <c r="B902" s="236"/>
      <c r="C902" s="236"/>
      <c r="D902" s="236"/>
      <c r="E902" s="236"/>
      <c r="F902" s="236"/>
      <c r="G902" s="236"/>
      <c r="H902" s="236"/>
      <c r="I902" s="236"/>
      <c r="J902" s="236"/>
      <c r="K902" s="330"/>
      <c r="L902" s="330"/>
      <c r="M902" s="236"/>
      <c r="N902" s="236"/>
      <c r="O902" s="236"/>
      <c r="P902" s="236"/>
      <c r="Q902" s="236"/>
      <c r="R902" s="236"/>
      <c r="S902" s="236"/>
      <c r="T902" s="236"/>
      <c r="U902" s="236"/>
      <c r="V902" s="236"/>
      <c r="W902" s="236"/>
    </row>
    <row r="903">
      <c r="A903" s="236"/>
      <c r="B903" s="236"/>
      <c r="C903" s="236"/>
      <c r="D903" s="236"/>
      <c r="E903" s="236"/>
      <c r="F903" s="236"/>
      <c r="G903" s="236"/>
      <c r="H903" s="236"/>
      <c r="I903" s="236"/>
      <c r="J903" s="236"/>
      <c r="K903" s="330"/>
      <c r="L903" s="330"/>
      <c r="M903" s="236"/>
      <c r="N903" s="236"/>
      <c r="O903" s="236"/>
      <c r="P903" s="236"/>
      <c r="Q903" s="236"/>
      <c r="R903" s="236"/>
      <c r="S903" s="236"/>
      <c r="T903" s="236"/>
      <c r="U903" s="236"/>
      <c r="V903" s="236"/>
      <c r="W903" s="236"/>
    </row>
    <row r="904">
      <c r="A904" s="236"/>
      <c r="B904" s="236"/>
      <c r="C904" s="236"/>
      <c r="D904" s="236"/>
      <c r="E904" s="236"/>
      <c r="F904" s="236"/>
      <c r="G904" s="236"/>
      <c r="H904" s="236"/>
      <c r="I904" s="236"/>
      <c r="J904" s="236"/>
      <c r="K904" s="330"/>
      <c r="L904" s="330"/>
      <c r="M904" s="236"/>
      <c r="N904" s="236"/>
      <c r="O904" s="236"/>
      <c r="P904" s="236"/>
      <c r="Q904" s="236"/>
      <c r="R904" s="236"/>
      <c r="S904" s="236"/>
      <c r="T904" s="236"/>
      <c r="U904" s="236"/>
      <c r="V904" s="236"/>
      <c r="W904" s="236"/>
    </row>
    <row r="905">
      <c r="A905" s="236"/>
      <c r="B905" s="236"/>
      <c r="C905" s="236"/>
      <c r="D905" s="236"/>
      <c r="E905" s="236"/>
      <c r="F905" s="236"/>
      <c r="G905" s="236"/>
      <c r="H905" s="236"/>
      <c r="I905" s="236"/>
      <c r="J905" s="236"/>
      <c r="K905" s="330"/>
      <c r="L905" s="330"/>
      <c r="M905" s="236"/>
      <c r="N905" s="236"/>
      <c r="O905" s="236"/>
      <c r="P905" s="236"/>
      <c r="Q905" s="236"/>
      <c r="R905" s="236"/>
      <c r="S905" s="236"/>
      <c r="T905" s="236"/>
      <c r="U905" s="236"/>
      <c r="V905" s="236"/>
      <c r="W905" s="236"/>
    </row>
    <row r="906">
      <c r="A906" s="236"/>
      <c r="B906" s="236"/>
      <c r="C906" s="236"/>
      <c r="D906" s="236"/>
      <c r="E906" s="236"/>
      <c r="F906" s="236"/>
      <c r="G906" s="236"/>
      <c r="H906" s="236"/>
      <c r="I906" s="236"/>
      <c r="J906" s="236"/>
      <c r="K906" s="330"/>
      <c r="L906" s="330"/>
      <c r="M906" s="236"/>
      <c r="N906" s="236"/>
      <c r="O906" s="236"/>
      <c r="P906" s="236"/>
      <c r="Q906" s="236"/>
      <c r="R906" s="236"/>
      <c r="S906" s="236"/>
      <c r="T906" s="236"/>
      <c r="U906" s="236"/>
      <c r="V906" s="236"/>
      <c r="W906" s="236"/>
    </row>
    <row r="907">
      <c r="A907" s="236"/>
      <c r="B907" s="236"/>
      <c r="C907" s="236"/>
      <c r="D907" s="236"/>
      <c r="E907" s="236"/>
      <c r="F907" s="236"/>
      <c r="G907" s="236"/>
      <c r="H907" s="236"/>
      <c r="I907" s="236"/>
      <c r="J907" s="236"/>
      <c r="K907" s="330"/>
      <c r="L907" s="330"/>
      <c r="M907" s="236"/>
      <c r="N907" s="236"/>
      <c r="O907" s="236"/>
      <c r="P907" s="236"/>
      <c r="Q907" s="236"/>
      <c r="R907" s="236"/>
      <c r="S907" s="236"/>
      <c r="T907" s="236"/>
      <c r="U907" s="236"/>
      <c r="V907" s="236"/>
      <c r="W907" s="236"/>
    </row>
    <row r="908">
      <c r="A908" s="236"/>
      <c r="B908" s="236"/>
      <c r="C908" s="236"/>
      <c r="D908" s="236"/>
      <c r="E908" s="236"/>
      <c r="F908" s="236"/>
      <c r="G908" s="236"/>
      <c r="H908" s="236"/>
      <c r="I908" s="236"/>
      <c r="J908" s="236"/>
      <c r="K908" s="330"/>
      <c r="L908" s="330"/>
      <c r="M908" s="236"/>
      <c r="N908" s="236"/>
      <c r="O908" s="236"/>
      <c r="P908" s="236"/>
      <c r="Q908" s="236"/>
      <c r="R908" s="236"/>
      <c r="S908" s="236"/>
      <c r="T908" s="236"/>
      <c r="U908" s="236"/>
      <c r="V908" s="236"/>
      <c r="W908" s="236"/>
    </row>
    <row r="909">
      <c r="A909" s="236"/>
      <c r="B909" s="236"/>
      <c r="C909" s="236"/>
      <c r="D909" s="236"/>
      <c r="E909" s="236"/>
      <c r="F909" s="236"/>
      <c r="G909" s="236"/>
      <c r="H909" s="236"/>
      <c r="I909" s="236"/>
      <c r="J909" s="236"/>
      <c r="K909" s="330"/>
      <c r="L909" s="330"/>
      <c r="M909" s="236"/>
      <c r="N909" s="236"/>
      <c r="O909" s="236"/>
      <c r="P909" s="236"/>
      <c r="Q909" s="236"/>
      <c r="R909" s="236"/>
      <c r="S909" s="236"/>
      <c r="T909" s="236"/>
      <c r="U909" s="236"/>
      <c r="V909" s="236"/>
      <c r="W909" s="236"/>
    </row>
    <row r="910">
      <c r="A910" s="236"/>
      <c r="B910" s="236"/>
      <c r="C910" s="236"/>
      <c r="D910" s="236"/>
      <c r="E910" s="236"/>
      <c r="F910" s="236"/>
      <c r="G910" s="236"/>
      <c r="H910" s="236"/>
      <c r="I910" s="236"/>
      <c r="J910" s="236"/>
      <c r="K910" s="330"/>
      <c r="L910" s="330"/>
      <c r="M910" s="236"/>
      <c r="N910" s="236"/>
      <c r="O910" s="236"/>
      <c r="P910" s="236"/>
      <c r="Q910" s="236"/>
      <c r="R910" s="236"/>
      <c r="S910" s="236"/>
      <c r="T910" s="236"/>
      <c r="U910" s="236"/>
      <c r="V910" s="236"/>
      <c r="W910" s="236"/>
    </row>
    <row r="911">
      <c r="A911" s="236"/>
      <c r="B911" s="236"/>
      <c r="C911" s="236"/>
      <c r="D911" s="236"/>
      <c r="E911" s="236"/>
      <c r="F911" s="236"/>
      <c r="G911" s="236"/>
      <c r="H911" s="236"/>
      <c r="I911" s="236"/>
      <c r="J911" s="236"/>
      <c r="K911" s="330"/>
      <c r="L911" s="330"/>
      <c r="M911" s="236"/>
      <c r="N911" s="236"/>
      <c r="O911" s="236"/>
      <c r="P911" s="236"/>
      <c r="Q911" s="236"/>
      <c r="R911" s="236"/>
      <c r="S911" s="236"/>
      <c r="T911" s="236"/>
      <c r="U911" s="236"/>
      <c r="V911" s="236"/>
      <c r="W911" s="236"/>
    </row>
    <row r="912">
      <c r="A912" s="236"/>
      <c r="B912" s="236"/>
      <c r="C912" s="236"/>
      <c r="D912" s="236"/>
      <c r="E912" s="236"/>
      <c r="F912" s="236"/>
      <c r="G912" s="236"/>
      <c r="H912" s="236"/>
      <c r="I912" s="236"/>
      <c r="J912" s="236"/>
      <c r="K912" s="330"/>
      <c r="L912" s="330"/>
      <c r="M912" s="236"/>
      <c r="N912" s="236"/>
      <c r="O912" s="236"/>
      <c r="P912" s="236"/>
      <c r="Q912" s="236"/>
      <c r="R912" s="236"/>
      <c r="S912" s="236"/>
      <c r="T912" s="236"/>
      <c r="U912" s="236"/>
      <c r="V912" s="236"/>
      <c r="W912" s="236"/>
    </row>
    <row r="913">
      <c r="A913" s="236"/>
      <c r="B913" s="236"/>
      <c r="C913" s="236"/>
      <c r="D913" s="236"/>
      <c r="E913" s="236"/>
      <c r="F913" s="236"/>
      <c r="G913" s="236"/>
      <c r="H913" s="236"/>
      <c r="I913" s="236"/>
      <c r="J913" s="236"/>
      <c r="K913" s="330"/>
      <c r="L913" s="330"/>
      <c r="M913" s="236"/>
      <c r="N913" s="236"/>
      <c r="O913" s="236"/>
      <c r="P913" s="236"/>
      <c r="Q913" s="236"/>
      <c r="R913" s="236"/>
      <c r="S913" s="236"/>
      <c r="T913" s="236"/>
      <c r="U913" s="236"/>
      <c r="V913" s="236"/>
      <c r="W913" s="236"/>
    </row>
    <row r="914">
      <c r="A914" s="236"/>
      <c r="B914" s="236"/>
      <c r="C914" s="236"/>
      <c r="D914" s="236"/>
      <c r="E914" s="236"/>
      <c r="F914" s="236"/>
      <c r="G914" s="236"/>
      <c r="H914" s="236"/>
      <c r="I914" s="236"/>
      <c r="J914" s="236"/>
      <c r="K914" s="330"/>
      <c r="L914" s="330"/>
      <c r="M914" s="236"/>
      <c r="N914" s="236"/>
      <c r="O914" s="236"/>
      <c r="P914" s="236"/>
      <c r="Q914" s="236"/>
      <c r="R914" s="236"/>
      <c r="S914" s="236"/>
      <c r="T914" s="236"/>
      <c r="U914" s="236"/>
      <c r="V914" s="236"/>
      <c r="W914" s="236"/>
    </row>
    <row r="915">
      <c r="A915" s="236"/>
      <c r="B915" s="236"/>
      <c r="C915" s="236"/>
      <c r="D915" s="236"/>
      <c r="E915" s="236"/>
      <c r="F915" s="236"/>
      <c r="G915" s="236"/>
      <c r="H915" s="236"/>
      <c r="I915" s="236"/>
      <c r="J915" s="236"/>
      <c r="K915" s="330"/>
      <c r="L915" s="330"/>
      <c r="M915" s="236"/>
      <c r="N915" s="236"/>
      <c r="O915" s="236"/>
      <c r="P915" s="236"/>
      <c r="Q915" s="236"/>
      <c r="R915" s="236"/>
      <c r="S915" s="236"/>
      <c r="T915" s="236"/>
      <c r="U915" s="236"/>
      <c r="V915" s="236"/>
      <c r="W915" s="236"/>
    </row>
    <row r="916">
      <c r="A916" s="236"/>
      <c r="B916" s="236"/>
      <c r="C916" s="236"/>
      <c r="D916" s="236"/>
      <c r="E916" s="236"/>
      <c r="F916" s="236"/>
      <c r="G916" s="236"/>
      <c r="H916" s="236"/>
      <c r="I916" s="236"/>
      <c r="J916" s="236"/>
      <c r="K916" s="330"/>
      <c r="L916" s="330"/>
      <c r="M916" s="236"/>
      <c r="N916" s="236"/>
      <c r="O916" s="236"/>
      <c r="P916" s="236"/>
      <c r="Q916" s="236"/>
      <c r="R916" s="236"/>
      <c r="S916" s="236"/>
      <c r="T916" s="236"/>
      <c r="U916" s="236"/>
      <c r="V916" s="236"/>
      <c r="W916" s="236"/>
    </row>
    <row r="917">
      <c r="A917" s="236"/>
      <c r="B917" s="236"/>
      <c r="C917" s="236"/>
      <c r="D917" s="236"/>
      <c r="E917" s="236"/>
      <c r="F917" s="236"/>
      <c r="G917" s="236"/>
      <c r="H917" s="236"/>
      <c r="I917" s="236"/>
      <c r="J917" s="236"/>
      <c r="K917" s="330"/>
      <c r="L917" s="330"/>
      <c r="M917" s="236"/>
      <c r="N917" s="236"/>
      <c r="O917" s="236"/>
      <c r="P917" s="236"/>
      <c r="Q917" s="236"/>
      <c r="R917" s="236"/>
      <c r="S917" s="236"/>
      <c r="T917" s="236"/>
      <c r="U917" s="236"/>
      <c r="V917" s="236"/>
      <c r="W917" s="236"/>
    </row>
    <row r="918">
      <c r="A918" s="236"/>
      <c r="B918" s="236"/>
      <c r="C918" s="236"/>
      <c r="D918" s="236"/>
      <c r="E918" s="236"/>
      <c r="F918" s="236"/>
      <c r="G918" s="236"/>
      <c r="H918" s="236"/>
      <c r="I918" s="236"/>
      <c r="J918" s="236"/>
      <c r="K918" s="330"/>
      <c r="L918" s="330"/>
      <c r="M918" s="236"/>
      <c r="N918" s="236"/>
      <c r="O918" s="236"/>
      <c r="P918" s="236"/>
      <c r="Q918" s="236"/>
      <c r="R918" s="236"/>
      <c r="S918" s="236"/>
      <c r="T918" s="236"/>
      <c r="U918" s="236"/>
      <c r="V918" s="236"/>
      <c r="W918" s="236"/>
    </row>
    <row r="919">
      <c r="A919" s="236"/>
      <c r="B919" s="236"/>
      <c r="C919" s="236"/>
      <c r="D919" s="236"/>
      <c r="E919" s="236"/>
      <c r="F919" s="236"/>
      <c r="G919" s="236"/>
      <c r="H919" s="236"/>
      <c r="I919" s="236"/>
      <c r="J919" s="236"/>
      <c r="K919" s="330"/>
      <c r="L919" s="330"/>
      <c r="M919" s="236"/>
      <c r="N919" s="236"/>
      <c r="O919" s="236"/>
      <c r="P919" s="236"/>
      <c r="Q919" s="236"/>
      <c r="R919" s="236"/>
      <c r="S919" s="236"/>
      <c r="T919" s="236"/>
      <c r="U919" s="236"/>
      <c r="V919" s="236"/>
      <c r="W919" s="236"/>
    </row>
    <row r="920">
      <c r="A920" s="236"/>
      <c r="B920" s="236"/>
      <c r="C920" s="236"/>
      <c r="D920" s="236"/>
      <c r="E920" s="236"/>
      <c r="F920" s="236"/>
      <c r="G920" s="236"/>
      <c r="H920" s="236"/>
      <c r="I920" s="236"/>
      <c r="J920" s="236"/>
      <c r="K920" s="330"/>
      <c r="L920" s="330"/>
      <c r="M920" s="236"/>
      <c r="N920" s="236"/>
      <c r="O920" s="236"/>
      <c r="P920" s="236"/>
      <c r="Q920" s="236"/>
      <c r="R920" s="236"/>
      <c r="S920" s="236"/>
      <c r="T920" s="236"/>
      <c r="U920" s="236"/>
      <c r="V920" s="236"/>
      <c r="W920" s="236"/>
    </row>
    <row r="921">
      <c r="A921" s="236"/>
      <c r="B921" s="236"/>
      <c r="C921" s="236"/>
      <c r="D921" s="236"/>
      <c r="E921" s="236"/>
      <c r="F921" s="236"/>
      <c r="G921" s="236"/>
      <c r="H921" s="236"/>
      <c r="I921" s="236"/>
      <c r="J921" s="236"/>
      <c r="K921" s="330"/>
      <c r="L921" s="330"/>
      <c r="M921" s="236"/>
      <c r="N921" s="236"/>
      <c r="O921" s="236"/>
      <c r="P921" s="236"/>
      <c r="Q921" s="236"/>
      <c r="R921" s="236"/>
      <c r="S921" s="236"/>
      <c r="T921" s="236"/>
      <c r="U921" s="236"/>
      <c r="V921" s="236"/>
      <c r="W921" s="236"/>
    </row>
    <row r="922">
      <c r="A922" s="236"/>
      <c r="B922" s="236"/>
      <c r="C922" s="236"/>
      <c r="D922" s="236"/>
      <c r="E922" s="236"/>
      <c r="F922" s="236"/>
      <c r="G922" s="236"/>
      <c r="H922" s="236"/>
      <c r="I922" s="236"/>
      <c r="J922" s="236"/>
      <c r="K922" s="330"/>
      <c r="L922" s="330"/>
      <c r="M922" s="236"/>
      <c r="N922" s="236"/>
      <c r="O922" s="236"/>
      <c r="P922" s="236"/>
      <c r="Q922" s="236"/>
      <c r="R922" s="236"/>
      <c r="S922" s="236"/>
      <c r="T922" s="236"/>
      <c r="U922" s="236"/>
      <c r="V922" s="236"/>
      <c r="W922" s="236"/>
    </row>
    <row r="923">
      <c r="A923" s="236"/>
      <c r="B923" s="236"/>
      <c r="C923" s="236"/>
      <c r="D923" s="236"/>
      <c r="E923" s="236"/>
      <c r="F923" s="236"/>
      <c r="G923" s="236"/>
      <c r="H923" s="236"/>
      <c r="I923" s="236"/>
      <c r="J923" s="236"/>
      <c r="K923" s="330"/>
      <c r="L923" s="330"/>
      <c r="M923" s="236"/>
      <c r="N923" s="236"/>
      <c r="O923" s="236"/>
      <c r="P923" s="236"/>
      <c r="Q923" s="236"/>
      <c r="R923" s="236"/>
      <c r="S923" s="236"/>
      <c r="T923" s="236"/>
      <c r="U923" s="236"/>
      <c r="V923" s="236"/>
      <c r="W923" s="236"/>
    </row>
    <row r="924">
      <c r="A924" s="236"/>
      <c r="B924" s="236"/>
      <c r="C924" s="236"/>
      <c r="D924" s="236"/>
      <c r="E924" s="236"/>
      <c r="F924" s="236"/>
      <c r="G924" s="236"/>
      <c r="H924" s="236"/>
      <c r="I924" s="236"/>
      <c r="J924" s="236"/>
      <c r="K924" s="330"/>
      <c r="L924" s="330"/>
      <c r="M924" s="236"/>
      <c r="N924" s="236"/>
      <c r="O924" s="236"/>
      <c r="P924" s="236"/>
      <c r="Q924" s="236"/>
      <c r="R924" s="236"/>
      <c r="S924" s="236"/>
      <c r="T924" s="236"/>
      <c r="U924" s="236"/>
      <c r="V924" s="236"/>
      <c r="W924" s="236"/>
    </row>
    <row r="925">
      <c r="A925" s="236"/>
      <c r="B925" s="236"/>
      <c r="C925" s="236"/>
      <c r="D925" s="236"/>
      <c r="E925" s="236"/>
      <c r="F925" s="236"/>
      <c r="G925" s="236"/>
      <c r="H925" s="236"/>
      <c r="I925" s="236"/>
      <c r="J925" s="236"/>
      <c r="K925" s="330"/>
      <c r="L925" s="330"/>
      <c r="M925" s="236"/>
      <c r="N925" s="236"/>
      <c r="O925" s="236"/>
      <c r="P925" s="236"/>
      <c r="Q925" s="236"/>
      <c r="R925" s="236"/>
      <c r="S925" s="236"/>
      <c r="T925" s="236"/>
      <c r="U925" s="236"/>
      <c r="V925" s="236"/>
      <c r="W925" s="236"/>
    </row>
    <row r="926">
      <c r="A926" s="236"/>
      <c r="B926" s="236"/>
      <c r="C926" s="236"/>
      <c r="D926" s="236"/>
      <c r="E926" s="236"/>
      <c r="F926" s="236"/>
      <c r="G926" s="236"/>
      <c r="H926" s="236"/>
      <c r="I926" s="236"/>
      <c r="J926" s="236"/>
      <c r="K926" s="330"/>
      <c r="L926" s="330"/>
      <c r="M926" s="236"/>
      <c r="N926" s="236"/>
      <c r="O926" s="236"/>
      <c r="P926" s="236"/>
      <c r="Q926" s="236"/>
      <c r="R926" s="236"/>
      <c r="S926" s="236"/>
      <c r="T926" s="236"/>
      <c r="U926" s="236"/>
      <c r="V926" s="236"/>
      <c r="W926" s="236"/>
    </row>
    <row r="927">
      <c r="A927" s="236"/>
      <c r="B927" s="236"/>
      <c r="C927" s="236"/>
      <c r="D927" s="236"/>
      <c r="E927" s="236"/>
      <c r="F927" s="236"/>
      <c r="G927" s="236"/>
      <c r="H927" s="236"/>
      <c r="I927" s="236"/>
      <c r="J927" s="236"/>
      <c r="K927" s="330"/>
      <c r="L927" s="330"/>
      <c r="M927" s="236"/>
      <c r="N927" s="236"/>
      <c r="O927" s="236"/>
      <c r="P927" s="236"/>
      <c r="Q927" s="236"/>
      <c r="R927" s="236"/>
      <c r="S927" s="236"/>
      <c r="T927" s="236"/>
      <c r="U927" s="236"/>
      <c r="V927" s="236"/>
      <c r="W927" s="236"/>
    </row>
    <row r="928">
      <c r="A928" s="236"/>
      <c r="B928" s="236"/>
      <c r="C928" s="236"/>
      <c r="D928" s="236"/>
      <c r="E928" s="236"/>
      <c r="F928" s="236"/>
      <c r="G928" s="236"/>
      <c r="H928" s="236"/>
      <c r="I928" s="236"/>
      <c r="J928" s="236"/>
      <c r="K928" s="330"/>
      <c r="L928" s="330"/>
      <c r="M928" s="236"/>
      <c r="N928" s="236"/>
      <c r="O928" s="236"/>
      <c r="P928" s="236"/>
      <c r="Q928" s="236"/>
      <c r="R928" s="236"/>
      <c r="S928" s="236"/>
      <c r="T928" s="236"/>
      <c r="U928" s="236"/>
      <c r="V928" s="236"/>
      <c r="W928" s="236"/>
    </row>
    <row r="929">
      <c r="A929" s="236"/>
      <c r="B929" s="236"/>
      <c r="C929" s="236"/>
      <c r="D929" s="236"/>
      <c r="E929" s="236"/>
      <c r="F929" s="236"/>
      <c r="G929" s="236"/>
      <c r="H929" s="236"/>
      <c r="I929" s="236"/>
      <c r="J929" s="236"/>
      <c r="K929" s="330"/>
      <c r="L929" s="330"/>
      <c r="M929" s="236"/>
      <c r="N929" s="236"/>
      <c r="O929" s="236"/>
      <c r="P929" s="236"/>
      <c r="Q929" s="236"/>
      <c r="R929" s="236"/>
      <c r="S929" s="236"/>
      <c r="T929" s="236"/>
      <c r="U929" s="236"/>
      <c r="V929" s="236"/>
      <c r="W929" s="236"/>
    </row>
    <row r="930">
      <c r="A930" s="236"/>
      <c r="B930" s="236"/>
      <c r="C930" s="236"/>
      <c r="D930" s="236"/>
      <c r="E930" s="236"/>
      <c r="F930" s="236"/>
      <c r="G930" s="236"/>
      <c r="H930" s="236"/>
      <c r="I930" s="236"/>
      <c r="J930" s="236"/>
      <c r="K930" s="330"/>
      <c r="L930" s="330"/>
      <c r="M930" s="236"/>
      <c r="N930" s="236"/>
      <c r="O930" s="236"/>
      <c r="P930" s="236"/>
      <c r="Q930" s="236"/>
      <c r="R930" s="236"/>
      <c r="S930" s="236"/>
      <c r="T930" s="236"/>
      <c r="U930" s="236"/>
      <c r="V930" s="236"/>
      <c r="W930" s="236"/>
    </row>
    <row r="931">
      <c r="A931" s="236"/>
      <c r="B931" s="236"/>
      <c r="C931" s="236"/>
      <c r="D931" s="236"/>
      <c r="E931" s="236"/>
      <c r="F931" s="236"/>
      <c r="G931" s="236"/>
      <c r="H931" s="236"/>
      <c r="I931" s="236"/>
      <c r="J931" s="236"/>
      <c r="K931" s="330"/>
      <c r="L931" s="330"/>
      <c r="M931" s="236"/>
      <c r="N931" s="236"/>
      <c r="O931" s="236"/>
      <c r="P931" s="236"/>
      <c r="Q931" s="236"/>
      <c r="R931" s="236"/>
      <c r="S931" s="236"/>
      <c r="T931" s="236"/>
      <c r="U931" s="236"/>
      <c r="V931" s="236"/>
      <c r="W931" s="236"/>
    </row>
    <row r="932">
      <c r="A932" s="236"/>
      <c r="B932" s="236"/>
      <c r="C932" s="236"/>
      <c r="D932" s="236"/>
      <c r="E932" s="236"/>
      <c r="F932" s="236"/>
      <c r="G932" s="236"/>
      <c r="H932" s="236"/>
      <c r="I932" s="236"/>
      <c r="J932" s="236"/>
      <c r="K932" s="330"/>
      <c r="L932" s="330"/>
      <c r="M932" s="236"/>
      <c r="N932" s="236"/>
      <c r="O932" s="236"/>
      <c r="P932" s="236"/>
      <c r="Q932" s="236"/>
      <c r="R932" s="236"/>
      <c r="S932" s="236"/>
      <c r="T932" s="236"/>
      <c r="U932" s="236"/>
      <c r="V932" s="236"/>
      <c r="W932" s="236"/>
    </row>
    <row r="933">
      <c r="A933" s="236"/>
      <c r="B933" s="236"/>
      <c r="C933" s="236"/>
      <c r="D933" s="236"/>
      <c r="E933" s="236"/>
      <c r="F933" s="236"/>
      <c r="G933" s="236"/>
      <c r="H933" s="236"/>
      <c r="I933" s="236"/>
      <c r="J933" s="236"/>
      <c r="K933" s="330"/>
      <c r="L933" s="330"/>
      <c r="M933" s="236"/>
      <c r="N933" s="236"/>
      <c r="O933" s="236"/>
      <c r="P933" s="236"/>
      <c r="Q933" s="236"/>
      <c r="R933" s="236"/>
      <c r="S933" s="236"/>
      <c r="T933" s="236"/>
      <c r="U933" s="236"/>
      <c r="V933" s="236"/>
      <c r="W933" s="236"/>
    </row>
    <row r="934">
      <c r="A934" s="236"/>
      <c r="B934" s="236"/>
      <c r="C934" s="236"/>
      <c r="D934" s="236"/>
      <c r="E934" s="236"/>
      <c r="F934" s="236"/>
      <c r="G934" s="236"/>
      <c r="H934" s="236"/>
      <c r="I934" s="236"/>
      <c r="J934" s="236"/>
      <c r="K934" s="330"/>
      <c r="L934" s="330"/>
      <c r="M934" s="236"/>
      <c r="N934" s="236"/>
      <c r="O934" s="236"/>
      <c r="P934" s="236"/>
      <c r="Q934" s="236"/>
      <c r="R934" s="236"/>
      <c r="S934" s="236"/>
      <c r="T934" s="236"/>
      <c r="U934" s="236"/>
      <c r="V934" s="236"/>
      <c r="W934" s="236"/>
    </row>
    <row r="935">
      <c r="A935" s="236"/>
      <c r="B935" s="236"/>
      <c r="C935" s="236"/>
      <c r="D935" s="236"/>
      <c r="E935" s="236"/>
      <c r="F935" s="236"/>
      <c r="G935" s="236"/>
      <c r="H935" s="236"/>
      <c r="I935" s="236"/>
      <c r="J935" s="236"/>
      <c r="K935" s="330"/>
      <c r="L935" s="330"/>
      <c r="M935" s="236"/>
      <c r="N935" s="236"/>
      <c r="O935" s="236"/>
      <c r="P935" s="236"/>
      <c r="Q935" s="236"/>
      <c r="R935" s="236"/>
      <c r="S935" s="236"/>
      <c r="T935" s="236"/>
      <c r="U935" s="236"/>
      <c r="V935" s="236"/>
      <c r="W935" s="236"/>
    </row>
    <row r="936">
      <c r="A936" s="236"/>
      <c r="B936" s="236"/>
      <c r="C936" s="236"/>
      <c r="D936" s="236"/>
      <c r="E936" s="236"/>
      <c r="F936" s="236"/>
      <c r="G936" s="236"/>
      <c r="H936" s="236"/>
      <c r="I936" s="236"/>
      <c r="J936" s="236"/>
      <c r="K936" s="330"/>
      <c r="L936" s="330"/>
      <c r="M936" s="236"/>
      <c r="N936" s="236"/>
      <c r="O936" s="236"/>
      <c r="P936" s="236"/>
      <c r="Q936" s="236"/>
      <c r="R936" s="236"/>
      <c r="S936" s="236"/>
      <c r="T936" s="236"/>
      <c r="U936" s="236"/>
      <c r="V936" s="236"/>
      <c r="W936" s="236"/>
    </row>
    <row r="937">
      <c r="A937" s="236"/>
      <c r="B937" s="236"/>
      <c r="C937" s="236"/>
      <c r="D937" s="236"/>
      <c r="E937" s="236"/>
      <c r="F937" s="236"/>
      <c r="G937" s="236"/>
      <c r="H937" s="236"/>
      <c r="I937" s="236"/>
      <c r="J937" s="236"/>
      <c r="K937" s="330"/>
      <c r="L937" s="330"/>
      <c r="M937" s="236"/>
      <c r="N937" s="236"/>
      <c r="O937" s="236"/>
      <c r="P937" s="236"/>
      <c r="Q937" s="236"/>
      <c r="R937" s="236"/>
      <c r="S937" s="236"/>
      <c r="T937" s="236"/>
      <c r="U937" s="236"/>
      <c r="V937" s="236"/>
      <c r="W937" s="236"/>
    </row>
    <row r="938">
      <c r="A938" s="236"/>
      <c r="B938" s="236"/>
      <c r="C938" s="236"/>
      <c r="D938" s="236"/>
      <c r="E938" s="236"/>
      <c r="F938" s="236"/>
      <c r="G938" s="236"/>
      <c r="H938" s="236"/>
      <c r="I938" s="236"/>
      <c r="J938" s="236"/>
      <c r="K938" s="330"/>
      <c r="L938" s="330"/>
      <c r="M938" s="236"/>
      <c r="N938" s="236"/>
      <c r="O938" s="236"/>
      <c r="P938" s="236"/>
      <c r="Q938" s="236"/>
      <c r="R938" s="236"/>
      <c r="S938" s="236"/>
      <c r="T938" s="236"/>
      <c r="U938" s="236"/>
      <c r="V938" s="236"/>
      <c r="W938" s="236"/>
    </row>
    <row r="939">
      <c r="A939" s="236"/>
      <c r="B939" s="236"/>
      <c r="C939" s="236"/>
      <c r="D939" s="236"/>
      <c r="E939" s="236"/>
      <c r="F939" s="236"/>
      <c r="G939" s="236"/>
      <c r="H939" s="236"/>
      <c r="I939" s="236"/>
      <c r="J939" s="236"/>
      <c r="K939" s="330"/>
      <c r="L939" s="330"/>
      <c r="M939" s="236"/>
      <c r="N939" s="236"/>
      <c r="O939" s="236"/>
      <c r="P939" s="236"/>
      <c r="Q939" s="236"/>
      <c r="R939" s="236"/>
      <c r="S939" s="236"/>
      <c r="T939" s="236"/>
      <c r="U939" s="236"/>
      <c r="V939" s="236"/>
      <c r="W939" s="236"/>
    </row>
    <row r="940">
      <c r="A940" s="236"/>
      <c r="B940" s="236"/>
      <c r="C940" s="236"/>
      <c r="D940" s="236"/>
      <c r="E940" s="236"/>
      <c r="F940" s="236"/>
      <c r="G940" s="236"/>
      <c r="H940" s="236"/>
      <c r="I940" s="236"/>
      <c r="J940" s="236"/>
      <c r="K940" s="330"/>
      <c r="L940" s="330"/>
      <c r="M940" s="236"/>
      <c r="N940" s="236"/>
      <c r="O940" s="236"/>
      <c r="P940" s="236"/>
      <c r="Q940" s="236"/>
      <c r="R940" s="236"/>
      <c r="S940" s="236"/>
      <c r="T940" s="236"/>
      <c r="U940" s="236"/>
      <c r="V940" s="236"/>
      <c r="W940" s="236"/>
    </row>
    <row r="941">
      <c r="A941" s="236"/>
      <c r="B941" s="236"/>
      <c r="C941" s="236"/>
      <c r="D941" s="236"/>
      <c r="E941" s="236"/>
      <c r="F941" s="236"/>
      <c r="G941" s="236"/>
      <c r="H941" s="236"/>
      <c r="I941" s="236"/>
      <c r="J941" s="236"/>
      <c r="K941" s="330"/>
      <c r="L941" s="330"/>
      <c r="M941" s="236"/>
      <c r="N941" s="236"/>
      <c r="O941" s="236"/>
      <c r="P941" s="236"/>
      <c r="Q941" s="236"/>
      <c r="R941" s="236"/>
      <c r="S941" s="236"/>
      <c r="T941" s="236"/>
      <c r="U941" s="236"/>
      <c r="V941" s="236"/>
      <c r="W941" s="236"/>
    </row>
    <row r="942">
      <c r="A942" s="236"/>
      <c r="B942" s="236"/>
      <c r="C942" s="236"/>
      <c r="D942" s="236"/>
      <c r="E942" s="236"/>
      <c r="F942" s="236"/>
      <c r="G942" s="236"/>
      <c r="H942" s="236"/>
      <c r="I942" s="236"/>
      <c r="J942" s="236"/>
      <c r="K942" s="330"/>
      <c r="L942" s="330"/>
      <c r="M942" s="236"/>
      <c r="N942" s="236"/>
      <c r="O942" s="236"/>
      <c r="P942" s="236"/>
      <c r="Q942" s="236"/>
      <c r="R942" s="236"/>
      <c r="S942" s="236"/>
      <c r="T942" s="236"/>
      <c r="U942" s="236"/>
      <c r="V942" s="236"/>
      <c r="W942" s="236"/>
    </row>
    <row r="943">
      <c r="A943" s="236"/>
      <c r="B943" s="236"/>
      <c r="C943" s="236"/>
      <c r="D943" s="236"/>
      <c r="E943" s="236"/>
      <c r="F943" s="236"/>
      <c r="G943" s="236"/>
      <c r="H943" s="236"/>
      <c r="I943" s="236"/>
      <c r="J943" s="236"/>
      <c r="K943" s="330"/>
      <c r="L943" s="330"/>
      <c r="M943" s="236"/>
      <c r="N943" s="236"/>
      <c r="O943" s="236"/>
      <c r="P943" s="236"/>
      <c r="Q943" s="236"/>
      <c r="R943" s="236"/>
      <c r="S943" s="236"/>
      <c r="T943" s="236"/>
      <c r="U943" s="236"/>
      <c r="V943" s="236"/>
      <c r="W943" s="236"/>
    </row>
    <row r="944">
      <c r="A944" s="236"/>
      <c r="B944" s="236"/>
      <c r="C944" s="236"/>
      <c r="D944" s="236"/>
      <c r="E944" s="236"/>
      <c r="F944" s="236"/>
      <c r="G944" s="236"/>
      <c r="H944" s="236"/>
      <c r="I944" s="236"/>
      <c r="J944" s="236"/>
      <c r="K944" s="330"/>
      <c r="L944" s="330"/>
      <c r="M944" s="236"/>
      <c r="N944" s="236"/>
      <c r="O944" s="236"/>
      <c r="P944" s="236"/>
      <c r="Q944" s="236"/>
      <c r="R944" s="236"/>
      <c r="S944" s="236"/>
      <c r="T944" s="236"/>
      <c r="U944" s="236"/>
      <c r="V944" s="236"/>
      <c r="W944" s="236"/>
    </row>
    <row r="945">
      <c r="A945" s="236"/>
      <c r="B945" s="236"/>
      <c r="C945" s="236"/>
      <c r="D945" s="236"/>
      <c r="E945" s="236"/>
      <c r="F945" s="236"/>
      <c r="G945" s="236"/>
      <c r="H945" s="236"/>
      <c r="I945" s="236"/>
      <c r="J945" s="236"/>
      <c r="K945" s="330"/>
      <c r="L945" s="330"/>
      <c r="M945" s="236"/>
      <c r="N945" s="236"/>
      <c r="O945" s="236"/>
      <c r="P945" s="236"/>
      <c r="Q945" s="236"/>
      <c r="R945" s="236"/>
      <c r="S945" s="236"/>
      <c r="T945" s="236"/>
      <c r="U945" s="236"/>
      <c r="V945" s="236"/>
      <c r="W945" s="236"/>
    </row>
    <row r="946">
      <c r="A946" s="236"/>
      <c r="B946" s="236"/>
      <c r="C946" s="236"/>
      <c r="D946" s="236"/>
      <c r="E946" s="236"/>
      <c r="F946" s="236"/>
      <c r="G946" s="236"/>
      <c r="H946" s="236"/>
      <c r="I946" s="236"/>
      <c r="J946" s="236"/>
      <c r="K946" s="330"/>
      <c r="L946" s="330"/>
      <c r="M946" s="236"/>
      <c r="N946" s="236"/>
      <c r="O946" s="236"/>
      <c r="P946" s="236"/>
      <c r="Q946" s="236"/>
      <c r="R946" s="236"/>
      <c r="S946" s="236"/>
      <c r="T946" s="236"/>
      <c r="U946" s="236"/>
      <c r="V946" s="236"/>
      <c r="W946" s="236"/>
    </row>
    <row r="947">
      <c r="A947" s="236"/>
      <c r="B947" s="236"/>
      <c r="C947" s="236"/>
      <c r="D947" s="236"/>
      <c r="E947" s="236"/>
      <c r="F947" s="236"/>
      <c r="G947" s="236"/>
      <c r="H947" s="236"/>
      <c r="I947" s="236"/>
      <c r="J947" s="236"/>
      <c r="K947" s="330"/>
      <c r="L947" s="330"/>
      <c r="M947" s="236"/>
      <c r="N947" s="236"/>
      <c r="O947" s="236"/>
      <c r="P947" s="236"/>
      <c r="Q947" s="236"/>
      <c r="R947" s="236"/>
      <c r="S947" s="236"/>
      <c r="T947" s="236"/>
      <c r="U947" s="236"/>
      <c r="V947" s="236"/>
      <c r="W947" s="236"/>
    </row>
    <row r="948">
      <c r="A948" s="236"/>
      <c r="B948" s="236"/>
      <c r="C948" s="236"/>
      <c r="D948" s="236"/>
      <c r="E948" s="236"/>
      <c r="F948" s="236"/>
      <c r="G948" s="236"/>
      <c r="H948" s="236"/>
      <c r="I948" s="236"/>
      <c r="J948" s="236"/>
      <c r="K948" s="330"/>
      <c r="L948" s="330"/>
      <c r="M948" s="236"/>
      <c r="N948" s="236"/>
      <c r="O948" s="236"/>
      <c r="P948" s="236"/>
      <c r="Q948" s="236"/>
      <c r="R948" s="236"/>
      <c r="S948" s="236"/>
      <c r="T948" s="236"/>
      <c r="U948" s="236"/>
      <c r="V948" s="236"/>
      <c r="W948" s="236"/>
    </row>
    <row r="949">
      <c r="A949" s="236"/>
      <c r="B949" s="236"/>
      <c r="C949" s="236"/>
      <c r="D949" s="236"/>
      <c r="E949" s="236"/>
      <c r="F949" s="236"/>
      <c r="G949" s="236"/>
      <c r="H949" s="236"/>
      <c r="I949" s="236"/>
      <c r="J949" s="236"/>
      <c r="K949" s="330"/>
      <c r="L949" s="330"/>
      <c r="M949" s="236"/>
      <c r="N949" s="236"/>
      <c r="O949" s="236"/>
      <c r="P949" s="236"/>
      <c r="Q949" s="236"/>
      <c r="R949" s="236"/>
      <c r="S949" s="236"/>
      <c r="T949" s="236"/>
      <c r="U949" s="236"/>
      <c r="V949" s="236"/>
      <c r="W949" s="236"/>
    </row>
    <row r="950">
      <c r="A950" s="236"/>
      <c r="B950" s="236"/>
      <c r="C950" s="236"/>
      <c r="D950" s="236"/>
      <c r="E950" s="236"/>
      <c r="F950" s="236"/>
      <c r="G950" s="236"/>
      <c r="H950" s="236"/>
      <c r="I950" s="236"/>
      <c r="J950" s="236"/>
      <c r="K950" s="330"/>
      <c r="L950" s="330"/>
      <c r="M950" s="236"/>
      <c r="N950" s="236"/>
      <c r="O950" s="236"/>
      <c r="P950" s="236"/>
      <c r="Q950" s="236"/>
      <c r="R950" s="236"/>
      <c r="S950" s="236"/>
      <c r="T950" s="236"/>
      <c r="U950" s="236"/>
      <c r="V950" s="236"/>
      <c r="W950" s="236"/>
    </row>
    <row r="951">
      <c r="A951" s="236"/>
      <c r="B951" s="236"/>
      <c r="C951" s="236"/>
      <c r="D951" s="236"/>
      <c r="E951" s="236"/>
      <c r="F951" s="236"/>
      <c r="G951" s="236"/>
      <c r="H951" s="236"/>
      <c r="I951" s="236"/>
      <c r="J951" s="236"/>
      <c r="K951" s="330"/>
      <c r="L951" s="330"/>
      <c r="M951" s="236"/>
      <c r="N951" s="236"/>
      <c r="O951" s="236"/>
      <c r="P951" s="236"/>
      <c r="Q951" s="236"/>
      <c r="R951" s="236"/>
      <c r="S951" s="236"/>
      <c r="T951" s="236"/>
      <c r="U951" s="236"/>
      <c r="V951" s="236"/>
      <c r="W951" s="236"/>
    </row>
    <row r="952">
      <c r="A952" s="236"/>
      <c r="B952" s="236"/>
      <c r="C952" s="236"/>
      <c r="D952" s="236"/>
      <c r="E952" s="236"/>
      <c r="F952" s="236"/>
      <c r="G952" s="236"/>
      <c r="H952" s="236"/>
      <c r="I952" s="236"/>
      <c r="J952" s="236"/>
      <c r="K952" s="330"/>
      <c r="L952" s="330"/>
      <c r="M952" s="236"/>
      <c r="N952" s="236"/>
      <c r="O952" s="236"/>
      <c r="P952" s="236"/>
      <c r="Q952" s="236"/>
      <c r="R952" s="236"/>
      <c r="S952" s="236"/>
      <c r="T952" s="236"/>
      <c r="U952" s="236"/>
      <c r="V952" s="236"/>
      <c r="W952" s="236"/>
    </row>
    <row r="953">
      <c r="A953" s="236"/>
      <c r="B953" s="236"/>
      <c r="C953" s="236"/>
      <c r="D953" s="236"/>
      <c r="E953" s="236"/>
      <c r="F953" s="236"/>
      <c r="G953" s="236"/>
      <c r="H953" s="236"/>
      <c r="I953" s="236"/>
      <c r="J953" s="236"/>
      <c r="K953" s="330"/>
      <c r="L953" s="330"/>
      <c r="M953" s="236"/>
      <c r="N953" s="236"/>
      <c r="O953" s="236"/>
      <c r="P953" s="236"/>
      <c r="Q953" s="236"/>
      <c r="R953" s="236"/>
      <c r="S953" s="236"/>
      <c r="T953" s="236"/>
      <c r="U953" s="236"/>
      <c r="V953" s="236"/>
      <c r="W953" s="236"/>
    </row>
    <row r="954">
      <c r="A954" s="236"/>
      <c r="B954" s="236"/>
      <c r="C954" s="236"/>
      <c r="D954" s="236"/>
      <c r="E954" s="236"/>
      <c r="F954" s="236"/>
      <c r="G954" s="236"/>
      <c r="H954" s="236"/>
      <c r="I954" s="236"/>
      <c r="J954" s="236"/>
      <c r="K954" s="330"/>
      <c r="L954" s="330"/>
      <c r="M954" s="236"/>
      <c r="N954" s="236"/>
      <c r="O954" s="236"/>
      <c r="P954" s="236"/>
      <c r="Q954" s="236"/>
      <c r="R954" s="236"/>
      <c r="S954" s="236"/>
      <c r="T954" s="236"/>
      <c r="U954" s="236"/>
      <c r="V954" s="236"/>
      <c r="W954" s="236"/>
    </row>
    <row r="955">
      <c r="A955" s="236"/>
      <c r="B955" s="236"/>
      <c r="C955" s="236"/>
      <c r="D955" s="236"/>
      <c r="E955" s="236"/>
      <c r="F955" s="236"/>
      <c r="G955" s="236"/>
      <c r="H955" s="236"/>
      <c r="I955" s="236"/>
      <c r="J955" s="236"/>
      <c r="K955" s="330"/>
      <c r="L955" s="330"/>
      <c r="M955" s="236"/>
      <c r="N955" s="236"/>
      <c r="O955" s="236"/>
      <c r="P955" s="236"/>
      <c r="Q955" s="236"/>
      <c r="R955" s="236"/>
      <c r="S955" s="236"/>
      <c r="T955" s="236"/>
      <c r="U955" s="236"/>
      <c r="V955" s="236"/>
      <c r="W955" s="236"/>
    </row>
    <row r="956">
      <c r="A956" s="236"/>
      <c r="B956" s="236"/>
      <c r="C956" s="236"/>
      <c r="D956" s="236"/>
      <c r="E956" s="236"/>
      <c r="F956" s="236"/>
      <c r="G956" s="236"/>
      <c r="H956" s="236"/>
      <c r="I956" s="236"/>
      <c r="J956" s="236"/>
      <c r="K956" s="330"/>
      <c r="L956" s="330"/>
      <c r="M956" s="236"/>
      <c r="N956" s="236"/>
      <c r="O956" s="236"/>
      <c r="P956" s="236"/>
      <c r="Q956" s="236"/>
      <c r="R956" s="236"/>
      <c r="S956" s="236"/>
      <c r="T956" s="236"/>
      <c r="U956" s="236"/>
      <c r="V956" s="236"/>
      <c r="W956" s="236"/>
    </row>
    <row r="957">
      <c r="A957" s="236"/>
      <c r="B957" s="236"/>
      <c r="C957" s="236"/>
      <c r="D957" s="236"/>
      <c r="E957" s="236"/>
      <c r="F957" s="236"/>
      <c r="G957" s="236"/>
      <c r="H957" s="236"/>
      <c r="I957" s="236"/>
      <c r="J957" s="236"/>
      <c r="K957" s="330"/>
      <c r="L957" s="330"/>
      <c r="M957" s="236"/>
      <c r="N957" s="236"/>
      <c r="O957" s="236"/>
      <c r="P957" s="236"/>
      <c r="Q957" s="236"/>
      <c r="R957" s="236"/>
      <c r="S957" s="236"/>
      <c r="T957" s="236"/>
      <c r="U957" s="236"/>
      <c r="V957" s="236"/>
      <c r="W957" s="236"/>
    </row>
    <row r="958">
      <c r="A958" s="236"/>
      <c r="B958" s="236"/>
      <c r="C958" s="236"/>
      <c r="D958" s="236"/>
      <c r="E958" s="236"/>
      <c r="F958" s="236"/>
      <c r="G958" s="236"/>
      <c r="H958" s="236"/>
      <c r="I958" s="236"/>
      <c r="J958" s="236"/>
      <c r="K958" s="330"/>
      <c r="L958" s="330"/>
      <c r="M958" s="236"/>
      <c r="N958" s="236"/>
      <c r="O958" s="236"/>
      <c r="P958" s="236"/>
      <c r="Q958" s="236"/>
      <c r="R958" s="236"/>
      <c r="S958" s="236"/>
      <c r="T958" s="236"/>
      <c r="U958" s="236"/>
      <c r="V958" s="236"/>
      <c r="W958" s="236"/>
    </row>
    <row r="959">
      <c r="A959" s="236"/>
      <c r="B959" s="236"/>
      <c r="C959" s="236"/>
      <c r="D959" s="236"/>
      <c r="E959" s="236"/>
      <c r="F959" s="236"/>
      <c r="G959" s="236"/>
      <c r="H959" s="236"/>
      <c r="I959" s="236"/>
      <c r="J959" s="236"/>
      <c r="K959" s="330"/>
      <c r="L959" s="330"/>
      <c r="M959" s="236"/>
      <c r="N959" s="236"/>
      <c r="O959" s="236"/>
      <c r="P959" s="236"/>
      <c r="Q959" s="236"/>
      <c r="R959" s="236"/>
      <c r="S959" s="236"/>
      <c r="T959" s="236"/>
      <c r="U959" s="236"/>
      <c r="V959" s="236"/>
      <c r="W959" s="236"/>
    </row>
    <row r="960">
      <c r="A960" s="236"/>
      <c r="B960" s="236"/>
      <c r="C960" s="236"/>
      <c r="D960" s="236"/>
      <c r="E960" s="236"/>
      <c r="F960" s="236"/>
      <c r="G960" s="236"/>
      <c r="H960" s="236"/>
      <c r="I960" s="236"/>
      <c r="J960" s="236"/>
      <c r="K960" s="330"/>
      <c r="L960" s="330"/>
      <c r="M960" s="236"/>
      <c r="N960" s="236"/>
      <c r="O960" s="236"/>
      <c r="P960" s="236"/>
      <c r="Q960" s="236"/>
      <c r="R960" s="236"/>
      <c r="S960" s="236"/>
      <c r="T960" s="236"/>
      <c r="U960" s="236"/>
      <c r="V960" s="236"/>
      <c r="W960" s="236"/>
    </row>
    <row r="961">
      <c r="A961" s="236"/>
      <c r="B961" s="236"/>
      <c r="C961" s="236"/>
      <c r="D961" s="236"/>
      <c r="E961" s="236"/>
      <c r="F961" s="236"/>
      <c r="G961" s="236"/>
      <c r="H961" s="236"/>
      <c r="I961" s="236"/>
      <c r="J961" s="236"/>
      <c r="K961" s="330"/>
      <c r="L961" s="330"/>
      <c r="M961" s="236"/>
      <c r="N961" s="236"/>
      <c r="O961" s="236"/>
      <c r="P961" s="236"/>
      <c r="Q961" s="236"/>
      <c r="R961" s="236"/>
      <c r="S961" s="236"/>
      <c r="T961" s="236"/>
      <c r="U961" s="236"/>
      <c r="V961" s="236"/>
      <c r="W961" s="236"/>
    </row>
    <row r="962">
      <c r="A962" s="236"/>
      <c r="B962" s="236"/>
      <c r="C962" s="236"/>
      <c r="D962" s="236"/>
      <c r="E962" s="236"/>
      <c r="F962" s="236"/>
      <c r="G962" s="236"/>
      <c r="H962" s="236"/>
      <c r="I962" s="236"/>
      <c r="J962" s="236"/>
      <c r="K962" s="330"/>
      <c r="L962" s="330"/>
      <c r="M962" s="236"/>
      <c r="N962" s="236"/>
      <c r="O962" s="236"/>
      <c r="P962" s="236"/>
      <c r="Q962" s="236"/>
      <c r="R962" s="236"/>
      <c r="S962" s="236"/>
      <c r="T962" s="236"/>
      <c r="U962" s="236"/>
      <c r="V962" s="236"/>
      <c r="W962" s="236"/>
    </row>
    <row r="963">
      <c r="A963" s="236"/>
      <c r="B963" s="236"/>
      <c r="C963" s="236"/>
      <c r="D963" s="236"/>
      <c r="E963" s="236"/>
      <c r="F963" s="236"/>
      <c r="G963" s="236"/>
      <c r="H963" s="236"/>
      <c r="I963" s="236"/>
      <c r="J963" s="236"/>
      <c r="K963" s="330"/>
      <c r="L963" s="330"/>
      <c r="M963" s="236"/>
      <c r="N963" s="236"/>
      <c r="O963" s="236"/>
      <c r="P963" s="236"/>
      <c r="Q963" s="236"/>
      <c r="R963" s="236"/>
      <c r="S963" s="236"/>
      <c r="T963" s="236"/>
      <c r="U963" s="236"/>
      <c r="V963" s="236"/>
      <c r="W963" s="236"/>
    </row>
    <row r="964">
      <c r="A964" s="236"/>
      <c r="B964" s="236"/>
      <c r="C964" s="236"/>
      <c r="D964" s="236"/>
      <c r="E964" s="236"/>
      <c r="F964" s="236"/>
      <c r="G964" s="236"/>
      <c r="H964" s="236"/>
      <c r="I964" s="236"/>
      <c r="J964" s="236"/>
      <c r="K964" s="330"/>
      <c r="L964" s="330"/>
      <c r="M964" s="236"/>
      <c r="N964" s="236"/>
      <c r="O964" s="236"/>
      <c r="P964" s="236"/>
      <c r="Q964" s="236"/>
      <c r="R964" s="236"/>
      <c r="S964" s="236"/>
      <c r="T964" s="236"/>
      <c r="U964" s="236"/>
      <c r="V964" s="236"/>
      <c r="W964" s="236"/>
    </row>
    <row r="965">
      <c r="A965" s="236"/>
      <c r="B965" s="236"/>
      <c r="C965" s="236"/>
      <c r="D965" s="236"/>
      <c r="E965" s="236"/>
      <c r="F965" s="236"/>
      <c r="G965" s="236"/>
      <c r="H965" s="236"/>
      <c r="I965" s="236"/>
      <c r="J965" s="236"/>
      <c r="K965" s="330"/>
      <c r="L965" s="330"/>
      <c r="M965" s="236"/>
      <c r="N965" s="236"/>
      <c r="O965" s="236"/>
      <c r="P965" s="236"/>
      <c r="Q965" s="236"/>
      <c r="R965" s="236"/>
      <c r="S965" s="236"/>
      <c r="T965" s="236"/>
      <c r="U965" s="236"/>
      <c r="V965" s="236"/>
      <c r="W965" s="236"/>
    </row>
    <row r="966">
      <c r="A966" s="236"/>
      <c r="B966" s="236"/>
      <c r="C966" s="236"/>
      <c r="D966" s="236"/>
      <c r="E966" s="236"/>
      <c r="F966" s="236"/>
      <c r="G966" s="236"/>
      <c r="H966" s="236"/>
      <c r="I966" s="236"/>
      <c r="J966" s="236"/>
      <c r="K966" s="330"/>
      <c r="L966" s="330"/>
      <c r="M966" s="236"/>
      <c r="N966" s="236"/>
      <c r="O966" s="236"/>
      <c r="P966" s="236"/>
      <c r="Q966" s="236"/>
      <c r="R966" s="236"/>
      <c r="S966" s="236"/>
      <c r="T966" s="236"/>
      <c r="U966" s="236"/>
      <c r="V966" s="236"/>
      <c r="W966" s="236"/>
    </row>
    <row r="967">
      <c r="A967" s="236"/>
      <c r="B967" s="236"/>
      <c r="C967" s="236"/>
      <c r="D967" s="236"/>
      <c r="E967" s="236"/>
      <c r="F967" s="236"/>
      <c r="G967" s="236"/>
      <c r="H967" s="236"/>
      <c r="I967" s="236"/>
      <c r="J967" s="236"/>
      <c r="K967" s="330"/>
      <c r="L967" s="330"/>
      <c r="M967" s="236"/>
      <c r="N967" s="236"/>
      <c r="O967" s="236"/>
      <c r="P967" s="236"/>
      <c r="Q967" s="236"/>
      <c r="R967" s="236"/>
      <c r="S967" s="236"/>
      <c r="T967" s="236"/>
      <c r="U967" s="236"/>
      <c r="V967" s="236"/>
      <c r="W967" s="236"/>
    </row>
    <row r="968">
      <c r="A968" s="236"/>
      <c r="B968" s="236"/>
      <c r="C968" s="236"/>
      <c r="D968" s="236"/>
      <c r="E968" s="236"/>
      <c r="F968" s="236"/>
      <c r="G968" s="236"/>
      <c r="H968" s="236"/>
      <c r="I968" s="236"/>
      <c r="J968" s="236"/>
      <c r="K968" s="330"/>
      <c r="L968" s="330"/>
      <c r="M968" s="236"/>
      <c r="N968" s="236"/>
      <c r="O968" s="236"/>
      <c r="P968" s="236"/>
      <c r="Q968" s="236"/>
      <c r="R968" s="236"/>
      <c r="S968" s="236"/>
      <c r="T968" s="236"/>
      <c r="U968" s="236"/>
      <c r="V968" s="236"/>
      <c r="W968" s="236"/>
    </row>
    <row r="969">
      <c r="A969" s="236"/>
      <c r="B969" s="236"/>
      <c r="C969" s="236"/>
      <c r="D969" s="236"/>
      <c r="E969" s="236"/>
      <c r="F969" s="236"/>
      <c r="G969" s="236"/>
      <c r="H969" s="236"/>
      <c r="I969" s="236"/>
      <c r="J969" s="236"/>
      <c r="K969" s="330"/>
      <c r="L969" s="330"/>
      <c r="M969" s="236"/>
      <c r="N969" s="236"/>
      <c r="O969" s="236"/>
      <c r="P969" s="236"/>
      <c r="Q969" s="236"/>
      <c r="R969" s="236"/>
      <c r="S969" s="236"/>
      <c r="T969" s="236"/>
      <c r="U969" s="236"/>
      <c r="V969" s="236"/>
      <c r="W969" s="236"/>
    </row>
    <row r="970">
      <c r="A970" s="236"/>
      <c r="B970" s="236"/>
      <c r="C970" s="236"/>
      <c r="D970" s="236"/>
      <c r="E970" s="236"/>
      <c r="F970" s="236"/>
      <c r="G970" s="236"/>
      <c r="H970" s="236"/>
      <c r="I970" s="236"/>
      <c r="J970" s="236"/>
      <c r="K970" s="330"/>
      <c r="L970" s="330"/>
      <c r="M970" s="236"/>
      <c r="N970" s="236"/>
      <c r="O970" s="236"/>
      <c r="P970" s="236"/>
      <c r="Q970" s="236"/>
      <c r="R970" s="236"/>
      <c r="S970" s="236"/>
      <c r="T970" s="236"/>
      <c r="U970" s="236"/>
      <c r="V970" s="236"/>
      <c r="W970" s="236"/>
    </row>
    <row r="971">
      <c r="A971" s="236"/>
      <c r="B971" s="236"/>
      <c r="C971" s="236"/>
      <c r="D971" s="236"/>
      <c r="E971" s="236"/>
      <c r="F971" s="236"/>
      <c r="G971" s="236"/>
      <c r="H971" s="236"/>
      <c r="I971" s="236"/>
      <c r="J971" s="236"/>
      <c r="K971" s="330"/>
      <c r="L971" s="330"/>
      <c r="M971" s="236"/>
      <c r="N971" s="236"/>
      <c r="O971" s="236"/>
      <c r="P971" s="236"/>
      <c r="Q971" s="236"/>
      <c r="R971" s="236"/>
      <c r="S971" s="236"/>
      <c r="T971" s="236"/>
      <c r="U971" s="236"/>
      <c r="V971" s="236"/>
      <c r="W971" s="236"/>
    </row>
    <row r="972">
      <c r="A972" s="236"/>
      <c r="B972" s="236"/>
      <c r="C972" s="236"/>
      <c r="D972" s="236"/>
      <c r="E972" s="236"/>
      <c r="F972" s="236"/>
      <c r="G972" s="236"/>
      <c r="H972" s="236"/>
      <c r="I972" s="236"/>
      <c r="J972" s="236"/>
      <c r="K972" s="330"/>
      <c r="L972" s="330"/>
      <c r="M972" s="236"/>
      <c r="N972" s="236"/>
      <c r="O972" s="236"/>
      <c r="P972" s="236"/>
      <c r="Q972" s="236"/>
      <c r="R972" s="236"/>
      <c r="S972" s="236"/>
      <c r="T972" s="236"/>
      <c r="U972" s="236"/>
      <c r="V972" s="236"/>
      <c r="W972" s="236"/>
    </row>
    <row r="973">
      <c r="A973" s="236"/>
      <c r="B973" s="236"/>
      <c r="C973" s="236"/>
      <c r="D973" s="236"/>
      <c r="E973" s="236"/>
      <c r="F973" s="236"/>
      <c r="G973" s="236"/>
      <c r="H973" s="236"/>
      <c r="I973" s="236"/>
      <c r="J973" s="236"/>
      <c r="K973" s="330"/>
      <c r="L973" s="330"/>
      <c r="M973" s="236"/>
      <c r="N973" s="236"/>
      <c r="O973" s="236"/>
      <c r="P973" s="236"/>
      <c r="Q973" s="236"/>
      <c r="R973" s="236"/>
      <c r="S973" s="236"/>
      <c r="T973" s="236"/>
      <c r="U973" s="236"/>
      <c r="V973" s="236"/>
      <c r="W973" s="236"/>
    </row>
    <row r="974">
      <c r="A974" s="236"/>
      <c r="B974" s="236"/>
      <c r="C974" s="236"/>
      <c r="D974" s="236"/>
      <c r="E974" s="236"/>
      <c r="F974" s="236"/>
      <c r="G974" s="236"/>
      <c r="H974" s="236"/>
      <c r="I974" s="236"/>
      <c r="J974" s="236"/>
      <c r="K974" s="330"/>
      <c r="L974" s="330"/>
      <c r="M974" s="236"/>
      <c r="N974" s="236"/>
      <c r="O974" s="236"/>
      <c r="P974" s="236"/>
      <c r="Q974" s="236"/>
      <c r="R974" s="236"/>
      <c r="S974" s="236"/>
      <c r="T974" s="236"/>
      <c r="U974" s="236"/>
      <c r="V974" s="236"/>
      <c r="W974" s="236"/>
    </row>
    <row r="975">
      <c r="A975" s="236"/>
      <c r="B975" s="236"/>
      <c r="C975" s="236"/>
      <c r="D975" s="236"/>
      <c r="E975" s="236"/>
      <c r="F975" s="236"/>
      <c r="G975" s="236"/>
      <c r="H975" s="236"/>
      <c r="I975" s="236"/>
      <c r="J975" s="236"/>
      <c r="K975" s="330"/>
      <c r="L975" s="330"/>
      <c r="M975" s="236"/>
      <c r="N975" s="236"/>
      <c r="O975" s="236"/>
      <c r="P975" s="236"/>
      <c r="Q975" s="236"/>
      <c r="R975" s="236"/>
      <c r="S975" s="236"/>
      <c r="T975" s="236"/>
      <c r="U975" s="236"/>
      <c r="V975" s="236"/>
      <c r="W975" s="236"/>
    </row>
    <row r="976">
      <c r="A976" s="236"/>
      <c r="B976" s="236"/>
      <c r="C976" s="236"/>
      <c r="D976" s="236"/>
      <c r="E976" s="236"/>
      <c r="F976" s="236"/>
      <c r="G976" s="236"/>
      <c r="H976" s="236"/>
      <c r="I976" s="236"/>
      <c r="J976" s="236"/>
      <c r="K976" s="330"/>
      <c r="L976" s="330"/>
      <c r="M976" s="236"/>
      <c r="N976" s="236"/>
      <c r="O976" s="236"/>
      <c r="P976" s="236"/>
      <c r="Q976" s="236"/>
      <c r="R976" s="236"/>
      <c r="S976" s="236"/>
      <c r="T976" s="236"/>
      <c r="U976" s="236"/>
      <c r="V976" s="236"/>
      <c r="W976" s="236"/>
    </row>
    <row r="977">
      <c r="A977" s="236"/>
      <c r="B977" s="236"/>
      <c r="C977" s="236"/>
      <c r="D977" s="236"/>
      <c r="E977" s="236"/>
      <c r="F977" s="236"/>
      <c r="G977" s="236"/>
      <c r="H977" s="236"/>
      <c r="I977" s="236"/>
      <c r="J977" s="236"/>
      <c r="K977" s="330"/>
      <c r="L977" s="330"/>
      <c r="M977" s="236"/>
      <c r="N977" s="236"/>
      <c r="O977" s="236"/>
      <c r="P977" s="236"/>
      <c r="Q977" s="236"/>
      <c r="R977" s="236"/>
      <c r="S977" s="236"/>
      <c r="T977" s="236"/>
      <c r="U977" s="236"/>
      <c r="V977" s="236"/>
      <c r="W977" s="236"/>
    </row>
    <row r="978">
      <c r="A978" s="236"/>
      <c r="B978" s="236"/>
      <c r="C978" s="236"/>
      <c r="D978" s="236"/>
      <c r="E978" s="236"/>
      <c r="F978" s="236"/>
      <c r="G978" s="236"/>
      <c r="H978" s="236"/>
      <c r="I978" s="236"/>
      <c r="J978" s="236"/>
      <c r="K978" s="330"/>
      <c r="L978" s="330"/>
      <c r="M978" s="236"/>
      <c r="N978" s="236"/>
      <c r="O978" s="236"/>
      <c r="P978" s="236"/>
      <c r="Q978" s="236"/>
      <c r="R978" s="236"/>
      <c r="S978" s="236"/>
      <c r="T978" s="236"/>
      <c r="U978" s="236"/>
      <c r="V978" s="236"/>
      <c r="W978" s="236"/>
    </row>
    <row r="979">
      <c r="A979" s="236"/>
      <c r="B979" s="236"/>
      <c r="C979" s="236"/>
      <c r="D979" s="236"/>
      <c r="E979" s="236"/>
      <c r="F979" s="236"/>
      <c r="G979" s="236"/>
      <c r="H979" s="236"/>
      <c r="I979" s="236"/>
      <c r="J979" s="236"/>
      <c r="K979" s="330"/>
      <c r="L979" s="330"/>
      <c r="M979" s="236"/>
      <c r="N979" s="236"/>
      <c r="O979" s="236"/>
      <c r="P979" s="236"/>
      <c r="Q979" s="236"/>
      <c r="R979" s="236"/>
      <c r="S979" s="236"/>
      <c r="T979" s="236"/>
      <c r="U979" s="236"/>
      <c r="V979" s="236"/>
      <c r="W979" s="236"/>
    </row>
    <row r="980">
      <c r="A980" s="236"/>
      <c r="B980" s="236"/>
      <c r="C980" s="236"/>
      <c r="D980" s="236"/>
      <c r="E980" s="236"/>
      <c r="F980" s="236"/>
      <c r="G980" s="236"/>
      <c r="H980" s="236"/>
      <c r="I980" s="236"/>
      <c r="J980" s="236"/>
      <c r="K980" s="330"/>
      <c r="L980" s="330"/>
      <c r="M980" s="236"/>
      <c r="N980" s="236"/>
      <c r="O980" s="236"/>
      <c r="P980" s="236"/>
      <c r="Q980" s="236"/>
      <c r="R980" s="236"/>
      <c r="S980" s="236"/>
      <c r="T980" s="236"/>
      <c r="U980" s="236"/>
      <c r="V980" s="236"/>
      <c r="W980" s="236"/>
    </row>
    <row r="981">
      <c r="A981" s="236"/>
      <c r="B981" s="236"/>
      <c r="C981" s="236"/>
      <c r="D981" s="236"/>
      <c r="E981" s="236"/>
      <c r="F981" s="236"/>
      <c r="G981" s="236"/>
      <c r="H981" s="236"/>
      <c r="I981" s="236"/>
      <c r="J981" s="236"/>
      <c r="K981" s="330"/>
      <c r="L981" s="330"/>
      <c r="M981" s="236"/>
      <c r="N981" s="236"/>
      <c r="O981" s="236"/>
      <c r="P981" s="236"/>
      <c r="Q981" s="236"/>
      <c r="R981" s="236"/>
      <c r="S981" s="236"/>
      <c r="T981" s="236"/>
      <c r="U981" s="236"/>
      <c r="V981" s="236"/>
      <c r="W981" s="236"/>
    </row>
    <row r="982">
      <c r="A982" s="236"/>
      <c r="B982" s="236"/>
      <c r="C982" s="236"/>
      <c r="D982" s="236"/>
      <c r="E982" s="236"/>
      <c r="F982" s="236"/>
      <c r="G982" s="236"/>
      <c r="H982" s="236"/>
      <c r="I982" s="236"/>
      <c r="J982" s="236"/>
      <c r="K982" s="330"/>
      <c r="L982" s="330"/>
      <c r="M982" s="236"/>
      <c r="N982" s="236"/>
      <c r="O982" s="236"/>
      <c r="P982" s="236"/>
      <c r="Q982" s="236"/>
      <c r="R982" s="236"/>
      <c r="S982" s="236"/>
      <c r="T982" s="236"/>
      <c r="U982" s="236"/>
      <c r="V982" s="236"/>
      <c r="W982" s="236"/>
    </row>
    <row r="983">
      <c r="A983" s="236"/>
      <c r="B983" s="236"/>
      <c r="C983" s="236"/>
      <c r="D983" s="236"/>
      <c r="E983" s="236"/>
      <c r="F983" s="236"/>
      <c r="G983" s="236"/>
      <c r="H983" s="236"/>
      <c r="I983" s="236"/>
      <c r="J983" s="236"/>
      <c r="K983" s="330"/>
      <c r="L983" s="330"/>
      <c r="M983" s="236"/>
      <c r="N983" s="236"/>
      <c r="O983" s="236"/>
      <c r="P983" s="236"/>
      <c r="Q983" s="236"/>
      <c r="R983" s="236"/>
      <c r="S983" s="236"/>
      <c r="T983" s="236"/>
      <c r="U983" s="236"/>
      <c r="V983" s="236"/>
      <c r="W983" s="236"/>
    </row>
    <row r="984">
      <c r="A984" s="236"/>
      <c r="B984" s="236"/>
      <c r="C984" s="236"/>
      <c r="D984" s="236"/>
      <c r="E984" s="236"/>
      <c r="F984" s="236"/>
      <c r="G984" s="236"/>
      <c r="H984" s="236"/>
      <c r="I984" s="236"/>
      <c r="J984" s="236"/>
      <c r="K984" s="330"/>
      <c r="L984" s="330"/>
      <c r="M984" s="236"/>
      <c r="N984" s="236"/>
      <c r="O984" s="236"/>
      <c r="P984" s="236"/>
      <c r="Q984" s="236"/>
      <c r="R984" s="236"/>
      <c r="S984" s="236"/>
      <c r="T984" s="236"/>
      <c r="U984" s="236"/>
      <c r="V984" s="236"/>
      <c r="W984" s="236"/>
    </row>
    <row r="985">
      <c r="A985" s="236"/>
      <c r="B985" s="236"/>
      <c r="C985" s="236"/>
      <c r="D985" s="236"/>
      <c r="E985" s="236"/>
      <c r="F985" s="236"/>
      <c r="G985" s="236"/>
      <c r="H985" s="236"/>
      <c r="I985" s="236"/>
      <c r="J985" s="236"/>
      <c r="K985" s="330"/>
      <c r="L985" s="330"/>
      <c r="M985" s="236"/>
      <c r="N985" s="236"/>
      <c r="O985" s="236"/>
      <c r="P985" s="236"/>
      <c r="Q985" s="236"/>
      <c r="R985" s="236"/>
      <c r="S985" s="236"/>
      <c r="T985" s="236"/>
      <c r="U985" s="236"/>
      <c r="V985" s="236"/>
      <c r="W985" s="236"/>
    </row>
    <row r="986">
      <c r="A986" s="236"/>
      <c r="B986" s="236"/>
      <c r="C986" s="236"/>
      <c r="D986" s="236"/>
      <c r="E986" s="236"/>
      <c r="F986" s="236"/>
      <c r="G986" s="236"/>
      <c r="H986" s="236"/>
      <c r="I986" s="236"/>
      <c r="J986" s="236"/>
      <c r="K986" s="330"/>
      <c r="L986" s="330"/>
      <c r="M986" s="236"/>
      <c r="N986" s="236"/>
      <c r="O986" s="236"/>
      <c r="P986" s="236"/>
      <c r="Q986" s="236"/>
      <c r="R986" s="236"/>
      <c r="S986" s="236"/>
      <c r="T986" s="236"/>
      <c r="U986" s="236"/>
      <c r="V986" s="236"/>
      <c r="W986" s="236"/>
    </row>
    <row r="987">
      <c r="A987" s="236"/>
      <c r="B987" s="236"/>
      <c r="C987" s="236"/>
      <c r="D987" s="236"/>
      <c r="E987" s="236"/>
      <c r="F987" s="236"/>
      <c r="G987" s="236"/>
      <c r="H987" s="236"/>
      <c r="I987" s="236"/>
      <c r="J987" s="236"/>
      <c r="K987" s="330"/>
      <c r="L987" s="330"/>
      <c r="M987" s="236"/>
      <c r="N987" s="236"/>
      <c r="O987" s="236"/>
      <c r="P987" s="236"/>
      <c r="Q987" s="236"/>
      <c r="R987" s="236"/>
      <c r="S987" s="236"/>
      <c r="T987" s="236"/>
      <c r="U987" s="236"/>
      <c r="V987" s="236"/>
      <c r="W987" s="236"/>
    </row>
    <row r="988">
      <c r="A988" s="236"/>
      <c r="B988" s="236"/>
      <c r="C988" s="236"/>
      <c r="D988" s="236"/>
      <c r="E988" s="236"/>
      <c r="F988" s="236"/>
      <c r="G988" s="236"/>
      <c r="H988" s="236"/>
      <c r="I988" s="236"/>
      <c r="J988" s="236"/>
      <c r="K988" s="330"/>
      <c r="L988" s="330"/>
      <c r="M988" s="236"/>
      <c r="N988" s="236"/>
      <c r="O988" s="236"/>
      <c r="P988" s="236"/>
      <c r="Q988" s="236"/>
      <c r="R988" s="236"/>
      <c r="S988" s="236"/>
      <c r="T988" s="236"/>
      <c r="U988" s="236"/>
      <c r="V988" s="236"/>
      <c r="W988" s="236"/>
    </row>
    <row r="989">
      <c r="A989" s="236"/>
      <c r="B989" s="236"/>
      <c r="C989" s="236"/>
      <c r="D989" s="236"/>
      <c r="E989" s="236"/>
      <c r="F989" s="236"/>
      <c r="G989" s="236"/>
      <c r="H989" s="236"/>
      <c r="I989" s="236"/>
      <c r="J989" s="236"/>
      <c r="K989" s="330"/>
      <c r="L989" s="330"/>
      <c r="M989" s="236"/>
      <c r="N989" s="236"/>
      <c r="O989" s="236"/>
      <c r="P989" s="236"/>
      <c r="Q989" s="236"/>
      <c r="R989" s="236"/>
      <c r="S989" s="236"/>
      <c r="T989" s="236"/>
      <c r="U989" s="236"/>
      <c r="V989" s="236"/>
      <c r="W989" s="236"/>
    </row>
    <row r="990">
      <c r="A990" s="236"/>
      <c r="B990" s="236"/>
      <c r="C990" s="236"/>
      <c r="D990" s="236"/>
      <c r="E990" s="236"/>
      <c r="F990" s="236"/>
      <c r="G990" s="236"/>
      <c r="H990" s="236"/>
      <c r="I990" s="236"/>
      <c r="J990" s="236"/>
      <c r="K990" s="330"/>
      <c r="L990" s="330"/>
      <c r="M990" s="236"/>
      <c r="N990" s="236"/>
      <c r="O990" s="236"/>
      <c r="P990" s="236"/>
      <c r="Q990" s="236"/>
      <c r="R990" s="236"/>
      <c r="S990" s="236"/>
      <c r="T990" s="236"/>
      <c r="U990" s="236"/>
      <c r="V990" s="236"/>
      <c r="W990" s="236"/>
    </row>
    <row r="991">
      <c r="A991" s="236"/>
      <c r="B991" s="236"/>
      <c r="C991" s="236"/>
      <c r="D991" s="236"/>
      <c r="E991" s="236"/>
      <c r="F991" s="236"/>
      <c r="G991" s="236"/>
      <c r="H991" s="236"/>
      <c r="I991" s="236"/>
      <c r="J991" s="236"/>
      <c r="K991" s="330"/>
      <c r="L991" s="330"/>
      <c r="M991" s="236"/>
      <c r="N991" s="236"/>
      <c r="O991" s="236"/>
      <c r="P991" s="236"/>
      <c r="Q991" s="236"/>
      <c r="R991" s="236"/>
      <c r="S991" s="236"/>
      <c r="T991" s="236"/>
      <c r="U991" s="236"/>
      <c r="V991" s="236"/>
      <c r="W991" s="236"/>
    </row>
    <row r="992">
      <c r="A992" s="236"/>
      <c r="B992" s="236"/>
      <c r="C992" s="236"/>
      <c r="D992" s="236"/>
      <c r="E992" s="236"/>
      <c r="F992" s="236"/>
      <c r="G992" s="236"/>
      <c r="H992" s="236"/>
      <c r="I992" s="236"/>
      <c r="J992" s="236"/>
      <c r="K992" s="330"/>
      <c r="L992" s="330"/>
      <c r="M992" s="236"/>
      <c r="N992" s="236"/>
      <c r="O992" s="236"/>
      <c r="P992" s="236"/>
      <c r="Q992" s="236"/>
      <c r="R992" s="236"/>
      <c r="S992" s="236"/>
      <c r="T992" s="236"/>
      <c r="U992" s="236"/>
      <c r="V992" s="236"/>
      <c r="W992" s="236"/>
    </row>
    <row r="993">
      <c r="A993" s="236"/>
      <c r="B993" s="236"/>
      <c r="C993" s="236"/>
      <c r="D993" s="236"/>
      <c r="E993" s="236"/>
      <c r="F993" s="236"/>
      <c r="G993" s="236"/>
      <c r="H993" s="236"/>
      <c r="I993" s="236"/>
      <c r="J993" s="236"/>
      <c r="K993" s="330"/>
      <c r="L993" s="330"/>
      <c r="M993" s="236"/>
      <c r="N993" s="236"/>
      <c r="O993" s="236"/>
      <c r="P993" s="236"/>
      <c r="Q993" s="236"/>
      <c r="R993" s="236"/>
      <c r="S993" s="236"/>
      <c r="T993" s="236"/>
      <c r="U993" s="236"/>
      <c r="V993" s="236"/>
      <c r="W993" s="236"/>
    </row>
    <row r="994">
      <c r="A994" s="236"/>
      <c r="B994" s="236"/>
      <c r="C994" s="236"/>
      <c r="D994" s="236"/>
      <c r="E994" s="236"/>
      <c r="F994" s="236"/>
      <c r="G994" s="236"/>
      <c r="H994" s="236"/>
      <c r="I994" s="236"/>
      <c r="J994" s="236"/>
      <c r="K994" s="330"/>
      <c r="L994" s="330"/>
      <c r="M994" s="236"/>
      <c r="N994" s="236"/>
      <c r="O994" s="236"/>
      <c r="P994" s="236"/>
      <c r="Q994" s="236"/>
      <c r="R994" s="236"/>
      <c r="S994" s="236"/>
      <c r="T994" s="236"/>
      <c r="U994" s="236"/>
      <c r="V994" s="236"/>
      <c r="W994" s="236"/>
    </row>
    <row r="995">
      <c r="A995" s="236"/>
      <c r="B995" s="236"/>
      <c r="C995" s="236"/>
      <c r="D995" s="236"/>
      <c r="E995" s="236"/>
      <c r="F995" s="236"/>
      <c r="G995" s="236"/>
      <c r="H995" s="236"/>
      <c r="I995" s="236"/>
      <c r="J995" s="236"/>
      <c r="K995" s="330"/>
      <c r="L995" s="330"/>
      <c r="M995" s="236"/>
      <c r="N995" s="236"/>
      <c r="O995" s="236"/>
      <c r="P995" s="236"/>
      <c r="Q995" s="236"/>
      <c r="R995" s="236"/>
      <c r="S995" s="236"/>
      <c r="T995" s="236"/>
      <c r="U995" s="236"/>
      <c r="V995" s="236"/>
      <c r="W995" s="236"/>
    </row>
    <row r="996">
      <c r="A996" s="236"/>
      <c r="B996" s="236"/>
      <c r="C996" s="236"/>
      <c r="D996" s="236"/>
      <c r="E996" s="236"/>
      <c r="F996" s="236"/>
      <c r="G996" s="236"/>
      <c r="H996" s="236"/>
      <c r="I996" s="236"/>
      <c r="J996" s="236"/>
      <c r="K996" s="330"/>
      <c r="L996" s="330"/>
      <c r="M996" s="236"/>
      <c r="N996" s="236"/>
      <c r="O996" s="236"/>
      <c r="P996" s="236"/>
      <c r="Q996" s="236"/>
      <c r="R996" s="236"/>
      <c r="S996" s="236"/>
      <c r="T996" s="236"/>
      <c r="U996" s="236"/>
      <c r="V996" s="236"/>
      <c r="W996" s="236"/>
    </row>
    <row r="997">
      <c r="A997" s="236"/>
      <c r="B997" s="236"/>
      <c r="C997" s="236"/>
      <c r="D997" s="236"/>
      <c r="E997" s="236"/>
      <c r="F997" s="236"/>
      <c r="G997" s="236"/>
      <c r="H997" s="236"/>
      <c r="I997" s="236"/>
      <c r="J997" s="236"/>
      <c r="K997" s="330"/>
      <c r="L997" s="330"/>
      <c r="M997" s="236"/>
      <c r="N997" s="236"/>
      <c r="O997" s="236"/>
      <c r="P997" s="236"/>
      <c r="Q997" s="236"/>
      <c r="R997" s="236"/>
      <c r="S997" s="236"/>
      <c r="T997" s="236"/>
      <c r="U997" s="236"/>
      <c r="V997" s="236"/>
      <c r="W997" s="236"/>
    </row>
    <row r="998">
      <c r="A998" s="236"/>
      <c r="B998" s="236"/>
      <c r="C998" s="236"/>
      <c r="D998" s="236"/>
      <c r="E998" s="236"/>
      <c r="F998" s="236"/>
      <c r="G998" s="236"/>
      <c r="H998" s="236"/>
      <c r="I998" s="236"/>
      <c r="J998" s="236"/>
      <c r="K998" s="330"/>
      <c r="L998" s="330"/>
      <c r="M998" s="236"/>
      <c r="N998" s="236"/>
      <c r="O998" s="236"/>
      <c r="P998" s="236"/>
      <c r="Q998" s="236"/>
      <c r="R998" s="236"/>
      <c r="S998" s="236"/>
      <c r="T998" s="236"/>
      <c r="U998" s="236"/>
      <c r="V998" s="236"/>
      <c r="W998" s="236"/>
    </row>
    <row r="999">
      <c r="A999" s="236"/>
      <c r="B999" s="236"/>
      <c r="C999" s="236"/>
      <c r="D999" s="236"/>
      <c r="E999" s="236"/>
      <c r="F999" s="236"/>
      <c r="G999" s="236"/>
      <c r="H999" s="236"/>
      <c r="I999" s="236"/>
      <c r="J999" s="236"/>
      <c r="K999" s="330"/>
      <c r="L999" s="330"/>
      <c r="M999" s="236"/>
      <c r="N999" s="236"/>
      <c r="O999" s="236"/>
      <c r="P999" s="236"/>
      <c r="Q999" s="236"/>
      <c r="R999" s="236"/>
      <c r="S999" s="236"/>
      <c r="T999" s="236"/>
      <c r="U999" s="236"/>
      <c r="V999" s="236"/>
      <c r="W999" s="236"/>
    </row>
    <row r="1000">
      <c r="A1000" s="236"/>
      <c r="B1000" s="236"/>
      <c r="C1000" s="236"/>
      <c r="D1000" s="236"/>
      <c r="E1000" s="236"/>
      <c r="F1000" s="236"/>
      <c r="G1000" s="236"/>
      <c r="H1000" s="236"/>
      <c r="I1000" s="236"/>
      <c r="J1000" s="236"/>
      <c r="K1000" s="330"/>
      <c r="L1000" s="330"/>
      <c r="M1000" s="236"/>
      <c r="N1000" s="236"/>
      <c r="O1000" s="236"/>
      <c r="P1000" s="236"/>
      <c r="Q1000" s="236"/>
      <c r="R1000" s="236"/>
      <c r="S1000" s="236"/>
      <c r="T1000" s="236"/>
      <c r="U1000" s="236"/>
      <c r="V1000" s="236"/>
      <c r="W1000" s="236"/>
    </row>
    <row r="1001">
      <c r="A1001" s="236"/>
      <c r="B1001" s="236"/>
      <c r="C1001" s="236"/>
      <c r="D1001" s="236"/>
      <c r="E1001" s="236"/>
      <c r="F1001" s="236"/>
      <c r="G1001" s="236"/>
      <c r="H1001" s="236"/>
      <c r="I1001" s="236"/>
      <c r="J1001" s="236"/>
      <c r="K1001" s="236"/>
      <c r="L1001" s="236"/>
      <c r="M1001" s="236"/>
      <c r="N1001" s="236"/>
      <c r="O1001" s="236"/>
      <c r="P1001" s="236"/>
      <c r="Q1001" s="236"/>
      <c r="R1001" s="236"/>
      <c r="S1001" s="236"/>
      <c r="T1001" s="236"/>
      <c r="U1001" s="236"/>
      <c r="V1001" s="236"/>
      <c r="W1001" s="236"/>
    </row>
    <row r="1002">
      <c r="A1002" s="236"/>
      <c r="B1002" s="236"/>
      <c r="C1002" s="236"/>
      <c r="D1002" s="236"/>
      <c r="E1002" s="236"/>
      <c r="F1002" s="236"/>
      <c r="G1002" s="236"/>
      <c r="H1002" s="236"/>
      <c r="I1002" s="236"/>
      <c r="J1002" s="236"/>
      <c r="K1002" s="236"/>
      <c r="L1002" s="236"/>
      <c r="M1002" s="236"/>
      <c r="N1002" s="236"/>
      <c r="O1002" s="236"/>
      <c r="P1002" s="236"/>
      <c r="Q1002" s="236"/>
      <c r="R1002" s="236"/>
      <c r="S1002" s="236"/>
      <c r="T1002" s="236"/>
      <c r="U1002" s="236"/>
      <c r="V1002" s="236"/>
      <c r="W1002" s="236"/>
    </row>
    <row r="1003">
      <c r="A1003" s="236"/>
      <c r="B1003" s="236"/>
      <c r="C1003" s="236"/>
      <c r="D1003" s="236"/>
      <c r="E1003" s="236"/>
      <c r="F1003" s="236"/>
      <c r="G1003" s="236"/>
      <c r="H1003" s="236"/>
      <c r="I1003" s="236"/>
      <c r="J1003" s="236"/>
      <c r="K1003" s="236"/>
      <c r="L1003" s="236"/>
      <c r="M1003" s="236"/>
      <c r="N1003" s="236"/>
      <c r="O1003" s="236"/>
      <c r="P1003" s="236"/>
      <c r="Q1003" s="236"/>
      <c r="R1003" s="236"/>
      <c r="S1003" s="236"/>
      <c r="T1003" s="236"/>
      <c r="U1003" s="236"/>
      <c r="V1003" s="236"/>
      <c r="W1003" s="236"/>
    </row>
    <row r="1004">
      <c r="A1004" s="236"/>
      <c r="B1004" s="236"/>
      <c r="C1004" s="236"/>
      <c r="D1004" s="236"/>
      <c r="E1004" s="236"/>
      <c r="F1004" s="236"/>
      <c r="G1004" s="236"/>
      <c r="H1004" s="236"/>
      <c r="I1004" s="236"/>
      <c r="J1004" s="236"/>
      <c r="K1004" s="236"/>
      <c r="L1004" s="236"/>
      <c r="M1004" s="236"/>
      <c r="N1004" s="236"/>
      <c r="O1004" s="236"/>
      <c r="P1004" s="236"/>
      <c r="Q1004" s="236"/>
      <c r="R1004" s="236"/>
      <c r="S1004" s="236"/>
      <c r="T1004" s="236"/>
      <c r="U1004" s="236"/>
      <c r="V1004" s="236"/>
      <c r="W1004" s="236"/>
    </row>
    <row r="1005">
      <c r="A1005" s="236"/>
      <c r="B1005" s="236"/>
      <c r="C1005" s="236"/>
      <c r="D1005" s="236"/>
      <c r="E1005" s="236"/>
      <c r="F1005" s="236"/>
      <c r="G1005" s="236"/>
      <c r="H1005" s="236"/>
      <c r="I1005" s="236"/>
      <c r="J1005" s="236"/>
      <c r="K1005" s="236"/>
      <c r="L1005" s="236"/>
      <c r="M1005" s="236"/>
      <c r="N1005" s="236"/>
      <c r="O1005" s="236"/>
      <c r="P1005" s="236"/>
      <c r="Q1005" s="236"/>
      <c r="R1005" s="236"/>
      <c r="S1005" s="236"/>
      <c r="T1005" s="236"/>
      <c r="U1005" s="236"/>
      <c r="V1005" s="236"/>
      <c r="W1005" s="236"/>
    </row>
    <row r="1006">
      <c r="A1006" s="236"/>
      <c r="B1006" s="236"/>
      <c r="C1006" s="236"/>
      <c r="D1006" s="236"/>
      <c r="E1006" s="236"/>
      <c r="F1006" s="236"/>
      <c r="G1006" s="236"/>
      <c r="H1006" s="236"/>
      <c r="I1006" s="236"/>
      <c r="J1006" s="236"/>
      <c r="K1006" s="236"/>
      <c r="L1006" s="236"/>
      <c r="M1006" s="236"/>
      <c r="N1006" s="236"/>
      <c r="O1006" s="236"/>
      <c r="P1006" s="236"/>
      <c r="Q1006" s="236"/>
      <c r="R1006" s="236"/>
      <c r="S1006" s="236"/>
      <c r="T1006" s="236"/>
      <c r="U1006" s="236"/>
      <c r="V1006" s="236"/>
      <c r="W1006" s="236"/>
    </row>
    <row r="1007">
      <c r="A1007" s="236"/>
      <c r="B1007" s="236"/>
      <c r="C1007" s="236"/>
      <c r="D1007" s="236"/>
      <c r="E1007" s="236"/>
      <c r="F1007" s="236"/>
      <c r="G1007" s="236"/>
      <c r="H1007" s="236"/>
      <c r="I1007" s="236"/>
      <c r="J1007" s="236"/>
      <c r="K1007" s="236"/>
      <c r="L1007" s="236"/>
      <c r="M1007" s="236"/>
      <c r="N1007" s="236"/>
      <c r="O1007" s="236"/>
      <c r="P1007" s="236"/>
      <c r="Q1007" s="236"/>
      <c r="R1007" s="236"/>
      <c r="S1007" s="236"/>
      <c r="T1007" s="236"/>
      <c r="U1007" s="236"/>
      <c r="V1007" s="236"/>
      <c r="W1007" s="236"/>
    </row>
    <row r="1008">
      <c r="A1008" s="236"/>
      <c r="B1008" s="236"/>
      <c r="C1008" s="236"/>
      <c r="D1008" s="236"/>
      <c r="E1008" s="236"/>
      <c r="F1008" s="236"/>
      <c r="G1008" s="236"/>
      <c r="H1008" s="236"/>
      <c r="I1008" s="236"/>
      <c r="J1008" s="236"/>
      <c r="K1008" s="236"/>
      <c r="L1008" s="236"/>
      <c r="M1008" s="236"/>
      <c r="N1008" s="236"/>
      <c r="O1008" s="236"/>
      <c r="P1008" s="236"/>
      <c r="Q1008" s="236"/>
      <c r="R1008" s="236"/>
      <c r="S1008" s="236"/>
      <c r="T1008" s="236"/>
      <c r="U1008" s="236"/>
      <c r="V1008" s="236"/>
      <c r="W1008" s="236"/>
    </row>
    <row r="1009">
      <c r="A1009" s="236"/>
      <c r="B1009" s="236"/>
      <c r="C1009" s="236"/>
      <c r="D1009" s="236"/>
      <c r="E1009" s="236"/>
      <c r="F1009" s="236"/>
      <c r="G1009" s="236"/>
      <c r="H1009" s="236"/>
      <c r="I1009" s="236"/>
      <c r="J1009" s="236"/>
      <c r="K1009" s="236"/>
      <c r="L1009" s="236"/>
      <c r="M1009" s="236"/>
      <c r="N1009" s="236"/>
      <c r="O1009" s="236"/>
      <c r="P1009" s="236"/>
      <c r="Q1009" s="236"/>
      <c r="R1009" s="236"/>
      <c r="S1009" s="236"/>
      <c r="T1009" s="236"/>
      <c r="U1009" s="236"/>
      <c r="V1009" s="236"/>
      <c r="W1009" s="236"/>
    </row>
    <row r="1010">
      <c r="A1010" s="236"/>
      <c r="B1010" s="236"/>
      <c r="C1010" s="236"/>
      <c r="D1010" s="236"/>
      <c r="E1010" s="236"/>
      <c r="F1010" s="236"/>
      <c r="G1010" s="236"/>
      <c r="H1010" s="236"/>
      <c r="I1010" s="236"/>
      <c r="J1010" s="236"/>
      <c r="K1010" s="236"/>
      <c r="L1010" s="236"/>
      <c r="M1010" s="236"/>
      <c r="N1010" s="236"/>
      <c r="O1010" s="236"/>
      <c r="P1010" s="236"/>
      <c r="Q1010" s="236"/>
      <c r="R1010" s="236"/>
      <c r="S1010" s="236"/>
      <c r="T1010" s="236"/>
      <c r="U1010" s="236"/>
      <c r="V1010" s="236"/>
      <c r="W1010" s="236"/>
    </row>
    <row r="1011">
      <c r="A1011" s="236"/>
      <c r="B1011" s="236"/>
      <c r="C1011" s="236"/>
      <c r="D1011" s="236"/>
      <c r="E1011" s="236"/>
      <c r="F1011" s="236"/>
      <c r="G1011" s="236"/>
      <c r="H1011" s="236"/>
      <c r="I1011" s="236"/>
      <c r="J1011" s="236"/>
      <c r="K1011" s="236"/>
      <c r="L1011" s="236"/>
      <c r="M1011" s="236"/>
      <c r="N1011" s="236"/>
      <c r="O1011" s="236"/>
      <c r="P1011" s="236"/>
      <c r="Q1011" s="236"/>
      <c r="R1011" s="236"/>
      <c r="S1011" s="236"/>
      <c r="T1011" s="236"/>
      <c r="U1011" s="236"/>
      <c r="V1011" s="236"/>
      <c r="W1011" s="236"/>
    </row>
    <row r="1012">
      <c r="A1012" s="236"/>
      <c r="B1012" s="236"/>
      <c r="C1012" s="236"/>
      <c r="D1012" s="236"/>
      <c r="E1012" s="236"/>
      <c r="F1012" s="236"/>
      <c r="G1012" s="236"/>
      <c r="H1012" s="236"/>
      <c r="I1012" s="236"/>
      <c r="J1012" s="236"/>
      <c r="K1012" s="236"/>
      <c r="L1012" s="236"/>
      <c r="M1012" s="236"/>
      <c r="N1012" s="236"/>
      <c r="O1012" s="236"/>
      <c r="P1012" s="236"/>
      <c r="Q1012" s="236"/>
      <c r="R1012" s="236"/>
      <c r="S1012" s="236"/>
      <c r="T1012" s="236"/>
      <c r="U1012" s="236"/>
      <c r="V1012" s="236"/>
      <c r="W1012" s="236"/>
    </row>
    <row r="1013">
      <c r="A1013" s="236"/>
      <c r="B1013" s="236"/>
      <c r="C1013" s="236"/>
      <c r="D1013" s="236"/>
      <c r="E1013" s="236"/>
      <c r="F1013" s="236"/>
      <c r="G1013" s="236"/>
      <c r="H1013" s="236"/>
      <c r="I1013" s="236"/>
      <c r="J1013" s="236"/>
      <c r="K1013" s="236"/>
      <c r="L1013" s="236"/>
      <c r="M1013" s="236"/>
      <c r="N1013" s="236"/>
      <c r="O1013" s="236"/>
      <c r="P1013" s="236"/>
      <c r="Q1013" s="236"/>
      <c r="R1013" s="236"/>
      <c r="S1013" s="236"/>
      <c r="T1013" s="236"/>
      <c r="U1013" s="236"/>
      <c r="V1013" s="236"/>
      <c r="W1013" s="236"/>
    </row>
    <row r="1014">
      <c r="A1014" s="236"/>
      <c r="B1014" s="236"/>
      <c r="C1014" s="236"/>
      <c r="D1014" s="236"/>
      <c r="E1014" s="236"/>
      <c r="F1014" s="236"/>
      <c r="G1014" s="236"/>
      <c r="H1014" s="236"/>
      <c r="I1014" s="236"/>
      <c r="J1014" s="236"/>
      <c r="K1014" s="236"/>
      <c r="L1014" s="236"/>
      <c r="M1014" s="236"/>
      <c r="N1014" s="236"/>
      <c r="O1014" s="236"/>
      <c r="P1014" s="236"/>
      <c r="Q1014" s="236"/>
      <c r="R1014" s="236"/>
      <c r="S1014" s="236"/>
      <c r="T1014" s="236"/>
      <c r="U1014" s="236"/>
      <c r="V1014" s="236"/>
      <c r="W1014" s="236"/>
    </row>
    <row r="1015">
      <c r="A1015" s="236"/>
      <c r="B1015" s="236"/>
      <c r="C1015" s="236"/>
      <c r="D1015" s="236"/>
      <c r="E1015" s="236"/>
      <c r="F1015" s="236"/>
      <c r="G1015" s="236"/>
      <c r="H1015" s="236"/>
      <c r="I1015" s="236"/>
      <c r="J1015" s="236"/>
      <c r="K1015" s="236"/>
      <c r="L1015" s="236"/>
      <c r="M1015" s="236"/>
      <c r="N1015" s="236"/>
      <c r="O1015" s="236"/>
      <c r="P1015" s="236"/>
      <c r="Q1015" s="236"/>
      <c r="R1015" s="236"/>
      <c r="S1015" s="236"/>
      <c r="T1015" s="236"/>
      <c r="U1015" s="236"/>
      <c r="V1015" s="236"/>
      <c r="W1015" s="236"/>
    </row>
    <row r="1016">
      <c r="A1016" s="236"/>
      <c r="B1016" s="236"/>
      <c r="C1016" s="236"/>
      <c r="D1016" s="236"/>
      <c r="E1016" s="236"/>
      <c r="F1016" s="236"/>
      <c r="G1016" s="236"/>
      <c r="H1016" s="236"/>
      <c r="I1016" s="236"/>
      <c r="J1016" s="236"/>
      <c r="K1016" s="236"/>
      <c r="L1016" s="236"/>
      <c r="M1016" s="236"/>
      <c r="N1016" s="236"/>
      <c r="O1016" s="236"/>
      <c r="P1016" s="236"/>
      <c r="Q1016" s="236"/>
      <c r="R1016" s="236"/>
      <c r="S1016" s="236"/>
      <c r="T1016" s="236"/>
      <c r="U1016" s="236"/>
      <c r="V1016" s="236"/>
      <c r="W1016" s="236"/>
    </row>
    <row r="1017">
      <c r="A1017" s="236"/>
      <c r="B1017" s="236"/>
      <c r="C1017" s="236"/>
      <c r="D1017" s="236"/>
      <c r="E1017" s="236"/>
      <c r="F1017" s="236"/>
      <c r="G1017" s="236"/>
      <c r="H1017" s="236"/>
      <c r="I1017" s="236"/>
      <c r="J1017" s="236"/>
      <c r="K1017" s="236"/>
      <c r="L1017" s="236"/>
      <c r="M1017" s="236"/>
      <c r="N1017" s="236"/>
      <c r="O1017" s="236"/>
      <c r="P1017" s="236"/>
      <c r="Q1017" s="236"/>
      <c r="R1017" s="236"/>
      <c r="S1017" s="236"/>
      <c r="T1017" s="236"/>
      <c r="U1017" s="236"/>
      <c r="V1017" s="236"/>
      <c r="W1017" s="236"/>
    </row>
    <row r="1018">
      <c r="A1018" s="236"/>
      <c r="B1018" s="236"/>
      <c r="C1018" s="236"/>
      <c r="D1018" s="236"/>
      <c r="E1018" s="236"/>
      <c r="F1018" s="236"/>
      <c r="G1018" s="236"/>
      <c r="H1018" s="236"/>
      <c r="I1018" s="236"/>
      <c r="J1018" s="236"/>
      <c r="K1018" s="236"/>
      <c r="L1018" s="236"/>
      <c r="M1018" s="236"/>
      <c r="N1018" s="236"/>
      <c r="O1018" s="236"/>
      <c r="P1018" s="236"/>
      <c r="Q1018" s="236"/>
      <c r="R1018" s="236"/>
      <c r="S1018" s="236"/>
      <c r="T1018" s="236"/>
      <c r="U1018" s="236"/>
      <c r="V1018" s="236"/>
      <c r="W1018" s="236"/>
    </row>
    <row r="1019">
      <c r="A1019" s="236"/>
      <c r="B1019" s="236"/>
      <c r="C1019" s="236"/>
      <c r="D1019" s="236"/>
      <c r="E1019" s="236"/>
      <c r="F1019" s="236"/>
      <c r="G1019" s="236"/>
      <c r="H1019" s="236"/>
      <c r="I1019" s="236"/>
      <c r="J1019" s="236"/>
      <c r="K1019" s="236"/>
      <c r="L1019" s="236"/>
      <c r="M1019" s="236"/>
      <c r="N1019" s="236"/>
      <c r="O1019" s="236"/>
      <c r="P1019" s="236"/>
      <c r="Q1019" s="236"/>
      <c r="R1019" s="236"/>
      <c r="S1019" s="236"/>
      <c r="T1019" s="236"/>
      <c r="U1019" s="236"/>
      <c r="V1019" s="236"/>
      <c r="W1019" s="236"/>
    </row>
    <row r="1020">
      <c r="A1020" s="236"/>
      <c r="B1020" s="236"/>
      <c r="C1020" s="236"/>
      <c r="D1020" s="236"/>
      <c r="E1020" s="236"/>
      <c r="F1020" s="236"/>
      <c r="G1020" s="236"/>
      <c r="H1020" s="236"/>
      <c r="I1020" s="236"/>
      <c r="J1020" s="236"/>
      <c r="K1020" s="236"/>
      <c r="L1020" s="236"/>
      <c r="M1020" s="236"/>
      <c r="N1020" s="236"/>
      <c r="O1020" s="236"/>
      <c r="P1020" s="236"/>
      <c r="Q1020" s="236"/>
      <c r="R1020" s="236"/>
      <c r="S1020" s="236"/>
      <c r="T1020" s="236"/>
      <c r="U1020" s="236"/>
      <c r="V1020" s="236"/>
      <c r="W1020" s="236"/>
    </row>
    <row r="1021">
      <c r="A1021" s="236"/>
      <c r="B1021" s="236"/>
      <c r="C1021" s="236"/>
      <c r="D1021" s="236"/>
      <c r="E1021" s="236"/>
      <c r="F1021" s="236"/>
      <c r="G1021" s="236"/>
      <c r="H1021" s="236"/>
      <c r="I1021" s="236"/>
      <c r="J1021" s="236"/>
      <c r="K1021" s="236"/>
      <c r="L1021" s="236"/>
      <c r="M1021" s="236"/>
      <c r="N1021" s="236"/>
      <c r="O1021" s="236"/>
      <c r="P1021" s="236"/>
      <c r="Q1021" s="236"/>
      <c r="R1021" s="236"/>
      <c r="S1021" s="236"/>
      <c r="T1021" s="236"/>
      <c r="U1021" s="236"/>
      <c r="V1021" s="236"/>
      <c r="W1021" s="236"/>
    </row>
    <row r="1022">
      <c r="A1022" s="236"/>
      <c r="B1022" s="236"/>
      <c r="C1022" s="236"/>
      <c r="D1022" s="236"/>
      <c r="E1022" s="236"/>
      <c r="F1022" s="236"/>
      <c r="G1022" s="236"/>
      <c r="H1022" s="236"/>
      <c r="I1022" s="236"/>
      <c r="J1022" s="236"/>
      <c r="K1022" s="236"/>
      <c r="L1022" s="236"/>
      <c r="M1022" s="236"/>
      <c r="N1022" s="236"/>
      <c r="O1022" s="236"/>
      <c r="P1022" s="236"/>
      <c r="Q1022" s="236"/>
      <c r="R1022" s="236"/>
      <c r="S1022" s="236"/>
      <c r="T1022" s="236"/>
      <c r="U1022" s="236"/>
      <c r="V1022" s="236"/>
      <c r="W1022" s="236"/>
    </row>
    <row r="1023">
      <c r="A1023" s="236"/>
      <c r="B1023" s="236"/>
      <c r="C1023" s="236"/>
      <c r="D1023" s="236"/>
      <c r="E1023" s="236"/>
      <c r="F1023" s="236"/>
      <c r="G1023" s="236"/>
      <c r="H1023" s="236"/>
      <c r="I1023" s="236"/>
      <c r="J1023" s="236"/>
      <c r="K1023" s="236"/>
      <c r="L1023" s="236"/>
      <c r="M1023" s="236"/>
      <c r="N1023" s="236"/>
      <c r="O1023" s="236"/>
      <c r="P1023" s="236"/>
      <c r="Q1023" s="236"/>
      <c r="R1023" s="236"/>
      <c r="S1023" s="236"/>
      <c r="T1023" s="236"/>
      <c r="U1023" s="236"/>
      <c r="V1023" s="236"/>
      <c r="W1023" s="236"/>
    </row>
    <row r="1024">
      <c r="A1024" s="236"/>
      <c r="B1024" s="236"/>
      <c r="C1024" s="236"/>
      <c r="D1024" s="236"/>
      <c r="E1024" s="236"/>
      <c r="F1024" s="236"/>
      <c r="G1024" s="236"/>
      <c r="H1024" s="236"/>
      <c r="I1024" s="236"/>
      <c r="J1024" s="236"/>
      <c r="K1024" s="236"/>
      <c r="L1024" s="236"/>
      <c r="M1024" s="236"/>
      <c r="N1024" s="236"/>
      <c r="O1024" s="236"/>
      <c r="P1024" s="236"/>
      <c r="Q1024" s="236"/>
      <c r="R1024" s="236"/>
      <c r="S1024" s="236"/>
      <c r="T1024" s="236"/>
      <c r="U1024" s="236"/>
      <c r="V1024" s="236"/>
      <c r="W1024" s="236"/>
    </row>
    <row r="1025">
      <c r="A1025" s="236"/>
      <c r="B1025" s="236"/>
      <c r="C1025" s="236"/>
      <c r="D1025" s="236"/>
      <c r="E1025" s="236"/>
      <c r="F1025" s="236"/>
      <c r="G1025" s="236"/>
      <c r="H1025" s="236"/>
      <c r="I1025" s="236"/>
      <c r="J1025" s="236"/>
      <c r="K1025" s="236"/>
      <c r="L1025" s="236"/>
      <c r="M1025" s="236"/>
      <c r="N1025" s="236"/>
      <c r="O1025" s="236"/>
      <c r="P1025" s="236"/>
      <c r="Q1025" s="236"/>
      <c r="R1025" s="236"/>
      <c r="S1025" s="236"/>
      <c r="T1025" s="236"/>
      <c r="U1025" s="236"/>
      <c r="V1025" s="236"/>
      <c r="W1025" s="236"/>
    </row>
    <row r="1026">
      <c r="A1026" s="236"/>
      <c r="B1026" s="236"/>
      <c r="C1026" s="236"/>
      <c r="D1026" s="236"/>
      <c r="E1026" s="236"/>
      <c r="F1026" s="236"/>
      <c r="G1026" s="236"/>
      <c r="H1026" s="236"/>
      <c r="I1026" s="236"/>
      <c r="J1026" s="236"/>
      <c r="K1026" s="236"/>
      <c r="L1026" s="236"/>
      <c r="M1026" s="236"/>
      <c r="N1026" s="236"/>
      <c r="O1026" s="236"/>
      <c r="P1026" s="236"/>
      <c r="Q1026" s="236"/>
      <c r="R1026" s="236"/>
      <c r="S1026" s="236"/>
      <c r="T1026" s="236"/>
      <c r="U1026" s="236"/>
      <c r="V1026" s="236"/>
      <c r="W1026" s="236"/>
    </row>
  </sheetData>
  <hyperlinks>
    <hyperlink r:id="rId1" ref="B10"/>
    <hyperlink r:id="rId2" ref="D10"/>
    <hyperlink r:id="rId3" ref="F10"/>
    <hyperlink r:id="rId4" ref="H10"/>
    <hyperlink r:id="rId5" ref="J10"/>
    <hyperlink r:id="rId6" ref="N10"/>
    <hyperlink r:id="rId7" ref="P10"/>
  </hyperlinks>
  <drawing r:id="rId8"/>
</worksheet>
</file>